
<file path=[Content_Types].xml><?xml version="1.0" encoding="utf-8"?>
<Types xmlns="http://schemas.openxmlformats.org/package/2006/content-types">
  <Default Extension="rels" ContentType="application/vnd.openxmlformats-package.relationship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Types>
</file>

<file path=_rels/.rels>&#65279;<?xml version="1.0" encoding="utf-8"?><Relationships xmlns="http://schemas.openxmlformats.org/package/2006/relationships"><Relationship Id="rId1" Type="http://schemas.openxmlformats.org/package/2006/relationships/metadata/core-properties" Target="docProps/core.xml" /><Relationship Id="rId2"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sheetId="1" name="Operations" state="visible" r:id="rId1"/>
  </sheets>
</workbook>
</file>

<file path=xl/sharedStrings.xml><?xml version="1.0" encoding="utf-8"?>
<sst xmlns="http://schemas.openxmlformats.org/spreadsheetml/2006/main" count="24550">
  <si>
    <t>Program</t>
  </si>
  <si>
    <t>Required</t>
  </si>
  <si>
    <t>USDA or Trade Partner Government Partner</t>
  </si>
  <si>
    <t>USDA-NOP</t>
  </si>
  <si>
    <t>Certifier Name</t>
  </si>
  <si>
    <t>More information about Accredited Certifying Agents can be found at https://www.ams.usda.gov/services/organic-certification/certifying-agents</t>
  </si>
  <si>
    <t>IBD Certifications</t>
  </si>
  <si>
    <t>Idaho State Department of Agriculture</t>
  </si>
  <si>
    <t>Montana Department of Agriculture</t>
  </si>
  <si>
    <t>Organic Certifiers, Inc.</t>
  </si>
  <si>
    <t>Baystate Organic Certifiers</t>
  </si>
  <si>
    <t>Control Union Certifications</t>
  </si>
  <si>
    <t>Where Food Comes From Organic (formerly A Bee Organic)</t>
  </si>
  <si>
    <t>Oregon Tilth Certified Organic</t>
  </si>
  <si>
    <t>OneCert International Private Limited</t>
  </si>
  <si>
    <t>Nature’s International Certification Services</t>
  </si>
  <si>
    <t>Texas Department of Agriculture</t>
  </si>
  <si>
    <t>Natural Food Certifiers</t>
  </si>
  <si>
    <t>Global Organic Alliance, Inc</t>
  </si>
  <si>
    <t>Pennsylvania Certified Organic</t>
  </si>
  <si>
    <t>CERES CERtification of Environmental Standards GmbH</t>
  </si>
  <si>
    <t>CCOF Certification Services, LLC</t>
  </si>
  <si>
    <t>Quality Certification Services</t>
  </si>
  <si>
    <t>Midwest Organic Services Association, Inc.</t>
  </si>
  <si>
    <t>ACO Certification Ltd.</t>
  </si>
  <si>
    <t>Organización Internacional Agropecuaria</t>
  </si>
  <si>
    <t>Vermont Organic Farmers, LLC</t>
  </si>
  <si>
    <t>SRS Certification GmbH</t>
  </si>
  <si>
    <t>Bio.Inspecta</t>
  </si>
  <si>
    <t>Ecocert SAS (formerly Ecocert SA)</t>
  </si>
  <si>
    <t>Servicio de Certificación CAAE S.L.U.</t>
  </si>
  <si>
    <t>Mayacert S.A.</t>
  </si>
  <si>
    <t>Organic Crop Improvement Association</t>
  </si>
  <si>
    <t>Minnesota Crop Improvement Association</t>
  </si>
  <si>
    <t>Quality Assurance International</t>
  </si>
  <si>
    <t>CCPB Srl</t>
  </si>
  <si>
    <t>Oregon Department of Agriculture</t>
  </si>
  <si>
    <t>OnMark Certification Services</t>
  </si>
  <si>
    <t>Transitioning to New Certifier</t>
  </si>
  <si>
    <t>Georgia Crop Improvement Association</t>
  </si>
  <si>
    <t>CAUCASCERT LLC</t>
  </si>
  <si>
    <t>Ohio Ecological Food and Farm Association</t>
  </si>
  <si>
    <t>Primus Auditing Operations</t>
  </si>
  <si>
    <t>IMOcert Latinoamerica LTDA</t>
  </si>
  <si>
    <t>NOFA-NY Certified Organic, LLC</t>
  </si>
  <si>
    <t>Washington State Department of Agriculture</t>
  </si>
  <si>
    <t>Kiwa BCS Costa Rica Limitada</t>
  </si>
  <si>
    <t>MOFGA Certification Services, LLC - MCS</t>
  </si>
  <si>
    <t>Kiwa BCS Öko-Garantie GmbH</t>
  </si>
  <si>
    <t>BioAgriCert</t>
  </si>
  <si>
    <t>Utah Department of Agriculture and Food</t>
  </si>
  <si>
    <t>LETIS S.A.</t>
  </si>
  <si>
    <t>Iowa Department of Agriculture and Land Stewardship</t>
  </si>
  <si>
    <t>SCS Global Services, Inc.</t>
  </si>
  <si>
    <t>OneCert, Inc.</t>
  </si>
  <si>
    <t>Pro-Cert Organic Systems, Ltd.</t>
  </si>
  <si>
    <t>Certificadora de Productos Organicos Eco-LOGICA S.A. (formerly Eco-LOGICA S.A.)</t>
  </si>
  <si>
    <t>Colorado Department of Agriculture</t>
  </si>
  <si>
    <t>Certificadora Mexicana de Productos y Procesos Ecologicos SC</t>
  </si>
  <si>
    <t>Maryland Department of Agriculture</t>
  </si>
  <si>
    <t>Americert International</t>
  </si>
  <si>
    <t>Yolo County Department of Agriculture</t>
  </si>
  <si>
    <t>Bio Latina S.A.C.</t>
  </si>
  <si>
    <t>Kentucky Department of Agriculture</t>
  </si>
  <si>
    <t>Food Safety S.A.</t>
  </si>
  <si>
    <t>Ecological Farming Control Organization</t>
  </si>
  <si>
    <t>Clemson University</t>
  </si>
  <si>
    <t>Perry Johnson Registrars Food Safety, Inc.</t>
  </si>
  <si>
    <t>Ecoglobe, LLC</t>
  </si>
  <si>
    <t>Oklahoma Department of Agriculture, Food and Forestry</t>
  </si>
  <si>
    <t>Certifier Website</t>
  </si>
  <si>
    <t>From Certifier Profile</t>
  </si>
  <si>
    <t>www.ibd.com.br</t>
  </si>
  <si>
    <t>www.agri.idaho.gov/Categories/PlantsInsects/Organic/indexOrganicHome.php</t>
  </si>
  <si>
    <t>www.agr.mt.gov/agr/Producer/Organic/</t>
  </si>
  <si>
    <t>www.organiccertifiers.com</t>
  </si>
  <si>
    <t>www.baystateorganic.org</t>
  </si>
  <si>
    <t>certifications.controlunion.com/en</t>
  </si>
  <si>
    <t>www.wfcforganic.com</t>
  </si>
  <si>
    <t>www.tilth.org</t>
  </si>
  <si>
    <t>www.onecertinternational.com</t>
  </si>
  <si>
    <t>www.naturesinternational.com</t>
  </si>
  <si>
    <t>www.texasagriculture.gov/RegulatoryPrograms/Organics.aspx</t>
  </si>
  <si>
    <t>www.nfccertification.com</t>
  </si>
  <si>
    <t>www.goa-online.org</t>
  </si>
  <si>
    <t>www.paorganic.org</t>
  </si>
  <si>
    <t>www.ceres-cert.de</t>
  </si>
  <si>
    <t>www.ccof.org</t>
  </si>
  <si>
    <t>www.QCSinfo.org</t>
  </si>
  <si>
    <t>www.mosaorganic.org</t>
  </si>
  <si>
    <t>www.aco.net.au</t>
  </si>
  <si>
    <t>www.oia.com.ar</t>
  </si>
  <si>
    <t>www.vermontorganic.org</t>
  </si>
  <si>
    <t>www.srs-certification.com</t>
  </si>
  <si>
    <t>www.bio-inspecta.ch</t>
  </si>
  <si>
    <t>www.ecocert.com</t>
  </si>
  <si>
    <t>www.caae.es</t>
  </si>
  <si>
    <t>www.mayacert.com</t>
  </si>
  <si>
    <t>www.ocia.org</t>
  </si>
  <si>
    <t>www.mciaorganic.org</t>
  </si>
  <si>
    <t>www.qai-inc.com</t>
  </si>
  <si>
    <t>www.ccpb.it</t>
  </si>
  <si>
    <t>https://oda.direct/NOP</t>
  </si>
  <si>
    <t>OnMarkcertification.com</t>
  </si>
  <si>
    <t/>
  </si>
  <si>
    <t>www.georgiacrop.com</t>
  </si>
  <si>
    <t>http://caucascert.ge/</t>
  </si>
  <si>
    <t>www.oeffa.org</t>
  </si>
  <si>
    <t>www.primusauditingops.com</t>
  </si>
  <si>
    <t>www.imocert.bio</t>
  </si>
  <si>
    <t>www.nofany.org/organiccertification</t>
  </si>
  <si>
    <t>https://agr.wa.gov/departments/organic</t>
  </si>
  <si>
    <t>https://www.kiwa.com/lat/es/</t>
  </si>
  <si>
    <t>www.mofgacertification.org</t>
  </si>
  <si>
    <t>https://www.kiwa.com/de/en/markets/agri-feed-food/</t>
  </si>
  <si>
    <t>www.bioagricert.org</t>
  </si>
  <si>
    <t>www.ag.utah.gov/divisions/plant/organic/index.html</t>
  </si>
  <si>
    <t>www.letis.org</t>
  </si>
  <si>
    <t>www.iowaagriculture.gov/AgDiversification/organicCertification.asp</t>
  </si>
  <si>
    <t>www.scsglobalservices.com/services/organic-certification</t>
  </si>
  <si>
    <t>www.onecert.com</t>
  </si>
  <si>
    <t>www.pro-cert.org</t>
  </si>
  <si>
    <t>www.eco-logica.com</t>
  </si>
  <si>
    <t>www.colorado.gov/pacific/agplants/organic</t>
  </si>
  <si>
    <t>https://certimexsc.com/cmx/</t>
  </si>
  <si>
    <t>www.mda.maryland.gov/foodfeedquality/Pages/certified_md_organic_farms.aspx</t>
  </si>
  <si>
    <t>americertorganic.info</t>
  </si>
  <si>
    <t>https://www.yolocounty.gov/government/general-government-departments/agriculture</t>
  </si>
  <si>
    <t>www.biolatina.com</t>
  </si>
  <si>
    <t>https://www.kyagr.com/marketing/organic-marketing.html</t>
  </si>
  <si>
    <t>www.foodsafety.com.ar</t>
  </si>
  <si>
    <t>www.etko.com.tr</t>
  </si>
  <si>
    <t>www.clemson.edu/organic</t>
  </si>
  <si>
    <t>www.pjrfsi.com</t>
  </si>
  <si>
    <t>www.ecoglobe.am</t>
  </si>
  <si>
    <t>www.oda.state.ok.us</t>
  </si>
  <si>
    <t>Certifier Email Address</t>
  </si>
  <si>
    <t>Ibd@Ibd.com.br</t>
  </si>
  <si>
    <t>organics@isda.idaho.gov</t>
  </si>
  <si>
    <t>agrorganic@mt.gov</t>
  </si>
  <si>
    <t>info@occert.com</t>
  </si>
  <si>
    <t>certificates@baystateorganic.org</t>
  </si>
  <si>
    <t>organic@controlunion.com</t>
  </si>
  <si>
    <t>info@wfcforganic.com</t>
  </si>
  <si>
    <t>organic@tilth.org</t>
  </si>
  <si>
    <t>sandeep@onecert.net</t>
  </si>
  <si>
    <t>nics.inbox@ecocert.com</t>
  </si>
  <si>
    <t>Organic@TexasAgriculture.gov</t>
  </si>
  <si>
    <t>info@nfccertification.com</t>
  </si>
  <si>
    <t>goaorg@goaorg.com</t>
  </si>
  <si>
    <t>pco@paorganic.org</t>
  </si>
  <si>
    <t>info@ceres-cert.de</t>
  </si>
  <si>
    <t>ccof@ccof.org</t>
  </si>
  <si>
    <t>QCS@qcsinfo.org</t>
  </si>
  <si>
    <t>mosa@mosaorganic.org</t>
  </si>
  <si>
    <t>info@aco.net.au</t>
  </si>
  <si>
    <t>oia@oia.com.ar</t>
  </si>
  <si>
    <t>info@vermontorganic.org</t>
  </si>
  <si>
    <t>info@srs-certification.com</t>
  </si>
  <si>
    <t>admin@bio-inspecta.ch</t>
  </si>
  <si>
    <t>office.international@ecocert.com</t>
  </si>
  <si>
    <t>internacional@caae.bio</t>
  </si>
  <si>
    <t>info@mayacert.com</t>
  </si>
  <si>
    <t>info@ocia.org</t>
  </si>
  <si>
    <t>mncia@mncia.org</t>
  </si>
  <si>
    <t>info@qai-inc.com</t>
  </si>
  <si>
    <t>ccpb@ccpb.it</t>
  </si>
  <si>
    <t>certification@oda.oregon.gov</t>
  </si>
  <si>
    <t>office@onmarkcertification.com</t>
  </si>
  <si>
    <t>billie.dunn@georgiacrop.com</t>
  </si>
  <si>
    <t>info@caucascert.ge</t>
  </si>
  <si>
    <t>organic@oeffa.org</t>
  </si>
  <si>
    <t>primusorganic@primusauditingops.com</t>
  </si>
  <si>
    <t>imocert@imocert.bio</t>
  </si>
  <si>
    <t>certifiedorganic@nofany.org</t>
  </si>
  <si>
    <t>organic@agr.wa.gov</t>
  </si>
  <si>
    <t>sue.wei@kiwa.com</t>
  </si>
  <si>
    <t>certification@mofga.org</t>
  </si>
  <si>
    <t>DE.Info.BCS@kiwa.com</t>
  </si>
  <si>
    <t>info@bioagricert.org</t>
  </si>
  <si>
    <t>dbasinger@utah.gov</t>
  </si>
  <si>
    <t>info@letis.org</t>
  </si>
  <si>
    <t>katie.hyde@iowaagriculture.gov</t>
  </si>
  <si>
    <t>cfanta@scsglobalservices.com</t>
  </si>
  <si>
    <t>info@onecert.com</t>
  </si>
  <si>
    <t>info@pro-cert.org</t>
  </si>
  <si>
    <t>dzuniga@eco-logica.com</t>
  </si>
  <si>
    <t>cda.organic@state.co.us</t>
  </si>
  <si>
    <t>certimex@certimexsc.com</t>
  </si>
  <si>
    <t>organic.certification@maryland.gov</t>
  </si>
  <si>
    <t>Americert@americertorganic.info</t>
  </si>
  <si>
    <t>gideon.rector@yolocounty.gov</t>
  </si>
  <si>
    <t>central@biolatina.com</t>
  </si>
  <si>
    <t>organic@ky.gov</t>
  </si>
  <si>
    <t>calidad@foodsafety.com.ar</t>
  </si>
  <si>
    <t>info@etko.com.tr</t>
  </si>
  <si>
    <t>organic@clemson.edu</t>
  </si>
  <si>
    <t>pjrfsi@pjrfsi.com</t>
  </si>
  <si>
    <t>info@ecoglobe.com</t>
  </si>
  <si>
    <t>OKOrganic@ag.ok.gov</t>
  </si>
  <si>
    <t>Operation ID</t>
  </si>
  <si>
    <t>NOP's 10-digit unique ID for operation.  First 3 numbers are Certifier ID; last 7 numbers are assigned by the Certifier.</t>
  </si>
  <si>
    <t>2230010764</t>
  </si>
  <si>
    <t>2230004462</t>
  </si>
  <si>
    <t>2170421051</t>
  </si>
  <si>
    <t>1461096508</t>
  </si>
  <si>
    <t>6220007611</t>
  </si>
  <si>
    <t>2202404600</t>
  </si>
  <si>
    <t>1780843401</t>
  </si>
  <si>
    <t>9092119511</t>
  </si>
  <si>
    <t>8150000742</t>
  </si>
  <si>
    <t>8150024957</t>
  </si>
  <si>
    <t>1780858202</t>
  </si>
  <si>
    <t>4920001243</t>
  </si>
  <si>
    <t>8431200381</t>
  </si>
  <si>
    <t>3510384649</t>
  </si>
  <si>
    <t>2230011635</t>
  </si>
  <si>
    <t>8240032816</t>
  </si>
  <si>
    <t>3928971749</t>
  </si>
  <si>
    <t>8210003417</t>
  </si>
  <si>
    <t>4082745684</t>
  </si>
  <si>
    <t>5561002416</t>
  </si>
  <si>
    <t>5561008393</t>
  </si>
  <si>
    <t>5870000548</t>
  </si>
  <si>
    <t>9950014032</t>
  </si>
  <si>
    <t>3950000328</t>
  </si>
  <si>
    <t>5561004499</t>
  </si>
  <si>
    <t>8150001567</t>
  </si>
  <si>
    <t>5500006397</t>
  </si>
  <si>
    <t>4212024015</t>
  </si>
  <si>
    <t>4920004481</t>
  </si>
  <si>
    <t>6365584915</t>
  </si>
  <si>
    <t>8150001302</t>
  </si>
  <si>
    <t>8150025765</t>
  </si>
  <si>
    <t>3928972335</t>
  </si>
  <si>
    <t>1780896534</t>
  </si>
  <si>
    <t>4920006092</t>
  </si>
  <si>
    <t>9092200401</t>
  </si>
  <si>
    <t>8210001017</t>
  </si>
  <si>
    <t>4920001246</t>
  </si>
  <si>
    <t>4797132700</t>
  </si>
  <si>
    <t>7880096190</t>
  </si>
  <si>
    <t>8150001155</t>
  </si>
  <si>
    <t>4080208759</t>
  </si>
  <si>
    <t>6250032646</t>
  </si>
  <si>
    <t>1780831077</t>
  </si>
  <si>
    <t>6250042013</t>
  </si>
  <si>
    <t>5500007268</t>
  </si>
  <si>
    <t>1780898964</t>
  </si>
  <si>
    <t>3532021087</t>
  </si>
  <si>
    <t>4791502970</t>
  </si>
  <si>
    <t>1780832494</t>
  </si>
  <si>
    <t>4920007194</t>
  </si>
  <si>
    <t>7880255357</t>
  </si>
  <si>
    <t>1780812626</t>
  </si>
  <si>
    <t>1780859895</t>
  </si>
  <si>
    <t>4920002771</t>
  </si>
  <si>
    <t>4080208537</t>
  </si>
  <si>
    <t>2230009236</t>
  </si>
  <si>
    <t>4087184624</t>
  </si>
  <si>
    <t>5500006285</t>
  </si>
  <si>
    <t>1780858793</t>
  </si>
  <si>
    <t>5561001881</t>
  </si>
  <si>
    <t>8431801431</t>
  </si>
  <si>
    <t>1780820138</t>
  </si>
  <si>
    <t>4083800001</t>
  </si>
  <si>
    <t>4080206867</t>
  </si>
  <si>
    <t>4797128400</t>
  </si>
  <si>
    <t>4080206111</t>
  </si>
  <si>
    <t>4797128500</t>
  </si>
  <si>
    <t>7880239117</t>
  </si>
  <si>
    <t>8240101622</t>
  </si>
  <si>
    <t>8830000379</t>
  </si>
  <si>
    <t>3670300004</t>
  </si>
  <si>
    <t>5520030101</t>
  </si>
  <si>
    <t>4795695513</t>
  </si>
  <si>
    <t>5380000751</t>
  </si>
  <si>
    <t>7270001747</t>
  </si>
  <si>
    <t>7170240769</t>
  </si>
  <si>
    <t>5561006218</t>
  </si>
  <si>
    <t>0009832355</t>
  </si>
  <si>
    <t>2230003587</t>
  </si>
  <si>
    <t>7880303786</t>
  </si>
  <si>
    <t>5500006967</t>
  </si>
  <si>
    <t>1780897231</t>
  </si>
  <si>
    <t>5561001140</t>
  </si>
  <si>
    <t>9958602679</t>
  </si>
  <si>
    <t>9950002679</t>
  </si>
  <si>
    <t>2202006000</t>
  </si>
  <si>
    <t>1581070416</t>
  </si>
  <si>
    <t>5520750906</t>
  </si>
  <si>
    <t>5500004803</t>
  </si>
  <si>
    <t>9470000371</t>
  </si>
  <si>
    <t>1600002865</t>
  </si>
  <si>
    <t>5520029835</t>
  </si>
  <si>
    <t>1780833845</t>
  </si>
  <si>
    <t>4920006074</t>
  </si>
  <si>
    <t>4920005997</t>
  </si>
  <si>
    <t>4920005873</t>
  </si>
  <si>
    <t>4920005872</t>
  </si>
  <si>
    <t>1780886201</t>
  </si>
  <si>
    <t>1560010620</t>
  </si>
  <si>
    <t>1780835346</t>
  </si>
  <si>
    <t>6400011784</t>
  </si>
  <si>
    <t>1780812233</t>
  </si>
  <si>
    <t>4920004407</t>
  </si>
  <si>
    <t>8240101723</t>
  </si>
  <si>
    <t>9092016101</t>
  </si>
  <si>
    <t>5870002072</t>
  </si>
  <si>
    <t>5561005622</t>
  </si>
  <si>
    <t>8240102015</t>
  </si>
  <si>
    <t>8830000614</t>
  </si>
  <si>
    <t>5561002491</t>
  </si>
  <si>
    <t>3671300022</t>
  </si>
  <si>
    <t>4083800002</t>
  </si>
  <si>
    <t>4087185319</t>
  </si>
  <si>
    <t>5561007912</t>
  </si>
  <si>
    <t>7881530710</t>
  </si>
  <si>
    <t>4920005871</t>
  </si>
  <si>
    <t>4920006046</t>
  </si>
  <si>
    <t>4920006071</t>
  </si>
  <si>
    <t>4920005998</t>
  </si>
  <si>
    <t>4920006015</t>
  </si>
  <si>
    <t>4920005869</t>
  </si>
  <si>
    <t>4920006073</t>
  </si>
  <si>
    <t>4920006045</t>
  </si>
  <si>
    <t>4920006014</t>
  </si>
  <si>
    <t>5561006940</t>
  </si>
  <si>
    <t>7880072823</t>
  </si>
  <si>
    <t>4080206642</t>
  </si>
  <si>
    <t>5561001871</t>
  </si>
  <si>
    <t>9950013551</t>
  </si>
  <si>
    <t>2170041852</t>
  </si>
  <si>
    <t>3252024007</t>
  </si>
  <si>
    <t>6400012653</t>
  </si>
  <si>
    <t>6250040205</t>
  </si>
  <si>
    <t>4083862415</t>
  </si>
  <si>
    <t>1784388885</t>
  </si>
  <si>
    <t>2780003113</t>
  </si>
  <si>
    <t>2230010920</t>
  </si>
  <si>
    <t>9950012892</t>
  </si>
  <si>
    <t>6250028743</t>
  </si>
  <si>
    <t>3510808074</t>
  </si>
  <si>
    <t>9092325101</t>
  </si>
  <si>
    <t>8150001265</t>
  </si>
  <si>
    <t>1780889766</t>
  </si>
  <si>
    <t>4087186029</t>
  </si>
  <si>
    <t>5500007146</t>
  </si>
  <si>
    <t>5500007143</t>
  </si>
  <si>
    <t>1461021704</t>
  </si>
  <si>
    <t>8150003821</t>
  </si>
  <si>
    <t>5561002463</t>
  </si>
  <si>
    <t>8150017697</t>
  </si>
  <si>
    <t>9092120701</t>
  </si>
  <si>
    <t>8150000523</t>
  </si>
  <si>
    <t>7881191860</t>
  </si>
  <si>
    <t>5500004925</t>
  </si>
  <si>
    <t>0009833357</t>
  </si>
  <si>
    <t>1600000984</t>
  </si>
  <si>
    <t>5380000463</t>
  </si>
  <si>
    <t>1780867097</t>
  </si>
  <si>
    <t>7880207559</t>
  </si>
  <si>
    <t>4196950793</t>
  </si>
  <si>
    <t>6220005859</t>
  </si>
  <si>
    <t>9950011500</t>
  </si>
  <si>
    <t>9950013963</t>
  </si>
  <si>
    <t>3532121026</t>
  </si>
  <si>
    <t>4797059900</t>
  </si>
  <si>
    <t>2230011616</t>
  </si>
  <si>
    <t>8830000429</t>
  </si>
  <si>
    <t>2780002868</t>
  </si>
  <si>
    <t>1780893288</t>
  </si>
  <si>
    <t>4081095955</t>
  </si>
  <si>
    <t>1780869120</t>
  </si>
  <si>
    <t>1780896887</t>
  </si>
  <si>
    <t>4081065319</t>
  </si>
  <si>
    <t>1780886853</t>
  </si>
  <si>
    <t>3532022134</t>
  </si>
  <si>
    <t>1780893261</t>
  </si>
  <si>
    <t>3532021081</t>
  </si>
  <si>
    <t>5561005582</t>
  </si>
  <si>
    <t>2230009611</t>
  </si>
  <si>
    <t>2230009612</t>
  </si>
  <si>
    <t>7881796950</t>
  </si>
  <si>
    <t>5561002056</t>
  </si>
  <si>
    <t>5520804569</t>
  </si>
  <si>
    <t>5520250729</t>
  </si>
  <si>
    <t>1780859114</t>
  </si>
  <si>
    <t>5500006634</t>
  </si>
  <si>
    <t>5520055120</t>
  </si>
  <si>
    <t>7142071420</t>
  </si>
  <si>
    <t>3250200242</t>
  </si>
  <si>
    <t>3950000038</t>
  </si>
  <si>
    <t>5561005568</t>
  </si>
  <si>
    <t>6362252004</t>
  </si>
  <si>
    <t>1202829202</t>
  </si>
  <si>
    <t>4797103700</t>
  </si>
  <si>
    <t>1780848306</t>
  </si>
  <si>
    <t>8830001542</t>
  </si>
  <si>
    <t>3532022479</t>
  </si>
  <si>
    <t>4088226107</t>
  </si>
  <si>
    <t>8150000672</t>
  </si>
  <si>
    <t>8210009223</t>
  </si>
  <si>
    <t>4210011043</t>
  </si>
  <si>
    <t>6362932434</t>
  </si>
  <si>
    <t>6364987904</t>
  </si>
  <si>
    <t>6364494281</t>
  </si>
  <si>
    <t>7142074913</t>
  </si>
  <si>
    <t>3928971193</t>
  </si>
  <si>
    <t>2230008046</t>
  </si>
  <si>
    <t>2230007995</t>
  </si>
  <si>
    <t>8150024487</t>
  </si>
  <si>
    <t>8150024618</t>
  </si>
  <si>
    <t>8150024431</t>
  </si>
  <si>
    <t>5561006600</t>
  </si>
  <si>
    <t>8699694563</t>
  </si>
  <si>
    <t>7881390590</t>
  </si>
  <si>
    <t>2230009660</t>
  </si>
  <si>
    <t>5561001758</t>
  </si>
  <si>
    <t>0009833396</t>
  </si>
  <si>
    <t>8150001898</t>
  </si>
  <si>
    <t>0009833443</t>
  </si>
  <si>
    <t>5500001437</t>
  </si>
  <si>
    <t>5561007247</t>
  </si>
  <si>
    <t>4799058000</t>
  </si>
  <si>
    <t>3539866217</t>
  </si>
  <si>
    <t>5520030327</t>
  </si>
  <si>
    <t>9950009745</t>
  </si>
  <si>
    <t>8150000721</t>
  </si>
  <si>
    <t>8150003917</t>
  </si>
  <si>
    <t>1461843213</t>
  </si>
  <si>
    <t>5561002183</t>
  </si>
  <si>
    <t>8699694064</t>
  </si>
  <si>
    <t>5561002223</t>
  </si>
  <si>
    <t>1600001171</t>
  </si>
  <si>
    <t>8150000591</t>
  </si>
  <si>
    <t>2230011535</t>
  </si>
  <si>
    <t>2230011534</t>
  </si>
  <si>
    <t>7881351000</t>
  </si>
  <si>
    <t>4087185340</t>
  </si>
  <si>
    <t>4087184945</t>
  </si>
  <si>
    <t>4080800202</t>
  </si>
  <si>
    <t>4080208541</t>
  </si>
  <si>
    <t>5561001766</t>
  </si>
  <si>
    <t>9092123806</t>
  </si>
  <si>
    <t>5870107057</t>
  </si>
  <si>
    <t>9950004146</t>
  </si>
  <si>
    <t>6400010448</t>
  </si>
  <si>
    <t>5561001580</t>
  </si>
  <si>
    <t>3671300010</t>
  </si>
  <si>
    <t>8150001863</t>
  </si>
  <si>
    <t>5561002499</t>
  </si>
  <si>
    <t>5520031027</t>
  </si>
  <si>
    <t>5561001876</t>
  </si>
  <si>
    <t>5090311501</t>
  </si>
  <si>
    <t>4080207444</t>
  </si>
  <si>
    <t>2230010974</t>
  </si>
  <si>
    <t>4490004535</t>
  </si>
  <si>
    <t>6366916599</t>
  </si>
  <si>
    <t>8150001368</t>
  </si>
  <si>
    <t>8431200379</t>
  </si>
  <si>
    <t>5561008338</t>
  </si>
  <si>
    <t>5520472891</t>
  </si>
  <si>
    <t>5520265702</t>
  </si>
  <si>
    <t>5520349816</t>
  </si>
  <si>
    <t>5520346706</t>
  </si>
  <si>
    <t>5520686299</t>
  </si>
  <si>
    <t>7880288021</t>
  </si>
  <si>
    <t>1780869623</t>
  </si>
  <si>
    <t>4087186114</t>
  </si>
  <si>
    <t>6400011874</t>
  </si>
  <si>
    <t>5380000603</t>
  </si>
  <si>
    <t>1201977300</t>
  </si>
  <si>
    <t>8150011782</t>
  </si>
  <si>
    <t>4080208261</t>
  </si>
  <si>
    <t>4080204101</t>
  </si>
  <si>
    <t>5400000456</t>
  </si>
  <si>
    <t>2230006164</t>
  </si>
  <si>
    <t>7880262869</t>
  </si>
  <si>
    <t>5380000149</t>
  </si>
  <si>
    <t>2230001985</t>
  </si>
  <si>
    <t>1780874592</t>
  </si>
  <si>
    <t>8699694110</t>
  </si>
  <si>
    <t>3950001178</t>
  </si>
  <si>
    <t>5520809306</t>
  </si>
  <si>
    <t>7142074694</t>
  </si>
  <si>
    <t>9950012335</t>
  </si>
  <si>
    <t>5561005617</t>
  </si>
  <si>
    <t>7142074353</t>
  </si>
  <si>
    <t>5520519046</t>
  </si>
  <si>
    <t>8150022876</t>
  </si>
  <si>
    <t>5520048501</t>
  </si>
  <si>
    <t>3950001229</t>
  </si>
  <si>
    <t>0009832752</t>
  </si>
  <si>
    <t>0009832751</t>
  </si>
  <si>
    <t>1780854341</t>
  </si>
  <si>
    <t>6250035856</t>
  </si>
  <si>
    <t>3672400058</t>
  </si>
  <si>
    <t>2780001061</t>
  </si>
  <si>
    <t>3928971888</t>
  </si>
  <si>
    <t>5400000177</t>
  </si>
  <si>
    <t>5520030638</t>
  </si>
  <si>
    <t>5520450031</t>
  </si>
  <si>
    <t>8241000107</t>
  </si>
  <si>
    <t>7885098800</t>
  </si>
  <si>
    <t>8241000106</t>
  </si>
  <si>
    <t>8150025455</t>
  </si>
  <si>
    <t>8431801578</t>
  </si>
  <si>
    <t>8150002077</t>
  </si>
  <si>
    <t>9950013686</t>
  </si>
  <si>
    <t>9092135601</t>
  </si>
  <si>
    <t>5350000348</t>
  </si>
  <si>
    <t>9950006090</t>
  </si>
  <si>
    <t>8150000279</t>
  </si>
  <si>
    <t>8150001399</t>
  </si>
  <si>
    <t>5520030957</t>
  </si>
  <si>
    <t>2580003700</t>
  </si>
  <si>
    <t>6431146100</t>
  </si>
  <si>
    <t>3510604184</t>
  </si>
  <si>
    <t>9950000901</t>
  </si>
  <si>
    <t>5561001943</t>
  </si>
  <si>
    <t>8690009380</t>
  </si>
  <si>
    <t>5500006371</t>
  </si>
  <si>
    <t>3928972492</t>
  </si>
  <si>
    <t>7889010100</t>
  </si>
  <si>
    <t>5500007437</t>
  </si>
  <si>
    <t>5500005606</t>
  </si>
  <si>
    <t>4087184061</t>
  </si>
  <si>
    <t>3928971898</t>
  </si>
  <si>
    <t>8150001736</t>
  </si>
  <si>
    <t>1600001726</t>
  </si>
  <si>
    <t>5561000083</t>
  </si>
  <si>
    <t>1202664300</t>
  </si>
  <si>
    <t>5520815663</t>
  </si>
  <si>
    <t>3671800009</t>
  </si>
  <si>
    <t>5090312401</t>
  </si>
  <si>
    <t>2580000003</t>
  </si>
  <si>
    <t>5151075796</t>
  </si>
  <si>
    <t>2230006338</t>
  </si>
  <si>
    <t>2230004003</t>
  </si>
  <si>
    <t>5520031590</t>
  </si>
  <si>
    <t>2580006816</t>
  </si>
  <si>
    <t>5561008452</t>
  </si>
  <si>
    <t>5561002280</t>
  </si>
  <si>
    <t>5561004812</t>
  </si>
  <si>
    <t>5870106672</t>
  </si>
  <si>
    <t>5500002030</t>
  </si>
  <si>
    <t>8150000160</t>
  </si>
  <si>
    <t>1780888500</t>
  </si>
  <si>
    <t>5561006833</t>
  </si>
  <si>
    <t>3670300001</t>
  </si>
  <si>
    <t>5520257820</t>
  </si>
  <si>
    <t>8150020651</t>
  </si>
  <si>
    <t>5520318712</t>
  </si>
  <si>
    <t>2780003438</t>
  </si>
  <si>
    <t>2580000283</t>
  </si>
  <si>
    <t>8210009251</t>
  </si>
  <si>
    <t>5500005332</t>
  </si>
  <si>
    <t>9092201906</t>
  </si>
  <si>
    <t>7880266980</t>
  </si>
  <si>
    <t>8150000733</t>
  </si>
  <si>
    <t>8150001179</t>
  </si>
  <si>
    <t>9950000812</t>
  </si>
  <si>
    <t>7270000943</t>
  </si>
  <si>
    <t>5500005729</t>
  </si>
  <si>
    <t>7880176345</t>
  </si>
  <si>
    <t>3252007042</t>
  </si>
  <si>
    <t>5400015058</t>
  </si>
  <si>
    <t>5520030416</t>
  </si>
  <si>
    <t>7880287761</t>
  </si>
  <si>
    <t>1780853200</t>
  </si>
  <si>
    <t>4087185594</t>
  </si>
  <si>
    <t>9092412301</t>
  </si>
  <si>
    <t>5090310121</t>
  </si>
  <si>
    <t>5090310431</t>
  </si>
  <si>
    <t>5090310311</t>
  </si>
  <si>
    <t>5561001760</t>
  </si>
  <si>
    <t>7880179918</t>
  </si>
  <si>
    <t>2580006635</t>
  </si>
  <si>
    <t>2580006475</t>
  </si>
  <si>
    <t>2580003958</t>
  </si>
  <si>
    <t>5561002152</t>
  </si>
  <si>
    <t>5561003037</t>
  </si>
  <si>
    <t>3532016204</t>
  </si>
  <si>
    <t>4087186150</t>
  </si>
  <si>
    <t>8150017069</t>
  </si>
  <si>
    <t>1780848358</t>
  </si>
  <si>
    <t>1780864627</t>
  </si>
  <si>
    <t>5870107396</t>
  </si>
  <si>
    <t>3928972398</t>
  </si>
  <si>
    <t>1780886194</t>
  </si>
  <si>
    <t>9954100812</t>
  </si>
  <si>
    <t>5561001513</t>
  </si>
  <si>
    <t>1780855207</t>
  </si>
  <si>
    <t>4210099161</t>
  </si>
  <si>
    <t>2230004825</t>
  </si>
  <si>
    <t>2233011461</t>
  </si>
  <si>
    <t>2230005058</t>
  </si>
  <si>
    <t>2230011461</t>
  </si>
  <si>
    <t>2230009659</t>
  </si>
  <si>
    <t>2230010416</t>
  </si>
  <si>
    <t>9092128104</t>
  </si>
  <si>
    <t>4087185365</t>
  </si>
  <si>
    <t>3950001302</t>
  </si>
  <si>
    <t>2230007999</t>
  </si>
  <si>
    <t>2230008782</t>
  </si>
  <si>
    <t>2230011866</t>
  </si>
  <si>
    <t>2580003568</t>
  </si>
  <si>
    <t>2780002834</t>
  </si>
  <si>
    <t>7170230627</t>
  </si>
  <si>
    <t>8150000303</t>
  </si>
  <si>
    <t>5870107423</t>
  </si>
  <si>
    <t>5870107233</t>
  </si>
  <si>
    <t>4198305027</t>
  </si>
  <si>
    <t>2580000470</t>
  </si>
  <si>
    <t>8830001768</t>
  </si>
  <si>
    <t>1780869397</t>
  </si>
  <si>
    <t>3252017107</t>
  </si>
  <si>
    <t>1460029742</t>
  </si>
  <si>
    <t>9950013948</t>
  </si>
  <si>
    <t>6356189503</t>
  </si>
  <si>
    <t>1780819368</t>
  </si>
  <si>
    <t>1461928283</t>
  </si>
  <si>
    <t>9092218607</t>
  </si>
  <si>
    <t>6400010199</t>
  </si>
  <si>
    <t>4087184735</t>
  </si>
  <si>
    <t>7281691961</t>
  </si>
  <si>
    <t>7281691051</t>
  </si>
  <si>
    <t>8210001350</t>
  </si>
  <si>
    <t>5870107283</t>
  </si>
  <si>
    <t>4080207518</t>
  </si>
  <si>
    <t>5500006901</t>
  </si>
  <si>
    <t>6250031960</t>
  </si>
  <si>
    <t>4082579926</t>
  </si>
  <si>
    <t>8241000169</t>
  </si>
  <si>
    <t>6250039694</t>
  </si>
  <si>
    <t>6250041650</t>
  </si>
  <si>
    <t>3928972447</t>
  </si>
  <si>
    <t>4920005596</t>
  </si>
  <si>
    <t>3252580648</t>
  </si>
  <si>
    <t>2780020724</t>
  </si>
  <si>
    <t>7880298374</t>
  </si>
  <si>
    <t>6400106968</t>
  </si>
  <si>
    <t>1780832821</t>
  </si>
  <si>
    <t>2230010372</t>
  </si>
  <si>
    <t>3532017080</t>
  </si>
  <si>
    <t>3928050004</t>
  </si>
  <si>
    <t>3928972116</t>
  </si>
  <si>
    <t>3921675002</t>
  </si>
  <si>
    <t>4080208484</t>
  </si>
  <si>
    <t>5561006129</t>
  </si>
  <si>
    <t>5561007158</t>
  </si>
  <si>
    <t>6400000198</t>
  </si>
  <si>
    <t>1200424600</t>
  </si>
  <si>
    <t>1582030623</t>
  </si>
  <si>
    <t>3928972508</t>
  </si>
  <si>
    <t>8150019013</t>
  </si>
  <si>
    <t>3928972251</t>
  </si>
  <si>
    <t>5561005803</t>
  </si>
  <si>
    <t>2780003723</t>
  </si>
  <si>
    <t>7880300365</t>
  </si>
  <si>
    <t>1780813560</t>
  </si>
  <si>
    <t>1460029743</t>
  </si>
  <si>
    <t>6220004971</t>
  </si>
  <si>
    <t>6780000231</t>
  </si>
  <si>
    <t>8150000821</t>
  </si>
  <si>
    <t>5520029825</t>
  </si>
  <si>
    <t>8150001357</t>
  </si>
  <si>
    <t>4080207935</t>
  </si>
  <si>
    <t>5561006761</t>
  </si>
  <si>
    <t>7142071538</t>
  </si>
  <si>
    <t>4080207535</t>
  </si>
  <si>
    <t>5561006200</t>
  </si>
  <si>
    <t>8830000533</t>
  </si>
  <si>
    <t>2580006341</t>
  </si>
  <si>
    <t>7880258259</t>
  </si>
  <si>
    <t>6220004979</t>
  </si>
  <si>
    <t>3950000087</t>
  </si>
  <si>
    <t>1780854120</t>
  </si>
  <si>
    <t>8699694117</t>
  </si>
  <si>
    <t>5520771444</t>
  </si>
  <si>
    <t>5350000389</t>
  </si>
  <si>
    <t>0009833442</t>
  </si>
  <si>
    <t>5350000374</t>
  </si>
  <si>
    <t>5350000382</t>
  </si>
  <si>
    <t>5561002357</t>
  </si>
  <si>
    <t>1780871502</t>
  </si>
  <si>
    <t>8830000526</t>
  </si>
  <si>
    <t>2580003759</t>
  </si>
  <si>
    <t>5520052195</t>
  </si>
  <si>
    <t>8210003947</t>
  </si>
  <si>
    <t>2230010191</t>
  </si>
  <si>
    <t>2230006491</t>
  </si>
  <si>
    <t>2230011547</t>
  </si>
  <si>
    <t>2230007239</t>
  </si>
  <si>
    <t>2230008083</t>
  </si>
  <si>
    <t>2230011481</t>
  </si>
  <si>
    <t>2230009716</t>
  </si>
  <si>
    <t>2230008039</t>
  </si>
  <si>
    <t>2230012047</t>
  </si>
  <si>
    <t>2230003894</t>
  </si>
  <si>
    <t>2230009274</t>
  </si>
  <si>
    <t>2230005740</t>
  </si>
  <si>
    <t>2230008296</t>
  </si>
  <si>
    <t>2230007071</t>
  </si>
  <si>
    <t>1203840500</t>
  </si>
  <si>
    <t>3950001195</t>
  </si>
  <si>
    <t>2230002077</t>
  </si>
  <si>
    <t>2230004093</t>
  </si>
  <si>
    <t>2230011155</t>
  </si>
  <si>
    <t>1202712102</t>
  </si>
  <si>
    <t>1202712104</t>
  </si>
  <si>
    <t>4080200591</t>
  </si>
  <si>
    <t>2230005345</t>
  </si>
  <si>
    <t>2230007352</t>
  </si>
  <si>
    <t>2230009580</t>
  </si>
  <si>
    <t>2230009581</t>
  </si>
  <si>
    <t>3950001301</t>
  </si>
  <si>
    <t>2230006906</t>
  </si>
  <si>
    <t>2230009709</t>
  </si>
  <si>
    <t>7880287424</t>
  </si>
  <si>
    <t>2230008032</t>
  </si>
  <si>
    <t>2230011590</t>
  </si>
  <si>
    <t>2230011178</t>
  </si>
  <si>
    <t>2230011179</t>
  </si>
  <si>
    <t>7882250400</t>
  </si>
  <si>
    <t>2230008042</t>
  </si>
  <si>
    <t>2230010674</t>
  </si>
  <si>
    <t>2230005181</t>
  </si>
  <si>
    <t>1201984900</t>
  </si>
  <si>
    <t>2230008034</t>
  </si>
  <si>
    <t>2230005371</t>
  </si>
  <si>
    <t>2230009891</t>
  </si>
  <si>
    <t>2230008048</t>
  </si>
  <si>
    <t>2230006604</t>
  </si>
  <si>
    <t>2230010718</t>
  </si>
  <si>
    <t>2230009644</t>
  </si>
  <si>
    <t>2230009662</t>
  </si>
  <si>
    <t>7886806000</t>
  </si>
  <si>
    <t>1200647103</t>
  </si>
  <si>
    <t>2230009609</t>
  </si>
  <si>
    <t>2230009369</t>
  </si>
  <si>
    <t>2230009296</t>
  </si>
  <si>
    <t>4080208091</t>
  </si>
  <si>
    <t>2230010778</t>
  </si>
  <si>
    <t>2230010419</t>
  </si>
  <si>
    <t>2230009524</t>
  </si>
  <si>
    <t>2230010429</t>
  </si>
  <si>
    <t>1202103510</t>
  </si>
  <si>
    <t>2230008125</t>
  </si>
  <si>
    <t>5520178554</t>
  </si>
  <si>
    <t>7270001287</t>
  </si>
  <si>
    <t>5561002566</t>
  </si>
  <si>
    <t>2580006692</t>
  </si>
  <si>
    <t>2580001199</t>
  </si>
  <si>
    <t>1600002911</t>
  </si>
  <si>
    <t>1600003828</t>
  </si>
  <si>
    <t>2580003690</t>
  </si>
  <si>
    <t>8210008038</t>
  </si>
  <si>
    <t>5561000107</t>
  </si>
  <si>
    <t>2580003533</t>
  </si>
  <si>
    <t>2230010784</t>
  </si>
  <si>
    <t>2230009725</t>
  </si>
  <si>
    <t>8699694385</t>
  </si>
  <si>
    <t>7880188981</t>
  </si>
  <si>
    <t>5520391746</t>
  </si>
  <si>
    <t>8150018397</t>
  </si>
  <si>
    <t>2580001348</t>
  </si>
  <si>
    <t>9950011712</t>
  </si>
  <si>
    <t>8432001828</t>
  </si>
  <si>
    <t>1600002128</t>
  </si>
  <si>
    <t>1780861233</t>
  </si>
  <si>
    <t>8210001399</t>
  </si>
  <si>
    <t>5561007221</t>
  </si>
  <si>
    <t>1581102715</t>
  </si>
  <si>
    <t>9950010459</t>
  </si>
  <si>
    <t>1780858928</t>
  </si>
  <si>
    <t>3252016063</t>
  </si>
  <si>
    <t>5870001029</t>
  </si>
  <si>
    <t>5870001030</t>
  </si>
  <si>
    <t>5870001031</t>
  </si>
  <si>
    <t>5870001026</t>
  </si>
  <si>
    <t>5870001027</t>
  </si>
  <si>
    <t>5870001021</t>
  </si>
  <si>
    <t>5870001022</t>
  </si>
  <si>
    <t>5870001023</t>
  </si>
  <si>
    <t>1600001786</t>
  </si>
  <si>
    <t>6780000033</t>
  </si>
  <si>
    <t>2780002762</t>
  </si>
  <si>
    <t>6240025040</t>
  </si>
  <si>
    <t>5500006325</t>
  </si>
  <si>
    <t>5561001664</t>
  </si>
  <si>
    <t>5561008081</t>
  </si>
  <si>
    <t>3532023666</t>
  </si>
  <si>
    <t>3532020137</t>
  </si>
  <si>
    <t>2230010971</t>
  </si>
  <si>
    <t>4080800264</t>
  </si>
  <si>
    <t>3928972505</t>
  </si>
  <si>
    <t>6432117240</t>
  </si>
  <si>
    <t>8150000788</t>
  </si>
  <si>
    <t>4080208358</t>
  </si>
  <si>
    <t>5561000758</t>
  </si>
  <si>
    <t>8830000006</t>
  </si>
  <si>
    <t>8150001013</t>
  </si>
  <si>
    <t>8150025811</t>
  </si>
  <si>
    <t>4920006036</t>
  </si>
  <si>
    <t>5561001920</t>
  </si>
  <si>
    <t>1780895850</t>
  </si>
  <si>
    <t>3928971011</t>
  </si>
  <si>
    <t>3928972499</t>
  </si>
  <si>
    <t>1600002079</t>
  </si>
  <si>
    <t>5500005395</t>
  </si>
  <si>
    <t>5561001682</t>
  </si>
  <si>
    <t>5520834118</t>
  </si>
  <si>
    <t>1564562000</t>
  </si>
  <si>
    <t>2580002586</t>
  </si>
  <si>
    <t>2580001305</t>
  </si>
  <si>
    <t>5561000502</t>
  </si>
  <si>
    <t>9092117201</t>
  </si>
  <si>
    <t>3928972402</t>
  </si>
  <si>
    <t>9950004514</t>
  </si>
  <si>
    <t>8150016974</t>
  </si>
  <si>
    <t>5870002307</t>
  </si>
  <si>
    <t>4920005478</t>
  </si>
  <si>
    <t>3670000012</t>
  </si>
  <si>
    <t>9950011011</t>
  </si>
  <si>
    <t>2580004193</t>
  </si>
  <si>
    <t>2230010998</t>
  </si>
  <si>
    <t>2230010976</t>
  </si>
  <si>
    <t>1600003796</t>
  </si>
  <si>
    <t>2230007270</t>
  </si>
  <si>
    <t>7281690762</t>
  </si>
  <si>
    <t>8150001581</t>
  </si>
  <si>
    <t>5520286885</t>
  </si>
  <si>
    <t>1600003731</t>
  </si>
  <si>
    <t>5520250478</t>
  </si>
  <si>
    <t>5090311941</t>
  </si>
  <si>
    <t>5561006685</t>
  </si>
  <si>
    <t>5400000623</t>
  </si>
  <si>
    <t>5870000809</t>
  </si>
  <si>
    <t>7270001187</t>
  </si>
  <si>
    <t>2780002141</t>
  </si>
  <si>
    <t>5870001178</t>
  </si>
  <si>
    <t>9950011218</t>
  </si>
  <si>
    <t>4080207880</t>
  </si>
  <si>
    <t>2780003256</t>
  </si>
  <si>
    <t>3532121030</t>
  </si>
  <si>
    <t>4920004701</t>
  </si>
  <si>
    <t>7880275023</t>
  </si>
  <si>
    <t>6361008406</t>
  </si>
  <si>
    <t>0009833418</t>
  </si>
  <si>
    <t>8830000391</t>
  </si>
  <si>
    <t>8830000657</t>
  </si>
  <si>
    <t>8830000658</t>
  </si>
  <si>
    <t>6220009166</t>
  </si>
  <si>
    <t>3672300002</t>
  </si>
  <si>
    <t>3250200338</t>
  </si>
  <si>
    <t>5561002148</t>
  </si>
  <si>
    <t>4080206796</t>
  </si>
  <si>
    <t>5380000670</t>
  </si>
  <si>
    <t>5561004710</t>
  </si>
  <si>
    <t>9950010608</t>
  </si>
  <si>
    <t>7880167663</t>
  </si>
  <si>
    <t>5561008448</t>
  </si>
  <si>
    <t>8150014772</t>
  </si>
  <si>
    <t>6350000281</t>
  </si>
  <si>
    <t>4080400021</t>
  </si>
  <si>
    <t>4083800005</t>
  </si>
  <si>
    <t>4087186412</t>
  </si>
  <si>
    <t>1780867858</t>
  </si>
  <si>
    <t>8150000091</t>
  </si>
  <si>
    <t>4210019106</t>
  </si>
  <si>
    <t>5520164034</t>
  </si>
  <si>
    <t>6250042172</t>
  </si>
  <si>
    <t>4087184095</t>
  </si>
  <si>
    <t>7880292195</t>
  </si>
  <si>
    <t>7881904000</t>
  </si>
  <si>
    <t>5561002474</t>
  </si>
  <si>
    <t>2170032112</t>
  </si>
  <si>
    <t>7880186635</t>
  </si>
  <si>
    <t>5500006613</t>
  </si>
  <si>
    <t>5561008170</t>
  </si>
  <si>
    <t>3950001170</t>
  </si>
  <si>
    <t>1203646000</t>
  </si>
  <si>
    <t>1780906820</t>
  </si>
  <si>
    <t>1780847846</t>
  </si>
  <si>
    <t>3950001309</t>
  </si>
  <si>
    <t>1600001589</t>
  </si>
  <si>
    <t>6430817200</t>
  </si>
  <si>
    <t>3536509238</t>
  </si>
  <si>
    <t>3920897802</t>
  </si>
  <si>
    <t>4087185020</t>
  </si>
  <si>
    <t>3510741908</t>
  </si>
  <si>
    <t>6432830000</t>
  </si>
  <si>
    <t>6436313632</t>
  </si>
  <si>
    <t>7142077916</t>
  </si>
  <si>
    <t>5520031151</t>
  </si>
  <si>
    <t>3670200002</t>
  </si>
  <si>
    <t>5561001658</t>
  </si>
  <si>
    <t>5561008122</t>
  </si>
  <si>
    <t>3252011045</t>
  </si>
  <si>
    <t>2580002256</t>
  </si>
  <si>
    <t>4931056161</t>
  </si>
  <si>
    <t>5561004125</t>
  </si>
  <si>
    <t>2230010411</t>
  </si>
  <si>
    <t>3921208003</t>
  </si>
  <si>
    <t>3921208001</t>
  </si>
  <si>
    <t>2230004657</t>
  </si>
  <si>
    <t>2230011256</t>
  </si>
  <si>
    <t>5561005822</t>
  </si>
  <si>
    <t>3920897500</t>
  </si>
  <si>
    <t>1780834753</t>
  </si>
  <si>
    <t>1780881284</t>
  </si>
  <si>
    <t>2780001470</t>
  </si>
  <si>
    <t>5520510154</t>
  </si>
  <si>
    <t>4080206899</t>
  </si>
  <si>
    <t>1600003505</t>
  </si>
  <si>
    <t>2580006714</t>
  </si>
  <si>
    <t>4920002656</t>
  </si>
  <si>
    <t>7887126200</t>
  </si>
  <si>
    <t>4080400024</t>
  </si>
  <si>
    <t>5520366567</t>
  </si>
  <si>
    <t>5520676043</t>
  </si>
  <si>
    <t>5520763954</t>
  </si>
  <si>
    <t>5561004661</t>
  </si>
  <si>
    <t>4080208041</t>
  </si>
  <si>
    <t>2230010434</t>
  </si>
  <si>
    <t>7880285316</t>
  </si>
  <si>
    <t>5520031240</t>
  </si>
  <si>
    <t>1780879739</t>
  </si>
  <si>
    <t>4920004408</t>
  </si>
  <si>
    <t>4087184110</t>
  </si>
  <si>
    <t>8241000090</t>
  </si>
  <si>
    <t>9092125003</t>
  </si>
  <si>
    <t>8241000097</t>
  </si>
  <si>
    <t>8210001608</t>
  </si>
  <si>
    <t>8830000684</t>
  </si>
  <si>
    <t>8150001102</t>
  </si>
  <si>
    <t>2201700800</t>
  </si>
  <si>
    <t>4210013042</t>
  </si>
  <si>
    <t>6220006018</t>
  </si>
  <si>
    <t>8150000850</t>
  </si>
  <si>
    <t>6220006700</t>
  </si>
  <si>
    <t>5561005070</t>
  </si>
  <si>
    <t>5561007136</t>
  </si>
  <si>
    <t>5561004525</t>
  </si>
  <si>
    <t>3671600152</t>
  </si>
  <si>
    <t>8150000346</t>
  </si>
  <si>
    <t>5561001738</t>
  </si>
  <si>
    <t>5561001737</t>
  </si>
  <si>
    <t>1780845529</t>
  </si>
  <si>
    <t>4087186315</t>
  </si>
  <si>
    <t>4080200622</t>
  </si>
  <si>
    <t>2230006876</t>
  </si>
  <si>
    <t>5561003058</t>
  </si>
  <si>
    <t>2580006817</t>
  </si>
  <si>
    <t>2780000419</t>
  </si>
  <si>
    <t>5870106434</t>
  </si>
  <si>
    <t>6363418911</t>
  </si>
  <si>
    <t>1780812113</t>
  </si>
  <si>
    <t>5500007296</t>
  </si>
  <si>
    <t>5500007377</t>
  </si>
  <si>
    <t>5500006181</t>
  </si>
  <si>
    <t>8241000047</t>
  </si>
  <si>
    <t>3532099544</t>
  </si>
  <si>
    <t>4920005447</t>
  </si>
  <si>
    <t>2230011755</t>
  </si>
  <si>
    <t>2230011773</t>
  </si>
  <si>
    <t>7880208621</t>
  </si>
  <si>
    <t>4080800358</t>
  </si>
  <si>
    <t>8210005391</t>
  </si>
  <si>
    <t>5561001985</t>
  </si>
  <si>
    <t>1780878145</t>
  </si>
  <si>
    <t>1780844634</t>
  </si>
  <si>
    <t>3250200646</t>
  </si>
  <si>
    <t>6400010164</t>
  </si>
  <si>
    <t>5520327160</t>
  </si>
  <si>
    <t>4087184639</t>
  </si>
  <si>
    <t>8150000355</t>
  </si>
  <si>
    <t>5520029986</t>
  </si>
  <si>
    <t>4087185755</t>
  </si>
  <si>
    <t>2230011867</t>
  </si>
  <si>
    <t>2580006510</t>
  </si>
  <si>
    <t>5561002323</t>
  </si>
  <si>
    <t>8150000645</t>
  </si>
  <si>
    <t>2780003491</t>
  </si>
  <si>
    <t>3252008044</t>
  </si>
  <si>
    <t>9950010946</t>
  </si>
  <si>
    <t>5561005524</t>
  </si>
  <si>
    <t>8150000930</t>
  </si>
  <si>
    <t>4797114800</t>
  </si>
  <si>
    <t>5561007916</t>
  </si>
  <si>
    <t>9092231301</t>
  </si>
  <si>
    <t>5520030617</t>
  </si>
  <si>
    <t>5520373042</t>
  </si>
  <si>
    <t>5520373048</t>
  </si>
  <si>
    <t>2230008873</t>
  </si>
  <si>
    <t>2230007228</t>
  </si>
  <si>
    <t>5870000012</t>
  </si>
  <si>
    <t>7845880235</t>
  </si>
  <si>
    <t>4792982524</t>
  </si>
  <si>
    <t>5561008527</t>
  </si>
  <si>
    <t>8240030223</t>
  </si>
  <si>
    <t>3671055274</t>
  </si>
  <si>
    <t>3671500004</t>
  </si>
  <si>
    <t>5520760844</t>
  </si>
  <si>
    <t>1780869342</t>
  </si>
  <si>
    <t>5520130742</t>
  </si>
  <si>
    <t>2580000624</t>
  </si>
  <si>
    <t>5500004905</t>
  </si>
  <si>
    <t>8699694559</t>
  </si>
  <si>
    <t>6220007728</t>
  </si>
  <si>
    <t>5520755180</t>
  </si>
  <si>
    <t>1780881797</t>
  </si>
  <si>
    <t>8150000104</t>
  </si>
  <si>
    <t>6350000319</t>
  </si>
  <si>
    <t>5870002624</t>
  </si>
  <si>
    <t>6350000519</t>
  </si>
  <si>
    <t>6350000025</t>
  </si>
  <si>
    <t>7880185130</t>
  </si>
  <si>
    <t>2230010587</t>
  </si>
  <si>
    <t>2230010588</t>
  </si>
  <si>
    <t>4087185601</t>
  </si>
  <si>
    <t>8150013900</t>
  </si>
  <si>
    <t>2230011316</t>
  </si>
  <si>
    <t>5561007594</t>
  </si>
  <si>
    <t>2580004209</t>
  </si>
  <si>
    <t>6350000491</t>
  </si>
  <si>
    <t>5870001150</t>
  </si>
  <si>
    <t>7880242243</t>
  </si>
  <si>
    <t>7880009702</t>
  </si>
  <si>
    <t>1600002037</t>
  </si>
  <si>
    <t>8150013107</t>
  </si>
  <si>
    <t>8150011814</t>
  </si>
  <si>
    <t>8150000803</t>
  </si>
  <si>
    <t>8150000021</t>
  </si>
  <si>
    <t>9092131701</t>
  </si>
  <si>
    <t>6431065493</t>
  </si>
  <si>
    <t>6431081735</t>
  </si>
  <si>
    <t>5561008509</t>
  </si>
  <si>
    <t>1780887860</t>
  </si>
  <si>
    <t>7142071035</t>
  </si>
  <si>
    <t>4087186007</t>
  </si>
  <si>
    <t>1780895771</t>
  </si>
  <si>
    <t>3928971084</t>
  </si>
  <si>
    <t>8830000433</t>
  </si>
  <si>
    <t>2580006344</t>
  </si>
  <si>
    <t>8830001385</t>
  </si>
  <si>
    <t>7170210384</t>
  </si>
  <si>
    <t>2580002460</t>
  </si>
  <si>
    <t>5520030628</t>
  </si>
  <si>
    <t>2780001561</t>
  </si>
  <si>
    <t>9950013006</t>
  </si>
  <si>
    <t>1780896505</t>
  </si>
  <si>
    <t>9950008862</t>
  </si>
  <si>
    <t>8150001058</t>
  </si>
  <si>
    <t>7880253352</t>
  </si>
  <si>
    <t>9092410101</t>
  </si>
  <si>
    <t>1780893096</t>
  </si>
  <si>
    <t>1780893400</t>
  </si>
  <si>
    <t>5561002077</t>
  </si>
  <si>
    <t>1780875669</t>
  </si>
  <si>
    <t>6350000627</t>
  </si>
  <si>
    <t>5561002483</t>
  </si>
  <si>
    <t>8210006771</t>
  </si>
  <si>
    <t>3928971491</t>
  </si>
  <si>
    <t>2230011637</t>
  </si>
  <si>
    <t>5561008639</t>
  </si>
  <si>
    <t>4087184971</t>
  </si>
  <si>
    <t>8150000659</t>
  </si>
  <si>
    <t>7170220443</t>
  </si>
  <si>
    <t>7880249655</t>
  </si>
  <si>
    <t>5561001038</t>
  </si>
  <si>
    <t>5561008519</t>
  </si>
  <si>
    <t>5561008521</t>
  </si>
  <si>
    <t>5561008515</t>
  </si>
  <si>
    <t>5561002149</t>
  </si>
  <si>
    <t>5561007774</t>
  </si>
  <si>
    <t>7142074515</t>
  </si>
  <si>
    <t>6350000461</t>
  </si>
  <si>
    <t>5500007214</t>
  </si>
  <si>
    <t>8150001062</t>
  </si>
  <si>
    <t>4920002158</t>
  </si>
  <si>
    <t>7880250921</t>
  </si>
  <si>
    <t>4080206707</t>
  </si>
  <si>
    <t>4080207400</t>
  </si>
  <si>
    <t>7142074212</t>
  </si>
  <si>
    <t>7880217274</t>
  </si>
  <si>
    <t>7889134000</t>
  </si>
  <si>
    <t>2230011301</t>
  </si>
  <si>
    <t>5520031318</t>
  </si>
  <si>
    <t>6436060000</t>
  </si>
  <si>
    <t>7880275723</t>
  </si>
  <si>
    <t>1780891237</t>
  </si>
  <si>
    <t>1780025313</t>
  </si>
  <si>
    <t>2230010428</t>
  </si>
  <si>
    <t>2230008904</t>
  </si>
  <si>
    <t>5520030742</t>
  </si>
  <si>
    <t>3950000125</t>
  </si>
  <si>
    <t>1780815940</t>
  </si>
  <si>
    <t>3950001151</t>
  </si>
  <si>
    <t>2230009128</t>
  </si>
  <si>
    <t>4087185248</t>
  </si>
  <si>
    <t>9092309602</t>
  </si>
  <si>
    <t>9092124602</t>
  </si>
  <si>
    <t>7886712000</t>
  </si>
  <si>
    <t>2230009731</t>
  </si>
  <si>
    <t>3252023029</t>
  </si>
  <si>
    <t>2230010217</t>
  </si>
  <si>
    <t>8150001400</t>
  </si>
  <si>
    <t>3921791001</t>
  </si>
  <si>
    <t>2230009618</t>
  </si>
  <si>
    <t>5561008760</t>
  </si>
  <si>
    <t>5520351171</t>
  </si>
  <si>
    <t>1780856995</t>
  </si>
  <si>
    <t>3950000852</t>
  </si>
  <si>
    <t>8210009170</t>
  </si>
  <si>
    <t>1780800697</t>
  </si>
  <si>
    <t>8150001888</t>
  </si>
  <si>
    <t>1780859348</t>
  </si>
  <si>
    <t>9092032301</t>
  </si>
  <si>
    <t>9092119701</t>
  </si>
  <si>
    <t>9092102902</t>
  </si>
  <si>
    <t>9092102901</t>
  </si>
  <si>
    <t>9092102301</t>
  </si>
  <si>
    <t>8699693731</t>
  </si>
  <si>
    <t>2580006744</t>
  </si>
  <si>
    <t>5520352536</t>
  </si>
  <si>
    <t>5520308316</t>
  </si>
  <si>
    <t>5520129177</t>
  </si>
  <si>
    <t>8830000035</t>
  </si>
  <si>
    <t>5520029554</t>
  </si>
  <si>
    <t>9950012191</t>
  </si>
  <si>
    <t>2780001353</t>
  </si>
  <si>
    <t>7880278993</t>
  </si>
  <si>
    <t>4080208021</t>
  </si>
  <si>
    <t>2230006833</t>
  </si>
  <si>
    <t>1202581401</t>
  </si>
  <si>
    <t>6361627524</t>
  </si>
  <si>
    <t>7880265135</t>
  </si>
  <si>
    <t>1200848901</t>
  </si>
  <si>
    <t>4081208300</t>
  </si>
  <si>
    <t>7880255481</t>
  </si>
  <si>
    <t>4080208300</t>
  </si>
  <si>
    <t>7880162557</t>
  </si>
  <si>
    <t>8150005275</t>
  </si>
  <si>
    <t>1780898197</t>
  </si>
  <si>
    <t>7170210434</t>
  </si>
  <si>
    <t>8240102323</t>
  </si>
  <si>
    <t>5870106888</t>
  </si>
  <si>
    <t>8699694444</t>
  </si>
  <si>
    <t>3252019079</t>
  </si>
  <si>
    <t>8150000297</t>
  </si>
  <si>
    <t>6350000107</t>
  </si>
  <si>
    <t>5520030534</t>
  </si>
  <si>
    <t>4080206857</t>
  </si>
  <si>
    <t>3920897270</t>
  </si>
  <si>
    <t>6369549555</t>
  </si>
  <si>
    <t>1780857388</t>
  </si>
  <si>
    <t>4080207520</t>
  </si>
  <si>
    <t>3920897200</t>
  </si>
  <si>
    <t>9950008291</t>
  </si>
  <si>
    <t>8240041024</t>
  </si>
  <si>
    <t>1780856965</t>
  </si>
  <si>
    <t>1780862226</t>
  </si>
  <si>
    <t>1780906033</t>
  </si>
  <si>
    <t>6350000113</t>
  </si>
  <si>
    <t>7880274856</t>
  </si>
  <si>
    <t>8699694545</t>
  </si>
  <si>
    <t>5561004177</t>
  </si>
  <si>
    <t>7270000623</t>
  </si>
  <si>
    <t>5561008535</t>
  </si>
  <si>
    <t>5090311551</t>
  </si>
  <si>
    <t>2230005976</t>
  </si>
  <si>
    <t>5520435640</t>
  </si>
  <si>
    <t>4081400001</t>
  </si>
  <si>
    <t>8150000478</t>
  </si>
  <si>
    <t>3950001218</t>
  </si>
  <si>
    <t>5520845511</t>
  </si>
  <si>
    <t>7880252058</t>
  </si>
  <si>
    <t>3252017058</t>
  </si>
  <si>
    <t>2580006749</t>
  </si>
  <si>
    <t>2780001445</t>
  </si>
  <si>
    <t>8150002221</t>
  </si>
  <si>
    <t>7880293079</t>
  </si>
  <si>
    <t>4080800114</t>
  </si>
  <si>
    <t>3672000005</t>
  </si>
  <si>
    <t>1780022042</t>
  </si>
  <si>
    <t>1600002205</t>
  </si>
  <si>
    <t>5400000242</t>
  </si>
  <si>
    <t>2580006748</t>
  </si>
  <si>
    <t>7880179359</t>
  </si>
  <si>
    <t>4791488259</t>
  </si>
  <si>
    <t>1780867674</t>
  </si>
  <si>
    <t>1780867677</t>
  </si>
  <si>
    <t>1780867678</t>
  </si>
  <si>
    <t>2170026685</t>
  </si>
  <si>
    <t>2580005390</t>
  </si>
  <si>
    <t>5520337359</t>
  </si>
  <si>
    <t>5520147367</t>
  </si>
  <si>
    <t>7880231202</t>
  </si>
  <si>
    <t>5350000154</t>
  </si>
  <si>
    <t>1202452000</t>
  </si>
  <si>
    <t>4080205381</t>
  </si>
  <si>
    <t>1600001944</t>
  </si>
  <si>
    <t>4087185129</t>
  </si>
  <si>
    <t>1780857720</t>
  </si>
  <si>
    <t>5520077381</t>
  </si>
  <si>
    <t>5561008157</t>
  </si>
  <si>
    <t>3532020410</t>
  </si>
  <si>
    <t>7880257874</t>
  </si>
  <si>
    <t>3950001233</t>
  </si>
  <si>
    <t>7880301030</t>
  </si>
  <si>
    <t>2230010864</t>
  </si>
  <si>
    <t>5561008298</t>
  </si>
  <si>
    <t>6220009131</t>
  </si>
  <si>
    <t>5561001683</t>
  </si>
  <si>
    <t>1780899298</t>
  </si>
  <si>
    <t>6220008084</t>
  </si>
  <si>
    <t>3250200460</t>
  </si>
  <si>
    <t>5870107335</t>
  </si>
  <si>
    <t>8699693742</t>
  </si>
  <si>
    <t>8150024863</t>
  </si>
  <si>
    <t>1780816529</t>
  </si>
  <si>
    <t>6250041353</t>
  </si>
  <si>
    <t>8241000142</t>
  </si>
  <si>
    <t>8150000001</t>
  </si>
  <si>
    <t>2202407400</t>
  </si>
  <si>
    <t>7142070610</t>
  </si>
  <si>
    <t>4080400043</t>
  </si>
  <si>
    <t>8699694155</t>
  </si>
  <si>
    <t>2580002143</t>
  </si>
  <si>
    <t>5561008384</t>
  </si>
  <si>
    <t>4920006645</t>
  </si>
  <si>
    <t>4920004258</t>
  </si>
  <si>
    <t>4920005829</t>
  </si>
  <si>
    <t>4080207266</t>
  </si>
  <si>
    <t>5380000511</t>
  </si>
  <si>
    <t>0009833340</t>
  </si>
  <si>
    <t>8432302144</t>
  </si>
  <si>
    <t>6220006934</t>
  </si>
  <si>
    <t>1600001834</t>
  </si>
  <si>
    <t>4087184930</t>
  </si>
  <si>
    <t>4087185893</t>
  </si>
  <si>
    <t>2580003576</t>
  </si>
  <si>
    <t>2580001627</t>
  </si>
  <si>
    <t>3533969153</t>
  </si>
  <si>
    <t>5561001719</t>
  </si>
  <si>
    <t>3534635475</t>
  </si>
  <si>
    <t>6368179788</t>
  </si>
  <si>
    <t>6362024372</t>
  </si>
  <si>
    <t>1780859193</t>
  </si>
  <si>
    <t>4920004457</t>
  </si>
  <si>
    <t>7880283615</t>
  </si>
  <si>
    <t>6369787344</t>
  </si>
  <si>
    <t>8830001041</t>
  </si>
  <si>
    <t>6220002767</t>
  </si>
  <si>
    <t>4087184558</t>
  </si>
  <si>
    <t>4920006281</t>
  </si>
  <si>
    <t>2580003812</t>
  </si>
  <si>
    <t>1600002149</t>
  </si>
  <si>
    <t>5350000137</t>
  </si>
  <si>
    <t>7882627700</t>
  </si>
  <si>
    <t>8699694693</t>
  </si>
  <si>
    <t>8699694276</t>
  </si>
  <si>
    <t>2580000899</t>
  </si>
  <si>
    <t>3928971319</t>
  </si>
  <si>
    <t>2580006694</t>
  </si>
  <si>
    <t>7880291111</t>
  </si>
  <si>
    <t>2580003071</t>
  </si>
  <si>
    <t>3920897001</t>
  </si>
  <si>
    <t>5520757732</t>
  </si>
  <si>
    <t>5520812915</t>
  </si>
  <si>
    <t>5561007863</t>
  </si>
  <si>
    <t>1203597103</t>
  </si>
  <si>
    <t>2230011493</t>
  </si>
  <si>
    <t>2230006148</t>
  </si>
  <si>
    <t>2230005945</t>
  </si>
  <si>
    <t>2230006523</t>
  </si>
  <si>
    <t>1202565800</t>
  </si>
  <si>
    <t>1202565802</t>
  </si>
  <si>
    <t>1202565801</t>
  </si>
  <si>
    <t>1780891245</t>
  </si>
  <si>
    <t>7880284651</t>
  </si>
  <si>
    <t>5561000351</t>
  </si>
  <si>
    <t>5407536041</t>
  </si>
  <si>
    <t>2580003806</t>
  </si>
  <si>
    <t>5520806742</t>
  </si>
  <si>
    <t>3928972348</t>
  </si>
  <si>
    <t>9092125903</t>
  </si>
  <si>
    <t>1460029872</t>
  </si>
  <si>
    <t>9950001019</t>
  </si>
  <si>
    <t>3510791397</t>
  </si>
  <si>
    <t>5520031241</t>
  </si>
  <si>
    <t>6250042178</t>
  </si>
  <si>
    <t>5500007034</t>
  </si>
  <si>
    <t>7270000941</t>
  </si>
  <si>
    <t>4080400049</t>
  </si>
  <si>
    <t>2230005230</t>
  </si>
  <si>
    <t>7281691133</t>
  </si>
  <si>
    <t>4490003731</t>
  </si>
  <si>
    <t>4920005567</t>
  </si>
  <si>
    <t>2780003954</t>
  </si>
  <si>
    <t>1780897601</t>
  </si>
  <si>
    <t>3920897677</t>
  </si>
  <si>
    <t>8210001874</t>
  </si>
  <si>
    <t>8150001170</t>
  </si>
  <si>
    <t>3537339353</t>
  </si>
  <si>
    <t>7880297789</t>
  </si>
  <si>
    <t>9092116901</t>
  </si>
  <si>
    <t>3920897975</t>
  </si>
  <si>
    <t>6220009537</t>
  </si>
  <si>
    <t>5520031649</t>
  </si>
  <si>
    <t>5561000103</t>
  </si>
  <si>
    <t>5561002303</t>
  </si>
  <si>
    <t>2580000019</t>
  </si>
  <si>
    <t>5520737408</t>
  </si>
  <si>
    <t>5561002088</t>
  </si>
  <si>
    <t>8241000008</t>
  </si>
  <si>
    <t>8210006854</t>
  </si>
  <si>
    <t>5100037077</t>
  </si>
  <si>
    <t>9092215302</t>
  </si>
  <si>
    <t>7880298521</t>
  </si>
  <si>
    <t>8150019468</t>
  </si>
  <si>
    <t>2580002983</t>
  </si>
  <si>
    <t>1200647102</t>
  </si>
  <si>
    <t>3928971301</t>
  </si>
  <si>
    <t>1780862390</t>
  </si>
  <si>
    <t>4087184131</t>
  </si>
  <si>
    <t>5561008378</t>
  </si>
  <si>
    <t>3950000167</t>
  </si>
  <si>
    <t>4082376048</t>
  </si>
  <si>
    <t>6351055730</t>
  </si>
  <si>
    <t>5520029773</t>
  </si>
  <si>
    <t>1780848714</t>
  </si>
  <si>
    <t>7880197184</t>
  </si>
  <si>
    <t>3670400001</t>
  </si>
  <si>
    <t>4080400050</t>
  </si>
  <si>
    <t>4086160518</t>
  </si>
  <si>
    <t>6220002820</t>
  </si>
  <si>
    <t>4080207198</t>
  </si>
  <si>
    <t>3532022474</t>
  </si>
  <si>
    <t>3250200634</t>
  </si>
  <si>
    <t>2580001748</t>
  </si>
  <si>
    <t>5561002289</t>
  </si>
  <si>
    <t>5561006410</t>
  </si>
  <si>
    <t>4920004726</t>
  </si>
  <si>
    <t>8210001914</t>
  </si>
  <si>
    <t>9950003314</t>
  </si>
  <si>
    <t>8210001919</t>
  </si>
  <si>
    <t>1780848866</t>
  </si>
  <si>
    <t>8150005434</t>
  </si>
  <si>
    <t>8150001421</t>
  </si>
  <si>
    <t>8150006465</t>
  </si>
  <si>
    <t>7880276872</t>
  </si>
  <si>
    <t>8830000478</t>
  </si>
  <si>
    <t>9092229301</t>
  </si>
  <si>
    <t>4081001818</t>
  </si>
  <si>
    <t>5561008086</t>
  </si>
  <si>
    <t>5561002261</t>
  </si>
  <si>
    <t>3920897916</t>
  </si>
  <si>
    <t>3950000319</t>
  </si>
  <si>
    <t>2580000265</t>
  </si>
  <si>
    <t>9487354449</t>
  </si>
  <si>
    <t>6436242095</t>
  </si>
  <si>
    <t>8210001926</t>
  </si>
  <si>
    <t>5500004682</t>
  </si>
  <si>
    <t>5520029743</t>
  </si>
  <si>
    <t>5500006020</t>
  </si>
  <si>
    <t>5500006486</t>
  </si>
  <si>
    <t>5380000059</t>
  </si>
  <si>
    <t>7882790060</t>
  </si>
  <si>
    <t>1600001370</t>
  </si>
  <si>
    <t>3250200348</t>
  </si>
  <si>
    <t>5500005370</t>
  </si>
  <si>
    <t>3920897263</t>
  </si>
  <si>
    <t>3928972422</t>
  </si>
  <si>
    <t>6780000080</t>
  </si>
  <si>
    <t>3920897611</t>
  </si>
  <si>
    <t>4080207633</t>
  </si>
  <si>
    <t>3252024092</t>
  </si>
  <si>
    <t>8150000845</t>
  </si>
  <si>
    <t>8241000050</t>
  </si>
  <si>
    <t>3671900086</t>
  </si>
  <si>
    <t>5520030591</t>
  </si>
  <si>
    <t>9950010511</t>
  </si>
  <si>
    <t>1780891269</t>
  </si>
  <si>
    <t>8150002902</t>
  </si>
  <si>
    <t>5520031205</t>
  </si>
  <si>
    <t>8830000603</t>
  </si>
  <si>
    <t>5520030498</t>
  </si>
  <si>
    <t>1780876343</t>
  </si>
  <si>
    <t>5561006969</t>
  </si>
  <si>
    <t>7880294605</t>
  </si>
  <si>
    <t>2230005314</t>
  </si>
  <si>
    <t>8240030823</t>
  </si>
  <si>
    <t>8431701362</t>
  </si>
  <si>
    <t>3252009048</t>
  </si>
  <si>
    <t>8240010115</t>
  </si>
  <si>
    <t>9950011998</t>
  </si>
  <si>
    <t>8150000327</t>
  </si>
  <si>
    <t>5520176604</t>
  </si>
  <si>
    <t>4083800008</t>
  </si>
  <si>
    <t>2230009129</t>
  </si>
  <si>
    <t>7142077721</t>
  </si>
  <si>
    <t>5561002230</t>
  </si>
  <si>
    <t>9092504301</t>
  </si>
  <si>
    <t>2230011219</t>
  </si>
  <si>
    <t>1780854579</t>
  </si>
  <si>
    <t>1780858931</t>
  </si>
  <si>
    <t>1780857115</t>
  </si>
  <si>
    <t>1780854580</t>
  </si>
  <si>
    <t>1780854581</t>
  </si>
  <si>
    <t>2170027649</t>
  </si>
  <si>
    <t>2230009642</t>
  </si>
  <si>
    <t>5561008477</t>
  </si>
  <si>
    <t>5561007154</t>
  </si>
  <si>
    <t>4083600005</t>
  </si>
  <si>
    <t>3671300023</t>
  </si>
  <si>
    <t>3252023058</t>
  </si>
  <si>
    <t>6400011755</t>
  </si>
  <si>
    <t>9950004749</t>
  </si>
  <si>
    <t>9092134205</t>
  </si>
  <si>
    <t>7881958170</t>
  </si>
  <si>
    <t>5561007357</t>
  </si>
  <si>
    <t>1780891814</t>
  </si>
  <si>
    <t>1780898526</t>
  </si>
  <si>
    <t>7142074735</t>
  </si>
  <si>
    <t>5500000380</t>
  </si>
  <si>
    <t>5561007251</t>
  </si>
  <si>
    <t>5561001479</t>
  </si>
  <si>
    <t>5561001644</t>
  </si>
  <si>
    <t>6435640000</t>
  </si>
  <si>
    <t>5520557458</t>
  </si>
  <si>
    <t>8241000145</t>
  </si>
  <si>
    <t>3510767837</t>
  </si>
  <si>
    <t>5561004950</t>
  </si>
  <si>
    <t>5350000238</t>
  </si>
  <si>
    <t>4490003555</t>
  </si>
  <si>
    <t>7880290368</t>
  </si>
  <si>
    <t>4920006277</t>
  </si>
  <si>
    <t>5500006516</t>
  </si>
  <si>
    <t>6365029111</t>
  </si>
  <si>
    <t>6368029574</t>
  </si>
  <si>
    <t>1780871311</t>
  </si>
  <si>
    <t>4920006352</t>
  </si>
  <si>
    <t>6250030532</t>
  </si>
  <si>
    <t>7142074317</t>
  </si>
  <si>
    <t>4080200061</t>
  </si>
  <si>
    <t>7270001717</t>
  </si>
  <si>
    <t>3671900107</t>
  </si>
  <si>
    <t>9962876001</t>
  </si>
  <si>
    <t>4930000111</t>
  </si>
  <si>
    <t>3928972350</t>
  </si>
  <si>
    <t>3950000188</t>
  </si>
  <si>
    <t>4087184940</t>
  </si>
  <si>
    <t>5520031106</t>
  </si>
  <si>
    <t>7281691138</t>
  </si>
  <si>
    <t>2230010916</t>
  </si>
  <si>
    <t>5870000733</t>
  </si>
  <si>
    <t>3539355238</t>
  </si>
  <si>
    <t>2580000475</t>
  </si>
  <si>
    <t>5870001725</t>
  </si>
  <si>
    <t>2580000233</t>
  </si>
  <si>
    <t>2580006826</t>
  </si>
  <si>
    <t>5520031638</t>
  </si>
  <si>
    <t>6830024001</t>
  </si>
  <si>
    <t>5561008428</t>
  </si>
  <si>
    <t>2580000274</t>
  </si>
  <si>
    <t>2780002491</t>
  </si>
  <si>
    <t>4212024038</t>
  </si>
  <si>
    <t>6362503567</t>
  </si>
  <si>
    <t>8150001232</t>
  </si>
  <si>
    <t>7170220511</t>
  </si>
  <si>
    <t>5873977017</t>
  </si>
  <si>
    <t>8150001352</t>
  </si>
  <si>
    <t>1780838119</t>
  </si>
  <si>
    <t>6350000138</t>
  </si>
  <si>
    <t>1780882424</t>
  </si>
  <si>
    <t>6220007962</t>
  </si>
  <si>
    <t>1600001608</t>
  </si>
  <si>
    <t>0009833472</t>
  </si>
  <si>
    <t>5520031215</t>
  </si>
  <si>
    <t>5561000028</t>
  </si>
  <si>
    <t>2580003016</t>
  </si>
  <si>
    <t>8432101927</t>
  </si>
  <si>
    <t>7887791600</t>
  </si>
  <si>
    <t>4083800009</t>
  </si>
  <si>
    <t>1780833549</t>
  </si>
  <si>
    <t>5561007755</t>
  </si>
  <si>
    <t>2580003587</t>
  </si>
  <si>
    <t>8150006098</t>
  </si>
  <si>
    <t>5561005356</t>
  </si>
  <si>
    <t>6220010078</t>
  </si>
  <si>
    <t>5520461427</t>
  </si>
  <si>
    <t>5561001505</t>
  </si>
  <si>
    <t>1600001081</t>
  </si>
  <si>
    <t>2580002477</t>
  </si>
  <si>
    <t>3928972009</t>
  </si>
  <si>
    <t>3920897521</t>
  </si>
  <si>
    <t>8830000950</t>
  </si>
  <si>
    <t>5520030354</t>
  </si>
  <si>
    <t>3252023059</t>
  </si>
  <si>
    <t>3672400066</t>
  </si>
  <si>
    <t>1600003808</t>
  </si>
  <si>
    <t>2230008140</t>
  </si>
  <si>
    <t>2230008141</t>
  </si>
  <si>
    <t>5561006123</t>
  </si>
  <si>
    <t>2580006929</t>
  </si>
  <si>
    <t>2580006751</t>
  </si>
  <si>
    <t>4920006286</t>
  </si>
  <si>
    <t>5870107281</t>
  </si>
  <si>
    <t>1600001069</t>
  </si>
  <si>
    <t>1780872154</t>
  </si>
  <si>
    <t>9092130903</t>
  </si>
  <si>
    <t>5520031287</t>
  </si>
  <si>
    <t>1780905301</t>
  </si>
  <si>
    <t>6250031995</t>
  </si>
  <si>
    <t>8150023005</t>
  </si>
  <si>
    <t>7142074245</t>
  </si>
  <si>
    <t>5520448725</t>
  </si>
  <si>
    <t>5520030210</t>
  </si>
  <si>
    <t>8150001559</t>
  </si>
  <si>
    <t>5500007322</t>
  </si>
  <si>
    <t>5520774239</t>
  </si>
  <si>
    <t>5520302966</t>
  </si>
  <si>
    <t>5520279720</t>
  </si>
  <si>
    <t>5520029826</t>
  </si>
  <si>
    <t>5561002545</t>
  </si>
  <si>
    <t>1600001816</t>
  </si>
  <si>
    <t>1460029877</t>
  </si>
  <si>
    <t>1460030356</t>
  </si>
  <si>
    <t>1460029668</t>
  </si>
  <si>
    <t>1780890700</t>
  </si>
  <si>
    <t>8150001154</t>
  </si>
  <si>
    <t>5520030418</t>
  </si>
  <si>
    <t>7142070949</t>
  </si>
  <si>
    <t>5350000299</t>
  </si>
  <si>
    <t>3950000210</t>
  </si>
  <si>
    <t>1600002547</t>
  </si>
  <si>
    <t>0009833494</t>
  </si>
  <si>
    <t>4210099118</t>
  </si>
  <si>
    <t>5561005779</t>
  </si>
  <si>
    <t>5561002560</t>
  </si>
  <si>
    <t>5090311751</t>
  </si>
  <si>
    <t>5520031575</t>
  </si>
  <si>
    <t>8150001085</t>
  </si>
  <si>
    <t>6220005090</t>
  </si>
  <si>
    <t>1600002941</t>
  </si>
  <si>
    <t>3928972078</t>
  </si>
  <si>
    <t>8699694639</t>
  </si>
  <si>
    <t>0009833374</t>
  </si>
  <si>
    <t>8241000037</t>
  </si>
  <si>
    <t>6830017012</t>
  </si>
  <si>
    <t>5561005641</t>
  </si>
  <si>
    <t>5561002308</t>
  </si>
  <si>
    <t>4213724480</t>
  </si>
  <si>
    <t>5561001681</t>
  </si>
  <si>
    <t>4080207222</t>
  </si>
  <si>
    <t>3531052484</t>
  </si>
  <si>
    <t>4083800010</t>
  </si>
  <si>
    <t>5350000026</t>
  </si>
  <si>
    <t>4087186316</t>
  </si>
  <si>
    <t>7880297790</t>
  </si>
  <si>
    <t>2780000470</t>
  </si>
  <si>
    <t>2780003839</t>
  </si>
  <si>
    <t>5520762477</t>
  </si>
  <si>
    <t>8210005943</t>
  </si>
  <si>
    <t>5500007058</t>
  </si>
  <si>
    <t>8210002272</t>
  </si>
  <si>
    <t>1600002821</t>
  </si>
  <si>
    <t>6350000314</t>
  </si>
  <si>
    <t>4920006683</t>
  </si>
  <si>
    <t>1203766900</t>
  </si>
  <si>
    <t>6350000490</t>
  </si>
  <si>
    <t>7880062450</t>
  </si>
  <si>
    <t>7880266659</t>
  </si>
  <si>
    <t>5561006423</t>
  </si>
  <si>
    <t>5561005284</t>
  </si>
  <si>
    <t>3920897844</t>
  </si>
  <si>
    <t>1780861636</t>
  </si>
  <si>
    <t>1780900660</t>
  </si>
  <si>
    <t>8150004745</t>
  </si>
  <si>
    <t>5500007434</t>
  </si>
  <si>
    <t>5520690352</t>
  </si>
  <si>
    <t>4920004213</t>
  </si>
  <si>
    <t>1780895946</t>
  </si>
  <si>
    <t>2780003276</t>
  </si>
  <si>
    <t>1780883443</t>
  </si>
  <si>
    <t>4920003174</t>
  </si>
  <si>
    <t>5520525096</t>
  </si>
  <si>
    <t>1202783400</t>
  </si>
  <si>
    <t>1780857113</t>
  </si>
  <si>
    <t>5520030815</t>
  </si>
  <si>
    <t>5520029688</t>
  </si>
  <si>
    <t>2230008470</t>
  </si>
  <si>
    <t>2230007034</t>
  </si>
  <si>
    <t>2230008341</t>
  </si>
  <si>
    <t>2230010907</t>
  </si>
  <si>
    <t>1201764100</t>
  </si>
  <si>
    <t>3531203598</t>
  </si>
  <si>
    <t>2580002144</t>
  </si>
  <si>
    <t>2230010742</t>
  </si>
  <si>
    <t>2230011287</t>
  </si>
  <si>
    <t>1600003022</t>
  </si>
  <si>
    <t>8240001241</t>
  </si>
  <si>
    <t>8431901618</t>
  </si>
  <si>
    <t>6240225241</t>
  </si>
  <si>
    <t>5520030566</t>
  </si>
  <si>
    <t>5520245789</t>
  </si>
  <si>
    <t>3250200249</t>
  </si>
  <si>
    <t>8150001580</t>
  </si>
  <si>
    <t>8150000258</t>
  </si>
  <si>
    <t>5870106419</t>
  </si>
  <si>
    <t>1560014200</t>
  </si>
  <si>
    <t>5561002359</t>
  </si>
  <si>
    <t>9092207002</t>
  </si>
  <si>
    <t>6220005942</t>
  </si>
  <si>
    <t>5561008077</t>
  </si>
  <si>
    <t>8432202102</t>
  </si>
  <si>
    <t>1780848769</t>
  </si>
  <si>
    <t>1780899612</t>
  </si>
  <si>
    <t>5500006341</t>
  </si>
  <si>
    <t>6780000030</t>
  </si>
  <si>
    <t>1600002831</t>
  </si>
  <si>
    <t>1780809465</t>
  </si>
  <si>
    <t>3532022485</t>
  </si>
  <si>
    <t>2230009237</t>
  </si>
  <si>
    <t>9092309001</t>
  </si>
  <si>
    <t>5561001744</t>
  </si>
  <si>
    <t>4797114700</t>
  </si>
  <si>
    <t>8241000078</t>
  </si>
  <si>
    <t>4087185825</t>
  </si>
  <si>
    <t>4083913049</t>
  </si>
  <si>
    <t>1600001939</t>
  </si>
  <si>
    <t>5561008199</t>
  </si>
  <si>
    <t>8431400916</t>
  </si>
  <si>
    <t>7142076053</t>
  </si>
  <si>
    <t>5520029611</t>
  </si>
  <si>
    <t>2230010160</t>
  </si>
  <si>
    <t>2780003433</t>
  </si>
  <si>
    <t>2780003347</t>
  </si>
  <si>
    <t>2780002741</t>
  </si>
  <si>
    <t>7270001700</t>
  </si>
  <si>
    <t>5520227569</t>
  </si>
  <si>
    <t>5520031562</t>
  </si>
  <si>
    <t>7880274317</t>
  </si>
  <si>
    <t>5561001928</t>
  </si>
  <si>
    <t>8150003954</t>
  </si>
  <si>
    <t>5561002342</t>
  </si>
  <si>
    <t>8150021139</t>
  </si>
  <si>
    <t>5561006325</t>
  </si>
  <si>
    <t>2230006603</t>
  </si>
  <si>
    <t>5520029762</t>
  </si>
  <si>
    <t>7880280511</t>
  </si>
  <si>
    <t>7880294724</t>
  </si>
  <si>
    <t>8241000125</t>
  </si>
  <si>
    <t>8210009057</t>
  </si>
  <si>
    <t>5870107219</t>
  </si>
  <si>
    <t>4799076000</t>
  </si>
  <si>
    <t>6220008126</t>
  </si>
  <si>
    <t>4080205129</t>
  </si>
  <si>
    <t>7281690703</t>
  </si>
  <si>
    <t>2230011587</t>
  </si>
  <si>
    <t>3928972431</t>
  </si>
  <si>
    <t>7881277160</t>
  </si>
  <si>
    <t>8241000242</t>
  </si>
  <si>
    <t>2170002097</t>
  </si>
  <si>
    <t>1780890863</t>
  </si>
  <si>
    <t>5520030054</t>
  </si>
  <si>
    <t>9092124203</t>
  </si>
  <si>
    <t>5350000341</t>
  </si>
  <si>
    <t>6435550000</t>
  </si>
  <si>
    <t>7142073318</t>
  </si>
  <si>
    <t>5561007878</t>
  </si>
  <si>
    <t>9091415001</t>
  </si>
  <si>
    <t>2580004144</t>
  </si>
  <si>
    <t>8150000366</t>
  </si>
  <si>
    <t>1780880251</t>
  </si>
  <si>
    <t>4081044824</t>
  </si>
  <si>
    <t>2780003198</t>
  </si>
  <si>
    <t>3920897327</t>
  </si>
  <si>
    <t>8699694178</t>
  </si>
  <si>
    <t>1780843037</t>
  </si>
  <si>
    <t>4080208719</t>
  </si>
  <si>
    <t>1780801983</t>
  </si>
  <si>
    <t>8699694303</t>
  </si>
  <si>
    <t>5500004391</t>
  </si>
  <si>
    <t>5500005702</t>
  </si>
  <si>
    <t>5561000971</t>
  </si>
  <si>
    <t>5520030570</t>
  </si>
  <si>
    <t>2580001505</t>
  </si>
  <si>
    <t>5561008507</t>
  </si>
  <si>
    <t>5561001724</t>
  </si>
  <si>
    <t>8241000119</t>
  </si>
  <si>
    <t>1780899675</t>
  </si>
  <si>
    <t>5500004520</t>
  </si>
  <si>
    <t>4920002333</t>
  </si>
  <si>
    <t>4080200738</t>
  </si>
  <si>
    <t>4080206689</t>
  </si>
  <si>
    <t>4920006590</t>
  </si>
  <si>
    <t>4087185998</t>
  </si>
  <si>
    <t>7881228100</t>
  </si>
  <si>
    <t>8241000168</t>
  </si>
  <si>
    <t>5561001650</t>
  </si>
  <si>
    <t>4085404087</t>
  </si>
  <si>
    <t>4087185263</t>
  </si>
  <si>
    <t>9092431301</t>
  </si>
  <si>
    <t>5561007736</t>
  </si>
  <si>
    <t>1600001792</t>
  </si>
  <si>
    <t>5561007359</t>
  </si>
  <si>
    <t>1780818705</t>
  </si>
  <si>
    <t>6361577685</t>
  </si>
  <si>
    <t>5520030749</t>
  </si>
  <si>
    <t>6220003019</t>
  </si>
  <si>
    <t>5520031535</t>
  </si>
  <si>
    <t>7880247616</t>
  </si>
  <si>
    <t>1780021860</t>
  </si>
  <si>
    <t>4087184754</t>
  </si>
  <si>
    <t>5561007262</t>
  </si>
  <si>
    <t>5520393405</t>
  </si>
  <si>
    <t>3510751593</t>
  </si>
  <si>
    <t>5520570737</t>
  </si>
  <si>
    <t>3510732585</t>
  </si>
  <si>
    <t>5500005367</t>
  </si>
  <si>
    <t>4920007049</t>
  </si>
  <si>
    <t>2230006800</t>
  </si>
  <si>
    <t>2580000596</t>
  </si>
  <si>
    <t>1780891270</t>
  </si>
  <si>
    <t>1780883418</t>
  </si>
  <si>
    <t>3920897059</t>
  </si>
  <si>
    <t>2780025004</t>
  </si>
  <si>
    <t>2780003922</t>
  </si>
  <si>
    <t>9092007901</t>
  </si>
  <si>
    <t>7880229517</t>
  </si>
  <si>
    <t>5500006647</t>
  </si>
  <si>
    <t>2580003041</t>
  </si>
  <si>
    <t>1600000801</t>
  </si>
  <si>
    <t>2580000078</t>
  </si>
  <si>
    <t>2780003742</t>
  </si>
  <si>
    <t>7881568001</t>
  </si>
  <si>
    <t>1600003341</t>
  </si>
  <si>
    <t>7880291424</t>
  </si>
  <si>
    <t>1780881699</t>
  </si>
  <si>
    <t>4791502610</t>
  </si>
  <si>
    <t>2580001390</t>
  </si>
  <si>
    <t>4920005712</t>
  </si>
  <si>
    <t>1780887283</t>
  </si>
  <si>
    <t>5520801672</t>
  </si>
  <si>
    <t>5500006281</t>
  </si>
  <si>
    <t>1466881435</t>
  </si>
  <si>
    <t>1562582000</t>
  </si>
  <si>
    <t>1562581000</t>
  </si>
  <si>
    <t>4087185325</t>
  </si>
  <si>
    <t>1780860980</t>
  </si>
  <si>
    <t>8210003470</t>
  </si>
  <si>
    <t>1582040302</t>
  </si>
  <si>
    <t>1582052820</t>
  </si>
  <si>
    <t>5520223746</t>
  </si>
  <si>
    <t>5520031736</t>
  </si>
  <si>
    <t>1202426300</t>
  </si>
  <si>
    <t>4087185576</t>
  </si>
  <si>
    <t>1780802951</t>
  </si>
  <si>
    <t>1780800429</t>
  </si>
  <si>
    <t>3252009021</t>
  </si>
  <si>
    <t>5100075721</t>
  </si>
  <si>
    <t>7881666120</t>
  </si>
  <si>
    <t>5500004450</t>
  </si>
  <si>
    <t>5500004619</t>
  </si>
  <si>
    <t>5500006772</t>
  </si>
  <si>
    <t>5500006663</t>
  </si>
  <si>
    <t>5500005714</t>
  </si>
  <si>
    <t>5500006009</t>
  </si>
  <si>
    <t>5520030573</t>
  </si>
  <si>
    <t>8699694745</t>
  </si>
  <si>
    <t>4920006138</t>
  </si>
  <si>
    <t>8150001693</t>
  </si>
  <si>
    <t>2230007070</t>
  </si>
  <si>
    <t>2230011601</t>
  </si>
  <si>
    <t>2230009463</t>
  </si>
  <si>
    <t>4087184347</t>
  </si>
  <si>
    <t>5380000150</t>
  </si>
  <si>
    <t>5561000595</t>
  </si>
  <si>
    <t>2780002407</t>
  </si>
  <si>
    <t>9092422802</t>
  </si>
  <si>
    <t>1780851705</t>
  </si>
  <si>
    <t>7880297792</t>
  </si>
  <si>
    <t>2230003850</t>
  </si>
  <si>
    <t>9950000232</t>
  </si>
  <si>
    <t>4080205331</t>
  </si>
  <si>
    <t>4087185085</t>
  </si>
  <si>
    <t>3950000243</t>
  </si>
  <si>
    <t>5561003060</t>
  </si>
  <si>
    <t>5561001634</t>
  </si>
  <si>
    <t>3928971195</t>
  </si>
  <si>
    <t>4082249385</t>
  </si>
  <si>
    <t>3510767848</t>
  </si>
  <si>
    <t>4084037272</t>
  </si>
  <si>
    <t>2580006821</t>
  </si>
  <si>
    <t>5520792062</t>
  </si>
  <si>
    <t>8431801565</t>
  </si>
  <si>
    <t>5090312391</t>
  </si>
  <si>
    <t>5561000827</t>
  </si>
  <si>
    <t>5500006024</t>
  </si>
  <si>
    <t>5500006304</t>
  </si>
  <si>
    <t>5500006152</t>
  </si>
  <si>
    <t>1461955760</t>
  </si>
  <si>
    <t>8830001044</t>
  </si>
  <si>
    <t>5561002086</t>
  </si>
  <si>
    <t>7880272369</t>
  </si>
  <si>
    <t>5520472500</t>
  </si>
  <si>
    <t>9950010596</t>
  </si>
  <si>
    <t>8240082923</t>
  </si>
  <si>
    <t>4920006110</t>
  </si>
  <si>
    <t>5561001253</t>
  </si>
  <si>
    <t>7880227961</t>
  </si>
  <si>
    <t>8241000086</t>
  </si>
  <si>
    <t>2230011069</t>
  </si>
  <si>
    <t>4920004779</t>
  </si>
  <si>
    <t>5561008070</t>
  </si>
  <si>
    <t>5561008561</t>
  </si>
  <si>
    <t>4210002026</t>
  </si>
  <si>
    <t>3532020266</t>
  </si>
  <si>
    <t>3531925770</t>
  </si>
  <si>
    <t>5870103916</t>
  </si>
  <si>
    <t>6250042160</t>
  </si>
  <si>
    <t>4490004362</t>
  </si>
  <si>
    <t>1201878700</t>
  </si>
  <si>
    <t>1201774800</t>
  </si>
  <si>
    <t>8241000250</t>
  </si>
  <si>
    <t>5400000035</t>
  </si>
  <si>
    <t>2780001550</t>
  </si>
  <si>
    <t>6350000437</t>
  </si>
  <si>
    <t>9950003319</t>
  </si>
  <si>
    <t>6400002153</t>
  </si>
  <si>
    <t>7880007699</t>
  </si>
  <si>
    <t>5561005302</t>
  </si>
  <si>
    <t>6400011857</t>
  </si>
  <si>
    <t>8150002053</t>
  </si>
  <si>
    <t>8150024914</t>
  </si>
  <si>
    <t>5520030325</t>
  </si>
  <si>
    <t>8150005124</t>
  </si>
  <si>
    <t>5520547126</t>
  </si>
  <si>
    <t>4920006600</t>
  </si>
  <si>
    <t>8830001687</t>
  </si>
  <si>
    <t>8830000577</t>
  </si>
  <si>
    <t>8240022824</t>
  </si>
  <si>
    <t>4087184484</t>
  </si>
  <si>
    <t>4080208288</t>
  </si>
  <si>
    <t>4080208245</t>
  </si>
  <si>
    <t>4080800289</t>
  </si>
  <si>
    <t>4087184879</t>
  </si>
  <si>
    <t>3950001286</t>
  </si>
  <si>
    <t>8830001735</t>
  </si>
  <si>
    <t>8150000796</t>
  </si>
  <si>
    <t>6400011908</t>
  </si>
  <si>
    <t>5561008729</t>
  </si>
  <si>
    <t>6400010544</t>
  </si>
  <si>
    <t>2230006025</t>
  </si>
  <si>
    <t>8240012155</t>
  </si>
  <si>
    <t>8241000103</t>
  </si>
  <si>
    <t>4080400073</t>
  </si>
  <si>
    <t>5520030576</t>
  </si>
  <si>
    <t>1780876740</t>
  </si>
  <si>
    <t>4080207377</t>
  </si>
  <si>
    <t>4080400070</t>
  </si>
  <si>
    <t>3672000008</t>
  </si>
  <si>
    <t>5561000376</t>
  </si>
  <si>
    <t>5520261829</t>
  </si>
  <si>
    <t>5520031411</t>
  </si>
  <si>
    <t>1780888852</t>
  </si>
  <si>
    <t>7880300593</t>
  </si>
  <si>
    <t>3928971186</t>
  </si>
  <si>
    <t>2230008594</t>
  </si>
  <si>
    <t>2780001521</t>
  </si>
  <si>
    <t>7880277593</t>
  </si>
  <si>
    <t>7270001656</t>
  </si>
  <si>
    <t>8150002068</t>
  </si>
  <si>
    <t>7880167660</t>
  </si>
  <si>
    <t>8830000581</t>
  </si>
  <si>
    <t>8699694192</t>
  </si>
  <si>
    <t>4920005704</t>
  </si>
  <si>
    <t>2230009898</t>
  </si>
  <si>
    <t>7880300229</t>
  </si>
  <si>
    <t>7880240052</t>
  </si>
  <si>
    <t>3928971223</t>
  </si>
  <si>
    <t>6350000172</t>
  </si>
  <si>
    <t>2580000855</t>
  </si>
  <si>
    <t>8240026871</t>
  </si>
  <si>
    <t>2780003749</t>
  </si>
  <si>
    <t>1600003703</t>
  </si>
  <si>
    <t>6652549943</t>
  </si>
  <si>
    <t>4210020050</t>
  </si>
  <si>
    <t>8830000632</t>
  </si>
  <si>
    <t>5561008226</t>
  </si>
  <si>
    <t>9092134804</t>
  </si>
  <si>
    <t>1600003229</t>
  </si>
  <si>
    <t>5561006334</t>
  </si>
  <si>
    <t>3252013071</t>
  </si>
  <si>
    <t>3928971109</t>
  </si>
  <si>
    <t>3921109001</t>
  </si>
  <si>
    <t>8150000274</t>
  </si>
  <si>
    <t>8241000045</t>
  </si>
  <si>
    <t>8150007237</t>
  </si>
  <si>
    <t>5500007215</t>
  </si>
  <si>
    <t>8150021251</t>
  </si>
  <si>
    <t>8150000184</t>
  </si>
  <si>
    <t>7880263987</t>
  </si>
  <si>
    <t>8241000025</t>
  </si>
  <si>
    <t>1780829201</t>
  </si>
  <si>
    <t>4080205151</t>
  </si>
  <si>
    <t>4080206620</t>
  </si>
  <si>
    <t>9950012939</t>
  </si>
  <si>
    <t>6353068467</t>
  </si>
  <si>
    <t>5870107491</t>
  </si>
  <si>
    <t>5520615205</t>
  </si>
  <si>
    <t>2780003937</t>
  </si>
  <si>
    <t>5500007248</t>
  </si>
  <si>
    <t>5500005559</t>
  </si>
  <si>
    <t>5500006485</t>
  </si>
  <si>
    <t>5500005037</t>
  </si>
  <si>
    <t>9950010921</t>
  </si>
  <si>
    <t>3671698741</t>
  </si>
  <si>
    <t>9950009082</t>
  </si>
  <si>
    <t>6433491267</t>
  </si>
  <si>
    <t>3510727932</t>
  </si>
  <si>
    <t>8150000775</t>
  </si>
  <si>
    <t>5520594996</t>
  </si>
  <si>
    <t>5520030486</t>
  </si>
  <si>
    <t>6220006206</t>
  </si>
  <si>
    <t>8830001585</t>
  </si>
  <si>
    <t>1560088020</t>
  </si>
  <si>
    <t>3928972463</t>
  </si>
  <si>
    <t>9950009024</t>
  </si>
  <si>
    <t>9092202402</t>
  </si>
  <si>
    <t>2580000030</t>
  </si>
  <si>
    <t>5520145906</t>
  </si>
  <si>
    <t>7880242300</t>
  </si>
  <si>
    <t>8240042524</t>
  </si>
  <si>
    <t>4930000101</t>
  </si>
  <si>
    <t>8830001450</t>
  </si>
  <si>
    <t>8830001451</t>
  </si>
  <si>
    <t>1780862013</t>
  </si>
  <si>
    <t>3950001276</t>
  </si>
  <si>
    <t>6350000208</t>
  </si>
  <si>
    <t>8240111216</t>
  </si>
  <si>
    <t>2580004142</t>
  </si>
  <si>
    <t>4930000120</t>
  </si>
  <si>
    <t>6436070000</t>
  </si>
  <si>
    <t>5520566919</t>
  </si>
  <si>
    <t>2580003803</t>
  </si>
  <si>
    <t>7142074185</t>
  </si>
  <si>
    <t>1460030385</t>
  </si>
  <si>
    <t>8150000157</t>
  </si>
  <si>
    <t>9950000206</t>
  </si>
  <si>
    <t>5561005878</t>
  </si>
  <si>
    <t>5500006940</t>
  </si>
  <si>
    <t>1780887649</t>
  </si>
  <si>
    <t>4920004052</t>
  </si>
  <si>
    <t>5520029739</t>
  </si>
  <si>
    <t>5561001655</t>
  </si>
  <si>
    <t>3920897930</t>
  </si>
  <si>
    <t>4920005517</t>
  </si>
  <si>
    <t>4920007050</t>
  </si>
  <si>
    <t>2780003765</t>
  </si>
  <si>
    <t>4080208576</t>
  </si>
  <si>
    <t>1600002958</t>
  </si>
  <si>
    <t>4920007197</t>
  </si>
  <si>
    <t>4920007016</t>
  </si>
  <si>
    <t>5520030400</t>
  </si>
  <si>
    <t>4490004618</t>
  </si>
  <si>
    <t>4490004619</t>
  </si>
  <si>
    <t>4490004625</t>
  </si>
  <si>
    <t>4490004626</t>
  </si>
  <si>
    <t>6369518398</t>
  </si>
  <si>
    <t>7880180531</t>
  </si>
  <si>
    <t>4920002686</t>
  </si>
  <si>
    <t>4920006675</t>
  </si>
  <si>
    <t>2230011662</t>
  </si>
  <si>
    <t>2780093464</t>
  </si>
  <si>
    <t>1600002901</t>
  </si>
  <si>
    <t>7281690724</t>
  </si>
  <si>
    <t>6361078460</t>
  </si>
  <si>
    <t>8830001778</t>
  </si>
  <si>
    <t>1780816015</t>
  </si>
  <si>
    <t>3950000364</t>
  </si>
  <si>
    <t>5870107033</t>
  </si>
  <si>
    <t>5870107234</t>
  </si>
  <si>
    <t>4920004304</t>
  </si>
  <si>
    <t>4920004305</t>
  </si>
  <si>
    <t>4920002086</t>
  </si>
  <si>
    <t>6368847503</t>
  </si>
  <si>
    <t>1780895774</t>
  </si>
  <si>
    <t>9963216001</t>
  </si>
  <si>
    <t>9092113802</t>
  </si>
  <si>
    <t>2780003646</t>
  </si>
  <si>
    <t>7270001730</t>
  </si>
  <si>
    <t>7881680950</t>
  </si>
  <si>
    <t>6350000385</t>
  </si>
  <si>
    <t>3920897008</t>
  </si>
  <si>
    <t>6220008133</t>
  </si>
  <si>
    <t>9092117402</t>
  </si>
  <si>
    <t>9092408001</t>
  </si>
  <si>
    <t>5561002576</t>
  </si>
  <si>
    <t>2780002635</t>
  </si>
  <si>
    <t>6350000215</t>
  </si>
  <si>
    <t>2170038896</t>
  </si>
  <si>
    <t>5520048128</t>
  </si>
  <si>
    <t>8699694718</t>
  </si>
  <si>
    <t>1780817984</t>
  </si>
  <si>
    <t>4920006031</t>
  </si>
  <si>
    <t>5520834980</t>
  </si>
  <si>
    <t>7881360120</t>
  </si>
  <si>
    <t>3252020085</t>
  </si>
  <si>
    <t>2580007022</t>
  </si>
  <si>
    <t>8150001276</t>
  </si>
  <si>
    <t>3530231054</t>
  </si>
  <si>
    <t>8150019679</t>
  </si>
  <si>
    <t>5500006790</t>
  </si>
  <si>
    <t>8830001016</t>
  </si>
  <si>
    <t>8830000530</t>
  </si>
  <si>
    <t>8830001763</t>
  </si>
  <si>
    <t>7270001752</t>
  </si>
  <si>
    <t>4084530948</t>
  </si>
  <si>
    <t>3928971002</t>
  </si>
  <si>
    <t>2580007008</t>
  </si>
  <si>
    <t>1780895085</t>
  </si>
  <si>
    <t>1780858741</t>
  </si>
  <si>
    <t>1780803344</t>
  </si>
  <si>
    <t>6436001680</t>
  </si>
  <si>
    <t>1780801879</t>
  </si>
  <si>
    <t>1780814800</t>
  </si>
  <si>
    <t>8699694324</t>
  </si>
  <si>
    <t>4080208163</t>
  </si>
  <si>
    <t>3950001199</t>
  </si>
  <si>
    <t>2230008335</t>
  </si>
  <si>
    <t>7880298354</t>
  </si>
  <si>
    <t>2580006752</t>
  </si>
  <si>
    <t>7880186011</t>
  </si>
  <si>
    <t>1780851287</t>
  </si>
  <si>
    <t>1560013380</t>
  </si>
  <si>
    <t>4920005617</t>
  </si>
  <si>
    <t>2230011328</t>
  </si>
  <si>
    <t>3250200350</t>
  </si>
  <si>
    <t>3928972486</t>
  </si>
  <si>
    <t>4920006640</t>
  </si>
  <si>
    <t>5350000262</t>
  </si>
  <si>
    <t>7880296171</t>
  </si>
  <si>
    <t>1780889632</t>
  </si>
  <si>
    <t>7880221613</t>
  </si>
  <si>
    <t>4920005361</t>
  </si>
  <si>
    <t>4920004416</t>
  </si>
  <si>
    <t>2230011670</t>
  </si>
  <si>
    <t>4920006791</t>
  </si>
  <si>
    <t>8699694483</t>
  </si>
  <si>
    <t>4087185546</t>
  </si>
  <si>
    <t>4080800246</t>
  </si>
  <si>
    <t>4920005576</t>
  </si>
  <si>
    <t>9092134902</t>
  </si>
  <si>
    <t>5520727385</t>
  </si>
  <si>
    <t>1780835586</t>
  </si>
  <si>
    <t>5380000691</t>
  </si>
  <si>
    <t>4791087965</t>
  </si>
  <si>
    <t>3920897941</t>
  </si>
  <si>
    <t>1780876165</t>
  </si>
  <si>
    <t>9092022601</t>
  </si>
  <si>
    <t>4080400083</t>
  </si>
  <si>
    <t>9950008644</t>
  </si>
  <si>
    <t>9955108644</t>
  </si>
  <si>
    <t>8240070115</t>
  </si>
  <si>
    <t>4080400085</t>
  </si>
  <si>
    <t>4797109100</t>
  </si>
  <si>
    <t>4087184475</t>
  </si>
  <si>
    <t>5870002095</t>
  </si>
  <si>
    <t>5561008135</t>
  </si>
  <si>
    <t>3672000074</t>
  </si>
  <si>
    <t>1780844952</t>
  </si>
  <si>
    <t>3252013053</t>
  </si>
  <si>
    <t>8150001582</t>
  </si>
  <si>
    <t>6436015811</t>
  </si>
  <si>
    <t>7880273210</t>
  </si>
  <si>
    <t>3532023083</t>
  </si>
  <si>
    <t>4080400082</t>
  </si>
  <si>
    <t>4087184643</t>
  </si>
  <si>
    <t>5380000609</t>
  </si>
  <si>
    <t>7880076907</t>
  </si>
  <si>
    <t>7880200749</t>
  </si>
  <si>
    <t>7880163876</t>
  </si>
  <si>
    <t>1780857969</t>
  </si>
  <si>
    <t>9092220101</t>
  </si>
  <si>
    <t>4087186403</t>
  </si>
  <si>
    <t>8241000046</t>
  </si>
  <si>
    <t>2230001951</t>
  </si>
  <si>
    <t>5500005417</t>
  </si>
  <si>
    <t>5500005708</t>
  </si>
  <si>
    <t>5520048357</t>
  </si>
  <si>
    <t>7880210157</t>
  </si>
  <si>
    <t>7880192513</t>
  </si>
  <si>
    <t>3950000275</t>
  </si>
  <si>
    <t>5500005008</t>
  </si>
  <si>
    <t>5500005676</t>
  </si>
  <si>
    <t>5500006008</t>
  </si>
  <si>
    <t>5500006515</t>
  </si>
  <si>
    <t>5520327810</t>
  </si>
  <si>
    <t>5520030314</t>
  </si>
  <si>
    <t>2780002832</t>
  </si>
  <si>
    <t>7270001664</t>
  </si>
  <si>
    <t>5350000353</t>
  </si>
  <si>
    <t>4920006527</t>
  </si>
  <si>
    <t>1780881605</t>
  </si>
  <si>
    <t>4920006733</t>
  </si>
  <si>
    <t>4920006734</t>
  </si>
  <si>
    <t>5350000303</t>
  </si>
  <si>
    <t>5520595819</t>
  </si>
  <si>
    <t>9950001468</t>
  </si>
  <si>
    <t>5500006659</t>
  </si>
  <si>
    <t>5500007151</t>
  </si>
  <si>
    <t>2580002140</t>
  </si>
  <si>
    <t>8150001114</t>
  </si>
  <si>
    <t>5870107434</t>
  </si>
  <si>
    <t>1780889681</t>
  </si>
  <si>
    <t>4081205440</t>
  </si>
  <si>
    <t>4088107410</t>
  </si>
  <si>
    <t>5561001500</t>
  </si>
  <si>
    <t>5520550979</t>
  </si>
  <si>
    <t>7880212902</t>
  </si>
  <si>
    <t>5500006818</t>
  </si>
  <si>
    <t>3928972490</t>
  </si>
  <si>
    <t>7880251840</t>
  </si>
  <si>
    <t>8210003752</t>
  </si>
  <si>
    <t>7880251841</t>
  </si>
  <si>
    <t>9092129308</t>
  </si>
  <si>
    <t>5500006838</t>
  </si>
  <si>
    <t>5520149686</t>
  </si>
  <si>
    <t>8830000146</t>
  </si>
  <si>
    <t>1600003716</t>
  </si>
  <si>
    <t>2780024961</t>
  </si>
  <si>
    <t>3256902672</t>
  </si>
  <si>
    <t>3252022070</t>
  </si>
  <si>
    <t>2780003824</t>
  </si>
  <si>
    <t>2580004227</t>
  </si>
  <si>
    <t>1460031127</t>
  </si>
  <si>
    <t>1467256459</t>
  </si>
  <si>
    <t>5561001104</t>
  </si>
  <si>
    <t>2580002075</t>
  </si>
  <si>
    <t>8240022723</t>
  </si>
  <si>
    <t>5500000130</t>
  </si>
  <si>
    <t>5500007184</t>
  </si>
  <si>
    <t>2580002259</t>
  </si>
  <si>
    <t>5870107091</t>
  </si>
  <si>
    <t>5500006519</t>
  </si>
  <si>
    <t>2230011340</t>
  </si>
  <si>
    <t>4080400089</t>
  </si>
  <si>
    <t>6400010394</t>
  </si>
  <si>
    <t>6250039101</t>
  </si>
  <si>
    <t>5561002193</t>
  </si>
  <si>
    <t>1780844751</t>
  </si>
  <si>
    <t>8240100822</t>
  </si>
  <si>
    <t>5500006459</t>
  </si>
  <si>
    <t>2202404700</t>
  </si>
  <si>
    <t>5561001680</t>
  </si>
  <si>
    <t>9950010512</t>
  </si>
  <si>
    <t>5870104037</t>
  </si>
  <si>
    <t>2580004813</t>
  </si>
  <si>
    <t>5871076650</t>
  </si>
  <si>
    <t>5871092761</t>
  </si>
  <si>
    <t>5871098836</t>
  </si>
  <si>
    <t>5874230788</t>
  </si>
  <si>
    <t>5875943437</t>
  </si>
  <si>
    <t>5561000026</t>
  </si>
  <si>
    <t>6220008579</t>
  </si>
  <si>
    <t>3671900101</t>
  </si>
  <si>
    <t>8240061823</t>
  </si>
  <si>
    <t>5561001649</t>
  </si>
  <si>
    <t>9950012567</t>
  </si>
  <si>
    <t>6220003178</t>
  </si>
  <si>
    <t>8150001194</t>
  </si>
  <si>
    <t>4081201869</t>
  </si>
  <si>
    <t>4920005588</t>
  </si>
  <si>
    <t>5561002198</t>
  </si>
  <si>
    <t>6432580787</t>
  </si>
  <si>
    <t>4087184568</t>
  </si>
  <si>
    <t>7880297837</t>
  </si>
  <si>
    <t>4920003131</t>
  </si>
  <si>
    <t>8699694868</t>
  </si>
  <si>
    <t>4087184917</t>
  </si>
  <si>
    <t>1780873681</t>
  </si>
  <si>
    <t>6368946263</t>
  </si>
  <si>
    <t>1600002179</t>
  </si>
  <si>
    <t>9092202006</t>
  </si>
  <si>
    <t>3950000978</t>
  </si>
  <si>
    <t>8210003803</t>
  </si>
  <si>
    <t>8210003804</t>
  </si>
  <si>
    <t>7990000386</t>
  </si>
  <si>
    <t>1780025304</t>
  </si>
  <si>
    <t>1780878211</t>
  </si>
  <si>
    <t>2230007141</t>
  </si>
  <si>
    <t>2230008927</t>
  </si>
  <si>
    <t>9092412001</t>
  </si>
  <si>
    <t>1780896272</t>
  </si>
  <si>
    <t>1780851339</t>
  </si>
  <si>
    <t>7880154493</t>
  </si>
  <si>
    <t>9091129801</t>
  </si>
  <si>
    <t>4083574811</t>
  </si>
  <si>
    <t>5405398250</t>
  </si>
  <si>
    <t>5561001713</t>
  </si>
  <si>
    <t>7880153073</t>
  </si>
  <si>
    <t>4083900037</t>
  </si>
  <si>
    <t>8150001105</t>
  </si>
  <si>
    <t>5561002181</t>
  </si>
  <si>
    <t>5561001832</t>
  </si>
  <si>
    <t>5561000029</t>
  </si>
  <si>
    <t>4797058700</t>
  </si>
  <si>
    <t>7880009876</t>
  </si>
  <si>
    <t>1780857453</t>
  </si>
  <si>
    <t>4086158375</t>
  </si>
  <si>
    <t>1780900935</t>
  </si>
  <si>
    <t>4081205129</t>
  </si>
  <si>
    <t>2580006410</t>
  </si>
  <si>
    <t>3250200472</t>
  </si>
  <si>
    <t>5350000360</t>
  </si>
  <si>
    <t>5350000405</t>
  </si>
  <si>
    <t>5350000401</t>
  </si>
  <si>
    <t>5350000428</t>
  </si>
  <si>
    <t>5350000429</t>
  </si>
  <si>
    <t>5350000426</t>
  </si>
  <si>
    <t>5350000421</t>
  </si>
  <si>
    <t>5350000420</t>
  </si>
  <si>
    <t>5350000399</t>
  </si>
  <si>
    <t>5350000400</t>
  </si>
  <si>
    <t>5350000419</t>
  </si>
  <si>
    <t>5350000418</t>
  </si>
  <si>
    <t>5350000427</t>
  </si>
  <si>
    <t>6830020008</t>
  </si>
  <si>
    <t>9950009763</t>
  </si>
  <si>
    <t>9950007623</t>
  </si>
  <si>
    <t>5520241964</t>
  </si>
  <si>
    <t>8150003363</t>
  </si>
  <si>
    <t>5561001851</t>
  </si>
  <si>
    <t>5520031507</t>
  </si>
  <si>
    <t>7142073823</t>
  </si>
  <si>
    <t>2780003152</t>
  </si>
  <si>
    <t>3950000016</t>
  </si>
  <si>
    <t>7142077630</t>
  </si>
  <si>
    <t>9092428401</t>
  </si>
  <si>
    <t>7882230400</t>
  </si>
  <si>
    <t>8150000392</t>
  </si>
  <si>
    <t>2580001095</t>
  </si>
  <si>
    <t>2580006837</t>
  </si>
  <si>
    <t>2170011167</t>
  </si>
  <si>
    <t>5561006446</t>
  </si>
  <si>
    <t>5520031212</t>
  </si>
  <si>
    <t>7270000892</t>
  </si>
  <si>
    <t>5090311601</t>
  </si>
  <si>
    <t>8431901586</t>
  </si>
  <si>
    <t>2230010863</t>
  </si>
  <si>
    <t>2230005741</t>
  </si>
  <si>
    <t>2230008527</t>
  </si>
  <si>
    <t>1560013330</t>
  </si>
  <si>
    <t>8830000266</t>
  </si>
  <si>
    <t>3250200245</t>
  </si>
  <si>
    <t>8150024793</t>
  </si>
  <si>
    <t>1460029784</t>
  </si>
  <si>
    <t>2780001862</t>
  </si>
  <si>
    <t>9092129205</t>
  </si>
  <si>
    <t>5520822787</t>
  </si>
  <si>
    <t>5400000164</t>
  </si>
  <si>
    <t>8150014785</t>
  </si>
  <si>
    <t>7881636290</t>
  </si>
  <si>
    <t>9950000052</t>
  </si>
  <si>
    <t>7880286022</t>
  </si>
  <si>
    <t>4080208516</t>
  </si>
  <si>
    <t>6220005191</t>
  </si>
  <si>
    <t>4087185251</t>
  </si>
  <si>
    <t>8150001991</t>
  </si>
  <si>
    <t>5520813867</t>
  </si>
  <si>
    <t>4087185701</t>
  </si>
  <si>
    <t>1780868566</t>
  </si>
  <si>
    <t>5520031486</t>
  </si>
  <si>
    <t>5520030907</t>
  </si>
  <si>
    <t>2580000444</t>
  </si>
  <si>
    <t>1600003520</t>
  </si>
  <si>
    <t>4920004095</t>
  </si>
  <si>
    <t>5561004204</t>
  </si>
  <si>
    <t>5561001957</t>
  </si>
  <si>
    <t>6350000235</t>
  </si>
  <si>
    <t>5561000385</t>
  </si>
  <si>
    <t>2780003297</t>
  </si>
  <si>
    <t>2580000625</t>
  </si>
  <si>
    <t>2580001220</t>
  </si>
  <si>
    <t>2580004312</t>
  </si>
  <si>
    <t>4920007180</t>
  </si>
  <si>
    <t>2780098598</t>
  </si>
  <si>
    <t>2780000009</t>
  </si>
  <si>
    <t>1780803416</t>
  </si>
  <si>
    <t>5561005252</t>
  </si>
  <si>
    <t>8150001723</t>
  </si>
  <si>
    <t>5561006758</t>
  </si>
  <si>
    <t>4087184217</t>
  </si>
  <si>
    <t>5500006733</t>
  </si>
  <si>
    <t>5500007144</t>
  </si>
  <si>
    <t>6830023007</t>
  </si>
  <si>
    <t>3671700074</t>
  </si>
  <si>
    <t>5520461431</t>
  </si>
  <si>
    <t>8210007344</t>
  </si>
  <si>
    <t>1780863321</t>
  </si>
  <si>
    <t>9092435001</t>
  </si>
  <si>
    <t>6350000353</t>
  </si>
  <si>
    <t>7142070046</t>
  </si>
  <si>
    <t>5350000038</t>
  </si>
  <si>
    <t>1780876067</t>
  </si>
  <si>
    <t>1780842683</t>
  </si>
  <si>
    <t>4083800006</t>
  </si>
  <si>
    <t>1202450800</t>
  </si>
  <si>
    <t>5520783266</t>
  </si>
  <si>
    <t>5520783262</t>
  </si>
  <si>
    <t>8699694598</t>
  </si>
  <si>
    <t>8150000976</t>
  </si>
  <si>
    <t>4920006483</t>
  </si>
  <si>
    <t>6369796167</t>
  </si>
  <si>
    <t>8699693992</t>
  </si>
  <si>
    <t>1463560077</t>
  </si>
  <si>
    <t>9091434301</t>
  </si>
  <si>
    <t>5520030898</t>
  </si>
  <si>
    <t>8241000096</t>
  </si>
  <si>
    <t>8150001833</t>
  </si>
  <si>
    <t>3950001346</t>
  </si>
  <si>
    <t>8690009381</t>
  </si>
  <si>
    <t>7142073829</t>
  </si>
  <si>
    <t>3671700048</t>
  </si>
  <si>
    <t>6361658544</t>
  </si>
  <si>
    <t>2780001390</t>
  </si>
  <si>
    <t>2780001787</t>
  </si>
  <si>
    <t>7888361300</t>
  </si>
  <si>
    <t>7880153697</t>
  </si>
  <si>
    <t>6240225242</t>
  </si>
  <si>
    <t>2230001523</t>
  </si>
  <si>
    <t>2230011564</t>
  </si>
  <si>
    <t>8150000569</t>
  </si>
  <si>
    <t>4081096210</t>
  </si>
  <si>
    <t>1780901569</t>
  </si>
  <si>
    <t>4920004280</t>
  </si>
  <si>
    <t>5561004595</t>
  </si>
  <si>
    <t>5870002051</t>
  </si>
  <si>
    <t>6350000625</t>
  </si>
  <si>
    <t>5561007735</t>
  </si>
  <si>
    <t>8830000148</t>
  </si>
  <si>
    <t>4920003713</t>
  </si>
  <si>
    <t>4920006139</t>
  </si>
  <si>
    <t>2580006940</t>
  </si>
  <si>
    <t>8830001819</t>
  </si>
  <si>
    <t>4797103800</t>
  </si>
  <si>
    <t>4920001817</t>
  </si>
  <si>
    <t>5561008565</t>
  </si>
  <si>
    <t>7880138231</t>
  </si>
  <si>
    <t>1780864650</t>
  </si>
  <si>
    <t>7880168500</t>
  </si>
  <si>
    <t>1200770000</t>
  </si>
  <si>
    <t>1600002849</t>
  </si>
  <si>
    <t>5520030123</t>
  </si>
  <si>
    <t>5561002206</t>
  </si>
  <si>
    <t>5500007175</t>
  </si>
  <si>
    <t>8210003415</t>
  </si>
  <si>
    <t>4084758096</t>
  </si>
  <si>
    <t>1780815133</t>
  </si>
  <si>
    <t>1780881483</t>
  </si>
  <si>
    <t>2230009722</t>
  </si>
  <si>
    <t>6362734522</t>
  </si>
  <si>
    <t>6367638111</t>
  </si>
  <si>
    <t>7880230888</t>
  </si>
  <si>
    <t>1780895246</t>
  </si>
  <si>
    <t>1780848450</t>
  </si>
  <si>
    <t>3928972351</t>
  </si>
  <si>
    <t>5561003136</t>
  </si>
  <si>
    <t>8241000112</t>
  </si>
  <si>
    <t>5520195655</t>
  </si>
  <si>
    <t>4920005416</t>
  </si>
  <si>
    <t>2230000107</t>
  </si>
  <si>
    <t>2230010598</t>
  </si>
  <si>
    <t>4081595803</t>
  </si>
  <si>
    <t>1582022322</t>
  </si>
  <si>
    <t>5561002144</t>
  </si>
  <si>
    <t>6780000020</t>
  </si>
  <si>
    <t>6220005558</t>
  </si>
  <si>
    <t>4080207201</t>
  </si>
  <si>
    <t>5520031196</t>
  </si>
  <si>
    <t>1780905302</t>
  </si>
  <si>
    <t>9460000380</t>
  </si>
  <si>
    <t>3532023639</t>
  </si>
  <si>
    <t>4080201767</t>
  </si>
  <si>
    <t>5561004748</t>
  </si>
  <si>
    <t>8150000574</t>
  </si>
  <si>
    <t>8240031713</t>
  </si>
  <si>
    <t>9092133503</t>
  </si>
  <si>
    <t>5520030956</t>
  </si>
  <si>
    <t>2580001943</t>
  </si>
  <si>
    <t>8150000509</t>
  </si>
  <si>
    <t>3671700004</t>
  </si>
  <si>
    <t>5561002571</t>
  </si>
  <si>
    <t>5561002249</t>
  </si>
  <si>
    <t>1462339484</t>
  </si>
  <si>
    <t>2780001992</t>
  </si>
  <si>
    <t>5520030121</t>
  </si>
  <si>
    <t>2580002767</t>
  </si>
  <si>
    <t>7880272762</t>
  </si>
  <si>
    <t>7880272760</t>
  </si>
  <si>
    <t>7880272764</t>
  </si>
  <si>
    <t>5520030595</t>
  </si>
  <si>
    <t>2230009153</t>
  </si>
  <si>
    <t>5561008410</t>
  </si>
  <si>
    <t>2170047930</t>
  </si>
  <si>
    <t>3928971171</t>
  </si>
  <si>
    <t>6352006259</t>
  </si>
  <si>
    <t>9092131601</t>
  </si>
  <si>
    <t>2780003819</t>
  </si>
  <si>
    <t>2580000405</t>
  </si>
  <si>
    <t>5500006612</t>
  </si>
  <si>
    <t>5500006556</t>
  </si>
  <si>
    <t>8150000750</t>
  </si>
  <si>
    <t>8240121316</t>
  </si>
  <si>
    <t>7142070488</t>
  </si>
  <si>
    <t>9092130805</t>
  </si>
  <si>
    <t>1600002597</t>
  </si>
  <si>
    <t>5520029645</t>
  </si>
  <si>
    <t>2230011641</t>
  </si>
  <si>
    <t>8241000066</t>
  </si>
  <si>
    <t>8830001574</t>
  </si>
  <si>
    <t>8830000578</t>
  </si>
  <si>
    <t>5561001688</t>
  </si>
  <si>
    <t>4087186274</t>
  </si>
  <si>
    <t>4087186275</t>
  </si>
  <si>
    <t>8240012221</t>
  </si>
  <si>
    <t>1780882458</t>
  </si>
  <si>
    <t>1780882456</t>
  </si>
  <si>
    <t>1780884098</t>
  </si>
  <si>
    <t>1780899259</t>
  </si>
  <si>
    <t>1780882459</t>
  </si>
  <si>
    <t>1780882460</t>
  </si>
  <si>
    <t>1780862990</t>
  </si>
  <si>
    <t>1780862750</t>
  </si>
  <si>
    <t>3950001182</t>
  </si>
  <si>
    <t>2230008280</t>
  </si>
  <si>
    <t>2230008103</t>
  </si>
  <si>
    <t>4490004326</t>
  </si>
  <si>
    <t>3950001181</t>
  </si>
  <si>
    <t>1780807749</t>
  </si>
  <si>
    <t>1780861737</t>
  </si>
  <si>
    <t>2230009327</t>
  </si>
  <si>
    <t>4082473009</t>
  </si>
  <si>
    <t>4085095484</t>
  </si>
  <si>
    <t>3532021636</t>
  </si>
  <si>
    <t>7142074532</t>
  </si>
  <si>
    <t>1780891271</t>
  </si>
  <si>
    <t>1780891272</t>
  </si>
  <si>
    <t>8210008280</t>
  </si>
  <si>
    <t>8150014961</t>
  </si>
  <si>
    <t>8240061521</t>
  </si>
  <si>
    <t>4087184947</t>
  </si>
  <si>
    <t>8431300542</t>
  </si>
  <si>
    <t>5870001574</t>
  </si>
  <si>
    <t>2170014812</t>
  </si>
  <si>
    <t>Operation Name</t>
  </si>
  <si>
    <t>Operation's business name</t>
  </si>
  <si>
    <t>"Peresvet" LLC</t>
  </si>
  <si>
    <t>100 (Por cento) Amazônia Agroindustria Ltda</t>
  </si>
  <si>
    <t>1000 Springs Mill</t>
  </si>
  <si>
    <t>1889 Wild West Co.</t>
  </si>
  <si>
    <t>3-C Hay and Grain</t>
  </si>
  <si>
    <t>65NJ Realty LLC dba Grand Cru Farm</t>
  </si>
  <si>
    <t>888 Organic Exporter Co., Ltd</t>
  </si>
  <si>
    <t>A &amp; W Farm Operations, Inc</t>
  </si>
  <si>
    <t>A. Zerega's Sons, Inc.</t>
  </si>
  <si>
    <t>Aadhya Ingredients</t>
  </si>
  <si>
    <t>Aaha Impex Private Limited</t>
  </si>
  <si>
    <t>Aaron Schroht</t>
  </si>
  <si>
    <t>AARON VOGLER FARMS</t>
  </si>
  <si>
    <t>Aarush Food Grain Private Limited</t>
  </si>
  <si>
    <t>Abbott Blackstone Company Inc.</t>
  </si>
  <si>
    <t>Abney &amp; Sons Farm</t>
  </si>
  <si>
    <t>Abram Ziegler dba Ziegler Farms</t>
  </si>
  <si>
    <t>AC PERU INTERNACIONAL S.A.C</t>
  </si>
  <si>
    <t>ACC/GWG, LLC dba American Commodity Co./Great Western Growers, LLC</t>
  </si>
  <si>
    <t>Ace Endico Corporation</t>
  </si>
  <si>
    <t>Acorn Community Inc. dba Southern Exposure Seed Exchange</t>
  </si>
  <si>
    <t>Adam Barnes</t>
  </si>
  <si>
    <t>Adams Australia Pty Ltd</t>
  </si>
  <si>
    <t>Adams Grain Company</t>
  </si>
  <si>
    <t>Adaptive Seeds, LLC</t>
  </si>
  <si>
    <t>ADDCROP S.A.</t>
  </si>
  <si>
    <t>Addison County Relocalization Network, Inc.</t>
  </si>
  <si>
    <t>ADF Foods Limited</t>
  </si>
  <si>
    <t>Aditi Krishi Sewa Samiti</t>
  </si>
  <si>
    <t>Advanced Marketing Group</t>
  </si>
  <si>
    <t>Advanced Spice &amp; Trading, Inc.</t>
  </si>
  <si>
    <t>Advanved Ag Rescources, Inc - Wabash</t>
  </si>
  <si>
    <t>AFI IMPEX PERU S.A.C.</t>
  </si>
  <si>
    <t>Africa Ventures FZ LLC DMCC</t>
  </si>
  <si>
    <t>Ag Partners Cooperative Inc.</t>
  </si>
  <si>
    <t>Ag Source LLC</t>
  </si>
  <si>
    <t>Agrawal Oil &amp; Biocheam</t>
  </si>
  <si>
    <t>AGRICO FOODS EGYPT</t>
  </si>
  <si>
    <t>AGRICOLA MAKEMAKE Ltda</t>
  </si>
  <si>
    <t>Agricor, Inc. DBA Grain Millers</t>
  </si>
  <si>
    <t>Agridient Limited</t>
  </si>
  <si>
    <t>AGRIPROCESS S.A.C.</t>
  </si>
  <si>
    <t>AGRO FERGI S.A.C.</t>
  </si>
  <si>
    <t>AGRO JUNGLE PERU EIRL</t>
  </si>
  <si>
    <t>AGRO REDES S.R.L.</t>
  </si>
  <si>
    <t>AGRO SUR LATINO SAC</t>
  </si>
  <si>
    <t>AGRODER HUBUBAT BAKLİYAT GIDA SAN. İÇ VE DIŞ TİC. LTD. ŞTİ.</t>
  </si>
  <si>
    <t>AGROECOLOGY PE</t>
  </si>
  <si>
    <t>AGROFINO FOODS S.A.C.</t>
  </si>
  <si>
    <t>Agrohaat Retail Private Limited</t>
  </si>
  <si>
    <t>AGROINDUSTRIAS MONARCA S.A.C.</t>
  </si>
  <si>
    <t>AGROINDUSTRIAS OSHO S.A.C.</t>
  </si>
  <si>
    <t>Agroinvest - Natural Products LLC</t>
  </si>
  <si>
    <t>Agronic Food Private Limited</t>
  </si>
  <si>
    <t>Agropecuaria Algarrobal S.A.</t>
  </si>
  <si>
    <t>Agropecuaria Beraba Ltda</t>
  </si>
  <si>
    <t>Agropecuaria Chia Corp Bolivia S.A.</t>
  </si>
  <si>
    <t>AGSOF S.A.</t>
  </si>
  <si>
    <t>AHG Traders</t>
  </si>
  <si>
    <t>AIP Chem, Inc. dba All Ingredients Plus</t>
  </si>
  <si>
    <t>AJS Organic LLC</t>
  </si>
  <si>
    <t>AKC Commodities Inc.</t>
  </si>
  <si>
    <t>AKE RICE MILL CO., LTD.</t>
  </si>
  <si>
    <t>AKPRO Gıda San. ve Tıc. A.Ş.</t>
  </si>
  <si>
    <t>Al Fayrouz Farm</t>
  </si>
  <si>
    <t>Al Garas for Spices &amp; Herbs</t>
  </si>
  <si>
    <t>Al Nagy Farm</t>
  </si>
  <si>
    <t>Al Ola  Farms Group 26801182300293</t>
  </si>
  <si>
    <t>Alanric Food Distributors Inc. DBA Cento Fine Foods</t>
  </si>
  <si>
    <t>Alba Ranch</t>
  </si>
  <si>
    <t>Albert Lea Seed House, Inc</t>
  </si>
  <si>
    <t>Albertsons Companies, Inc. dba Lucerne Foods, Inc.</t>
  </si>
  <si>
    <t>ALBIUS RESOURCES SA</t>
  </si>
  <si>
    <t>Aldino Srl - Pastificio Mennucci</t>
  </si>
  <si>
    <t>Alexander Commercial Enterprise, LLC</t>
  </si>
  <si>
    <t>ALFG Farm III LLC - Allen A. Gingerich</t>
  </si>
  <si>
    <t>Algro International LLC</t>
  </si>
  <si>
    <t>ALIANZA MERIDIEN S.A. DE C.V.</t>
  </si>
  <si>
    <t>Alimentos Tia Sônia Ltda</t>
  </si>
  <si>
    <t>Aliments Global Private Limited</t>
  </si>
  <si>
    <t>ALINOA S.A.</t>
  </si>
  <si>
    <t>ALL AGRO</t>
  </si>
  <si>
    <t>All American Hay, LLC</t>
  </si>
  <si>
    <t>All Star Grain LLC</t>
  </si>
  <si>
    <t>All Star Trading Inc.</t>
  </si>
  <si>
    <t>All-Farm Organics -  William Newton Hale</t>
  </si>
  <si>
    <t>Alliance Organics, LLC</t>
  </si>
  <si>
    <t>Allive USA LLC dba Planet Superfood</t>
  </si>
  <si>
    <t>ALPA TRADE S.R.L.</t>
  </si>
  <si>
    <t>ALTAT TARIM LTD.ŞTİ</t>
  </si>
  <si>
    <t>Alvada Grain, A Division of The Mennel Milling Company</t>
  </si>
  <si>
    <t>Alvarado St. Bakery</t>
  </si>
  <si>
    <t>Al-Wahab Rice Mills Pvt Ltd</t>
  </si>
  <si>
    <t>Am Sied Bhataji Farmer Producer Company Limited</t>
  </si>
  <si>
    <t>AM SIED DHAMANGAON FARMER PRODUCER COMPANY LIMITED</t>
  </si>
  <si>
    <t>AM SIED Mategaon Farmer Group</t>
  </si>
  <si>
    <t>AM SIED PALASGAON FARMER PRODUCER COMPANY LIMITED</t>
  </si>
  <si>
    <t>AMAFOODS SRL</t>
  </si>
  <si>
    <t>Amazing Nutra, Inc.</t>
  </si>
  <si>
    <t>AMAZON ANDES EXPORT S.A.C.</t>
  </si>
  <si>
    <t>AMAZON SPECIALTIES S.A.C.</t>
  </si>
  <si>
    <t>AMAZONAS TRADING PERU S.A.C.</t>
  </si>
  <si>
    <t>Amballavalasa farmers society</t>
  </si>
  <si>
    <t>American Food &amp; Beverage Industry LLC</t>
  </si>
  <si>
    <t>American Natural Processors, LLC</t>
  </si>
  <si>
    <t>American Organic Food Company</t>
  </si>
  <si>
    <t>American Pasteurization Company - CoManufacturing</t>
  </si>
  <si>
    <t>American Pistachio Commodity Corp. DBA Sunrise Commodities Inc.</t>
  </si>
  <si>
    <t>American Pop Corn Company</t>
  </si>
  <si>
    <t>American River Ag, Inc.</t>
  </si>
  <si>
    <t>AmeriCold Logistics, LLC</t>
  </si>
  <si>
    <t>Amnartcharoen Organic Agricultural Community Enterprise Network</t>
  </si>
  <si>
    <t>Amorn Rice Organic Thailand Ltd.</t>
  </si>
  <si>
    <t>AMPST Online, LLC dba Boxed Greens Certified Organic</t>
  </si>
  <si>
    <t>Amru Rice (Cambodia) Co., Ltd</t>
  </si>
  <si>
    <t>AMSIED AKHATWADA AGROTECH PRODUCER COMPANY LIMITED</t>
  </si>
  <si>
    <t>AMSIED Pimpri Shetkariputra Producer Company Limited</t>
  </si>
  <si>
    <t>Amsied Rail Farmer Producer Company Limited</t>
  </si>
  <si>
    <t>AMSIED TEESGAON AGRITECHNOO PRODUCER COMPANY LIMITED</t>
  </si>
  <si>
    <t>AMSIEDNATURECARE Lamangaon Techno Producer Company Limited</t>
  </si>
  <si>
    <t>AMSIEDNATURECARE NIRGUDI FARMTECHNO PRODUCER COMPANY LIMITED</t>
  </si>
  <si>
    <t>AMSIEDNATURECARE PALASWADI TANDA SHETKARI PRODUCER COMPANY LIMITED</t>
  </si>
  <si>
    <t>AMSIEDNATURECARE SARAI AGRITECH PRODUCER COMPANY LIMITED</t>
  </si>
  <si>
    <t>AMSIEDNATURECARE Tisgaon Tanda Agrotech Producer Company Limited</t>
  </si>
  <si>
    <t>Amycel</t>
  </si>
  <si>
    <t>Ana Maria Gomes Mata ME (Nat'Orgânico)</t>
  </si>
  <si>
    <t>Anbio International Company Limited</t>
  </si>
  <si>
    <t>Ancient Agro</t>
  </si>
  <si>
    <t>Ancient Brands Milling, LLC</t>
  </si>
  <si>
    <t>Ancient Grains LLC dba Grand Teton Ancient Grains (together with Grand Teton Farms LLC)</t>
  </si>
  <si>
    <t>Andean Dream LLC</t>
  </si>
  <si>
    <t>ANDEAN FOODS ENTERPRISE - ANFE</t>
  </si>
  <si>
    <t>ANDEAN GRAINS SUPER FOODS PERU S.A.C.</t>
  </si>
  <si>
    <t>Andean Valley S.A.</t>
  </si>
  <si>
    <t>ANDINS SUPERFOODS S.A.C.</t>
  </si>
  <si>
    <t>Andrew Farms, LLC</t>
  </si>
  <si>
    <t>Ângelo Figueiredo Tomás (Sitio Ilha Flor)</t>
  </si>
  <si>
    <t>Annie's Heirloom Seeds, LLC</t>
  </si>
  <si>
    <t>ANS PERUANA EIRL</t>
  </si>
  <si>
    <t>ANTHONY ENSZ</t>
  </si>
  <si>
    <t>Anytime Foods LLC</t>
  </si>
  <si>
    <t>AOG TruFood Mfg</t>
  </si>
  <si>
    <t>APAPO ORGANIC</t>
  </si>
  <si>
    <t>Apotec Bay Botanoical and Medicinal Plants Extracts</t>
  </si>
  <si>
    <t>ARASA FZE</t>
  </si>
  <si>
    <t>ARASA GIDA PERAKENDE YATIRIM VE ISLETME SAN. TIC. A.S</t>
  </si>
  <si>
    <t>Ardent Mills LLC</t>
  </si>
  <si>
    <t>Ardent Mills LLC DBA Ardent Mills Bakery Resources</t>
  </si>
  <si>
    <t>Ardent Mills, LLC</t>
  </si>
  <si>
    <t>Ardent Mills, LLC DBA Commerce City Grain</t>
  </si>
  <si>
    <t>ARGANISME Cosmetics SARL</t>
  </si>
  <si>
    <t>ARIOVALDO CERATTI Y CIA LTDA.</t>
  </si>
  <si>
    <t>Arizona Grain, Inc.</t>
  </si>
  <si>
    <t>Arlen Beery</t>
  </si>
  <si>
    <t>ARMADA GIDA TIC. SAN. A.S.</t>
  </si>
  <si>
    <t>ARMCOM</t>
  </si>
  <si>
    <t>AROMEYA SARL</t>
  </si>
  <si>
    <t>Arrocera San Pedro de Lagunilla S.A.</t>
  </si>
  <si>
    <t>Artisan Bakers</t>
  </si>
  <si>
    <t>Artisan Specialty Foods</t>
  </si>
  <si>
    <t>Artisan Tropic</t>
  </si>
  <si>
    <t>ARYAN FOOD INGREDIENTS LTD</t>
  </si>
  <si>
    <t>Aryan International FZC</t>
  </si>
  <si>
    <t>Asia Express Company</t>
  </si>
  <si>
    <t>Askegaard Organic Farm</t>
  </si>
  <si>
    <t>Aslan Brewing Company LLC</t>
  </si>
  <si>
    <t>ASMITA SUPER MARKETS PRIVATE LIMITED</t>
  </si>
  <si>
    <t>Asociación Comunitaria Integral Florida</t>
  </si>
  <si>
    <t>ASOCIACION DE PRODUCTORES AGRARIOS DE LA MICROCUENCA SAN JERONIMO MATZURINIARI PANGOA VRAEM</t>
  </si>
  <si>
    <t>ASOCIACION DE PRODUCTORES AGROPECUARIOS DE LA COMUNIDAD CULPINA K - APRACCUK</t>
  </si>
  <si>
    <t>Asociación de Productores Agropecuarios de Quinua Orgánica y Camélido Chivo Jimira - APRAQUIOCC</t>
  </si>
  <si>
    <t>ASOCIACION DE PRODUCTORES ECOLOGICOS DE QUINUA Y CAMELIDOS APREQC</t>
  </si>
  <si>
    <t>Asociación de Productores Orgánicos para el Desarrollo Integral del Polochic – APODIP</t>
  </si>
  <si>
    <t>ASOCIACIÓN DE PRODUCTORES SUMAQRURUY DEL VRAEM</t>
  </si>
  <si>
    <t>ASODOCAPRO INC.</t>
  </si>
  <si>
    <t>Aspen Moon Farm, LLC</t>
  </si>
  <si>
    <t>Aspirise (Dalian) International Trade Co., LTD.</t>
  </si>
  <si>
    <t>Aspirise (Dalian) International Trade Co., LTD. (Organic Warehouse)</t>
  </si>
  <si>
    <t>ASPRO SARL</t>
  </si>
  <si>
    <t>Associated Feed &amp; Supply Co.</t>
  </si>
  <si>
    <t>Atalanta Corporation</t>
  </si>
  <si>
    <t>ATLANTA BONDED WAREHOUSE CORPORATION dba, ABW Logistics of MS</t>
  </si>
  <si>
    <t>Atlas Foods (Pvt) Ltd</t>
  </si>
  <si>
    <t>ATS TRADE LLC</t>
  </si>
  <si>
    <t>Attune Foods, LLC</t>
  </si>
  <si>
    <t>Aurora Mills &amp; Farm LLC</t>
  </si>
  <si>
    <t>Aurora Products, Inc.</t>
  </si>
  <si>
    <t>Aus Organic Feeds Pty Ltd</t>
  </si>
  <si>
    <t>Auster Foods, LLC</t>
  </si>
  <si>
    <t>Avani Foods (managed by Vandana Organic Trade Pvt. Ltd)</t>
  </si>
  <si>
    <t>AVENDAÑO TRADING COMPANY SAC - TRADER</t>
  </si>
  <si>
    <t>AVT NATURAL PRODUCTS LIMITED</t>
  </si>
  <si>
    <t>Axaya Agriculture Welfare Society</t>
  </si>
  <si>
    <t>Axiom Foods Inc.</t>
  </si>
  <si>
    <t>AXM GREEN S.A.S.</t>
  </si>
  <si>
    <t>Aysal Tarim Ürünleri Dış Tic. ve Gıda San. Ltd. Şti</t>
  </si>
  <si>
    <t>Azure Farm, Inc. DBA Azure Husbandry; Azure Farm; Azure Market Organics</t>
  </si>
  <si>
    <t>Bacco Wine &amp; Spirit, LLC</t>
  </si>
  <si>
    <t>Back Roads Food Company, LLC</t>
  </si>
  <si>
    <t>Badwani Dharadhar Krashak Utthan Samiti (managed by K K Fiber)</t>
  </si>
  <si>
    <t>Badwani Haritiya Krashak Utthan Samiti (managed by K K Fiber)</t>
  </si>
  <si>
    <t>Badwani Warla Krashak Nawutthan Samiti</t>
  </si>
  <si>
    <t>Baer's Best Farm</t>
  </si>
  <si>
    <t>Baese Family Farm LLC</t>
  </si>
  <si>
    <t>Bag O’ Grins (Tianjin) Food Limited.</t>
  </si>
  <si>
    <t>Baicheng Longsheng Industry and Technology Co.,LTD.</t>
  </si>
  <si>
    <t>BakeMark USA LLC - Albany</t>
  </si>
  <si>
    <t>BakeMark USA LLC - Baltimore</t>
  </si>
  <si>
    <t>BakeMark USA LLC DBA BakeMark</t>
  </si>
  <si>
    <t>Baltoro LLC dba Baltoro - Primal Harvest - Baltoro Foods - Natural Primal</t>
  </si>
  <si>
    <t>Ban Um-sang organic rice mill community enterprise</t>
  </si>
  <si>
    <t>Baobab des saveurs SARL</t>
  </si>
  <si>
    <t>Baoqing County Xinfeng Agricultural and Sideline Products CO.,Ltd</t>
  </si>
  <si>
    <t>Bar ALE, Inc.</t>
  </si>
  <si>
    <t>Bar GX Hay &amp; Cattle, LLC</t>
  </si>
  <si>
    <t>Barhyte Specialty Foods, Inc.</t>
  </si>
  <si>
    <t>Barnes Ranch</t>
  </si>
  <si>
    <t>BARRACA J. W. ERRO S.A.</t>
  </si>
  <si>
    <t>Barton Springs Mill, Inc.</t>
  </si>
  <si>
    <t>Başak Tarım Ürünleri Sanayi ve Ticaret Anonim Şirketi</t>
  </si>
  <si>
    <t>Basant Bio Farmers</t>
  </si>
  <si>
    <t>Basic Grain Products, Inc.</t>
  </si>
  <si>
    <t>Bauderer Packaging</t>
  </si>
  <si>
    <t>Baxters North America</t>
  </si>
  <si>
    <t>Baxters North America DBA: The Wornick Company</t>
  </si>
  <si>
    <t>Bay State Milling Co</t>
  </si>
  <si>
    <t>Bay State Milling Company</t>
  </si>
  <si>
    <t>Bay State Milling Company - Bolingbrook</t>
  </si>
  <si>
    <t>Beckmann's Old World Bakery, Ltd.</t>
  </si>
  <si>
    <t>Bedemco, Inc</t>
  </si>
  <si>
    <t>Beech-Nut Nutrition Corporation</t>
  </si>
  <si>
    <t>Bei'an city Junhong Agricultural Technology Co. , Ltd.</t>
  </si>
  <si>
    <t>Bei'an city Junhong Agricultural Technology Co. , Ltd. (Jilin Baiyi Organic Agriculture Development)</t>
  </si>
  <si>
    <t>BEIDAHUANG QINMIN ORGANIC FOODS CO., LTD.</t>
  </si>
  <si>
    <t>Beijing Infinite Co., Ltd.</t>
  </si>
  <si>
    <t>Beijing Jingdu Yinlong Co., Ltd.</t>
  </si>
  <si>
    <t>Beijing Timely Trading Co., Ltd.</t>
  </si>
  <si>
    <t>Beijing Welhouse Herbs Co., Ltd</t>
  </si>
  <si>
    <t>Bell-Carter Packaging</t>
  </si>
  <si>
    <t>Belle Valley Ancient Grains</t>
  </si>
  <si>
    <t>Belltown Logistics NE LLC</t>
  </si>
  <si>
    <t>Ben Penner Farms</t>
  </si>
  <si>
    <t>Beneficiadora de Almendra UNIONEX S.R.L.</t>
  </si>
  <si>
    <t>Bennett Farming, LLC</t>
  </si>
  <si>
    <t>Bergin Fruit and Nut Company</t>
  </si>
  <si>
    <t>Berglund Marketing DBA Berglund Natural Foods</t>
  </si>
  <si>
    <t>Berglund Marketing, Inc. dba Berglund Natural Foods</t>
  </si>
  <si>
    <t>Bert &amp; Wetta Sales, Inc.</t>
  </si>
  <si>
    <t>Best Express Foods</t>
  </si>
  <si>
    <t>Betterbody Foods And Nutrition</t>
  </si>
  <si>
    <t>BG ORGANICS LLC</t>
  </si>
  <si>
    <t>Bharat Industrial Enterprises Private Limited</t>
  </si>
  <si>
    <t>Bhilkhedi Jaivik Kisan</t>
  </si>
  <si>
    <t>Bhumi Putra Krushak Sangathan</t>
  </si>
  <si>
    <t>Bickel's Snack Foods, Inc.</t>
  </si>
  <si>
    <t>Bickford Farms, Inc. dba Meadowlark Organics</t>
  </si>
  <si>
    <t>Big Green (USA) Inc.</t>
  </si>
  <si>
    <t>Bimbo Bakehouse LLC</t>
  </si>
  <si>
    <t>Bimbo Bakeries USA</t>
  </si>
  <si>
    <t>Bimbo Bakeries USA – Fort Worth</t>
  </si>
  <si>
    <t>Bio Earth Foundation</t>
  </si>
  <si>
    <t>Bio Hunza</t>
  </si>
  <si>
    <t>Bio Panax Development (Thailand) Co.,Ltd.</t>
  </si>
  <si>
    <t>BIO XXI LLC</t>
  </si>
  <si>
    <t>BIOANADOLU TARIM SAN. VE TIC. LTD.STI</t>
  </si>
  <si>
    <t>Biocosechas de México S.A. de C.V.</t>
  </si>
  <si>
    <t>BioDynamics LLC</t>
  </si>
  <si>
    <t>BIOELEMENTOS SAC</t>
  </si>
  <si>
    <t>BIOFORM Ltd.</t>
  </si>
  <si>
    <t>Bio-Kinetics Corporation</t>
  </si>
  <si>
    <t>Bioking Organic Produce Corp</t>
  </si>
  <si>
    <t>BIOMES ORGANIC SAS</t>
  </si>
  <si>
    <t>BIOPEKS TARIM SAN VE TIC LTD STI</t>
  </si>
  <si>
    <t>Biorgânica Produtos Orgânicos Ltda.</t>
  </si>
  <si>
    <t>BIORICA LLC</t>
  </si>
  <si>
    <t>BIOTERRA S.A</t>
  </si>
  <si>
    <t>Bioway Industrial Group Ltd</t>
  </si>
  <si>
    <t>Biscuits Leclerc Ltee</t>
  </si>
  <si>
    <t>Bixby &amp; Company LLC</t>
  </si>
  <si>
    <t>Black Band LLC dba Black Band Distillery</t>
  </si>
  <si>
    <t>Black Cat Farm, LLC dba Black Cat Farm</t>
  </si>
  <si>
    <t>Blackbird Rise</t>
  </si>
  <si>
    <t>Blend Pak Inc.</t>
  </si>
  <si>
    <t>BlendSource, Inc.</t>
  </si>
  <si>
    <t>Blount Fine Foods Corp.</t>
  </si>
  <si>
    <t>BLUE LAKE MILLING PTY LTD</t>
  </si>
  <si>
    <t>Blue Lake Milling Pty Ltd</t>
  </si>
  <si>
    <t>BLUE OCEAN IMPORT EXPORT CO., LTD</t>
  </si>
  <si>
    <t>BLUE PACIFIC OILS S.A.C</t>
  </si>
  <si>
    <t>Blue Sky Nutrition LLC</t>
  </si>
  <si>
    <t>Bluebird Grain Farms LLC</t>
  </si>
  <si>
    <t>Bluegrass Farms Of Ohio, Inc</t>
  </si>
  <si>
    <t>Bluestem Enterprises, LLC</t>
  </si>
  <si>
    <t>Bob's Red Mill Natural Foods, Inc.</t>
  </si>
  <si>
    <t>Bolke-Miller, Co</t>
  </si>
  <si>
    <t>Bono USA Inc.</t>
  </si>
  <si>
    <t>BONTOUX SAS</t>
  </si>
  <si>
    <t>Botticelli Foods LLC</t>
  </si>
  <si>
    <t>Brad's Organic LLC</t>
  </si>
  <si>
    <t>Brandon and Randy Hampshire</t>
  </si>
  <si>
    <t>Brandon Fawaz DBA Fawaz Farming</t>
  </si>
  <si>
    <t>Breadtopia, Inc</t>
  </si>
  <si>
    <t>Breda Ag Solutions</t>
  </si>
  <si>
    <t>Brenntag Solutions and Services, LLC</t>
  </si>
  <si>
    <t>Breslin Farms, LLC.</t>
  </si>
  <si>
    <t>Brian Severson Farms, Inc. DBA Quality Organic</t>
  </si>
  <si>
    <t>Bridgetown Natural Foods, LLC</t>
  </si>
  <si>
    <t>Bridgewell Agribusiness LLC</t>
  </si>
  <si>
    <t>Brightwood Farm, LLC</t>
  </si>
  <si>
    <t>Broadgrain Commodities Inc.</t>
  </si>
  <si>
    <t>BROADVIEW AGRICULTURE INC; JBS FARMS JV</t>
  </si>
  <si>
    <t>Brolite Products Inc.</t>
  </si>
  <si>
    <t>Brunos Breads, LLC dba Organic Bread of Heaven</t>
  </si>
  <si>
    <t>BSCM FOODS CO.,LTD</t>
  </si>
  <si>
    <t>BSP LARTI S.A.</t>
  </si>
  <si>
    <t>Buckeye Hay Company</t>
  </si>
  <si>
    <t>BUFFALO TRACE DISTILLERY LLC.</t>
  </si>
  <si>
    <t>BULLMARK S.R.L.</t>
  </si>
  <si>
    <t>BUNKER FOODS CORP.</t>
  </si>
  <si>
    <t>Buriram Organic Agricultural Community Enterprise Network</t>
  </si>
  <si>
    <t>Burns Sons LLC</t>
  </si>
  <si>
    <t>Burpee Garden Products LLC</t>
  </si>
  <si>
    <t>Byers' Organic Dairy LLC</t>
  </si>
  <si>
    <t>BYO Operations, LLC dba Beyond Organic Nutritionals</t>
  </si>
  <si>
    <t>C. E. Roeper GmbH</t>
  </si>
  <si>
    <t>C.B. Powell Ltd. dba Powell May International</t>
  </si>
  <si>
    <t>C3 Seeds</t>
  </si>
  <si>
    <t>Cache Harvest Company</t>
  </si>
  <si>
    <t>Cada Family Farm, LLC</t>
  </si>
  <si>
    <t>Café Britt Costa Rica S.A.</t>
  </si>
  <si>
    <t>Café do Mercado - Comércio de Cafés Ltda – Filial</t>
  </si>
  <si>
    <t>Café do Mercado - Comércio de Cafés Ltda - Matriz</t>
  </si>
  <si>
    <t>Calbee America, Inc</t>
  </si>
  <si>
    <t>Calen &amp; Vanessa Weidner</t>
  </si>
  <si>
    <t>Cali International Group LLC dba IQF World</t>
  </si>
  <si>
    <t>California Cereal Products, Inc.</t>
  </si>
  <si>
    <t>California Craft Maltings, LLC dba Admiral Maltings</t>
  </si>
  <si>
    <t>California Nutritional Products, Inc.</t>
  </si>
  <si>
    <t>CALOSUR INDUSTRIAL S.A.</t>
  </si>
  <si>
    <t>Camas Country Mill, LLC</t>
  </si>
  <si>
    <t>CAMINO ANDINO S.A.C.</t>
  </si>
  <si>
    <t>Camino de Paz</t>
  </si>
  <si>
    <t>Capistran Seed Co</t>
  </si>
  <si>
    <t>Capitol Distribution Company LLC</t>
  </si>
  <si>
    <t>Caravan Ingredients, Inc. DBA Corbion</t>
  </si>
  <si>
    <t>Cargill Feed &amp; Nutrition</t>
  </si>
  <si>
    <t>Cargill Incorporated</t>
  </si>
  <si>
    <t>Carl B. Engstrom</t>
  </si>
  <si>
    <t>Carl Brandt, Inc.</t>
  </si>
  <si>
    <t>CARMABE S.A.</t>
  </si>
  <si>
    <t>Carolina Ingredients, Inc.</t>
  </si>
  <si>
    <t>CARPE DIEM LANDGOED Pty (Ltd)</t>
  </si>
  <si>
    <t>Cascade Fruit Marketing DBA Foodguys, Inc.</t>
  </si>
  <si>
    <t>Cascade Milling, LLC DBA Cascade Organic Flour, LLC</t>
  </si>
  <si>
    <t>Cashton Farm Supply, Ltd.</t>
  </si>
  <si>
    <t>Castle Rock Farming, LLC DBA Threemile Canyon Farms &amp; T&amp;C Organics; CBD AG, LLC</t>
  </si>
  <si>
    <t>CAUPOLICAN S.R.L.</t>
  </si>
  <si>
    <t>CAVAS DEL VALLE LTDA.</t>
  </si>
  <si>
    <t>Cayuga Ag Enterprises, Inc.</t>
  </si>
  <si>
    <t>Cedar Bend Industries, LLC</t>
  </si>
  <si>
    <t>Cedar's Mediterranean Foods, Inc.</t>
  </si>
  <si>
    <t>CEDERBOS PTY (Ltd)</t>
  </si>
  <si>
    <t>Celebration Holdings Private Limited</t>
  </si>
  <si>
    <t>Cemre Tarım Ürünleri San. ve Dış. Tic. A.Ş.</t>
  </si>
  <si>
    <t>Central Baking Supplies Inc.</t>
  </si>
  <si>
    <t>Central Milling Collinston</t>
  </si>
  <si>
    <t>Central Milling Company</t>
  </si>
  <si>
    <t>Central Milling Richmond</t>
  </si>
  <si>
    <t>Central Milling/Keith Giusto Bakery Supply</t>
  </si>
  <si>
    <t>CENTRAL SOUTH AFRICAN ORGANIC EXPORT</t>
  </si>
  <si>
    <t>Central Valley Ag</t>
  </si>
  <si>
    <t>Central Valley Ag Cooperative</t>
  </si>
  <si>
    <t>Central Valley Ag Group dba Central Valley Ag Grinding</t>
  </si>
  <si>
    <t>Central Valley Plant and Seed dba Kandarian Organic Farms</t>
  </si>
  <si>
    <t>CENTRO AGROECOLOGICO SAN FRANCISCO DE ASIS S.A. DE C.V.; CULTIVOS  TROPICALES</t>
  </si>
  <si>
    <t>Centuria Co., Ltd</t>
  </si>
  <si>
    <t>Cereal Byproducts Company</t>
  </si>
  <si>
    <t>Cereal Tech Corporation Ltd.</t>
  </si>
  <si>
    <t>CEREALSTAR EOOD (LTD)</t>
  </si>
  <si>
    <t>Cerealto USA LLC</t>
  </si>
  <si>
    <t>Ceres Commodities LLC</t>
  </si>
  <si>
    <t>Ceylon Naturale Agrista (Pvt) Ltd</t>
  </si>
  <si>
    <t>CFS Specialties, Inc.</t>
  </si>
  <si>
    <t>CGD Farms dba Massa Organics</t>
  </si>
  <si>
    <t>Chaman Lal Setia Exports Ltd.</t>
  </si>
  <si>
    <t>Champlain Valley Milling Corp</t>
  </si>
  <si>
    <t>Changchun HuaHao Science &amp; Technology Co., Ltd</t>
  </si>
  <si>
    <t>Chen-chee Grains and Consumable Oils Co.,Ltd</t>
  </si>
  <si>
    <t>Chen-Chee Grains And Consumable Oils Co.,Ltd</t>
  </si>
  <si>
    <t>Chen-chee Grains and Consumable Oils Co.,Ltd - Fengyuan (Suifenhe)</t>
  </si>
  <si>
    <t>Chen-chee Grains and Consumable Oils Co.,Ltd - Wu Chang City Xing Guo Liang You Gong Mao</t>
  </si>
  <si>
    <t>Chen-chee Grains and Consumable Oils Co.,Ltd (Qinggang Limin Grain Trade)</t>
  </si>
  <si>
    <t>Chesterfield Valley Ranches LLC dba CV Ranches</t>
  </si>
  <si>
    <t>Chicheng County Binfu Food Production Co., Ltd.</t>
  </si>
  <si>
    <t>Chifeng Kaifeng Trading Co., Ltd.</t>
  </si>
  <si>
    <t>China Dongcheng International Natural Food Co.,Ltd</t>
  </si>
  <si>
    <t>China Dongcheng International Natural Food Co.,Ltd (TPFTZ AIXIN FOODSTUFFS)</t>
  </si>
  <si>
    <t>Chinalight General Merchandise I/E Corporation</t>
  </si>
  <si>
    <t>Chris Gubbels</t>
  </si>
  <si>
    <t>Chris Knutzen Grain, Inc.</t>
  </si>
  <si>
    <t>Christian Aid Ministries Foundation</t>
  </si>
  <si>
    <t>CHS Inc.</t>
  </si>
  <si>
    <t>Ciao Imports, LLC</t>
  </si>
  <si>
    <t>Cibo Divino LLC</t>
  </si>
  <si>
    <t>Cicalares S.A.</t>
  </si>
  <si>
    <t>Clint Menke</t>
  </si>
  <si>
    <t>Cloverfield Organic Farm LLC</t>
  </si>
  <si>
    <t>CO MAY COMPANY LIMITED</t>
  </si>
  <si>
    <t>Cohocton Valley Mills LLC</t>
  </si>
  <si>
    <t>Cold Springs Organics</t>
  </si>
  <si>
    <t>Cold Zone</t>
  </si>
  <si>
    <t>Colorado Quinoa, LLC</t>
  </si>
  <si>
    <t>COLOREXA SOCIEDAD ANONIMA CERRADA</t>
  </si>
  <si>
    <t>Columbia Grain International Inc.</t>
  </si>
  <si>
    <t>Columbia Grain International, LLC - Ross</t>
  </si>
  <si>
    <t>Com. Alt. de Prod. No Trad. y Des. en Lat. Ame.</t>
  </si>
  <si>
    <t>Comercializadora de Granos Ecologicos Cogreco S.R.L</t>
  </si>
  <si>
    <t>Comercializadora Sejum, SA de CV.</t>
  </si>
  <si>
    <t>Comercializadora Zaffre, SA. de CV.</t>
  </si>
  <si>
    <t>Commitment 2000 Inc. dba Father Sam's Bakery</t>
  </si>
  <si>
    <t>Community Foods, LLC</t>
  </si>
  <si>
    <t>COMPAÑIA DE ALIMENTOS LTDA.</t>
  </si>
  <si>
    <t>COMPLEJO PORTUARIO EUROAMÉRICA S.A.</t>
  </si>
  <si>
    <t>COMPLETE AGRO SERVICES SAC</t>
  </si>
  <si>
    <t>Comrural XXI S.R.L.</t>
  </si>
  <si>
    <t>Conca D'oro Importers LLC</t>
  </si>
  <si>
    <t>CONSORCIO ANDINO DE PRODUCTORES AGROPECUARIOS - CAPA</t>
  </si>
  <si>
    <t>CONSORCIO ORGÁNICO MORELENSE SANTA ANITA S.P.R. DE R.L.</t>
  </si>
  <si>
    <t>Consorzi Foods, LLC</t>
  </si>
  <si>
    <t>Contil India Ltd.</t>
  </si>
  <si>
    <t>Continuum Grain Prep LLC</t>
  </si>
  <si>
    <t>Conway Feed Inc</t>
  </si>
  <si>
    <t>COOP-CA UDEPST DE KOUSSOUNTOU</t>
  </si>
  <si>
    <t>COOPERATIVA AGRARIA FRUTOS DEL ANDE</t>
  </si>
  <si>
    <t>COOPERATIVA AGRARIA PRODUCTORES DE TARA DEL NORTE</t>
  </si>
  <si>
    <t>Cooperativa Agrícola da Bahia - COAB</t>
  </si>
  <si>
    <t>COOPERATIVA DE SERVICIOS MULTIPLES FLOR DE DALIA R.L</t>
  </si>
  <si>
    <t>Cooperative Elevator Co - East Pine Facility</t>
  </si>
  <si>
    <t>Cooperative Elevator Co - Elkton Elevator</t>
  </si>
  <si>
    <t>Cooperative Elevator Co - Elkton Specialty</t>
  </si>
  <si>
    <t>Coorporacion Agro Andina Del Sur Sac</t>
  </si>
  <si>
    <t>Coosemans L.A. Shipping, Inc.</t>
  </si>
  <si>
    <t>Cormier Rice Milling Co.</t>
  </si>
  <si>
    <t>CORONILLA S.A.</t>
  </si>
  <si>
    <t>CORPORACION DE PRODUCTORES Y COMERCIALIZADORES ORGANICOS BIO TAITA CHIMBORAZO</t>
  </si>
  <si>
    <t>Cosco International, Inc.</t>
  </si>
  <si>
    <t>Country Gourmet Foods LLC</t>
  </si>
  <si>
    <t>Country Life Natural Foods</t>
  </si>
  <si>
    <t>Country Ridge Bean, Inc</t>
  </si>
  <si>
    <t>Country Valley Farm dba Country Valley Farm</t>
  </si>
  <si>
    <t>Courtright Enterprises, Inc</t>
  </si>
  <si>
    <t>Cowberry Industries Private Limited</t>
  </si>
  <si>
    <t>CPX PERU S.A.C.</t>
  </si>
  <si>
    <t>Cream Of The West Inc.</t>
  </si>
  <si>
    <t>Create A Pack</t>
  </si>
  <si>
    <t>Creek Bend Dairy Farm</t>
  </si>
  <si>
    <t>Crescendo Inc. DBA Fireside</t>
  </si>
  <si>
    <t>Crest Foods Co., Inc.</t>
  </si>
  <si>
    <t>CROPP Cooperative (Cooperative Regions of Organic Producer Pools) DBA Organic Valley</t>
  </si>
  <si>
    <t>CrownRise Pharmaceutical Llc.</t>
  </si>
  <si>
    <t>Crux Ingredients LLC</t>
  </si>
  <si>
    <t>Crystal Spring Community Farm, LLC Maquoit Wild Blueberries</t>
  </si>
  <si>
    <t>CSS NATURALS S.A.C.</t>
  </si>
  <si>
    <t>Cualli Brands LLC dba Cualli Brands</t>
  </si>
  <si>
    <t>Custom Drying, LLC</t>
  </si>
  <si>
    <t>D&amp;J Service LLC</t>
  </si>
  <si>
    <t>D&amp;M AVIATION LLC DBA GATEWAY FARM</t>
  </si>
  <si>
    <t>Da Vita Foods Co Inc</t>
  </si>
  <si>
    <t>Daabon Organic Australia Pty Ltd</t>
  </si>
  <si>
    <t>DAANA FARMERS NETWORK PRIVATE LIMITED</t>
  </si>
  <si>
    <t>DAAWAT FOODS LIMITED</t>
  </si>
  <si>
    <t>Daily Harvest, Inc.</t>
  </si>
  <si>
    <t>Dairyland Produce LLC dba Sid Wainer &amp; Son</t>
  </si>
  <si>
    <t>Dairyland Produce, LLC dba Greenleaf</t>
  </si>
  <si>
    <t>Dairyland USA Corp</t>
  </si>
  <si>
    <t>Dairyland USA Corporation dba The Chefs' Warehouse</t>
  </si>
  <si>
    <t>Dairymen's Feed &amp; Supply Co-op</t>
  </si>
  <si>
    <t>Daivik Organic</t>
  </si>
  <si>
    <t>Dakota Growers Pasta Company Inc. DBA Dakota Growers Pasta Company</t>
  </si>
  <si>
    <t>Dakota Prairie Lodge &amp; Resort LLC</t>
  </si>
  <si>
    <t>Dakota Specialty Milling, Inc.</t>
  </si>
  <si>
    <t>Dale W. Tudor dba Weatherbury Farm</t>
  </si>
  <si>
    <t>Dalian Bestfeed Biotech Co.,Ltd.</t>
  </si>
  <si>
    <t>Dalian Bio Grains International Trading Company Ltd.</t>
  </si>
  <si>
    <t>Dalian Chienho Organic Food Co.,Ltd.</t>
  </si>
  <si>
    <t>DaLian Contain Agri Developing Co.,Ltd</t>
  </si>
  <si>
    <t>Dalian Dafu International Trade CO., LTD.</t>
  </si>
  <si>
    <t>Dalian Dafu International Trade Co., Ltd. (Jixian County Jinhaiyuan Soy Protein Processing)</t>
  </si>
  <si>
    <t>Dalian Dongenhui Agriculture Development Co., Ltd</t>
  </si>
  <si>
    <t>Dalian Doudou Agricultural Development Co.,LTD</t>
  </si>
  <si>
    <t>Dalian EverGarin Co., Ltd. (Processing Factory)</t>
  </si>
  <si>
    <t>Dalian Gindy Oil &amp; Foodstuff Co., Ltd.</t>
  </si>
  <si>
    <t>Dalian Great Harvest Co.,Ltd</t>
  </si>
  <si>
    <t>Dalian Guanghe Agricultural Products Co., Ltd</t>
  </si>
  <si>
    <t>Dalian Guanghe Agricultural Products Co., Ltd. (Warehouse)</t>
  </si>
  <si>
    <t>Dalian Guangyu Cereals Processing Co., Ltd.</t>
  </si>
  <si>
    <t>Dalian HLT Agricultural Development Co., Ltd.</t>
  </si>
  <si>
    <t>Dalian Hongren Whole Grain Foodstuffs Co. Ltd.</t>
  </si>
  <si>
    <t>Dalian Huaen Co. Ltd (Dalian Rihua Organic Food Clean Co. Ltd.)</t>
  </si>
  <si>
    <t>Dalian Huaen Co., Ltd - (Guanxian Xinrui Industrial)</t>
  </si>
  <si>
    <t>Dalian Huaen Co., Ltd. (Meihekou Fukang alcohol)</t>
  </si>
  <si>
    <t>Dalian Huaen Co., Ltd. -Tongliao Organic Farm 1</t>
  </si>
  <si>
    <t>Dalian Huaen Co., Ltd. -Tongliao Organic Farm 2</t>
  </si>
  <si>
    <t>Dalian Huaen Co., Ltd., Zhuluke Organic Farm</t>
  </si>
  <si>
    <t>Dalian Jiahe Grain Co., Ltd.</t>
  </si>
  <si>
    <t>Dalian Know-How Agri-Products Developing Co.,Ltd</t>
  </si>
  <si>
    <t>Dalian Longjixiang CO., LTD.</t>
  </si>
  <si>
    <t>Dalian Longjixiang Co.,ltd.</t>
  </si>
  <si>
    <t>Dalian Minshi Organic Agricultural Products Processing Co., Ltd.</t>
  </si>
  <si>
    <t>Dalian Minshi Organic Agricultural Products Processing Co.,Ltd.</t>
  </si>
  <si>
    <t>Dalian Mujing Agriculture Development Co., Ltd</t>
  </si>
  <si>
    <t>Dalian NaEnRui International Trading Co., Ltd</t>
  </si>
  <si>
    <t>Dalian PLS Trade Co., Ltd</t>
  </si>
  <si>
    <t>Dalian PLS Trade Co., Ltd (Dalian Sunrich Foods&amp;Oils Co., Ltd)</t>
  </si>
  <si>
    <t>Dalian Qiduo Trading Co., Ltd.</t>
  </si>
  <si>
    <t>DALIAN QIFENG TRADE CO.,LTD.</t>
  </si>
  <si>
    <t>Dalian Shengfang Organic Food Co.,Ltd.</t>
  </si>
  <si>
    <t>Dalian Shengfang Organic Food Co.,Ltd.(Fukun Processing)</t>
  </si>
  <si>
    <t>Dalian Shengheyuan Organics Co.,Ltd</t>
  </si>
  <si>
    <t>Dalian Spring Agricultural Products Co., Ltd.</t>
  </si>
  <si>
    <t>Dalian Sunrich Foods&amp;Oils Co., Ltd.</t>
  </si>
  <si>
    <t>Dalian Tiangu Grain and Oil Co., Ltd.</t>
  </si>
  <si>
    <t>Dalian Tradin Biotechnology Co.,Ltd</t>
  </si>
  <si>
    <t>Dalian Tradin Biotechnology Co.,Ltd (Heilongjiang Hongzhan Biological Technology Incorporated Co.,Ltd)</t>
  </si>
  <si>
    <t>Dalian Weifeng International Trade Co.,Ltd.</t>
  </si>
  <si>
    <t>Dalian Weifeng International Trade Co.,Ltd. (Inner Mongolia Northern Land - Agricultural Development Co., LTD)</t>
  </si>
  <si>
    <t>Dalian Xiang Jiang Food Co., Ltd.</t>
  </si>
  <si>
    <t>Dalian Xiang Jiang Food Co., LTD. (Wengniute Banner Guiran)</t>
  </si>
  <si>
    <t>DALIAN XINGLONGKEN ORGANIC CEREAL &amp; OIL CO., LTD.</t>
  </si>
  <si>
    <t>Dalian Xinglongken Organic Products Co., Ltd. - Kulun Farm</t>
  </si>
  <si>
    <t>Dalian Xintai International Trade Co.,LTD.</t>
  </si>
  <si>
    <t>Dalian Xinyi Organics Co.,Ltd</t>
  </si>
  <si>
    <t>Dalian Yufenghe Agricultural Products Co.,Ltd.</t>
  </si>
  <si>
    <t>Dalian Yuhang International Trade Co., Ltd.</t>
  </si>
  <si>
    <t>Dalian Yuhang International Trade CO., LTD. (Songyuan Heyi Procesing Unit)</t>
  </si>
  <si>
    <t>Dalian Yuhang International Trade Co.,Ltd.</t>
  </si>
  <si>
    <t>Dalian Yulin Trading CO. LTD.</t>
  </si>
  <si>
    <t>Dalian Zhen Ze Co., Ltd.</t>
  </si>
  <si>
    <t>Dalian Zhengye Trading Co., Ltd. -Zhaluteqi A</t>
  </si>
  <si>
    <t>Dalian Zhongyuan Trading Co., Ltd.</t>
  </si>
  <si>
    <t>Damascus Bakery Inc.</t>
  </si>
  <si>
    <t>Dan McCarty</t>
  </si>
  <si>
    <t>Dan On &amp; Associates (USA) Ltd. dba Dan-D-Pak</t>
  </si>
  <si>
    <t>Dane Kuper</t>
  </si>
  <si>
    <t>Daniel and Jana Strevey dba JanDan Farms</t>
  </si>
  <si>
    <t>Daniel J. Yoder, Jr.</t>
  </si>
  <si>
    <t>Daniel K. Kauffman</t>
  </si>
  <si>
    <t>Daniel R. Strevey dba Family Hands Organic Farm</t>
  </si>
  <si>
    <t>Daniel W. Brubaker</t>
  </si>
  <si>
    <t>Daniels Dairy Farm, LLC</t>
  </si>
  <si>
    <t>Danielski Harvesting and Farming DBA Valentine Farms</t>
  </si>
  <si>
    <t>Daqing Yuanshengyuan Food Technology Co., Ltd</t>
  </si>
  <si>
    <t>Darkhan Organic Farm Limited</t>
  </si>
  <si>
    <t>DAS SUPERFOODS PRIVATE LIMITED</t>
  </si>
  <si>
    <t>Datong Tianzhen Tongxingyuan Fruit and Vegetable Development Co.,LTD</t>
  </si>
  <si>
    <t>Dave's Killer Bread Inc.</t>
  </si>
  <si>
    <t>David B Gifford</t>
  </si>
  <si>
    <t>David Brandyberry dba Brandyberry Farms</t>
  </si>
  <si>
    <t>David Burkholder</t>
  </si>
  <si>
    <t>David Holt</t>
  </si>
  <si>
    <t>David Stoltzfus, Jr.</t>
  </si>
  <si>
    <t>DAVIDSUN NATURALS PTE LTD</t>
  </si>
  <si>
    <t>Da'Vita Foods Co., Inc. dba  Food For Life (parent company)</t>
  </si>
  <si>
    <t>Daylight Packing</t>
  </si>
  <si>
    <t>Dayspring Farms</t>
  </si>
  <si>
    <t>DBA Rancho Relaxo, DBA Rooster Milling</t>
  </si>
  <si>
    <t>DC Svitanok Agro</t>
  </si>
  <si>
    <t>De Angelis USA Corp., DBA Sfoglini</t>
  </si>
  <si>
    <t>Deaf Smith County Grain #10</t>
  </si>
  <si>
    <t>Deaf Smith County Grain #11</t>
  </si>
  <si>
    <t>Deaf Smith County Grain #12</t>
  </si>
  <si>
    <t>Deaf Smith County Grain #7</t>
  </si>
  <si>
    <t>Deaf Smith County Grain #8</t>
  </si>
  <si>
    <t>Deaf Smith County Grain Inc.</t>
  </si>
  <si>
    <t>Deaf Smith County Grain, Inc. #3</t>
  </si>
  <si>
    <t>Deaf Smith County Grain, Inc. #4</t>
  </si>
  <si>
    <t>Dean McIlvaine</t>
  </si>
  <si>
    <t>Deep Creek Farm</t>
  </si>
  <si>
    <t>Deep Harvest Farm</t>
  </si>
  <si>
    <t>Deland Bakery</t>
  </si>
  <si>
    <t>DELOTTE S.A.</t>
  </si>
  <si>
    <t>Delsur Trading, LLC dba Altalena Wholesale/OMG Food Company</t>
  </si>
  <si>
    <t>Dempsey (US) Corporation</t>
  </si>
  <si>
    <t>DERVIŞOĞLU BAKLIYAT A.Ş.</t>
  </si>
  <si>
    <t>DESARROLLO AGRICOLA SUSTENTABLE DE JALISCO S.A.DE C.V</t>
  </si>
  <si>
    <t>Devbhomi Agro Organic Foods Private Limited</t>
  </si>
  <si>
    <t>Dezhou Shuiwoka Food Co., Ltd.</t>
  </si>
  <si>
    <t>DF Seeds</t>
  </si>
  <si>
    <t>DG Global Inc.</t>
  </si>
  <si>
    <t>Dialog Direct, Inc.</t>
  </si>
  <si>
    <t>Dicle Organik Tarım Ürünleri Gıda San. Tic. Ltd. Şti.</t>
  </si>
  <si>
    <t>Diener Family 2000 Trust</t>
  </si>
  <si>
    <t>DIPASA Internacional de Mexico, S.A. de C.V.</t>
  </si>
  <si>
    <t>Distilled Resources, Inc.</t>
  </si>
  <si>
    <t>Diversified Ingredients, Inc.</t>
  </si>
  <si>
    <t>Divine Afriagro DMCC</t>
  </si>
  <si>
    <t>Dixon Seed, Inc.</t>
  </si>
  <si>
    <t>DJANIT CO LTD</t>
  </si>
  <si>
    <t>DKB Farms &amp; Services LLC</t>
  </si>
  <si>
    <t>DKG Seed Farms, LLC</t>
  </si>
  <si>
    <t>DMC AGROINDUSTRIAL S.R.L.</t>
  </si>
  <si>
    <t>Doguet's Rice Milling Company</t>
  </si>
  <si>
    <t>Domino Foods Inc.</t>
  </si>
  <si>
    <t>Don Shapiro Produce Inc.</t>
  </si>
  <si>
    <t>Donald and Lisa Regier dba Regier Farm</t>
  </si>
  <si>
    <t>Donald Linn Edwards</t>
  </si>
  <si>
    <t>Doodlebug Ranches, LLC dba Paicines Ranch</t>
  </si>
  <si>
    <t>Double Eagle Dairy, Inc. dba Darrell Funk Farms dba Darrell Funk</t>
  </si>
  <si>
    <t>Double J Farms</t>
  </si>
  <si>
    <t>Doudlah Farms, LLC (DBA Doudlah Farms Organics, LLC)</t>
  </si>
  <si>
    <t>Doug Greiner</t>
  </si>
  <si>
    <t>Dover Foods, LLC</t>
  </si>
  <si>
    <t>Down To Earth Foods Export Private Limited</t>
  </si>
  <si>
    <t>Dr In The Kitchen, LLC</t>
  </si>
  <si>
    <t>Driftless Pure LLC., dba: La Crosse Distilling Co.</t>
  </si>
  <si>
    <t>DRS Organic LLC</t>
  </si>
  <si>
    <t>Dubai Industria e Comércio de Produtos Alimenticios Ltda</t>
  </si>
  <si>
    <t>Due Sorelle Food Imports</t>
  </si>
  <si>
    <t>Dunhua City Earth Beans Trade Organic Foodstuffs Co.,Ltd.</t>
  </si>
  <si>
    <t>Duronco, S.A. de C.V.</t>
  </si>
  <si>
    <t>Dutch American Foods, Inc.</t>
  </si>
  <si>
    <t>E &amp; H LLC DBA Oakhouse Bakery</t>
  </si>
  <si>
    <t>E.E. Shenk Sons</t>
  </si>
  <si>
    <t>Eagle Alcohol Company LLC</t>
  </si>
  <si>
    <t>Earl Trucking LLC</t>
  </si>
  <si>
    <t>Early Bird Farm &amp; Mill</t>
  </si>
  <si>
    <t>Early Morning Harvest</t>
  </si>
  <si>
    <t>Earth Supplied Products, LLC</t>
  </si>
  <si>
    <t>Earthly Gourmet Distribution, LLC</t>
  </si>
  <si>
    <t>East West Botanicals, LLC</t>
  </si>
  <si>
    <t>Eastern Carolina Organics dba Happy Dirt</t>
  </si>
  <si>
    <t>Echo Lake Foods, Inc.</t>
  </si>
  <si>
    <t>Ecoandino Sac</t>
  </si>
  <si>
    <t>Ecolibrium LLC</t>
  </si>
  <si>
    <t>ECOPURE SPECIALITIES LIMITED</t>
  </si>
  <si>
    <t>Ecopure Specialities Ltd</t>
  </si>
  <si>
    <t>ECSO GLOBAL - SOLE PROPRIETORSHIP LLC</t>
  </si>
  <si>
    <t>ECSO Global Private Limited</t>
  </si>
  <si>
    <t>Ed Simon Farms</t>
  </si>
  <si>
    <t>Eden Foods DBA Meridian Foods, a division of Eden Foods</t>
  </si>
  <si>
    <t>Eden Foods, Inc.</t>
  </si>
  <si>
    <t>Eden Foods, Inc. DBA Eden Organic Pasta Co.</t>
  </si>
  <si>
    <t>Edison Mercantile, LLC</t>
  </si>
  <si>
    <t>Edwin Knoll Farms/Golden Grains / Edwin F Knoll</t>
  </si>
  <si>
    <t>Edwin Martin Jr</t>
  </si>
  <si>
    <t>Eel River Brewing Co., Inc.</t>
  </si>
  <si>
    <t>Egy Herbs for Import &amp; Export</t>
  </si>
  <si>
    <t>EKO TURKA TEKSTIL TARIM HAYVAN. TAS. SAN. VE TIC. A.S.</t>
  </si>
  <si>
    <t>Elite Ingredients, LLC</t>
  </si>
  <si>
    <t>Ellingson Elevator</t>
  </si>
  <si>
    <t>ELworld Agro &amp; Organic Foods Pvt. Ltd.</t>
  </si>
  <si>
    <t>Emerling Foods, Inc.</t>
  </si>
  <si>
    <t>Empire Milling, Inc.</t>
  </si>
  <si>
    <t>Empirical Labs Inc.</t>
  </si>
  <si>
    <t>Empresa Boliviana de Alimentos y Derivados "EBA"</t>
  </si>
  <si>
    <t>Enaxus (Thailand) Co., Ltd.</t>
  </si>
  <si>
    <t>Enbek Ltd.</t>
  </si>
  <si>
    <t>End-of-Earth Loess Eco-friendly Agricultural Association Corporation</t>
  </si>
  <si>
    <t>Enerhealth Botanicals, LLC Enerhealth Botanical Science</t>
  </si>
  <si>
    <t>Engelbert Farms Organic</t>
  </si>
  <si>
    <t>Enger Farms, LLC</t>
  </si>
  <si>
    <t>ENQUI FOODS EIRL</t>
  </si>
  <si>
    <t>ENSE LTDA</t>
  </si>
  <si>
    <t>EPICERIE DE FRANCE Corp</t>
  </si>
  <si>
    <t>ERE BON CO. LTD.</t>
  </si>
  <si>
    <t>Erickson Processing Inc. dba Gibbs-California Wild Rice Inc.</t>
  </si>
  <si>
    <t>Ernie's Organics LLC</t>
  </si>
  <si>
    <t>ES KOMERC d.o.o</t>
  </si>
  <si>
    <t>ESPAR S.R.L.</t>
  </si>
  <si>
    <t>Essex Food Ingredients</t>
  </si>
  <si>
    <t>Etone Industry (Xi'An) Co. Limited</t>
  </si>
  <si>
    <t>Eurocrop GmbH</t>
  </si>
  <si>
    <t>EV Farms</t>
  </si>
  <si>
    <t>Everfresh Farms Pvt Ltd</t>
  </si>
  <si>
    <t>Everprosper Food Industries Sdn Bhd</t>
  </si>
  <si>
    <t>Evers Acres, LLC</t>
  </si>
  <si>
    <t>Everspring Farms Ltd.</t>
  </si>
  <si>
    <t>EVI INTERNATIONAL GROUP LLC</t>
  </si>
  <si>
    <t>Ewald Farms Inc</t>
  </si>
  <si>
    <t>Excel Rice &amp; Products Co. Ltd.</t>
  </si>
  <si>
    <t>F &amp; S POOL FARMS, INC</t>
  </si>
  <si>
    <t>F.W. Cobs Company Inc.</t>
  </si>
  <si>
    <t>Fair Share Farm</t>
  </si>
  <si>
    <t>Falcon Trading Company, Inc.</t>
  </si>
  <si>
    <t>Falk's Seed Farm</t>
  </si>
  <si>
    <t>Far West Rice</t>
  </si>
  <si>
    <t>Farm Runners</t>
  </si>
  <si>
    <t>Farmer Ground Flour</t>
  </si>
  <si>
    <t>Farmers Cooperative Elevator of Ottosen</t>
  </si>
  <si>
    <t>Farmers Grain Elevator</t>
  </si>
  <si>
    <t>Farmers' Rice Cooperative dba Pirmi (Pacific International Rice Mills)</t>
  </si>
  <si>
    <t>Farmvale Psyllium</t>
  </si>
  <si>
    <t>Fehringer Farms - Dalton</t>
  </si>
  <si>
    <t>Fehringer Farms-Colton Facility</t>
  </si>
  <si>
    <t>Feinkost Indústria e Comércio de Alimentos Ltda</t>
  </si>
  <si>
    <t>Fenghui (Tianjin) Agricultural Technology Co., Ltd</t>
  </si>
  <si>
    <t>Feral Farm</t>
  </si>
  <si>
    <t>Ferris Organic Farm, LLC</t>
  </si>
  <si>
    <t>FESTIVAL FRUITS SAC</t>
  </si>
  <si>
    <t>FG Agrofirma Sergeevka</t>
  </si>
  <si>
    <t>Finnriver LLC</t>
  </si>
  <si>
    <t>Firebrand PBC</t>
  </si>
  <si>
    <t>Fiş Danışmanlık A.Ş.</t>
  </si>
  <si>
    <t>Fizzle Flat Farm LLC</t>
  </si>
  <si>
    <t>Flatlands Processing LLC</t>
  </si>
  <si>
    <t>Flex Foods Limited</t>
  </si>
  <si>
    <t>FLORIBIS SARL</t>
  </si>
  <si>
    <t>FLORQUIMBOL S.R.L.</t>
  </si>
  <si>
    <t>Flowers Bakery of Montgomery</t>
  </si>
  <si>
    <t>Flowers Baking Co of Henderson LLC</t>
  </si>
  <si>
    <t>Flowers Baking Company of Utah</t>
  </si>
  <si>
    <t>Floyd Peterson Company dba The Peterson Company</t>
  </si>
  <si>
    <t>Flyloong Biotechnology (Qingdao) Co., Ltd.</t>
  </si>
  <si>
    <t>Fochain Organic Co.,Ltd.</t>
  </si>
  <si>
    <t>FOLK OILS</t>
  </si>
  <si>
    <t>Food For Life Baking Company</t>
  </si>
  <si>
    <t>FOOD KING COMPANY LIMITED</t>
  </si>
  <si>
    <t>Foods and Inns Limited</t>
  </si>
  <si>
    <t>Foodtech Solutions (Thailand) Co. Ltd.</t>
  </si>
  <si>
    <t>Fortune World Trading Inc.</t>
  </si>
  <si>
    <t>Foster Ranch Limited Partnership</t>
  </si>
  <si>
    <t>Franciacorta Foods LLC</t>
  </si>
  <si>
    <t>Frankferd Farms Food, Inc.</t>
  </si>
  <si>
    <t>Frankferd Farms/Milling</t>
  </si>
  <si>
    <t>Fraternité Notre Dame, Inc. DBA St Roger Abbey DBA St Francis' Hermitage</t>
  </si>
  <si>
    <t>Freedom Food Farm LLC</t>
  </si>
  <si>
    <t>Freedom Foods, LLC</t>
  </si>
  <si>
    <t>Freeman &amp; Freeman Farms, LLC</t>
  </si>
  <si>
    <t>French Creek Organic Farm</t>
  </si>
  <si>
    <t>Fresh Idea LLC</t>
  </si>
  <si>
    <t>FreshPoint San Francisco</t>
  </si>
  <si>
    <t>FreshPoint South Florida</t>
  </si>
  <si>
    <t>FreshPoint Southern California dba FreshPoint</t>
  </si>
  <si>
    <t>Friederichs Seed, Inc</t>
  </si>
  <si>
    <t>Frito Lay, Inc</t>
  </si>
  <si>
    <t>From the Fields', LLC</t>
  </si>
  <si>
    <t>Frontier Ag Co.</t>
  </si>
  <si>
    <t>Frumar Agri Foods Private Limited</t>
  </si>
  <si>
    <t>FST GROUP S.A.C.</t>
  </si>
  <si>
    <t>Fujan Herbal Treasure Bioengineering Co., Ltd.</t>
  </si>
  <si>
    <t>Fujin Fu Hui Food Technology Limited</t>
  </si>
  <si>
    <t>Full Belly Farm Inc.</t>
  </si>
  <si>
    <t>Full Draw Organics Inc</t>
  </si>
  <si>
    <t>Fungi Perfecti LLC</t>
  </si>
  <si>
    <t>Furst-McNess Company</t>
  </si>
  <si>
    <t>Future Foods</t>
  </si>
  <si>
    <t>Galaxy Rice Mill (Pvt) Ltd.</t>
  </si>
  <si>
    <t>GALOWIN S.A.</t>
  </si>
  <si>
    <t>Gam Zu Letovah LLC</t>
  </si>
  <si>
    <t>GANADO DE ENGORDA LAS DELICIAS SPR DE RL</t>
  </si>
  <si>
    <t>Ganpati Scientifics</t>
  </si>
  <si>
    <t>Gansu Four Seas Trade Co., Ltd.</t>
  </si>
  <si>
    <t>Gansu Four Seas Trade Co., Ltd. (Dingxi Warehouse)</t>
  </si>
  <si>
    <t>Gansu HuangyangHe  Group Food Co., LTD.</t>
  </si>
  <si>
    <t>Gansu Yusheng Agricultural Products Co., Ltd.</t>
  </si>
  <si>
    <t>Garden Spot Foods LLC dba Garden Spot Foods</t>
  </si>
  <si>
    <t>Garnea, LLC dba Wella Organics</t>
  </si>
  <si>
    <t>GAUCHITORGANIC LTDA</t>
  </si>
  <si>
    <t>GAVYADHAR ORGANIC PRIVATE LIMITED</t>
  </si>
  <si>
    <t>Gayle Thorpe DBA Thorpes Organic Family Farm</t>
  </si>
  <si>
    <t>GCP IMPORT EXPORT SRL</t>
  </si>
  <si>
    <t>General Brands Manufacturas Mexico S. de R.L. de C.V.</t>
  </si>
  <si>
    <t>General Food Products Co.,Ltd.</t>
  </si>
  <si>
    <t>General Mills Inc.</t>
  </si>
  <si>
    <t>General Mills Operations, LLC</t>
  </si>
  <si>
    <t>General Rice Co., Ltd.</t>
  </si>
  <si>
    <t>Genertec International Corporation</t>
  </si>
  <si>
    <t>Geoffrey Foth</t>
  </si>
  <si>
    <t>George E. DeLallo Co. Inc.</t>
  </si>
  <si>
    <t>Gerber Products Company DBA Nestle Infant Nutrition</t>
  </si>
  <si>
    <t>GFI Hay Processing</t>
  </si>
  <si>
    <t>Gianforte Farm, LLC</t>
  </si>
  <si>
    <t>Giant Jones Brewing LLC</t>
  </si>
  <si>
    <t>Gilardi &amp; Jacobsen Ag Services, Inc.</t>
  </si>
  <si>
    <t>Gillespie Family Farms, LLC</t>
  </si>
  <si>
    <t>GIRIRAJ TRADING CO</t>
  </si>
  <si>
    <t>Giuliano's Bakery</t>
  </si>
  <si>
    <t>Giumarra Packaging Division</t>
  </si>
  <si>
    <t>Giusto's Specialty Foods, LLC</t>
  </si>
  <si>
    <t>Glanbia Nutritionals (NA), Inc</t>
  </si>
  <si>
    <t>Glant Hope Co. Limited</t>
  </si>
  <si>
    <t>Glant Hope Co., Limited</t>
  </si>
  <si>
    <t>Glaser Organic Farms, Inc.</t>
  </si>
  <si>
    <t>GLINT S.A.C</t>
  </si>
  <si>
    <t>GLOBAL KURUYEMİŞ ŞEKERLEME GIDA VE SANAYİ TİCARET LİMİTED ŞİRKETİ</t>
  </si>
  <si>
    <t>Global Palate Inc.</t>
  </si>
  <si>
    <t>Global Resources Direct LLC</t>
  </si>
  <si>
    <t>Global Sterilization and Fumigation</t>
  </si>
  <si>
    <t>Global Sterilization And Fumigation</t>
  </si>
  <si>
    <t>Glorybee Natural Sweeteners Inc. dba GloryBee</t>
  </si>
  <si>
    <t>GluCorp (Pvt) Ltd</t>
  </si>
  <si>
    <t>GMP Nutraceuticals, Inc.</t>
  </si>
  <si>
    <t>GO Foods, LP</t>
  </si>
  <si>
    <t>GOING NATURAL S.R.L.</t>
  </si>
  <si>
    <t>GOKUL NUTRIENTS PRIVATE LIMITED</t>
  </si>
  <si>
    <t>Gold Coast Baking Co, Inc</t>
  </si>
  <si>
    <t>Gold Crust Baking Co. Inc.</t>
  </si>
  <si>
    <t>GOLD FOODS SRL</t>
  </si>
  <si>
    <t>Gold Medal Bakery, Inc</t>
  </si>
  <si>
    <t>Golden Organics Inc.</t>
  </si>
  <si>
    <t>Golden Platter Foods, Inc.</t>
  </si>
  <si>
    <t>Golden Prairie Farms</t>
  </si>
  <si>
    <t>Golden Prairie, Inc.</t>
  </si>
  <si>
    <t>Golden Rice (Cambodia) Co. Ltd.</t>
  </si>
  <si>
    <t>Golden Vast Field (Beijing) Health Technology Co.,Ltd</t>
  </si>
  <si>
    <t>Golden Vast Field (Beijing) Health Technology Co.,Ltd (Hebei Factory)</t>
  </si>
  <si>
    <t>Good Earth Rice Co., Ltd</t>
  </si>
  <si>
    <t>GOOD FOODS SMA SAPI DE CV</t>
  </si>
  <si>
    <t>GoodWin (Dalian) Ltd.</t>
  </si>
  <si>
    <t>Googins Biotech LLC dba Fallen Oak Mycology</t>
  </si>
  <si>
    <t>Gorma Organics</t>
  </si>
  <si>
    <t>Gosar Natural Foods LLC</t>
  </si>
  <si>
    <t>Gourmail, Inc. dba Jyoti Natural Foods</t>
  </si>
  <si>
    <t>GR/ALGODON ORGANICO PERU S.A.C.</t>
  </si>
  <si>
    <t>GRACE BIO CO. LTD.</t>
  </si>
  <si>
    <t>Graham's Organics/Graham Farms</t>
  </si>
  <si>
    <t>Grain Millers, Inc.</t>
  </si>
  <si>
    <t>Grain Place Foods, Inc.</t>
  </si>
  <si>
    <t>Grain St-Laurent Inc.</t>
  </si>
  <si>
    <t>GrainCorp Operations Limited.</t>
  </si>
  <si>
    <t>Grand Supercenter, Inc.</t>
  </si>
  <si>
    <t>Grand World Malaysia Sdn Bhd</t>
  </si>
  <si>
    <t>Grandy Organics, LLC DBA GrandyOats DBA Bountiful Berry</t>
  </si>
  <si>
    <t>Granitos de Oro Quinua Peru E.I.R.L.</t>
  </si>
  <si>
    <t>GRANODEP SAC</t>
  </si>
  <si>
    <t>Grass &amp; Sons Seed, Inc</t>
  </si>
  <si>
    <t>Gray Research Production, INC.</t>
  </si>
  <si>
    <t>Graysen Huebert</t>
  </si>
  <si>
    <t>GRAZN LLC</t>
  </si>
  <si>
    <t>Great Lakes Grain &amp; Transportation LLC - Laikin Whitney, Katie Powell</t>
  </si>
  <si>
    <t>Great Plains Custom Works, LLC</t>
  </si>
  <si>
    <t>Great River Milling</t>
  </si>
  <si>
    <t>Great Western Malting Co.</t>
  </si>
  <si>
    <t>Great Western Malting dba Country Malt Group</t>
  </si>
  <si>
    <t>GRECO TRADING S.A.C</t>
  </si>
  <si>
    <t>Green Acres Farm &amp; Mill</t>
  </si>
  <si>
    <t>Green Acres Organic Dairy, LLC</t>
  </si>
  <si>
    <t>GREEN AFRICA LABEL( ex ONG ABSE)</t>
  </si>
  <si>
    <t>Green Cover Seed LLC</t>
  </si>
  <si>
    <t>GREEN EARTH PRODUCTS PRIVATE LIMITED</t>
  </si>
  <si>
    <t>GREEN EARTH PRODUCTS PVT. LTD.</t>
  </si>
  <si>
    <t>Green Farms California, LLC. dba Worldwide Produce</t>
  </si>
  <si>
    <t>Green Impex</t>
  </si>
  <si>
    <t>Green Mountain Farms LLC</t>
  </si>
  <si>
    <t>Green Seed Contract Packaging</t>
  </si>
  <si>
    <t>Green Supreme, Inc</t>
  </si>
  <si>
    <t>Green Valley Organics LLC</t>
  </si>
  <si>
    <t>Green Village Agros Private Limited</t>
  </si>
  <si>
    <t>Green Wave Ingredients dba Ingredients Online</t>
  </si>
  <si>
    <t>Greenature Grains and Noodle Co.,Ltd.</t>
  </si>
  <si>
    <t>Greenfield Global USA Inc. DBA Greenfield Global Inc.</t>
  </si>
  <si>
    <t>Greenleaf Foods, SPC - Michele Hibst</t>
  </si>
  <si>
    <t>Greenwood Herbals</t>
  </si>
  <si>
    <t>Grimmway Enterprises Inc - Bakersfield Region dba Grimmway Farms</t>
  </si>
  <si>
    <t>Grimmway Enterprises Inc - Desert Region dba Grimmway Farms</t>
  </si>
  <si>
    <t>Grimmway Enterprises Inc - Potato Division dba Grimmway Farms</t>
  </si>
  <si>
    <t>Grimmway Enterprises Inc - Southeast Region dba Grimmway Farms</t>
  </si>
  <si>
    <t>Grimmway Farms - Handler Division</t>
  </si>
  <si>
    <t>Grindstone Bakery, Inc.</t>
  </si>
  <si>
    <t>GROMAINE LLC</t>
  </si>
  <si>
    <t>Grouse LLC</t>
  </si>
  <si>
    <t>GROW CROP SAS</t>
  </si>
  <si>
    <t>Grow Food DBA Viva Farms</t>
  </si>
  <si>
    <t>Grow Well Organic and Eco Products Pvt. Ltd.</t>
  </si>
  <si>
    <t>GRUPO INDUSTRIAL VIDA S.A. DE C.V.</t>
  </si>
  <si>
    <t>Grupo Mahezik S.R.L.</t>
  </si>
  <si>
    <t>GRUPO TRANSPACIFICO SAC</t>
  </si>
  <si>
    <t>Gryffon Ridge Inc. dba Gryffon Ridge Spice Merchants</t>
  </si>
  <si>
    <t>GUANGXI INNOV LTD</t>
  </si>
  <si>
    <t>GUANGZHOU YONG WANT FOODS LTD.</t>
  </si>
  <si>
    <t>Guaraná do Brasil Ltda</t>
  </si>
  <si>
    <t>Gulf Rice Milling, LLC</t>
  </si>
  <si>
    <t>Guntersville Marine Inc.</t>
  </si>
  <si>
    <t>GVR NUTRIES PRIVATE LIMITED</t>
  </si>
  <si>
    <t>Gwak Hae Yong</t>
  </si>
  <si>
    <t>Habib Rice Products Limited</t>
  </si>
  <si>
    <t>Hailun Boshun Grain and Oil Processing Co.,Ltd.</t>
  </si>
  <si>
    <t>Hailun City Pengxiang Industry and Trade Co.,Ltd.</t>
  </si>
  <si>
    <t>Hain Celestial Group, Inc.</t>
  </si>
  <si>
    <t>Hakubaku Australia</t>
  </si>
  <si>
    <t>Haleem Naeem Associates</t>
  </si>
  <si>
    <t>Hangzhou Lin'an Tianmushan Bamboo Shoots Co., Ltd.</t>
  </si>
  <si>
    <t>Hangzhou Natur Foods Co., Ltd.</t>
  </si>
  <si>
    <t>Hangzhou Twin-Horse Biotechnology Co., Ltd.</t>
  </si>
  <si>
    <t>Hansen Mueller Co - Houston Location</t>
  </si>
  <si>
    <t>Hansen-Mueller Co. - Kansas City, MO</t>
  </si>
  <si>
    <t>HARBIN GAOTAI FOOD CO., LTD.</t>
  </si>
  <si>
    <t>Harbin Junshuo Agricultural Technology Co., Ltd.</t>
  </si>
  <si>
    <t>Harlan Martin</t>
  </si>
  <si>
    <t>Harvest Depot Agro Ventures, LLP</t>
  </si>
  <si>
    <t>Harvest Food Group, Inc.</t>
  </si>
  <si>
    <t>Harvest Grain Mills, LLC</t>
  </si>
  <si>
    <t>Harvester Foods</t>
  </si>
  <si>
    <t>Haw River Wine Man Inc</t>
  </si>
  <si>
    <t>Hawkins, Inc.</t>
  </si>
  <si>
    <t>Hayat Industries Ltd</t>
  </si>
  <si>
    <t>HBC Trading Australia Pty Ltd</t>
  </si>
  <si>
    <t>HBF Grain LLC</t>
  </si>
  <si>
    <t>HDDES Extracts (Pvt) Ltd</t>
  </si>
  <si>
    <t>Health Breads, Inc. DBA Oasis Breads</t>
  </si>
  <si>
    <t>HEALTHCARE</t>
  </si>
  <si>
    <t>Healthy Food Ingredients, LLC - Fargo</t>
  </si>
  <si>
    <t>Healthy Food Ingredients, LLC - Hastings</t>
  </si>
  <si>
    <t>Healthy Food Ingredients, LLC - Moorhead</t>
  </si>
  <si>
    <t>Healthy Food Ingredients, LLC - Valley City</t>
  </si>
  <si>
    <t>Healthy Food Ingredients, LLC - Watertown</t>
  </si>
  <si>
    <t>HEALTHY GRAINS S.A.</t>
  </si>
  <si>
    <t>Healthy Happy Organic, Inc</t>
  </si>
  <si>
    <t>Hearthside Food Solutions LLC</t>
  </si>
  <si>
    <t>Hearthside Food Solutions LLC, H4</t>
  </si>
  <si>
    <t>Hearthside Food Solutions, LLC - H1</t>
  </si>
  <si>
    <t>Heartland Gourmet, LLC</t>
  </si>
  <si>
    <t>Heartland Mill, Inc.</t>
  </si>
  <si>
    <t>Heartland Organics LLC., dba Michiana Feed LLC.</t>
  </si>
  <si>
    <t>Hedlin Farms</t>
  </si>
  <si>
    <t>Heilongjiang  Jingshengyuan  Grain Trading Co. , Ltd.</t>
  </si>
  <si>
    <t>Heilongjiang Haoze Soybean Industrial Co., LTD</t>
  </si>
  <si>
    <t>Heilongjiang Haoze Soybean Industrial Co., Ltd.</t>
  </si>
  <si>
    <t>Heilongjiang Hexing Agricultural Products Co., Ltd. - Baoshan Farm</t>
  </si>
  <si>
    <t>Heilongjiang Hongmao Agricultural Development Co., Ltd (Mingshui)</t>
  </si>
  <si>
    <t>Heilongjiang Hongpeng Textile Materials Co., Ltd.</t>
  </si>
  <si>
    <t>Heilongjiang Land Reclamation Dragon King Foods Co., Ltd. -Heilongjiang Hongguang Farm</t>
  </si>
  <si>
    <t>Heilongjiang Province Jiusan Agricultural Reclamation Ruifeng Rice Processing Co., Ltd.</t>
  </si>
  <si>
    <t>Heilongjiang Qiqihar State Nong Ken Derun Agricultural Development Co. ,Ltd.</t>
  </si>
  <si>
    <t>Heilongjiang Youmi Youjia Agricultural Technology Co., Ltd.</t>
  </si>
  <si>
    <t>HEINCKE SAS BIC</t>
  </si>
  <si>
    <t>Henry Broch Foods</t>
  </si>
  <si>
    <t>HERBAZEST INC</t>
  </si>
  <si>
    <t>Herbrucks Poultry Ranch, Inc - Great Lakes Organic Feed Mill - Kimberly Pohle, Daniel Fields</t>
  </si>
  <si>
    <t>Hermann Warehouse Corp.</t>
  </si>
  <si>
    <t>Hero Farmed Cooperative</t>
  </si>
  <si>
    <t>Hesco Solution Co., Ltd.</t>
  </si>
  <si>
    <t>HI Food Lab, Inc. dba 123Dough</t>
  </si>
  <si>
    <t>High Caliber Transloading &amp; Storage</t>
  </si>
  <si>
    <t>High Country Elevators, Inc.</t>
  </si>
  <si>
    <t>High Quality Organics, Inc</t>
  </si>
  <si>
    <t>HIGHLAND FOODS SAC</t>
  </si>
  <si>
    <t>Hilgendorf Farms aka Whole Grain Milling</t>
  </si>
  <si>
    <t>Himad Samiti (managed by Sanjeevani Agrofoods Limited)</t>
  </si>
  <si>
    <t>Himalayan Bio Organic Foods Limited</t>
  </si>
  <si>
    <t>Himalayan Eco Systems Pvt. Ltd.</t>
  </si>
  <si>
    <t>Hirzel Farms Inc</t>
  </si>
  <si>
    <t>Hiske Farms</t>
  </si>
  <si>
    <t>HNF Foods Inc.</t>
  </si>
  <si>
    <t>HO QUANG TRI PRIVATE ENTERPRISE</t>
  </si>
  <si>
    <t>HOA NANG AGRICULTURAL CORPORATION</t>
  </si>
  <si>
    <t>HOA NANG BEN TRE ORGANIC AGRICULTURAL COOPERATIVE</t>
  </si>
  <si>
    <t>Hobbs &amp; Meyer, LLC DBA Pueblo Seed &amp; Food Company</t>
  </si>
  <si>
    <t>HOLİSTİC CORNER SAN. VE DIŞ TİC. LTD. ŞTİ.</t>
  </si>
  <si>
    <t>HOLISTIC ORGANIC FARMERS PRODUCER COMPANY LIMITED</t>
  </si>
  <si>
    <t>Homeward Bounty Farm</t>
  </si>
  <si>
    <t>Honey Heaven Wholesale dba Hummingbird Wholesale</t>
  </si>
  <si>
    <t>Honey Rock Landing</t>
  </si>
  <si>
    <t>Honeyville Foods</t>
  </si>
  <si>
    <t>Hongbai Oil Factory</t>
  </si>
  <si>
    <t>Hope Baking Company, Inc.</t>
  </si>
  <si>
    <t>Hopfenveredlung St. Johann GmbH</t>
  </si>
  <si>
    <t>Hopworks Urban Brewery</t>
  </si>
  <si>
    <t>Horqin Left Middle Banner Jinjia Planting Professional Cooperative</t>
  </si>
  <si>
    <t>House Foods Holding USA Inc.</t>
  </si>
  <si>
    <t>HUAIRAO SPA</t>
  </si>
  <si>
    <t>Hudson Valley Hops &amp; Grains, LLC</t>
  </si>
  <si>
    <t>Huenefeld Ag, L.L.C.</t>
  </si>
  <si>
    <t>Huesby Farms LLC</t>
  </si>
  <si>
    <t>Hull Dairy LLC</t>
  </si>
  <si>
    <t>Hunan Hongjian Biotech Co.,Ltd.</t>
  </si>
  <si>
    <t>Hunan Tea Group Co., Ltd.</t>
  </si>
  <si>
    <t>Hunza Natural Foods LLC</t>
  </si>
  <si>
    <t>Hunza Organics</t>
  </si>
  <si>
    <t>Hurst Farmworks LLC</t>
  </si>
  <si>
    <t>HyView Feeds, LLC</t>
  </si>
  <si>
    <t>I SIFOL LLC</t>
  </si>
  <si>
    <t>Ibis Rice Conservation Co Ltd.</t>
  </si>
  <si>
    <t>İbrahim Ekin - Tillo Tarım Hububat Tesisleri</t>
  </si>
  <si>
    <t>ICS-BKN-03</t>
  </si>
  <si>
    <t>ICS-RKN-03</t>
  </si>
  <si>
    <t>ICS-RKN-04</t>
  </si>
  <si>
    <t>IDA-Best Hay Farms LLC.</t>
  </si>
  <si>
    <t>IE Mills LLC, DBA Dry Storage Mill</t>
  </si>
  <si>
    <t>IF Co-Pack, LLC (dba: Initiative Foods)</t>
  </si>
  <si>
    <t>Imagine Baking Buyer, LLC</t>
  </si>
  <si>
    <t>IMEPEX SAS</t>
  </si>
  <si>
    <t>Imperfect Foods dba Misfits Market</t>
  </si>
  <si>
    <t>INCA MYSTIC GRAIN S.A.C.</t>
  </si>
  <si>
    <t>INDECACAO</t>
  </si>
  <si>
    <t>Indie-Peasant Enterprises</t>
  </si>
  <si>
    <t>Indochina Development Parthers Lao Sole Co., Ltd.</t>
  </si>
  <si>
    <t>INDUSTRIA DE ALIMENTOS PROCESADOS INALPROCES S.A.</t>
  </si>
  <si>
    <t>Infinity Organic Foods LLC</t>
  </si>
  <si>
    <t>Ingardia Bros. Produce, Inc.</t>
  </si>
  <si>
    <t>Ingredientes Sin Gluten la Clementina</t>
  </si>
  <si>
    <t>INLAND CAPE RICE COMPANY LLC.</t>
  </si>
  <si>
    <t>Inner Mongolia Bud Food Co.,Ltd</t>
  </si>
  <si>
    <t>Inner Mongolia Chengtian agricultural science and Technology development Co., LTD</t>
  </si>
  <si>
    <t>Inner Mongolia Crown Star Food Industries Co., Ltd.</t>
  </si>
  <si>
    <t>Innovate Food Inc. dba Food Innovations</t>
  </si>
  <si>
    <t>Integrity Trading LLC</t>
  </si>
  <si>
    <t>Intelligentsia Coffee Inc. dba Intelligentsia Coffee + Kilogram Tea</t>
  </si>
  <si>
    <t>INTERAMSA COMERCIAL S.A.C.</t>
  </si>
  <si>
    <t>Interfresh, Inc.</t>
  </si>
  <si>
    <t>International Harvest Inc.</t>
  </si>
  <si>
    <t>International Loft LLC</t>
  </si>
  <si>
    <t>INTERNATIONAL MARKET S.A.</t>
  </si>
  <si>
    <t>International Marketing Systems Ltd.</t>
  </si>
  <si>
    <t>INTERNATURALES, LLC.</t>
  </si>
  <si>
    <t>IORU ECOTRADE, S.L</t>
  </si>
  <si>
    <t>IOS Naturals LLC</t>
  </si>
  <si>
    <t>IPMF LLC DBA IPM Foods</t>
  </si>
  <si>
    <t>Iron Ox Farm LLC</t>
  </si>
  <si>
    <t>Ironwood Mountain Farm</t>
  </si>
  <si>
    <t>Irupana Organic Foods S.A.</t>
  </si>
  <si>
    <t>IRUPE PARAGUAY S.A</t>
  </si>
  <si>
    <t>Island Dehy Company</t>
  </si>
  <si>
    <t>Italian Products USA, Inc.</t>
  </si>
  <si>
    <t>ITC Choupal Sagar</t>
  </si>
  <si>
    <t>ITC Limited-Agri Business Division</t>
  </si>
  <si>
    <t>ITC LTD.</t>
  </si>
  <si>
    <t>Iya Tarım Ürünleri Gıda Hayvancilik Ve Yem Bitkileri İthalat İhracat Limited Şirketi</t>
  </si>
  <si>
    <t>IZMIR ORGANIK MEYVECILIK SANAYI VE TICARET LTD.STI.</t>
  </si>
  <si>
    <t>J &amp; T Lohse Farms</t>
  </si>
  <si>
    <t>J&amp;J Tortilla Co. LLC</t>
  </si>
  <si>
    <t>J&amp;K Ingredients, Inc.</t>
  </si>
  <si>
    <t>J. Isaac Fisher</t>
  </si>
  <si>
    <t>Jacha Inti Industrial S.A.</t>
  </si>
  <si>
    <t>Jacha Juira de Lucio Nicolas Lopez Huayllani</t>
  </si>
  <si>
    <t>Jack Geiger dba Geiger Grain</t>
  </si>
  <si>
    <t>Jacob Olsgaard</t>
  </si>
  <si>
    <t>JACOMA LLC</t>
  </si>
  <si>
    <t>Jaffe Bros., Inc. dba Jaffe Bros. Natural Foods</t>
  </si>
  <si>
    <t>JAGRITI GREEN ORGANIC KRISHI SAMITI</t>
  </si>
  <si>
    <t>Jai Kisan Organic Agriculture Project (managed by Vandana Organic Trade Pvt. Ltd)</t>
  </si>
  <si>
    <t>Jai Mahadev Krashak Utkarsha Sanstha</t>
  </si>
  <si>
    <t>JAIN IRRIGATION SYSTEMS LIMITED</t>
  </si>
  <si>
    <t>Jajoo Organics LLP</t>
  </si>
  <si>
    <t>JALARAM AGRIEXPORTS LTD.</t>
  </si>
  <si>
    <t>Jamniya Khurd Organic Grower Group managed by Jai Mahadev Krashak Utkarsha Sanstha</t>
  </si>
  <si>
    <t>Janie's Mill</t>
  </si>
  <si>
    <t>Japan Gold USA</t>
  </si>
  <si>
    <t>Jasberry Co., Ltd.</t>
  </si>
  <si>
    <t>Jasmer Foods Private Limited</t>
  </si>
  <si>
    <t>Jaymin Enterprises Corp</t>
  </si>
  <si>
    <t>JB Farm</t>
  </si>
  <si>
    <t>JCB Flavors, LLC</t>
  </si>
  <si>
    <t>JEAN GAZIGNAIRE SAS</t>
  </si>
  <si>
    <t>JEEVA ORGANIC PRIVATE LIMITED</t>
  </si>
  <si>
    <t>JEEVAGRAM ORGANICS INDIA PRIVATE LIMITED</t>
  </si>
  <si>
    <t>Jeff Akers dba Akers/acres</t>
  </si>
  <si>
    <t>Jeff Booms Farms LLC</t>
  </si>
  <si>
    <t>Jeff Loehr</t>
  </si>
  <si>
    <t>JEFF WEHKING Sole Prop</t>
  </si>
  <si>
    <t>JEM Farms LLC</t>
  </si>
  <si>
    <t>Jessen Wheat Company LLC</t>
  </si>
  <si>
    <t>JFC International Inc</t>
  </si>
  <si>
    <t>JG Banis Company, Inc.</t>
  </si>
  <si>
    <t>Jianmar LLC</t>
  </si>
  <si>
    <t>Jiayin Daming Agriculture Products Co., Ltd. -Jiayin Farm 3</t>
  </si>
  <si>
    <t>Jijing Hanyang (Heilongjiang) Supply Chain Management Co., Ltd.</t>
  </si>
  <si>
    <t>Jilin City Huoban Food Co.,Ltd.</t>
  </si>
  <si>
    <t>Jilin Ecological Science &amp; Technology Co.,Ltd.</t>
  </si>
  <si>
    <t>Jilin Hengtong Peanut Foodstuff Co., Ltd</t>
  </si>
  <si>
    <t>Jilin Province Dewei Cereals Industry Co., Ltd.</t>
  </si>
  <si>
    <t>Jilin Province Dewei Cereals Industry Co., Ltd. -A</t>
  </si>
  <si>
    <t>Jilin Province Dewei Cereals Industry Co., Ltd. -Tongyu A</t>
  </si>
  <si>
    <t>Jin Su Cheol</t>
  </si>
  <si>
    <t>JIYA ORGANIC INC</t>
  </si>
  <si>
    <t>Joe L. Del Bosque, Jr. dba Empresas Del Bosque, Inc.</t>
  </si>
  <si>
    <t>Joe Stoddard Seed Cleaning</t>
  </si>
  <si>
    <t>Joe Yeackley</t>
  </si>
  <si>
    <t>John B. Sanfilippo &amp; Son, Inc.</t>
  </si>
  <si>
    <t>John D Fisher</t>
  </si>
  <si>
    <t>John R Myer</t>
  </si>
  <si>
    <t>John Rustebakke</t>
  </si>
  <si>
    <t>Johnson Grass Dairy</t>
  </si>
  <si>
    <t>JORDAN POOL FARMS, INC</t>
  </si>
  <si>
    <t>Jovial Foods, Inc.</t>
  </si>
  <si>
    <t>JOYAS ANDINAS EXPORT SAC</t>
  </si>
  <si>
    <t>JR COMMODITIES S.A.</t>
  </si>
  <si>
    <t>JSH Farms Inc.- Hermiston</t>
  </si>
  <si>
    <t>Julio Veliz Veliz</t>
  </si>
  <si>
    <t>Jurerê Caffe Comércio de Alimentos LTDA</t>
  </si>
  <si>
    <t>Just About Foods S de R.L. de C.V.</t>
  </si>
  <si>
    <t>K K FIBERS</t>
  </si>
  <si>
    <t>Kadam Organics Farmer Group</t>
  </si>
  <si>
    <t>KAI Enterprises, Inc.</t>
  </si>
  <si>
    <t>KAIMA ZONE 1 ORGANIC COOPERATIVE GROUP FARMING SOCIETY LIMITED</t>
  </si>
  <si>
    <t>Kalmbach Feeds, Inc</t>
  </si>
  <si>
    <t>Kalmbach Feeds, Inc. (MPK)</t>
  </si>
  <si>
    <t>Kamprath Seeds LP</t>
  </si>
  <si>
    <t>KAMPURA S.A</t>
  </si>
  <si>
    <t>Katkut Krushak Sewa Samiti</t>
  </si>
  <si>
    <t>Katy Elevator</t>
  </si>
  <si>
    <t>Kearny County Organic First</t>
  </si>
  <si>
    <t>Keegan Commodities LLC</t>
  </si>
  <si>
    <t>KeHE Distributors, LLC</t>
  </si>
  <si>
    <t>Keith F. Marshall dba Marshall Dairy Inc.</t>
  </si>
  <si>
    <t>Keithly-Williams Seeds</t>
  </si>
  <si>
    <t>Kelly Arens dba Kelly Arens Farms</t>
  </si>
  <si>
    <t>Kemin Foods, L.C.</t>
  </si>
  <si>
    <t>Kennedy Rice Mill</t>
  </si>
  <si>
    <t>Kenover Marketing</t>
  </si>
  <si>
    <t>Kenton Wenger</t>
  </si>
  <si>
    <t>Kentucky State University Research Farm</t>
  </si>
  <si>
    <t>Kentwood Cooperative, Inc. dba Spring Creek Organics</t>
  </si>
  <si>
    <t>KERRY INGREDIENTS TRADING (SHANGHAI) CO.,LTD.</t>
  </si>
  <si>
    <t>Kerry, Inc</t>
  </si>
  <si>
    <t>Kerwin Schmidt dba Kerwin Schmidt Farms</t>
  </si>
  <si>
    <t>Kezuozhongqi Baokang Organic Agricultural Product Association</t>
  </si>
  <si>
    <t>KG Agri Products Inc</t>
  </si>
  <si>
    <t>Khalid Rice Mills</t>
  </si>
  <si>
    <t>Khao Buatip Marketing Co., Ltd.</t>
  </si>
  <si>
    <t>Khong Guan Corporation</t>
  </si>
  <si>
    <t>Kialla Pure Foods Pty Ltd</t>
  </si>
  <si>
    <t>Kiat Arpa Dech Rice Mill Partnership Limited</t>
  </si>
  <si>
    <t>Kim and Jake's Cakes, LLC</t>
  </si>
  <si>
    <t>King Arthur Baking Company, Inc.</t>
  </si>
  <si>
    <t>KING FRESH FARM CO.,LTD.</t>
  </si>
  <si>
    <t>KING'S PRODUCTS (Pty) Ltd</t>
  </si>
  <si>
    <t>Kingsbury Elevator, Inc</t>
  </si>
  <si>
    <t>Kinualive S.R.L.</t>
  </si>
  <si>
    <t>KIRIA FOODS S.A.C.</t>
  </si>
  <si>
    <t>Kis Kitchen Inc</t>
  </si>
  <si>
    <t>Kisaka Farms</t>
  </si>
  <si>
    <t>Kisan Agro</t>
  </si>
  <si>
    <t>Klaas &amp; Mary-Howell Martens Farm</t>
  </si>
  <si>
    <t>Klausner Farms L.L.C.</t>
  </si>
  <si>
    <t>Koda Farms</t>
  </si>
  <si>
    <t>Koehn Farm LLC</t>
  </si>
  <si>
    <t>Kohinoor Foods Limited</t>
  </si>
  <si>
    <t>Komal Herbals, Inc</t>
  </si>
  <si>
    <t>Koval, Inc. d.b.a. Koval Distillery, Lion''s Pride Spirits, and Private Party</t>
  </si>
  <si>
    <t>Kreamer Feed Inc.</t>
  </si>
  <si>
    <t>Kritsanakorn Organic Farm Co., Ltd.</t>
  </si>
  <si>
    <t>Kroger Anderson Bakery</t>
  </si>
  <si>
    <t>Kroger Clackamas Bakery DBA Inter-American Products</t>
  </si>
  <si>
    <t>Kroger La Habra Bakery</t>
  </si>
  <si>
    <t>KUMARA FOOD E.I.R.L.</t>
  </si>
  <si>
    <t>KWC Farms</t>
  </si>
  <si>
    <t>Kyle Schwarting</t>
  </si>
  <si>
    <t>Kyoto Silver Dragon (Liaoning) Co., Ltd.</t>
  </si>
  <si>
    <t>L &amp; M Companies, Inc.</t>
  </si>
  <si>
    <t>L.A. Hearne Company</t>
  </si>
  <si>
    <t>L.C. Farms LLC</t>
  </si>
  <si>
    <t>L.M DUNNE &amp; W.P DUNNE -   Tarcoola Cattle Co &amp; Willoudun Pty Ltd</t>
  </si>
  <si>
    <t>L.O. Rice Organics, LLC</t>
  </si>
  <si>
    <t>La Loma Alimentos S.A.</t>
  </si>
  <si>
    <t>La Meunerie Milanaise Inc.</t>
  </si>
  <si>
    <t>La Pasta Inc.</t>
  </si>
  <si>
    <t>LA SERENA AGRICOLA S.A.S.</t>
  </si>
  <si>
    <t>La Tortilla Factory</t>
  </si>
  <si>
    <t>LA TRANQUERA VERDE S.A.</t>
  </si>
  <si>
    <t>LA VERONESE® Molino e Riseria Martini di Giuseppe Martini s.a.s.</t>
  </si>
  <si>
    <t>Laboratoire KOSMOPHARM KPH</t>
  </si>
  <si>
    <t>Lakeview Farms</t>
  </si>
  <si>
    <t>Lakeview Organic Grain, LLC</t>
  </si>
  <si>
    <t>LANCOPINTO S.A.</t>
  </si>
  <si>
    <t>Lanczynski Organic Farms, LLC</t>
  </si>
  <si>
    <t>Land of Simple Treasures</t>
  </si>
  <si>
    <t>Land's End Farm</t>
  </si>
  <si>
    <t>Langley Family Farms</t>
  </si>
  <si>
    <t>Lanna Agro Industry Co., Ltd. (LACO)</t>
  </si>
  <si>
    <t>Latin Trade LLC</t>
  </si>
  <si>
    <t>Laughlin Cartrell, Inc.</t>
  </si>
  <si>
    <t>Le Must LLC</t>
  </si>
  <si>
    <t>Leach Logistics, Inc</t>
  </si>
  <si>
    <t>Leclerc Foods USA, Inc.</t>
  </si>
  <si>
    <t>Lee Engineering LLC dba Royal Lee Organics</t>
  </si>
  <si>
    <t>Lee Jeong Gon</t>
  </si>
  <si>
    <t>Lee, Cheryl, &amp; Chad Johnson</t>
  </si>
  <si>
    <t>Lehi Roller Mills LLC</t>
  </si>
  <si>
    <t>Lehi Valley Trading Company</t>
  </si>
  <si>
    <t>Lepage Bakeries Cedar Street, LLC</t>
  </si>
  <si>
    <t>LEU ORGANICS</t>
  </si>
  <si>
    <t>Lexunder Inc. dba Food to Live</t>
  </si>
  <si>
    <t>Liaoning Heshun Organic Agriculture Technology Co.，Ltd</t>
  </si>
  <si>
    <t>Liaoning Zhengye Peanut Industry Development Co.,Ltd.</t>
  </si>
  <si>
    <t>Life Bridge International Corp</t>
  </si>
  <si>
    <t>Life Giving Seeds, Inc.</t>
  </si>
  <si>
    <t>Lilly's Family Foods</t>
  </si>
  <si>
    <t>Lilmod Illameid, DBA The Best Flour, DBA Grain Brain</t>
  </si>
  <si>
    <t>Lincoln Transloads &amp; Processing</t>
  </si>
  <si>
    <t>Lindley Mills, Inc.</t>
  </si>
  <si>
    <t>Lindy Farms I, A CA. LIM. Partnership</t>
  </si>
  <si>
    <t>Linmark Co., Ltd.</t>
  </si>
  <si>
    <t>Linyi processing unit of Hangzhou Natur Foods Co., Ltd.</t>
  </si>
  <si>
    <t>Little Darling's Dairy</t>
  </si>
  <si>
    <t>Living Tree Community Foods</t>
  </si>
  <si>
    <t>LJL Enterprises, Inc.</t>
  </si>
  <si>
    <t>LLC "Russeltorg"</t>
  </si>
  <si>
    <t>LLC Kolos</t>
  </si>
  <si>
    <t>LLC Name Michurina</t>
  </si>
  <si>
    <t>LLC NVP SAD</t>
  </si>
  <si>
    <t>LLC Solonianskyi Zavod Ahropolimerdetal</t>
  </si>
  <si>
    <t>LLC Zavod Plastmasovykh Vyrobiv Suputnyk</t>
  </si>
  <si>
    <t>Lloyd Richins</t>
  </si>
  <si>
    <t>LLP "KAZSELTORG"</t>
  </si>
  <si>
    <t>Lomo Cold Storage LLC dba Lomo Cold Storage</t>
  </si>
  <si>
    <t>Lone Pine Enterprises, LLLP dba Lone Pine</t>
  </si>
  <si>
    <t>Long Kow Foods Enterprise Corporation</t>
  </si>
  <si>
    <t>Loon Liquors LLC</t>
  </si>
  <si>
    <t>Loren Z. Burkholder</t>
  </si>
  <si>
    <t>LOS ANDES GRAINLIFE PERU EIRL</t>
  </si>
  <si>
    <t>LotFotL Community Farm</t>
  </si>
  <si>
    <t>Lotus Foods, Inc.</t>
  </si>
  <si>
    <t>LOUISJOHN SLAGEL Sole Prop</t>
  </si>
  <si>
    <t>Lovebird Foods, LLC DBA Lovebird</t>
  </si>
  <si>
    <t>LTD AGRICOMPANY DRUZHBA</t>
  </si>
  <si>
    <t>LUA VANG VIET TRADING PRODUCTION JOINT STOCK COMPANY</t>
  </si>
  <si>
    <t>Lu-Dz, LLC dba Split Rock Distilling dba Royal Rose Syrups</t>
  </si>
  <si>
    <t>LUIS A. DUCRET Y CIA. S.A.</t>
  </si>
  <si>
    <t>Lukes LLC</t>
  </si>
  <si>
    <t>Lundberg (B.&amp;E.)</t>
  </si>
  <si>
    <t>Lundberg Family Farms (H)</t>
  </si>
  <si>
    <t>Lyft Commodity Trading Ltd.</t>
  </si>
  <si>
    <t>Lynchburg Organic Baking Company LLC</t>
  </si>
  <si>
    <t>M &amp; M International Imports</t>
  </si>
  <si>
    <t>M &amp; M POOL FARMS INC</t>
  </si>
  <si>
    <t>M&amp;L Bulk</t>
  </si>
  <si>
    <t>M. SIMON ZOOK CO. DBA GOLDEN BARREL PRODUCTS HONEY BROOK/ZOOK AG</t>
  </si>
  <si>
    <t>M/S NIRMAL NATURAL FIBERS, PROJECT-2, SECTOR-D (PIPLAI)</t>
  </si>
  <si>
    <t>M/S NIRMAL UDYOG</t>
  </si>
  <si>
    <t>M/S Pratithi Organic Foods Private Limited</t>
  </si>
  <si>
    <t>M3R INTERNATIONAL LLC</t>
  </si>
  <si>
    <t>Maa Dharti Organic Agriculture Project (managed by Vandana Organic Trade Pvt. Ltd)</t>
  </si>
  <si>
    <t>Maa Sharda Organic Agriculture Project (managed by Vandana Organic Trade Pvt. Ltd)</t>
  </si>
  <si>
    <t>Macrofood Sdn Bhd</t>
  </si>
  <si>
    <t>Mahisagar Organic Grower Group</t>
  </si>
  <si>
    <t>MAIA SAC</t>
  </si>
  <si>
    <t>Maine Grains</t>
  </si>
  <si>
    <t>Majo Trading S.R.L.</t>
  </si>
  <si>
    <t>Malin Grain and Feed, LLC</t>
  </si>
  <si>
    <t>Maltwerks Inc</t>
  </si>
  <si>
    <t>Mamiel Gıda A.Ş.</t>
  </si>
  <si>
    <t>Manzoni Inc.</t>
  </si>
  <si>
    <t>Maple Drive Farms, LLC</t>
  </si>
  <si>
    <t>Mara Seeds Pty Ltd Livestock Feed</t>
  </si>
  <si>
    <t>Marand Company S.A.C.</t>
  </si>
  <si>
    <t>Marathon Packing Corp.</t>
  </si>
  <si>
    <t>Mariajose Chávez García</t>
  </si>
  <si>
    <t>Marilson Xavier de Jesus (Fazenda Santo Antônio)</t>
  </si>
  <si>
    <t>Marin Food Specialties, Inc.</t>
  </si>
  <si>
    <t>Maritza Aura Andino Mendoza</t>
  </si>
  <si>
    <t>Mark S. Andres</t>
  </si>
  <si>
    <t>Marlin &amp; Philip Kinsinger dba Country Acre Farms</t>
  </si>
  <si>
    <t>Marlin Miller dba Hickory Acres</t>
  </si>
  <si>
    <t>Marlo Petersen</t>
  </si>
  <si>
    <t>Mars Food US, LLC dba Seeds of Change</t>
  </si>
  <si>
    <t>Marsh Hen Mill</t>
  </si>
  <si>
    <t>Martin Group LLC</t>
  </si>
  <si>
    <t>Martin Klein dba Klein Family Farm</t>
  </si>
  <si>
    <t>Martin's Feed Inc.</t>
  </si>
  <si>
    <t>Marty's Local, Inc.</t>
  </si>
  <si>
    <t>Marudhara Organic Farmers Society (managed by: Organic India Pvt. Ltd)</t>
  </si>
  <si>
    <t>Marukan Vinegar USA, Inc.</t>
  </si>
  <si>
    <t>Marvin Freiborg</t>
  </si>
  <si>
    <t>MASCORONA &amp; SOLEG CIA. LTDA.</t>
  </si>
  <si>
    <t>Massman Organic Farms</t>
  </si>
  <si>
    <t>Matco Foods Limited</t>
  </si>
  <si>
    <t>Matsuda Enterprises, Inc</t>
  </si>
  <si>
    <t>MAVEN BRANDS LLP</t>
  </si>
  <si>
    <t>Maverik Oils LLC</t>
  </si>
  <si>
    <t>Maysville Elevator Inc.</t>
  </si>
  <si>
    <t>McCorkle Farms dba McCorkle Trucking</t>
  </si>
  <si>
    <t>McGeary Organics, Inc.</t>
  </si>
  <si>
    <t>McGill Farms, Inc. dba Ron and Ann McGill Partnership</t>
  </si>
  <si>
    <t>McHargue Enterprises Inc</t>
  </si>
  <si>
    <t>Meadowlark Mill LLC. dba Meadowlark Community Mill</t>
  </si>
  <si>
    <t>MED-EXOIL SARL</t>
  </si>
  <si>
    <t>Medifoods (Thailand) Co., Ltd. (Lieng Charoen Rice Mill)</t>
  </si>
  <si>
    <t>Mehrotra Consumer Products Private Limited</t>
  </si>
  <si>
    <t>MEM Fairway, Inc</t>
  </si>
  <si>
    <t>Merna Valley Ag dba Merna Valley Organic</t>
  </si>
  <si>
    <t>Merri-Canna Farm, LLC</t>
  </si>
  <si>
    <t>Mertens Dairy</t>
  </si>
  <si>
    <t>Merus LLC</t>
  </si>
  <si>
    <t>Mesa Organic Baking Co.</t>
  </si>
  <si>
    <t>Michael Rue - Rue &amp; Forsman</t>
  </si>
  <si>
    <t>Michael Tod Crumrine</t>
  </si>
  <si>
    <t>Michael Wortmann dba Bow Valley Jersey</t>
  </si>
  <si>
    <t>Michigan Agricultural Commodities</t>
  </si>
  <si>
    <t>Michigan Bean &amp; Spelt, LLC</t>
  </si>
  <si>
    <t>Mid Dakota Grain Processing, LLC</t>
  </si>
  <si>
    <t>Middle East Bakery, Inc.</t>
  </si>
  <si>
    <t>Midstate Food Services LLC</t>
  </si>
  <si>
    <t>Midwest Grass and Forage</t>
  </si>
  <si>
    <t>Miguel &amp; Valentino, Inc.</t>
  </si>
  <si>
    <t>Milhão Indústria e Comercio de Ingredientes e Cereais S.A</t>
  </si>
  <si>
    <t>Milhão Indústria e Comércio de Ingredientes e Cereais S.A.</t>
  </si>
  <si>
    <t>Milk Specialties Global</t>
  </si>
  <si>
    <t>Millborn Seeds, Inc</t>
  </si>
  <si>
    <t>Millenia Global Private Limited</t>
  </si>
  <si>
    <t>MillPress Imports LLC.</t>
  </si>
  <si>
    <t>Milner Farms, Inc.</t>
  </si>
  <si>
    <t>Mindful Foods Corp</t>
  </si>
  <si>
    <t>Minn-Dak Ag LLC - Dickinson</t>
  </si>
  <si>
    <t>Minsley, Inc.</t>
  </si>
  <si>
    <t>Mion Organic Farmers Association (MOFA)</t>
  </si>
  <si>
    <t>MIRANDA LANGA AGRO EXPORT SAC</t>
  </si>
  <si>
    <t>Mission Mighty Me, LLC DBA Mission Mighty Me</t>
  </si>
  <si>
    <t>Misty Brook Farm</t>
  </si>
  <si>
    <t>Mizkan America, Inc</t>
  </si>
  <si>
    <t>Mizkan America, Inc.</t>
  </si>
  <si>
    <t>Modesto Milling, Inc.</t>
  </si>
  <si>
    <t>MOLINO CAÑUELAS S.A.C.I.F.I.A.</t>
  </si>
  <si>
    <t>Mondelez Global Direct</t>
  </si>
  <si>
    <t>Mondelez Global LLC</t>
  </si>
  <si>
    <t>Monette Seeds USA LLC</t>
  </si>
  <si>
    <t>Monroe Stutzman</t>
  </si>
  <si>
    <t>Montana Flour &amp; Grains, Inc.</t>
  </si>
  <si>
    <t>Montana Gluten Free Processors LLC</t>
  </si>
  <si>
    <t>Montana Milling Inc</t>
  </si>
  <si>
    <t>MOOLADHARA ORGANIC PRODUCTS PRIVATE LIMITED</t>
  </si>
  <si>
    <t>Moore's Flour Mill</t>
  </si>
  <si>
    <t>Morehouse Foods, Inc.</t>
  </si>
  <si>
    <t>Morgan's Mills</t>
  </si>
  <si>
    <t>MORII FOODS, INC.</t>
  </si>
  <si>
    <t>Morlife Pty Ltd</t>
  </si>
  <si>
    <t>Morral Specialty Grain</t>
  </si>
  <si>
    <t>Morrison Hay Company</t>
  </si>
  <si>
    <t>Morrison's Custom Feeds, Inc</t>
  </si>
  <si>
    <t>Mosher Products Inc.</t>
  </si>
  <si>
    <t>Mother Jungle Herbs</t>
  </si>
  <si>
    <t>Mountain Grain, LLC</t>
  </si>
  <si>
    <t>Mountain High Organics, Inc.</t>
  </si>
  <si>
    <t>Mountain Rose Herbs</t>
  </si>
  <si>
    <t>Mt Olive Company (HP)</t>
  </si>
  <si>
    <t>Mud Run Farm Organics</t>
  </si>
  <si>
    <t>Mulberry Lane Farm</t>
  </si>
  <si>
    <t>MUNDHRA MILLETS INDIA PRIVATE LIMITED</t>
  </si>
  <si>
    <t>Murphy Farms Of Hamilton County, LLC</t>
  </si>
  <si>
    <t>Musco Food Corporation</t>
  </si>
  <si>
    <t>Mushroom Mountain LLC</t>
  </si>
  <si>
    <t>MW, LLC dba Performance CoPacking</t>
  </si>
  <si>
    <t>Mycological Natural Products</t>
  </si>
  <si>
    <t>Myers Produce LLC</t>
  </si>
  <si>
    <t>N.F. Davis Drier &amp; Elevator, Inc.</t>
  </si>
  <si>
    <t>Nadi Amnat Charoen Agriculture Cooperative Ltd.</t>
  </si>
  <si>
    <t>Nahrpura jaivik krishi vikas samiti</t>
  </si>
  <si>
    <t>Nam Om Community Enterprise Network</t>
  </si>
  <si>
    <t>Namar Foods, Inc.</t>
  </si>
  <si>
    <t>NAMASKAR S.A.C.</t>
  </si>
  <si>
    <t>Narayan Krashak Kalyan Samiti</t>
  </si>
  <si>
    <t>Nash's Organic Produce</t>
  </si>
  <si>
    <t>National Food NW, LLC</t>
  </si>
  <si>
    <t>National Packaging Company Inc.</t>
  </si>
  <si>
    <t>Natura Natural Products, LLC dba THYA</t>
  </si>
  <si>
    <t>NATURAL FARMS LLC</t>
  </si>
  <si>
    <t>Natural Food Source, Inc.</t>
  </si>
  <si>
    <t>Natural Foods Inc.</t>
  </si>
  <si>
    <t>Natural Grocers VCNFM, Inc</t>
  </si>
  <si>
    <t>Natural Organic Farm- Sillod Project (ICS-2) Pishore</t>
  </si>
  <si>
    <t>NATURAL ORIGINS S.A.C.</t>
  </si>
  <si>
    <t>Natural Prairie Organic - Colorado LLC</t>
  </si>
  <si>
    <t>NATURAL REMEDIES PRIVATE LIMITED</t>
  </si>
  <si>
    <t>Natural Sprout Company LLC</t>
  </si>
  <si>
    <t>Natural Value, Inc.</t>
  </si>
  <si>
    <t>Natural Way Mills Trust</t>
  </si>
  <si>
    <t>Nature 2000 Pte Ltd</t>
  </si>
  <si>
    <t>Nature 360 Inc</t>
  </si>
  <si>
    <t>Nature and Nurture LLC DBA Nature and Nurture Seeds</t>
  </si>
  <si>
    <t>NATURE BIO COMERCIAL EXPORTADORA LTDA</t>
  </si>
  <si>
    <t>Nature Bio Foods Inc</t>
  </si>
  <si>
    <t>Nature Bio Foods Ltd</t>
  </si>
  <si>
    <t>NATURE BITE FOODS PRIVATE LIMITED</t>
  </si>
  <si>
    <t>Nature Nate's LLC</t>
  </si>
  <si>
    <t>NATURE PEARLS PRIVATE LIMITED</t>
  </si>
  <si>
    <t>Nature Pearls Pvt. Ltd</t>
  </si>
  <si>
    <t>Nature Soy, LLC dba Keystone Natural Holdings</t>
  </si>
  <si>
    <t>Naturel Bio S.A.C:</t>
  </si>
  <si>
    <t>NATURELAND ORGANIC FOODS PVT. LTD.</t>
  </si>
  <si>
    <t>Nature's Path Foods, Inc.</t>
  </si>
  <si>
    <t>Naturz Food (Heilongjiang) Co,. Ltd</t>
  </si>
  <si>
    <t>Naturz Organics (Dalian) Co., Ltd.</t>
  </si>
  <si>
    <t>Naturz Organics (Heilongjiang) Co.,Lt.</t>
  </si>
  <si>
    <t>Naturz Organics USA LLC</t>
  </si>
  <si>
    <t>NAUTICA ORGANICS CC</t>
  </si>
  <si>
    <t>Navdurga Organic Krishi Samiti</t>
  </si>
  <si>
    <t>Nebraska Farm Products, Inc.</t>
  </si>
  <si>
    <t>Nenjiang City Lugang Traditional Pressing Method Organic Oil Processing Co., Ltd</t>
  </si>
  <si>
    <t>Nenjiang Guanghui Co.,Ltd</t>
  </si>
  <si>
    <t>Nevada Grain, A Division of The Mennel Milling Company</t>
  </si>
  <si>
    <t>New Cibo Vita LLC</t>
  </si>
  <si>
    <t>New Deal Grain, Inc.</t>
  </si>
  <si>
    <t>New England Flour Corp.</t>
  </si>
  <si>
    <t>New England Natural Bakers</t>
  </si>
  <si>
    <t>New Frontier Foods Inc dba Ocean's Halo</t>
  </si>
  <si>
    <t>New Hope Mills Manufacturing, Inc.</t>
  </si>
  <si>
    <t>New Horizon Foods</t>
  </si>
  <si>
    <t>New Seasons Market</t>
  </si>
  <si>
    <t>New Universe Food LLC</t>
  </si>
  <si>
    <t>New Way Import Inc.</t>
  </si>
  <si>
    <t>Newark Nut Company dba Nuts.com/Nutsonline/Koppers Chocolate</t>
  </si>
  <si>
    <t>Newly Weds Foods, Inc - Modesto</t>
  </si>
  <si>
    <t>Newport Ingredients</t>
  </si>
  <si>
    <t>Next Generation Foods dba Next Generation Foods, NGF</t>
  </si>
  <si>
    <t>NFO Members Grain, Inc.</t>
  </si>
  <si>
    <t>NGERN THONG MUNG MEE CO., LTD.</t>
  </si>
  <si>
    <t>Ngiudorn Organic Community Enterprise</t>
  </si>
  <si>
    <t>NICHE NATURALS LLC</t>
  </si>
  <si>
    <t>Nick's Organic Farm, LLC</t>
  </si>
  <si>
    <t>NightCrawler Gardens LLC</t>
  </si>
  <si>
    <t>Nilmini Estate (Pvt.) Ltd</t>
  </si>
  <si>
    <t>NIMISHAMBHA FOODS</t>
  </si>
  <si>
    <t>Ningxia Senqi Food Industry Co.,Ltd</t>
  </si>
  <si>
    <t>Niobrara Grain and Milling LLC</t>
  </si>
  <si>
    <t>Nippon Industries, Inc.</t>
  </si>
  <si>
    <t>NIRMAL NATURAL FIBERS</t>
  </si>
  <si>
    <t>NN Store LLC</t>
  </si>
  <si>
    <t>Nong Kae Community Enterprise</t>
  </si>
  <si>
    <t>Nopploy Rice Co., Ltd.</t>
  </si>
  <si>
    <t>Norman &amp; Cletus Duling</t>
  </si>
  <si>
    <t>North Central Companies, Inc.</t>
  </si>
  <si>
    <t>North Dakota Innovations</t>
  </si>
  <si>
    <t>North Spore, LLC</t>
  </si>
  <si>
    <t>Northern Soy, Inc., dba SoyBoy</t>
  </si>
  <si>
    <t>Northern Yinong (Dalian) Science &amp; Technology development CO.,LTD</t>
  </si>
  <si>
    <t>Northwest Grain Growers</t>
  </si>
  <si>
    <t>Northwest Mills &amp; Specialty Grains, dba Cairnspring Mills</t>
  </si>
  <si>
    <t>Northwest Wild Foods Co., Inc.</t>
  </si>
  <si>
    <t>Northwood Trading, LLC</t>
  </si>
  <si>
    <t>NOW Foods</t>
  </si>
  <si>
    <t>NOW Foods, Inc.</t>
  </si>
  <si>
    <t>NSP INTERNATIONAL</t>
  </si>
  <si>
    <t>Nu Life Market, LLC</t>
  </si>
  <si>
    <t>Nurico, LLC</t>
  </si>
  <si>
    <t>Nurture LLC dba Happy Family Organics; Happy Family Brands</t>
  </si>
  <si>
    <t>Nutra Connection, LLC</t>
  </si>
  <si>
    <t>Nutraceuticals Group USA</t>
  </si>
  <si>
    <t>Nutraonly(Xi’an) Organic Nutritions Inc.</t>
  </si>
  <si>
    <t>NutraSun Foods Ltd</t>
  </si>
  <si>
    <t>NUTRIPRO GROUP LLC.</t>
  </si>
  <si>
    <t>Nutriyo Agro Foods Private Limited</t>
  </si>
  <si>
    <t>Nutsco Inc.</t>
  </si>
  <si>
    <t>Nutsola, LLC</t>
  </si>
  <si>
    <t>O.A. Foods LLC dba Greenlift</t>
  </si>
  <si>
    <t>O2 ORGANİK TARIM DANIŞMANLIĞI SAN ve TİC ŞTİ.</t>
  </si>
  <si>
    <t>Oakdale Trading Co.</t>
  </si>
  <si>
    <t>OASIS Family Co. Ltd</t>
  </si>
  <si>
    <t>Oasis JDV Nutrition S.A. de C.V.</t>
  </si>
  <si>
    <t>OCM Globe Inc.</t>
  </si>
  <si>
    <t>Ohio Till Farmstead, LLC</t>
  </si>
  <si>
    <t>OILS &amp; SPICES SARLU</t>
  </si>
  <si>
    <t>Oils of Italy Inc</t>
  </si>
  <si>
    <t>OKC Ranches Operating LLC</t>
  </si>
  <si>
    <t>Olam Global Agri Pte. Ltd.</t>
  </si>
  <si>
    <t>Olds Products Company</t>
  </si>
  <si>
    <t>Olsen Cleaning</t>
  </si>
  <si>
    <t>Olyra Foods, Inc.</t>
  </si>
  <si>
    <t>OM Foods Inc.</t>
  </si>
  <si>
    <t>O'Meara Family Farm</t>
  </si>
  <si>
    <t>Once Upon a Farm PBC</t>
  </si>
  <si>
    <t>Onset Worldwide LC</t>
  </si>
  <si>
    <t>Opportunity Farms DBA Clean Dirt Farms</t>
  </si>
  <si>
    <t>O'Reilly Organic Dairy LLC</t>
  </si>
  <si>
    <t>Orgabio Manufacturing Sdn Bhd</t>
  </si>
  <si>
    <t>Organic Agriculture Social Enterprise Innovators of Surin</t>
  </si>
  <si>
    <t>Organic Botanicals, LLC</t>
  </si>
  <si>
    <t>Organic Farmers Of Michigan LLC</t>
  </si>
  <si>
    <t>ORGANIC FARMS S.A</t>
  </si>
  <si>
    <t>Organic food growers</t>
  </si>
  <si>
    <t>Organic Global Trading Corp</t>
  </si>
  <si>
    <t>Organic India Private Limited</t>
  </si>
  <si>
    <t>ORGANIC INDIA PVT LTD</t>
  </si>
  <si>
    <t>ORGANIC LATIN AMERICA S.A.</t>
  </si>
  <si>
    <t>Organic Matters Ranch</t>
  </si>
  <si>
    <t>Organic Partners International, LLC</t>
  </si>
  <si>
    <t>Organic Producers Iowa Nebraska South Dakota Cooperative</t>
  </si>
  <si>
    <t>Organic Proshop LLC</t>
  </si>
  <si>
    <t>Organic Quality Food, LLC</t>
  </si>
  <si>
    <t>Organic Sphere LLC</t>
  </si>
  <si>
    <t>ORGANIC SPICES AND HERBS INDIA</t>
  </si>
  <si>
    <t>ORGANIC SUPPLIERS S.R.L</t>
  </si>
  <si>
    <t>Organic Wellness Products Private Limited</t>
  </si>
  <si>
    <t>Organicway (Xi'an) FoodIngredients Inc.</t>
  </si>
  <si>
    <t>ORGANIK DA LAT JOINT STOCK COMPANY</t>
  </si>
  <si>
    <t>Organikness Private Limited</t>
  </si>
  <si>
    <t>Organique Gida A.Ş</t>
  </si>
  <si>
    <t>ORIANE</t>
  </si>
  <si>
    <t>Origin Brands Inc</t>
  </si>
  <si>
    <t>Otis McAllister, Inc.</t>
  </si>
  <si>
    <t>OTS Danışmanlık Tarım Hayvancılık Gıda Turizm San. Tıc. A.Ş.</t>
  </si>
  <si>
    <t>Ottoman for Trading and Manufacturing "Royal Herbs S.A.E"</t>
  </si>
  <si>
    <t>Otto's Naturals, LLC</t>
  </si>
  <si>
    <t>Overseas Food Distribution, LLC dba Golchin</t>
  </si>
  <si>
    <t>Owen Miller</t>
  </si>
  <si>
    <t>Oxbow Rice</t>
  </si>
  <si>
    <t>P. de Vrij Moerkapelle B.V.</t>
  </si>
  <si>
    <t>Pachmarhi Mountain Valley Farmer Welfare Society (managed by Pratithi Organic Foods Pvt. Ltd)</t>
  </si>
  <si>
    <t>Pacific Choice Brands, LLC.</t>
  </si>
  <si>
    <t>PACIFIC GRAIN &amp; FOODS, LLC</t>
  </si>
  <si>
    <t>PacMoore Process Technologies</t>
  </si>
  <si>
    <t>PAF MILL LLC.</t>
  </si>
  <si>
    <t>Pakistan Organic Farms</t>
  </si>
  <si>
    <t>Palmy Essen International Co., Ltd.</t>
  </si>
  <si>
    <t>Panacea Organics LLC</t>
  </si>
  <si>
    <t>PanAZ</t>
  </si>
  <si>
    <t>PANHANDLE MILLING RAIL SITE 3705</t>
  </si>
  <si>
    <t>Panhandle Milling, LLC</t>
  </si>
  <si>
    <t>PANHANDLE MILLING, SPECIALTY GRAINS, ORGANIC GRAIN</t>
  </si>
  <si>
    <t>PANISAL S.A.</t>
  </si>
  <si>
    <t>Panjara Valley Organic Producer Company Limited</t>
  </si>
  <si>
    <t>Panjin Hetian Food Co., LTD</t>
  </si>
  <si>
    <t>Parchem Trading Ltd</t>
  </si>
  <si>
    <t>Park Byeong Cheol</t>
  </si>
  <si>
    <t>Park Kyung Sam</t>
  </si>
  <si>
    <t>Park Place Farms</t>
  </si>
  <si>
    <t>Partners, A Tasteful Choice Company</t>
  </si>
  <si>
    <t>Pastaurora, LLC dba Wildly Beloved Foods</t>
  </si>
  <si>
    <t>Pastificio Boulder Co.</t>
  </si>
  <si>
    <t>PATAFOODS, INC. DBA AMARA Inc</t>
  </si>
  <si>
    <t>PATAGONIA SUPERBERRIES EXTRACTS AND FUNCTIONAL INGREDIENTS S.A.</t>
  </si>
  <si>
    <t>Patrick Lenz</t>
  </si>
  <si>
    <t>Paul and Brent Schmitmeyer</t>
  </si>
  <si>
    <t>Paul Zimmerman dba Fair Weather Farms</t>
  </si>
  <si>
    <t>Paule &amp; Page, LLC dba Apolis Tea</t>
  </si>
  <si>
    <t>PAULISICH, NESTOR</t>
  </si>
  <si>
    <t>Pawling Station Grain, LLC</t>
  </si>
  <si>
    <t>PBC  NUTRITIONALS Inc</t>
  </si>
  <si>
    <t>PDS Organic Spices</t>
  </si>
  <si>
    <t>PE "Barbet"</t>
  </si>
  <si>
    <t>Peace Creek Farm LLC</t>
  </si>
  <si>
    <t>Pearl Cold Storage</t>
  </si>
  <si>
    <t>Pearl Garden Mills (Pvt) Ltd</t>
  </si>
  <si>
    <t>Pedon North America, Inc.</t>
  </si>
  <si>
    <t>PEHUAJO PROME S.A.</t>
  </si>
  <si>
    <t>Peigneux Brothers LLP</t>
  </si>
  <si>
    <t>Penny Newman Grain Co.</t>
  </si>
  <si>
    <t>People of Phichit Organic Community Enterprise</t>
  </si>
  <si>
    <t>Perdue Agribusiness</t>
  </si>
  <si>
    <t>Perdue Agribusiness, Inc. (North East, MD)</t>
  </si>
  <si>
    <t>Perdue Agribusiness, LLC (Hopkinsville)</t>
  </si>
  <si>
    <t>Perdue Agribusiness, LLC (Lumberton)</t>
  </si>
  <si>
    <t>Perdue Foods LLC</t>
  </si>
  <si>
    <t>Perfection Bakeries dba Aunt Millie's Kalamazoo Bakery</t>
  </si>
  <si>
    <t>PERU NATURALS CORPORATION S.A.C.</t>
  </si>
  <si>
    <t>Peruvian Bio Foods S.A.C.</t>
  </si>
  <si>
    <t>PERUVIAN HERITAGE SAC</t>
  </si>
  <si>
    <t>PERUVIAN NATURE S&amp;S S.A.C.</t>
  </si>
  <si>
    <t>Peter &amp; Hanna Martens Farm, LLC</t>
  </si>
  <si>
    <t>Peterson Farms</t>
  </si>
  <si>
    <t>PETERSON PROCESSING Inc</t>
  </si>
  <si>
    <t>PETROAGRO S.A.</t>
  </si>
  <si>
    <t>PGP International, An ABF Ingredients Company</t>
  </si>
  <si>
    <t>Phalada Agro Research Foundations Pvt Ltd</t>
  </si>
  <si>
    <t>Phalada Organic Consumer Products Pvt Ltd</t>
  </si>
  <si>
    <t>Philadelphia Macaroni Company</t>
  </si>
  <si>
    <t>Phoenix Agro Co.,Ltd</t>
  </si>
  <si>
    <t>Phoenix Agro Co.,Ltd (Sanjianghao Rice Industry)</t>
  </si>
  <si>
    <t>Phoenix Agro Co.,Ltd. (Shan Dong Qufeng)</t>
  </si>
  <si>
    <t>Phol dee rice mill</t>
  </si>
  <si>
    <t>PHYTOPROD S.A</t>
  </si>
  <si>
    <t>Pie Ranch</t>
  </si>
  <si>
    <t>Pine Creek Pack</t>
  </si>
  <si>
    <t>PineMelon</t>
  </si>
  <si>
    <t>PIONEER FOODS</t>
  </si>
  <si>
    <t>Pipri Krashak Sewa Samiti</t>
  </si>
  <si>
    <t>Pirahy Alimentos Ltda - Arroz Prato Fino</t>
  </si>
  <si>
    <t>Placke Organic Acres, LLC dba  Fever Hill Farmstead</t>
  </si>
  <si>
    <t>Plaengyai Organic Rice Huayrai Co.,Ltd</t>
  </si>
  <si>
    <t>Plai Organic Farm Co., Ltd.</t>
  </si>
  <si>
    <t>Planet Downs</t>
  </si>
  <si>
    <t>Pleasant Grove Farms</t>
  </si>
  <si>
    <t>Polit Farms</t>
  </si>
  <si>
    <t>Pond Hill Farms</t>
  </si>
  <si>
    <t>Pongpetch Corporation Company Limited</t>
  </si>
  <si>
    <t>POOL FARMS INC</t>
  </si>
  <si>
    <t>Poonpon Agro Co., Ltd.</t>
  </si>
  <si>
    <t>Poppe Express, LLC</t>
  </si>
  <si>
    <t>Post Consumer Brands, LLC</t>
  </si>
  <si>
    <t>Pounder Brothers Inc. Farm</t>
  </si>
  <si>
    <t>PowerGrow Systems</t>
  </si>
  <si>
    <t>P-R Farms, Inc.</t>
  </si>
  <si>
    <t>PRADERA NATURAL S.A.</t>
  </si>
  <si>
    <t>Prairie Grass Ranch</t>
  </si>
  <si>
    <t>Prairie Harvest Cleaning Inc.</t>
  </si>
  <si>
    <t>PRC, Inc.</t>
  </si>
  <si>
    <t>Preah Vihear Mean Chey Union of Agricultural Cooperative (PMUAC)</t>
  </si>
  <si>
    <t>Preferred Brands International</t>
  </si>
  <si>
    <t>Premier Co-op (Swiggum Rd Mill)</t>
  </si>
  <si>
    <t>Premium Food Group Inc.</t>
  </si>
  <si>
    <t>Prerana Industries</t>
  </si>
  <si>
    <t>Preston Vineyards, Inc.</t>
  </si>
  <si>
    <t>PRIDE INDIA FMCG PVT LTD.</t>
  </si>
  <si>
    <t>Prime Line Distributors</t>
  </si>
  <si>
    <t>Pro Nature Organic Foods Pvt. Ltd.</t>
  </si>
  <si>
    <t>Pro Yields</t>
  </si>
  <si>
    <t>PRO*ACT LLC</t>
  </si>
  <si>
    <t>PRO*FRESH Sourcing LLC</t>
  </si>
  <si>
    <t>Producer: Kris Coville and Glenn Coville</t>
  </si>
  <si>
    <t>Productos de Valor Agregado en Alimentos S.A. de C.V.</t>
  </si>
  <si>
    <t>PRODUCTOS DE VALOR AGREGADO EN ALIMENTOS S.A. DE C.V. #2</t>
  </si>
  <si>
    <t>Productos La Finca INC dba MAGA Foods</t>
  </si>
  <si>
    <t>PRODUCTOS ORGANICOS DE CARMEN S.P.R. DE R.L. DE C.V.</t>
  </si>
  <si>
    <t>PRODUCTOS ORGÁNICOS DE LOS ANDES S.A.</t>
  </si>
  <si>
    <t>PRODUCTOS SAN JOSE PROSANJO CIA. LTDA.</t>
  </si>
  <si>
    <t>PRODUCTOS SCHULLO S.A.</t>
  </si>
  <si>
    <t>Profaci Food Company LLC</t>
  </si>
  <si>
    <t>Professional Proteins, Ltd.</t>
  </si>
  <si>
    <t>ProGene Plant Research</t>
  </si>
  <si>
    <t>Progressive Agriculture Management , LLC</t>
  </si>
  <si>
    <t>ProHarvest Seeds, Inc.</t>
  </si>
  <si>
    <t>Promotora Agroindustrial De Cultivos Andinos “PROMACA E.I.R.L”</t>
  </si>
  <si>
    <t>PROMOTORA INMOBILIARIA Y GANADERA DE VALLE S.A. DE C.V.</t>
  </si>
  <si>
    <t>Proseccosource DBA Anthony’s Goods DBA PennyPacker</t>
  </si>
  <si>
    <t>Prospera Foods Inc.</t>
  </si>
  <si>
    <t>Pryor Garnett DBA Garnetts Red Prairie Farm</t>
  </si>
  <si>
    <t>Puffworks, Inc.</t>
  </si>
  <si>
    <t>Pulmuone Foods USA, Inc. DBA Pulmuone Wildwood, Inc.</t>
  </si>
  <si>
    <t>Puratos Corporation</t>
  </si>
  <si>
    <t>Purely Elizabeth, LLC</t>
  </si>
  <si>
    <t>Puresaiens Health Private Limited</t>
  </si>
  <si>
    <t>PURIS Proteins LLC DBA PURIS</t>
  </si>
  <si>
    <t>Puris Proteins LLC DBA Puris</t>
  </si>
  <si>
    <t>Qimei USA Inc.</t>
  </si>
  <si>
    <t>Qingdao Ahead Technology Co., Ltd.</t>
  </si>
  <si>
    <t>Qingdao AZ Food Co., Ltd.</t>
  </si>
  <si>
    <t>Qingdao Oriental Tongxiang International Trading Co., Ltd.</t>
  </si>
  <si>
    <t>Qingdao Sunrise Biotechnology Co., Ltd</t>
  </si>
  <si>
    <t>Qingdao Sunrise Health Co., Ltd.</t>
  </si>
  <si>
    <t>Qingdao Tanjia Trade Co., Ltd</t>
  </si>
  <si>
    <t>Quality Feeds, LLC</t>
  </si>
  <si>
    <t>Quality Organic Milling Products, LLC</t>
  </si>
  <si>
    <t>QUALITY SUPPLIER FOODS BOLIVIA</t>
  </si>
  <si>
    <t>Quality Supplier Foods LLC</t>
  </si>
  <si>
    <t>Quality Supplier S.A.C.</t>
  </si>
  <si>
    <t>Qualy Foods Fabricação e Comércio de Alimentos Ltda</t>
  </si>
  <si>
    <t>Quantum Fulfillment and Support LLC</t>
  </si>
  <si>
    <t>Quercia Rossa Inc.</t>
  </si>
  <si>
    <t>Quinoa Bol SRL</t>
  </si>
  <si>
    <t>Quinoa Corporation</t>
  </si>
  <si>
    <t>QUINOA FOODS COMPANY SRL</t>
  </si>
  <si>
    <t>Quinoa Ingredients SAC</t>
  </si>
  <si>
    <t>Quinua Boliviana del Sur S.R.L. QUINBOL SUR S.R.L.</t>
  </si>
  <si>
    <t>R&amp;R Cultivation</t>
  </si>
  <si>
    <t>R.C. Sherwood Grain Company, Inc. dba R.C. Sherwood Grain Company</t>
  </si>
  <si>
    <t>R.J. Van Drunen &amp; Sons, Inc. dba Van Drunen Farms</t>
  </si>
  <si>
    <t>R.S. RICE MILLS</t>
  </si>
  <si>
    <t>RABENANDRASANA RUDDY (VANILLAND)</t>
  </si>
  <si>
    <t>Rabou Farms Inc</t>
  </si>
  <si>
    <t>Raiar Organicos S.A.</t>
  </si>
  <si>
    <t>Rainier Organic Natural Foods Baking Company, Inc.</t>
  </si>
  <si>
    <t>Rajamudi Organics Private Limited</t>
  </si>
  <si>
    <t>Rallenti Pasta Company</t>
  </si>
  <si>
    <t>Randall &amp; Kristan Hurd</t>
  </si>
  <si>
    <t>RANDRIANARIVELO RIVOAL ROGER (ANISHERB)</t>
  </si>
  <si>
    <t>Randy Kabe DBA Sunrise Foods International</t>
  </si>
  <si>
    <t>RAPID ORGANIC PRIVATE LIMITED</t>
  </si>
  <si>
    <t>Rapid Organic Private Limited</t>
  </si>
  <si>
    <t>Rapid Overseas</t>
  </si>
  <si>
    <t>RASRANG KISAN NAWUTTHAN GROUP</t>
  </si>
  <si>
    <t>RATTAN ORGANIC FOODS PRIVATE LIMITED</t>
  </si>
  <si>
    <t>Raub-Rae Farm LLC</t>
  </si>
  <si>
    <t>Ray Domenico Farms, Inc.</t>
  </si>
  <si>
    <t>Ray Haselhorst</t>
  </si>
  <si>
    <t>Raymond - Hadley Corporation</t>
  </si>
  <si>
    <t>Ray-Mont Logistics Seattle, Inc.</t>
  </si>
  <si>
    <t>RBEQUIP LLC</t>
  </si>
  <si>
    <t>RCN Imports, Inc.</t>
  </si>
  <si>
    <t>Red Hen Baking Company</t>
  </si>
  <si>
    <t>Red Horse Seed Production DBA Domestic Hulling</t>
  </si>
  <si>
    <t>Red Oak Foods, LLC</t>
  </si>
  <si>
    <t>Red River Commodities, Inc.</t>
  </si>
  <si>
    <t>Red River Foods, Inc.</t>
  </si>
  <si>
    <t>Regents of the University of California, Davis dba UCANR Intermountain Research and Extension Center</t>
  </si>
  <si>
    <t>Regional Access</t>
  </si>
  <si>
    <t>Reist Popcorn Company</t>
  </si>
  <si>
    <t>Reist Popcorn Company - Square Street Facility</t>
  </si>
  <si>
    <t>Reliable Products Inc. DBA Reliable Products Inc. / Pure Farms Organic</t>
  </si>
  <si>
    <t>Rema Foods Inc.</t>
  </si>
  <si>
    <t>Renegade Acres DBA Garden Hoard</t>
  </si>
  <si>
    <t>REPA SAS</t>
  </si>
  <si>
    <t>Revela Foods - Litchfield LLC</t>
  </si>
  <si>
    <t>Revela Foods - New Berlin, LLC</t>
  </si>
  <si>
    <t>RG ORGANICS AND NATURALS</t>
  </si>
  <si>
    <t>Rhee Bros LLC</t>
  </si>
  <si>
    <t>Rice Experts Enterprises</t>
  </si>
  <si>
    <t>Riceland Foods Ltd.</t>
  </si>
  <si>
    <t>Riceland International Ltd.</t>
  </si>
  <si>
    <t>Riffey Transloads LLC</t>
  </si>
  <si>
    <t>Rio Grande Seed &amp; Grain, LLC</t>
  </si>
  <si>
    <t>Rita &amp; Madison LLC</t>
  </si>
  <si>
    <t>Ritika's Global Grains</t>
  </si>
  <si>
    <t>Ritrovo Italian Regional Foods</t>
  </si>
  <si>
    <t>RIVARA S.A.</t>
  </si>
  <si>
    <t>River Country CO-OP</t>
  </si>
  <si>
    <t>Riverland Ag Corp</t>
  </si>
  <si>
    <t>Riverside Feeds, LLC</t>
  </si>
  <si>
    <t>Riverside Natural Foods Ltd.</t>
  </si>
  <si>
    <t>RIVIANA FOODS INC</t>
  </si>
  <si>
    <t>Riviana Foods Inc.</t>
  </si>
  <si>
    <t>Riviana Foods Inc. dba Riviana Bulk Bagging Warehouse</t>
  </si>
  <si>
    <t>Riviana Foods, Inc.</t>
  </si>
  <si>
    <t>Roberts Seed</t>
  </si>
  <si>
    <t>Robin J Vos Enterprises DBA TS Food Packaging</t>
  </si>
  <si>
    <t>Robinson Fresh - CH Robinson</t>
  </si>
  <si>
    <t>Rob-See-Co, LLC</t>
  </si>
  <si>
    <t>RockFilter Distillery</t>
  </si>
  <si>
    <t>Rockwell Organic, LLC</t>
  </si>
  <si>
    <t>Rodney Nagorski</t>
  </si>
  <si>
    <t>Rogers Foods LTD</t>
  </si>
  <si>
    <t>ROHTAS ASSOCIATES Ltd</t>
  </si>
  <si>
    <t>Roland Foods, LLC</t>
  </si>
  <si>
    <t>Rominger Rice</t>
  </si>
  <si>
    <t>Ron Peterson LLC</t>
  </si>
  <si>
    <t>Ross Peterson Farms LLC</t>
  </si>
  <si>
    <t>ROSUN NATURAL PRODUCTS PTE LTD</t>
  </si>
  <si>
    <t>Roswods Pty Ltd</t>
  </si>
  <si>
    <t>Roth Organic Farms</t>
  </si>
  <si>
    <t>Royal Packaging LLC</t>
  </si>
  <si>
    <t>Royal Valley LLC</t>
  </si>
  <si>
    <t>RRG Garden Farming Operations</t>
  </si>
  <si>
    <t>RTW Logistics Inc.</t>
  </si>
  <si>
    <t>Rudi's Organic and Gluten Free Brands, Inc. dba Rudi's Organic Bakery</t>
  </si>
  <si>
    <t>Russ and Michelle Weidner DBA Fairplains Grain</t>
  </si>
  <si>
    <t>Rusted Rooster Farm</t>
  </si>
  <si>
    <t>Ry &amp; Cassie O'Connor</t>
  </si>
  <si>
    <t>S &amp; C Organic Milling LLC</t>
  </si>
  <si>
    <t>S &amp; S Grains LLP</t>
  </si>
  <si>
    <t>S T Organics, LLC</t>
  </si>
  <si>
    <t>S.A. MIGUEL CAMPODONICO LTDA.</t>
  </si>
  <si>
    <t>SA GIANG IMPORT EXPORT CORPORATION</t>
  </si>
  <si>
    <t>Saaras Overseas</t>
  </si>
  <si>
    <t>Safeway Inc.</t>
  </si>
  <si>
    <t>Sage V Foods</t>
  </si>
  <si>
    <t>Saginaw Valley Seedcorn Producers, LLC</t>
  </si>
  <si>
    <t>Sahyadri Enterprises</t>
  </si>
  <si>
    <t>Sakri Organic Farmers Producer Company Limited</t>
  </si>
  <si>
    <t>Saltwater Seeds</t>
  </si>
  <si>
    <t>Salus Nutra Inc</t>
  </si>
  <si>
    <t>Sam S. Stoltzfus</t>
  </si>
  <si>
    <t>Samasta Foods Private Limited</t>
  </si>
  <si>
    <t>Sambazon Inc.</t>
  </si>
  <si>
    <t>SAMBHAV COTTON CO. PVT. LTD. ICS-1</t>
  </si>
  <si>
    <t>SAMBHAV COTTON CO. PVT. LTD. ICS-2</t>
  </si>
  <si>
    <t>SAMBHAV COTTON CO. PVT. LTD. ICS-3</t>
  </si>
  <si>
    <t>SAMBHAV COTTON CO. PVT. LTD. ICS-4</t>
  </si>
  <si>
    <t>Samkit Bio Farm Pvt. Ltd, ICS-C (managed by Guru Kripa Enterprise)</t>
  </si>
  <si>
    <t>Sampurn Organic Private Limited</t>
  </si>
  <si>
    <t>Samruddhi Organic Farm India Private Limited</t>
  </si>
  <si>
    <t>Samruddhi Organic Farm India Pvt Ltd (Akola Processing Unit)</t>
  </si>
  <si>
    <t>San Gennaro Foods, Inc.</t>
  </si>
  <si>
    <t>Sanctuary Farm</t>
  </si>
  <si>
    <t>Sandra Iris García Rodríguez / Nature´s Blessings</t>
  </si>
  <si>
    <t>Sanjeevani Organic Grower Group (managed by Sanjeevani Agrofoods Limited)</t>
  </si>
  <si>
    <t>Sanmark LLC</t>
  </si>
  <si>
    <t>Sanmik Food (Pvt) Ltd</t>
  </si>
  <si>
    <t>Sanmik Natural Food Pty Ltd</t>
  </si>
  <si>
    <t>Sapore Della Vita, LLC</t>
  </si>
  <si>
    <t>Saro And Lee Foods Inc</t>
  </si>
  <si>
    <t>Sarveshwar Foods Limited</t>
  </si>
  <si>
    <t>Sarveshwar Overseas Limited</t>
  </si>
  <si>
    <t>Satkar Industries Private Limited</t>
  </si>
  <si>
    <t>Satpura Mountain Valley Farmer Welfare Society (managed by Pratithi Organic Foods Pvt. Ltd)</t>
  </si>
  <si>
    <t>SATVAN AGRO WORKS LLP</t>
  </si>
  <si>
    <t>SAYVO LTD</t>
  </si>
  <si>
    <t>SB&amp;B Foods, LLC</t>
  </si>
  <si>
    <t>SBV Fairhaven Mill</t>
  </si>
  <si>
    <t>Scenic Fruit Company</t>
  </si>
  <si>
    <t>SCHIPPER FARMS LLC.</t>
  </si>
  <si>
    <t>Schnorr Organics</t>
  </si>
  <si>
    <t>Schreiner Farms LLC</t>
  </si>
  <si>
    <t>Scientific Living, Inc.</t>
  </si>
  <si>
    <t>Scratch and Peck Feeds</t>
  </si>
  <si>
    <t>Scratch and Peck Feeds - Sioux City, NE</t>
  </si>
  <si>
    <t>Season Food, Inc.</t>
  </si>
  <si>
    <t>Seasonings.Net, LLC dba North American Seasonings</t>
  </si>
  <si>
    <t>Seaworth Ag Enterprises Inc.</t>
  </si>
  <si>
    <t>Seedy LLC</t>
  </si>
  <si>
    <t>Seenergy Foods Limited</t>
  </si>
  <si>
    <t>Seggiano USA, Inc.</t>
  </si>
  <si>
    <t>SEGHURO S.A.C.</t>
  </si>
  <si>
    <t>Sekhawati Organic Private Limited</t>
  </si>
  <si>
    <t>Sem Chi Rice Corp.</t>
  </si>
  <si>
    <t>Sementes Alimentos Paraná Ltda</t>
  </si>
  <si>
    <t>Seneca Grain Cleaning</t>
  </si>
  <si>
    <t>Sensational Foods Inc</t>
  </si>
  <si>
    <t>SensoryEffects Cereal Systems</t>
  </si>
  <si>
    <t>SEOKGOK NONGHYUP</t>
  </si>
  <si>
    <t>Serenity Kids, Inc.</t>
  </si>
  <si>
    <t>SERVICIOS Y NEGOCIOS S.A.</t>
  </si>
  <si>
    <t>SESAJAL LLC</t>
  </si>
  <si>
    <t>SESAJAL LLC.</t>
  </si>
  <si>
    <t>Seus Family Farms</t>
  </si>
  <si>
    <t>Shaanxi Jiuyuan Biotechnology Co., Ltd.</t>
  </si>
  <si>
    <t>Shady Side Farm Inc</t>
  </si>
  <si>
    <t>Shafer Commodities Inc.</t>
  </si>
  <si>
    <t>Shafi Agro Pvt. Ltd</t>
  </si>
  <si>
    <t>Shafi Centre (Pvt) Ltd.</t>
  </si>
  <si>
    <t>Shafi Gluco Chem Pvt. Ltd.</t>
  </si>
  <si>
    <t>Shah Trading Co. Ltd.</t>
  </si>
  <si>
    <t>Shakarganj Limited</t>
  </si>
  <si>
    <t>SHANANTINA S.A.C.</t>
  </si>
  <si>
    <t>Shandong Yutu Food Co.,LTD</t>
  </si>
  <si>
    <t>Shanghai Huanjing International Trading Co.,Ltd</t>
  </si>
  <si>
    <t>Shanghai XinChenDa Industrial Development Co., Ltd</t>
  </si>
  <si>
    <t>Shanxi Jinchang Cereal Trading Co., LTD.</t>
  </si>
  <si>
    <t>Shanxi Qinxian Tanshanhuang Millet Base Co., Ltd.</t>
  </si>
  <si>
    <t>Sharon Sweetin dba Organic &amp; Gluten Free Specialty Foods</t>
  </si>
  <si>
    <t>Sharsid Overseas Private Limited</t>
  </si>
  <si>
    <t>SHASHI NATURAL AND ORGANICS PRIVATE LIMITED</t>
  </si>
  <si>
    <t>Sheel Foods USA, Inc.</t>
  </si>
  <si>
    <t>Shemade Gourmet Foods Pvt Ltd</t>
  </si>
  <si>
    <t>Shenyang Xinyikang Trading Co., Ltd</t>
  </si>
  <si>
    <t>Sheppard Grain Enterprises, LLC DBA Sheppard Trucking</t>
  </si>
  <si>
    <t>Sheridan International Food Co. LLC dba Kensington Food Co</t>
  </si>
  <si>
    <t>Shijika India Private Limited</t>
  </si>
  <si>
    <t>Shiloh's Five Loaves Inc. (DBA Simple Kneads)</t>
  </si>
  <si>
    <t>SHIMLA HILLS OFFERINGS PRIVATE LIMITED</t>
  </si>
  <si>
    <t>SHIVAKRITI AGRO PRIVATE LIMITED</t>
  </si>
  <si>
    <t>Shree Kapil Muni Krishak Utthan Samiti</t>
  </si>
  <si>
    <t>Shree Ram Fibers India Pvt. Ltd.</t>
  </si>
  <si>
    <t>Shree Shreeniwas Cotex</t>
  </si>
  <si>
    <t>Shreeram Fibres India Private Limited</t>
  </si>
  <si>
    <t>SHRIPATHI ORGANICS AND FOOD PRIVATE LIMITED</t>
  </si>
  <si>
    <t>Sichuan Eastern Morning Biological Technology Co., Ltd.</t>
  </si>
  <si>
    <t>Sichuan Sentaiyuan Biotechnology Co., Ltd.</t>
  </si>
  <si>
    <t>Siddhagiri Swasthya</t>
  </si>
  <si>
    <t>Sierra Pacific Distribution Services</t>
  </si>
  <si>
    <t>Sigma Services Corporation - Zion</t>
  </si>
  <si>
    <t>Signatures of Asia Co., Ltd.</t>
  </si>
  <si>
    <t>SIHA &amp; AFIA INTERNATIONAL</t>
  </si>
  <si>
    <t>SİMAŞ BULGUR GIDA SANAYİ VE TİCARET LİMİTED ŞİRKETİ</t>
  </si>
  <si>
    <t>Simmons Feed &amp; Supply Co DBA Simmons Grain Co</t>
  </si>
  <si>
    <t>SIMPLI GOOD PERU S.A.C.</t>
  </si>
  <si>
    <t>SIMPLi Group, Inc.</t>
  </si>
  <si>
    <t>SINAI - Servicios Integrales y Agroindustriales S.R.L.</t>
  </si>
  <si>
    <t>Sinamco Foods, Inc</t>
  </si>
  <si>
    <t>Sinamco Trading, Inc</t>
  </si>
  <si>
    <t>Sincerely Nuts Inc.</t>
  </si>
  <si>
    <t>Sindan Organic S.R.L.</t>
  </si>
  <si>
    <t>SINENSIS TEA COMPANY</t>
  </si>
  <si>
    <t>Sipso Tropical Drink Co., Ltd.</t>
  </si>
  <si>
    <t>SJ Brandon, LLC DBA Old Dominion Organic Farms</t>
  </si>
  <si>
    <t>Skidmore Sales &amp; Distributing</t>
  </si>
  <si>
    <t>SKY Ingredients Inc</t>
  </si>
  <si>
    <t>SLT Foods Inc dba SLT Imports Inc</t>
  </si>
  <si>
    <t>Smart Cookies Inc DBA Steve &amp; Andy's Organics</t>
  </si>
  <si>
    <t>Smirk's LTD.</t>
  </si>
  <si>
    <t>Snackruptors Inc.</t>
  </si>
  <si>
    <t>SOATSIRY SARL</t>
  </si>
  <si>
    <t>Sociedad Agrícola Oscar Avendaño Arriagada EIRL</t>
  </si>
  <si>
    <t>Sociedad Agropecuaria Industrial y Técnica S.R.L. SAITE S.R.L.</t>
  </si>
  <si>
    <t>Sociedad Industrial Molinera S.A.</t>
  </si>
  <si>
    <t>SOCIETE BIOFOOD TUNISIA</t>
  </si>
  <si>
    <t>Société Coopérative Equitable du Bandama (SCEB Scoop) COOPERATIVE</t>
  </si>
  <si>
    <t>Société Tunisienne de Production Alimentaire</t>
  </si>
  <si>
    <t>SOFRUIMAR</t>
  </si>
  <si>
    <t>Sonmic Organic and Natural Farmers Association</t>
  </si>
  <si>
    <t>SOT LLC</t>
  </si>
  <si>
    <t>SOUL AGRI BUSINESS COMPANY LIMITED</t>
  </si>
  <si>
    <t>Source Atlantique Inc.</t>
  </si>
  <si>
    <t>Sousa Ribeiro Indústria Comércio, Exportação E Importação De Especiarias Ltda</t>
  </si>
  <si>
    <t>SOUTH AMERICAN GRAIN S.A.</t>
  </si>
  <si>
    <t>Southern Brown Rice, Inc.</t>
  </si>
  <si>
    <t>SOW FRESH INDIA LLP</t>
  </si>
  <si>
    <t>SOY MAX Sarl</t>
  </si>
  <si>
    <t>Soyatech Pty Ltd</t>
  </si>
  <si>
    <t>SPECIAL GRAINS S.A.</t>
  </si>
  <si>
    <t>Specialty Commodities, LLC</t>
  </si>
  <si>
    <t>Specialty Rice, Inc</t>
  </si>
  <si>
    <t>Spice Hut Corporation</t>
  </si>
  <si>
    <t>Spiceworks, LLC</t>
  </si>
  <si>
    <t>Spicy World of USA, Inc.</t>
  </si>
  <si>
    <t>Sresta Global FZE</t>
  </si>
  <si>
    <t>Sresta Natural Bioproducts Private Limited</t>
  </si>
  <si>
    <t>SSS VINEGAR CORPORATION</t>
  </si>
  <si>
    <t>St Charles Trading, Inc</t>
  </si>
  <si>
    <t>St. Ansgar Mills, Inc.</t>
  </si>
  <si>
    <t>STABRIL S.A.</t>
  </si>
  <si>
    <t>Stafford Hasenkamp</t>
  </si>
  <si>
    <t>Stahlbush Island Farms, Inc.</t>
  </si>
  <si>
    <t>Stallion International Trade Inc</t>
  </si>
  <si>
    <t>STAR GLOBAL MULTIVENTURES PVT. LTD.</t>
  </si>
  <si>
    <t>StarHealth Anguo Herbs Processing Factory</t>
  </si>
  <si>
    <t>StarHealth Botanical Technology Corporation</t>
  </si>
  <si>
    <t>StarWalker Organic Farms</t>
  </si>
  <si>
    <t>States Logistics Services, Inc.</t>
  </si>
  <si>
    <t>STAVYA AGRO</t>
  </si>
  <si>
    <t>STB INTERNACIONAL S.A.</t>
  </si>
  <si>
    <t>Steele &amp; Company</t>
  </si>
  <si>
    <t>STEENKAMP WINGERDE (Pty) Ltd</t>
  </si>
  <si>
    <t>Steigman Enterprises dba Small Valley Milling</t>
  </si>
  <si>
    <t>STELLAR AGRI (Pty) Ltd</t>
  </si>
  <si>
    <t>Stengel Seed &amp; Grain Co.</t>
  </si>
  <si>
    <t>STERLING SPECIALITY INGREDIENTS LLC</t>
  </si>
  <si>
    <t>Steuben Foods, Inc.</t>
  </si>
  <si>
    <t>Steve McKaskle DBA McKaskle Family Farm LLC</t>
  </si>
  <si>
    <t>Steven J. Beiler</t>
  </si>
  <si>
    <t>Stiebrs Farms Inc - Feed Processing</t>
  </si>
  <si>
    <t>Stone House Grain LLC</t>
  </si>
  <si>
    <t>Stredwick Farms Export LLC</t>
  </si>
  <si>
    <t>Strevey Farm Equipment LLC</t>
  </si>
  <si>
    <t>Stricks Ag, LLC</t>
  </si>
  <si>
    <t>Strong Roots dba Open Circle Seeds</t>
  </si>
  <si>
    <t>Strongtree Family Farm and Ranch LLC</t>
  </si>
  <si>
    <t>Strumba Media LLC</t>
  </si>
  <si>
    <t>SUCESORES DE HARALD W. TOMYS S.R.L.</t>
  </si>
  <si>
    <t>SUCHIAR S.L.</t>
  </si>
  <si>
    <t>Sudbeck Dairy Inc</t>
  </si>
  <si>
    <t>Sugimoto Seicha USA, Inc dba Sugimoto Tea Company</t>
  </si>
  <si>
    <t>SUGRAIN S.A.</t>
  </si>
  <si>
    <t>Suifenhe City Suimao Border People Trade Professional Cooperative</t>
  </si>
  <si>
    <t>Suma Juira</t>
  </si>
  <si>
    <t>SUMAJ YAPAY S.R.L.</t>
  </si>
  <si>
    <t>SUMAQ GRAINS TRADERS PERU S.A.C.</t>
  </si>
  <si>
    <t>Sun Valley Rice Co., LLC</t>
  </si>
  <si>
    <t>Sunatura Exports Private Limited</t>
  </si>
  <si>
    <t>Sunco &amp; Frenchie LLC</t>
  </si>
  <si>
    <t>SUNDALE S.A.</t>
  </si>
  <si>
    <t>Sunny Slope Ventures</t>
  </si>
  <si>
    <t>SunOrganic Farm dba Eco-Pac</t>
  </si>
  <si>
    <t>Sunrise Flour Mill, LLC</t>
  </si>
  <si>
    <t>Sunrise Foods FZE</t>
  </si>
  <si>
    <t>Sunrise Foods International (USA) Inc</t>
  </si>
  <si>
    <t>Sunrise Foods International Tarim Urunleri Ticaret Anonim Sirketi</t>
  </si>
  <si>
    <t>Sunrise Organic</t>
  </si>
  <si>
    <t>Sunrise Produce Company</t>
  </si>
  <si>
    <t>Sunshine Dairy / Arnie Nelson</t>
  </si>
  <si>
    <t>Sunshine USA Produce Inc.</t>
  </si>
  <si>
    <t>SunWest Foods, Inc.</t>
  </si>
  <si>
    <t>Super Soy</t>
  </si>
  <si>
    <t>Superior Natural Foods</t>
  </si>
  <si>
    <t>Superior Pack Group</t>
  </si>
  <si>
    <t>Suphanimit Nongyaida Agricultural Cooperative Limited</t>
  </si>
  <si>
    <t>Surabhi Naturals Pvt. Ltd.</t>
  </si>
  <si>
    <t>Surata Soyfoods</t>
  </si>
  <si>
    <t>SureSource Commodities LLC</t>
  </si>
  <si>
    <t>Surin Organic Agricultural Cooperative Ltd. (SOAC)</t>
  </si>
  <si>
    <t>Surpala Krashak Kalyan Samiti</t>
  </si>
  <si>
    <t>Sus Agri Development Pvt Ltd</t>
  </si>
  <si>
    <t>Sustainable Organic Rice Group, Chiang Rai Province</t>
  </si>
  <si>
    <t>Suwannaphum Rice Co., Ltd.</t>
  </si>
  <si>
    <t>SVK Sergeevka</t>
  </si>
  <si>
    <t>SWA Niranjanlal Agrawal Foundation Samiti (managed by Vijayshree Trading Company)</t>
  </si>
  <si>
    <t>Swampy Hollow Farm LLC</t>
  </si>
  <si>
    <t>Swany White Flour Mill Co.</t>
  </si>
  <si>
    <t>SWITCH SUPPLY PTY LTD</t>
  </si>
  <si>
    <t>Sylvan Bioproducts, Inc.</t>
  </si>
  <si>
    <t>Sylvan Bioproducts, Inc. (Kennett Square)</t>
  </si>
  <si>
    <t>SZ Kemlyansky LLC</t>
  </si>
  <si>
    <t>Taj Food Pvt. Ltd.</t>
  </si>
  <si>
    <t>TAN DAT AGRICULTURAL SERVICE PRODUCTION COOPERATIVE</t>
  </si>
  <si>
    <t>Tanhoy Limited</t>
  </si>
  <si>
    <t>Tanhoy Limited (Dalian Shenmei)</t>
  </si>
  <si>
    <t>Tardella Foods, Inc.</t>
  </si>
  <si>
    <t>TARWICORP SAC</t>
  </si>
  <si>
    <t>Tastel Fine Food Pvt. Ltd.</t>
  </si>
  <si>
    <t>Tasty Bite Eatables Limited</t>
  </si>
  <si>
    <t>Tasty Plus Foods</t>
  </si>
  <si>
    <t>Taweetunya Limited Partnership</t>
  </si>
  <si>
    <t>Taylor Seeds</t>
  </si>
  <si>
    <t>TeaAroma Inc. DBA Beyond Nature Company</t>
  </si>
  <si>
    <t>Tech Soon Parboiled Rice Mill</t>
  </si>
  <si>
    <t>Tekirdağ Un San. Ve Tic. Ltd. Şti.</t>
  </si>
  <si>
    <t>Terra Ingredients, LLC</t>
  </si>
  <si>
    <t>Terra Organics</t>
  </si>
  <si>
    <t>Terrasoul Superfoods, LLC</t>
  </si>
  <si>
    <t>Texas Best Organics, Inc.</t>
  </si>
  <si>
    <t>TH "Elite seeds" LLC</t>
  </si>
  <si>
    <t>THAI ORGANIC &amp; FAIRTRADE AGRICULTURE GROUP (TOFTA)</t>
  </si>
  <si>
    <t>Thai President Foods Public Company Limited</t>
  </si>
  <si>
    <t>Thai Yokorei Co., Ltd. (Samrong Branch)</t>
  </si>
  <si>
    <t>Thamnong charoensap Organic (Thailand) Co., Ltd</t>
  </si>
  <si>
    <t>Thanarice limited partnership</t>
  </si>
  <si>
    <t>The Arthur Companies, Inc</t>
  </si>
  <si>
    <t>The Birkett Mills</t>
  </si>
  <si>
    <t>The Chef’s Warehouse West Coast LLC. DBA Provvista Specialty Foods</t>
  </si>
  <si>
    <t>The Chef’s Warehouse West Coast, LLC.</t>
  </si>
  <si>
    <t>The Chefs' Warehouse Midwest LLC</t>
  </si>
  <si>
    <t>The Chefs' Warehouse Midwest LLC - Cincinnati OH</t>
  </si>
  <si>
    <t>The Chefs' Warehouse West Coast, LLC.</t>
  </si>
  <si>
    <t>The Chefs' Warehouse West Coast, LLC. 
dba Mike Hudson Distributing, Inc.</t>
  </si>
  <si>
    <t>The Chefs’ Warehouse Mid-Atlantic LLC</t>
  </si>
  <si>
    <t>The Chefs’ Warehouse of Florida LLC</t>
  </si>
  <si>
    <t>The Congaree Milling Company</t>
  </si>
  <si>
    <t>The DeLong Company</t>
  </si>
  <si>
    <t>The Delong Company</t>
  </si>
  <si>
    <t>The Essential Baking Company</t>
  </si>
  <si>
    <t>The Food Source International Inc</t>
  </si>
  <si>
    <t>The Green Labs, LLC</t>
  </si>
  <si>
    <t>The Kroger Co</t>
  </si>
  <si>
    <t>The Maine Potato Lady</t>
  </si>
  <si>
    <t>The McGregor Company</t>
  </si>
  <si>
    <t>The Natural Growth Co. Ltd</t>
  </si>
  <si>
    <t>The Olde Craft Bakery LLC</t>
  </si>
  <si>
    <t>The Only Bean</t>
  </si>
  <si>
    <t>The Organic Food Association Of Wanzai County</t>
  </si>
  <si>
    <t>The Plant Good Seed Company LLC</t>
  </si>
  <si>
    <t>The Scoular Company</t>
  </si>
  <si>
    <t>The Scoular Company (Idaho)</t>
  </si>
  <si>
    <t>The Teff Company</t>
  </si>
  <si>
    <t>Thomas Traphagan dba Sunset Ranch</t>
  </si>
  <si>
    <t>Thor Holdings dba Fresca Botanicals</t>
  </si>
  <si>
    <t>Three Sisters Nixtamal, LLC</t>
  </si>
  <si>
    <t>Thrive Life</t>
  </si>
  <si>
    <t>Thunderbird Commodities Inc.</t>
  </si>
  <si>
    <t>Tianjin Crown Star Foods Co., LTD.</t>
  </si>
  <si>
    <t>Tianjin Taizhen Import and Export Trade Co., Ltd</t>
  </si>
  <si>
    <t>Tianjin Taizhen Import and Export Trade Co.,Ltd</t>
  </si>
  <si>
    <t>Tianyuan USA Inc</t>
  </si>
  <si>
    <t>Tiensvold Farms</t>
  </si>
  <si>
    <t>Tierra Farm, Inc.</t>
  </si>
  <si>
    <t>TIERRA MANNA TRADING</t>
  </si>
  <si>
    <t>Timeless Seeds Inc</t>
  </si>
  <si>
    <t>Timmermans Organic Feeds</t>
  </si>
  <si>
    <t>Timothy D. Eisenbeis dba 5th Generation Farm</t>
  </si>
  <si>
    <t>TJ Foods USA LLC</t>
  </si>
  <si>
    <t>Todd's BBI</t>
  </si>
  <si>
    <t>Tom and Kristi German DBA Thankful Harvest</t>
  </si>
  <si>
    <t>TOM HOLLOWAY JR. Sole Prop</t>
  </si>
  <si>
    <t>Tomato Mountain Farm</t>
  </si>
  <si>
    <t>TOOTSI IMPEX USA Inc</t>
  </si>
  <si>
    <t>Top Herbs Office for Import and Export</t>
  </si>
  <si>
    <t>Torn &amp; Glasser</t>
  </si>
  <si>
    <t>Tostanor S.A.C.</t>
  </si>
  <si>
    <t>Total Food Package</t>
  </si>
  <si>
    <t>Total Sweeteners dba Batory Foods</t>
  </si>
  <si>
    <t>Toumi Foods &amp; Products Co., Ltd.</t>
  </si>
  <si>
    <t>TRA VINH FOOD COMPANY</t>
  </si>
  <si>
    <t>Trader Joe's Company</t>
  </si>
  <si>
    <t>TransChemical, Inc.</t>
  </si>
  <si>
    <t>Trent Hollerich</t>
  </si>
  <si>
    <t>Trent Sanderson</t>
  </si>
  <si>
    <t>Treta Agro Private Limited</t>
  </si>
  <si>
    <t>Tribe 9 Foods, LLC dba Ona Treats dba Real Food Innovations dba Yum Butter</t>
  </si>
  <si>
    <t>Trinidad Benham Corp.</t>
  </si>
  <si>
    <t>Trinidad Benham Corporation</t>
  </si>
  <si>
    <t>Triple B Corporation dba Coke Farm/Jardines</t>
  </si>
  <si>
    <t>Triple B Corporation dba Nature's World</t>
  </si>
  <si>
    <t>Triple Nickel, Inc.</t>
  </si>
  <si>
    <t>Tri-S Ag dba JKC Organic</t>
  </si>
  <si>
    <t>Trishya Natural and Eco Products LLP</t>
  </si>
  <si>
    <t>Trout Lake Farm LLC</t>
  </si>
  <si>
    <t>Trout Lake Farm LLC - Klickitat County</t>
  </si>
  <si>
    <t>Trouw B.V.</t>
  </si>
  <si>
    <t>True Fresh HPP, LLC</t>
  </si>
  <si>
    <t>True Leaf, LLC DBA Handy Pantry: Sustainable Seed Co.; Kitazawa Seed Co.</t>
  </si>
  <si>
    <t>True Origin Foods LLC</t>
  </si>
  <si>
    <t>Truly Organics Co. Ltd.</t>
  </si>
  <si>
    <t>TSP AGRO S.A.</t>
  </si>
  <si>
    <t>Turnbridge Plantation</t>
  </si>
  <si>
    <t>Turri's Italian Foods, Inc</t>
  </si>
  <si>
    <t>Tuscaloosa Organic Baking Company LLC</t>
  </si>
  <si>
    <t>Tuscarora Grain Co., LLC</t>
  </si>
  <si>
    <t>TV FOOD COMPANY LIMITED</t>
  </si>
  <si>
    <t>TW Farms LLC</t>
  </si>
  <si>
    <t>Twin Peaks Seed &amp; Grain LLC</t>
  </si>
  <si>
    <t>Two Loons Farm</t>
  </si>
  <si>
    <t>TYR Wood Products Inc. dba TYR Food Products</t>
  </si>
  <si>
    <t>Ubon Bio Agricultural Company Limited</t>
  </si>
  <si>
    <t>Ubon Sunflower Company Limited</t>
  </si>
  <si>
    <t>Ubonthavorn Kah Pued Ltd., Part.</t>
  </si>
  <si>
    <t>UHTCO Corporation</t>
  </si>
  <si>
    <t>Ultra Pure Kentucky, LLC</t>
  </si>
  <si>
    <t>Ultra Pure, LLC</t>
  </si>
  <si>
    <t>Umsaeng Community Organic Product.Co.,Ltd</t>
  </si>
  <si>
    <t>Ungerer and Company</t>
  </si>
  <si>
    <t>Unipex Dairy Products Co. Ltd. (Dry Grain Br)</t>
  </si>
  <si>
    <t>Unique Organics Limited</t>
  </si>
  <si>
    <t>Unique Pretzel Bakery, Inc</t>
  </si>
  <si>
    <t>United Grain Corporation</t>
  </si>
  <si>
    <t>United Kanboo USA Corp</t>
  </si>
  <si>
    <t>United Natural Foods, Inc.</t>
  </si>
  <si>
    <t>United Safety Agents</t>
  </si>
  <si>
    <t>United States Bakery DBA Franz Family Bakeries</t>
  </si>
  <si>
    <t>Universal Commodity Management Pty Ltd</t>
  </si>
  <si>
    <t>UNIVERSAL RICE CO.LTD.</t>
  </si>
  <si>
    <t>University of Maine J.F. Witter Center</t>
  </si>
  <si>
    <t>UpNorth Organics, LLC</t>
  </si>
  <si>
    <t>Upper Himalayan Organic Society (managed by: Organic India Pvt. Ltd)</t>
  </si>
  <si>
    <t>Uprising Organics</t>
  </si>
  <si>
    <t>Uprising Seeds</t>
  </si>
  <si>
    <t>URMATT Ltd.</t>
  </si>
  <si>
    <t>US DURUM MILLING Inc</t>
  </si>
  <si>
    <t>US Flour Corp.</t>
  </si>
  <si>
    <t>Usibras – Usina Brasileira de Óleos e Castanhas Ltda</t>
  </si>
  <si>
    <t>Usina Brasileira de Óleo e Castanha Ltda. (Usibras Usina Brasileira de Óleos e Castanhas Ltda)</t>
  </si>
  <si>
    <t>UT Organic Crops Unit</t>
  </si>
  <si>
    <t>Uthaithani Organic Agricultural Community Enterprise</t>
  </si>
  <si>
    <t>UVR NATURAL FOODS PVT. LTD</t>
  </si>
  <si>
    <t>Vaishnavi Agroteche Private Limited</t>
  </si>
  <si>
    <t>Val Pro, Inc. dba Valley Fruit &amp; Produce Co. and Continental Sales Co.</t>
  </si>
  <si>
    <t>Valencorp Industria Cacaotera Kuntucao Cía. Ltda.</t>
  </si>
  <si>
    <t>Valley Roots Food Hub</t>
  </si>
  <si>
    <t>Valley View Dairy</t>
  </si>
  <si>
    <t>Valley View Milling LLC</t>
  </si>
  <si>
    <t>Vallon Farm Direct Pvt. Ltd.</t>
  </si>
  <si>
    <t>Values Organics MP</t>
  </si>
  <si>
    <t>Van Specialty Foods LLC</t>
  </si>
  <si>
    <t>Vandaele Seeds Ltd.</t>
  </si>
  <si>
    <t>VANDANA ORGANIC TRADE PRIVATE LIMITED</t>
  </si>
  <si>
    <t>Vandana Organic Trade Pvt. Ltd.</t>
  </si>
  <si>
    <t>Vanderhart Brothers Ag. LLC</t>
  </si>
  <si>
    <t>VANILLE LABELLE SARL</t>
  </si>
  <si>
    <t>Vantage Netherlands BV</t>
  </si>
  <si>
    <t>Vapza Alimentos S/A</t>
  </si>
  <si>
    <t>Veld Botanicals (PTY) Ltd</t>
  </si>
  <si>
    <t>Venture Heritage Farm</t>
  </si>
  <si>
    <t>Venus Wafers Inc.</t>
  </si>
  <si>
    <t>Veritable Vegetable, Inc.</t>
  </si>
  <si>
    <t>VERK FOOD TRADE S.A.</t>
  </si>
  <si>
    <t>Vernon N. Burkholder dba Panorama Organics Dairy Feed Grain</t>
  </si>
  <si>
    <t>Verónica Veliz Caquegua</t>
  </si>
  <si>
    <t>VIEN PHU TRADING &amp; PRODUCTION ONE MEMBER COMPANY LIMITED</t>
  </si>
  <si>
    <t>VIET HAUS COMPANY LIMITED</t>
  </si>
  <si>
    <t>Vigar Enterprises Private Limited</t>
  </si>
  <si>
    <t>Vijayshree Trading Company-10 (managed by Vijayshree Trading Company)</t>
  </si>
  <si>
    <t>Vijayshree Trading Company-9 (managed by Vijayshree Trading Company)</t>
  </si>
  <si>
    <t>VIÑA PRADO SPA</t>
  </si>
  <si>
    <t>Vinacam Agrifood Join Stock Company</t>
  </si>
  <si>
    <t>Vinamit Joint Stock Company</t>
  </si>
  <si>
    <t>Vintage Grain</t>
  </si>
  <si>
    <t>Viriditas Farm dba Vreseis Limited</t>
  </si>
  <si>
    <t>Vitelli Foods LLC</t>
  </si>
  <si>
    <t>Viva Naturals</t>
  </si>
  <si>
    <t>Vivek Agro Products</t>
  </si>
  <si>
    <t>Volkmann Alimentos Ltda – EPP</t>
  </si>
  <si>
    <t>Vostok-Snab LLC</t>
  </si>
  <si>
    <t>Vyapar Foodstuff Trading LLC</t>
  </si>
  <si>
    <t>W.F. Ware Company, Inc.</t>
  </si>
  <si>
    <t>Walker Bros Grain</t>
  </si>
  <si>
    <t>Wallin Farm, LLC</t>
  </si>
  <si>
    <t>Walong Marketing Inc</t>
  </si>
  <si>
    <t>WamiValley Growers and processors Coop Ltd., Kilosa</t>
  </si>
  <si>
    <t>Wan Ja Shan International, LLC</t>
  </si>
  <si>
    <t>Wapuli Organic Farmers Association (WOFA)</t>
  </si>
  <si>
    <t>War Eagle Food Group, LLC</t>
  </si>
  <si>
    <t>WARI SOLID FOOD S.A.C.</t>
  </si>
  <si>
    <t>Watania Agriculture Company</t>
  </si>
  <si>
    <t>WeFARM Organics Inc.</t>
  </si>
  <si>
    <t>Wegman Organics</t>
  </si>
  <si>
    <t>Wegmans Food Market Inc.</t>
  </si>
  <si>
    <t>Weinlaeder Seed Company</t>
  </si>
  <si>
    <t>Wellington Foods, Inc.</t>
  </si>
  <si>
    <t>Wells Ag, LLC</t>
  </si>
  <si>
    <t>Wells, Inc.</t>
  </si>
  <si>
    <t>Werner Seed Company</t>
  </si>
  <si>
    <t>Western Foods</t>
  </si>
  <si>
    <t>Western Milling, LLC</t>
  </si>
  <si>
    <t>Western Montana Growers Cooperative</t>
  </si>
  <si>
    <t>Wet Noses Natural Dog Treat Company LLC</t>
  </si>
  <si>
    <t>WFM Private Label, L.P., A Delaware Limited Partnership</t>
  </si>
  <si>
    <t>Wheatfield Grain Holding Company, LLC.</t>
  </si>
  <si>
    <t>White Gold Kuvardeo</t>
  </si>
  <si>
    <t>White Gold Shivani</t>
  </si>
  <si>
    <t>White Gold Umapur</t>
  </si>
  <si>
    <t>Whole Alternatives LLC</t>
  </si>
  <si>
    <t>Whole Grain (Dalian) Foods Technology Co.,Ltd.</t>
  </si>
  <si>
    <t>Wholesome Essence</t>
  </si>
  <si>
    <t>Wilbur-Ellis Nutrition, LLC</t>
  </si>
  <si>
    <t>Wild Horse Seeds</t>
  </si>
  <si>
    <t>Wild Zora Foods, LLC</t>
  </si>
  <si>
    <t>Wildly Organic, LLC</t>
  </si>
  <si>
    <t>Williams Organic Farms, LLC</t>
  </si>
  <si>
    <t>Wilson Feedlot, Inc.</t>
  </si>
  <si>
    <t>WISHBONE ORGANICS INC</t>
  </si>
  <si>
    <t>WISHBONE S.R.L.</t>
  </si>
  <si>
    <t>Woeber Mustard Company</t>
  </si>
  <si>
    <t>Wonton Food Incorporated</t>
  </si>
  <si>
    <t>Wood Prairie Family Farm (Whitney Brook LLC)</t>
  </si>
  <si>
    <t>Woodland Foods, LLC</t>
  </si>
  <si>
    <t>Woodlyn Acres Farm, LLC</t>
  </si>
  <si>
    <t>Woodstock Farms</t>
  </si>
  <si>
    <t>Work Well Trading Inc</t>
  </si>
  <si>
    <t>World Finer Foods LLC</t>
  </si>
  <si>
    <t>World Food Processing LLC DBA Puris</t>
  </si>
  <si>
    <t>World Variety Produce, Inc. dba Melissa's</t>
  </si>
  <si>
    <t>Worlée Drive Dried Logistics GmbH</t>
  </si>
  <si>
    <t>Worlée NaturProdukte GmbH</t>
  </si>
  <si>
    <t>Wunderfood LLC</t>
  </si>
  <si>
    <t>WWF-Pakistan ICS BLA-05</t>
  </si>
  <si>
    <t>WWF-Pakistan ICS-BKN-04</t>
  </si>
  <si>
    <t>WWF-Pakistan ICS-KLU</t>
  </si>
  <si>
    <t>WWF-Pakistan ICS-LSB</t>
  </si>
  <si>
    <t>WWF-Pakistan ICS-RKN-02 B</t>
  </si>
  <si>
    <t>WWF-Pakistan ICS-UTL-02 B</t>
  </si>
  <si>
    <t>WWF-Pakistan-ICS-RKN-01 (A)</t>
  </si>
  <si>
    <t>WWF-Pakistan-ICS-UTL-02 (A)</t>
  </si>
  <si>
    <t>XIAMEN POLYNICE COMFORT TECHNOLOGY CO., LTD</t>
  </si>
  <si>
    <t>Xinjiang Bio Grains Agricultural Development Co.,Ltd.</t>
  </si>
  <si>
    <t>Xinjiang Colorful Rainbow Agriculture Technology Co., Ltd.</t>
  </si>
  <si>
    <t>XPODEKA SAC.</t>
  </si>
  <si>
    <t>Yantai Sanjia Vermicelli Co.,Ltd.</t>
  </si>
  <si>
    <t>Yayasan Mitra Organik</t>
  </si>
  <si>
    <t>Yeongdong farming Union Corporation</t>
  </si>
  <si>
    <t>Yihai Kerry (Shanghai) International Trading Co., Ltd</t>
  </si>
  <si>
    <t>Yixian Qingye Tea Farm</t>
  </si>
  <si>
    <t>Yiyuan Huayuan Foodstuffs Co.,Ltd</t>
  </si>
  <si>
    <t>YOGI SUPER FOODS</t>
  </si>
  <si>
    <t>Yost Farms LLC</t>
  </si>
  <si>
    <t>Yun Byeong Ok</t>
  </si>
  <si>
    <t>Yun Jung Ha</t>
  </si>
  <si>
    <t>Zego LLC</t>
  </si>
  <si>
    <t>Zen-Noh Hay, Inc</t>
  </si>
  <si>
    <t>Zesty Brands LLC</t>
  </si>
  <si>
    <t>Zhejiang Green Home Food Co., Ltd.</t>
  </si>
  <si>
    <t>Zimba Dairy, Inc.</t>
  </si>
  <si>
    <t>Zooks Hay</t>
  </si>
  <si>
    <t>ZoRoCo Packaging, Inc. - FreeFrom</t>
  </si>
  <si>
    <t>Other/Former Names</t>
  </si>
  <si>
    <t xml:space="preserve">Optional </t>
  </si>
  <si>
    <t>Other names that the operation is doing or has done business as</t>
  </si>
  <si>
    <t>DBA: GrainMaker</t>
  </si>
  <si>
    <t>formerly AMERICAN COMMODITY COMPANY, LLC</t>
  </si>
  <si>
    <t>Barnes Farm and Milling Co</t>
  </si>
  <si>
    <t>N/A</t>
  </si>
  <si>
    <t>formerly ph2120 Adams Grain</t>
  </si>
  <si>
    <t>PLANTA EL BUEN RETIRO</t>
  </si>
  <si>
    <t>ACORN Food Hub</t>
  </si>
  <si>
    <t>Lathrop FSG, LLC</t>
  </si>
  <si>
    <t>All Ingredients Plus, Inc.</t>
  </si>
  <si>
    <t>Other/Former OID# 3672200020</t>
  </si>
  <si>
    <t>2196946381 (Former Operation ID)</t>
  </si>
  <si>
    <t>formerly All American Hay &amp; Grain dba John Woolley Ranch dba Pure Potter Ranch</t>
  </si>
  <si>
    <t>All Star Trading, Inc.</t>
  </si>
  <si>
    <t>Forever Family Farm</t>
  </si>
  <si>
    <t>The Mennel Milling Company</t>
  </si>
  <si>
    <t>Formerly Freshco LLC</t>
  </si>
  <si>
    <t>Grainwell Puffed Grains</t>
  </si>
  <si>
    <t>Ancient Grains, LLC dba Grand Teton Ancient Grains</t>
  </si>
  <si>
    <t>Annie's Heirloom Seeds</t>
  </si>
  <si>
    <t>Hinrichs Trading LLC</t>
  </si>
  <si>
    <t>Formerly Andean Naturals Inc.</t>
  </si>
  <si>
    <t>9730000218 (Former Operation ID)</t>
  </si>
  <si>
    <t>Hidden Hollow Farm/Hidden Hollow Grain</t>
  </si>
  <si>
    <t>formerly sup4351</t>
  </si>
  <si>
    <t>Formerly Organiq, A Division of Associated Feed</t>
  </si>
  <si>
    <t>ATS TRADE</t>
  </si>
  <si>
    <t>formerly Bar Ale, Inc.</t>
  </si>
  <si>
    <t>9730008160 (Former Operation ID), (Other/Former Name: Formerly R &amp; S Hay)</t>
  </si>
  <si>
    <t>9730016438 (Former Operation ID)</t>
  </si>
  <si>
    <t>PLANTA BARRACA J. W. ERRO Y ANEXO SEMILLERO</t>
  </si>
  <si>
    <t>Formerly Certified Foods</t>
  </si>
  <si>
    <t>Elazar Demeshulam</t>
  </si>
  <si>
    <t>Ben Penner</t>
  </si>
  <si>
    <t>Unionex</t>
  </si>
  <si>
    <t>Black Band Distillery</t>
  </si>
  <si>
    <t>8875178201 (Former Operation ID, (Other/Former Name: Blue Lake Milling)</t>
  </si>
  <si>
    <t>8875178100 (Former Operation ID, (Other/Former Name: Blue Lake Milling)</t>
  </si>
  <si>
    <t>Breadtopia, Inc.</t>
  </si>
  <si>
    <t>JBS FARMS JV</t>
  </si>
  <si>
    <t>James L. &amp; Janet M. Byers</t>
  </si>
  <si>
    <t>formerly Beyond Health &amp; Wellness, LLC</t>
  </si>
  <si>
    <t>Tim Cada dba Cada Family Farms</t>
  </si>
  <si>
    <t>T &amp; C Organics; Castle Rock Farming, LLC; CBD AG, LLC</t>
  </si>
  <si>
    <t>Wheatland Milling Company</t>
  </si>
  <si>
    <t>Gilt Edge Flour Mill</t>
  </si>
  <si>
    <t>Formerly: Pinnacle Ag Services. Formerly: Central Valley Ag Group dba Pinnacle Ag Service</t>
  </si>
  <si>
    <t>formely Kandarian Organic Farms</t>
  </si>
  <si>
    <t>formerly CDG FARMS</t>
  </si>
  <si>
    <t>Champlain Valley Milling, Inc.</t>
  </si>
  <si>
    <t>Cold Zone Inc.</t>
  </si>
  <si>
    <t>Candela Perú</t>
  </si>
  <si>
    <t>FRUTOS DEL ANDE</t>
  </si>
  <si>
    <t>Michael Janowicz</t>
  </si>
  <si>
    <t>Elkton Terminal Grain</t>
  </si>
  <si>
    <t>formerly sup1536</t>
  </si>
  <si>
    <t>Coronilla</t>
  </si>
  <si>
    <t>9730016277 (Former Operation ID), (Other/Former Name: Oakville Produce Partners, LLC dba Greenleaf)</t>
  </si>
  <si>
    <t>JR Custom Feeds</t>
  </si>
  <si>
    <t>Gap View Farm</t>
  </si>
  <si>
    <t>Formerly Ohio Farm Direct dba Daniels Dairy Farm, LLC</t>
  </si>
  <si>
    <t>Long Lane Farm</t>
  </si>
  <si>
    <t>Rancho Relaxo</t>
  </si>
  <si>
    <t>DBA: (DSCG #3)</t>
  </si>
  <si>
    <t>DBA: (DSCG #4)</t>
  </si>
  <si>
    <t>Twin Parks Organic Farm</t>
  </si>
  <si>
    <t>formerly Delsur Trading, LLC dba Altalena dba OMG! Organic Meets Good</t>
  </si>
  <si>
    <t>formerly sup10447</t>
  </si>
  <si>
    <t>formerly Greenway Organic Farms, LLC/DF2000/Red Rock Ranch/ Hacienda de Chicos</t>
  </si>
  <si>
    <t>Don Grimes</t>
  </si>
  <si>
    <t>Doudlah Farms Organics</t>
  </si>
  <si>
    <t>La Crosse Distilling Company</t>
  </si>
  <si>
    <t>Lindsey Jeffreys</t>
  </si>
  <si>
    <t>Jeromy Shenk</t>
  </si>
  <si>
    <t>9730008777 (Former Operation ID)</t>
  </si>
  <si>
    <t>formerly MM-8935</t>
  </si>
  <si>
    <t>formerly sup4233</t>
  </si>
  <si>
    <t>Engelbert Farms Organic, LLC; Engelbert Farms, LLC</t>
  </si>
  <si>
    <t>Ernie's Organics, LLC</t>
  </si>
  <si>
    <t>Formerly sup4649</t>
  </si>
  <si>
    <t>Organic Noodle</t>
  </si>
  <si>
    <t>Kevin and Duane Evers</t>
  </si>
  <si>
    <t>formerly Bunge Milling, Inc. dba Pacific International Rice Mills</t>
  </si>
  <si>
    <t>Marvin Manges</t>
  </si>
  <si>
    <t>Hillside Lane Farm</t>
  </si>
  <si>
    <t>formerly: Full Belly Farm</t>
  </si>
  <si>
    <t>PLANTA SANTO DOMINGO</t>
  </si>
  <si>
    <t>TERMINAL PORTUARIA TGU - PUERTO NUEVA PALMIRA</t>
  </si>
  <si>
    <t>formerly DGG Group, LLC dba Wella Organics; formerly Lockhart Fine Foods</t>
  </si>
  <si>
    <t>FA0-USA-036-CERT-PER-GLI-290724</t>
  </si>
  <si>
    <t>DBA: Mountain Mama Milling</t>
  </si>
  <si>
    <t>Jim, Pat and Matt Graham</t>
  </si>
  <si>
    <t>o/a GSL</t>
  </si>
  <si>
    <t>formerly seal067</t>
  </si>
  <si>
    <t>Country Malt Group</t>
  </si>
  <si>
    <t>Formerly Green Farms, Inc. dba Worldwide Produce</t>
  </si>
  <si>
    <t>formerly Rideau Packaging, Inc.</t>
  </si>
  <si>
    <t>formerly sup7526</t>
  </si>
  <si>
    <t>Formerly Grimmway Farms;  formerly Grimmway Farms / Crystsl Organic</t>
  </si>
  <si>
    <t>DBA: Grouse Malting and Roasting Company</t>
  </si>
  <si>
    <t>Michiana Feed</t>
  </si>
  <si>
    <t>Whole Grain Milling Co</t>
  </si>
  <si>
    <t>Pueblo Seed &amp; Food Co</t>
  </si>
  <si>
    <t>DBA Shagbark Seed and Mill</t>
  </si>
  <si>
    <t>formerly sup5341</t>
  </si>
  <si>
    <t>Formerly Intelligentsia Coffee/Kilogram Tea - Formerly Intelligentsia Coffee and Tea, Inc.</t>
  </si>
  <si>
    <t>9730000071 (Former Operation ID)</t>
  </si>
  <si>
    <t>Fisher Brook Farm</t>
  </si>
  <si>
    <t>Joe Friesen</t>
  </si>
  <si>
    <t>Booms Cleaning</t>
  </si>
  <si>
    <t>formerly sup6175</t>
  </si>
  <si>
    <t>Previously ft201</t>
  </si>
  <si>
    <t>DBA Kayco</t>
  </si>
  <si>
    <t>KAPI</t>
  </si>
  <si>
    <t>formerly To Wei Inc. dba King Wai Trading Co.</t>
  </si>
  <si>
    <t>Arcadian Rural</t>
  </si>
  <si>
    <t>Kim and Jake's Gluten Free</t>
  </si>
  <si>
    <t>PLANTA ACCESO</t>
  </si>
  <si>
    <t>Leola Shrock and Sons</t>
  </si>
  <si>
    <t>Lanczynski Farm</t>
  </si>
  <si>
    <t>Land's End LLC</t>
  </si>
  <si>
    <t>Royal Lee Organics</t>
  </si>
  <si>
    <t>Formerly sup1387</t>
  </si>
  <si>
    <t>formerly sup573</t>
  </si>
  <si>
    <t>Formerly: M&amp;L Commodities, Inc.</t>
  </si>
  <si>
    <t>Livestock Feed Processor</t>
  </si>
  <si>
    <t>Formerly sup2082</t>
  </si>
  <si>
    <t>previously Klein-Mary &amp; Martin</t>
  </si>
  <si>
    <t>Nathan Yoder</t>
  </si>
  <si>
    <t>9735389296 (Former Operation ID)</t>
  </si>
  <si>
    <t>Crumrine Farms</t>
  </si>
  <si>
    <t>Christine DiBenigno</t>
  </si>
  <si>
    <t>formerly MM-9092</t>
  </si>
  <si>
    <t>Ronald Milner</t>
  </si>
  <si>
    <t>formerly Saguaro Seeds; Saguaro Seeds dba Northerly; formerly Southwest Processors Exchange LLP</t>
  </si>
  <si>
    <t>Stutzman Farms</t>
  </si>
  <si>
    <t>9739998295 (Former Operation ID), (Other/Former Name: Morrison Hay)</t>
  </si>
  <si>
    <t>Formerly dba Nutra Organics</t>
  </si>
  <si>
    <t>Alex Dragovich</t>
  </si>
  <si>
    <t>9730000287 (Former Operation ID)</t>
  </si>
  <si>
    <t>formerly ph2853, World Food Products- 1192 Vanderbilt Cir</t>
  </si>
  <si>
    <t>DBA: Vitamin Cottage Natural Foods Markets, Inc.</t>
  </si>
  <si>
    <t>formerly seal558</t>
  </si>
  <si>
    <t>Cibo Vita Inc.</t>
  </si>
  <si>
    <t>Jason England</t>
  </si>
  <si>
    <t>Formerly Nurture, Inc. dba Happy Family</t>
  </si>
  <si>
    <t>dba Essential Organics</t>
  </si>
  <si>
    <t>formely GFARM</t>
  </si>
  <si>
    <t>DBA Catalan Gourmet</t>
  </si>
  <si>
    <t>FORMERLY Hansa-Pacific/Otis McAllister, Inc.</t>
  </si>
  <si>
    <t>Owen Miller Farm</t>
  </si>
  <si>
    <t>Gary Larson Farm/Park Place Farms</t>
  </si>
  <si>
    <t>Nourishing Meadows</t>
  </si>
  <si>
    <t>Lester Sensenig</t>
  </si>
  <si>
    <t>Albert Peterson</t>
  </si>
  <si>
    <t>PLANTA TRES SARGENTOS</t>
  </si>
  <si>
    <t>PLANTA CHIVILCOY</t>
  </si>
  <si>
    <t>PUERTO CAMPANA</t>
  </si>
  <si>
    <t>PLANTA SAN ANTONIO</t>
  </si>
  <si>
    <t>PLANTA SAN PEDRO</t>
  </si>
  <si>
    <t>PLANTA GAHAN</t>
  </si>
  <si>
    <t>Placke Organic Acres, LLC</t>
  </si>
  <si>
    <t>BE Bloxsom t/f Bloxsom Family Trust</t>
  </si>
  <si>
    <t>formerly P-R FARMS, INC. and P-R Farms, Inc. dba Enzo Olive Oil Company</t>
  </si>
  <si>
    <t>PLANTA BARADERO</t>
  </si>
  <si>
    <t>TERMINAL PUERTO SAN PEDRO</t>
  </si>
  <si>
    <t>formerly PRESTON VINEYARDS, INC.</t>
  </si>
  <si>
    <t>formerly sup7763</t>
  </si>
  <si>
    <t>Wild Branch Valley Farm</t>
  </si>
  <si>
    <t>Pro-Ag Organic Farms</t>
  </si>
  <si>
    <t>PROMACA</t>
  </si>
  <si>
    <t>Formerly Pennypacker Packaging</t>
  </si>
  <si>
    <t>DBA Red Oak Food Managment</t>
  </si>
  <si>
    <t>formally bv255</t>
  </si>
  <si>
    <t>Rabou Farms Inc/Rabou Land Co. LLC</t>
  </si>
  <si>
    <t>Ron G. Burns</t>
  </si>
  <si>
    <t>formerly sup6967</t>
  </si>
  <si>
    <t>Square Street Facility</t>
  </si>
  <si>
    <t>Rhee Bros, Inc</t>
  </si>
  <si>
    <t>Riffey Transload LLC</t>
  </si>
  <si>
    <t>River Country Coop</t>
  </si>
  <si>
    <t>T/A Kurincha Foods/Roswods/Nelgri/Family Organics</t>
  </si>
  <si>
    <t>River Garden Farms</t>
  </si>
  <si>
    <t>formerly sup4930</t>
  </si>
  <si>
    <t>Ed Mantey &amp; Sons Inc</t>
  </si>
  <si>
    <t>Triple 'S' Farm</t>
  </si>
  <si>
    <t>Michael Jones/Geoff Geist</t>
  </si>
  <si>
    <t>Rainsweet, Inc.</t>
  </si>
  <si>
    <t>DBA: Schnorr Organics, LLC</t>
  </si>
  <si>
    <t>formerly Korusfood.com</t>
  </si>
  <si>
    <t>Seedyco, Inc.</t>
  </si>
  <si>
    <t>Sheppard Grain, Inc</t>
  </si>
  <si>
    <t>(Shree Ram Fibres)</t>
  </si>
  <si>
    <t>NA</t>
  </si>
  <si>
    <t>Formerly sup4161</t>
  </si>
  <si>
    <t>Steve &amp; Andy's Organic Inc.</t>
  </si>
  <si>
    <t>SOUTH AMERICAN GRAIN</t>
  </si>
  <si>
    <t>PLANTA LA AGRACIADA</t>
  </si>
  <si>
    <t>Formerly StarWalker Farms</t>
  </si>
  <si>
    <t>DBA Miracle Noodle</t>
  </si>
  <si>
    <t>Formerly Eco-Pac</t>
  </si>
  <si>
    <t>Former name: Diasub FZE</t>
  </si>
  <si>
    <t>Former name: Sunrise Foods International B.V.- Dia Giresun</t>
  </si>
  <si>
    <t>Former name: Sunrise Foods International B.V. - Dia Corum</t>
  </si>
  <si>
    <t>Former name: Sunrise Foods International B.V.</t>
  </si>
  <si>
    <t>Former name: Sunrise Foods International B.V. - Dia Bandirma</t>
  </si>
  <si>
    <t>Former name: Sunrise Foods International B.V.- Dia Samsun</t>
  </si>
  <si>
    <t>Ben and Katie Stoltzfus</t>
  </si>
  <si>
    <t>Teavision</t>
  </si>
  <si>
    <t>formerly TeaAroma</t>
  </si>
  <si>
    <t>formerly TERRA ORGANICS, LLC/Seeds By Design</t>
  </si>
  <si>
    <t>Shelf Reliance</t>
  </si>
  <si>
    <t>formerly White Buffalo LLC dba WB Kitchen</t>
  </si>
  <si>
    <t>Formerly Coke Farm/Jardines, Inc.</t>
  </si>
  <si>
    <t>formerly True Food Innovations, LLC dba Subsidiary of True Beverage Holdings, LLC</t>
  </si>
  <si>
    <t>TSP AGRO</t>
  </si>
  <si>
    <t>Turri's Italian Foods</t>
  </si>
  <si>
    <t>DBA: Twin Peaks Seed &amp; Grain LLC / Twin Peaks Trading</t>
  </si>
  <si>
    <t>Heartland Organics, LLC</t>
  </si>
  <si>
    <t>Tap Root Cooperative</t>
  </si>
  <si>
    <t>formerly ph4920</t>
  </si>
  <si>
    <t>Jon Detweiler</t>
  </si>
  <si>
    <t>formerly Viriditas Farm - Vreseis Limited dba Sally V. Fox</t>
  </si>
  <si>
    <t>formerly Walker Bros.</t>
  </si>
  <si>
    <t>Wallin Organic Farm</t>
  </si>
  <si>
    <t>formerly Eden Organic Grains, Inc. dba WeFarm Organics</t>
  </si>
  <si>
    <t>Formerly Western Milling, LLC dba Kruse Western, LLC</t>
  </si>
  <si>
    <t>DBA: Keen One Foods, Flatiron Food Factory LLC</t>
  </si>
  <si>
    <t>Scott and Fred Myers</t>
  </si>
  <si>
    <t>formerly Melissa's World Variety Produce, Inc.</t>
  </si>
  <si>
    <t>Client ID</t>
  </si>
  <si>
    <t>Optional</t>
  </si>
  <si>
    <t xml:space="preserve">Client ID issued by certifier. This can be any identifier that the Certifier uses to identify the operation. No constraints on format. </t>
  </si>
  <si>
    <t>RU007</t>
  </si>
  <si>
    <t>PA058</t>
  </si>
  <si>
    <t>42-1051</t>
  </si>
  <si>
    <t>7611</t>
  </si>
  <si>
    <t>CU 843401</t>
  </si>
  <si>
    <t>OT-000012</t>
  </si>
  <si>
    <t>OT-045082</t>
  </si>
  <si>
    <t>1243</t>
  </si>
  <si>
    <t>6</t>
  </si>
  <si>
    <t>0384649</t>
  </si>
  <si>
    <t>IN126</t>
  </si>
  <si>
    <t>770-03-28-16</t>
  </si>
  <si>
    <t>4044DG1749-16</t>
  </si>
  <si>
    <t>12417</t>
  </si>
  <si>
    <t>CE-205517</t>
  </si>
  <si>
    <t>pr672</t>
  </si>
  <si>
    <t>pr3365</t>
  </si>
  <si>
    <t>0548</t>
  </si>
  <si>
    <t>14032</t>
  </si>
  <si>
    <t>10637</t>
  </si>
  <si>
    <t>pr1801</t>
  </si>
  <si>
    <t>OT-014650</t>
  </si>
  <si>
    <t>6397</t>
  </si>
  <si>
    <t>2024015</t>
  </si>
  <si>
    <t>4481</t>
  </si>
  <si>
    <t>17151</t>
  </si>
  <si>
    <t>OT-018994</t>
  </si>
  <si>
    <t>OT-045891</t>
  </si>
  <si>
    <t>4015H2335-22</t>
  </si>
  <si>
    <t>896534</t>
  </si>
  <si>
    <t>6092</t>
  </si>
  <si>
    <t>10017</t>
  </si>
  <si>
    <t>1246</t>
  </si>
  <si>
    <t>71327</t>
  </si>
  <si>
    <t>96190</t>
  </si>
  <si>
    <t>OT-000108</t>
  </si>
  <si>
    <t>CE-208759</t>
  </si>
  <si>
    <t>32646</t>
  </si>
  <si>
    <t>831077</t>
  </si>
  <si>
    <t>42013</t>
  </si>
  <si>
    <t>7268</t>
  </si>
  <si>
    <t>898964</t>
  </si>
  <si>
    <t>31-1286</t>
  </si>
  <si>
    <t>150297</t>
  </si>
  <si>
    <t>7194</t>
  </si>
  <si>
    <t>255357</t>
  </si>
  <si>
    <t>2771</t>
  </si>
  <si>
    <t>CE-208537</t>
  </si>
  <si>
    <t>CE210</t>
  </si>
  <si>
    <t>CE-204711</t>
  </si>
  <si>
    <t>6285</t>
  </si>
  <si>
    <t>pr1308</t>
  </si>
  <si>
    <t>2973</t>
  </si>
  <si>
    <t>820138</t>
  </si>
  <si>
    <t>CE-201813</t>
  </si>
  <si>
    <t>CE-206867</t>
  </si>
  <si>
    <t>173458</t>
  </si>
  <si>
    <t>CE-206111</t>
  </si>
  <si>
    <t>173459</t>
  </si>
  <si>
    <t>239117</t>
  </si>
  <si>
    <t>770-10-16-22</t>
  </si>
  <si>
    <t>638</t>
  </si>
  <si>
    <t>30101</t>
  </si>
  <si>
    <t>35118</t>
  </si>
  <si>
    <t>ED05</t>
  </si>
  <si>
    <t>AG-C0001748OC</t>
  </si>
  <si>
    <t>240769D</t>
  </si>
  <si>
    <t>pr2333</t>
  </si>
  <si>
    <t>NP1823</t>
  </si>
  <si>
    <t>BA140</t>
  </si>
  <si>
    <t>303786</t>
  </si>
  <si>
    <t>6967</t>
  </si>
  <si>
    <t>897231</t>
  </si>
  <si>
    <t>me259</t>
  </si>
  <si>
    <t>2679.49386</t>
  </si>
  <si>
    <t>2679</t>
  </si>
  <si>
    <t>07042016/F241</t>
  </si>
  <si>
    <t>750906</t>
  </si>
  <si>
    <t>4803</t>
  </si>
  <si>
    <t>CC-AD-371</t>
  </si>
  <si>
    <t>2865</t>
  </si>
  <si>
    <t>0029835</t>
  </si>
  <si>
    <t>6074</t>
  </si>
  <si>
    <t>5997</t>
  </si>
  <si>
    <t>5873</t>
  </si>
  <si>
    <t>5872</t>
  </si>
  <si>
    <t>886201</t>
  </si>
  <si>
    <t>PA-OR-1062</t>
  </si>
  <si>
    <t>24 11784 NOP</t>
  </si>
  <si>
    <t>812233</t>
  </si>
  <si>
    <t>4407</t>
  </si>
  <si>
    <t>770-08-15-23</t>
  </si>
  <si>
    <t>2072</t>
  </si>
  <si>
    <t>pr2150</t>
  </si>
  <si>
    <t>770-10-20-15</t>
  </si>
  <si>
    <t>17439</t>
  </si>
  <si>
    <t>pr849</t>
  </si>
  <si>
    <t>CE-201815</t>
  </si>
  <si>
    <t>CE-201865</t>
  </si>
  <si>
    <t>pr3033</t>
  </si>
  <si>
    <t>153071</t>
  </si>
  <si>
    <t>5871</t>
  </si>
  <si>
    <t>6046</t>
  </si>
  <si>
    <t>6071</t>
  </si>
  <si>
    <t>5998</t>
  </si>
  <si>
    <t>6015</t>
  </si>
  <si>
    <t>5869</t>
  </si>
  <si>
    <t>6073</t>
  </si>
  <si>
    <t>6045</t>
  </si>
  <si>
    <t>6014</t>
  </si>
  <si>
    <t>pr2543</t>
  </si>
  <si>
    <t>72823</t>
  </si>
  <si>
    <t>CE-206642</t>
  </si>
  <si>
    <t>pr1296</t>
  </si>
  <si>
    <t>13551</t>
  </si>
  <si>
    <t>41-852</t>
  </si>
  <si>
    <t>2024007</t>
  </si>
  <si>
    <t>25 12653 NOP</t>
  </si>
  <si>
    <t>40205</t>
  </si>
  <si>
    <t>CE-202149</t>
  </si>
  <si>
    <t>CU895298</t>
  </si>
  <si>
    <t>3113</t>
  </si>
  <si>
    <t>BA253-1</t>
  </si>
  <si>
    <t>12892</t>
  </si>
  <si>
    <t>28743</t>
  </si>
  <si>
    <t>0808074</t>
  </si>
  <si>
    <t>OT-010312</t>
  </si>
  <si>
    <t>CE-202420</t>
  </si>
  <si>
    <t>7146</t>
  </si>
  <si>
    <t>7143</t>
  </si>
  <si>
    <t>OT-024005</t>
  </si>
  <si>
    <t>pr790</t>
  </si>
  <si>
    <t>OT-037828</t>
  </si>
  <si>
    <t>OT-011452</t>
  </si>
  <si>
    <t>119186</t>
  </si>
  <si>
    <t>4925</t>
  </si>
  <si>
    <t>218</t>
  </si>
  <si>
    <t>984</t>
  </si>
  <si>
    <t>K0287</t>
  </si>
  <si>
    <t>207559</t>
  </si>
  <si>
    <t>191</t>
  </si>
  <si>
    <t>5859</t>
  </si>
  <si>
    <t>11500</t>
  </si>
  <si>
    <t>13963</t>
  </si>
  <si>
    <t>356-1697</t>
  </si>
  <si>
    <t>70599</t>
  </si>
  <si>
    <t>RU015</t>
  </si>
  <si>
    <t>52830</t>
  </si>
  <si>
    <t>2868</t>
  </si>
  <si>
    <t>CE-205611</t>
  </si>
  <si>
    <t>869120</t>
  </si>
  <si>
    <t>896887</t>
  </si>
  <si>
    <t>CE-200017</t>
  </si>
  <si>
    <t>886853</t>
  </si>
  <si>
    <t>11-1605</t>
  </si>
  <si>
    <t>893261</t>
  </si>
  <si>
    <t>7-1281</t>
  </si>
  <si>
    <t>al612</t>
  </si>
  <si>
    <t>CN190</t>
  </si>
  <si>
    <t>CN190-1</t>
  </si>
  <si>
    <t>179695</t>
  </si>
  <si>
    <t>pr1516</t>
  </si>
  <si>
    <t>804569</t>
  </si>
  <si>
    <t>250729</t>
  </si>
  <si>
    <t>6634</t>
  </si>
  <si>
    <t>55120</t>
  </si>
  <si>
    <t>1420</t>
  </si>
  <si>
    <t>0200242</t>
  </si>
  <si>
    <t>11283</t>
  </si>
  <si>
    <t>pr2132</t>
  </si>
  <si>
    <t>17466</t>
  </si>
  <si>
    <t>28292/2</t>
  </si>
  <si>
    <t>71037</t>
  </si>
  <si>
    <t>101625</t>
  </si>
  <si>
    <t>3-1735</t>
  </si>
  <si>
    <t>CE-201902-001</t>
  </si>
  <si>
    <t>OT-000523</t>
  </si>
  <si>
    <t>58676</t>
  </si>
  <si>
    <t>11043</t>
  </si>
  <si>
    <t>17153</t>
  </si>
  <si>
    <t>17155</t>
  </si>
  <si>
    <t>17157</t>
  </si>
  <si>
    <t>4913</t>
  </si>
  <si>
    <t>4023DG1193-12</t>
  </si>
  <si>
    <t>CN112-1</t>
  </si>
  <si>
    <t>CN120</t>
  </si>
  <si>
    <t>OT-044612</t>
  </si>
  <si>
    <t>OT-044743</t>
  </si>
  <si>
    <t>OT-044556</t>
  </si>
  <si>
    <t>pr2430</t>
  </si>
  <si>
    <t>W96W</t>
  </si>
  <si>
    <t>139059</t>
  </si>
  <si>
    <t>CN193</t>
  </si>
  <si>
    <t>pr1140</t>
  </si>
  <si>
    <t>9730000072</t>
  </si>
  <si>
    <t>OT-000639</t>
  </si>
  <si>
    <t>9730000077</t>
  </si>
  <si>
    <t>1437</t>
  </si>
  <si>
    <t>pr2088</t>
  </si>
  <si>
    <t>TR-132</t>
  </si>
  <si>
    <t>356-2518</t>
  </si>
  <si>
    <t>30327</t>
  </si>
  <si>
    <t>9745</t>
  </si>
  <si>
    <t>OT-010305</t>
  </si>
  <si>
    <t>OT-024096</t>
  </si>
  <si>
    <t>pr192</t>
  </si>
  <si>
    <t>U24G</t>
  </si>
  <si>
    <t>pr282</t>
  </si>
  <si>
    <t>1171</t>
  </si>
  <si>
    <t>OT-000766</t>
  </si>
  <si>
    <t>CN250-3</t>
  </si>
  <si>
    <t>CN250-2</t>
  </si>
  <si>
    <t>95700</t>
  </si>
  <si>
    <t>CE-202307</t>
  </si>
  <si>
    <t>CE-202586</t>
  </si>
  <si>
    <t>CE-202306</t>
  </si>
  <si>
    <t>CE-208541</t>
  </si>
  <si>
    <t>pr1155</t>
  </si>
  <si>
    <t>7057</t>
  </si>
  <si>
    <t>4146</t>
  </si>
  <si>
    <t>24 10448 NOP</t>
  </si>
  <si>
    <t>nv364</t>
  </si>
  <si>
    <t>OT-018133</t>
  </si>
  <si>
    <t>pr862</t>
  </si>
  <si>
    <t>31027</t>
  </si>
  <si>
    <t>pr1302</t>
  </si>
  <si>
    <t>6003-1150</t>
  </si>
  <si>
    <t>CE-207444</t>
  </si>
  <si>
    <t>IN087</t>
  </si>
  <si>
    <t>4535</t>
  </si>
  <si>
    <t>17158</t>
  </si>
  <si>
    <t>OT-000910</t>
  </si>
  <si>
    <t>264</t>
  </si>
  <si>
    <t>pr3326</t>
  </si>
  <si>
    <t>472891</t>
  </si>
  <si>
    <t>265702</t>
  </si>
  <si>
    <t>349816</t>
  </si>
  <si>
    <t>346706</t>
  </si>
  <si>
    <t>686299</t>
  </si>
  <si>
    <t>288021</t>
  </si>
  <si>
    <t>CE-202483</t>
  </si>
  <si>
    <t>24 11874 NOP</t>
  </si>
  <si>
    <t>K0326</t>
  </si>
  <si>
    <t>19773</t>
  </si>
  <si>
    <t>OT-031922</t>
  </si>
  <si>
    <t>CE-208261</t>
  </si>
  <si>
    <t>CE-204101</t>
  </si>
  <si>
    <t>PFP456KC</t>
  </si>
  <si>
    <t>CN031-2</t>
  </si>
  <si>
    <t>262869</t>
  </si>
  <si>
    <t>K0173</t>
  </si>
  <si>
    <t>PR243</t>
  </si>
  <si>
    <t>CU 874592</t>
  </si>
  <si>
    <t>V13Q</t>
  </si>
  <si>
    <t>13642</t>
  </si>
  <si>
    <t>809306</t>
  </si>
  <si>
    <t>4694</t>
  </si>
  <si>
    <t>12335</t>
  </si>
  <si>
    <t>al621</t>
  </si>
  <si>
    <t>4353</t>
  </si>
  <si>
    <t>519046</t>
  </si>
  <si>
    <t>OT-043003</t>
  </si>
  <si>
    <t>48501</t>
  </si>
  <si>
    <t>13537</t>
  </si>
  <si>
    <t>5178PML1</t>
  </si>
  <si>
    <t>5178P</t>
  </si>
  <si>
    <t>CU 854341</t>
  </si>
  <si>
    <t>35856</t>
  </si>
  <si>
    <t>1061</t>
  </si>
  <si>
    <t>4036H1888-18</t>
  </si>
  <si>
    <t>PGH177BSE</t>
  </si>
  <si>
    <t>30638</t>
  </si>
  <si>
    <t>450031</t>
  </si>
  <si>
    <t>7700001100</t>
  </si>
  <si>
    <t>50988</t>
  </si>
  <si>
    <t>7700001064</t>
  </si>
  <si>
    <t>OT-045580</t>
  </si>
  <si>
    <t>3076</t>
  </si>
  <si>
    <t>OT-021651</t>
  </si>
  <si>
    <t>13686</t>
  </si>
  <si>
    <t>6090</t>
  </si>
  <si>
    <t>OT-001285</t>
  </si>
  <si>
    <t>OT-001292</t>
  </si>
  <si>
    <t>30957</t>
  </si>
  <si>
    <t>3700</t>
  </si>
  <si>
    <t>11-461</t>
  </si>
  <si>
    <t>0604184</t>
  </si>
  <si>
    <t>901</t>
  </si>
  <si>
    <t>pr1393</t>
  </si>
  <si>
    <t>K43T</t>
  </si>
  <si>
    <t>6371</t>
  </si>
  <si>
    <t>4036H2492-25</t>
  </si>
  <si>
    <t>90101</t>
  </si>
  <si>
    <t>7437</t>
  </si>
  <si>
    <t>5606</t>
  </si>
  <si>
    <t>CE-201821</t>
  </si>
  <si>
    <t>4023DG1898-18, 4023H1898-18</t>
  </si>
  <si>
    <t>OT-010615</t>
  </si>
  <si>
    <t>1726</t>
  </si>
  <si>
    <t>al177</t>
  </si>
  <si>
    <t>26643</t>
  </si>
  <si>
    <t>815663</t>
  </si>
  <si>
    <t>6003-1240</t>
  </si>
  <si>
    <t>3</t>
  </si>
  <si>
    <t>346</t>
  </si>
  <si>
    <t>RS057-1</t>
  </si>
  <si>
    <t>RS057</t>
  </si>
  <si>
    <t>31590</t>
  </si>
  <si>
    <t>6816</t>
  </si>
  <si>
    <t>pr3411</t>
  </si>
  <si>
    <t>pr395</t>
  </si>
  <si>
    <t>pr1907</t>
  </si>
  <si>
    <t>6672</t>
  </si>
  <si>
    <t>2030</t>
  </si>
  <si>
    <t>OT-011323</t>
  </si>
  <si>
    <t>888500</t>
  </si>
  <si>
    <t>al775</t>
  </si>
  <si>
    <t>257820</t>
  </si>
  <si>
    <t>OT-040778</t>
  </si>
  <si>
    <t>318712</t>
  </si>
  <si>
    <t>3438</t>
  </si>
  <si>
    <t>283</t>
  </si>
  <si>
    <t>58780</t>
  </si>
  <si>
    <t>5332</t>
  </si>
  <si>
    <t>266980</t>
  </si>
  <si>
    <t>OT-001665</t>
  </si>
  <si>
    <t>OT-020368</t>
  </si>
  <si>
    <t>812</t>
  </si>
  <si>
    <t>AG-C0000943OC</t>
  </si>
  <si>
    <t>5729</t>
  </si>
  <si>
    <t>176345</t>
  </si>
  <si>
    <t>2007042</t>
  </si>
  <si>
    <t>PGH1008CBI</t>
  </si>
  <si>
    <t>30416</t>
  </si>
  <si>
    <t>287761</t>
  </si>
  <si>
    <t>853200</t>
  </si>
  <si>
    <t>CE-201902</t>
  </si>
  <si>
    <t>6003-1012</t>
  </si>
  <si>
    <t>6003-1043</t>
  </si>
  <si>
    <t>6003-1031</t>
  </si>
  <si>
    <t>pr1143</t>
  </si>
  <si>
    <t>179918</t>
  </si>
  <si>
    <t>6635</t>
  </si>
  <si>
    <t>6475</t>
  </si>
  <si>
    <t>3958</t>
  </si>
  <si>
    <t>pr1613</t>
  </si>
  <si>
    <t>sl145</t>
  </si>
  <si>
    <t>16-565</t>
  </si>
  <si>
    <t>CE-202483-003</t>
  </si>
  <si>
    <t>OT-037200</t>
  </si>
  <si>
    <t>CU 848358</t>
  </si>
  <si>
    <t>7396</t>
  </si>
  <si>
    <t>4018H2398-24</t>
  </si>
  <si>
    <t>812.29041</t>
  </si>
  <si>
    <t>nv206</t>
  </si>
  <si>
    <t>99161</t>
  </si>
  <si>
    <t>CN015</t>
  </si>
  <si>
    <t>CN018-44</t>
  </si>
  <si>
    <t>CN018</t>
  </si>
  <si>
    <t>CN018-40</t>
  </si>
  <si>
    <t>CN018-41</t>
  </si>
  <si>
    <t>CE-200812-001</t>
  </si>
  <si>
    <t>13793</t>
  </si>
  <si>
    <t>CN051-7</t>
  </si>
  <si>
    <t>CN051-8</t>
  </si>
  <si>
    <t>CN278</t>
  </si>
  <si>
    <t>3568</t>
  </si>
  <si>
    <t>2834</t>
  </si>
  <si>
    <t>230627HB</t>
  </si>
  <si>
    <t>OT-001877</t>
  </si>
  <si>
    <t>7423</t>
  </si>
  <si>
    <t>7233</t>
  </si>
  <si>
    <t>183</t>
  </si>
  <si>
    <t>470</t>
  </si>
  <si>
    <t>102235</t>
  </si>
  <si>
    <t>CU 869397</t>
  </si>
  <si>
    <t>2017107</t>
  </si>
  <si>
    <t>13948</t>
  </si>
  <si>
    <t>608</t>
  </si>
  <si>
    <t>819368</t>
  </si>
  <si>
    <t>24 10199 NOP -1</t>
  </si>
  <si>
    <t>CE-204353</t>
  </si>
  <si>
    <t>CMX-961</t>
  </si>
  <si>
    <t>CMX-1051</t>
  </si>
  <si>
    <t>10350</t>
  </si>
  <si>
    <t>7283</t>
  </si>
  <si>
    <t>CE-207518</t>
  </si>
  <si>
    <t>6901</t>
  </si>
  <si>
    <t>31960</t>
  </si>
  <si>
    <t>CE-200029</t>
  </si>
  <si>
    <t>7700001155</t>
  </si>
  <si>
    <t>39694</t>
  </si>
  <si>
    <t>41650</t>
  </si>
  <si>
    <t>4047H2447-24</t>
  </si>
  <si>
    <t>5596</t>
  </si>
  <si>
    <t>2022074</t>
  </si>
  <si>
    <t>20724</t>
  </si>
  <si>
    <t>298374</t>
  </si>
  <si>
    <t>24 6698 NOP</t>
  </si>
  <si>
    <t>BA235</t>
  </si>
  <si>
    <t>17-607</t>
  </si>
  <si>
    <t>4023H805EPF-16</t>
  </si>
  <si>
    <t>4023DG2116-20</t>
  </si>
  <si>
    <t>4023H1675ES-18</t>
  </si>
  <si>
    <t>CE-208484</t>
  </si>
  <si>
    <t>pr2301</t>
  </si>
  <si>
    <t>pr2635</t>
  </si>
  <si>
    <t>24 198 NOP</t>
  </si>
  <si>
    <t>04246</t>
  </si>
  <si>
    <t>03062013/HP172</t>
  </si>
  <si>
    <t>4036P2508-25</t>
  </si>
  <si>
    <t>OT-039141</t>
  </si>
  <si>
    <t>4023H2251-22</t>
  </si>
  <si>
    <t>al636</t>
  </si>
  <si>
    <t>3723</t>
  </si>
  <si>
    <t>300365</t>
  </si>
  <si>
    <t>4971</t>
  </si>
  <si>
    <t>231</t>
  </si>
  <si>
    <t>OT-016306</t>
  </si>
  <si>
    <t>0029825</t>
  </si>
  <si>
    <t>OT-007554</t>
  </si>
  <si>
    <t>CE-207935</t>
  </si>
  <si>
    <t>pr2501</t>
  </si>
  <si>
    <t>1538</t>
  </si>
  <si>
    <t>CE-207535</t>
  </si>
  <si>
    <t>pr2324</t>
  </si>
  <si>
    <t>52942</t>
  </si>
  <si>
    <t>6341</t>
  </si>
  <si>
    <t>258259</t>
  </si>
  <si>
    <t>4979</t>
  </si>
  <si>
    <t>10126</t>
  </si>
  <si>
    <t>U87Y</t>
  </si>
  <si>
    <t>771444</t>
  </si>
  <si>
    <t>9730000064</t>
  </si>
  <si>
    <t>pr538</t>
  </si>
  <si>
    <t>17645</t>
  </si>
  <si>
    <t>3759</t>
  </si>
  <si>
    <t>52195</t>
  </si>
  <si>
    <t>12947</t>
  </si>
  <si>
    <t>CN206</t>
  </si>
  <si>
    <t>CN072</t>
  </si>
  <si>
    <t>CN257</t>
  </si>
  <si>
    <t>CN107</t>
  </si>
  <si>
    <t>CN054</t>
  </si>
  <si>
    <t>CN054-4</t>
  </si>
  <si>
    <t>CN197</t>
  </si>
  <si>
    <t>CN137</t>
  </si>
  <si>
    <t>CN291-1</t>
  </si>
  <si>
    <t>CN004</t>
  </si>
  <si>
    <t>CN178</t>
  </si>
  <si>
    <t>CN041</t>
  </si>
  <si>
    <t>CN041-2</t>
  </si>
  <si>
    <t>CN099</t>
  </si>
  <si>
    <t>38405</t>
  </si>
  <si>
    <t>13664</t>
  </si>
  <si>
    <t>CN001</t>
  </si>
  <si>
    <t>CN001-13</t>
  </si>
  <si>
    <t>CN001-26</t>
  </si>
  <si>
    <t>27121/2</t>
  </si>
  <si>
    <t>27121/4</t>
  </si>
  <si>
    <t>CE-200591-A</t>
  </si>
  <si>
    <t>CN034</t>
  </si>
  <si>
    <t>CN118</t>
  </si>
  <si>
    <t>CN186</t>
  </si>
  <si>
    <t>CN186-1</t>
  </si>
  <si>
    <t>13792</t>
  </si>
  <si>
    <t>CN087</t>
  </si>
  <si>
    <t>CN196</t>
  </si>
  <si>
    <t>287424</t>
  </si>
  <si>
    <t>CN135</t>
  </si>
  <si>
    <t>CN135-1</t>
  </si>
  <si>
    <t>CN237</t>
  </si>
  <si>
    <t>CN237-1</t>
  </si>
  <si>
    <t>178286</t>
  </si>
  <si>
    <t>CN138</t>
  </si>
  <si>
    <t>CN138-5</t>
  </si>
  <si>
    <t>CN023</t>
  </si>
  <si>
    <t>19849</t>
  </si>
  <si>
    <t>CN136</t>
  </si>
  <si>
    <t>CN036</t>
  </si>
  <si>
    <t>CN139-8</t>
  </si>
  <si>
    <t>CN139</t>
  </si>
  <si>
    <t>CN077</t>
  </si>
  <si>
    <t>CN077-5</t>
  </si>
  <si>
    <t>CN192</t>
  </si>
  <si>
    <t>CN192-1</t>
  </si>
  <si>
    <t>95714</t>
  </si>
  <si>
    <t>06471/3</t>
  </si>
  <si>
    <t>CN189</t>
  </si>
  <si>
    <t>CN181</t>
  </si>
  <si>
    <t>CN064-1</t>
  </si>
  <si>
    <t>CE-208091</t>
  </si>
  <si>
    <t>CN213-11</t>
  </si>
  <si>
    <t>CN213</t>
  </si>
  <si>
    <t>CN025-2</t>
  </si>
  <si>
    <t>CN215</t>
  </si>
  <si>
    <t>21035/10</t>
  </si>
  <si>
    <t>CN070</t>
  </si>
  <si>
    <t>178554</t>
  </si>
  <si>
    <t>AG-C0001287OC</t>
  </si>
  <si>
    <t>pr971</t>
  </si>
  <si>
    <t>6692</t>
  </si>
  <si>
    <t>1199</t>
  </si>
  <si>
    <t>2911</t>
  </si>
  <si>
    <t>3828</t>
  </si>
  <si>
    <t>3690</t>
  </si>
  <si>
    <t>54134</t>
  </si>
  <si>
    <t>al224</t>
  </si>
  <si>
    <t>3533</t>
  </si>
  <si>
    <t>CN233</t>
  </si>
  <si>
    <t>MN001</t>
  </si>
  <si>
    <t>W30R</t>
  </si>
  <si>
    <t>188981</t>
  </si>
  <si>
    <t>391746</t>
  </si>
  <si>
    <t>OT-038526</t>
  </si>
  <si>
    <t>1348</t>
  </si>
  <si>
    <t>11712</t>
  </si>
  <si>
    <t>2652</t>
  </si>
  <si>
    <t>2128</t>
  </si>
  <si>
    <t>10399</t>
  </si>
  <si>
    <t>pr2652</t>
  </si>
  <si>
    <t>1027201`5/F221</t>
  </si>
  <si>
    <t>10459</t>
  </si>
  <si>
    <t>2016063</t>
  </si>
  <si>
    <t>1029</t>
  </si>
  <si>
    <t>1030</t>
  </si>
  <si>
    <t>1031</t>
  </si>
  <si>
    <t>1026</t>
  </si>
  <si>
    <t>1027</t>
  </si>
  <si>
    <t>1021</t>
  </si>
  <si>
    <t>1022</t>
  </si>
  <si>
    <t>1023</t>
  </si>
  <si>
    <t>1786</t>
  </si>
  <si>
    <t>033</t>
  </si>
  <si>
    <t>2762</t>
  </si>
  <si>
    <t>1114</t>
  </si>
  <si>
    <t>6325</t>
  </si>
  <si>
    <t>pr1004</t>
  </si>
  <si>
    <t>pr3147</t>
  </si>
  <si>
    <t>31-2198</t>
  </si>
  <si>
    <t>16-1047</t>
  </si>
  <si>
    <t>IN085</t>
  </si>
  <si>
    <t>CE-200604</t>
  </si>
  <si>
    <t>4023H2505-25</t>
  </si>
  <si>
    <t>OT-016295</t>
  </si>
  <si>
    <t>CE-208358</t>
  </si>
  <si>
    <t>ft112</t>
  </si>
  <si>
    <t>541</t>
  </si>
  <si>
    <t>OT-002618</t>
  </si>
  <si>
    <t>OT-045937</t>
  </si>
  <si>
    <t>6036</t>
  </si>
  <si>
    <t>pr1364</t>
  </si>
  <si>
    <t>4023DG1011-10, 4023H1011-10</t>
  </si>
  <si>
    <t>4036H2499-25</t>
  </si>
  <si>
    <t>2079</t>
  </si>
  <si>
    <t>5395</t>
  </si>
  <si>
    <t>pr1031</t>
  </si>
  <si>
    <t>834118</t>
  </si>
  <si>
    <t>PA-OR-456-2</t>
  </si>
  <si>
    <t>2586</t>
  </si>
  <si>
    <t>1305</t>
  </si>
  <si>
    <t>cc383</t>
  </si>
  <si>
    <t>4039H2402-24</t>
  </si>
  <si>
    <t>4514</t>
  </si>
  <si>
    <t>OT-037104</t>
  </si>
  <si>
    <t>2307</t>
  </si>
  <si>
    <t>5478</t>
  </si>
  <si>
    <t>11011</t>
  </si>
  <si>
    <t>4193</t>
  </si>
  <si>
    <t>RS145-1</t>
  </si>
  <si>
    <t>RS145</t>
  </si>
  <si>
    <t>3796</t>
  </si>
  <si>
    <t>CN115</t>
  </si>
  <si>
    <t>CMX-762</t>
  </si>
  <si>
    <t>OT-002769</t>
  </si>
  <si>
    <t>286885</t>
  </si>
  <si>
    <t>3731</t>
  </si>
  <si>
    <t>250478</t>
  </si>
  <si>
    <t>6003-1194</t>
  </si>
  <si>
    <t>pr2463</t>
  </si>
  <si>
    <t>PFP623EMH</t>
  </si>
  <si>
    <t>0809</t>
  </si>
  <si>
    <t>AG-C0001187OC</t>
  </si>
  <si>
    <t>2141</t>
  </si>
  <si>
    <t>1178</t>
  </si>
  <si>
    <t>11218</t>
  </si>
  <si>
    <t>CE-207880</t>
  </si>
  <si>
    <t>3256</t>
  </si>
  <si>
    <t>356-1709</t>
  </si>
  <si>
    <t>4701</t>
  </si>
  <si>
    <t>275023</t>
  </si>
  <si>
    <t>17510</t>
  </si>
  <si>
    <t>9730000084</t>
  </si>
  <si>
    <t>3473</t>
  </si>
  <si>
    <t>979</t>
  </si>
  <si>
    <t>1335</t>
  </si>
  <si>
    <t>9166</t>
  </si>
  <si>
    <t>0200338</t>
  </si>
  <si>
    <t>pr161</t>
  </si>
  <si>
    <t>CE-206796</t>
  </si>
  <si>
    <t>K0345</t>
  </si>
  <si>
    <t>pr1878</t>
  </si>
  <si>
    <t>10608</t>
  </si>
  <si>
    <t>167663</t>
  </si>
  <si>
    <t>pr3408</t>
  </si>
  <si>
    <t>OT-034903</t>
  </si>
  <si>
    <t>281</t>
  </si>
  <si>
    <t>CE-200034</t>
  </si>
  <si>
    <t>CE-201825</t>
  </si>
  <si>
    <t>CE-202352</t>
  </si>
  <si>
    <t>OT-013181</t>
  </si>
  <si>
    <t>19106</t>
  </si>
  <si>
    <t>164034</t>
  </si>
  <si>
    <t>42172</t>
  </si>
  <si>
    <t>CE-202270</t>
  </si>
  <si>
    <t>292195</t>
  </si>
  <si>
    <t>96703</t>
  </si>
  <si>
    <t>pr816</t>
  </si>
  <si>
    <t>32-112</t>
  </si>
  <si>
    <t>186635</t>
  </si>
  <si>
    <t>6613</t>
  </si>
  <si>
    <t>pr3218</t>
  </si>
  <si>
    <t>13634</t>
  </si>
  <si>
    <t>36460</t>
  </si>
  <si>
    <t>CU 906820</t>
  </si>
  <si>
    <t>CU 847846</t>
  </si>
  <si>
    <t>13801</t>
  </si>
  <si>
    <t>1589</t>
  </si>
  <si>
    <t>08-172</t>
  </si>
  <si>
    <t>2-1807</t>
  </si>
  <si>
    <t>4023DG802-08, 4023H802-24</t>
  </si>
  <si>
    <t>CE-201826</t>
  </si>
  <si>
    <t>0741908</t>
  </si>
  <si>
    <t>487</t>
  </si>
  <si>
    <t>7916</t>
  </si>
  <si>
    <t>31151</t>
  </si>
  <si>
    <t>pr079</t>
  </si>
  <si>
    <t>pr3177</t>
  </si>
  <si>
    <t>2011045</t>
  </si>
  <si>
    <t>2256</t>
  </si>
  <si>
    <t>YO-086</t>
  </si>
  <si>
    <t>pr1679</t>
  </si>
  <si>
    <t>IN051</t>
  </si>
  <si>
    <t>4028H1028-12</t>
  </si>
  <si>
    <t>4028H1208-12</t>
  </si>
  <si>
    <t>SP741</t>
  </si>
  <si>
    <t>CN239</t>
  </si>
  <si>
    <t>nv497</t>
  </si>
  <si>
    <t>4023P500-05</t>
  </si>
  <si>
    <t>1470</t>
  </si>
  <si>
    <t>510154</t>
  </si>
  <si>
    <t>CE-206899</t>
  </si>
  <si>
    <t>3505</t>
  </si>
  <si>
    <t>6714</t>
  </si>
  <si>
    <t>2656</t>
  </si>
  <si>
    <t>71262</t>
  </si>
  <si>
    <t>CE-200040</t>
  </si>
  <si>
    <t>366567</t>
  </si>
  <si>
    <t>676043</t>
  </si>
  <si>
    <t>763954</t>
  </si>
  <si>
    <t>pr1859</t>
  </si>
  <si>
    <t>CE-208041</t>
  </si>
  <si>
    <t>CN216</t>
  </si>
  <si>
    <t>285316</t>
  </si>
  <si>
    <t>31240</t>
  </si>
  <si>
    <t>CU 879739</t>
  </si>
  <si>
    <t>4408</t>
  </si>
  <si>
    <t>CE-201828</t>
  </si>
  <si>
    <t>7700001084</t>
  </si>
  <si>
    <t>7700001034</t>
  </si>
  <si>
    <t>481</t>
  </si>
  <si>
    <t>OT-018088</t>
  </si>
  <si>
    <t>13042</t>
  </si>
  <si>
    <t>6018</t>
  </si>
  <si>
    <t>OT-003448</t>
  </si>
  <si>
    <t>6700</t>
  </si>
  <si>
    <t>pr1994</t>
  </si>
  <si>
    <t>pr2623</t>
  </si>
  <si>
    <t>pr1807</t>
  </si>
  <si>
    <t>OT-003480</t>
  </si>
  <si>
    <t>pr1109</t>
  </si>
  <si>
    <t>pr1108</t>
  </si>
  <si>
    <t>CE-203884</t>
  </si>
  <si>
    <t>CE-200622</t>
  </si>
  <si>
    <t>CN085</t>
  </si>
  <si>
    <t>yo009</t>
  </si>
  <si>
    <t>6817</t>
  </si>
  <si>
    <t>419</t>
  </si>
  <si>
    <t>6434</t>
  </si>
  <si>
    <t>17490</t>
  </si>
  <si>
    <t>7296</t>
  </si>
  <si>
    <t>7377</t>
  </si>
  <si>
    <t>6181</t>
  </si>
  <si>
    <t>7700001013</t>
  </si>
  <si>
    <t>16-2483</t>
  </si>
  <si>
    <t>5447</t>
  </si>
  <si>
    <t>CN272</t>
  </si>
  <si>
    <t>CN272-1</t>
  </si>
  <si>
    <t>208621</t>
  </si>
  <si>
    <t>CE-200632</t>
  </si>
  <si>
    <t>14390</t>
  </si>
  <si>
    <t>pr1439</t>
  </si>
  <si>
    <t>878145</t>
  </si>
  <si>
    <t>0200646</t>
  </si>
  <si>
    <t>24 10164 NOP</t>
  </si>
  <si>
    <t>327160</t>
  </si>
  <si>
    <t>CE-201829</t>
  </si>
  <si>
    <t>OT-000355</t>
  </si>
  <si>
    <t>0029986</t>
  </si>
  <si>
    <t>CE-202569</t>
  </si>
  <si>
    <t>CN279</t>
  </si>
  <si>
    <t>6510</t>
  </si>
  <si>
    <t>pr469</t>
  </si>
  <si>
    <t>OT-003655</t>
  </si>
  <si>
    <t>3491</t>
  </si>
  <si>
    <t>2008044</t>
  </si>
  <si>
    <t>10946</t>
  </si>
  <si>
    <t>nc923</t>
  </si>
  <si>
    <t>OT-006557</t>
  </si>
  <si>
    <t>71148</t>
  </si>
  <si>
    <t>pr3057</t>
  </si>
  <si>
    <t>30617</t>
  </si>
  <si>
    <t>373042</t>
  </si>
  <si>
    <t>373048</t>
  </si>
  <si>
    <t>CN106-2</t>
  </si>
  <si>
    <t>CN106</t>
  </si>
  <si>
    <t>0012</t>
  </si>
  <si>
    <t>PER-GLI</t>
  </si>
  <si>
    <t>TR-257</t>
  </si>
  <si>
    <t>pr3458</t>
  </si>
  <si>
    <t>770-03-02-23</t>
  </si>
  <si>
    <t>3671900087</t>
  </si>
  <si>
    <t>760844</t>
  </si>
  <si>
    <t>CU 869342</t>
  </si>
  <si>
    <t>130742</t>
  </si>
  <si>
    <t>624</t>
  </si>
  <si>
    <t>4905</t>
  </si>
  <si>
    <t>W69G</t>
  </si>
  <si>
    <t>7728</t>
  </si>
  <si>
    <t>755180</t>
  </si>
  <si>
    <t>OT-015002</t>
  </si>
  <si>
    <t>319</t>
  </si>
  <si>
    <t>2624</t>
  </si>
  <si>
    <t>519</t>
  </si>
  <si>
    <t>025</t>
  </si>
  <si>
    <t>185130</t>
  </si>
  <si>
    <t>CN222</t>
  </si>
  <si>
    <t>CN222-1</t>
  </si>
  <si>
    <t>CE-201832</t>
  </si>
  <si>
    <t>OT-034032</t>
  </si>
  <si>
    <t>CN243</t>
  </si>
  <si>
    <t>al871</t>
  </si>
  <si>
    <t>4209</t>
  </si>
  <si>
    <t>491</t>
  </si>
  <si>
    <t>1150</t>
  </si>
  <si>
    <t>242243</t>
  </si>
  <si>
    <t>95128</t>
  </si>
  <si>
    <t>2037</t>
  </si>
  <si>
    <t>OT-033242</t>
  </si>
  <si>
    <t>OT-031953</t>
  </si>
  <si>
    <t>OT-003873</t>
  </si>
  <si>
    <t>OT-011342</t>
  </si>
  <si>
    <t>22-1887</t>
  </si>
  <si>
    <t>486</t>
  </si>
  <si>
    <t>pr3449</t>
  </si>
  <si>
    <t>887860</t>
  </si>
  <si>
    <t>1035</t>
  </si>
  <si>
    <t>CE-202249</t>
  </si>
  <si>
    <t>4024H1084-11</t>
  </si>
  <si>
    <t>100201</t>
  </si>
  <si>
    <t>6344</t>
  </si>
  <si>
    <t>101190</t>
  </si>
  <si>
    <t>210384H</t>
  </si>
  <si>
    <t>2460</t>
  </si>
  <si>
    <t>30628</t>
  </si>
  <si>
    <t>1561</t>
  </si>
  <si>
    <t>13006</t>
  </si>
  <si>
    <t>8862</t>
  </si>
  <si>
    <t>OT-003906</t>
  </si>
  <si>
    <t>253352</t>
  </si>
  <si>
    <t>pr1537</t>
  </si>
  <si>
    <t>CU 875669</t>
  </si>
  <si>
    <t>617</t>
  </si>
  <si>
    <t>pr832</t>
  </si>
  <si>
    <t>15770</t>
  </si>
  <si>
    <t>4023DG1491-15, 4023H1491-24</t>
  </si>
  <si>
    <t>IN127</t>
  </si>
  <si>
    <t>pr3534</t>
  </si>
  <si>
    <t>CE-201830</t>
  </si>
  <si>
    <t>OT-000021</t>
  </si>
  <si>
    <t>220443H</t>
  </si>
  <si>
    <t>249655</t>
  </si>
  <si>
    <t>ke084</t>
  </si>
  <si>
    <t>ps788</t>
  </si>
  <si>
    <t>al927</t>
  </si>
  <si>
    <t>al929</t>
  </si>
  <si>
    <t>pr1610</t>
  </si>
  <si>
    <t>pr2968</t>
  </si>
  <si>
    <t>4515</t>
  </si>
  <si>
    <t>461</t>
  </si>
  <si>
    <t>7214</t>
  </si>
  <si>
    <t>OT-017028</t>
  </si>
  <si>
    <t>2158</t>
  </si>
  <si>
    <t>250921</t>
  </si>
  <si>
    <t>CE-206707</t>
  </si>
  <si>
    <t>CE-207400</t>
  </si>
  <si>
    <t>4212</t>
  </si>
  <si>
    <t>217274</t>
  </si>
  <si>
    <t>181830</t>
  </si>
  <si>
    <t>BA271</t>
  </si>
  <si>
    <t>31318</t>
  </si>
  <si>
    <t>606</t>
  </si>
  <si>
    <t>275723</t>
  </si>
  <si>
    <t>CU 025313</t>
  </si>
  <si>
    <t>CN214</t>
  </si>
  <si>
    <t>CN167</t>
  </si>
  <si>
    <t>30742</t>
  </si>
  <si>
    <t>10869</t>
  </si>
  <si>
    <t>CU 815940</t>
  </si>
  <si>
    <t>13616</t>
  </si>
  <si>
    <t>CN172</t>
  </si>
  <si>
    <t>CE-200659</t>
  </si>
  <si>
    <t>95635</t>
  </si>
  <si>
    <t>CN200</t>
  </si>
  <si>
    <t>2023029</t>
  </si>
  <si>
    <t>IN049</t>
  </si>
  <si>
    <t>OT-004234</t>
  </si>
  <si>
    <t>4044H1791HGM-17</t>
  </si>
  <si>
    <t>IN007</t>
  </si>
  <si>
    <t>pr3594</t>
  </si>
  <si>
    <t>351171</t>
  </si>
  <si>
    <t>11430</t>
  </si>
  <si>
    <t>58501</t>
  </si>
  <si>
    <t>800697</t>
  </si>
  <si>
    <t>OT-004289</t>
  </si>
  <si>
    <t>S93Z</t>
  </si>
  <si>
    <t>6744</t>
  </si>
  <si>
    <t>352536</t>
  </si>
  <si>
    <t>308316</t>
  </si>
  <si>
    <t>129177</t>
  </si>
  <si>
    <t>51907</t>
  </si>
  <si>
    <t>0029554</t>
  </si>
  <si>
    <t>12191</t>
  </si>
  <si>
    <t>1353</t>
  </si>
  <si>
    <t>278993</t>
  </si>
  <si>
    <t>CE-208021</t>
  </si>
  <si>
    <t>CN081</t>
  </si>
  <si>
    <t>25814/1</t>
  </si>
  <si>
    <t>12962</t>
  </si>
  <si>
    <t>265135</t>
  </si>
  <si>
    <t>08489/1</t>
  </si>
  <si>
    <t>CE-208300-001</t>
  </si>
  <si>
    <t>255481</t>
  </si>
  <si>
    <t>CE-208300</t>
  </si>
  <si>
    <t>162557</t>
  </si>
  <si>
    <t>OT-025448</t>
  </si>
  <si>
    <t>898197</t>
  </si>
  <si>
    <t>210434H</t>
  </si>
  <si>
    <t>770-10-05-23</t>
  </si>
  <si>
    <t>6888</t>
  </si>
  <si>
    <t>V89C</t>
  </si>
  <si>
    <t>2019079</t>
  </si>
  <si>
    <t>OT-013050</t>
  </si>
  <si>
    <t>107</t>
  </si>
  <si>
    <t>30534</t>
  </si>
  <si>
    <t>CE-206857</t>
  </si>
  <si>
    <t>4024DG270-03, 4024P270-03</t>
  </si>
  <si>
    <t>17241</t>
  </si>
  <si>
    <t>CE-207520</t>
  </si>
  <si>
    <t>4036DG200-02,4036HH200-02</t>
  </si>
  <si>
    <t>8291</t>
  </si>
  <si>
    <t>770-04-10-24</t>
  </si>
  <si>
    <t>CU 856965</t>
  </si>
  <si>
    <t>CU 862226</t>
  </si>
  <si>
    <t>CU 906033</t>
  </si>
  <si>
    <t>113</t>
  </si>
  <si>
    <t>274856</t>
  </si>
  <si>
    <t>W88N</t>
  </si>
  <si>
    <t>nv442</t>
  </si>
  <si>
    <t>AG-C0000623OC</t>
  </si>
  <si>
    <t>al936</t>
  </si>
  <si>
    <t>6003-1155</t>
  </si>
  <si>
    <t>CN050</t>
  </si>
  <si>
    <t>435640</t>
  </si>
  <si>
    <t>CE-202364</t>
  </si>
  <si>
    <t>OT-004592</t>
  </si>
  <si>
    <t>13694</t>
  </si>
  <si>
    <t>845511</t>
  </si>
  <si>
    <t>252058</t>
  </si>
  <si>
    <t>2017058</t>
  </si>
  <si>
    <t>6749</t>
  </si>
  <si>
    <t>1445</t>
  </si>
  <si>
    <t>OT-019473</t>
  </si>
  <si>
    <t>293079</t>
  </si>
  <si>
    <t>CE-200686</t>
  </si>
  <si>
    <t>CU 022042</t>
  </si>
  <si>
    <t>2205</t>
  </si>
  <si>
    <t>PGH242HVF</t>
  </si>
  <si>
    <t>6748</t>
  </si>
  <si>
    <t>179359</t>
  </si>
  <si>
    <t>TR-111</t>
  </si>
  <si>
    <t>CU 867674</t>
  </si>
  <si>
    <t>CU 867677</t>
  </si>
  <si>
    <t>CU 867678</t>
  </si>
  <si>
    <t>26-685</t>
  </si>
  <si>
    <t>5390</t>
  </si>
  <si>
    <t>337359</t>
  </si>
  <si>
    <t>147367</t>
  </si>
  <si>
    <t>231202</t>
  </si>
  <si>
    <t>24520</t>
  </si>
  <si>
    <t>CE-205381</t>
  </si>
  <si>
    <t>1944</t>
  </si>
  <si>
    <t>CE-201166</t>
  </si>
  <si>
    <t>857720</t>
  </si>
  <si>
    <t>77381</t>
  </si>
  <si>
    <t>pr3208</t>
  </si>
  <si>
    <t>16-1163</t>
  </si>
  <si>
    <t>257874</t>
  </si>
  <si>
    <t>13713</t>
  </si>
  <si>
    <t>301030</t>
  </si>
  <si>
    <t>CN236</t>
  </si>
  <si>
    <t>pr3297</t>
  </si>
  <si>
    <t>9131</t>
  </si>
  <si>
    <t>pr1032</t>
  </si>
  <si>
    <t>899298</t>
  </si>
  <si>
    <t>8084</t>
  </si>
  <si>
    <t>0200460</t>
  </si>
  <si>
    <t>7335</t>
  </si>
  <si>
    <t>S73H</t>
  </si>
  <si>
    <t>OT-044988</t>
  </si>
  <si>
    <t>816529</t>
  </si>
  <si>
    <t>41353</t>
  </si>
  <si>
    <t>7700001086</t>
  </si>
  <si>
    <t>OT-012708</t>
  </si>
  <si>
    <t>610</t>
  </si>
  <si>
    <t>CE-200051</t>
  </si>
  <si>
    <t>U93V</t>
  </si>
  <si>
    <t>2143</t>
  </si>
  <si>
    <t>pr3358</t>
  </si>
  <si>
    <t>6645</t>
  </si>
  <si>
    <t>4258</t>
  </si>
  <si>
    <t>5829</t>
  </si>
  <si>
    <t>CE-207266</t>
  </si>
  <si>
    <t>K0302</t>
  </si>
  <si>
    <t>ASOJP071 / ASOTW071</t>
  </si>
  <si>
    <t>2909</t>
  </si>
  <si>
    <t>6934</t>
  </si>
  <si>
    <t>1834</t>
  </si>
  <si>
    <t>CE-200052</t>
  </si>
  <si>
    <t>CE-200059</t>
  </si>
  <si>
    <t>3576</t>
  </si>
  <si>
    <t>1627</t>
  </si>
  <si>
    <t>2-1809</t>
  </si>
  <si>
    <t>pr1086</t>
  </si>
  <si>
    <t>256-2502</t>
  </si>
  <si>
    <t>17461</t>
  </si>
  <si>
    <t>17261</t>
  </si>
  <si>
    <t>4457</t>
  </si>
  <si>
    <t>283615</t>
  </si>
  <si>
    <t>17263</t>
  </si>
  <si>
    <t>100371</t>
  </si>
  <si>
    <t>2767</t>
  </si>
  <si>
    <t>CE-201836</t>
  </si>
  <si>
    <t>6281</t>
  </si>
  <si>
    <t>3812</t>
  </si>
  <si>
    <t>2149</t>
  </si>
  <si>
    <t>26277</t>
  </si>
  <si>
    <t>X27Y</t>
  </si>
  <si>
    <t>V27Z</t>
  </si>
  <si>
    <t>899</t>
  </si>
  <si>
    <t>4023DG1319-13, 4023H1319-13</t>
  </si>
  <si>
    <t>6694</t>
  </si>
  <si>
    <t>291111</t>
  </si>
  <si>
    <t>3071</t>
  </si>
  <si>
    <t>C4050001-03, C4050H001-16</t>
  </si>
  <si>
    <t>757732</t>
  </si>
  <si>
    <t>812915</t>
  </si>
  <si>
    <t>pr3008</t>
  </si>
  <si>
    <t>35971/3</t>
  </si>
  <si>
    <t>CN245</t>
  </si>
  <si>
    <t>CN061</t>
  </si>
  <si>
    <t>CN047</t>
  </si>
  <si>
    <t>CN073</t>
  </si>
  <si>
    <t>25658</t>
  </si>
  <si>
    <t>25658/2</t>
  </si>
  <si>
    <t>25658/1</t>
  </si>
  <si>
    <t>284651</t>
  </si>
  <si>
    <t>bv221</t>
  </si>
  <si>
    <t>PGH690JHS</t>
  </si>
  <si>
    <t>3806</t>
  </si>
  <si>
    <t>806742</t>
  </si>
  <si>
    <t>4039DG2348-23, 4039H2348-23</t>
  </si>
  <si>
    <t>1019</t>
  </si>
  <si>
    <t>0791397</t>
  </si>
  <si>
    <t>31241</t>
  </si>
  <si>
    <t>42178</t>
  </si>
  <si>
    <t>7034</t>
  </si>
  <si>
    <t>AG-C0000941OC</t>
  </si>
  <si>
    <t>CE-200054</t>
  </si>
  <si>
    <t>SC056</t>
  </si>
  <si>
    <t>CMX-1133</t>
  </si>
  <si>
    <t>5567</t>
  </si>
  <si>
    <t>3954</t>
  </si>
  <si>
    <t>897601</t>
  </si>
  <si>
    <t>4036P677-07</t>
  </si>
  <si>
    <t>10874</t>
  </si>
  <si>
    <t>OT-005152</t>
  </si>
  <si>
    <t>11-2471</t>
  </si>
  <si>
    <t>297789</t>
  </si>
  <si>
    <t>4017DG975-10, 4017H975-20</t>
  </si>
  <si>
    <t>9537</t>
  </si>
  <si>
    <t>31649</t>
  </si>
  <si>
    <t>al219</t>
  </si>
  <si>
    <t>pr434</t>
  </si>
  <si>
    <t>19</t>
  </si>
  <si>
    <t>737408</t>
  </si>
  <si>
    <t>pr1547</t>
  </si>
  <si>
    <t>770-01-15-24</t>
  </si>
  <si>
    <t>15853</t>
  </si>
  <si>
    <t>08-037-077</t>
  </si>
  <si>
    <t>298521</t>
  </si>
  <si>
    <t>OT-039596</t>
  </si>
  <si>
    <t>2983</t>
  </si>
  <si>
    <t>06471/2</t>
  </si>
  <si>
    <t>4036H1301-13</t>
  </si>
  <si>
    <t>CE-201837</t>
  </si>
  <si>
    <t>pr3354</t>
  </si>
  <si>
    <t>41</t>
  </si>
  <si>
    <t>CE-205129-001</t>
  </si>
  <si>
    <t>540</t>
  </si>
  <si>
    <t>29773</t>
  </si>
  <si>
    <t>CU 848714</t>
  </si>
  <si>
    <t>197184</t>
  </si>
  <si>
    <t>CE-200055</t>
  </si>
  <si>
    <t>CE-204452</t>
  </si>
  <si>
    <t>2820</t>
  </si>
  <si>
    <t>CE-207198</t>
  </si>
  <si>
    <t>356-1732</t>
  </si>
  <si>
    <t>0200634</t>
  </si>
  <si>
    <t>1748</t>
  </si>
  <si>
    <t>pr407</t>
  </si>
  <si>
    <t>al727</t>
  </si>
  <si>
    <t>4726</t>
  </si>
  <si>
    <t>10914</t>
  </si>
  <si>
    <t>3314</t>
  </si>
  <si>
    <t>10919</t>
  </si>
  <si>
    <t>CU 848866</t>
  </si>
  <si>
    <t>OT-025603</t>
  </si>
  <si>
    <t>OT-018201</t>
  </si>
  <si>
    <t>OT-026624</t>
  </si>
  <si>
    <t>276872</t>
  </si>
  <si>
    <t>100127</t>
  </si>
  <si>
    <t>CE-202586-002</t>
  </si>
  <si>
    <t>pr3150</t>
  </si>
  <si>
    <t>pr344</t>
  </si>
  <si>
    <t>4023DG916-09, 4023H916-18</t>
  </si>
  <si>
    <t>11734</t>
  </si>
  <si>
    <t>265</t>
  </si>
  <si>
    <t>1988</t>
  </si>
  <si>
    <t>24-2095</t>
  </si>
  <si>
    <t>10926</t>
  </si>
  <si>
    <t>4682</t>
  </si>
  <si>
    <t>29743</t>
  </si>
  <si>
    <t>6020</t>
  </si>
  <si>
    <t>6486</t>
  </si>
  <si>
    <t>B539</t>
  </si>
  <si>
    <t>279006</t>
  </si>
  <si>
    <t>1370</t>
  </si>
  <si>
    <t>0200348</t>
  </si>
  <si>
    <t>5370</t>
  </si>
  <si>
    <t>4023DG263-03, 4023H263-24</t>
  </si>
  <si>
    <t>4036H2422-24</t>
  </si>
  <si>
    <t>080</t>
  </si>
  <si>
    <t>4044DG611-98, 4044P611-08</t>
  </si>
  <si>
    <t>CE-207633</t>
  </si>
  <si>
    <t>2024092</t>
  </si>
  <si>
    <t>OT-005688</t>
  </si>
  <si>
    <t>7700001043</t>
  </si>
  <si>
    <t>30591</t>
  </si>
  <si>
    <t>10511</t>
  </si>
  <si>
    <t>OT-023097</t>
  </si>
  <si>
    <t>31205</t>
  </si>
  <si>
    <t>100070</t>
  </si>
  <si>
    <t>30498</t>
  </si>
  <si>
    <t>pr2559</t>
  </si>
  <si>
    <t>294605</t>
  </si>
  <si>
    <t>CN032</t>
  </si>
  <si>
    <t>770-03-08-23</t>
  </si>
  <si>
    <t>2737</t>
  </si>
  <si>
    <t>2009048</t>
  </si>
  <si>
    <t>770-10-10-15</t>
  </si>
  <si>
    <t>11998</t>
  </si>
  <si>
    <t>OT-005890</t>
  </si>
  <si>
    <t>176604</t>
  </si>
  <si>
    <t>CE-201840</t>
  </si>
  <si>
    <t>CN172-1</t>
  </si>
  <si>
    <t>7721</t>
  </si>
  <si>
    <t>pr292</t>
  </si>
  <si>
    <t>RU008</t>
  </si>
  <si>
    <t>27-649</t>
  </si>
  <si>
    <t>KZ001</t>
  </si>
  <si>
    <t>pr3427</t>
  </si>
  <si>
    <t>al724</t>
  </si>
  <si>
    <t>CE-201806</t>
  </si>
  <si>
    <t>2023058</t>
  </si>
  <si>
    <t>24 11755 NOP</t>
  </si>
  <si>
    <t>4749</t>
  </si>
  <si>
    <t>195817</t>
  </si>
  <si>
    <t>pr2690</t>
  </si>
  <si>
    <t>CU 898526</t>
  </si>
  <si>
    <t>4735</t>
  </si>
  <si>
    <t>380</t>
  </si>
  <si>
    <t>pr2119</t>
  </si>
  <si>
    <t>nv006</t>
  </si>
  <si>
    <t>pr008</t>
  </si>
  <si>
    <t>564</t>
  </si>
  <si>
    <t>557458</t>
  </si>
  <si>
    <t>7700001109</t>
  </si>
  <si>
    <t>0767837</t>
  </si>
  <si>
    <t>pr1950</t>
  </si>
  <si>
    <t>3555</t>
  </si>
  <si>
    <t>290368</t>
  </si>
  <si>
    <t>6277</t>
  </si>
  <si>
    <t>6516</t>
  </si>
  <si>
    <t>17462</t>
  </si>
  <si>
    <t>17463</t>
  </si>
  <si>
    <t>871311</t>
  </si>
  <si>
    <t>6352</t>
  </si>
  <si>
    <t>30532</t>
  </si>
  <si>
    <t>4317</t>
  </si>
  <si>
    <t>CE-200061</t>
  </si>
  <si>
    <t>AG-C0001717OC</t>
  </si>
  <si>
    <t>996-2876-001</t>
  </si>
  <si>
    <t>YO-111</t>
  </si>
  <si>
    <t>4023DG2350-23, 4023H2350-23</t>
  </si>
  <si>
    <t>11402</t>
  </si>
  <si>
    <t>CE-201295</t>
  </si>
  <si>
    <t>31106</t>
  </si>
  <si>
    <t>CMX-1138</t>
  </si>
  <si>
    <t>BA250</t>
  </si>
  <si>
    <t>0733</t>
  </si>
  <si>
    <t>17-2043</t>
  </si>
  <si>
    <t>475</t>
  </si>
  <si>
    <t>1725</t>
  </si>
  <si>
    <t>233</t>
  </si>
  <si>
    <t>6826</t>
  </si>
  <si>
    <t>31638</t>
  </si>
  <si>
    <t>24001</t>
  </si>
  <si>
    <t>pr3393</t>
  </si>
  <si>
    <t>274</t>
  </si>
  <si>
    <t>2491</t>
  </si>
  <si>
    <t>2024038</t>
  </si>
  <si>
    <t>18081</t>
  </si>
  <si>
    <t>OT-006303</t>
  </si>
  <si>
    <t>220511C</t>
  </si>
  <si>
    <t>3293</t>
  </si>
  <si>
    <t>OT-006318</t>
  </si>
  <si>
    <t>CU 838119</t>
  </si>
  <si>
    <t>138</t>
  </si>
  <si>
    <t>7962</t>
  </si>
  <si>
    <t>1608</t>
  </si>
  <si>
    <t>355</t>
  </si>
  <si>
    <t>31215</t>
  </si>
  <si>
    <t>al062</t>
  </si>
  <si>
    <t>3016</t>
  </si>
  <si>
    <t>3864</t>
  </si>
  <si>
    <t>77916</t>
  </si>
  <si>
    <t>CE-201842</t>
  </si>
  <si>
    <t>pr2957</t>
  </si>
  <si>
    <t>3587</t>
  </si>
  <si>
    <t>OT-026257</t>
  </si>
  <si>
    <t>nc587</t>
  </si>
  <si>
    <t>10078</t>
  </si>
  <si>
    <t>461427</t>
  </si>
  <si>
    <t>nv153</t>
  </si>
  <si>
    <t>1081</t>
  </si>
  <si>
    <t>2477</t>
  </si>
  <si>
    <t>4023H2009-19</t>
  </si>
  <si>
    <t>4023P521-06</t>
  </si>
  <si>
    <t>100279</t>
  </si>
  <si>
    <t>30354</t>
  </si>
  <si>
    <t>2023059</t>
  </si>
  <si>
    <t>3808</t>
  </si>
  <si>
    <t>GO083</t>
  </si>
  <si>
    <t>GO083-1</t>
  </si>
  <si>
    <t>pr2300</t>
  </si>
  <si>
    <t>6929</t>
  </si>
  <si>
    <t>6751</t>
  </si>
  <si>
    <t>6286</t>
  </si>
  <si>
    <t>7281</t>
  </si>
  <si>
    <t>1069</t>
  </si>
  <si>
    <t>872154</t>
  </si>
  <si>
    <t>31287</t>
  </si>
  <si>
    <t>905301</t>
  </si>
  <si>
    <t>31995</t>
  </si>
  <si>
    <t>OT-043132</t>
  </si>
  <si>
    <t>4245</t>
  </si>
  <si>
    <t>448725</t>
  </si>
  <si>
    <t>30210</t>
  </si>
  <si>
    <t>OT-006781</t>
  </si>
  <si>
    <t>7322</t>
  </si>
  <si>
    <t>774239</t>
  </si>
  <si>
    <t>302966</t>
  </si>
  <si>
    <t>279720</t>
  </si>
  <si>
    <t>0029826</t>
  </si>
  <si>
    <t>pr939</t>
  </si>
  <si>
    <t>1816</t>
  </si>
  <si>
    <t>OT-006854</t>
  </si>
  <si>
    <t>30418</t>
  </si>
  <si>
    <t>949</t>
  </si>
  <si>
    <t>10620</t>
  </si>
  <si>
    <t>2547</t>
  </si>
  <si>
    <t>9730000333</t>
  </si>
  <si>
    <t>99118</t>
  </si>
  <si>
    <t>pr2222</t>
  </si>
  <si>
    <t>pr963</t>
  </si>
  <si>
    <t>6003-1175</t>
  </si>
  <si>
    <t>31575</t>
  </si>
  <si>
    <t>OT-006943</t>
  </si>
  <si>
    <t>5090</t>
  </si>
  <si>
    <t>2941</t>
  </si>
  <si>
    <t>4014H2078-19</t>
  </si>
  <si>
    <t>X04Q</t>
  </si>
  <si>
    <t>287</t>
  </si>
  <si>
    <t>7700001020</t>
  </si>
  <si>
    <t>17012</t>
  </si>
  <si>
    <t>pr2135</t>
  </si>
  <si>
    <t>pr441</t>
  </si>
  <si>
    <t>18026</t>
  </si>
  <si>
    <t>pr1028</t>
  </si>
  <si>
    <t>CE-207222</t>
  </si>
  <si>
    <t>256-2494</t>
  </si>
  <si>
    <t>CE-201844</t>
  </si>
  <si>
    <t>CE-203628</t>
  </si>
  <si>
    <t>297790</t>
  </si>
  <si>
    <t>3839</t>
  </si>
  <si>
    <t>762477</t>
  </si>
  <si>
    <t>14942</t>
  </si>
  <si>
    <t>7058</t>
  </si>
  <si>
    <t>11272</t>
  </si>
  <si>
    <t>2821</t>
  </si>
  <si>
    <t>314</t>
  </si>
  <si>
    <t>6683</t>
  </si>
  <si>
    <t>37669</t>
  </si>
  <si>
    <t>490</t>
  </si>
  <si>
    <t>266658</t>
  </si>
  <si>
    <t>266659</t>
  </si>
  <si>
    <t>pr2378</t>
  </si>
  <si>
    <t>pr2062</t>
  </si>
  <si>
    <t>4024P844-09</t>
  </si>
  <si>
    <t>861636</t>
  </si>
  <si>
    <t>900660</t>
  </si>
  <si>
    <t>OT-024923</t>
  </si>
  <si>
    <t>7434</t>
  </si>
  <si>
    <t>690352</t>
  </si>
  <si>
    <t>4213</t>
  </si>
  <si>
    <t>3276</t>
  </si>
  <si>
    <t>3174</t>
  </si>
  <si>
    <t>525096</t>
  </si>
  <si>
    <t>30815</t>
  </si>
  <si>
    <t>0029688</t>
  </si>
  <si>
    <t>CN158</t>
  </si>
  <si>
    <t>CN097</t>
  </si>
  <si>
    <t>CN153</t>
  </si>
  <si>
    <t>US043</t>
  </si>
  <si>
    <t>17641</t>
  </si>
  <si>
    <t>256-2504</t>
  </si>
  <si>
    <t>2144</t>
  </si>
  <si>
    <t>CN229</t>
  </si>
  <si>
    <t>CN241</t>
  </si>
  <si>
    <t>3022</t>
  </si>
  <si>
    <t>770-01-24-15</t>
  </si>
  <si>
    <t>2443</t>
  </si>
  <si>
    <t>0214</t>
  </si>
  <si>
    <t>30566</t>
  </si>
  <si>
    <t>245789</t>
  </si>
  <si>
    <t>0200249</t>
  </si>
  <si>
    <t>OT-007171</t>
  </si>
  <si>
    <t>OT-007178</t>
  </si>
  <si>
    <t>6419</t>
  </si>
  <si>
    <t>PA-OR-1420</t>
  </si>
  <si>
    <t>pr540</t>
  </si>
  <si>
    <t>5942</t>
  </si>
  <si>
    <t>pr603</t>
  </si>
  <si>
    <t>4172</t>
  </si>
  <si>
    <t>CU 848769</t>
  </si>
  <si>
    <t>CU 899612</t>
  </si>
  <si>
    <t>030</t>
  </si>
  <si>
    <t>2831</t>
  </si>
  <si>
    <t>356-1740</t>
  </si>
  <si>
    <t>CN176</t>
  </si>
  <si>
    <t>pr1117</t>
  </si>
  <si>
    <t>71147</t>
  </si>
  <si>
    <t>770-12-05-23</t>
  </si>
  <si>
    <t>CE-201845</t>
  </si>
  <si>
    <t>CE-207554</t>
  </si>
  <si>
    <t>1939</t>
  </si>
  <si>
    <t>pr3244</t>
  </si>
  <si>
    <t>1341</t>
  </si>
  <si>
    <t>6053</t>
  </si>
  <si>
    <t>0029611</t>
  </si>
  <si>
    <t>CN205</t>
  </si>
  <si>
    <t>3433</t>
  </si>
  <si>
    <t>3347</t>
  </si>
  <si>
    <t>2741</t>
  </si>
  <si>
    <t>AG-C0001700OC</t>
  </si>
  <si>
    <t>227569</t>
  </si>
  <si>
    <t>31562</t>
  </si>
  <si>
    <t>274317</t>
  </si>
  <si>
    <t>pr1372</t>
  </si>
  <si>
    <t>OT-024133</t>
  </si>
  <si>
    <t>pr506</t>
  </si>
  <si>
    <t>OT-041266</t>
  </si>
  <si>
    <t>pr2878</t>
  </si>
  <si>
    <t>CN076</t>
  </si>
  <si>
    <t>0029762</t>
  </si>
  <si>
    <t>280511</t>
  </si>
  <si>
    <t>294724</t>
  </si>
  <si>
    <t>7700001121</t>
  </si>
  <si>
    <t>58121</t>
  </si>
  <si>
    <t>7219</t>
  </si>
  <si>
    <t>TR-076</t>
  </si>
  <si>
    <t>8126</t>
  </si>
  <si>
    <t>CE-205129</t>
  </si>
  <si>
    <t>CMX-703</t>
  </si>
  <si>
    <t>US096</t>
  </si>
  <si>
    <t>4036DG2431-24, 4036H2431-24</t>
  </si>
  <si>
    <t>127716</t>
  </si>
  <si>
    <t>7700001228</t>
  </si>
  <si>
    <t>20-97</t>
  </si>
  <si>
    <t>890863</t>
  </si>
  <si>
    <t>0030054</t>
  </si>
  <si>
    <t>555</t>
  </si>
  <si>
    <t>3318</t>
  </si>
  <si>
    <t>pr3016</t>
  </si>
  <si>
    <t>4144</t>
  </si>
  <si>
    <t>OT-007521</t>
  </si>
  <si>
    <t>880251</t>
  </si>
  <si>
    <t>CE-204654</t>
  </si>
  <si>
    <t>3198</t>
  </si>
  <si>
    <t>4023BT327-04</t>
  </si>
  <si>
    <t>U97X</t>
  </si>
  <si>
    <t>CU 843037</t>
  </si>
  <si>
    <t>CE-208719</t>
  </si>
  <si>
    <t>V12Q</t>
  </si>
  <si>
    <t>4391</t>
  </si>
  <si>
    <t>5702</t>
  </si>
  <si>
    <t>ht086</t>
  </si>
  <si>
    <t>30570</t>
  </si>
  <si>
    <t>1505</t>
  </si>
  <si>
    <t>pr3445</t>
  </si>
  <si>
    <t>pr1091</t>
  </si>
  <si>
    <t>7700001115</t>
  </si>
  <si>
    <t>4520</t>
  </si>
  <si>
    <t>2333</t>
  </si>
  <si>
    <t>CE-200738</t>
  </si>
  <si>
    <t>CE-206689</t>
  </si>
  <si>
    <t>6590</t>
  </si>
  <si>
    <t>CE-202441</t>
  </si>
  <si>
    <t>12281</t>
  </si>
  <si>
    <t>7700001154</t>
  </si>
  <si>
    <t>pr040</t>
  </si>
  <si>
    <t>CE-203724</t>
  </si>
  <si>
    <t>CE-201067</t>
  </si>
  <si>
    <t>pr2947</t>
  </si>
  <si>
    <t>1792</t>
  </si>
  <si>
    <t>pr2691</t>
  </si>
  <si>
    <t>818705</t>
  </si>
  <si>
    <t>17715</t>
  </si>
  <si>
    <t>30749</t>
  </si>
  <si>
    <t>31535</t>
  </si>
  <si>
    <t>247616</t>
  </si>
  <si>
    <t>CE-201848</t>
  </si>
  <si>
    <t>pr2657</t>
  </si>
  <si>
    <t>393405</t>
  </si>
  <si>
    <t>0751593</t>
  </si>
  <si>
    <t>570737</t>
  </si>
  <si>
    <t>0732585</t>
  </si>
  <si>
    <t>5367</t>
  </si>
  <si>
    <t>7049</t>
  </si>
  <si>
    <t>CN079</t>
  </si>
  <si>
    <t>596</t>
  </si>
  <si>
    <t>4035DG059-00, 4035H059-22</t>
  </si>
  <si>
    <t>25004</t>
  </si>
  <si>
    <t>3922</t>
  </si>
  <si>
    <t>229517</t>
  </si>
  <si>
    <t>6647</t>
  </si>
  <si>
    <t>3041</t>
  </si>
  <si>
    <t>801</t>
  </si>
  <si>
    <t>78</t>
  </si>
  <si>
    <t>3742</t>
  </si>
  <si>
    <t>97589</t>
  </si>
  <si>
    <t>3341</t>
  </si>
  <si>
    <t>291424</t>
  </si>
  <si>
    <t>150261</t>
  </si>
  <si>
    <t>1390</t>
  </si>
  <si>
    <t>5712</t>
  </si>
  <si>
    <t>887283</t>
  </si>
  <si>
    <t>801672</t>
  </si>
  <si>
    <t>PA-OR-258-2</t>
  </si>
  <si>
    <t>PA-OR-258-1</t>
  </si>
  <si>
    <t>CE-201849</t>
  </si>
  <si>
    <t>04032020/HP312</t>
  </si>
  <si>
    <t>05282020/HP323</t>
  </si>
  <si>
    <t>223746</t>
  </si>
  <si>
    <t>31736</t>
  </si>
  <si>
    <t>24263</t>
  </si>
  <si>
    <t>CE-201303</t>
  </si>
  <si>
    <t>800429</t>
  </si>
  <si>
    <t>2009021</t>
  </si>
  <si>
    <t>17-075-721</t>
  </si>
  <si>
    <t>166612</t>
  </si>
  <si>
    <t>4450</t>
  </si>
  <si>
    <t>4619</t>
  </si>
  <si>
    <t>6772</t>
  </si>
  <si>
    <t>6663</t>
  </si>
  <si>
    <t>5714</t>
  </si>
  <si>
    <t>6009</t>
  </si>
  <si>
    <t>30573</t>
  </si>
  <si>
    <t>V64V</t>
  </si>
  <si>
    <t>6138</t>
  </si>
  <si>
    <t>OT-011346</t>
  </si>
  <si>
    <t>CN098</t>
  </si>
  <si>
    <t>CN098-5</t>
  </si>
  <si>
    <t>CN098-3</t>
  </si>
  <si>
    <t>CE-201851</t>
  </si>
  <si>
    <t>M0159</t>
  </si>
  <si>
    <t>cc541</t>
  </si>
  <si>
    <t>2407</t>
  </si>
  <si>
    <t>297792</t>
  </si>
  <si>
    <t>RS045</t>
  </si>
  <si>
    <t>232</t>
  </si>
  <si>
    <t>CE-205331</t>
  </si>
  <si>
    <t>CE-201853</t>
  </si>
  <si>
    <t>4302</t>
  </si>
  <si>
    <t>yo021</t>
  </si>
  <si>
    <t>nv903</t>
  </si>
  <si>
    <t>4023DG1195-12, 4023H1195-24</t>
  </si>
  <si>
    <t>CE-205674</t>
  </si>
  <si>
    <t>0767848</t>
  </si>
  <si>
    <t>CE-204288</t>
  </si>
  <si>
    <t>6821</t>
  </si>
  <si>
    <t>792062</t>
  </si>
  <si>
    <t>3075</t>
  </si>
  <si>
    <t>6003-1239</t>
  </si>
  <si>
    <t>ft284</t>
  </si>
  <si>
    <t>6024</t>
  </si>
  <si>
    <t>6304</t>
  </si>
  <si>
    <t>6152</t>
  </si>
  <si>
    <t>100374</t>
  </si>
  <si>
    <t>pr1545</t>
  </si>
  <si>
    <t>272369</t>
  </si>
  <si>
    <t>472500</t>
  </si>
  <si>
    <t>10596</t>
  </si>
  <si>
    <t>770-08-25-23</t>
  </si>
  <si>
    <t>6110</t>
  </si>
  <si>
    <t>nc219</t>
  </si>
  <si>
    <t>227961</t>
  </si>
  <si>
    <t>7700001081</t>
  </si>
  <si>
    <t>IN104</t>
  </si>
  <si>
    <t>4779</t>
  </si>
  <si>
    <t>pr3140</t>
  </si>
  <si>
    <t>pr3482</t>
  </si>
  <si>
    <t>02026</t>
  </si>
  <si>
    <t>16-1108</t>
  </si>
  <si>
    <t>16-2508</t>
  </si>
  <si>
    <t>3916</t>
  </si>
  <si>
    <t>42160</t>
  </si>
  <si>
    <t>4362</t>
  </si>
  <si>
    <t>18787</t>
  </si>
  <si>
    <t>17748</t>
  </si>
  <si>
    <t>7700001236</t>
  </si>
  <si>
    <t>PGH065PP</t>
  </si>
  <si>
    <t>1550</t>
  </si>
  <si>
    <t>437</t>
  </si>
  <si>
    <t>3319</t>
  </si>
  <si>
    <t>24 2153 NOP</t>
  </si>
  <si>
    <t>95103</t>
  </si>
  <si>
    <t>pr2064</t>
  </si>
  <si>
    <t>24 11857 NOP</t>
  </si>
  <si>
    <t>OT-007441</t>
  </si>
  <si>
    <t>OT-045039</t>
  </si>
  <si>
    <t>30325</t>
  </si>
  <si>
    <t>OT-025296</t>
  </si>
  <si>
    <t>547126</t>
  </si>
  <si>
    <t>6600</t>
  </si>
  <si>
    <t>102001</t>
  </si>
  <si>
    <t>53896</t>
  </si>
  <si>
    <t>770-02-28-24</t>
  </si>
  <si>
    <t>CE-200744</t>
  </si>
  <si>
    <t>CE-208288</t>
  </si>
  <si>
    <t>CE-208245</t>
  </si>
  <si>
    <t>CE-200754</t>
  </si>
  <si>
    <t>CE-200755</t>
  </si>
  <si>
    <t>13775</t>
  </si>
  <si>
    <t>102114</t>
  </si>
  <si>
    <t>OT-012427</t>
  </si>
  <si>
    <t>24 11908 NOP</t>
  </si>
  <si>
    <t>pr3573</t>
  </si>
  <si>
    <t>24 10544 NOP-2</t>
  </si>
  <si>
    <t>RS089</t>
  </si>
  <si>
    <t>770-12-24-12</t>
  </si>
  <si>
    <t>7700001097</t>
  </si>
  <si>
    <t>CE-200075</t>
  </si>
  <si>
    <t>30576</t>
  </si>
  <si>
    <t>CE-207377</t>
  </si>
  <si>
    <t>CE-200076</t>
  </si>
  <si>
    <t>pr2415</t>
  </si>
  <si>
    <t>261829</t>
  </si>
  <si>
    <t>31411</t>
  </si>
  <si>
    <t>300593</t>
  </si>
  <si>
    <t>4050DG1186-12, 4050H1186-23</t>
  </si>
  <si>
    <t>SP1287</t>
  </si>
  <si>
    <t>1521</t>
  </si>
  <si>
    <t>277593</t>
  </si>
  <si>
    <t>AG-C0001656OC</t>
  </si>
  <si>
    <t>OT-021843</t>
  </si>
  <si>
    <t>167660</t>
  </si>
  <si>
    <t>11567</t>
  </si>
  <si>
    <t>U94D</t>
  </si>
  <si>
    <t>5704</t>
  </si>
  <si>
    <t>IN028</t>
  </si>
  <si>
    <t>300229</t>
  </si>
  <si>
    <t>240052</t>
  </si>
  <si>
    <t>4023DG1223-12, 4023P1223-12</t>
  </si>
  <si>
    <t>172</t>
  </si>
  <si>
    <t>855</t>
  </si>
  <si>
    <t>770-07-21-14</t>
  </si>
  <si>
    <t>3749</t>
  </si>
  <si>
    <t>3703</t>
  </si>
  <si>
    <t>20050</t>
  </si>
  <si>
    <t>1146</t>
  </si>
  <si>
    <t>pr3257</t>
  </si>
  <si>
    <t>3229</t>
  </si>
  <si>
    <t>nv505</t>
  </si>
  <si>
    <t>2013071</t>
  </si>
  <si>
    <t>4039H1109-12</t>
  </si>
  <si>
    <t>4039H1109-13</t>
  </si>
  <si>
    <t>OT-008232</t>
  </si>
  <si>
    <t>770-06-05-24</t>
  </si>
  <si>
    <t>OT-027394</t>
  </si>
  <si>
    <t>7215</t>
  </si>
  <si>
    <t>OT-041378</t>
  </si>
  <si>
    <t>OT-003575</t>
  </si>
  <si>
    <t>263987</t>
  </si>
  <si>
    <t>7700001027</t>
  </si>
  <si>
    <t>CU 829201</t>
  </si>
  <si>
    <t>CE-205151</t>
  </si>
  <si>
    <t>CE-206620</t>
  </si>
  <si>
    <t>12939</t>
  </si>
  <si>
    <t>532</t>
  </si>
  <si>
    <t>7491</t>
  </si>
  <si>
    <t>615205</t>
  </si>
  <si>
    <t>3937</t>
  </si>
  <si>
    <t>7248</t>
  </si>
  <si>
    <t>5559</t>
  </si>
  <si>
    <t>6485</t>
  </si>
  <si>
    <t>5037</t>
  </si>
  <si>
    <t>10921</t>
  </si>
  <si>
    <t>9082</t>
  </si>
  <si>
    <t>13-670</t>
  </si>
  <si>
    <t>0727932</t>
  </si>
  <si>
    <t>OT-004752</t>
  </si>
  <si>
    <t>594996</t>
  </si>
  <si>
    <t>30486</t>
  </si>
  <si>
    <t>6206</t>
  </si>
  <si>
    <t>101726</t>
  </si>
  <si>
    <t>PA-OR-880-2</t>
  </si>
  <si>
    <t>4016H2463-24</t>
  </si>
  <si>
    <t>9024</t>
  </si>
  <si>
    <t>30</t>
  </si>
  <si>
    <t>145906</t>
  </si>
  <si>
    <t>242300</t>
  </si>
  <si>
    <t>770-04-25-24</t>
  </si>
  <si>
    <t>YO-101</t>
  </si>
  <si>
    <t>101368</t>
  </si>
  <si>
    <t>101369</t>
  </si>
  <si>
    <t>13767</t>
  </si>
  <si>
    <t>208</t>
  </si>
  <si>
    <t>770-11-12-16</t>
  </si>
  <si>
    <t>4142</t>
  </si>
  <si>
    <t>YO-120</t>
  </si>
  <si>
    <t>607</t>
  </si>
  <si>
    <t>566919</t>
  </si>
  <si>
    <t>3803</t>
  </si>
  <si>
    <t>4185</t>
  </si>
  <si>
    <t>OT-019579</t>
  </si>
  <si>
    <t>206</t>
  </si>
  <si>
    <t>pr2849</t>
  </si>
  <si>
    <t>6940</t>
  </si>
  <si>
    <t>CU 887649</t>
  </si>
  <si>
    <t>4052</t>
  </si>
  <si>
    <t>29739</t>
  </si>
  <si>
    <t>pr071</t>
  </si>
  <si>
    <t>4023DG930-09, 4023H930-20</t>
  </si>
  <si>
    <t>5517</t>
  </si>
  <si>
    <t>7050</t>
  </si>
  <si>
    <t>3765</t>
  </si>
  <si>
    <t>CE-208576</t>
  </si>
  <si>
    <t>2958</t>
  </si>
  <si>
    <t>7197</t>
  </si>
  <si>
    <t>7016</t>
  </si>
  <si>
    <t>30400</t>
  </si>
  <si>
    <t>4618</t>
  </si>
  <si>
    <t>4625</t>
  </si>
  <si>
    <t>4626</t>
  </si>
  <si>
    <t>17252</t>
  </si>
  <si>
    <t>180531</t>
  </si>
  <si>
    <t>2686</t>
  </si>
  <si>
    <t>6675</t>
  </si>
  <si>
    <t>IN131</t>
  </si>
  <si>
    <t>93464</t>
  </si>
  <si>
    <t>2901</t>
  </si>
  <si>
    <t>CMX-724</t>
  </si>
  <si>
    <t>17420</t>
  </si>
  <si>
    <t>102069</t>
  </si>
  <si>
    <t>816015</t>
  </si>
  <si>
    <t>11729</t>
  </si>
  <si>
    <t>7033</t>
  </si>
  <si>
    <t>7234</t>
  </si>
  <si>
    <t>4304</t>
  </si>
  <si>
    <t>4305</t>
  </si>
  <si>
    <t>2086</t>
  </si>
  <si>
    <t>17714</t>
  </si>
  <si>
    <t>996-3216-001</t>
  </si>
  <si>
    <t>3646</t>
  </si>
  <si>
    <t>AG-C0001730OC</t>
  </si>
  <si>
    <t>168095</t>
  </si>
  <si>
    <t>385</t>
  </si>
  <si>
    <t>C4050008-04, C4050H008-13</t>
  </si>
  <si>
    <t>8133</t>
  </si>
  <si>
    <t>pr991</t>
  </si>
  <si>
    <t>2635</t>
  </si>
  <si>
    <t>215</t>
  </si>
  <si>
    <t>38-896</t>
  </si>
  <si>
    <t>48128</t>
  </si>
  <si>
    <t>X32G</t>
  </si>
  <si>
    <t>817984</t>
  </si>
  <si>
    <t>6031</t>
  </si>
  <si>
    <t>834980</t>
  </si>
  <si>
    <t>136012</t>
  </si>
  <si>
    <t>2020085</t>
  </si>
  <si>
    <t>7022</t>
  </si>
  <si>
    <t>OT-009136</t>
  </si>
  <si>
    <t>410-2340</t>
  </si>
  <si>
    <t>OT-039807</t>
  </si>
  <si>
    <t>6790</t>
  </si>
  <si>
    <t>52513</t>
  </si>
  <si>
    <t>100145</t>
  </si>
  <si>
    <t>102237</t>
  </si>
  <si>
    <t>AG-C0001742OC</t>
  </si>
  <si>
    <t>CE-200738-001</t>
  </si>
  <si>
    <t>4023DG1002-10, 4023H1002-15</t>
  </si>
  <si>
    <t>7008</t>
  </si>
  <si>
    <t>01-680</t>
  </si>
  <si>
    <t>CU 801879</t>
  </si>
  <si>
    <t>814800</t>
  </si>
  <si>
    <t>V15D</t>
  </si>
  <si>
    <t>CE-208163</t>
  </si>
  <si>
    <t>13671</t>
  </si>
  <si>
    <t>CN151</t>
  </si>
  <si>
    <t>298354</t>
  </si>
  <si>
    <t>6752</t>
  </si>
  <si>
    <t>186011</t>
  </si>
  <si>
    <t>PA-OR-1338</t>
  </si>
  <si>
    <t>5617</t>
  </si>
  <si>
    <t>CN244-1</t>
  </si>
  <si>
    <t>0200350</t>
  </si>
  <si>
    <t>4039H2486-24</t>
  </si>
  <si>
    <t>6640</t>
  </si>
  <si>
    <t>296171</t>
  </si>
  <si>
    <t>221613</t>
  </si>
  <si>
    <t>5361</t>
  </si>
  <si>
    <t>4416</t>
  </si>
  <si>
    <t>IN137</t>
  </si>
  <si>
    <t>6791</t>
  </si>
  <si>
    <t>V14W</t>
  </si>
  <si>
    <t>CE-200792</t>
  </si>
  <si>
    <t>CE-200796</t>
  </si>
  <si>
    <t>5576</t>
  </si>
  <si>
    <t>727385</t>
  </si>
  <si>
    <t>CU 835586</t>
  </si>
  <si>
    <t>O0003</t>
  </si>
  <si>
    <t>TR-248</t>
  </si>
  <si>
    <t>4036P941-10</t>
  </si>
  <si>
    <t>876165</t>
  </si>
  <si>
    <t>CE-200082</t>
  </si>
  <si>
    <t>8644</t>
  </si>
  <si>
    <t>8644.44151</t>
  </si>
  <si>
    <t>770-07-01-15</t>
  </si>
  <si>
    <t>CE-200083</t>
  </si>
  <si>
    <t>71091</t>
  </si>
  <si>
    <t>CE-201856</t>
  </si>
  <si>
    <t>2095</t>
  </si>
  <si>
    <t>pr3187</t>
  </si>
  <si>
    <t>844952</t>
  </si>
  <si>
    <t>2013053</t>
  </si>
  <si>
    <t>OT-012626</t>
  </si>
  <si>
    <t>15-811</t>
  </si>
  <si>
    <t>273210</t>
  </si>
  <si>
    <t>152-1943</t>
  </si>
  <si>
    <t>CE-200084</t>
  </si>
  <si>
    <t>CE-200085</t>
  </si>
  <si>
    <t>T0715</t>
  </si>
  <si>
    <t>76907</t>
  </si>
  <si>
    <t>200749</t>
  </si>
  <si>
    <t>163876</t>
  </si>
  <si>
    <t>CE-204071</t>
  </si>
  <si>
    <t>770-06-06-24</t>
  </si>
  <si>
    <t>BA110</t>
  </si>
  <si>
    <t>5417</t>
  </si>
  <si>
    <t>5708</t>
  </si>
  <si>
    <t>48357</t>
  </si>
  <si>
    <t>210157</t>
  </si>
  <si>
    <t>192513</t>
  </si>
  <si>
    <t>10137</t>
  </si>
  <si>
    <t>5008</t>
  </si>
  <si>
    <t>5676</t>
  </si>
  <si>
    <t>6008</t>
  </si>
  <si>
    <t>6515</t>
  </si>
  <si>
    <t>327810</t>
  </si>
  <si>
    <t>30314</t>
  </si>
  <si>
    <t>2832</t>
  </si>
  <si>
    <t>AG-C0001664OC</t>
  </si>
  <si>
    <t>6527</t>
  </si>
  <si>
    <t>6733</t>
  </si>
  <si>
    <t>6734</t>
  </si>
  <si>
    <t>595819</t>
  </si>
  <si>
    <t>1468</t>
  </si>
  <si>
    <t>6659</t>
  </si>
  <si>
    <t>7151</t>
  </si>
  <si>
    <t>2140</t>
  </si>
  <si>
    <t>OT-009600</t>
  </si>
  <si>
    <t>CE-205440-001</t>
  </si>
  <si>
    <t>CE-205440</t>
  </si>
  <si>
    <t>nv104</t>
  </si>
  <si>
    <t>550979</t>
  </si>
  <si>
    <t>212902</t>
  </si>
  <si>
    <t>6818</t>
  </si>
  <si>
    <t>4023H2490-25</t>
  </si>
  <si>
    <t>251840</t>
  </si>
  <si>
    <t>12752</t>
  </si>
  <si>
    <t>251841</t>
  </si>
  <si>
    <t>6838</t>
  </si>
  <si>
    <t>149686</t>
  </si>
  <si>
    <t>16096</t>
  </si>
  <si>
    <t>3716</t>
  </si>
  <si>
    <t>24961</t>
  </si>
  <si>
    <t>2022070</t>
  </si>
  <si>
    <t>3824</t>
  </si>
  <si>
    <t>4227</t>
  </si>
  <si>
    <t>me189</t>
  </si>
  <si>
    <t>2075</t>
  </si>
  <si>
    <t>770-02-27-23</t>
  </si>
  <si>
    <t>130</t>
  </si>
  <si>
    <t>7184</t>
  </si>
  <si>
    <t>2259</t>
  </si>
  <si>
    <t>7091</t>
  </si>
  <si>
    <t>6519</t>
  </si>
  <si>
    <t>CN247</t>
  </si>
  <si>
    <t>CE-200087</t>
  </si>
  <si>
    <t>24 10394 NOP</t>
  </si>
  <si>
    <t>39101</t>
  </si>
  <si>
    <t>pr230</t>
  </si>
  <si>
    <t>770-10-08-22</t>
  </si>
  <si>
    <t>6459</t>
  </si>
  <si>
    <t>pr1027</t>
  </si>
  <si>
    <t>10512</t>
  </si>
  <si>
    <t>4037</t>
  </si>
  <si>
    <t>4813</t>
  </si>
  <si>
    <t>3621</t>
  </si>
  <si>
    <t>3620</t>
  </si>
  <si>
    <t>3616</t>
  </si>
  <si>
    <t>3859</t>
  </si>
  <si>
    <t>3622</t>
  </si>
  <si>
    <t>al057</t>
  </si>
  <si>
    <t>8579</t>
  </si>
  <si>
    <t>770-06-18-23</t>
  </si>
  <si>
    <t>pr039</t>
  </si>
  <si>
    <t>12567</t>
  </si>
  <si>
    <t>3178</t>
  </si>
  <si>
    <t>OT-015202</t>
  </si>
  <si>
    <t>CE-201869-002</t>
  </si>
  <si>
    <t>5588</t>
  </si>
  <si>
    <t>pr239</t>
  </si>
  <si>
    <t>18-1395</t>
  </si>
  <si>
    <t>CE-201857</t>
  </si>
  <si>
    <t>297837</t>
  </si>
  <si>
    <t>3131</t>
  </si>
  <si>
    <t>X37C</t>
  </si>
  <si>
    <t>CE-201858</t>
  </si>
  <si>
    <t>17161</t>
  </si>
  <si>
    <t>2179</t>
  </si>
  <si>
    <t>12651</t>
  </si>
  <si>
    <t>12803</t>
  </si>
  <si>
    <t>EG-B-386-002</t>
  </si>
  <si>
    <t>CU 878211</t>
  </si>
  <si>
    <t>CN103</t>
  </si>
  <si>
    <t>CN103-1</t>
  </si>
  <si>
    <t>154493</t>
  </si>
  <si>
    <t>CE-201828-003</t>
  </si>
  <si>
    <t>PGH214TS</t>
  </si>
  <si>
    <t>pr1078</t>
  </si>
  <si>
    <t>153073</t>
  </si>
  <si>
    <t>CE-201947</t>
  </si>
  <si>
    <t>OT-000096</t>
  </si>
  <si>
    <t>pr189</t>
  </si>
  <si>
    <t>pr1247</t>
  </si>
  <si>
    <t>al065</t>
  </si>
  <si>
    <t>150361</t>
  </si>
  <si>
    <t>95137</t>
  </si>
  <si>
    <t>CU 857453</t>
  </si>
  <si>
    <t>CE-202483-004</t>
  </si>
  <si>
    <t>CU 900935</t>
  </si>
  <si>
    <t>CE-205129-005</t>
  </si>
  <si>
    <t>6410</t>
  </si>
  <si>
    <t>0200472</t>
  </si>
  <si>
    <t>20008</t>
  </si>
  <si>
    <t>9763</t>
  </si>
  <si>
    <t>7623</t>
  </si>
  <si>
    <t>241964</t>
  </si>
  <si>
    <t>OT-023550</t>
  </si>
  <si>
    <t>pr1270</t>
  </si>
  <si>
    <t>31507</t>
  </si>
  <si>
    <t>3823</t>
  </si>
  <si>
    <t>3152</t>
  </si>
  <si>
    <t>12042</t>
  </si>
  <si>
    <t>7630</t>
  </si>
  <si>
    <t>179462</t>
  </si>
  <si>
    <t>OT-017423</t>
  </si>
  <si>
    <t>1095</t>
  </si>
  <si>
    <t>6837</t>
  </si>
  <si>
    <t>01-1167</t>
  </si>
  <si>
    <t>nv510</t>
  </si>
  <si>
    <t>31212</t>
  </si>
  <si>
    <t>AG-C0000892OC</t>
  </si>
  <si>
    <t>6003-1160</t>
  </si>
  <si>
    <t>3215</t>
  </si>
  <si>
    <t>CN235</t>
  </si>
  <si>
    <t>CN042</t>
  </si>
  <si>
    <t>CN042-2</t>
  </si>
  <si>
    <t>PA-OR-1333</t>
  </si>
  <si>
    <t>1880</t>
  </si>
  <si>
    <t>0200245</t>
  </si>
  <si>
    <t>OT-044918</t>
  </si>
  <si>
    <t>1862</t>
  </si>
  <si>
    <t>822787</t>
  </si>
  <si>
    <t>PFP164TL</t>
  </si>
  <si>
    <t>OT-034916</t>
  </si>
  <si>
    <t>163629</t>
  </si>
  <si>
    <t>52</t>
  </si>
  <si>
    <t>286022</t>
  </si>
  <si>
    <t>CE-208516</t>
  </si>
  <si>
    <t>5191</t>
  </si>
  <si>
    <t>CE-201299-001</t>
  </si>
  <si>
    <t>OT-021397</t>
  </si>
  <si>
    <t>813867</t>
  </si>
  <si>
    <t>CE-201863</t>
  </si>
  <si>
    <t>CU 868566</t>
  </si>
  <si>
    <t>31486</t>
  </si>
  <si>
    <t>30907</t>
  </si>
  <si>
    <t>444</t>
  </si>
  <si>
    <t>3520</t>
  </si>
  <si>
    <t>4095</t>
  </si>
  <si>
    <t>pr1704</t>
  </si>
  <si>
    <t>pr141</t>
  </si>
  <si>
    <t>235</t>
  </si>
  <si>
    <t>cc001</t>
  </si>
  <si>
    <t>3297</t>
  </si>
  <si>
    <t>625</t>
  </si>
  <si>
    <t>1220</t>
  </si>
  <si>
    <t>4312</t>
  </si>
  <si>
    <t>7180</t>
  </si>
  <si>
    <t>98598</t>
  </si>
  <si>
    <t>9</t>
  </si>
  <si>
    <t>803416</t>
  </si>
  <si>
    <t>pr2052</t>
  </si>
  <si>
    <t>OT-018762</t>
  </si>
  <si>
    <t>pr2500</t>
  </si>
  <si>
    <t>CE-201866</t>
  </si>
  <si>
    <t>7144</t>
  </si>
  <si>
    <t>23007</t>
  </si>
  <si>
    <t>461431</t>
  </si>
  <si>
    <t>16343</t>
  </si>
  <si>
    <t>CU 863321</t>
  </si>
  <si>
    <t>353</t>
  </si>
  <si>
    <t>46</t>
  </si>
  <si>
    <t>CU 876067</t>
  </si>
  <si>
    <t>CU 842683</t>
  </si>
  <si>
    <t>CE-201867</t>
  </si>
  <si>
    <t>24508</t>
  </si>
  <si>
    <t>783266</t>
  </si>
  <si>
    <t>783262</t>
  </si>
  <si>
    <t>S98S</t>
  </si>
  <si>
    <t>OT-010381</t>
  </si>
  <si>
    <t>6483</t>
  </si>
  <si>
    <t>17640</t>
  </si>
  <si>
    <t>T17C</t>
  </si>
  <si>
    <t>30898</t>
  </si>
  <si>
    <t>7700001090</t>
  </si>
  <si>
    <t>OT-010391</t>
  </si>
  <si>
    <t>13846</t>
  </si>
  <si>
    <t>J12V</t>
  </si>
  <si>
    <t>3829</t>
  </si>
  <si>
    <t>17450</t>
  </si>
  <si>
    <t>1787</t>
  </si>
  <si>
    <t>83613</t>
  </si>
  <si>
    <t>153697</t>
  </si>
  <si>
    <t>CE028</t>
  </si>
  <si>
    <t>RN059</t>
  </si>
  <si>
    <t>OT-013054</t>
  </si>
  <si>
    <t>CE-201869</t>
  </si>
  <si>
    <t>901569</t>
  </si>
  <si>
    <t>4280</t>
  </si>
  <si>
    <t>pr1824</t>
  </si>
  <si>
    <t>2051</t>
  </si>
  <si>
    <t>620</t>
  </si>
  <si>
    <t>nc717</t>
  </si>
  <si>
    <t>52849</t>
  </si>
  <si>
    <t>3713</t>
  </si>
  <si>
    <t>6139</t>
  </si>
  <si>
    <t>52035</t>
  </si>
  <si>
    <t>71038</t>
  </si>
  <si>
    <t>1817</t>
  </si>
  <si>
    <t>pr3486</t>
  </si>
  <si>
    <t>138231</t>
  </si>
  <si>
    <t>864650</t>
  </si>
  <si>
    <t>168500</t>
  </si>
  <si>
    <t>07700</t>
  </si>
  <si>
    <t>2849</t>
  </si>
  <si>
    <t>30123</t>
  </si>
  <si>
    <t>pr258</t>
  </si>
  <si>
    <t>7175</t>
  </si>
  <si>
    <t>12415</t>
  </si>
  <si>
    <t>CE-204424</t>
  </si>
  <si>
    <t>CU 815133</t>
  </si>
  <si>
    <t>CU 881483</t>
  </si>
  <si>
    <t>IN025</t>
  </si>
  <si>
    <t>17167</t>
  </si>
  <si>
    <t>17166</t>
  </si>
  <si>
    <t>230888</t>
  </si>
  <si>
    <t>CU 895246</t>
  </si>
  <si>
    <t>CU 848450</t>
  </si>
  <si>
    <t>4033DG2351-23, 4033H2351-24</t>
  </si>
  <si>
    <t>yo328</t>
  </si>
  <si>
    <t>7700001105</t>
  </si>
  <si>
    <t>195655</t>
  </si>
  <si>
    <t>5416</t>
  </si>
  <si>
    <t>RS006</t>
  </si>
  <si>
    <t>RU006</t>
  </si>
  <si>
    <t>CE-206275</t>
  </si>
  <si>
    <t>02232022/HP371</t>
  </si>
  <si>
    <t>pr1606</t>
  </si>
  <si>
    <t>020</t>
  </si>
  <si>
    <t>5558</t>
  </si>
  <si>
    <t>CE-207201</t>
  </si>
  <si>
    <t>31196</t>
  </si>
  <si>
    <t>905302</t>
  </si>
  <si>
    <t>30-1598</t>
  </si>
  <si>
    <t>CE-201767</t>
  </si>
  <si>
    <t>pr1887</t>
  </si>
  <si>
    <t>OT-010772</t>
  </si>
  <si>
    <t>770-03-17-13</t>
  </si>
  <si>
    <t>30956</t>
  </si>
  <si>
    <t>1943</t>
  </si>
  <si>
    <t>OT-010798</t>
  </si>
  <si>
    <t>pr982</t>
  </si>
  <si>
    <t>pr324</t>
  </si>
  <si>
    <t>1992</t>
  </si>
  <si>
    <t>30121</t>
  </si>
  <si>
    <t>272762</t>
  </si>
  <si>
    <t>272760</t>
  </si>
  <si>
    <t>272764</t>
  </si>
  <si>
    <t>30595</t>
  </si>
  <si>
    <t>CN173</t>
  </si>
  <si>
    <t>pr3377</t>
  </si>
  <si>
    <t>47-930</t>
  </si>
  <si>
    <t>4027H1171-12</t>
  </si>
  <si>
    <t>533</t>
  </si>
  <si>
    <t>3819</t>
  </si>
  <si>
    <t>405</t>
  </si>
  <si>
    <t>6612</t>
  </si>
  <si>
    <t>6556</t>
  </si>
  <si>
    <t>OT-011077</t>
  </si>
  <si>
    <t>770-12-13-16</t>
  </si>
  <si>
    <t>488</t>
  </si>
  <si>
    <t>2597</t>
  </si>
  <si>
    <t>0029645</t>
  </si>
  <si>
    <t>US097</t>
  </si>
  <si>
    <t>7700001061</t>
  </si>
  <si>
    <t>101699</t>
  </si>
  <si>
    <t>53186</t>
  </si>
  <si>
    <t>pr104</t>
  </si>
  <si>
    <t>CE-202524</t>
  </si>
  <si>
    <t>CE-202523</t>
  </si>
  <si>
    <t>770-01-22-21</t>
  </si>
  <si>
    <t>CU 882459</t>
  </si>
  <si>
    <t>CU 882460</t>
  </si>
  <si>
    <t>CU 862990</t>
  </si>
  <si>
    <t>CU 862750</t>
  </si>
  <si>
    <t>13650</t>
  </si>
  <si>
    <t>CN145</t>
  </si>
  <si>
    <t>CN063-1</t>
  </si>
  <si>
    <t>4326</t>
  </si>
  <si>
    <t>13648</t>
  </si>
  <si>
    <t>CU 807749</t>
  </si>
  <si>
    <t>CN180</t>
  </si>
  <si>
    <t>CE-204989</t>
  </si>
  <si>
    <t>CE-200810-001</t>
  </si>
  <si>
    <t>11-1532</t>
  </si>
  <si>
    <t>4532</t>
  </si>
  <si>
    <t>55149</t>
  </si>
  <si>
    <t>OT-035092</t>
  </si>
  <si>
    <t>770-06-15-21</t>
  </si>
  <si>
    <t>CE-208260</t>
  </si>
  <si>
    <t>691</t>
  </si>
  <si>
    <t>1574</t>
  </si>
  <si>
    <t>14-812</t>
  </si>
  <si>
    <t>Contact First Name</t>
  </si>
  <si>
    <t>Sun</t>
  </si>
  <si>
    <t>Fernanda</t>
  </si>
  <si>
    <t>Nick</t>
  </si>
  <si>
    <t>Bonnie</t>
  </si>
  <si>
    <t>Stephanie</t>
  </si>
  <si>
    <t>Jacob</t>
  </si>
  <si>
    <t>Songyos</t>
  </si>
  <si>
    <t>Noah</t>
  </si>
  <si>
    <t>Rubbia</t>
  </si>
  <si>
    <t>Vidya Sagar</t>
  </si>
  <si>
    <t>Neha</t>
  </si>
  <si>
    <t>Aaron</t>
  </si>
  <si>
    <t>Ankit</t>
  </si>
  <si>
    <t>Charlie</t>
  </si>
  <si>
    <t>Kerry</t>
  </si>
  <si>
    <t>Abram (Bucky)</t>
  </si>
  <si>
    <t>Miguel Angel</t>
  </si>
  <si>
    <t>Guillermo</t>
  </si>
  <si>
    <t>John</t>
  </si>
  <si>
    <t>Ira</t>
  </si>
  <si>
    <t>Adam</t>
  </si>
  <si>
    <t>Sally-Anne</t>
  </si>
  <si>
    <t>Concetta</t>
  </si>
  <si>
    <t>Sarah</t>
  </si>
  <si>
    <t>Héctor</t>
  </si>
  <si>
    <t>Jessica</t>
  </si>
  <si>
    <t>Gurudas</t>
  </si>
  <si>
    <t>Naresh</t>
  </si>
  <si>
    <t>Shaun</t>
  </si>
  <si>
    <t>Safia</t>
  </si>
  <si>
    <t>Chris</t>
  </si>
  <si>
    <t>DANIEL ENRIQUE</t>
  </si>
  <si>
    <t>Rishabh</t>
  </si>
  <si>
    <t>Andy</t>
  </si>
  <si>
    <t>Steve</t>
  </si>
  <si>
    <t>Bhavesh</t>
  </si>
  <si>
    <t>Mohamed</t>
  </si>
  <si>
    <t>Fei</t>
  </si>
  <si>
    <t>JORGE</t>
  </si>
  <si>
    <t>DAVID</t>
  </si>
  <si>
    <t>İbrahim</t>
  </si>
  <si>
    <t>Vitaliy</t>
  </si>
  <si>
    <t>EMILIO JOSE</t>
  </si>
  <si>
    <t>Chandrasekhar</t>
  </si>
  <si>
    <t>MIGUEL ENRIQUE</t>
  </si>
  <si>
    <t>Sergey</t>
  </si>
  <si>
    <t>Vinod</t>
  </si>
  <si>
    <t>Miguel</t>
  </si>
  <si>
    <t>Felipe</t>
  </si>
  <si>
    <t>Julio Alberto</t>
  </si>
  <si>
    <t>Hafiz Ghulam</t>
  </si>
  <si>
    <t>Josh</t>
  </si>
  <si>
    <t>Hassieb</t>
  </si>
  <si>
    <t>Rutchaya</t>
  </si>
  <si>
    <t>Erdal</t>
  </si>
  <si>
    <t>Roubir</t>
  </si>
  <si>
    <t>Sheban</t>
  </si>
  <si>
    <t>Devon</t>
  </si>
  <si>
    <t>Jake</t>
  </si>
  <si>
    <t>Ben</t>
  </si>
  <si>
    <t>Timo</t>
  </si>
  <si>
    <t>Jean-Marc</t>
  </si>
  <si>
    <t>Lucio</t>
  </si>
  <si>
    <t>Frank</t>
  </si>
  <si>
    <t>Allen A.</t>
  </si>
  <si>
    <t>Dino Sarma</t>
  </si>
  <si>
    <t>Thaise</t>
  </si>
  <si>
    <t>Leonela</t>
  </si>
  <si>
    <t>Yaminou</t>
  </si>
  <si>
    <t>Paige Marie</t>
  </si>
  <si>
    <t>Ted</t>
  </si>
  <si>
    <t>William</t>
  </si>
  <si>
    <t>Monika</t>
  </si>
  <si>
    <t>Paula</t>
  </si>
  <si>
    <t>Volkan</t>
  </si>
  <si>
    <t>Mistelle</t>
  </si>
  <si>
    <t>Michelle</t>
  </si>
  <si>
    <t>Adnan</t>
  </si>
  <si>
    <t>Dipak R.</t>
  </si>
  <si>
    <t>EZEQUIEL ADRIAN</t>
  </si>
  <si>
    <t>Vignesh</t>
  </si>
  <si>
    <t>MARCO</t>
  </si>
  <si>
    <t>AURELIO EMILIO</t>
  </si>
  <si>
    <t>JOSE ANTONIO</t>
  </si>
  <si>
    <t>B.</t>
  </si>
  <si>
    <t>Ibrahim</t>
  </si>
  <si>
    <t>Noelle</t>
  </si>
  <si>
    <t>Francisco</t>
  </si>
  <si>
    <t>Eric</t>
  </si>
  <si>
    <t>Raj B.</t>
  </si>
  <si>
    <t>Austin</t>
  </si>
  <si>
    <t>Dan</t>
  </si>
  <si>
    <t>Wanna</t>
  </si>
  <si>
    <t>Santhisuk</t>
  </si>
  <si>
    <t>Chadwick</t>
  </si>
  <si>
    <t>Gerardo</t>
  </si>
  <si>
    <t>Ly</t>
  </si>
  <si>
    <t>Karunendra</t>
  </si>
  <si>
    <t>Emily</t>
  </si>
  <si>
    <t>Jaxon</t>
  </si>
  <si>
    <t>Klaus</t>
  </si>
  <si>
    <t>Martin Oscar</t>
  </si>
  <si>
    <t>Javier</t>
  </si>
  <si>
    <t>LUIS ALBERTO</t>
  </si>
  <si>
    <t>Carlin</t>
  </si>
  <si>
    <t>Ângelo</t>
  </si>
  <si>
    <t>Pamela</t>
  </si>
  <si>
    <t>Anthony</t>
  </si>
  <si>
    <t>Taylor</t>
  </si>
  <si>
    <t>Mr. E Muraleedharan</t>
  </si>
  <si>
    <t>Mohammed</t>
  </si>
  <si>
    <t>Özge</t>
  </si>
  <si>
    <t>Yttredahl</t>
  </si>
  <si>
    <t>Rebecca</t>
  </si>
  <si>
    <t>Maria</t>
  </si>
  <si>
    <t>James</t>
  </si>
  <si>
    <t>Patrick</t>
  </si>
  <si>
    <t>Matthew</t>
  </si>
  <si>
    <t>Arlen</t>
  </si>
  <si>
    <t>SAYGIN</t>
  </si>
  <si>
    <t>Fahad</t>
  </si>
  <si>
    <t>José Pablo</t>
  </si>
  <si>
    <t>Manuel</t>
  </si>
  <si>
    <t>Maria Camila</t>
  </si>
  <si>
    <t>Suryakant</t>
  </si>
  <si>
    <t>Anna</t>
  </si>
  <si>
    <t>Mark</t>
  </si>
  <si>
    <t>Layne</t>
  </si>
  <si>
    <t>Mazhar Muzaffar</t>
  </si>
  <si>
    <t>Noemi</t>
  </si>
  <si>
    <t>BETZABE KELLY</t>
  </si>
  <si>
    <t>Jhony Herberth</t>
  </si>
  <si>
    <t>Olimpio Antonio</t>
  </si>
  <si>
    <t>JUAN ERNESTO</t>
  </si>
  <si>
    <t>Moises</t>
  </si>
  <si>
    <t>Fredy</t>
  </si>
  <si>
    <t>Christian</t>
  </si>
  <si>
    <t>Jason</t>
  </si>
  <si>
    <t>Yao</t>
  </si>
  <si>
    <t>Luke</t>
  </si>
  <si>
    <t>Glenn</t>
  </si>
  <si>
    <t>Joe</t>
  </si>
  <si>
    <t>Muhammad</t>
  </si>
  <si>
    <t>Matías</t>
  </si>
  <si>
    <t>Snejana</t>
  </si>
  <si>
    <t>Richard</t>
  </si>
  <si>
    <t>Kristine</t>
  </si>
  <si>
    <t>Diego Rafael Garcia</t>
  </si>
  <si>
    <t>Romanshu</t>
  </si>
  <si>
    <t>Rajesh</t>
  </si>
  <si>
    <t>Sudheer</t>
  </si>
  <si>
    <t>Celine</t>
  </si>
  <si>
    <t>OSCAR</t>
  </si>
  <si>
    <t>Sami</t>
  </si>
  <si>
    <t>Maurizio</t>
  </si>
  <si>
    <t>Coral</t>
  </si>
  <si>
    <t>Robert</t>
  </si>
  <si>
    <t>Pamela J, William &amp; Renee</t>
  </si>
  <si>
    <t>LIJIE</t>
  </si>
  <si>
    <t>Chunying</t>
  </si>
  <si>
    <t>Nadine</t>
  </si>
  <si>
    <t>Jay</t>
  </si>
  <si>
    <t>Duwei</t>
  </si>
  <si>
    <t>Stephen</t>
  </si>
  <si>
    <t>Stanley</t>
  </si>
  <si>
    <t>Mike</t>
  </si>
  <si>
    <t>Jan</t>
  </si>
  <si>
    <t>James A.</t>
  </si>
  <si>
    <t>Selma</t>
  </si>
  <si>
    <t>Mahesh</t>
  </si>
  <si>
    <t>Bob</t>
  </si>
  <si>
    <t>Aglaen</t>
  </si>
  <si>
    <t>Benjamin</t>
  </si>
  <si>
    <t>Len</t>
  </si>
  <si>
    <t>Tamara</t>
  </si>
  <si>
    <t>Susan</t>
  </si>
  <si>
    <t>Samantha</t>
  </si>
  <si>
    <t>Natalie</t>
  </si>
  <si>
    <t>Yang</t>
  </si>
  <si>
    <t>Zhang</t>
  </si>
  <si>
    <t>Wu</t>
  </si>
  <si>
    <t>Saudy</t>
  </si>
  <si>
    <t>Brian</t>
  </si>
  <si>
    <t>Megan</t>
  </si>
  <si>
    <t>Ing. Erasmo Edwin</t>
  </si>
  <si>
    <t>Evette</t>
  </si>
  <si>
    <t>Juan</t>
  </si>
  <si>
    <t>Dwayne</t>
  </si>
  <si>
    <t>Francisco Javier</t>
  </si>
  <si>
    <t>Mohit</t>
  </si>
  <si>
    <t>Mr. Om Sisodiya</t>
  </si>
  <si>
    <t>Shannon</t>
  </si>
  <si>
    <t>Henry</t>
  </si>
  <si>
    <t>Lila</t>
  </si>
  <si>
    <t>Valerie</t>
  </si>
  <si>
    <t>Behram</t>
  </si>
  <si>
    <t>Apinya</t>
  </si>
  <si>
    <t>Paola</t>
  </si>
  <si>
    <t>UMIT SULEYMAN</t>
  </si>
  <si>
    <t>Jaime Rene</t>
  </si>
  <si>
    <t>Justina</t>
  </si>
  <si>
    <t>Cinthia</t>
  </si>
  <si>
    <t>Mimi</t>
  </si>
  <si>
    <t>Kevin</t>
  </si>
  <si>
    <t>ISMET</t>
  </si>
  <si>
    <t>Mauro</t>
  </si>
  <si>
    <t>Elena</t>
  </si>
  <si>
    <t>Haiyan</t>
  </si>
  <si>
    <t>Christine</t>
  </si>
  <si>
    <t>Kate</t>
  </si>
  <si>
    <t>Christopher</t>
  </si>
  <si>
    <t>Daniel</t>
  </si>
  <si>
    <t>Kent</t>
  </si>
  <si>
    <t>Alexandria</t>
  </si>
  <si>
    <t>Lucy</t>
  </si>
  <si>
    <t>Khoe</t>
  </si>
  <si>
    <t>PEDRO</t>
  </si>
  <si>
    <t>Randy</t>
  </si>
  <si>
    <t>Tiffany</t>
  </si>
  <si>
    <t>Cindy</t>
  </si>
  <si>
    <t>Jon</t>
  </si>
  <si>
    <t>Felice</t>
  </si>
  <si>
    <t>Marco</t>
  </si>
  <si>
    <t>Michael</t>
  </si>
  <si>
    <t>Brandon</t>
  </si>
  <si>
    <t>Galen</t>
  </si>
  <si>
    <t>Ryan</t>
  </si>
  <si>
    <t>Amy</t>
  </si>
  <si>
    <t>Molly</t>
  </si>
  <si>
    <t>Lori</t>
  </si>
  <si>
    <t>Nikki</t>
  </si>
  <si>
    <t>Taimy</t>
  </si>
  <si>
    <t>Jeremy</t>
  </si>
  <si>
    <t>Azad</t>
  </si>
  <si>
    <t>Abigail</t>
  </si>
  <si>
    <t>Adriana</t>
  </si>
  <si>
    <t>Andrew</t>
  </si>
  <si>
    <t>Damian</t>
  </si>
  <si>
    <t>Augusto</t>
  </si>
  <si>
    <t>Kajeerat</t>
  </si>
  <si>
    <t>Nicholas, Nathan, Kassie</t>
  </si>
  <si>
    <t>Melissa</t>
  </si>
  <si>
    <t>Megi</t>
  </si>
  <si>
    <t>Hanna</t>
  </si>
  <si>
    <t>Katherine</t>
  </si>
  <si>
    <t>Carl</t>
  </si>
  <si>
    <t>Colton</t>
  </si>
  <si>
    <t>Tim</t>
  </si>
  <si>
    <t>Carmen</t>
  </si>
  <si>
    <t>Sumeet</t>
  </si>
  <si>
    <t>Calen</t>
  </si>
  <si>
    <t>Ying</t>
  </si>
  <si>
    <t>Curtis</t>
  </si>
  <si>
    <t>Klee</t>
  </si>
  <si>
    <t>CESAR CONSTANTINO</t>
  </si>
  <si>
    <t>Greg</t>
  </si>
  <si>
    <t>Wayne</t>
  </si>
  <si>
    <t>Mitch</t>
  </si>
  <si>
    <t>Stefanie</t>
  </si>
  <si>
    <t>Dinesh</t>
  </si>
  <si>
    <t>Carl B.</t>
  </si>
  <si>
    <t>Heike</t>
  </si>
  <si>
    <t>Bernardo</t>
  </si>
  <si>
    <t>Summer</t>
  </si>
  <si>
    <t>Daria</t>
  </si>
  <si>
    <t>Yesenia</t>
  </si>
  <si>
    <t>Ernie</t>
  </si>
  <si>
    <t>Evangelina</t>
  </si>
  <si>
    <t>Rodney</t>
  </si>
  <si>
    <t>Blake</t>
  </si>
  <si>
    <t>Rola</t>
  </si>
  <si>
    <t>Dilan</t>
  </si>
  <si>
    <t>Olcay</t>
  </si>
  <si>
    <t>Guideon</t>
  </si>
  <si>
    <t>Jeff</t>
  </si>
  <si>
    <t>Casey</t>
  </si>
  <si>
    <t>Victoria</t>
  </si>
  <si>
    <t>Brett</t>
  </si>
  <si>
    <t>Shane Van</t>
  </si>
  <si>
    <t>Larry</t>
  </si>
  <si>
    <t>José Adrián</t>
  </si>
  <si>
    <t>Julia</t>
  </si>
  <si>
    <t>Anu</t>
  </si>
  <si>
    <t>Tiziana</t>
  </si>
  <si>
    <t>Ernesto Laureano</t>
  </si>
  <si>
    <t>kasun</t>
  </si>
  <si>
    <t>Vijaykumar</t>
  </si>
  <si>
    <t>Liu</t>
  </si>
  <si>
    <t>Meng</t>
  </si>
  <si>
    <t>Tang</t>
  </si>
  <si>
    <t>Grant</t>
  </si>
  <si>
    <t>Wang</t>
  </si>
  <si>
    <t>Lijuan</t>
  </si>
  <si>
    <t>Stacey</t>
  </si>
  <si>
    <t>Tom</t>
  </si>
  <si>
    <t>Stefano</t>
  </si>
  <si>
    <t>Simon</t>
  </si>
  <si>
    <t>Clint</t>
  </si>
  <si>
    <t>Phuoc</t>
  </si>
  <si>
    <t>Craig R.</t>
  </si>
  <si>
    <t>Nate</t>
  </si>
  <si>
    <t>Paul</t>
  </si>
  <si>
    <t>CARLOS</t>
  </si>
  <si>
    <t>Justin</t>
  </si>
  <si>
    <t>Donald</t>
  </si>
  <si>
    <t>Guadalupe Raquel</t>
  </si>
  <si>
    <t>Diego</t>
  </si>
  <si>
    <t>Sebastián David</t>
  </si>
  <si>
    <t>Luis Enrique</t>
  </si>
  <si>
    <t>Cassandra L.</t>
  </si>
  <si>
    <t>Joseph</t>
  </si>
  <si>
    <t>Marcos Antonio</t>
  </si>
  <si>
    <t>Maria Laura</t>
  </si>
  <si>
    <t>Maria Isabel</t>
  </si>
  <si>
    <t>CARLOS ARTURO</t>
  </si>
  <si>
    <t>Anthony, Pasquale</t>
  </si>
  <si>
    <t>Ujjval</t>
  </si>
  <si>
    <t>David</t>
  </si>
  <si>
    <t>Dena</t>
  </si>
  <si>
    <t>JOHN OLIVER</t>
  </si>
  <si>
    <t>Victor</t>
  </si>
  <si>
    <t>Alexandre</t>
  </si>
  <si>
    <t>Everth</t>
  </si>
  <si>
    <t>Katie</t>
  </si>
  <si>
    <t>Wilson</t>
  </si>
  <si>
    <t>Drew</t>
  </si>
  <si>
    <t>Martha Eugenia</t>
  </si>
  <si>
    <t>Elijah</t>
  </si>
  <si>
    <t>Zachary</t>
  </si>
  <si>
    <t>Susie</t>
  </si>
  <si>
    <t>RENZO</t>
  </si>
  <si>
    <t>Jody</t>
  </si>
  <si>
    <t>Kristy</t>
  </si>
  <si>
    <t>Harry</t>
  </si>
  <si>
    <t>Kyle</t>
  </si>
  <si>
    <t>Chuanqiang</t>
  </si>
  <si>
    <t>Landen</t>
  </si>
  <si>
    <t>Seth</t>
  </si>
  <si>
    <t>Scott</t>
  </si>
  <si>
    <t>Daniel G.</t>
  </si>
  <si>
    <t>Charles</t>
  </si>
  <si>
    <t>Ashhar</t>
  </si>
  <si>
    <t>Sydney</t>
  </si>
  <si>
    <t>Allie</t>
  </si>
  <si>
    <t>Jose</t>
  </si>
  <si>
    <t>Gail</t>
  </si>
  <si>
    <t>Shermain</t>
  </si>
  <si>
    <t>Siegrid</t>
  </si>
  <si>
    <t>Mr. Sridhar</t>
  </si>
  <si>
    <t>Toni</t>
  </si>
  <si>
    <t>Lora</t>
  </si>
  <si>
    <t>Nigel</t>
  </si>
  <si>
    <t>Zou</t>
  </si>
  <si>
    <t>Zong</t>
  </si>
  <si>
    <t>Fang</t>
  </si>
  <si>
    <t>Jiang</t>
  </si>
  <si>
    <t>Zhou</t>
  </si>
  <si>
    <t>Lv</t>
  </si>
  <si>
    <t>You</t>
  </si>
  <si>
    <t>Song</t>
  </si>
  <si>
    <t>Yan</t>
  </si>
  <si>
    <t>Gao</t>
  </si>
  <si>
    <t>GAO</t>
  </si>
  <si>
    <t>Chen</t>
  </si>
  <si>
    <t>Honghe</t>
  </si>
  <si>
    <t>Wei</t>
  </si>
  <si>
    <t>Li</t>
  </si>
  <si>
    <t>Zhao</t>
  </si>
  <si>
    <t>Kong</t>
  </si>
  <si>
    <t>Zhang Shu</t>
  </si>
  <si>
    <t>Teng</t>
  </si>
  <si>
    <t>Fan</t>
  </si>
  <si>
    <t>FU</t>
  </si>
  <si>
    <t>Kai</t>
  </si>
  <si>
    <t>QIN</t>
  </si>
  <si>
    <t>Yu</t>
  </si>
  <si>
    <t>Qishan</t>
  </si>
  <si>
    <t>Xxinge</t>
  </si>
  <si>
    <t>Xu</t>
  </si>
  <si>
    <t>YOU</t>
  </si>
  <si>
    <t>Sanya</t>
  </si>
  <si>
    <t>Rekha</t>
  </si>
  <si>
    <t>Dane</t>
  </si>
  <si>
    <t>Jana</t>
  </si>
  <si>
    <t>Daniel J.</t>
  </si>
  <si>
    <t>Daniel R.</t>
  </si>
  <si>
    <t>Daniel W.</t>
  </si>
  <si>
    <t>Liuyu</t>
  </si>
  <si>
    <t>Monique</t>
  </si>
  <si>
    <t>Dave</t>
  </si>
  <si>
    <t>Mr. Samy L.A.</t>
  </si>
  <si>
    <t>Charles P.</t>
  </si>
  <si>
    <t>Murray</t>
  </si>
  <si>
    <t>Graham</t>
  </si>
  <si>
    <t>Oksana</t>
  </si>
  <si>
    <t>Dean</t>
  </si>
  <si>
    <t>Andrea</t>
  </si>
  <si>
    <t>Gustavo</t>
  </si>
  <si>
    <t>Roni</t>
  </si>
  <si>
    <t>Chelsey</t>
  </si>
  <si>
    <t>İsmail</t>
  </si>
  <si>
    <t>Bharat</t>
  </si>
  <si>
    <t>Shiwei</t>
  </si>
  <si>
    <t>Ty</t>
  </si>
  <si>
    <t>Aimee</t>
  </si>
  <si>
    <t>Hüseyin</t>
  </si>
  <si>
    <t>Mario Alfonso</t>
  </si>
  <si>
    <t>Sang</t>
  </si>
  <si>
    <t>Svasti Rishabh</t>
  </si>
  <si>
    <t>Djaner</t>
  </si>
  <si>
    <t>Don, Craig &amp; Kristi</t>
  </si>
  <si>
    <t>Don</t>
  </si>
  <si>
    <t>Howard</t>
  </si>
  <si>
    <t>Donald Linn</t>
  </si>
  <si>
    <t>Kelly</t>
  </si>
  <si>
    <t>Abby</t>
  </si>
  <si>
    <t>John A</t>
  </si>
  <si>
    <t>Doug</t>
  </si>
  <si>
    <t>Pankaj</t>
  </si>
  <si>
    <t>Mitchell</t>
  </si>
  <si>
    <t>Dante</t>
  </si>
  <si>
    <t>Ashley</t>
  </si>
  <si>
    <t>Marco Arturo</t>
  </si>
  <si>
    <t>Nancy</t>
  </si>
  <si>
    <t>Jamie</t>
  </si>
  <si>
    <t>Jeromy</t>
  </si>
  <si>
    <t>Katelyn</t>
  </si>
  <si>
    <t>Lance</t>
  </si>
  <si>
    <t>Peter</t>
  </si>
  <si>
    <t>Heman</t>
  </si>
  <si>
    <t>Kelli</t>
  </si>
  <si>
    <t>Ajay</t>
  </si>
  <si>
    <t>Gino Michael</t>
  </si>
  <si>
    <t>Alex</t>
  </si>
  <si>
    <t>Mr. Anmol</t>
  </si>
  <si>
    <t>Saroj</t>
  </si>
  <si>
    <t>Atul</t>
  </si>
  <si>
    <t>Ed</t>
  </si>
  <si>
    <t>Lyndsy</t>
  </si>
  <si>
    <t>Edwin F</t>
  </si>
  <si>
    <t>Edwin</t>
  </si>
  <si>
    <t>ABDURRAHMAN</t>
  </si>
  <si>
    <t>Lorraine</t>
  </si>
  <si>
    <t>Amanda</t>
  </si>
  <si>
    <t>Jared</t>
  </si>
  <si>
    <t>Javier Dante</t>
  </si>
  <si>
    <t>Chakraphong</t>
  </si>
  <si>
    <t>Arystan Kuanyshuly</t>
  </si>
  <si>
    <t>Yeong Sik</t>
  </si>
  <si>
    <t>Steve St.</t>
  </si>
  <si>
    <t>Jerod</t>
  </si>
  <si>
    <t>ENVER</t>
  </si>
  <si>
    <t>Hendsel</t>
  </si>
  <si>
    <t>Fred</t>
  </si>
  <si>
    <t>Agustin</t>
  </si>
  <si>
    <t>Jemy</t>
  </si>
  <si>
    <t>Josef</t>
  </si>
  <si>
    <t>Shahzad</t>
  </si>
  <si>
    <t>Umair</t>
  </si>
  <si>
    <t>Ayuni Shazwani</t>
  </si>
  <si>
    <t>Duane</t>
  </si>
  <si>
    <t>Dianne</t>
  </si>
  <si>
    <t>Luis</t>
  </si>
  <si>
    <t>Steve, Dana, Luke</t>
  </si>
  <si>
    <t>Varunee</t>
  </si>
  <si>
    <t>Jordan</t>
  </si>
  <si>
    <t>Todd</t>
  </si>
  <si>
    <t>Rose</t>
  </si>
  <si>
    <t>Jim</t>
  </si>
  <si>
    <t>Heidi</t>
  </si>
  <si>
    <t>Gregory</t>
  </si>
  <si>
    <t>Matt</t>
  </si>
  <si>
    <t>Viral</t>
  </si>
  <si>
    <t>John, Sara</t>
  </si>
  <si>
    <t>John &amp; Sara</t>
  </si>
  <si>
    <t>Moyses</t>
  </si>
  <si>
    <t>Cacia</t>
  </si>
  <si>
    <t>Sylvie &amp; Richard</t>
  </si>
  <si>
    <t>LUIS</t>
  </si>
  <si>
    <t>Branka</t>
  </si>
  <si>
    <t>Keith</t>
  </si>
  <si>
    <t>Meera</t>
  </si>
  <si>
    <t>Ecem</t>
  </si>
  <si>
    <t>Marvin</t>
  </si>
  <si>
    <t>Colby</t>
  </si>
  <si>
    <t>Samir</t>
  </si>
  <si>
    <t>Edulfo</t>
  </si>
  <si>
    <t>Xushan</t>
  </si>
  <si>
    <t>Liuli</t>
  </si>
  <si>
    <t>Thuan Dang</t>
  </si>
  <si>
    <t>Gaurav</t>
  </si>
  <si>
    <t>Ananya</t>
  </si>
  <si>
    <t>Benny</t>
  </si>
  <si>
    <t>Loris</t>
  </si>
  <si>
    <t>T. Lyle</t>
  </si>
  <si>
    <t>T.Lyle</t>
  </si>
  <si>
    <t>Mother Marie</t>
  </si>
  <si>
    <t>Tara</t>
  </si>
  <si>
    <t>Jacquelyn</t>
  </si>
  <si>
    <t>Daniella</t>
  </si>
  <si>
    <t>Dominic</t>
  </si>
  <si>
    <t>Amber</t>
  </si>
  <si>
    <t>Bo</t>
  </si>
  <si>
    <t>Ramesh</t>
  </si>
  <si>
    <t>Alexandra</t>
  </si>
  <si>
    <t>Panwen</t>
  </si>
  <si>
    <t>Jack</t>
  </si>
  <si>
    <t>Ciara</t>
  </si>
  <si>
    <t>Lesa</t>
  </si>
  <si>
    <t>Satveer</t>
  </si>
  <si>
    <t>Shahid Hussain</t>
  </si>
  <si>
    <t>Reuvie</t>
  </si>
  <si>
    <t>Veronica</t>
  </si>
  <si>
    <t>Jitendra</t>
  </si>
  <si>
    <t>Huanzhong</t>
  </si>
  <si>
    <t>Kenneth (KD)</t>
  </si>
  <si>
    <t>LUCIANO</t>
  </si>
  <si>
    <t>Gayle</t>
  </si>
  <si>
    <t>German</t>
  </si>
  <si>
    <t>Dale</t>
  </si>
  <si>
    <t>Phimkhot</t>
  </si>
  <si>
    <t>Hannah</t>
  </si>
  <si>
    <t>Sewchaiyaphum</t>
  </si>
  <si>
    <t>Can.cao</t>
  </si>
  <si>
    <t>Geoffrey</t>
  </si>
  <si>
    <t>Karin</t>
  </si>
  <si>
    <t>Agrawal</t>
  </si>
  <si>
    <t>Hao</t>
  </si>
  <si>
    <t>Yoshiyuki</t>
  </si>
  <si>
    <t>Akel</t>
  </si>
  <si>
    <t>Ma</t>
  </si>
  <si>
    <t>Alonso</t>
  </si>
  <si>
    <t>Barış</t>
  </si>
  <si>
    <t>Bavesh</t>
  </si>
  <si>
    <t>Bryan</t>
  </si>
  <si>
    <t>Faizan</t>
  </si>
  <si>
    <t>Lucas J.</t>
  </si>
  <si>
    <t>Carla</t>
  </si>
  <si>
    <t>Carlos</t>
  </si>
  <si>
    <t>Taeshaud</t>
  </si>
  <si>
    <t>Monica</t>
  </si>
  <si>
    <t>Bryce</t>
  </si>
  <si>
    <t>Areeya</t>
  </si>
  <si>
    <t>Alejandro</t>
  </si>
  <si>
    <t>Shi</t>
  </si>
  <si>
    <t>Joshua</t>
  </si>
  <si>
    <t>Kris</t>
  </si>
  <si>
    <t>Sunil</t>
  </si>
  <si>
    <t>Oswaldo</t>
  </si>
  <si>
    <t>Nathan</t>
  </si>
  <si>
    <t>Janelle</t>
  </si>
  <si>
    <t>Suji</t>
  </si>
  <si>
    <t>Chong Khai Wah</t>
  </si>
  <si>
    <t>Francisco Arliz</t>
  </si>
  <si>
    <t>Alber</t>
  </si>
  <si>
    <t>Lindsay</t>
  </si>
  <si>
    <t>Graysen</t>
  </si>
  <si>
    <t>Laikin</t>
  </si>
  <si>
    <t>Clinton</t>
  </si>
  <si>
    <t>Eliot</t>
  </si>
  <si>
    <t>JACQUELINE ANA</t>
  </si>
  <si>
    <t>Tony</t>
  </si>
  <si>
    <t>Khurana</t>
  </si>
  <si>
    <t>Vineet</t>
  </si>
  <si>
    <t>Masood</t>
  </si>
  <si>
    <t>Tyler</t>
  </si>
  <si>
    <t>Hector</t>
  </si>
  <si>
    <t>David L , Vernon L</t>
  </si>
  <si>
    <t>Anish</t>
  </si>
  <si>
    <t>Dittapong</t>
  </si>
  <si>
    <t>Carolyn</t>
  </si>
  <si>
    <t>Michele</t>
  </si>
  <si>
    <t>Tristan</t>
  </si>
  <si>
    <t>Twila</t>
  </si>
  <si>
    <t>Nicolas</t>
  </si>
  <si>
    <t>Robin</t>
  </si>
  <si>
    <t>Avinash</t>
  </si>
  <si>
    <t>Eliseo</t>
  </si>
  <si>
    <t>Jorge André</t>
  </si>
  <si>
    <t>Leonardo</t>
  </si>
  <si>
    <t>Srikanth</t>
  </si>
  <si>
    <t>Owais G.</t>
  </si>
  <si>
    <t>Chang</t>
  </si>
  <si>
    <t>Deng</t>
  </si>
  <si>
    <t>Vanessa</t>
  </si>
  <si>
    <t>Ryuji</t>
  </si>
  <si>
    <t>Jinrong</t>
  </si>
  <si>
    <t>Harlan</t>
  </si>
  <si>
    <t>Mallikarjun</t>
  </si>
  <si>
    <t>Claudia</t>
  </si>
  <si>
    <t>Mr. Ajeet</t>
  </si>
  <si>
    <t>Erin</t>
  </si>
  <si>
    <t>Amna</t>
  </si>
  <si>
    <t>Gehan</t>
  </si>
  <si>
    <t>Sanjay</t>
  </si>
  <si>
    <t>Phillip</t>
  </si>
  <si>
    <t>Sreekantha</t>
  </si>
  <si>
    <t>Nita</t>
  </si>
  <si>
    <t>Cecila</t>
  </si>
  <si>
    <t>Barbara</t>
  </si>
  <si>
    <t>Serena</t>
  </si>
  <si>
    <t>Chuntao</t>
  </si>
  <si>
    <t>Shuangshuang</t>
  </si>
  <si>
    <t>Vicki</t>
  </si>
  <si>
    <t>ALFREDO</t>
  </si>
  <si>
    <t>Kimberly</t>
  </si>
  <si>
    <t>Glen</t>
  </si>
  <si>
    <t>Suzanne</t>
  </si>
  <si>
    <t>Macarena</t>
  </si>
  <si>
    <t>Douglas</t>
  </si>
  <si>
    <t>Mr Naveen</t>
  </si>
  <si>
    <t>Anil</t>
  </si>
  <si>
    <t>Bridget</t>
  </si>
  <si>
    <t>Brent</t>
  </si>
  <si>
    <t>Hanif</t>
  </si>
  <si>
    <t>Tri</t>
  </si>
  <si>
    <t>Tu</t>
  </si>
  <si>
    <t>Le</t>
  </si>
  <si>
    <t>Chelsea</t>
  </si>
  <si>
    <t>Tabitha</t>
  </si>
  <si>
    <t>Kari</t>
  </si>
  <si>
    <t>Anke</t>
  </si>
  <si>
    <t>Margie</t>
  </si>
  <si>
    <t>Stuart</t>
  </si>
  <si>
    <t>Cody</t>
  </si>
  <si>
    <t>Joel</t>
  </si>
  <si>
    <t>Rob</t>
  </si>
  <si>
    <t>Zhihua</t>
  </si>
  <si>
    <t>Muhammad Zahid</t>
  </si>
  <si>
    <t>Jason W.</t>
  </si>
  <si>
    <t>Marlys "Kit"</t>
  </si>
  <si>
    <t>Gurpreet</t>
  </si>
  <si>
    <t>Triston</t>
  </si>
  <si>
    <t>Naia</t>
  </si>
  <si>
    <t>GABRIELA</t>
  </si>
  <si>
    <t>Ivan Alejandro</t>
  </si>
  <si>
    <t>Frederic</t>
  </si>
  <si>
    <t>FRANCISCO MARTIN</t>
  </si>
  <si>
    <t>Keyona</t>
  </si>
  <si>
    <t>Peide</t>
  </si>
  <si>
    <t>Lu</t>
  </si>
  <si>
    <t>Geoff</t>
  </si>
  <si>
    <t>Rocco</t>
  </si>
  <si>
    <t>Sam</t>
  </si>
  <si>
    <t>RODRIGO</t>
  </si>
  <si>
    <t>Allen</t>
  </si>
  <si>
    <t>Fredrica</t>
  </si>
  <si>
    <t>Lily</t>
  </si>
  <si>
    <t>Julio</t>
  </si>
  <si>
    <t>ATREYU ANTONIO</t>
  </si>
  <si>
    <t>Hakan</t>
  </si>
  <si>
    <t>Khakhanang</t>
  </si>
  <si>
    <t>Martha Ximena</t>
  </si>
  <si>
    <t>Cecilia</t>
  </si>
  <si>
    <t>Deepak</t>
  </si>
  <si>
    <t>Narayana</t>
  </si>
  <si>
    <t>İnanç</t>
  </si>
  <si>
    <t>NEVRIYE</t>
  </si>
  <si>
    <t>J. Isaac</t>
  </si>
  <si>
    <t>Oscar</t>
  </si>
  <si>
    <t>Lucio N.</t>
  </si>
  <si>
    <t>Lawrence "Larry"</t>
  </si>
  <si>
    <t>Sachin Rameshwar</t>
  </si>
  <si>
    <t>Girish</t>
  </si>
  <si>
    <t>Ajit</t>
  </si>
  <si>
    <t>Prerna</t>
  </si>
  <si>
    <t>Jill</t>
  </si>
  <si>
    <t>Kathy</t>
  </si>
  <si>
    <t>Tanchanok</t>
  </si>
  <si>
    <t>Vijay</t>
  </si>
  <si>
    <t>Margarita</t>
  </si>
  <si>
    <t>Rafael</t>
  </si>
  <si>
    <t>Jian</t>
  </si>
  <si>
    <t>Jilin</t>
  </si>
  <si>
    <t>Tonghan</t>
  </si>
  <si>
    <t>Joe L.</t>
  </si>
  <si>
    <t>John D</t>
  </si>
  <si>
    <t>Philip</t>
  </si>
  <si>
    <t>Danielle</t>
  </si>
  <si>
    <t>Luis Miguel</t>
  </si>
  <si>
    <t>Mr. Naresh</t>
  </si>
  <si>
    <t>Bhagwan</t>
  </si>
  <si>
    <t>Ryota</t>
  </si>
  <si>
    <t>ALHASSAN</t>
  </si>
  <si>
    <t>Brad</t>
  </si>
  <si>
    <t>Rodrigo</t>
  </si>
  <si>
    <t>Wade</t>
  </si>
  <si>
    <t>Mathew</t>
  </si>
  <si>
    <t>Guyneth</t>
  </si>
  <si>
    <t>Keith F.</t>
  </si>
  <si>
    <t>Ricardo</t>
  </si>
  <si>
    <t>Meryl</t>
  </si>
  <si>
    <t>Kenton</t>
  </si>
  <si>
    <t>Shawn</t>
  </si>
  <si>
    <t>Floyd</t>
  </si>
  <si>
    <t>Chad</t>
  </si>
  <si>
    <t>Kerwin</t>
  </si>
  <si>
    <t>Chengquan</t>
  </si>
  <si>
    <t>Takaaki "DJ"</t>
  </si>
  <si>
    <t>Abdul</t>
  </si>
  <si>
    <t>Chaisiri</t>
  </si>
  <si>
    <t>Albert</t>
  </si>
  <si>
    <t>Karen</t>
  </si>
  <si>
    <t>Ruechai</t>
  </si>
  <si>
    <t>Edgar</t>
  </si>
  <si>
    <t>Apolinar Choquecallata</t>
  </si>
  <si>
    <t>Karem</t>
  </si>
  <si>
    <t>Laura</t>
  </si>
  <si>
    <t>Umesh</t>
  </si>
  <si>
    <t>Klaas</t>
  </si>
  <si>
    <t>Ross</t>
  </si>
  <si>
    <t>Lyndon</t>
  </si>
  <si>
    <t>Madan Mohan</t>
  </si>
  <si>
    <t>Harpinder</t>
  </si>
  <si>
    <t>Sonat</t>
  </si>
  <si>
    <t>Jennifer</t>
  </si>
  <si>
    <t>Ronwarit</t>
  </si>
  <si>
    <t>Melonie</t>
  </si>
  <si>
    <t>Heather</t>
  </si>
  <si>
    <t>Jolene</t>
  </si>
  <si>
    <t>Darin</t>
  </si>
  <si>
    <t>Thomas</t>
  </si>
  <si>
    <t>Priscilla</t>
  </si>
  <si>
    <t>Alexis</t>
  </si>
  <si>
    <t>Alessandra</t>
  </si>
  <si>
    <t>Verlin</t>
  </si>
  <si>
    <t>Mary-Howell</t>
  </si>
  <si>
    <t>Mark, Alan, Raymond</t>
  </si>
  <si>
    <t>James R</t>
  </si>
  <si>
    <t>Vinton</t>
  </si>
  <si>
    <t>Leon</t>
  </si>
  <si>
    <t>Chonlada</t>
  </si>
  <si>
    <t>Cristian</t>
  </si>
  <si>
    <t>Ariela</t>
  </si>
  <si>
    <t>Cheryl A.</t>
  </si>
  <si>
    <t>Cory</t>
  </si>
  <si>
    <t>Mr. MEHDI</t>
  </si>
  <si>
    <t>Alexander</t>
  </si>
  <si>
    <t>Huang</t>
  </si>
  <si>
    <t>Xinyu</t>
  </si>
  <si>
    <t>Chesky</t>
  </si>
  <si>
    <t>Usa</t>
  </si>
  <si>
    <t>Dr. Jesse</t>
  </si>
  <si>
    <t>Ilona</t>
  </si>
  <si>
    <t>Lloyd</t>
  </si>
  <si>
    <t>Pocheng</t>
  </si>
  <si>
    <t>Simeon</t>
  </si>
  <si>
    <t>Loren</t>
  </si>
  <si>
    <t>Diego Armando</t>
  </si>
  <si>
    <t>Dudiak</t>
  </si>
  <si>
    <t>Dao</t>
  </si>
  <si>
    <t>Nickie</t>
  </si>
  <si>
    <t>Randa</t>
  </si>
  <si>
    <t>Mr. Subham</t>
  </si>
  <si>
    <t>Mahammad</t>
  </si>
  <si>
    <t>Rachel</t>
  </si>
  <si>
    <t>Bhavin Kumar</t>
  </si>
  <si>
    <t>Marcelo</t>
  </si>
  <si>
    <t>Bruce</t>
  </si>
  <si>
    <t>Özgür</t>
  </si>
  <si>
    <t>Brad L</t>
  </si>
  <si>
    <t>Giannina</t>
  </si>
  <si>
    <t>Brendan</t>
  </si>
  <si>
    <t>Mariajose</t>
  </si>
  <si>
    <t>Marilson</t>
  </si>
  <si>
    <t>Ana</t>
  </si>
  <si>
    <t>Maritza</t>
  </si>
  <si>
    <t>Mark S.</t>
  </si>
  <si>
    <t>Marlin</t>
  </si>
  <si>
    <t>Marlo</t>
  </si>
  <si>
    <t>Greg &amp; Betsy</t>
  </si>
  <si>
    <t>Martin</t>
  </si>
  <si>
    <t>Nicholas</t>
  </si>
  <si>
    <t>Saurabh</t>
  </si>
  <si>
    <t>Lizbeth</t>
  </si>
  <si>
    <t>Galarza</t>
  </si>
  <si>
    <t>Bill</t>
  </si>
  <si>
    <t>Dharmishtha</t>
  </si>
  <si>
    <t>Melinda</t>
  </si>
  <si>
    <t>Gregg</t>
  </si>
  <si>
    <t>Ron</t>
  </si>
  <si>
    <t>Watcharaphon</t>
  </si>
  <si>
    <t>Rohit</t>
  </si>
  <si>
    <t>Mia</t>
  </si>
  <si>
    <t>Roger</t>
  </si>
  <si>
    <t>Michael Tod</t>
  </si>
  <si>
    <t>Carliegh &amp; Rick</t>
  </si>
  <si>
    <t>Barrett</t>
  </si>
  <si>
    <t>Luciano</t>
  </si>
  <si>
    <t>Neelam</t>
  </si>
  <si>
    <t>Sara</t>
  </si>
  <si>
    <t>Ronald</t>
  </si>
  <si>
    <t>Araceli</t>
  </si>
  <si>
    <t>Mr Wumbei</t>
  </si>
  <si>
    <t>JJ</t>
  </si>
  <si>
    <t>Katia</t>
  </si>
  <si>
    <t>Shijoy</t>
  </si>
  <si>
    <t>Erika</t>
  </si>
  <si>
    <t>Natalia</t>
  </si>
  <si>
    <t>Jordon "Jordie"</t>
  </si>
  <si>
    <t>Monroe</t>
  </si>
  <si>
    <t>Andre</t>
  </si>
  <si>
    <t>Gary</t>
  </si>
  <si>
    <t>Krithika</t>
  </si>
  <si>
    <t>Morehouse</t>
  </si>
  <si>
    <t>Hideki</t>
  </si>
  <si>
    <t>Santosh</t>
  </si>
  <si>
    <t>Leonard</t>
  </si>
  <si>
    <t>Joanne</t>
  </si>
  <si>
    <t>Helen, Gerald</t>
  </si>
  <si>
    <t>Olga</t>
  </si>
  <si>
    <t>Elizabeth</t>
  </si>
  <si>
    <t>Owen</t>
  </si>
  <si>
    <t>Annie</t>
  </si>
  <si>
    <t>Tina</t>
  </si>
  <si>
    <t>Wipada</t>
  </si>
  <si>
    <t>Mr. Yogesh</t>
  </si>
  <si>
    <t>Patin</t>
  </si>
  <si>
    <t>Terrance</t>
  </si>
  <si>
    <t>Massiel Elvira</t>
  </si>
  <si>
    <t>Roberto</t>
  </si>
  <si>
    <t>Lonnie</t>
  </si>
  <si>
    <t>Deniz</t>
  </si>
  <si>
    <t>Wilma</t>
  </si>
  <si>
    <t>Sharon</t>
  </si>
  <si>
    <t>Helen</t>
  </si>
  <si>
    <t>Tan</t>
  </si>
  <si>
    <t>Marisol</t>
  </si>
  <si>
    <t>Erica</t>
  </si>
  <si>
    <t>Swelen</t>
  </si>
  <si>
    <t>Mr.Virendra</t>
  </si>
  <si>
    <t>Mukesh</t>
  </si>
  <si>
    <t>Amit</t>
  </si>
  <si>
    <t>Godara</t>
  </si>
  <si>
    <t>Sandy</t>
  </si>
  <si>
    <t>Cheung</t>
  </si>
  <si>
    <t>July</t>
  </si>
  <si>
    <t>Vikas</t>
  </si>
  <si>
    <t>Han</t>
  </si>
  <si>
    <t>Men</t>
  </si>
  <si>
    <t>Uri</t>
  </si>
  <si>
    <t>Tionne</t>
  </si>
  <si>
    <t>Angela</t>
  </si>
  <si>
    <t>Tracy</t>
  </si>
  <si>
    <t>Jamee</t>
  </si>
  <si>
    <t>Yik po</t>
  </si>
  <si>
    <t>Amberly</t>
  </si>
  <si>
    <t>Ratipan</t>
  </si>
  <si>
    <t>Ratdaphorn</t>
  </si>
  <si>
    <t>Leonardo A.</t>
  </si>
  <si>
    <t>P Piyasena</t>
  </si>
  <si>
    <t>Chandan</t>
  </si>
  <si>
    <t>Dick</t>
  </si>
  <si>
    <t>QA Manager</t>
  </si>
  <si>
    <t>Nirmal Kumar</t>
  </si>
  <si>
    <t>Sasawan</t>
  </si>
  <si>
    <t>Norman</t>
  </si>
  <si>
    <t>Timothy</t>
  </si>
  <si>
    <t>Autumn</t>
  </si>
  <si>
    <t>Savana</t>
  </si>
  <si>
    <t>Kathryn</t>
  </si>
  <si>
    <t>Paulo</t>
  </si>
  <si>
    <t>Osman</t>
  </si>
  <si>
    <t>Ladda</t>
  </si>
  <si>
    <t>José Diego</t>
  </si>
  <si>
    <t>Joyman</t>
  </si>
  <si>
    <t>Timothy E</t>
  </si>
  <si>
    <t>Vincenzo</t>
  </si>
  <si>
    <t>Clare</t>
  </si>
  <si>
    <t>Joris</t>
  </si>
  <si>
    <t>Cathy</t>
  </si>
  <si>
    <t>Yannis</t>
  </si>
  <si>
    <t>Durga</t>
  </si>
  <si>
    <t>Ean Hien Voon</t>
  </si>
  <si>
    <t>Ubonrat</t>
  </si>
  <si>
    <t>Steve &amp; Stacey</t>
  </si>
  <si>
    <t>Omer</t>
  </si>
  <si>
    <t>Balram</t>
  </si>
  <si>
    <t>Johnny</t>
  </si>
  <si>
    <t>Annette</t>
  </si>
  <si>
    <t>Sudhendra</t>
  </si>
  <si>
    <t>Smita</t>
  </si>
  <si>
    <t>Krishnakant</t>
  </si>
  <si>
    <t>Xiao</t>
  </si>
  <si>
    <t>Huong Giang</t>
  </si>
  <si>
    <t>Sandeep</t>
  </si>
  <si>
    <t>Cem</t>
  </si>
  <si>
    <t>Luis Mauri</t>
  </si>
  <si>
    <t>Fikriye</t>
  </si>
  <si>
    <t>Salma</t>
  </si>
  <si>
    <t>Raul</t>
  </si>
  <si>
    <t>Noortje</t>
  </si>
  <si>
    <t>Karl</t>
  </si>
  <si>
    <t>Lee</t>
  </si>
  <si>
    <t>Gulam</t>
  </si>
  <si>
    <t>Supagit</t>
  </si>
  <si>
    <t>Hillary</t>
  </si>
  <si>
    <t>Leah</t>
  </si>
  <si>
    <t>Renhong</t>
  </si>
  <si>
    <t>Aurora</t>
  </si>
  <si>
    <t>Paul Zimmerman,</t>
  </si>
  <si>
    <t>Audrey</t>
  </si>
  <si>
    <t>Lester</t>
  </si>
  <si>
    <t>Fr. Jilson</t>
  </si>
  <si>
    <t>Oleksandr</t>
  </si>
  <si>
    <t>Rahees</t>
  </si>
  <si>
    <t>Hemantha</t>
  </si>
  <si>
    <t>Alberto</t>
  </si>
  <si>
    <t>Bret or Randy</t>
  </si>
  <si>
    <t>Sitta</t>
  </si>
  <si>
    <t>Doug &amp; Jeremy</t>
  </si>
  <si>
    <t>Jorge Luis</t>
  </si>
  <si>
    <t>Teodoro</t>
  </si>
  <si>
    <t>MARK</t>
  </si>
  <si>
    <t>Virginia-Bibb</t>
  </si>
  <si>
    <t>Vishwesh</t>
  </si>
  <si>
    <t>Ngamlert</t>
  </si>
  <si>
    <t>Meryem</t>
  </si>
  <si>
    <t>Spencer</t>
  </si>
  <si>
    <t>Celso</t>
  </si>
  <si>
    <t>Rawee</t>
  </si>
  <si>
    <t>Will</t>
  </si>
  <si>
    <t>Brent, Kendall, Emily, Colby</t>
  </si>
  <si>
    <t>Natthasith</t>
  </si>
  <si>
    <t>Travis</t>
  </si>
  <si>
    <t>Darcie</t>
  </si>
  <si>
    <t>Devan</t>
  </si>
  <si>
    <t>Pat V.</t>
  </si>
  <si>
    <t>Aaron J.</t>
  </si>
  <si>
    <t>Lisa</t>
  </si>
  <si>
    <t>Allison</t>
  </si>
  <si>
    <t>Asher</t>
  </si>
  <si>
    <t>Lou</t>
  </si>
  <si>
    <t>Liliana</t>
  </si>
  <si>
    <t>Varun</t>
  </si>
  <si>
    <t>Sanath</t>
  </si>
  <si>
    <t>Mindy</t>
  </si>
  <si>
    <t>Eniel</t>
  </si>
  <si>
    <t>ARTURO ALEJANDRO</t>
  </si>
  <si>
    <t>Fabian Rolando</t>
  </si>
  <si>
    <t>Pablo Daniel</t>
  </si>
  <si>
    <t>Beth</t>
  </si>
  <si>
    <t>Max Hoover</t>
  </si>
  <si>
    <t>Antar</t>
  </si>
  <si>
    <t>Pryor</t>
  </si>
  <si>
    <t>Antonia</t>
  </si>
  <si>
    <t>Julie</t>
  </si>
  <si>
    <t>Tribhuvan</t>
  </si>
  <si>
    <t>Dakota</t>
  </si>
  <si>
    <t>Jinzhou</t>
  </si>
  <si>
    <t>Xingmei</t>
  </si>
  <si>
    <t>Xin</t>
  </si>
  <si>
    <t>Xiufang</t>
  </si>
  <si>
    <t>Yanting</t>
  </si>
  <si>
    <t>Sophia</t>
  </si>
  <si>
    <t>Yongfeng</t>
  </si>
  <si>
    <t>Gonzalo Manuel</t>
  </si>
  <si>
    <t>Eduardo</t>
  </si>
  <si>
    <t>M. Raul</t>
  </si>
  <si>
    <t>Jenny</t>
  </si>
  <si>
    <t>Juan Pablo</t>
  </si>
  <si>
    <t>Echenique</t>
  </si>
  <si>
    <t>L. Wilson</t>
  </si>
  <si>
    <t>Robert "Corky"</t>
  </si>
  <si>
    <t>Heidy</t>
  </si>
  <si>
    <t>Mr.Sumil</t>
  </si>
  <si>
    <t>Marcus</t>
  </si>
  <si>
    <t>Randall</t>
  </si>
  <si>
    <t>Raj</t>
  </si>
  <si>
    <t>Mr. Jasmin</t>
  </si>
  <si>
    <t>Gregory L.</t>
  </si>
  <si>
    <t>Ray</t>
  </si>
  <si>
    <t>Elliot</t>
  </si>
  <si>
    <t>Christophe</t>
  </si>
  <si>
    <t>Darrin A.</t>
  </si>
  <si>
    <t>Dana</t>
  </si>
  <si>
    <t>Michael A</t>
  </si>
  <si>
    <t>Jeffrey</t>
  </si>
  <si>
    <t>Angel</t>
  </si>
  <si>
    <t>Ahmed</t>
  </si>
  <si>
    <t>Piyawadee</t>
  </si>
  <si>
    <t>Titi</t>
  </si>
  <si>
    <t>Vanick</t>
  </si>
  <si>
    <t>Ritika</t>
  </si>
  <si>
    <t>Dustin</t>
  </si>
  <si>
    <t>Jenifer</t>
  </si>
  <si>
    <t>MANUEL</t>
  </si>
  <si>
    <t>Ayman</t>
  </si>
  <si>
    <t>Jonathan</t>
  </si>
  <si>
    <t>Leisha</t>
  </si>
  <si>
    <t>Aaron P.</t>
  </si>
  <si>
    <t>Lynda</t>
  </si>
  <si>
    <t>Cy</t>
  </si>
  <si>
    <t>Carole</t>
  </si>
  <si>
    <t>Rick</t>
  </si>
  <si>
    <t>Samy</t>
  </si>
  <si>
    <t>Bhagraj</t>
  </si>
  <si>
    <t>Garrett</t>
  </si>
  <si>
    <t>Mithlesh</t>
  </si>
  <si>
    <t>Suzie</t>
  </si>
  <si>
    <t>Russ and Michelle</t>
  </si>
  <si>
    <t>Sean</t>
  </si>
  <si>
    <t>Ry &amp; Cassie</t>
  </si>
  <si>
    <t>Stacy</t>
  </si>
  <si>
    <t>Ericka</t>
  </si>
  <si>
    <t>Thi</t>
  </si>
  <si>
    <t>Purushothama</t>
  </si>
  <si>
    <t>Pengtao</t>
  </si>
  <si>
    <t>Sam S.</t>
  </si>
  <si>
    <t>Jai</t>
  </si>
  <si>
    <t>Mandy</t>
  </si>
  <si>
    <t>Ashish Chhajer</t>
  </si>
  <si>
    <t>Nathuram</t>
  </si>
  <si>
    <t>Rakesh</t>
  </si>
  <si>
    <t>Mr. Prashant</t>
  </si>
  <si>
    <t>Sandra Iris</t>
  </si>
  <si>
    <t>Caroline</t>
  </si>
  <si>
    <t>Sanjaya</t>
  </si>
  <si>
    <t>Jagath</t>
  </si>
  <si>
    <t>Fabio</t>
  </si>
  <si>
    <t>Linda</t>
  </si>
  <si>
    <t>Gayatri</t>
  </si>
  <si>
    <t>Yogesh</t>
  </si>
  <si>
    <t>Volodymyr Sergijovych</t>
  </si>
  <si>
    <t>Clay</t>
  </si>
  <si>
    <t>Zach</t>
  </si>
  <si>
    <t>Catherine &amp; Michael</t>
  </si>
  <si>
    <t>Tracey</t>
  </si>
  <si>
    <t>Dongpa</t>
  </si>
  <si>
    <t>Troy</t>
  </si>
  <si>
    <t>ROSA MARIA</t>
  </si>
  <si>
    <t>Yousuf</t>
  </si>
  <si>
    <t>Lucas</t>
  </si>
  <si>
    <t>Seungjun</t>
  </si>
  <si>
    <t>Carina</t>
  </si>
  <si>
    <t>Inigo</t>
  </si>
  <si>
    <t>Hafiz</t>
  </si>
  <si>
    <t>Yasir</t>
  </si>
  <si>
    <t>Afghan</t>
  </si>
  <si>
    <t>WILBER MICHEL</t>
  </si>
  <si>
    <t>Zhuo</t>
  </si>
  <si>
    <t>Weizhen</t>
  </si>
  <si>
    <t>RICHA</t>
  </si>
  <si>
    <t>Shrinath</t>
  </si>
  <si>
    <t>Kunal</t>
  </si>
  <si>
    <t>Tristaun</t>
  </si>
  <si>
    <t>Paramjeet</t>
  </si>
  <si>
    <t>Arpit</t>
  </si>
  <si>
    <t>Jun</t>
  </si>
  <si>
    <t>Ke</t>
  </si>
  <si>
    <t>Akshay Omprakash</t>
  </si>
  <si>
    <t>Harrison</t>
  </si>
  <si>
    <t>Conner</t>
  </si>
  <si>
    <t>Chan Chan</t>
  </si>
  <si>
    <t>Jihad</t>
  </si>
  <si>
    <t>Mehtap</t>
  </si>
  <si>
    <t>SARELA</t>
  </si>
  <si>
    <t>Sarela</t>
  </si>
  <si>
    <t>Raul Grover</t>
  </si>
  <si>
    <t>Aziz</t>
  </si>
  <si>
    <t>Zack</t>
  </si>
  <si>
    <t>Teodocio</t>
  </si>
  <si>
    <t>Manish</t>
  </si>
  <si>
    <t>Dararat</t>
  </si>
  <si>
    <t>Sandip</t>
  </si>
  <si>
    <t>Arjan</t>
  </si>
  <si>
    <t>Gideon Okorie</t>
  </si>
  <si>
    <t>Fridolino</t>
  </si>
  <si>
    <t>Ariel</t>
  </si>
  <si>
    <t>Liz</t>
  </si>
  <si>
    <t>Kayla</t>
  </si>
  <si>
    <t>Tanvir</t>
  </si>
  <si>
    <t>Ashish</t>
  </si>
  <si>
    <t>Kumar.K</t>
  </si>
  <si>
    <t>Mr.Rajshekhar</t>
  </si>
  <si>
    <t>Felix</t>
  </si>
  <si>
    <t>Edward</t>
  </si>
  <si>
    <t>Stafford</t>
  </si>
  <si>
    <t>DIPANKAR</t>
  </si>
  <si>
    <t>Hongbo</t>
  </si>
  <si>
    <t>Steven J.</t>
  </si>
  <si>
    <t>Sorren</t>
  </si>
  <si>
    <t>Colby &amp; John</t>
  </si>
  <si>
    <t>Jonothan</t>
  </si>
  <si>
    <t>ANTONIO GABRIEL</t>
  </si>
  <si>
    <t>Daryl</t>
  </si>
  <si>
    <t>Kyohei</t>
  </si>
  <si>
    <t>Hua</t>
  </si>
  <si>
    <t>Danny Adalid</t>
  </si>
  <si>
    <t>Ana María</t>
  </si>
  <si>
    <t>Christy</t>
  </si>
  <si>
    <t>Mr.Vikram</t>
  </si>
  <si>
    <t>Gauri</t>
  </si>
  <si>
    <t>Amos &amp; Lizzie</t>
  </si>
  <si>
    <t>Tobi</t>
  </si>
  <si>
    <t>Gerson</t>
  </si>
  <si>
    <t>Arnie</t>
  </si>
  <si>
    <t>CJ</t>
  </si>
  <si>
    <t>Pongthep</t>
  </si>
  <si>
    <t>Suryanarayana M</t>
  </si>
  <si>
    <t>Kristin</t>
  </si>
  <si>
    <t>Leslie</t>
  </si>
  <si>
    <t>Warunee</t>
  </si>
  <si>
    <t>Sahid</t>
  </si>
  <si>
    <t>Doan</t>
  </si>
  <si>
    <t>Wiliam</t>
  </si>
  <si>
    <t>Bing</t>
  </si>
  <si>
    <t>Pınar</t>
  </si>
  <si>
    <t>Patricia</t>
  </si>
  <si>
    <t>Dennis J.</t>
  </si>
  <si>
    <t>Nopparat</t>
  </si>
  <si>
    <t>Thanyaporn</t>
  </si>
  <si>
    <t>Auttaset</t>
  </si>
  <si>
    <t>Ruben</t>
  </si>
  <si>
    <t>Jarryd</t>
  </si>
  <si>
    <t>Shayne</t>
  </si>
  <si>
    <t>Ken</t>
  </si>
  <si>
    <t>Sue</t>
  </si>
  <si>
    <t>Katy</t>
  </si>
  <si>
    <t>Alison</t>
  </si>
  <si>
    <t>Anna-Marie</t>
  </si>
  <si>
    <t>Alyona</t>
  </si>
  <si>
    <t>Quin</t>
  </si>
  <si>
    <t>Pedro</t>
  </si>
  <si>
    <t>Mark &amp; Ila</t>
  </si>
  <si>
    <t>Gunther</t>
  </si>
  <si>
    <t>Michael Ethan</t>
  </si>
  <si>
    <t>Cornelius</t>
  </si>
  <si>
    <t>Syed Bilal Ali</t>
  </si>
  <si>
    <t>Shaarawy</t>
  </si>
  <si>
    <t>Shegun</t>
  </si>
  <si>
    <t>Karie</t>
  </si>
  <si>
    <t>Pranee</t>
  </si>
  <si>
    <t>Luu Van</t>
  </si>
  <si>
    <t>Trent</t>
  </si>
  <si>
    <t>Syed</t>
  </si>
  <si>
    <t>Jerry</t>
  </si>
  <si>
    <t>Bhavin Kumar Girishbhai</t>
  </si>
  <si>
    <t>Mariska</t>
  </si>
  <si>
    <t>Maryam</t>
  </si>
  <si>
    <t>Raegan</t>
  </si>
  <si>
    <t>Warren</t>
  </si>
  <si>
    <t>Marion</t>
  </si>
  <si>
    <t>Chris G.</t>
  </si>
  <si>
    <t>Vo Thi Phi</t>
  </si>
  <si>
    <t>Wendy</t>
  </si>
  <si>
    <t>Pranatda</t>
  </si>
  <si>
    <t>Watcharakorn</t>
  </si>
  <si>
    <t>Herr Jorge Luis</t>
  </si>
  <si>
    <t>Saumia</t>
  </si>
  <si>
    <t>Martina</t>
  </si>
  <si>
    <t>Maria Juamie</t>
  </si>
  <si>
    <t>Piyush</t>
  </si>
  <si>
    <t>Claudio</t>
  </si>
  <si>
    <t>University</t>
  </si>
  <si>
    <t>Becca</t>
  </si>
  <si>
    <t>Rogério</t>
  </si>
  <si>
    <t>Apoorv</t>
  </si>
  <si>
    <t>Sunanda</t>
  </si>
  <si>
    <t>Leana</t>
  </si>
  <si>
    <t>Fernando</t>
  </si>
  <si>
    <t>Nichloas</t>
  </si>
  <si>
    <t>Eugene</t>
  </si>
  <si>
    <t>Kamal</t>
  </si>
  <si>
    <t>Shyam</t>
  </si>
  <si>
    <t>Cal</t>
  </si>
  <si>
    <t>Vipul</t>
  </si>
  <si>
    <t>Darla</t>
  </si>
  <si>
    <t>Vernon N.</t>
  </si>
  <si>
    <t>Verónica</t>
  </si>
  <si>
    <t>Nguyen</t>
  </si>
  <si>
    <t>Manoj</t>
  </si>
  <si>
    <t>Nguyen Huu</t>
  </si>
  <si>
    <t>Timothy &amp; Mary Jane</t>
  </si>
  <si>
    <t>Sally</t>
  </si>
  <si>
    <t>Joao Batista Amadeo</t>
  </si>
  <si>
    <t>Mishin</t>
  </si>
  <si>
    <t>Rahul</t>
  </si>
  <si>
    <t>Barry</t>
  </si>
  <si>
    <t>Clint A.</t>
  </si>
  <si>
    <t>Fredrick G.</t>
  </si>
  <si>
    <t>Mao</t>
  </si>
  <si>
    <t>Muyo</t>
  </si>
  <si>
    <t>Efraín</t>
  </si>
  <si>
    <t>Abdullah</t>
  </si>
  <si>
    <t>Sol</t>
  </si>
  <si>
    <t>Bernard</t>
  </si>
  <si>
    <t>Earl</t>
  </si>
  <si>
    <t>Lane</t>
  </si>
  <si>
    <t>Kristen</t>
  </si>
  <si>
    <t>Dennis</t>
  </si>
  <si>
    <t>Kui</t>
  </si>
  <si>
    <t>Wangxue</t>
  </si>
  <si>
    <t>Zora</t>
  </si>
  <si>
    <t>Nic</t>
  </si>
  <si>
    <t>Diana</t>
  </si>
  <si>
    <t>Xiaojing</t>
  </si>
  <si>
    <t>Caleb</t>
  </si>
  <si>
    <t>Deacon</t>
  </si>
  <si>
    <t>Diane</t>
  </si>
  <si>
    <t>Mr. (Hafiz ) Muhammad</t>
  </si>
  <si>
    <t>Xia</t>
  </si>
  <si>
    <t>IBETH</t>
  </si>
  <si>
    <t>QIAOQING</t>
  </si>
  <si>
    <t>Shenaz</t>
  </si>
  <si>
    <t>Hyeon Woo</t>
  </si>
  <si>
    <t>Yanfei</t>
  </si>
  <si>
    <t>Natasha</t>
  </si>
  <si>
    <t>Martha</t>
  </si>
  <si>
    <t>Hongyu</t>
  </si>
  <si>
    <t>Steven</t>
  </si>
  <si>
    <t>Makendrick</t>
  </si>
  <si>
    <t>Contact Last Name</t>
  </si>
  <si>
    <t>Xun</t>
  </si>
  <si>
    <t>Carvalho</t>
  </si>
  <si>
    <t>Weaver</t>
  </si>
  <si>
    <t>Jones</t>
  </si>
  <si>
    <t>Dehner</t>
  </si>
  <si>
    <t>Conrad</t>
  </si>
  <si>
    <t>Srirat</t>
  </si>
  <si>
    <t>Wendt</t>
  </si>
  <si>
    <t>Iqbal</t>
  </si>
  <si>
    <t>Nagula</t>
  </si>
  <si>
    <t>Sawansukha</t>
  </si>
  <si>
    <t>Schroht</t>
  </si>
  <si>
    <t>Vogler</t>
  </si>
  <si>
    <t>Gupta</t>
  </si>
  <si>
    <t>Abney</t>
  </si>
  <si>
    <t>Ziegler</t>
  </si>
  <si>
    <t>Bernaza Zavala</t>
  </si>
  <si>
    <t>Acevedo</t>
  </si>
  <si>
    <t>Walsh</t>
  </si>
  <si>
    <t>Wallace</t>
  </si>
  <si>
    <t>Barnes</t>
  </si>
  <si>
    <t>Cotter</t>
  </si>
  <si>
    <t>Kleeger</t>
  </si>
  <si>
    <t>Flesler</t>
  </si>
  <si>
    <t>Purks</t>
  </si>
  <si>
    <t>Patil</t>
  </si>
  <si>
    <t>Chaubey</t>
  </si>
  <si>
    <t>Babiker</t>
  </si>
  <si>
    <t>Schultz</t>
  </si>
  <si>
    <t>ARAYA SIRVAS</t>
  </si>
  <si>
    <t>Shrishrimal</t>
  </si>
  <si>
    <t>Determan</t>
  </si>
  <si>
    <t>Dowd</t>
  </si>
  <si>
    <t>Saleh</t>
  </si>
  <si>
    <t>Alberto Garcia Huidobro</t>
  </si>
  <si>
    <t>Gremel</t>
  </si>
  <si>
    <t>FERNANDEZ GIL</t>
  </si>
  <si>
    <t>YAPUCHURA AVENDAÑO,</t>
  </si>
  <si>
    <t>DERVİŞOĞLU</t>
  </si>
  <si>
    <t>Gnezdilov</t>
  </si>
  <si>
    <t>FARAH FARAH ,</t>
  </si>
  <si>
    <t>K</t>
  </si>
  <si>
    <t>CARLOS ANDRES  RIVERO VERGARA</t>
  </si>
  <si>
    <t>NAVARRO-GRAU,</t>
  </si>
  <si>
    <t>Savitsky</t>
  </si>
  <si>
    <t>Rathi</t>
  </si>
  <si>
    <t>Jorge</t>
  </si>
  <si>
    <t>Noguera Velasquez</t>
  </si>
  <si>
    <t>Jilani,</t>
  </si>
  <si>
    <t>Wolfman</t>
  </si>
  <si>
    <t>Kadeer,</t>
  </si>
  <si>
    <t>Chatrupamai</t>
  </si>
  <si>
    <t>Oruk</t>
  </si>
  <si>
    <t>Yasser</t>
  </si>
  <si>
    <t>Salah Fawzy</t>
  </si>
  <si>
    <t>Fahmy</t>
  </si>
  <si>
    <t>Rehab Hussien</t>
  </si>
  <si>
    <t>Hemsley</t>
  </si>
  <si>
    <t>Geiger</t>
  </si>
  <si>
    <t>Hinueber</t>
  </si>
  <si>
    <t>Soeganda</t>
  </si>
  <si>
    <t>Roten</t>
  </si>
  <si>
    <t>De Gennaro</t>
  </si>
  <si>
    <t>Winczewski</t>
  </si>
  <si>
    <t>Gingerich</t>
  </si>
  <si>
    <t>Weierman</t>
  </si>
  <si>
    <t>Costa</t>
  </si>
  <si>
    <t>Pragya Shrivastava - General manager</t>
  </si>
  <si>
    <t>Bottero</t>
  </si>
  <si>
    <t>Yerima</t>
  </si>
  <si>
    <t>Poulos</t>
  </si>
  <si>
    <t>Kennedy</t>
  </si>
  <si>
    <t>Newton Hale</t>
  </si>
  <si>
    <t>Griner</t>
  </si>
  <si>
    <t>JUŠKYTĖ</t>
  </si>
  <si>
    <t>Arcuri</t>
  </si>
  <si>
    <t>Yılmaz</t>
  </si>
  <si>
    <t>Signor</t>
  </si>
  <si>
    <t>Zimmerman</t>
  </si>
  <si>
    <t>Hussain,</t>
  </si>
  <si>
    <t>Tayade</t>
  </si>
  <si>
    <t>BARRIOS</t>
  </si>
  <si>
    <t>Vijayakumar</t>
  </si>
  <si>
    <t>CARDENAS MENDOZA,</t>
  </si>
  <si>
    <t>LORET DE MOLA CACERES</t>
  </si>
  <si>
    <t>MEJIA POLANCO</t>
  </si>
  <si>
    <t>Tejendhar</t>
  </si>
  <si>
    <t>Musa</t>
  </si>
  <si>
    <t>Ballard</t>
  </si>
  <si>
    <t>Parra</t>
  </si>
  <si>
    <t>Schaefer</t>
  </si>
  <si>
    <t>Adhikari</t>
  </si>
  <si>
    <t>Meyer</t>
  </si>
  <si>
    <t>Richards</t>
  </si>
  <si>
    <t>Boonklom</t>
  </si>
  <si>
    <t>Wangdee</t>
  </si>
  <si>
    <t>Stevens</t>
  </si>
  <si>
    <t>Mr NIHM Thangcheng</t>
  </si>
  <si>
    <t>Cruz</t>
  </si>
  <si>
    <t>Márcio</t>
  </si>
  <si>
    <t>Nguyen Thi</t>
  </si>
  <si>
    <t>Karumanchi</t>
  </si>
  <si>
    <t>Bates</t>
  </si>
  <si>
    <t>Koyle</t>
  </si>
  <si>
    <t>Whitney</t>
  </si>
  <si>
    <t>Soria Vallejos</t>
  </si>
  <si>
    <t>Fernandez Villalobos</t>
  </si>
  <si>
    <t>SANCHEZ AVALOS</t>
  </si>
  <si>
    <t>Tomás</t>
  </si>
  <si>
    <t>Reardon</t>
  </si>
  <si>
    <t>Ensz</t>
  </si>
  <si>
    <t>Lanzet</t>
  </si>
  <si>
    <t>DeVore</t>
  </si>
  <si>
    <t>Fawzy</t>
  </si>
  <si>
    <t>Serdar</t>
  </si>
  <si>
    <t>Galvez</t>
  </si>
  <si>
    <t>Radenberg</t>
  </si>
  <si>
    <t>Ulrich</t>
  </si>
  <si>
    <t>Dechant</t>
  </si>
  <si>
    <t>responsable = Mme EZZAHID Fatima +M.Mohamed LACHRA</t>
  </si>
  <si>
    <t>Garcia</t>
  </si>
  <si>
    <t>Beery</t>
  </si>
  <si>
    <t>SONMEZ</t>
  </si>
  <si>
    <t>Shoukat,</t>
  </si>
  <si>
    <t>Fetra RANDRIAMANANTENA</t>
  </si>
  <si>
    <t>Rojas Lewis</t>
  </si>
  <si>
    <t>Cime</t>
  </si>
  <si>
    <t>Gibbs</t>
  </si>
  <si>
    <t>Guzman</t>
  </si>
  <si>
    <t>Patel</t>
  </si>
  <si>
    <t>Kamchedalova</t>
  </si>
  <si>
    <t>Askegaard</t>
  </si>
  <si>
    <t>Carter</t>
  </si>
  <si>
    <t>Hussain</t>
  </si>
  <si>
    <t>Martinez</t>
  </si>
  <si>
    <t>TAIPE JAVIER</t>
  </si>
  <si>
    <t>Calcina Quispe</t>
  </si>
  <si>
    <t>Mollo</t>
  </si>
  <si>
    <t>CRISPIN CANAVIRI</t>
  </si>
  <si>
    <t>Tzib</t>
  </si>
  <si>
    <t>Huamani Delgado,</t>
  </si>
  <si>
    <t>Maggiolo</t>
  </si>
  <si>
    <t>Griffith</t>
  </si>
  <si>
    <t>Yuan</t>
  </si>
  <si>
    <t>Lova RANDRIANATO</t>
  </si>
  <si>
    <t>Vieira</t>
  </si>
  <si>
    <t>Gaus</t>
  </si>
  <si>
    <t>Worsley</t>
  </si>
  <si>
    <t>Asif Rana,</t>
  </si>
  <si>
    <t>Goti</t>
  </si>
  <si>
    <t>Avenell</t>
  </si>
  <si>
    <t>Williams</t>
  </si>
  <si>
    <t>Way</t>
  </si>
  <si>
    <t>Arthy</t>
  </si>
  <si>
    <t>Bermejo</t>
  </si>
  <si>
    <t>Shukla</t>
  </si>
  <si>
    <t>Kumar</t>
  </si>
  <si>
    <t>Mudar</t>
  </si>
  <si>
    <t>Lacote</t>
  </si>
  <si>
    <t>RAMIREZ</t>
  </si>
  <si>
    <t>Kilavuz</t>
  </si>
  <si>
    <t>Wathen</t>
  </si>
  <si>
    <t>Sgro</t>
  </si>
  <si>
    <t>Cutting</t>
  </si>
  <si>
    <t>Eckman</t>
  </si>
  <si>
    <t>Baese</t>
  </si>
  <si>
    <t>Farooque</t>
  </si>
  <si>
    <t>Mr.Khajornrat Surakhot</t>
  </si>
  <si>
    <t>PIERRE GILLES COMMEAT</t>
  </si>
  <si>
    <t>Davis</t>
  </si>
  <si>
    <t>Gordon</t>
  </si>
  <si>
    <t>Young</t>
  </si>
  <si>
    <t>Brown</t>
  </si>
  <si>
    <t>Akalın</t>
  </si>
  <si>
    <t>Patidar</t>
  </si>
  <si>
    <t>Bushchur</t>
  </si>
  <si>
    <t>Paz</t>
  </si>
  <si>
    <t>Smith</t>
  </si>
  <si>
    <t>Wunterly</t>
  </si>
  <si>
    <t>Stephens</t>
  </si>
  <si>
    <t>Beatteay</t>
  </si>
  <si>
    <t>Mannaine</t>
  </si>
  <si>
    <t>Pesano</t>
  </si>
  <si>
    <t>Zhenyu</t>
  </si>
  <si>
    <t>冬旭 李</t>
  </si>
  <si>
    <t>Yanhong</t>
  </si>
  <si>
    <t>Qilin</t>
  </si>
  <si>
    <t>Stambaugh</t>
  </si>
  <si>
    <t>Shaw</t>
  </si>
  <si>
    <t>Penner</t>
  </si>
  <si>
    <t>Escobar Claure</t>
  </si>
  <si>
    <t>Bennett</t>
  </si>
  <si>
    <t>Kirschbaum</t>
  </si>
  <si>
    <t>Berglund</t>
  </si>
  <si>
    <t>Rodriguez</t>
  </si>
  <si>
    <t>Osuna</t>
  </si>
  <si>
    <t>Irvin</t>
  </si>
  <si>
    <t>Yong Garcia</t>
  </si>
  <si>
    <t>Wallen</t>
  </si>
  <si>
    <t>Haddouche</t>
  </si>
  <si>
    <t>Lesperance</t>
  </si>
  <si>
    <t>Shivam Patidar-ICS Manager</t>
  </si>
  <si>
    <t>Khan Durrani</t>
  </si>
  <si>
    <t>Kokmat</t>
  </si>
  <si>
    <t>Mejía</t>
  </si>
  <si>
    <t>SUCU</t>
  </si>
  <si>
    <t>Quintanilla García</t>
  </si>
  <si>
    <t>Alvarado</t>
  </si>
  <si>
    <t>Guerrero Leiva</t>
  </si>
  <si>
    <t>Naydenova</t>
  </si>
  <si>
    <t>Terpstra</t>
  </si>
  <si>
    <t>Jifu</t>
  </si>
  <si>
    <t>Julia Levi</t>
  </si>
  <si>
    <t>KALKAN</t>
  </si>
  <si>
    <t>Reichert</t>
  </si>
  <si>
    <t>Asaula</t>
  </si>
  <si>
    <t>Noelia Eliana Silberstein</t>
  </si>
  <si>
    <t>Maltais</t>
  </si>
  <si>
    <t>McAleer</t>
  </si>
  <si>
    <t>Ober</t>
  </si>
  <si>
    <t>Skokan</t>
  </si>
  <si>
    <t>MacPhee</t>
  </si>
  <si>
    <t>Booth</t>
  </si>
  <si>
    <t>Anderson</t>
  </si>
  <si>
    <t>Prince</t>
  </si>
  <si>
    <t>Huynh Van</t>
  </si>
  <si>
    <t>ALFERRANO</t>
  </si>
  <si>
    <t>Peterson</t>
  </si>
  <si>
    <t>Mccollough</t>
  </si>
  <si>
    <t>Moyer</t>
  </si>
  <si>
    <t>Romano</t>
  </si>
  <si>
    <t>Lise TESTE</t>
  </si>
  <si>
    <t>Milazzo</t>
  </si>
  <si>
    <t>Quilici</t>
  </si>
  <si>
    <t>Fawaz</t>
  </si>
  <si>
    <t>Saturley</t>
  </si>
  <si>
    <t>Tiefenthaler</t>
  </si>
  <si>
    <t>Breslin</t>
  </si>
  <si>
    <t>Severson</t>
  </si>
  <si>
    <t>Lovely</t>
  </si>
  <si>
    <t>Harrington</t>
  </si>
  <si>
    <t>Vidal</t>
  </si>
  <si>
    <t>Lakhani</t>
  </si>
  <si>
    <t>Bruno</t>
  </si>
  <si>
    <t>Ms.Sirinun  Manpo</t>
  </si>
  <si>
    <t>Stehnike</t>
  </si>
  <si>
    <t>Schlabach</t>
  </si>
  <si>
    <t>Robert Clawson</t>
  </si>
  <si>
    <t>Moreno Presotto</t>
  </si>
  <si>
    <t>Nicolini</t>
  </si>
  <si>
    <t>Saosingh</t>
  </si>
  <si>
    <t>Burns</t>
  </si>
  <si>
    <t>Basile</t>
  </si>
  <si>
    <t>Byers</t>
  </si>
  <si>
    <t>Lowrey</t>
  </si>
  <si>
    <t>Ullmann</t>
  </si>
  <si>
    <t>Vacek</t>
  </si>
  <si>
    <t>Wagner III</t>
  </si>
  <si>
    <t>Creech</t>
  </si>
  <si>
    <t>Cada</t>
  </si>
  <si>
    <t>Chavarria</t>
  </si>
  <si>
    <t>Althaus</t>
  </si>
  <si>
    <t>Kaur</t>
  </si>
  <si>
    <t>Weidner</t>
  </si>
  <si>
    <t>Suo</t>
  </si>
  <si>
    <t>Davenport</t>
  </si>
  <si>
    <t>Carmona</t>
  </si>
  <si>
    <t>Wiles-Pearson</t>
  </si>
  <si>
    <t>CAMACHO CARRILLO</t>
  </si>
  <si>
    <t>Nussbaum</t>
  </si>
  <si>
    <t>Capistran</t>
  </si>
  <si>
    <t>Corsi</t>
  </si>
  <si>
    <t>Tanner</t>
  </si>
  <si>
    <t>Shilts</t>
  </si>
  <si>
    <t>Prasad</t>
  </si>
  <si>
    <t>Engstrom</t>
  </si>
  <si>
    <t>Robillard</t>
  </si>
  <si>
    <t>Suen Blanc</t>
  </si>
  <si>
    <t>George</t>
  </si>
  <si>
    <t>JP Bence</t>
  </si>
  <si>
    <t>Van De Grift</t>
  </si>
  <si>
    <t>Celis</t>
  </si>
  <si>
    <t>Greenwalt</t>
  </si>
  <si>
    <t>Alex Leiva</t>
  </si>
  <si>
    <t>Porter</t>
  </si>
  <si>
    <t>Hesson</t>
  </si>
  <si>
    <t>Ammar</t>
  </si>
  <si>
    <t>Corné van der Westhuizen</t>
  </si>
  <si>
    <t>Soyçayli</t>
  </si>
  <si>
    <t>Gonzalez</t>
  </si>
  <si>
    <t>Daniels</t>
  </si>
  <si>
    <t>Zundel</t>
  </si>
  <si>
    <t>Rosario</t>
  </si>
  <si>
    <t>Hendrik van der Berg</t>
  </si>
  <si>
    <t>Mueller</t>
  </si>
  <si>
    <t>Schecher</t>
  </si>
  <si>
    <t>Pelt</t>
  </si>
  <si>
    <t>Robinson</t>
  </si>
  <si>
    <t>Kandarian</t>
  </si>
  <si>
    <t>Caballero</t>
  </si>
  <si>
    <t>Fornek</t>
  </si>
  <si>
    <t>Pongprapansiri</t>
  </si>
  <si>
    <t>De Angeli</t>
  </si>
  <si>
    <t>Contreras</t>
  </si>
  <si>
    <t>Bradley</t>
  </si>
  <si>
    <t>aponsu</t>
  </si>
  <si>
    <t>Massa</t>
  </si>
  <si>
    <t>Setia</t>
  </si>
  <si>
    <t>Perry</t>
  </si>
  <si>
    <t>Guochen</t>
  </si>
  <si>
    <t>Di</t>
  </si>
  <si>
    <t>Xianglin</t>
  </si>
  <si>
    <t>Simons</t>
  </si>
  <si>
    <t>Haizhong</t>
  </si>
  <si>
    <t>Qingwu</t>
  </si>
  <si>
    <t>Xindong</t>
  </si>
  <si>
    <t>Lin</t>
  </si>
  <si>
    <t>Gubbels</t>
  </si>
  <si>
    <t>Betz</t>
  </si>
  <si>
    <t>Mullet</t>
  </si>
  <si>
    <t>Parker</t>
  </si>
  <si>
    <t>Woram</t>
  </si>
  <si>
    <t>Ferrari</t>
  </si>
  <si>
    <t>Brugger</t>
  </si>
  <si>
    <t>Menke</t>
  </si>
  <si>
    <t>Truscott</t>
  </si>
  <si>
    <t>Phelps</t>
  </si>
  <si>
    <t>Powell-Palm</t>
  </si>
  <si>
    <t>Rapole</t>
  </si>
  <si>
    <t>New</t>
  </si>
  <si>
    <t>ALVARO HINOSTROZA</t>
  </si>
  <si>
    <t>Beach</t>
  </si>
  <si>
    <t>Giese</t>
  </si>
  <si>
    <t>Lanao Flores</t>
  </si>
  <si>
    <t>Veliz Muñoz</t>
  </si>
  <si>
    <t>Moreno Rojas</t>
  </si>
  <si>
    <t>Moreno Cavazos</t>
  </si>
  <si>
    <t>Hubert</t>
  </si>
  <si>
    <t>Goldovitz</t>
  </si>
  <si>
    <t>Huayta Pari</t>
  </si>
  <si>
    <t>Filippello</t>
  </si>
  <si>
    <t>Calle</t>
  </si>
  <si>
    <t>Nastasi</t>
  </si>
  <si>
    <t>ALBARRAN BRITO</t>
  </si>
  <si>
    <t>Laudiero</t>
  </si>
  <si>
    <t>Schiek</t>
  </si>
  <si>
    <t>Klocke</t>
  </si>
  <si>
    <t>POSSIGUE TAKPAYA</t>
  </si>
  <si>
    <t>BÁEZ CÁRDENAS</t>
  </si>
  <si>
    <t>Quiroz,</t>
  </si>
  <si>
    <t>Ribeiro</t>
  </si>
  <si>
    <t>Castro</t>
  </si>
  <si>
    <t>Rizzo</t>
  </si>
  <si>
    <t>Rizo</t>
  </si>
  <si>
    <t>Huamani Camasca</t>
  </si>
  <si>
    <t>Pollack</t>
  </si>
  <si>
    <t>Beaton</t>
  </si>
  <si>
    <t>Wille Leyton</t>
  </si>
  <si>
    <t>Cujilema Padilla</t>
  </si>
  <si>
    <t>Huff</t>
  </si>
  <si>
    <t>Batista, Naomi Weaver</t>
  </si>
  <si>
    <t>Kniss</t>
  </si>
  <si>
    <t>Waldron</t>
  </si>
  <si>
    <t>Mitchel</t>
  </si>
  <si>
    <t>Courtright</t>
  </si>
  <si>
    <t>Sheminith Sameer James: Project Coordinator</t>
  </si>
  <si>
    <t>ANIYA BARRENA,</t>
  </si>
  <si>
    <t>Werronen</t>
  </si>
  <si>
    <t>Strite</t>
  </si>
  <si>
    <t>Akin</t>
  </si>
  <si>
    <t>Guenther</t>
  </si>
  <si>
    <t>Crotser</t>
  </si>
  <si>
    <t>Rohan</t>
  </si>
  <si>
    <t>Kroeck</t>
  </si>
  <si>
    <t>Portal Galvez</t>
  </si>
  <si>
    <t>Shriver</t>
  </si>
  <si>
    <t>Strevey</t>
  </si>
  <si>
    <t>Bridget O'Brien</t>
  </si>
  <si>
    <t>Smart</t>
  </si>
  <si>
    <t>Farhan</t>
  </si>
  <si>
    <t>Robertson</t>
  </si>
  <si>
    <t>Wainer</t>
  </si>
  <si>
    <t>Escobar</t>
  </si>
  <si>
    <t>Conti</t>
  </si>
  <si>
    <t>Newell</t>
  </si>
  <si>
    <t>Vosseler</t>
  </si>
  <si>
    <t>Suryakumar,</t>
  </si>
  <si>
    <t>Gast</t>
  </si>
  <si>
    <t>Korzan</t>
  </si>
  <si>
    <t>Stone</t>
  </si>
  <si>
    <t>Tudor</t>
  </si>
  <si>
    <t>Dandan</t>
  </si>
  <si>
    <t>Liwen</t>
  </si>
  <si>
    <t>Yuankun</t>
  </si>
  <si>
    <t>Feng</t>
  </si>
  <si>
    <t>Liyuan</t>
  </si>
  <si>
    <t>Xiaona</t>
  </si>
  <si>
    <t>Duanyuan</t>
  </si>
  <si>
    <t>Wenqi</t>
  </si>
  <si>
    <t>BO</t>
  </si>
  <si>
    <t>Che</t>
  </si>
  <si>
    <t>Changhua</t>
  </si>
  <si>
    <t>Gang</t>
  </si>
  <si>
    <t>Yuan De</t>
  </si>
  <si>
    <t>Wenjian</t>
  </si>
  <si>
    <t>Guozheng</t>
  </si>
  <si>
    <t>Lingquan</t>
  </si>
  <si>
    <t>仁萍 单</t>
  </si>
  <si>
    <t>Fengde</t>
  </si>
  <si>
    <t>Qin</t>
  </si>
  <si>
    <t>丹 郑</t>
  </si>
  <si>
    <t>ZHENYU</t>
  </si>
  <si>
    <t>Cui</t>
  </si>
  <si>
    <t>Ren</t>
  </si>
  <si>
    <t>Yanhui</t>
  </si>
  <si>
    <t>Xinlei</t>
  </si>
  <si>
    <t>WEI</t>
  </si>
  <si>
    <t>明明 黄</t>
  </si>
  <si>
    <t>Xiaoming</t>
  </si>
  <si>
    <t>Jingyang</t>
  </si>
  <si>
    <t>Na</t>
  </si>
  <si>
    <t>Xinge</t>
  </si>
  <si>
    <t>XIAO NA</t>
  </si>
  <si>
    <t>Zhendong</t>
  </si>
  <si>
    <t>Bici</t>
  </si>
  <si>
    <t>McCarty</t>
  </si>
  <si>
    <t>Shrestha</t>
  </si>
  <si>
    <t>Kuper</t>
  </si>
  <si>
    <t>Yoder, Jr.</t>
  </si>
  <si>
    <t>Kauffman</t>
  </si>
  <si>
    <t>Brubaker</t>
  </si>
  <si>
    <t>Danielski</t>
  </si>
  <si>
    <t>经理 高</t>
  </si>
  <si>
    <t>Miller</t>
  </si>
  <si>
    <t>Gifford</t>
  </si>
  <si>
    <t>Brandyberry</t>
  </si>
  <si>
    <t>Burkholder</t>
  </si>
  <si>
    <t>Holt</t>
  </si>
  <si>
    <t>Stoltzfus, Jr.</t>
  </si>
  <si>
    <t>Bosworth</t>
  </si>
  <si>
    <t>Adsit</t>
  </si>
  <si>
    <t>Kushnir</t>
  </si>
  <si>
    <t>Ketchum</t>
  </si>
  <si>
    <t>Bornemeier</t>
  </si>
  <si>
    <t>McIlvaine</t>
  </si>
  <si>
    <t>Delp</t>
  </si>
  <si>
    <t>Jesperson</t>
  </si>
  <si>
    <t>Zuniga</t>
  </si>
  <si>
    <t>Gloger</t>
  </si>
  <si>
    <t>Patton</t>
  </si>
  <si>
    <t>Dervişoğlu</t>
  </si>
  <si>
    <t>Dwivedi</t>
  </si>
  <si>
    <t>Bodeis</t>
  </si>
  <si>
    <t>Schwinghamer</t>
  </si>
  <si>
    <t>Cooney</t>
  </si>
  <si>
    <t>Kaptan</t>
  </si>
  <si>
    <t>Diener</t>
  </si>
  <si>
    <t>Coello Ureña</t>
  </si>
  <si>
    <t>Luu</t>
  </si>
  <si>
    <t>Jacobsmeyer</t>
  </si>
  <si>
    <t>Knight</t>
  </si>
  <si>
    <t>Erturk</t>
  </si>
  <si>
    <t>Brockriede</t>
  </si>
  <si>
    <t>Grimes</t>
  </si>
  <si>
    <t>Sylvester</t>
  </si>
  <si>
    <t>Winger</t>
  </si>
  <si>
    <t>French</t>
  </si>
  <si>
    <t>Shapiro</t>
  </si>
  <si>
    <t>Regier</t>
  </si>
  <si>
    <t>Edwards</t>
  </si>
  <si>
    <t>Mulville</t>
  </si>
  <si>
    <t>Fitzpatrick</t>
  </si>
  <si>
    <t>King</t>
  </si>
  <si>
    <t>Doudlah</t>
  </si>
  <si>
    <t>Greiner</t>
  </si>
  <si>
    <t>Leahy</t>
  </si>
  <si>
    <t>Sharma</t>
  </si>
  <si>
    <t>Parr</t>
  </si>
  <si>
    <t>Tissot</t>
  </si>
  <si>
    <t>Mauricio Tissot</t>
  </si>
  <si>
    <t>Foster</t>
  </si>
  <si>
    <t>Deyou</t>
  </si>
  <si>
    <t>Duron Tejeda</t>
  </si>
  <si>
    <t>Novitski</t>
  </si>
  <si>
    <t>Schnick</t>
  </si>
  <si>
    <t>Shenk</t>
  </si>
  <si>
    <t>Nemeth</t>
  </si>
  <si>
    <t>Speroni</t>
  </si>
  <si>
    <t>Hafner</t>
  </si>
  <si>
    <t>Boncelet</t>
  </si>
  <si>
    <t>Bhojwani</t>
  </si>
  <si>
    <t>Green</t>
  </si>
  <si>
    <t>Solanki</t>
  </si>
  <si>
    <t>Samaniego Damasen</t>
  </si>
  <si>
    <t>Meizlish</t>
  </si>
  <si>
    <t>Arora</t>
  </si>
  <si>
    <t>Firstname Lastname to be modified</t>
  </si>
  <si>
    <t>Jain</t>
  </si>
  <si>
    <t>Templeton</t>
  </si>
  <si>
    <t>O'Malley</t>
  </si>
  <si>
    <t>Knoll</t>
  </si>
  <si>
    <t>Martin Jr.</t>
  </si>
  <si>
    <t>Vivatson</t>
  </si>
  <si>
    <t>Eid</t>
  </si>
  <si>
    <t>DICLE</t>
  </si>
  <si>
    <t>Aboughanam</t>
  </si>
  <si>
    <t>Schullo</t>
  </si>
  <si>
    <t>Mamta Rautela</t>
  </si>
  <si>
    <t>Mattison</t>
  </si>
  <si>
    <t>Penfold</t>
  </si>
  <si>
    <t>Carmichael</t>
  </si>
  <si>
    <t>Freire Bustos</t>
  </si>
  <si>
    <t>Hathaisutthi</t>
  </si>
  <si>
    <t>Rakishev</t>
  </si>
  <si>
    <t>Yun</t>
  </si>
  <si>
    <t>Clair</t>
  </si>
  <si>
    <t>Engelbert (org)</t>
  </si>
  <si>
    <t>Crawford</t>
  </si>
  <si>
    <t>QUISPE GUTIERREZ</t>
  </si>
  <si>
    <t>Ortuste</t>
  </si>
  <si>
    <t>Maxime Gervais</t>
  </si>
  <si>
    <t>Mr. S.O Park Mr. S.O Park</t>
  </si>
  <si>
    <t>Erickson</t>
  </si>
  <si>
    <t>Brossy</t>
  </si>
  <si>
    <t>office phone number</t>
  </si>
  <si>
    <t>Subias</t>
  </si>
  <si>
    <t>Minnich</t>
  </si>
  <si>
    <t>Ritt</t>
  </si>
  <si>
    <t>Haleem</t>
  </si>
  <si>
    <t>Evers</t>
  </si>
  <si>
    <t>Donaldson</t>
  </si>
  <si>
    <t>Echeverría</t>
  </si>
  <si>
    <t>Ewald</t>
  </si>
  <si>
    <t>Cheevanuntakul</t>
  </si>
  <si>
    <t>Pool</t>
  </si>
  <si>
    <t>Brooks</t>
  </si>
  <si>
    <t>Chretien</t>
  </si>
  <si>
    <t>Pabst</t>
  </si>
  <si>
    <t>Falk</t>
  </si>
  <si>
    <t>Kerri</t>
  </si>
  <si>
    <t>Darlington</t>
  </si>
  <si>
    <t>Russo</t>
  </si>
  <si>
    <t>O'Hern</t>
  </si>
  <si>
    <t>Mezger</t>
  </si>
  <si>
    <t>Fehringer</t>
  </si>
  <si>
    <t>Aguiar</t>
  </si>
  <si>
    <t>Hecheng</t>
  </si>
  <si>
    <t>Ferris</t>
  </si>
  <si>
    <t>LLANOS CABANILLAS,</t>
  </si>
  <si>
    <t>Fisic</t>
  </si>
  <si>
    <t>Kisler</t>
  </si>
  <si>
    <t>Deveriya</t>
  </si>
  <si>
    <t>Elmalı</t>
  </si>
  <si>
    <t>Manges</t>
  </si>
  <si>
    <t>Starkebaum</t>
  </si>
  <si>
    <t>Mr Tovo Rakotoarisoa</t>
  </si>
  <si>
    <t>Huayllani Mamani</t>
  </si>
  <si>
    <t>Beale</t>
  </si>
  <si>
    <t>FATIMA NACER</t>
  </si>
  <si>
    <t>Van</t>
  </si>
  <si>
    <t>Tailor</t>
  </si>
  <si>
    <t>Fisher</t>
  </si>
  <si>
    <t>Autovino</t>
  </si>
  <si>
    <t>Ferderber</t>
  </si>
  <si>
    <t>Currie</t>
  </si>
  <si>
    <t>Mathews</t>
  </si>
  <si>
    <t>Freeman</t>
  </si>
  <si>
    <t>Leppert</t>
  </si>
  <si>
    <t>Perkins</t>
  </si>
  <si>
    <t>Sereno</t>
  </si>
  <si>
    <t>Tejeda</t>
  </si>
  <si>
    <t>Hajek</t>
  </si>
  <si>
    <t>Serge</t>
  </si>
  <si>
    <t>Tran</t>
  </si>
  <si>
    <t>Beatty</t>
  </si>
  <si>
    <t>Muvva</t>
  </si>
  <si>
    <t>Rivero</t>
  </si>
  <si>
    <t>Zhiping</t>
  </si>
  <si>
    <t>Brait</t>
  </si>
  <si>
    <t>Wolfe</t>
  </si>
  <si>
    <t>Dike</t>
  </si>
  <si>
    <t>Singh</t>
  </si>
  <si>
    <t>Tarar,</t>
  </si>
  <si>
    <t>Goodwin</t>
  </si>
  <si>
    <t>Gómez</t>
  </si>
  <si>
    <t>Mittal</t>
  </si>
  <si>
    <t>Jiaping</t>
  </si>
  <si>
    <t>王 德林</t>
  </si>
  <si>
    <t>Luo</t>
  </si>
  <si>
    <t>Mowers</t>
  </si>
  <si>
    <t>Reed</t>
  </si>
  <si>
    <t>GALLO</t>
  </si>
  <si>
    <t>Thorpe</t>
  </si>
  <si>
    <t>Cuellar Pedraza</t>
  </si>
  <si>
    <t>Nichols</t>
  </si>
  <si>
    <t>Ms. Sutida</t>
  </si>
  <si>
    <t>Macksood</t>
  </si>
  <si>
    <t>Benjawan</t>
  </si>
  <si>
    <t>Foth</t>
  </si>
  <si>
    <t>Harrigal</t>
  </si>
  <si>
    <t>Crider</t>
  </si>
  <si>
    <t>Basore</t>
  </si>
  <si>
    <t>Gianforte</t>
  </si>
  <si>
    <t>Gilardi</t>
  </si>
  <si>
    <t>Gillespie</t>
  </si>
  <si>
    <t>Akshat</t>
  </si>
  <si>
    <t>Ritmire</t>
  </si>
  <si>
    <t>Kameyama</t>
  </si>
  <si>
    <t>Watson</t>
  </si>
  <si>
    <t>Chao</t>
  </si>
  <si>
    <t>Salinas</t>
  </si>
  <si>
    <t>Raval</t>
  </si>
  <si>
    <t>O'Brien</t>
  </si>
  <si>
    <t>Gardner</t>
  </si>
  <si>
    <t>Hupp</t>
  </si>
  <si>
    <t>Qureshi</t>
  </si>
  <si>
    <t>LaRiviere</t>
  </si>
  <si>
    <t>Grotegut</t>
  </si>
  <si>
    <t>Lopez</t>
  </si>
  <si>
    <t>Arroyo</t>
  </si>
  <si>
    <t>PEÑALVER FERNANDEZ,</t>
  </si>
  <si>
    <t>Donnelly</t>
  </si>
  <si>
    <t>Jackson</t>
  </si>
  <si>
    <t>Quinonez</t>
  </si>
  <si>
    <t>Hediger</t>
  </si>
  <si>
    <t>David Sok</t>
  </si>
  <si>
    <t>Haisheng</t>
  </si>
  <si>
    <t>Banyen-ngam</t>
  </si>
  <si>
    <t>Madrazo</t>
  </si>
  <si>
    <t>Junling</t>
  </si>
  <si>
    <t>Googins</t>
  </si>
  <si>
    <t>Gosar</t>
  </si>
  <si>
    <t>Manchanda</t>
  </si>
  <si>
    <t>CARLOS ANDRES RIVERO VERGARA</t>
  </si>
  <si>
    <t>Napanat Rojrattanajinda</t>
  </si>
  <si>
    <t>Trullinger</t>
  </si>
  <si>
    <t>Vasquez</t>
  </si>
  <si>
    <t>Decker</t>
  </si>
  <si>
    <t>Kruger</t>
  </si>
  <si>
    <t>Sutherland</t>
  </si>
  <si>
    <t>Gooch</t>
  </si>
  <si>
    <t>Vera Nina</t>
  </si>
  <si>
    <t>Avendaño Coarita,</t>
  </si>
  <si>
    <t>Lunning</t>
  </si>
  <si>
    <t>Gray</t>
  </si>
  <si>
    <t>Huebert</t>
  </si>
  <si>
    <t>Mahaney</t>
  </si>
  <si>
    <t>McDonald</t>
  </si>
  <si>
    <t>Grubb</t>
  </si>
  <si>
    <t>Reams</t>
  </si>
  <si>
    <t>Landry</t>
  </si>
  <si>
    <t>TANTALEAN PORTOCARRERO</t>
  </si>
  <si>
    <t>Nisley</t>
  </si>
  <si>
    <t>O'Reilly</t>
  </si>
  <si>
    <t>GILDAS ABOHOMBO</t>
  </si>
  <si>
    <t>Nelsen</t>
  </si>
  <si>
    <t>Mr. (Veneet)</t>
  </si>
  <si>
    <t>Perez</t>
  </si>
  <si>
    <t>Ur Rasheed</t>
  </si>
  <si>
    <t>Faucette</t>
  </si>
  <si>
    <t>McElrath</t>
  </si>
  <si>
    <t>Troyer</t>
  </si>
  <si>
    <t>Jin</t>
  </si>
  <si>
    <t>Pongpradit</t>
  </si>
  <si>
    <t>Bayliss</t>
  </si>
  <si>
    <t>Hibst</t>
  </si>
  <si>
    <t>Bhagwan Patel-Manager</t>
  </si>
  <si>
    <t>Diesl</t>
  </si>
  <si>
    <t>Trenery</t>
  </si>
  <si>
    <t>Noyes</t>
  </si>
  <si>
    <t>Henley-Soles</t>
  </si>
  <si>
    <t>Cativelli</t>
  </si>
  <si>
    <t>Crandall</t>
  </si>
  <si>
    <t>Julieta Carballido Rojas</t>
  </si>
  <si>
    <t>Tangara Chiara</t>
  </si>
  <si>
    <t>Solorzano Alegria</t>
  </si>
  <si>
    <t>Bolton-Pistole</t>
  </si>
  <si>
    <t>洢宁 梁</t>
  </si>
  <si>
    <t>嘉莹 卢</t>
  </si>
  <si>
    <t>Araújo</t>
  </si>
  <si>
    <t>Earpina</t>
  </si>
  <si>
    <t>Lueken</t>
  </si>
  <si>
    <t>Sanika Khetle-Manager</t>
  </si>
  <si>
    <t>Habib</t>
  </si>
  <si>
    <t>Libin</t>
  </si>
  <si>
    <t>Xianru</t>
  </si>
  <si>
    <t>Dyckman</t>
  </si>
  <si>
    <t>Nakamura</t>
  </si>
  <si>
    <t>Shoukat</t>
  </si>
  <si>
    <t>Liang</t>
  </si>
  <si>
    <t>Shuangming</t>
  </si>
  <si>
    <t>Weiping</t>
  </si>
  <si>
    <t>Sorrows</t>
  </si>
  <si>
    <t>徐晓东</t>
  </si>
  <si>
    <t>Lira</t>
  </si>
  <si>
    <t>Kirkham</t>
  </si>
  <si>
    <t>Tiano</t>
  </si>
  <si>
    <t>Etheridge</t>
  </si>
  <si>
    <t>Hayat,</t>
  </si>
  <si>
    <t>Arrain</t>
  </si>
  <si>
    <t>Swaffar</t>
  </si>
  <si>
    <t>silva</t>
  </si>
  <si>
    <t>Valadez</t>
  </si>
  <si>
    <t>Pawar</t>
  </si>
  <si>
    <t>Norris</t>
  </si>
  <si>
    <t>Thimmareddy</t>
  </si>
  <si>
    <t>Nala</t>
  </si>
  <si>
    <t>Zink</t>
  </si>
  <si>
    <t>Wright</t>
  </si>
  <si>
    <t>Weston</t>
  </si>
  <si>
    <t>Campbell</t>
  </si>
  <si>
    <t>会萍 崔</t>
  </si>
  <si>
    <t>Tie</t>
  </si>
  <si>
    <t>Gai</t>
  </si>
  <si>
    <t>女士 李</t>
  </si>
  <si>
    <t>婧嫘 张</t>
  </si>
  <si>
    <t>Facturas y retenciones</t>
  </si>
  <si>
    <t>KOECHLIN LIZARRAGA</t>
  </si>
  <si>
    <t>Pohle</t>
  </si>
  <si>
    <t>Comulado</t>
  </si>
  <si>
    <t>Fernandes</t>
  </si>
  <si>
    <t>Mrs.Supaporn Ubonrat</t>
  </si>
  <si>
    <t>Shin</t>
  </si>
  <si>
    <t>Wirtz</t>
  </si>
  <si>
    <t>Moran Nuñez</t>
  </si>
  <si>
    <t>Hilgendorf</t>
  </si>
  <si>
    <t>Kumar Gupta</t>
  </si>
  <si>
    <t>Devendra Man Amatya</t>
  </si>
  <si>
    <t>Brugess</t>
  </si>
  <si>
    <t>Hiske</t>
  </si>
  <si>
    <t>Memur</t>
  </si>
  <si>
    <t>Ho Quang</t>
  </si>
  <si>
    <t>Lam Anh Tu</t>
  </si>
  <si>
    <t>Van Mien</t>
  </si>
  <si>
    <t>Hobbs</t>
  </si>
  <si>
    <t>Abdulrahman Almasri</t>
  </si>
  <si>
    <t>O'Brien-Mann</t>
  </si>
  <si>
    <t>Covey</t>
  </si>
  <si>
    <t>Pierson</t>
  </si>
  <si>
    <t>Yuanhong</t>
  </si>
  <si>
    <t>Kutsch</t>
  </si>
  <si>
    <t>Pappe</t>
  </si>
  <si>
    <t>Sera</t>
  </si>
  <si>
    <t>Constanza Arraño</t>
  </si>
  <si>
    <t>Farr</t>
  </si>
  <si>
    <t>Huenefeld</t>
  </si>
  <si>
    <t>Huesby</t>
  </si>
  <si>
    <t>Hull</t>
  </si>
  <si>
    <t>喻 艳</t>
  </si>
  <si>
    <t>Haus</t>
  </si>
  <si>
    <t>Durani</t>
  </si>
  <si>
    <t>Hurst</t>
  </si>
  <si>
    <t>Van De Mark</t>
  </si>
  <si>
    <t>Nijjar</t>
  </si>
  <si>
    <t>Nicholas Spencer</t>
  </si>
  <si>
    <t>Ekin</t>
  </si>
  <si>
    <t>Bakhsh</t>
  </si>
  <si>
    <t>Sponseller</t>
  </si>
  <si>
    <t>Morse</t>
  </si>
  <si>
    <t>Ypma</t>
  </si>
  <si>
    <t>Schmidt</t>
  </si>
  <si>
    <t>Andres Felipe Valencia Salcedo</t>
  </si>
  <si>
    <t>Farinha</t>
  </si>
  <si>
    <t>SULCA MONTOYA</t>
  </si>
  <si>
    <t>Ponce Gonzalez</t>
  </si>
  <si>
    <t>Ajamian</t>
  </si>
  <si>
    <t>Jullien</t>
  </si>
  <si>
    <t>ACOSTA TAMAYO</t>
  </si>
  <si>
    <t>Coleman</t>
  </si>
  <si>
    <t>Ingardia-Esquivel</t>
  </si>
  <si>
    <t>Sam Schneider</t>
  </si>
  <si>
    <t>王 学敏</t>
  </si>
  <si>
    <t>Zhanchun</t>
  </si>
  <si>
    <t>Cunningham</t>
  </si>
  <si>
    <t>Sabori</t>
  </si>
  <si>
    <t>AVANZINI DE VILLENA</t>
  </si>
  <si>
    <t>Hardison</t>
  </si>
  <si>
    <t>Spector</t>
  </si>
  <si>
    <t>Viola</t>
  </si>
  <si>
    <t>Mirna Riquelme</t>
  </si>
  <si>
    <t>Melvin</t>
  </si>
  <si>
    <t>Rossel</t>
  </si>
  <si>
    <t>DELGADO GARCIA</t>
  </si>
  <si>
    <t>Vural</t>
  </si>
  <si>
    <t>Siripagmanon</t>
  </si>
  <si>
    <t>Apple</t>
  </si>
  <si>
    <t>Herman</t>
  </si>
  <si>
    <t>Cordero Llanos</t>
  </si>
  <si>
    <t>Ercolino</t>
  </si>
  <si>
    <t>Nauriyal</t>
  </si>
  <si>
    <t>Swamy</t>
  </si>
  <si>
    <t>Okutan</t>
  </si>
  <si>
    <t>CAN</t>
  </si>
  <si>
    <t>Lohse</t>
  </si>
  <si>
    <t>Marciani</t>
  </si>
  <si>
    <t>Saavedra</t>
  </si>
  <si>
    <t>Lopez Huayllani</t>
  </si>
  <si>
    <t>Olsgaard</t>
  </si>
  <si>
    <t>Stol</t>
  </si>
  <si>
    <t>Jaffe</t>
  </si>
  <si>
    <t>choudhary</t>
  </si>
  <si>
    <t>jain</t>
  </si>
  <si>
    <t>Maheshwari</t>
  </si>
  <si>
    <t>HIREN KOTECHA-MANAGER</t>
  </si>
  <si>
    <t>Cummings</t>
  </si>
  <si>
    <t>Falcon</t>
  </si>
  <si>
    <t>Sakornpantarak</t>
  </si>
  <si>
    <t>Chopra</t>
  </si>
  <si>
    <t>Friesen</t>
  </si>
  <si>
    <t>Wenzel</t>
  </si>
  <si>
    <t>BURRI Aurélia</t>
  </si>
  <si>
    <t>Akers</t>
  </si>
  <si>
    <t>Booms</t>
  </si>
  <si>
    <t>Loehr</t>
  </si>
  <si>
    <t>Jeff Wehking</t>
  </si>
  <si>
    <t>Meuret</t>
  </si>
  <si>
    <t>Jessen</t>
  </si>
  <si>
    <t>Banis</t>
  </si>
  <si>
    <t>Qiang</t>
  </si>
  <si>
    <t>City Huoban Food Co.,Ltd.</t>
  </si>
  <si>
    <t>Chengqun</t>
  </si>
  <si>
    <t>Xueming</t>
  </si>
  <si>
    <t>Zhu</t>
  </si>
  <si>
    <t>Mr. Deepak Kumar</t>
  </si>
  <si>
    <t>Del Bosque, Jr.</t>
  </si>
  <si>
    <t>Stoddard</t>
  </si>
  <si>
    <t>Yeackley</t>
  </si>
  <si>
    <t>Guy</t>
  </si>
  <si>
    <t>Myer</t>
  </si>
  <si>
    <t>Rustebakke</t>
  </si>
  <si>
    <t>Johnson</t>
  </si>
  <si>
    <t>Cherry</t>
  </si>
  <si>
    <t>Veliz</t>
  </si>
  <si>
    <t>Covarrubias Lanzagorta</t>
  </si>
  <si>
    <t>Iida</t>
  </si>
  <si>
    <t>JIMON</t>
  </si>
  <si>
    <t>Dowdy</t>
  </si>
  <si>
    <t>Sevilla</t>
  </si>
  <si>
    <t>Hellenthal</t>
  </si>
  <si>
    <t>Berlier</t>
  </si>
  <si>
    <t>Keegan</t>
  </si>
  <si>
    <t>Outsen</t>
  </si>
  <si>
    <t>Marshall</t>
  </si>
  <si>
    <t>Prieto</t>
  </si>
  <si>
    <t>Arens</t>
  </si>
  <si>
    <t>Dankle</t>
  </si>
  <si>
    <t>Kennedy Farr</t>
  </si>
  <si>
    <t>Pangilian</t>
  </si>
  <si>
    <t>Wenger</t>
  </si>
  <si>
    <t>Fowler</t>
  </si>
  <si>
    <t>经理 刘</t>
  </si>
  <si>
    <t>Lewis</t>
  </si>
  <si>
    <t>Yamamoto, Ben Eggers, Chris Roe</t>
  </si>
  <si>
    <t>Rauf,</t>
  </si>
  <si>
    <t>Leesirikul</t>
  </si>
  <si>
    <t>Rosenbarger</t>
  </si>
  <si>
    <t>Gosselin</t>
  </si>
  <si>
    <t>Rianwilairat</t>
  </si>
  <si>
    <t>Lindborg</t>
  </si>
  <si>
    <t>Matos Perea</t>
  </si>
  <si>
    <t>Wood</t>
  </si>
  <si>
    <t>Adiga</t>
  </si>
  <si>
    <t>Martens</t>
  </si>
  <si>
    <t>Klausner</t>
  </si>
  <si>
    <t>Koda</t>
  </si>
  <si>
    <t>Koehn</t>
  </si>
  <si>
    <t>Mungali</t>
  </si>
  <si>
    <t>Birnecker Hart</t>
  </si>
  <si>
    <t>Arbogast</t>
  </si>
  <si>
    <t>Pariyachattrakul</t>
  </si>
  <si>
    <t>Bryson</t>
  </si>
  <si>
    <t>Pack</t>
  </si>
  <si>
    <t>Bui</t>
  </si>
  <si>
    <t>Marianella Zegarra</t>
  </si>
  <si>
    <t>Banwart</t>
  </si>
  <si>
    <t>Schwarting</t>
  </si>
  <si>
    <t>Meadows</t>
  </si>
  <si>
    <t>Hearne</t>
  </si>
  <si>
    <t>Curtiss</t>
  </si>
  <si>
    <t>Dunne</t>
  </si>
  <si>
    <t>Rice</t>
  </si>
  <si>
    <t>Beharry</t>
  </si>
  <si>
    <t>Konownitzine</t>
  </si>
  <si>
    <t>Evans</t>
  </si>
  <si>
    <t>Pellerito</t>
  </si>
  <si>
    <t>Mme Ihssane responsable qualité</t>
  </si>
  <si>
    <t>Shrock</t>
  </si>
  <si>
    <t>Lanczynski</t>
  </si>
  <si>
    <t>Lawrence III</t>
  </si>
  <si>
    <t>Langley</t>
  </si>
  <si>
    <t>Wongjun</t>
  </si>
  <si>
    <t>Marcaida</t>
  </si>
  <si>
    <t>Chastain</t>
  </si>
  <si>
    <t>Gorodzinsky</t>
  </si>
  <si>
    <t>Ammirati</t>
  </si>
  <si>
    <t>Berg</t>
  </si>
  <si>
    <t>Berry</t>
  </si>
  <si>
    <t>Saltis</t>
  </si>
  <si>
    <t>KHAN</t>
  </si>
  <si>
    <t>Melnik</t>
  </si>
  <si>
    <t>丽华 梁</t>
  </si>
  <si>
    <t>Sagsveen</t>
  </si>
  <si>
    <t>Katz</t>
  </si>
  <si>
    <t>Lindley</t>
  </si>
  <si>
    <t>Paboojian</t>
  </si>
  <si>
    <t>Choobunrad</t>
  </si>
  <si>
    <t>Hunter</t>
  </si>
  <si>
    <t>Schwartz</t>
  </si>
  <si>
    <t>Taborky</t>
  </si>
  <si>
    <t>Aleksandrovna</t>
  </si>
  <si>
    <t>Bondarenko</t>
  </si>
  <si>
    <t>Richins</t>
  </si>
  <si>
    <t>Xiaobo</t>
  </si>
  <si>
    <t>Benzel</t>
  </si>
  <si>
    <t>Rossi</t>
  </si>
  <si>
    <t>Gurreonero Robinson</t>
  </si>
  <si>
    <t>Huth</t>
  </si>
  <si>
    <t>Ellerbrock</t>
  </si>
  <si>
    <t>LouisJohn Slagel</t>
  </si>
  <si>
    <t>Murphy/The OCF - Organic Consultant</t>
  </si>
  <si>
    <t>That</t>
  </si>
  <si>
    <t>Page</t>
  </si>
  <si>
    <t>Manriquez</t>
  </si>
  <si>
    <t>Salyer</t>
  </si>
  <si>
    <t>Abou Zaki</t>
  </si>
  <si>
    <t>Colombo</t>
  </si>
  <si>
    <t>Hackney</t>
  </si>
  <si>
    <t>Hertzler</t>
  </si>
  <si>
    <t>Shubham Agrawal-Manager</t>
  </si>
  <si>
    <t>Hasanuzzaman</t>
  </si>
  <si>
    <t>Tan Pek Foon</t>
  </si>
  <si>
    <t>Parmar</t>
  </si>
  <si>
    <t>Lambke</t>
  </si>
  <si>
    <t>Farfan</t>
  </si>
  <si>
    <t>Hartman</t>
  </si>
  <si>
    <t>Livingood</t>
  </si>
  <si>
    <t>Üzer</t>
  </si>
  <si>
    <t>Manzoni</t>
  </si>
  <si>
    <t>Larsson</t>
  </si>
  <si>
    <t>Denegri Baiocchi</t>
  </si>
  <si>
    <t>Chan</t>
  </si>
  <si>
    <t>Chávez García</t>
  </si>
  <si>
    <t>Jesus</t>
  </si>
  <si>
    <t>Andino</t>
  </si>
  <si>
    <t>Andres</t>
  </si>
  <si>
    <t>Kinsinger</t>
  </si>
  <si>
    <t>Petersen</t>
  </si>
  <si>
    <t>Johnsman</t>
  </si>
  <si>
    <t>Klein</t>
  </si>
  <si>
    <t>Ruiter</t>
  </si>
  <si>
    <t>Martinelli</t>
  </si>
  <si>
    <t>Srivastava</t>
  </si>
  <si>
    <t>Reyes</t>
  </si>
  <si>
    <t>Freiborg</t>
  </si>
  <si>
    <t>Massman</t>
  </si>
  <si>
    <t>Ali Ghori</t>
  </si>
  <si>
    <t>Matsuda</t>
  </si>
  <si>
    <t>Goenka</t>
  </si>
  <si>
    <t>Yoder</t>
  </si>
  <si>
    <t>Mccorkle</t>
  </si>
  <si>
    <t>Kilpatrick</t>
  </si>
  <si>
    <t>McGill</t>
  </si>
  <si>
    <t>McHargue</t>
  </si>
  <si>
    <t>Mr Karim Thabti</t>
  </si>
  <si>
    <t>Boonlai</t>
  </si>
  <si>
    <t>Mehrotra</t>
  </si>
  <si>
    <t>Macatula</t>
  </si>
  <si>
    <t>Safranek</t>
  </si>
  <si>
    <t>Mertens</t>
  </si>
  <si>
    <t>Braun</t>
  </si>
  <si>
    <t>Rue</t>
  </si>
  <si>
    <t>Crumrine</t>
  </si>
  <si>
    <t>Wortmann</t>
  </si>
  <si>
    <t>Riegler</t>
  </si>
  <si>
    <t>Nobach</t>
  </si>
  <si>
    <t>Bornemann</t>
  </si>
  <si>
    <t>Takacs</t>
  </si>
  <si>
    <t>Beiler</t>
  </si>
  <si>
    <t>Lant</t>
  </si>
  <si>
    <t>Hightower</t>
  </si>
  <si>
    <t>Carneiro</t>
  </si>
  <si>
    <t>Henning</t>
  </si>
  <si>
    <t>Shupe</t>
  </si>
  <si>
    <t>Luhrs</t>
  </si>
  <si>
    <t>Sathawara</t>
  </si>
  <si>
    <t>Steinheiser</t>
  </si>
  <si>
    <t>Milner</t>
  </si>
  <si>
    <t>Brost</t>
  </si>
  <si>
    <t>Kwaku</t>
  </si>
  <si>
    <t>Holmes</t>
  </si>
  <si>
    <t>Varghese</t>
  </si>
  <si>
    <t>Erbes</t>
  </si>
  <si>
    <t>Owens</t>
  </si>
  <si>
    <t>Stutzman</t>
  </si>
  <si>
    <t>Giles</t>
  </si>
  <si>
    <t>Iverson</t>
  </si>
  <si>
    <t>Sivaswamy</t>
  </si>
  <si>
    <t>Moore</t>
  </si>
  <si>
    <t>Team</t>
  </si>
  <si>
    <t>Morgan</t>
  </si>
  <si>
    <t>Ogino</t>
  </si>
  <si>
    <t>Morrison</t>
  </si>
  <si>
    <t>Thresher</t>
  </si>
  <si>
    <t>Mosher</t>
  </si>
  <si>
    <t>Mazzi</t>
  </si>
  <si>
    <t>Arendt</t>
  </si>
  <si>
    <t>Fellin</t>
  </si>
  <si>
    <t>Klingensmith</t>
  </si>
  <si>
    <t>Ng</t>
  </si>
  <si>
    <t>Dragovich</t>
  </si>
  <si>
    <t>Aardsma</t>
  </si>
  <si>
    <t>Murphy</t>
  </si>
  <si>
    <t>Campoverde</t>
  </si>
  <si>
    <t>Katic</t>
  </si>
  <si>
    <t>Gall</t>
  </si>
  <si>
    <t>Myers</t>
  </si>
  <si>
    <t>Hogue</t>
  </si>
  <si>
    <t>Butsai</t>
  </si>
  <si>
    <t>Mandlos</t>
  </si>
  <si>
    <t>Jantasing</t>
  </si>
  <si>
    <t>Rivera</t>
  </si>
  <si>
    <t>Montero Caycho de Sharan</t>
  </si>
  <si>
    <t>Huber</t>
  </si>
  <si>
    <t>Sanchez</t>
  </si>
  <si>
    <t>Ipek</t>
  </si>
  <si>
    <t>Micka</t>
  </si>
  <si>
    <t>Josephine Jensy - Quality Assurance officer</t>
  </si>
  <si>
    <t>Josephine Jensy-Manager</t>
  </si>
  <si>
    <t>Pfeifer</t>
  </si>
  <si>
    <t>Juhl</t>
  </si>
  <si>
    <t>Sun Ching</t>
  </si>
  <si>
    <t>Lozano</t>
  </si>
  <si>
    <t>Kempter</t>
  </si>
  <si>
    <t>Melo</t>
  </si>
  <si>
    <t>McClellan</t>
  </si>
  <si>
    <t>Gothmann</t>
  </si>
  <si>
    <t>Mr.Ajeet</t>
  </si>
  <si>
    <t>Chuck</t>
  </si>
  <si>
    <t>Chuk</t>
  </si>
  <si>
    <t>Zannoni</t>
  </si>
  <si>
    <t>Shriwas</t>
  </si>
  <si>
    <t>Xizhong</t>
  </si>
  <si>
    <t>Xiangyi</t>
  </si>
  <si>
    <t>Alcalay</t>
  </si>
  <si>
    <t>Gil</t>
  </si>
  <si>
    <t>Weed</t>
  </si>
  <si>
    <t>Dizon</t>
  </si>
  <si>
    <t>LeFebvre</t>
  </si>
  <si>
    <t>Malko</t>
  </si>
  <si>
    <t>Cole</t>
  </si>
  <si>
    <t>Ceja</t>
  </si>
  <si>
    <t>Brutlag</t>
  </si>
  <si>
    <t>Wongwishyakorn</t>
  </si>
  <si>
    <t>Kottham</t>
  </si>
  <si>
    <t>Mander</t>
  </si>
  <si>
    <t>Maravell</t>
  </si>
  <si>
    <t>England</t>
  </si>
  <si>
    <t>Abeygunawardena</t>
  </si>
  <si>
    <t>Tetherow</t>
  </si>
  <si>
    <t>Kanjanasantana</t>
  </si>
  <si>
    <t>Duling</t>
  </si>
  <si>
    <t>Reidy</t>
  </si>
  <si>
    <t>Kersula</t>
  </si>
  <si>
    <t>Forsmann</t>
  </si>
  <si>
    <t>Lamonte</t>
  </si>
  <si>
    <t>Ellson</t>
  </si>
  <si>
    <t>Santilli</t>
  </si>
  <si>
    <t>Nagalaxmi-Manager</t>
  </si>
  <si>
    <t>Fischer</t>
  </si>
  <si>
    <t>LeBaron</t>
  </si>
  <si>
    <t>Deschenes</t>
  </si>
  <si>
    <t>Spell</t>
  </si>
  <si>
    <t>Ruijang</t>
  </si>
  <si>
    <t>Cromarty</t>
  </si>
  <si>
    <t>Mikayla Markham</t>
  </si>
  <si>
    <t>Venkatesh Raju</t>
  </si>
  <si>
    <t>DeOliveira</t>
  </si>
  <si>
    <t>Kukoff</t>
  </si>
  <si>
    <t>Pincon</t>
  </si>
  <si>
    <t>Çetin</t>
  </si>
  <si>
    <t>Slater</t>
  </si>
  <si>
    <t>Naencharee</t>
  </si>
  <si>
    <t>Valadez Galeana</t>
  </si>
  <si>
    <t>Ho</t>
  </si>
  <si>
    <t>Schacht</t>
  </si>
  <si>
    <t>Gérard Baude</t>
  </si>
  <si>
    <t>Ruggiero</t>
  </si>
  <si>
    <t>Olson</t>
  </si>
  <si>
    <t>Sanders</t>
  </si>
  <si>
    <t>Burrell</t>
  </si>
  <si>
    <t>Noel</t>
  </si>
  <si>
    <t>Ouzounopoulos</t>
  </si>
  <si>
    <t>Reddy-Merupati</t>
  </si>
  <si>
    <t>O'Meara</t>
  </si>
  <si>
    <t>Santos</t>
  </si>
  <si>
    <t>Kracl</t>
  </si>
  <si>
    <t>Yong</t>
  </si>
  <si>
    <t>Channoi</t>
  </si>
  <si>
    <t>Pacheco</t>
  </si>
  <si>
    <t>Seeley</t>
  </si>
  <si>
    <t>Maria Magdalena Lugo</t>
  </si>
  <si>
    <t>Semper</t>
  </si>
  <si>
    <t>Hermach</t>
  </si>
  <si>
    <t>Escamilla</t>
  </si>
  <si>
    <t>Seshachala</t>
  </si>
  <si>
    <t>Purohit</t>
  </si>
  <si>
    <t>Thata</t>
  </si>
  <si>
    <t>Akay</t>
  </si>
  <si>
    <t>Siham Mazzal</t>
  </si>
  <si>
    <t>Claramonte</t>
  </si>
  <si>
    <t>Villette</t>
  </si>
  <si>
    <t>Karasu</t>
  </si>
  <si>
    <t>Khalil</t>
  </si>
  <si>
    <t>Olsen</t>
  </si>
  <si>
    <t>Navarro</t>
  </si>
  <si>
    <t>Reinhart</t>
  </si>
  <si>
    <t>de Groot</t>
  </si>
  <si>
    <t>Maculans</t>
  </si>
  <si>
    <t>McDaniel</t>
  </si>
  <si>
    <t>Peter Mursu</t>
  </si>
  <si>
    <t>Mustafa</t>
  </si>
  <si>
    <t>Tanwanchai</t>
  </si>
  <si>
    <t>Hernandez</t>
  </si>
  <si>
    <t>Jensen</t>
  </si>
  <si>
    <t>Badgire</t>
  </si>
  <si>
    <t>Larson</t>
  </si>
  <si>
    <t>Slabaugh</t>
  </si>
  <si>
    <t>Echo</t>
  </si>
  <si>
    <t>Steen</t>
  </si>
  <si>
    <t>Mandy Landa</t>
  </si>
  <si>
    <t>Lenz</t>
  </si>
  <si>
    <t>Schmitmeyer</t>
  </si>
  <si>
    <t>Jr.</t>
  </si>
  <si>
    <t>Paule</t>
  </si>
  <si>
    <t>Pedro Ottone</t>
  </si>
  <si>
    <t>Sensenig</t>
  </si>
  <si>
    <t>Sonia Magana</t>
  </si>
  <si>
    <t>Hozh</t>
  </si>
  <si>
    <t>N</t>
  </si>
  <si>
    <t>Gunathilaka</t>
  </si>
  <si>
    <t>Cecchin</t>
  </si>
  <si>
    <t>Peigneux</t>
  </si>
  <si>
    <t>Sukkun</t>
  </si>
  <si>
    <t>Lubas,</t>
  </si>
  <si>
    <t>Neff</t>
  </si>
  <si>
    <t>Snow</t>
  </si>
  <si>
    <t>Hiles &amp; Hamilton</t>
  </si>
  <si>
    <t>Fuller</t>
  </si>
  <si>
    <t>Ureña Merino</t>
  </si>
  <si>
    <t>Campillo Contreras</t>
  </si>
  <si>
    <t>HEIN SITTLER,</t>
  </si>
  <si>
    <t>Silva Cevallos</t>
  </si>
  <si>
    <t>Golden</t>
  </si>
  <si>
    <t>Laura Peterson</t>
  </si>
  <si>
    <t>Bondre</t>
  </si>
  <si>
    <t>Ruoyan</t>
  </si>
  <si>
    <t>Hom</t>
  </si>
  <si>
    <t>BAHIRA</t>
  </si>
  <si>
    <t>Diggs</t>
  </si>
  <si>
    <t>Carver</t>
  </si>
  <si>
    <t>Paulino Rigo</t>
  </si>
  <si>
    <t>Placke</t>
  </si>
  <si>
    <t>Pragotrat</t>
  </si>
  <si>
    <t>Whitman</t>
  </si>
  <si>
    <t>Sills</t>
  </si>
  <si>
    <t>Polit</t>
  </si>
  <si>
    <t>Shettler</t>
  </si>
  <si>
    <t>Pongpetch</t>
  </si>
  <si>
    <t>Poppe</t>
  </si>
  <si>
    <t>Pilgrim</t>
  </si>
  <si>
    <t>Muir</t>
  </si>
  <si>
    <t>Ricchiuti</t>
  </si>
  <si>
    <t>Mahin</t>
  </si>
  <si>
    <t>Mr. Sam Ath OEUR</t>
  </si>
  <si>
    <t>Pitts</t>
  </si>
  <si>
    <t>Guttman</t>
  </si>
  <si>
    <t>Preston</t>
  </si>
  <si>
    <t>Nilam Jain-Manager</t>
  </si>
  <si>
    <t>Rojas</t>
  </si>
  <si>
    <t>KR</t>
  </si>
  <si>
    <t>Coville</t>
  </si>
  <si>
    <t>Torres-Ojeda</t>
  </si>
  <si>
    <t>CASTRO BALLESTEROS</t>
  </si>
  <si>
    <t>Guerron Cevallos</t>
  </si>
  <si>
    <t>Maldonado</t>
  </si>
  <si>
    <t>Profaci</t>
  </si>
  <si>
    <t>Braunwart</t>
  </si>
  <si>
    <t>Hendrix</t>
  </si>
  <si>
    <t>Wilken</t>
  </si>
  <si>
    <t>Vilchez Melo</t>
  </si>
  <si>
    <t>Ana Bernaldez</t>
  </si>
  <si>
    <t>Lombera</t>
  </si>
  <si>
    <t>Kone</t>
  </si>
  <si>
    <t>Garnett</t>
  </si>
  <si>
    <t>Carpenter</t>
  </si>
  <si>
    <t>Larios</t>
  </si>
  <si>
    <t>Brunson</t>
  </si>
  <si>
    <t>LeSueur</t>
  </si>
  <si>
    <t>Joshi</t>
  </si>
  <si>
    <t>Honzay</t>
  </si>
  <si>
    <t>Novak</t>
  </si>
  <si>
    <t>Jarrett</t>
  </si>
  <si>
    <t>Yesang Merino</t>
  </si>
  <si>
    <t>Vargas</t>
  </si>
  <si>
    <t>Halsor</t>
  </si>
  <si>
    <t>Seleme</t>
  </si>
  <si>
    <t>Brucce</t>
  </si>
  <si>
    <t>Barco Perez</t>
  </si>
  <si>
    <t>Sherwood</t>
  </si>
  <si>
    <t>Lopez-Rodriguez</t>
  </si>
  <si>
    <t>Vohra</t>
  </si>
  <si>
    <t>Loïc BERNARD</t>
  </si>
  <si>
    <t>Rabou</t>
  </si>
  <si>
    <t>Vinicius Menoita Nogueira</t>
  </si>
  <si>
    <t>Nagendra Kumar H- CEO</t>
  </si>
  <si>
    <t>Hurd</t>
  </si>
  <si>
    <t>MARIE VERONIQUE CLAUDIA RAMANANDRAIBE</t>
  </si>
  <si>
    <t>Kabe</t>
  </si>
  <si>
    <t>Bagaria</t>
  </si>
  <si>
    <t>Motiram Dawar: Project Coordinator</t>
  </si>
  <si>
    <t>Tarun</t>
  </si>
  <si>
    <t>Linck</t>
  </si>
  <si>
    <t>Domenico</t>
  </si>
  <si>
    <t>Haselhorst</t>
  </si>
  <si>
    <t>Dutra</t>
  </si>
  <si>
    <t>Shively</t>
  </si>
  <si>
    <t>RCN</t>
  </si>
  <si>
    <t>Hervieu</t>
  </si>
  <si>
    <t>Thompson</t>
  </si>
  <si>
    <t>Dykes</t>
  </si>
  <si>
    <t>Culp</t>
  </si>
  <si>
    <t>Reist</t>
  </si>
  <si>
    <t>Higgins</t>
  </si>
  <si>
    <t>Scheck</t>
  </si>
  <si>
    <t>Flickinger</t>
  </si>
  <si>
    <t>Sinthaberg</t>
  </si>
  <si>
    <t>Sharp</t>
  </si>
  <si>
    <t>Chikkaramu-Manager</t>
  </si>
  <si>
    <t>Nelson</t>
  </si>
  <si>
    <t>Ejaz</t>
  </si>
  <si>
    <t>Chuerpanyavit</t>
  </si>
  <si>
    <t>Kamonlapat</t>
  </si>
  <si>
    <t>Riffey</t>
  </si>
  <si>
    <t>Kimberling</t>
  </si>
  <si>
    <t>Haghnazar</t>
  </si>
  <si>
    <t>Bowry</t>
  </si>
  <si>
    <t>Flaherty</t>
  </si>
  <si>
    <t>Streveler</t>
  </si>
  <si>
    <t>Leopold</t>
  </si>
  <si>
    <t>Frantzen</t>
  </si>
  <si>
    <t>TREVINO</t>
  </si>
  <si>
    <t>Zaki</t>
  </si>
  <si>
    <t>Walker</t>
  </si>
  <si>
    <t>Roberts</t>
  </si>
  <si>
    <t>Koss</t>
  </si>
  <si>
    <t>Hafer</t>
  </si>
  <si>
    <t>Wulf, Brian Bormann, Jackie Hoover</t>
  </si>
  <si>
    <t>Myrah</t>
  </si>
  <si>
    <t>Rockwell</t>
  </si>
  <si>
    <t>Nagorski</t>
  </si>
  <si>
    <t>Davy</t>
  </si>
  <si>
    <t>SHAFI Yasir</t>
  </si>
  <si>
    <t>Guerrette</t>
  </si>
  <si>
    <t>Rominger</t>
  </si>
  <si>
    <t>Kayanthini</t>
  </si>
  <si>
    <t>Keener</t>
  </si>
  <si>
    <t>Fire</t>
  </si>
  <si>
    <t>O'Donnell</t>
  </si>
  <si>
    <t>O'Connor</t>
  </si>
  <si>
    <t>Bushman</t>
  </si>
  <si>
    <t>Sobotta</t>
  </si>
  <si>
    <t>Talmadge</t>
  </si>
  <si>
    <t>Le Thi Dieu</t>
  </si>
  <si>
    <t>Vegas</t>
  </si>
  <si>
    <t>Mantey, Ken Janson, Lloyd Uhi</t>
  </si>
  <si>
    <t>V.R.</t>
  </si>
  <si>
    <t>Jagger</t>
  </si>
  <si>
    <t>Stoltzfus</t>
  </si>
  <si>
    <t>Chellani</t>
  </si>
  <si>
    <t>Anhalt</t>
  </si>
  <si>
    <t>Salate</t>
  </si>
  <si>
    <t>Raja Brij Bhushan</t>
  </si>
  <si>
    <t>Sihag</t>
  </si>
  <si>
    <t>Morankar</t>
  </si>
  <si>
    <t>Mascio</t>
  </si>
  <si>
    <t>García Rodríguez</t>
  </si>
  <si>
    <t>Pathirage</t>
  </si>
  <si>
    <t>Leelaratne</t>
  </si>
  <si>
    <t>Gaioni</t>
  </si>
  <si>
    <t>Taormina</t>
  </si>
  <si>
    <t>Tandon</t>
  </si>
  <si>
    <t>Vaidya</t>
  </si>
  <si>
    <t>Lesnikov</t>
  </si>
  <si>
    <t>Solum</t>
  </si>
  <si>
    <t>Fraley</t>
  </si>
  <si>
    <t>Semerikov</t>
  </si>
  <si>
    <t>John Schipper</t>
  </si>
  <si>
    <t>Schnorr</t>
  </si>
  <si>
    <t>Schreiner</t>
  </si>
  <si>
    <t>Vanfield</t>
  </si>
  <si>
    <t>Kim</t>
  </si>
  <si>
    <t>Gumm</t>
  </si>
  <si>
    <t>Seaworth</t>
  </si>
  <si>
    <t>Snavely</t>
  </si>
  <si>
    <t>LUQUE DE VALDIVIA</t>
  </si>
  <si>
    <t>Eduardo Toledo</t>
  </si>
  <si>
    <t>Culbertson</t>
  </si>
  <si>
    <t>Schwartzel</t>
  </si>
  <si>
    <t>González</t>
  </si>
  <si>
    <t>Clemente</t>
  </si>
  <si>
    <t>Seus</t>
  </si>
  <si>
    <t>Xiaoyu</t>
  </si>
  <si>
    <t>Bronkema</t>
  </si>
  <si>
    <t>Gill</t>
  </si>
  <si>
    <t>Muhammad Ismail,</t>
  </si>
  <si>
    <t>Shafi,</t>
  </si>
  <si>
    <t>Mapiye</t>
  </si>
  <si>
    <t>Shahid</t>
  </si>
  <si>
    <t>PAZ MONGE,</t>
  </si>
  <si>
    <t>Ye</t>
  </si>
  <si>
    <t>Zhitian</t>
  </si>
  <si>
    <t>雅婷 温</t>
  </si>
  <si>
    <t>Sweetin</t>
  </si>
  <si>
    <t>Mr. Rajiv Sharma</t>
  </si>
  <si>
    <t>PALIWAL</t>
  </si>
  <si>
    <t>Tatte</t>
  </si>
  <si>
    <t>Qiushi</t>
  </si>
  <si>
    <t>Sheppard</t>
  </si>
  <si>
    <t>Sheridan</t>
  </si>
  <si>
    <t>Bhatt</t>
  </si>
  <si>
    <t>LeClaire</t>
  </si>
  <si>
    <t>Kirthy sharma</t>
  </si>
  <si>
    <t>Khandelwal</t>
  </si>
  <si>
    <t>Agarwal</t>
  </si>
  <si>
    <t>Power</t>
  </si>
  <si>
    <t>Knop</t>
  </si>
  <si>
    <t>Vannak</t>
  </si>
  <si>
    <t>Chammaa</t>
  </si>
  <si>
    <t>Tutar</t>
  </si>
  <si>
    <t>Cook</t>
  </si>
  <si>
    <t>HERRADA DE LA FLOR</t>
  </si>
  <si>
    <t>Herrada</t>
  </si>
  <si>
    <t>Chambi Huayllani</t>
  </si>
  <si>
    <t>Ahktar</t>
  </si>
  <si>
    <t>Benz</t>
  </si>
  <si>
    <t>Huayllani Marca</t>
  </si>
  <si>
    <t>Piatanom</t>
  </si>
  <si>
    <t>Khiani</t>
  </si>
  <si>
    <t>Hettinger</t>
  </si>
  <si>
    <t>Hanitriniony Landiharijaona RAMAHAVORY</t>
  </si>
  <si>
    <t>Avendaño</t>
  </si>
  <si>
    <t>Huayllani Villca</t>
  </si>
  <si>
    <t>Stephane SENAN (Ethiquable, client)</t>
  </si>
  <si>
    <t>M. Hichem Bouassida</t>
  </si>
  <si>
    <t>JABRI ALI</t>
  </si>
  <si>
    <t>Bandara</t>
  </si>
  <si>
    <t>Fox</t>
  </si>
  <si>
    <t>Tripathi</t>
  </si>
  <si>
    <t>Lessa</t>
  </si>
  <si>
    <t>Lindsey</t>
  </si>
  <si>
    <t>Komal Jain</t>
  </si>
  <si>
    <t>HAMED DJABARE</t>
  </si>
  <si>
    <t>Mellick</t>
  </si>
  <si>
    <t>Dixon</t>
  </si>
  <si>
    <t>Hilsdon</t>
  </si>
  <si>
    <t>Sidhu</t>
  </si>
  <si>
    <t>Reddy</t>
  </si>
  <si>
    <t>Manns</t>
  </si>
  <si>
    <t>Kleinwort</t>
  </si>
  <si>
    <t>Hasenkamp</t>
  </si>
  <si>
    <t>BHARGAVA</t>
  </si>
  <si>
    <t>Monson</t>
  </si>
  <si>
    <t>Tarunn Goel</t>
  </si>
  <si>
    <t>Steele, Doug Steele, Matt Stawowy</t>
  </si>
  <si>
    <t>Debbie Steenkamp</t>
  </si>
  <si>
    <t>Steigman</t>
  </si>
  <si>
    <t>Sinclair</t>
  </si>
  <si>
    <t>Crescente</t>
  </si>
  <si>
    <t>McKaskle</t>
  </si>
  <si>
    <t>Stiebrs</t>
  </si>
  <si>
    <t>Goldmark</t>
  </si>
  <si>
    <t>Stredwick</t>
  </si>
  <si>
    <t>Carp</t>
  </si>
  <si>
    <t>Tomassini de Tomys</t>
  </si>
  <si>
    <t>SUBIAS LACAMBRA</t>
  </si>
  <si>
    <t>Sudbeck</t>
  </si>
  <si>
    <t>Sugimoto</t>
  </si>
  <si>
    <t>Mamani</t>
  </si>
  <si>
    <t>Tejada de Quiroga</t>
  </si>
  <si>
    <t>Trimble-Hauck</t>
  </si>
  <si>
    <t>Thukral</t>
  </si>
  <si>
    <t>Carr</t>
  </si>
  <si>
    <t>Dubina</t>
  </si>
  <si>
    <t>Strohan</t>
  </si>
  <si>
    <t>Bischoff</t>
  </si>
  <si>
    <t>Hunt</t>
  </si>
  <si>
    <t>Depaz</t>
  </si>
  <si>
    <t>An</t>
  </si>
  <si>
    <t>Baxter</t>
  </si>
  <si>
    <t>Kubiak</t>
  </si>
  <si>
    <t>Friedman</t>
  </si>
  <si>
    <t>Thongpan</t>
  </si>
  <si>
    <t>S</t>
  </si>
  <si>
    <t>Polson</t>
  </si>
  <si>
    <t>Ladawan</t>
  </si>
  <si>
    <t>Mr. Praveen Kumar</t>
  </si>
  <si>
    <t>Sirisuck</t>
  </si>
  <si>
    <t>Choubey</t>
  </si>
  <si>
    <t>Thelen</t>
  </si>
  <si>
    <t>Ruzicka</t>
  </si>
  <si>
    <t>Diehle</t>
  </si>
  <si>
    <t>Kireev</t>
  </si>
  <si>
    <t>Siddique</t>
  </si>
  <si>
    <t>Van Tai</t>
  </si>
  <si>
    <t>Ming</t>
  </si>
  <si>
    <t>Tardella</t>
  </si>
  <si>
    <t>Trujillo Herrera</t>
  </si>
  <si>
    <t>Talwar</t>
  </si>
  <si>
    <t>Mr. Sandeep Pandey</t>
  </si>
  <si>
    <t>Song Saran</t>
  </si>
  <si>
    <t>Biçer</t>
  </si>
  <si>
    <t>Carlson</t>
  </si>
  <si>
    <t>Buskirk</t>
  </si>
  <si>
    <t>Botts</t>
  </si>
  <si>
    <t>Waller</t>
  </si>
  <si>
    <t>Kamyshov</t>
  </si>
  <si>
    <t>Kanyarat Poemsanam (Tan)</t>
  </si>
  <si>
    <t>Chaikhum</t>
  </si>
  <si>
    <t>Rattanachaichancharoen</t>
  </si>
  <si>
    <t>Hor-thaisong</t>
  </si>
  <si>
    <t>Parkinson</t>
  </si>
  <si>
    <t>McFetridge</t>
  </si>
  <si>
    <t>Casanova</t>
  </si>
  <si>
    <t>Aguirre</t>
  </si>
  <si>
    <t>Steinbeck</t>
  </si>
  <si>
    <t>Avalos</t>
  </si>
  <si>
    <t>Malcolm</t>
  </si>
  <si>
    <t>Dubard</t>
  </si>
  <si>
    <t>Copher</t>
  </si>
  <si>
    <t>Alvarez</t>
  </si>
  <si>
    <t>Steinmetz</t>
  </si>
  <si>
    <t>Guerrero</t>
  </si>
  <si>
    <t>Kadlec</t>
  </si>
  <si>
    <t>LaCourse</t>
  </si>
  <si>
    <t>Barns</t>
  </si>
  <si>
    <t>Nash</t>
  </si>
  <si>
    <t>Lai</t>
  </si>
  <si>
    <t>张 德洪</t>
  </si>
  <si>
    <t>Shakra</t>
  </si>
  <si>
    <t>Hardy</t>
  </si>
  <si>
    <t>Huerta</t>
  </si>
  <si>
    <t>Hardenbrook</t>
  </si>
  <si>
    <t>Traphagan</t>
  </si>
  <si>
    <t>Quach</t>
  </si>
  <si>
    <t>Ferbel-Azcarate</t>
  </si>
  <si>
    <t>Montoya</t>
  </si>
  <si>
    <t>Renjie</t>
  </si>
  <si>
    <t>Wah</t>
  </si>
  <si>
    <t>Tiensvold</t>
  </si>
  <si>
    <t>Fishgold</t>
  </si>
  <si>
    <t>Black</t>
  </si>
  <si>
    <t>Timmermans</t>
  </si>
  <si>
    <t>Eisenbeis</t>
  </si>
  <si>
    <t>Zaidi</t>
  </si>
  <si>
    <t>McAlpine</t>
  </si>
  <si>
    <t>Tom Holloway Jr.</t>
  </si>
  <si>
    <t>Covelli</t>
  </si>
  <si>
    <t>Rouwaida Toufayly</t>
  </si>
  <si>
    <t>Mostafa</t>
  </si>
  <si>
    <t>Olaoshebikan</t>
  </si>
  <si>
    <t>Pérez Rodriguez</t>
  </si>
  <si>
    <t>Weber</t>
  </si>
  <si>
    <t>Tepkasetkul</t>
  </si>
  <si>
    <t>Viet</t>
  </si>
  <si>
    <t>Strowman</t>
  </si>
  <si>
    <t>Slee</t>
  </si>
  <si>
    <t>Hollerich</t>
  </si>
  <si>
    <t>Sanderson</t>
  </si>
  <si>
    <t>Shabih</t>
  </si>
  <si>
    <t>Hoppe</t>
  </si>
  <si>
    <t>Knutson</t>
  </si>
  <si>
    <t>Levitt</t>
  </si>
  <si>
    <t>Nugent</t>
  </si>
  <si>
    <t>Hergert</t>
  </si>
  <si>
    <t>Nickels</t>
  </si>
  <si>
    <t>Kruse</t>
  </si>
  <si>
    <t>Belder</t>
  </si>
  <si>
    <t>Nojoumi</t>
  </si>
  <si>
    <t>Buhler</t>
  </si>
  <si>
    <t>Barr</t>
  </si>
  <si>
    <t>Chalmers</t>
  </si>
  <si>
    <t>Whittle</t>
  </si>
  <si>
    <t>Hergenreder</t>
  </si>
  <si>
    <t>Aitel</t>
  </si>
  <si>
    <t>Pitcher</t>
  </si>
  <si>
    <t>Khamphupong</t>
  </si>
  <si>
    <t>Kittrongsiri</t>
  </si>
  <si>
    <t>Santana</t>
  </si>
  <si>
    <t>Beraud</t>
  </si>
  <si>
    <t>Deocampo</t>
  </si>
  <si>
    <t>Krause</t>
  </si>
  <si>
    <t>Lien</t>
  </si>
  <si>
    <t>White</t>
  </si>
  <si>
    <t>Innocenti</t>
  </si>
  <si>
    <t>Park</t>
  </si>
  <si>
    <t>of Maine</t>
  </si>
  <si>
    <t>Dufner</t>
  </si>
  <si>
    <t>Thanaporn  Rojvanit</t>
  </si>
  <si>
    <t>Nicholas E. Brammeier</t>
  </si>
  <si>
    <t>Rogério de Castro Silva</t>
  </si>
  <si>
    <t>Flowers</t>
  </si>
  <si>
    <t>Y</t>
  </si>
  <si>
    <t>Mendez</t>
  </si>
  <si>
    <t>Valenzuela</t>
  </si>
  <si>
    <t>Chambers</t>
  </si>
  <si>
    <t>Camozzi</t>
  </si>
  <si>
    <t>Haverkamp</t>
  </si>
  <si>
    <t>Rajpurohit</t>
  </si>
  <si>
    <t>Rathore</t>
  </si>
  <si>
    <t>Rao</t>
  </si>
  <si>
    <t>Vandaele</t>
  </si>
  <si>
    <t>Vanderhart</t>
  </si>
  <si>
    <t>Christelle -</t>
  </si>
  <si>
    <t>Vapza</t>
  </si>
  <si>
    <t>Detweiler</t>
  </si>
  <si>
    <t>Kilroy</t>
  </si>
  <si>
    <t>Kearns</t>
  </si>
  <si>
    <t>Caquegua Cruz</t>
  </si>
  <si>
    <t>Van Hung</t>
  </si>
  <si>
    <t>Thi My Ngan</t>
  </si>
  <si>
    <t>Bhatia</t>
  </si>
  <si>
    <t>Soledad Prado</t>
  </si>
  <si>
    <t>Duong</t>
  </si>
  <si>
    <t>Lam Vien</t>
  </si>
  <si>
    <t>Hoover</t>
  </si>
  <si>
    <t>Vitelli</t>
  </si>
  <si>
    <t>Campos</t>
  </si>
  <si>
    <t>Volkmann</t>
  </si>
  <si>
    <t>Dmitry Sergeevich</t>
  </si>
  <si>
    <t>Prakash Raval</t>
  </si>
  <si>
    <t>Groves</t>
  </si>
  <si>
    <t>Drummond</t>
  </si>
  <si>
    <t>Kisaka</t>
  </si>
  <si>
    <t>Nanten</t>
  </si>
  <si>
    <t>Sputo</t>
  </si>
  <si>
    <t>Torres</t>
  </si>
  <si>
    <t>Al Sudais</t>
  </si>
  <si>
    <t>Wegman</t>
  </si>
  <si>
    <t>Prigge</t>
  </si>
  <si>
    <t>Wells</t>
  </si>
  <si>
    <t>Werner</t>
  </si>
  <si>
    <t>Bailey</t>
  </si>
  <si>
    <t>Quinn</t>
  </si>
  <si>
    <t>Wong</t>
  </si>
  <si>
    <t>Ankit Parajapat</t>
  </si>
  <si>
    <t>Turner</t>
  </si>
  <si>
    <t>Crowley</t>
  </si>
  <si>
    <t>Magnuson</t>
  </si>
  <si>
    <t>Ruhkamp</t>
  </si>
  <si>
    <t>Tabin</t>
  </si>
  <si>
    <t>Danielsen</t>
  </si>
  <si>
    <t>Gerritsen</t>
  </si>
  <si>
    <t>Solis</t>
  </si>
  <si>
    <t>Matuska</t>
  </si>
  <si>
    <t>Du</t>
  </si>
  <si>
    <t>Richter</t>
  </si>
  <si>
    <t>Toering</t>
  </si>
  <si>
    <t>Kullik</t>
  </si>
  <si>
    <t>Rovira</t>
  </si>
  <si>
    <t>Muhammad Bakhsh</t>
  </si>
  <si>
    <t>Hong</t>
  </si>
  <si>
    <t>Yanjun</t>
  </si>
  <si>
    <t>CARRASCO</t>
  </si>
  <si>
    <t>YANG</t>
  </si>
  <si>
    <t>Dwipa</t>
  </si>
  <si>
    <t>Zhigang</t>
  </si>
  <si>
    <t>Kang</t>
  </si>
  <si>
    <t>Peng</t>
  </si>
  <si>
    <t>Barbi</t>
  </si>
  <si>
    <t>Yost</t>
  </si>
  <si>
    <t>Dalzell Martinez</t>
  </si>
  <si>
    <t>Hernandez Vasquez</t>
  </si>
  <si>
    <t>Natale</t>
  </si>
  <si>
    <t>Zook</t>
  </si>
  <si>
    <t>Operation Certification Status</t>
  </si>
  <si>
    <t>Certified/ Surrendered/ Suspended/ Revoked</t>
  </si>
  <si>
    <t>Certified</t>
  </si>
  <si>
    <t>Effective Date of Operation Status</t>
  </si>
  <si>
    <t>Date the selected Operation Certification Status became effective. MM/DD/YYYY</t>
  </si>
  <si>
    <t>NOP Anniversary Date</t>
  </si>
  <si>
    <t>Date of annual update for certificate, at operation level. May include renewal, inspection, or verification.        MM/DD/YYYY</t>
  </si>
  <si>
    <t>CROPS Scope Certification Status</t>
  </si>
  <si>
    <t>Certified/ Surrendered/ Suspended</t>
  </si>
  <si>
    <t>Surrendered</t>
  </si>
  <si>
    <t>Effective Date of CROPS Status</t>
  </si>
  <si>
    <t>MM/DD/YYYY</t>
  </si>
  <si>
    <t>Certified Products Under CROPS Scope</t>
  </si>
  <si>
    <t>Category: Item Name/Other Item (Item Variety)</t>
  </si>
  <si>
    <t>Field/Forageable: Alfalfa, Grain hay (Oats, rye, triticale, wheat), Grain legume hay (Wheat, field peas), Grain seed (Triticale, wheat), Pasture</t>
  </si>
  <si>
    <t>Other: Vegetables: arugula, artichoke, beans-green, beans-dried, beets, broccoli, brussels sprouts, cabbage, cardoon, carrots, cauliflower, celery, chard, collards, corn-sweet, cucumbers, eggplant, garden huckleberry, garlic, ginger, gourds, greens-mix, ground cherries, hopniss, horseradish, kale, leeks, lettuce-heads, melons, molokhia, musk mallow, mustard greens/ mizuna, okra, onions, parsnips, peas, peppers, peppers-hot, potatoes, pumpkins, radicchio, radishes, rhubarb, roselle, rutabaga, salsify, scallions, scorzonera, shallots, spinach, squash-summer, squash-winter, stinging nettle, sunchokes, sweet potatoes, tomatoes, tomatoes-heirloom, tomatoes-cherry, turmeric, turnips, uvilla Herbs: Agastache, basil, bergamot, borage, caraway, catnip, chamomile, chervil, chives, cilantro, cumin, dill, epazote, fennel, fever few, ginseng, golden alexanders, goldenseal, horehound, hyssop, ironweed, lemon balm, lemon grass, lovage, marigold, marjoram, marshmallow, mints, moldavian balm, nepitella, New Jersey tea, oregano, parsley, quilquina, rosemary, rue, saffron, sage, savory, stevia, talinum, tarragon, thyme, verbena Flowers: cut flower-perennials, cut flower-annuals, biannuals, edible flowers Berries- blackberries, blueberries, currants, raspberries, strawberries Fruit &amp; Nut Trees: figs, persimmon Field Crops &amp; Grains: rice, rye, sunflower, wheat Pasture</t>
  </si>
  <si>
    <t>Tuber/Root Vegetables: Carrots (Carrot), Galangal (Galangal), Garlic (Garlic), Onions (Onion), Shallots (Shallot); Stem Vegetables: Asparagus (Asparagus); Seed/Pod Vegetables: Beans (Long Beans), Beans (Mung bean), Corn (Baby corn), Edamame (Edamame), Green Beans (French Bean), Kidney Beans (Kidney Bean), Okra (Okra), Peas (Snow Pea), Peas (Sugar snap pea); Nursery/Starts/Flowers/Trees: Flowers (Butterfly Pea (Clitoria ternatea)); Leaf Vegetables: Kale (Kale), Leaf Vegetables (Lettuce cos (romaine)), Leaf Vegetables (Cabbage), Leaf Vegetables (Chinese Broccoli), Leaf Vegetables (Chinese kale), Lettuce (Green oak lettuce), Lettuce (Red oak lettuce), Spinach (Spinach); Herbs/Spices: Basil (Basil/Tulsi), Fingerroot (Finger roots), Ginger (Ginger), Herbs (Kaffir Lime leaves), Herbs (Morning Glory), Herbs (Zingiber zerumbet), Lemon Grass (Lemongrass), Mint (Mint), Thyme (Thyme), Turmeric (Turmeric); Fruit Vegetables: Chilli, Cucumbers (Cucumber), Gourds (Gourds), Gourds (Bitter Gourd), Pepper (Pepper), Pumpkins (Pumpkin), Tamarind, Tomatoes (Tomato); Fruit - Tropical Fruits: Bananas (Banana), Coconuts (Coconut), Dragonfruits (Red dragon fruit), Dragonfruits (Dragon fruit), Durians (Durians), Jackfruits (Jackfruit), Jackfruits (Jackfruit Halves), Longans (Longan), Mangos (Mangoes), Neems (Neem (Azadirachta indica)), Noni (Noni), Papayas (Papaya), Passionfruits (Passion fruit), Passionfruits (Passion Fruit Cubes), Pineapples (Pineapple), Rambutans (Rambutan), Tropical Fruits (Rose apple), Tropical Fruits (Santol), Tropical Fruits (Wollongong (South Langsat)), Tropical Fruits (Custard apple); Fruit - Stone: Avocados (Avocado/Bo huu co); Fruit - Melons: Melons (Melon), Watermelons (Watermelon); Fruit - Citrus Fruits: Guavas (Guava), Lemons (Lemon), Limes (Lime), Mangosteen (Mangosteen); Fruit - Berries: Lychee (Lychee); Field/Forageable: Aloe Vera (Aloe vera), Cacao (Cocoa), Coffee (Coffee), Pandanus leaves, Rice (Rice), Soybeans (Soy bean)</t>
  </si>
  <si>
    <t>Field/Forageable: Corn, Soybeans, Sunflowers, Wheat</t>
  </si>
  <si>
    <t>Other: Cherries, Hay, Oats, Pasture, Rye, Sorghum Sudan</t>
  </si>
  <si>
    <t>Field/Forageable: Cotton (COR Equivalent), Grain Sorghum, Haygrazer, Rye, Rye Mix,  Winter Wheat</t>
  </si>
  <si>
    <t>Field/Forageable: Rice (Long Grain)</t>
  </si>
  <si>
    <t>Field/Forageable: Alfalfa, Clover, Corn, Field Crop (Peas), Grass, Grass (Orchardgrass), Hay, Oats, Pasture, Rye, Ryegrass, Soybeans, Sudan Grass, Timothy Grass, Triticale, Wheat</t>
  </si>
  <si>
    <t>Other: *Corn (blue, *red, *rainbow), *Land, *Soybeans, *Wheat (spelt)</t>
  </si>
  <si>
    <t>Seed/Pod Vegetables: Beans; Field/Forageable: Pasture; Other: Cover Crop, Seed (daptive Seeds Summer Season Lettuce Mix), Seeds, Transplants, Woodlands</t>
  </si>
  <si>
    <t>Other: Kharif 2023/2024: Raw cotton, soybean, white sesame - Rabi: Chickpea, wheat grain, maize grain</t>
  </si>
  <si>
    <t>Other: Apple (Cripps Pink), Apple (Granny Smith), Blueberry (Brightwell), Blueberry (Brigitta), Blueberry (Tifblue), Cucumber - Seed, Grain corn - Seed, Oat, Peas, Squash - Seed, Sweetcorn - Seed</t>
  </si>
  <si>
    <t>Tuber/Root Vegetables: Maca, Sweet Potatoes; Leaf Vegetables: Cabbage, Lettuce; Herbs/Spices: Rosemary, Thyme; Fruit Vegetables: Eggplants; Fruit - Tropical Fruits: Avocados; Fruit - Berries: Blueberries, Strawberries; Field/Forageable: Fallow</t>
  </si>
  <si>
    <t>Seed/Pod Vegetables: Flax (Flax), Lentils (Lentils), Peas (Pea); Herbs/Spices: Sunflowers (Sunflower); Field/Forageable: Barley (Barley), Buckwheat (Buckwheat), Corn (Corn), Millet (Millet), Oats (Oat, Vica Oat), Rye (Rye), Spelt (Spelt), Wheat (Wheat, Winter wheat); Other: Sainfoin (Sainfoin), Soybeans (Soybean, Soybean meal), Spring rape, Winter rape, Triticale (Triticale)</t>
  </si>
  <si>
    <t>Other: Grain corn</t>
  </si>
  <si>
    <t>Fruit Vegetables: Potatoes; Field/Forageable: Barley, Canola, Corn, Millet, Peas, Soybeans, Sunflowers, Wheat</t>
  </si>
  <si>
    <t>Tuber/Root Vegetables: Scallions (Green onion/scallion), Sweet Potatoes; Stem Vegetables: Celery; Seed/Pod Vegetables: Beans, Corn; Leaf Vegetables: Spinach; Herbs/Spices: Basil, Basil (Purple basil), Chives, Cilantro, Lemon Grass, Marjoram, Mint, Moringa, Parsley, Rosemary, Sage, Thyme; Fruit Vegetables: Cactus (Maxixe (a type of gherkin)), Peppers (Sweet pepper); Fruit - Tropical Fruits: Bananas, Coconuts, Coconuts (Dried coconut), Coconuts (Green coconut), Dragonfruits, Mangos, Papayas, Papayas (Formosa papaya), Passionfruits, Pomegranates, Starfruits, Tropical Fruits (Tamarind), Tropical Fruits (Yellow mombin), Tropical Fruits (Pitomba), Tropical Fruits (Genipap), Tropical Fruits (Malay apple), Tropical Fruits (Cashew); Fruit - Stone: Acerolas, Cherries (Red pitanga (Brazilian cherry)), Olives (Black olive), Plums (Hog plum), Plums (Spanish plum); Fruit - Melons: Watermelons; Fruit - Citrus Fruits: Lemons (Sicilian lemon), Limes, Tropical Fruits (Sapodilla), Tropical Fruits (Soursop); Flower Vegetables: Broccoli</t>
  </si>
  <si>
    <t>Seed/Pod Vegetables: Corn (Corn); Field/Forageable: Wheat (Wheat); Other: Paddy</t>
  </si>
  <si>
    <t>Tuber/Root Vegetables: Beets (Beet), Garlic (Garlic), Onions (Onion); Seed/Pod Vegetables: Navy Beans (Beans); Herbs/Spices: Anise (Anise - fresh), Basil - fresh, Fennel, Geranium - fresh, Hibiscus - fresh, Nigella (Nigella - fresh); Field/Forageable: Clover (Clover), Corn (Maize), Wheat (Wheat); Other: Sesame (Sesame), Soybeans (Soybean)</t>
  </si>
  <si>
    <t>Tuber/Root Vegetables: Garlic (Garlic), Onions (Onion); Seed/Pod Vegetables: Navy Beans (Beans); Herbs/Spices: Basil - fresh, Spearmint - fresh, Chamomile (Chamomile - fresh), Parsley (Parsley - fresh), Peppermint (Peppermint - fresh); Field/Forageable: Alfalfa (Alfalfa - fresh), Clover (Clover), Corn (Maize), Wheat (Wheat); Other: Cotton (Cotton), Sesame (Sesame), Soybeans (Soybean)</t>
  </si>
  <si>
    <t>Other: Alfalfa, Anise, Basil, Beet, Chamomile, Clover, Cotton, Cumin (Nigella Sativa ), Durum wheat, Echinacea, Fennel, Garlic, Geranium, Grain corn, Hibiscus, Jojoba, Leek, Lemongrass, Licorice, Mint, Parsley, Rose, Rosemary, Sage, Senna alexandrina, Sesame</t>
  </si>
  <si>
    <t>Seed/Pod Vegetables: Corn; Field/Forageable: Alfalfa, Clover, Oats, Pasture, Sorghum, Soybeans, Straw, Wheat</t>
  </si>
  <si>
    <t>Field/Forageable: Pasture, Spelt (grain/straw), Hay, Corn</t>
  </si>
  <si>
    <t>Other: Fruits and Vegetables: Chestnuts, Corn-Popcorn, Cotton, Cotton Seed, Cucumbers, Cucumber Seed, Grain-Sorghum, Okra, Okra Seed, Summer Squash, Summer Squash Seed, Sweet Peppers, Sweet Pepper Seed, Tomatoes-Heirloom, Tomatoes-Heirloom Seed, Wheat</t>
  </si>
  <si>
    <t>Other: corn, wheat, soybeans, grain</t>
  </si>
  <si>
    <t>Field/Forageable: Wheat (Wheat); Other: Paddy(Basmathi), Paddy(Long grain)</t>
  </si>
  <si>
    <t>Other: Bajra, Bengal Gram, Maize Grain, Pigeon Pea, Raw Cotton, Wheat</t>
  </si>
  <si>
    <t>Other: Bajara, Bengal Gram, Maize Grain, Raw Cotton, Wheat</t>
  </si>
  <si>
    <t>Other: Bengal Gram, Jowar, Maize grain, Pigeon Pea, Raw Cotton, Wheat</t>
  </si>
  <si>
    <t>Field/Forageable: Sesame (Black and White*); Other: Chia*</t>
  </si>
  <si>
    <t>Tuber/Root Vegetables: Tubers (Camote = 5,000.00 kg); Fruit - Tropical Fruits: Bananas (Banana= 55,000.00 Kg.), Passionfruits (Maracuyá = 5,000.00 Kg.)</t>
  </si>
  <si>
    <t>Other: Cacao grains</t>
  </si>
  <si>
    <t>Other: Black Gram, Green Gram, Maize Grain, Paddy (Sona Masuri), Ragi, RNR (Non Basmati Paddy)</t>
  </si>
  <si>
    <t>Field/Forageable: Rice (Black rice, Hommali rice, Local rice varities, RD 15 rice, Red Rice, Red Sticky Rice, Rice Berry rice, Sticky Rice (RD 6))</t>
  </si>
  <si>
    <t>Field/Forageable: Rice (Hommali (paddy))</t>
  </si>
  <si>
    <t>Other: Bajara, Bengal Gram, Maize Grain, Pigeon Pea, Raw Cotton, Wheat</t>
  </si>
  <si>
    <t>Other: Bengal Gram, Jowar, Maize Grain, Pigeon Pea, Raw Cotton, Wheat</t>
  </si>
  <si>
    <t>Fungi: Mushrooms</t>
  </si>
  <si>
    <t>Other: Biodiversity area, Other bush fruits</t>
  </si>
  <si>
    <t>Tuber/Root Vegetables: Garlic; Herbs/Spices: Herbs; Fruit Vegetables: Tomatoes; Fruit - Melons: Watermelons</t>
  </si>
  <si>
    <t>Other: Alfalfa, Einkorn, Emmer, Hard White Wheat, and Spelt</t>
  </si>
  <si>
    <t>Field/Forageable: Quinoa (Quinoa Black, Quinoa Red, Quinoa White)</t>
  </si>
  <si>
    <t>Tuber/Root Vegetables: Carrots (Carrots (Seed)); Seed/Pod Vegetables: Corn (Corn - Sweet Corn), Peas (Peas); Field/Forageable: Corn (Corn), Corn (Corn: Grain Corn)</t>
  </si>
  <si>
    <t>Herbs/Spices: Grains of Paradise, Turmeric, Vanilla; Fruit - Tropical Fruits: Bananas, Cocoa, Cupuaçu, Dragonfruits, Jabuticaba, Jackfruits, Jenipap; Fruit - Stone: Avocados</t>
  </si>
  <si>
    <t>Tuber/Root Vegetables: Black mashua, Peruvian ground apple, Potatoes; Herbs/Spices: Annatto, Chamomile, Fennel, Lemon Balm, Lemon Verbena, Mint, Pepper, Turmeric; Fruit - Tropical Fruits: Tropical Fruits; Flower Vegetables: Artichokes; Field/Forageable: Fallow, Fallow, Muña, Pimpernel</t>
  </si>
  <si>
    <t>Field/Forageable: Corn Grain, Corn (Cut for Silage), Cotton, Sorghum Grain, Sorghum (Cut for Silage), Soybeans, Wheat</t>
  </si>
  <si>
    <t>Field/Forageable: Hay (Hay), Pasture (Pasture), Sudan Grass (Sudan Grass); Other: Mixed Vegetables, Other, Transplants (220 sq. ft.)</t>
  </si>
  <si>
    <t>Fruit - Tropical Fruits: Dates (Dates (Aseel)); Field/Forageable: Sesame (Seasme), Wheat (Wheat); Other: Paddy</t>
  </si>
  <si>
    <t>Field/Forageable: Quinoa (Black quinoa, Red quinoa, White quinoa)</t>
  </si>
  <si>
    <t>Other: Cocoa grains</t>
  </si>
  <si>
    <t>Field/Forageable: Quinoa (White Royal Quinoa)</t>
  </si>
  <si>
    <t>Field/Forageable: Quinoa (White quinoa)</t>
  </si>
  <si>
    <t>Field/Forageable: Quinoa (White Royal Quinoa*), Quinoa (Red Royal Quinoa*)</t>
  </si>
  <si>
    <t>Herbs/Spices: Cardamom (Cardamomo (Elettaria caradamomum)); Fruit - Tropical Fruits: Cacao (Cacao (Theobroma cacao)); Other: Coffee (Café pergamino (coffee arabica)), Peanuts (Cacahuate Maní Grano)</t>
  </si>
  <si>
    <t>Fruit Vegetables: Cacao</t>
  </si>
  <si>
    <t>Fruit - Tropical Fruits: Cacao (Cacao (Theobroma cacao))</t>
  </si>
  <si>
    <t>Tuber/Root Vegetables: Radishes; Stem Vegetables: Asparagus, Rhubarb; Seed/Pod Vegetables: Beans; Nursery/Starts/Flowers/Trees: Flowers, Seeds, Transplants; Leaf Vegetables: Lettuce; Fruit Vegetables: Peppers, Tomatoes; Fruit - Berries: Raspberries; Field/Forageable: Corn, Cover Crop, Fallow, Grain, Hemp, Pasture, Popcorn; Other: Mixed Fruits &amp; Vegetables</t>
  </si>
  <si>
    <t>Field/Forageable: Wheat; Other: Paddy (Basmathi)</t>
  </si>
  <si>
    <t>Seed/Pod Vegetables: Peas; Field/Forageable: All other grains, Buckwheat, Oats, Soybeans, Wheat; Other: cover crop</t>
  </si>
  <si>
    <t>Other: Kharif: Soybean, raw cotton, pigeon pea, maize grain; Rabi: Maize grain, chickpea, wheat</t>
  </si>
  <si>
    <t>Field/Forageable: Wheat</t>
  </si>
  <si>
    <t>Seed/Pod Vegetables: Archiote (Achiote (Bixa orellana) - Achiote (Bixa orellana)); Herbs/Spices: Turmeric (Curcuma (Curcuma longa)); Fruit - Tropical Fruits: Bananas (Plantain (Musa Paradisiaca) - Platano (Musa Paradisiaca)), Cacao (Cacao (Theobroma cacao))</t>
  </si>
  <si>
    <t>Tuber/Root Vegetables: Sweet Potatoes; Nursery/Starts/Flowers/Trees: Miscellaneous Flowers, Transplants (See Farm Products for list); Herbs/Spices: Turmeric; Fruit Vegetables: Cucumbers, Cucumbers, Peppers, Tomatoes; Fruit - Stone: Apricots, Cherries, Nectarines, Peaches, Plums; Fruit - Pome: Apples, Pears; Fruit - Berries: Blueberries, Blueberries, Grapes, Raspberries, Strawberries; Field/Forageable: Alfalfa, Fallow, Grass Hay, Pasture, Rangeland Pasture, Spelt, Wheat, Wheat; Other: Cover Crop, Crop (Hemp), Crop (Misc. Fruit Seeds), Crop (Misc. Grain Seeds), Crop (Misc. Herb/Spices Seeds), Crop (Misc. Vegetable Seeds), Fig Tree, Flower Seeds, Flower Transplants, Grape Leaves, Hemp Extract, Herbs Transplants, Mixed Vegetables, Planting Stock (Fruit), Seeds, Vegetable Seeds, Vegetable Transplants</t>
  </si>
  <si>
    <t>Other: Kharif 2023/2024: Sugercane, raw cotton - Rabi: Green gram, sugarcane, wheat, chickpea, maize grain</t>
  </si>
  <si>
    <t>Other: Kharif 2023/2024: Raw cotton, soybean, black gram - Rabi: Sugarcane, chickpea, maize grain</t>
  </si>
  <si>
    <t>Other: Wheat grain, maize grain, raw cotton, pigeon pea, sugarcane</t>
  </si>
  <si>
    <t>Seed/Pod Vegetables: Beans; Field/Forageable: All other grains</t>
  </si>
  <si>
    <t>Seed/Pod Vegetables: Soybeans; Field/Forageable: Corn (Yellow), Hay, Pasture, Straw, Sudan Grass, Triticale, Wheat (Soft red winter)</t>
  </si>
  <si>
    <t>Field/Forageable: Alfalfa Hay &amp; Grain, Barley Straw &amp; Grain</t>
  </si>
  <si>
    <t>Field/Forageable: Alfalfa Hay, Triticale Hay, Three Grain (Wheat, Barley &amp; Oat) Hay</t>
  </si>
  <si>
    <t>Fruit - Tropical Fruits: Pomegranates (Pomegranates)</t>
  </si>
  <si>
    <t>Other: Raw Cotton (Gossypium spp.) - Kharif
Soyabean (Glycine max) - Kharif
Wheat grain (Triticum aestivum) - Rabi</t>
  </si>
  <si>
    <t>Other: Chinese cabbage, Common wheat, Grain corn, Soybean</t>
  </si>
  <si>
    <t>Field/Forageable: Spelt, Wheat (Clark's Cream Wheat), Wheat (Einkorn), Wheat (Glenn Wheat), Wheat (Red Fife Wheat), Wheat (White Sonora Wheat)</t>
  </si>
  <si>
    <t>Other: #Distribution of milled grain products: Oats, rye, wheat; Distribution of flour: All-Purpose Wheat Flour, Turkey Red Whole-Grain Flour, and Whole-Grain Flour., *Alfalfa, *Black beans, *Buckwheat, *Chickpeas, *Great Northern beans, *Kernza, *Kidney beans, *Lentils, *Navy beans, *Oats, *Peas, *Pinto beans, *Red beans, *Rye, *Soybeans, *Vegetables: arugula, *beans, *beets, *bok choi, *broccoli, *cabbage, *Chinese cabbage, *carrots, *celery, * collards, *cucumbers, *garlic, *kale, *leeks, *lettuce, *onions, *pac choi, *parsnips, *peas, *peppers, *potatoes, *pumpkins, *radishes, *salad mix, *shallots, *spinach, *sweet potatoes, *sweet corn, *Swiss chard, *turnips, *tomatoes, *winter squash, * Herbs: basil, * Flowers, *Wheat</t>
  </si>
  <si>
    <t>Field/Forageable: Alfalfa, Grain, Wheat</t>
  </si>
  <si>
    <t>Other: 307, 309, 3111, 317, 320, 321, 322, 323, 324, 325, 326, 372, 373, 376, Alfalfa, Barley Grass, Broccoli, Hemp, Kale, Millet (Cover Crop), Oat Grass, Wheat (Grain), Wheat Grass</t>
  </si>
  <si>
    <t>Other: Raw Cotton
Soyabean
Maize grain</t>
  </si>
  <si>
    <t>Other: Kharif: Raw cotton, soybean, pigeon pea, white sesame - Rabi: Chickpea, wheat grain, maize grain</t>
  </si>
  <si>
    <t>Other: Buckwheat, Clover, Corn, Dry Edible Beans, Hard Red Spring Wheat, Hard Red Winter Wheat, Hard White Spring Wheat, Hay, Kernza, Oats, Popcorn, Rye, Soybeans, Succotash, White Corn</t>
  </si>
  <si>
    <t>Other: Cotton, ginned or uncombed, Flax, Grain corn, Legumes, other, Pigeon peas, Rapeseed, Sesame, Soybean, Winter common wheat</t>
  </si>
  <si>
    <t>Tuber/Root Vegetables: Carrots, Fennel; Seed/Pod Vegetables: Beans, Chickpeas, Lentils (Red Lentils, Green Lentils); Herbs/Spices: Anise, Cumin (Cumin, Black Cumin); Fruit - Stone: Cherries (Cherry, Sour Cherry), Plums; Fruit - Berries: Strawberries; Field/Forageable: Apples, Sesame, Sunflowers, Wheat; Other: Poppy Seed</t>
  </si>
  <si>
    <t>Stem Vegetables: Agave; Nursery/Starts/Flowers/Trees: Prickley pear</t>
  </si>
  <si>
    <t>Nuts: Walnuts (Walnuts); Fruit - Berries: Rose hip-fruits; Field/Forageable: Oats (Oat), Wheat (Wheat)</t>
  </si>
  <si>
    <t>Tuber/Root Vegetables: Leeks, Onions; Nuts: Chestnuts; Leaf Vegetables: Kale; Fruit Vegetables: Eggplants, Pepper, Tomatoes; Fruit - Tropical Fruits: Figs, Pomegranates; Fruit - Stone: Cherries (Cherries, Sour cherries); Fruit - Pome: Apples, Pears, Quinces; Fruit - Citrus Fruits: Mandarins, Oranges; Fruit - Berries: Grapes, Strawberries; Flower Vegetables: Broccoli, Cauliflower; Field/Forageable: Barley, Wheat; Other: Poppy Seed, Paddy</t>
  </si>
  <si>
    <t>Field/Forageable: Grain, Pasture; Other: Mixed Vegetables</t>
  </si>
  <si>
    <t>Tuber/Root Vegetables: Beets, Carrots, Celeriac, Scallions; Stem Vegetables: Rhubarb; Seed/Pod Vegetables: Beans; Nursery/Starts/Flowers/Trees: all other nursery, Flowers, fruit trees, other seeds; Leaf Vegetables: Cabbage, Cabbage, Chard, Kale, Lettuce, Savory, Spinach; Herbs/Spices: Astragalus, Basil, Calendula, Chamomile, Chives, Cilantro, Dill, Echinacea, Lemon Balm, Marjoram, Mint, Oregano, other culinary herbs, other medicinal herbs, Parsley, Rosemary, Sage, Thyme; Fruit Vegetables: Cucumbers, Gourds, Peppers, Peppers, Squash, Tomatoes; Fruit - Stone: other tree fruits/nuts; Fruit - Pome: Apples, Pears; Fruit - Berries: all other berries, Blackberries, Blueberries, Currants, Elderberries, Grapes, Raspberries, Strawberries; Field/Forageable: All other grains, Barley, Oats, Wheat; Other: cover crop, perennial flower seedlings</t>
  </si>
  <si>
    <t>Field/Forageable: Rice (Paddy)</t>
  </si>
  <si>
    <t>Field/Forageable: Wheat (Wheat - Einkorn), Wheat (Wheat - Einkorn (Seed))</t>
  </si>
  <si>
    <t>Other: Buckwheat, Clover, Corn, Fallow, Oats, Pasture, Soybeans, Wheat</t>
  </si>
  <si>
    <t>Field/Forageable: 3 Way Grain, Alfalfa, Wheat</t>
  </si>
  <si>
    <t>Other: *Apples, *Land</t>
  </si>
  <si>
    <t>Seed/Pod Vegetables: Beans, Soybeans, Sweet Corn; Field/Forageable: Corn, Oats/clover mix, Pasture, Sunflowers, Wheat, Wheat; Other: Buckwheat Flour, Corn Flour (Popcorn), Corn Flour (Yellow), Cornmeal (Blue), Cornmeal (Blue Grits), Cornmeal (Bolted Grits), Cornmeal (Creamy Grits), Cornmeal (Red), Cornmeal (Red Grits), Cornmeal (White), Cornmeal (White Grits), Cornmeal (Yellow), Cornmeal (Yellow Bolted Grits), Cornmeal (Yellow Grits), Frozen Corn, Oat Flour, Oatmeal, Oats, Oats (Rolled), Pastry Flour, Pastry Flour (Whole Wheat), Popcorn (White), Sunflower Seeds, Wheat Berries, Wheat Flour, Whole Wheat Flour</t>
  </si>
  <si>
    <t>Other: Artichoke, Arugula, Asian Greens, Bachelor Button, Basil, Beans, Beets, Borage, Broccoli, Bunching Onions, Cabbage, Cardoon, Carrots, Celeriac, Celery, Chard, Chervil, Chicory, Chives, Cilantro, Claytonia, Collards, Corn, Cucumber, Eggplant, Elderberries, Endive, Escarole, Escarole, Fennel, Garlic, Garlic Chives, Kale, Kohlrabi, Leek, Lettuce, Mache, Marigold, Marjoram, Nasturtiums, Onion, Oregano, Pac Choy, Pansies, Parsley, Pea, Pea tendrils, Pepper, Potatoes, Radicchio, Rhubarb, Rutabaga, Savory, Small Grains (rye, barley, oats), Sorrel, Spinach, Summer Squash, Tarragon, Thyme, Tomato, Wheat, Winter Squash</t>
  </si>
  <si>
    <t>Field/Forageable: Cotton (COR Equivalent), Grain Sorghum, Haygrazer, Native Grasses, Rye, Wheat</t>
  </si>
  <si>
    <t>Field/Forageable: Rice (Chainat rice (Paddy), Hommali rice (Paddy), Local varieties (Paddy), RD 15 rice (Paddy), RD 6 rice (Paddy), Riceberry rice (Paddy))</t>
  </si>
  <si>
    <t>Seed/Pod Vegetables: Soybeans; Field/Forageable: Corn (Yellow), Hay (Alfalfa)</t>
  </si>
  <si>
    <t>Field/Forageable: Buckwheat (Buckwheat), Corn (Corn), Hay (Hay), Pasture (Pasture), Spelt (Spelt)</t>
  </si>
  <si>
    <t>Herbs/Spices: Herbs, Herbs; Fruit - Berries: Blackberries; Field/Forageable: Hay, Pasture</t>
  </si>
  <si>
    <t>Other: Alfalfa (Hay), Blue Corn (Grain), Pasture, Rye Pasture, Soybeans (Grain)</t>
  </si>
  <si>
    <t>Other: Wheat (Grain)</t>
  </si>
  <si>
    <t>Leaf Vegetables: Arugula, Chard, Kale, Lettuce, Mizuna; Fruit Vegetables: Eggplants, Tomatoes; Fruit - Stone: Apricots, Cherries, Pears, Plums; Fruit - Pome: Apples; Fruit - Berries: Blackberries, Grapes; Field/Forageable: Pasture</t>
  </si>
  <si>
    <t>Other: Barley (Grain), Proso Millet (Grain), Rye Clover (Hay), Rye/Alfalfa (Hay), Sorghum Sudan (Hay), Wheat (Grain)</t>
  </si>
  <si>
    <t>Other: Alfalfa (Lucern), Corn Popcorn, Oat, Other cereals and grains, Other nuts, Other ornamental or perfume plants, Pumpkin, Table grape (Flame seedless), Table grape (Merbein), Table grape (Selma Pete), Table grape (Sugra 39), Table grape (Sweet Celebration, Sweet Globe, Evans Delight, Early Sweet, Midnight Beauty, Sultana, Alison, Timco), Table grape (Thompson)</t>
  </si>
  <si>
    <t>Tuber/Root Vegetables: Carrots, Onions; Herbs/Spices: Hemp; Fruit - Stone: Apricots, Cherries, Peaches; Fruit - Berries: Blueberries; Field/Forageable: Alfalfa, Corn (Silage, Field, Grain, Straw)</t>
  </si>
  <si>
    <t>Other: Wine grape (Cabernet Sauvignon), Wine grape (Carménère), Wine grape (Malbec), Wine grape (Merlot), Wine grape (Muscat à petits grains roses), Wine grape (Syrah)</t>
  </si>
  <si>
    <t>Seed/Pod Vegetables: Corn (Corn), Corn (Sweet), Peas; Nursery/Starts/Flowers/Trees: Seeds; Fruit Vegetables: Pumpkins; Field/Forageable: Alfalfa, Clover, Corn, Hay, Oats, Pasture, Ryegrass, Sorghum Sudan Grass, Soybeans, Triticale, Wheat</t>
  </si>
  <si>
    <t>Other: Buchu (Betulina and Crenulata), Chamomile (Cape Chamomile), Lemongrass, Mixed grains : Rye, Other aromatic or medicinal plants (Cape May, Cape Snowbush, Cape Mountain Sage), Rooibos, Rose Geranium</t>
  </si>
  <si>
    <t>Other: Cowpea, Grain corn, Other cereals and grains (Teff - brown and white)</t>
  </si>
  <si>
    <t>Tuber/Root Vegetables: Fennel, Tuber/Root Vegetables; Stem Vegetables: Celery; Seed/Pod Vegetables: Beans, Legumes, Peas; Nursery/Starts/Flowers/Trees: Flowers, Seeds; Herbs/Spices: Anise, Catnip, Ginger, Herbs, Hyssop, Marjoram, Oregano, Sage, Spearmint, Tarragon; Field/Forageable: Amaranth, Barley, Buckwheat, Corn, Fallow, Flax, Grain, Millet, Oats, Quinoa, Rye, Sorghum, Teff, Wheat</t>
  </si>
  <si>
    <t>Fruit - Tropical Fruits: Cacao grano seco (Theobroma cacao) - Cacao grano seco (Theobroma cacao);
Canela (Cinnamomum verum) - Canela (Cinnamomum verum) En asociación con área orgánica de cacao;
Coco (Cocos nucifera) - Coco (Cocos nucifera) En asociación con área orgánica de cacao;
Mango (Mangifera indica) - Mango (Mangifera indica) En asociación con área orgánica de cacao;
Marañón (Anacardium occidentale) - En asociación con área orgánica de cacao;
Plátano (Musa paradisiaca) - Plátano (Musa paradisiaca) En asociación con área orgánica de cacao;</t>
  </si>
  <si>
    <t>Nuts: Almonds; Fruit - Citrus Fruits: Mandarins; Field/Forageable: Cover Crop, Oats, Pasture, Rice, Safflower, Sorghum, Vetch; Other: Almond Butter (Smooth), Almonds (Roasted), Almonds (Raw), Rice (Straw), Rice (Medium Grain Brown) (2 lb, 20 lb)</t>
  </si>
  <si>
    <t>Field/Forageable: Alfalfa, Barley, Pasture, Straw (Barley, Grain)</t>
  </si>
  <si>
    <t>Field/Forageable: Beans (Adzuki Beans, Mungbeans, Red Kidney Beans), Buckwheat, Millet (Millet, Glutinous Millet), Sunflowers</t>
  </si>
  <si>
    <t>Other: Alfalfa (Hay), Blue Corn (Grain), Soybeans (Grain), White Corn (Grain), Yellow Corn (Grain)</t>
  </si>
  <si>
    <t>Fruit - Tropical Fruits: Cacao</t>
  </si>
  <si>
    <t>Other: Alfalfa (Hay), Corn (Grain), Soybeans (Grain)</t>
  </si>
  <si>
    <t>Nursery/Starts/Flowers/Trees: Flowers; Leaf Vegetables: Mixed Greens; Herbs/Spices: Herbs; Fruit - Berries: Berries, Grapes; Field/Forageable: Aloe Vera, Amaranth, Quinoa, Wheat; Other: Assorted Vegetables, Mushrooms</t>
  </si>
  <si>
    <t>Field/Forageable: Alfalfa Grass Hay and Pasture, Rangeland Grass Hay and Pasture, Wheat (Durum (EU,USCOEA)), Wheat (Hard Red Spring (EU,USCOEA))</t>
  </si>
  <si>
    <t>Sea Vegetables: Basil (Albahaca (Ocimum basilicum L.)  =  22,00 Kg.), Rosemary (Romero (Rosmarinus officinalis L.) =  5,00 Kg.); Fruit - Tropical Fruits: Copoazú (Theobroma grandiflorum (Willd. Ex Spreng.))  =  27.840,00 Kg., Sacha Inchi (Plukenetia volubilis)  =  15.630,00 Kg.</t>
  </si>
  <si>
    <t>Seed/Pod Vegetables: Seeds (100% Organic: Chía)</t>
  </si>
  <si>
    <t>Tuber/Root Vegetables: Carrots, Garlic, Leeks, Maca, Onions; Herbs/Spices: Paprika; Fruit Vegetables: Golden berry, cape gooseberry; Field/Forageable: Alfalfa, Barley, Chia, amaranth, Corn, Fallow, Muna, Quinoa, Wheat</t>
  </si>
  <si>
    <t>Tuber/Root Vegetables: Garlic, Onions (Yellow onion; White onion; Purple onion.); Seed/Pod Vegetables: Corn, Lima Beans; Leaf Vegetables: Brussels Sprouts; Herbs/Spices: Abyssinian mustard, Basil, Bay Leaves (Laurel), Cilantro, Cinnamon, Cumin, Dill, Epazote, Fennel, Ginger, Holyleaf (Hoja santa), Jamaica, Lavender, Lemon Balm (Melissa; Toronjil), Lemon Verbena (Cedron), Marjoram, Mint, Oregano, Parsley, Pepper (Black pepper), Rosemary, Sage, Tarragon, Thyme, Turmeric; Fruit Vegetables: Cucumbers, Pepper, Pumpkins, Tomatoes (Grape tomato); Field/Forageable: Bean Legume, Chickpea, Peanut, Rice, Sesame, Sorghum, Soybean, Sunflower, Tea (Lemon tea)</t>
  </si>
  <si>
    <t>Other: Soybean</t>
  </si>
  <si>
    <t>Other: Producto vegetal con nombre científico / Cant. estimada de producto vegetal (kg) / Superficie de cultivo (ha)
Chía (Salvia hispanica L.) = 74.172,50 kg. -  Superficie de cultivo = 34,15 ha.
Kiwicha (Amaranthus caudatus) = 3.300,00 kg. - Superficie de cultivo = 1,10 ha.
Quinua (Chenopodium quinoa)	= 59.938,00 kg. - Superficie de cultivo = 20,50 ha.
Avena (Avena sativa) = 6.370,00 kg. - Superficie de cultivo = 2,45 ha.
Trigo Centeno (Secale cereale L.) = 3.750,00 kg. 	- Superficie de cultivo = 1,50 ha.
Lenteja (Lens culinaris) = 980,00 kg. - Superficie de cultivo = 0,70 ha.
Arveja (Pisum sativum) = 10.520,00 - Superficie de cultivo = 4,40 ha.
Frejol (Phaseolus vulgaris) = 17.245,00 kg. - Superficie de cultivo = 6,65 ha.
Tarwi (Lupinus mutabilis) = 3.990,00 kg. - Superficie de cultivo = 2,85 ha.
Garbanzo (Cicer arietinum) = 750,00 kg. - Superficie de cultivo = 0,30 ha.
Haba (Vicia faba) = 3.400,00 kg. - Superficie de cultivo = 1,70 ha.
Maiz (Zea mays) = 19.425,00 kg. - Superficie de cultivo = 5,40 ha.
Tara (Caesalpinia spinosa) = 30.280,00 kg. - Superficie de cultivo = 3,22 ha.
Tuna (Opuntia ficus indica Mili) = 81.950,00 kg. - Superficie de cultivo = 13,45 ha.
Lucuma (Pouteria lucuma) = 6.020,00 kg. - Superficie de cultivo = 0,71 ha.
Palto (Persea americana) = 50.175,00 kg. - Superficie de cultivo = 5,38 ha.</t>
  </si>
  <si>
    <t>Tuber/Root Vegetables: Potatoes (Native color potato); Seed/Pod Vegetables: Beans, Lentils, Sunflowers, Tara, Wheat</t>
  </si>
  <si>
    <t>Fruit - Tropical Fruits: Cacao (Cacao grano seco (Theobroma cacao)); Other: Coffee (Café (Coffea arábica) Cafe verde / Green Coffee)</t>
  </si>
  <si>
    <t>Field/Forageable: Quinoa</t>
  </si>
  <si>
    <t>Tuber/Root Vegetables: Garlic, Potatoes; Stem Vegetables: Asparagus; Herbs/Spices: Herbs; Other: Mixed Vegetables</t>
  </si>
  <si>
    <t>Field/Forageable: Barley (grain and straw), Hay (dry hay and baleage (grass, grass-legume mix, sudangrass)), Pasture</t>
  </si>
  <si>
    <t>Other: Native Habitat, Native Prairie</t>
  </si>
  <si>
    <t>Tuber/Root Vegetables: Carrots, Scallions; Leaf Vegetables: Brussels Sprouts; Fruit Vegetables: Peppers; Fruit - Berries: Blueberries; Field/Forageable: All other grains, Barley, mixed hay, Oats, Pasture, Wheat; Other: vegetable seedlings</t>
  </si>
  <si>
    <t>Other: Aniseed, Apples, Asparagus, Beans, Beet, Berries, other, Blackberries, Blueberries, Broccoli, Brussels sprouts, Cabbages, Calendula, Camomile, Carrots, Cauliflowers, Cherries, Chestnuts, Chives, Clover, Corn, Cranberry, Cucumbers, Eggplant, Flowers, Forest, Garlic, Ginger, Gooseberries, Grass, other, Hazelnuts, Herbal and medicinal plants, Horseradish, Lavender, Leafy/stalked vegetables, Leeks, Lettuces, Melons, Mint, Nettle, Onions, Other, Other bush fruits, Other non-perennial crops, Peppermint, Peppers, Physalis, Plums, Potatoes, Radish, Rhubarb, Root/bulb vegetables, Sage, Sorrel, Squash, Stone fruits, other, Strawberries, Table grape, Tomatoes, Tropical fruits, other, Turnips, Vegetables, other, Yam</t>
  </si>
  <si>
    <t>Other: Corn (grain), Wheat (grain)</t>
  </si>
  <si>
    <t>Field/Forageable: Barley, Black Turtle Beans, Buckwheat, Corn, Hay, Navy Beans, Oats, Pasture, Pinto Beans, Rye, Small Red Beans, Spelt, Wheat (Einkorn), Wheat (Emmer), Wheat (Hard Red Spring Wheat), Wheat (Hard Red Winter Wheat), Wheat (Hard White Winter Wheat), Wheat (Soft White Wheat)</t>
  </si>
  <si>
    <t>Nursery/Starts/Flowers/Trees: Sunflowers; Fruit Vegetables: Pumpkins; Field/Forageable: Beans, Buckwheat, Corn, Grain sorghum, Millet, Soybeans, Wheat; Other: Buckwheat, Maize, Millet, Mung(bean), Pumpkin Seed, Sorghum, Soy Bean, Sunflower Seeds, Wheat</t>
  </si>
  <si>
    <t>Nuts: Peanuts; Nursery/Starts/Flowers/Trees: Oil plants, Sunflowers; Field/Forageable: Beans, Corn, Grain sorghum, Millet, Soybeans, Wheat; Other: Maize, Millet, Mung(bean), Peanuts, Perilla Seeds, Sorghum, Soy Bean, Sunflower Seeds, Wheat</t>
  </si>
  <si>
    <t>Seed/Pod Vegetables: Beans (Mung bean); Field/Forageable: Buckwheat (Buckwheat), Corn (Maize (corn)), Millet (Millet (hulled)); Other: Soybeans (Soybean)</t>
  </si>
  <si>
    <t>Field/Forageable: Beans (Adzuki Beans, Black Kidney Beans, Mungbeans, Red Kidney Beans, Soybeans, White Kidney Beans (Cannellini Beans)), Buckwheat (Buckwheat, Tartarian (Tartary) Buckwheat), Corn, Millet (Millet, Broomcorn Millet, Sticky Millet), Peas, Perilla (Perilla Seeds), Sorghum (Sticky Sorghum), Sunflowers (Sunflower Seeds), Wheat</t>
  </si>
  <si>
    <t>Other: Broad bean, Grain corn, Lentil (lentils), Mixed Leguminous (Mung bean、adzuki bean), Other legumes (White kidney bean、black kidney bean、dark red kidney bean、light speckled kidney bean(pinto bean)), Other oleaginous plants (sunflower seed), Paddy (rice), Peas</t>
  </si>
  <si>
    <t>Other: Common wheat (Wheat), Forage corn (青贮玉米), Grain corn, Mixed Leguminous (White Kidney Beans), Other legumes (红芸豆), Soybean</t>
  </si>
  <si>
    <t>Nursery/Starts/Flowers/Trees: Sesame, Sesame, Sunflowers; Field/Forageable: Adzuki beans, Beans, Beans, Beans, Buckwheat, Corn, Cowpea, Grain, Grain sorghum, Millet, Millet; Other: Adzuki Bean, Beans, Brache, einjährig, Buckwheat, Coix Seeds, Grain Maize, Millet, Mung(bean), Peas, Sesame, Sesame, Sorghum, Soy Bean, Sunflower Seeds</t>
  </si>
  <si>
    <t>Nursery/Starts/Flowers/Trees: Sunflowers; Field/Forageable: Adzuki beans, Beans, Beans, Buckwheat, Corn, Grain sorghum, Millet, Millet, Soybeans, Wheat; Other: Adzuki Bean, Buckwheat, Kidney Beans, Maize, Millet, Mung(bean), Sorghum, Soy Bean, Sunflower Seeds, Wheat</t>
  </si>
  <si>
    <t>Seed/Pod Vegetables: Corn (Field (Grain, Stover)), Corn (Sweet), Garbanzo Beans, Peas (Hay, Silage), Peas; Fruit Vegetables: Squash; Field/Forageable: Alfalfa (Hay, Silage), Mustard, Triticale (Silage, Hay), Vetch (Hairy), Wheat (Grain, Straw)</t>
  </si>
  <si>
    <t>Other: Oats (grain), Oats (hay), Soybeans (grain), Yellow Corn (grain)</t>
  </si>
  <si>
    <t>Other: Hard Red Winter Wheat (Grain), Soybeans (Grain)</t>
  </si>
  <si>
    <t>Seed/Pod Vegetables: Beans (Black Beans); Field/Forageable: Corn (Corn), Fallow (Fallow), Hay (Hay), Oats (Oats), Pasture (Pasture), Soybeans (Soybeans), Wheat (Einkorn Wheat); Other: Other</t>
  </si>
  <si>
    <t>Field/Forageable: Corn (Corn), Hay (Hay), Pasture (Pasture), Wheat (Wheat)</t>
  </si>
  <si>
    <t>Other: Sorghum (Grain), Wheat (Grain)</t>
  </si>
  <si>
    <t>Field/Forageable: Barley, Corn, Hay, Oats, Pasture, Soybeans, Wheat</t>
  </si>
  <si>
    <t>Field/Forageable: Corn, Cover Crop, Hay, Pasture, Soybeans, Wheat; Other: Grains (Barley), Grains (Corn), Grains (Hay), Grains (Soybeans), Grains (Straw), Grains (Sunflower), Grains (Wheat), Woodlot</t>
  </si>
  <si>
    <t>Other: Corn (Grain), Peas (Grain), Popcorn (Grain), Soybeans (Grain), Wheat (Grain)</t>
  </si>
  <si>
    <t>Other: Grain corn (Mucosity corn), Other aromatic or medicinal plants (daylily)</t>
  </si>
  <si>
    <t>Seed/Pod Vegetables: Peas; Fruit - Berries: Grapes; Field/Forageable: Buckwheat, Miscellaneous Grain_Oilseed, Pasture, Peas, Rye, Wheat; Other: Woodlands</t>
  </si>
  <si>
    <t>Other: Grass / Pasture, Hard Red Winter Wheat (hay and grain), Milo/Sorghum (hay and grain), Triticale (hay)</t>
  </si>
  <si>
    <t>Other: Alfalfa; Corn; Hay; Rye; Soybeans;Cover crops: alfalfa, buckwheat, clover, rye, turnips.Cleaning and bagging of on-farm grain: rye.Certified in accordance with the terms of the U.S.-Canada Organic Equivalency Arrangement.</t>
  </si>
  <si>
    <t>Field/Forageable: Corn (Corn), Hay (Hay), Pasture (Pasture)</t>
  </si>
  <si>
    <t>Other: Small grains, Peas, Sweet potatoes</t>
  </si>
  <si>
    <t>Other: *Corn, *Rye, *buckwheat, *Soybeans</t>
  </si>
  <si>
    <t>Seed/Pod Vegetables: Rapeseed; Field/Forageable: Wheat; Other: Sunflower</t>
  </si>
  <si>
    <t>Field/Forageable: Corn (Corn), Hay (Hay), Pasture (Pasture), Rye (Rye), Rye (Rye), Soybeans (Soybeans); Other: Other</t>
  </si>
  <si>
    <t>Field/Forageable: Corn, Hay, Pasture, Wheat (Grain and straw)</t>
  </si>
  <si>
    <t>Tuber/Root Vegetables: Beets (Beets), Beets (Beets (Seed)), Carrots (Carrots), Carrots (Carrots (Seed)), Fennel (Fennel), Leeks (Leeks), Leeks (Leeks (Seed)), Onions (Onions - Assorted Varieties), Onions (Onions - Green), Onions (Onions - Scallion (Seed)), Onions (Onions - Sweet (Seed)), Parsnips (Parsnip), Parsnips (Parsnip (Seed)), Potatoes (Potatoes), Radicchio (Radicchio), Radicchio (Radicchio (Seed)), Radishes (Radishes), Rutabaga (Rutabaga (Seed)), Shallots (Shallots), Turnips (Turnips), Turnips (Turnips (Seed)); Seed/Pod Vegetables: Beans (Beans - Assorted Varieties), Beans (Beans - Edamame), Beans (Beans (Seed)), Corn (Corn - Sweet Corn), Corn (Corn (Seed)), Peas (Peas - Snap), Peas (Peas - Snow), Peas (Peas (Seed)); Nursery/Starts/Flowers/Trees: Flowers (Flowers - Amaranth (Seed)), Flowers (Flowers - Assorted Varieties), Flowers (Flowers - Aster (Seed)), Flowers (Flowers - Calendula (Seed)), Flowers (Flowers - Celosia (Seed)), Flowers (Flowers - Cosmos (Seed)), Flowers (Flowers - Didiscus (Seed)), Flowers (Flowers - Eryngium (Seed)), Flowers (Flowers - Marigold (Seed)), Flowers (Flowers - Nasturtium (Seed)), Flowers (Flowers - Rudbeckia (Seed)), Flowers (Flowers - Salvia (Seed)), Flowers (Flowers - Scabiosa (Seed)), Flowers (Flowers - Snapdragon (Seed)), Flowers (Flowers - Strawflower (Seed)), Flowers (Flowers - Sunflowers (Seed)), Flowers (Flowers - Sweet Pea (Seed)), Flowers (Flowers - Zinnia (Seed)), Grass (Grass - Ornamental Grasses (Seed)); Leaf Vegetables: Arugula (Arugula (Seed)), Bok Choy (Bok Choy - Bok Choi), Brussels Sprouts (Brussels Sprouts), Cabbage (Cabbage - Assorted Varieties), Cabbage (Cabbage - Chinese), Celery (Celery), Celery (Celery (Seed)), Chard (Chard), Chard (Chard - Swiss), Chard (Chard (Seed)), Chicory (Chicory), Chicory (Chicory (Seed)), Collards (Collards (Seed)), Kale (Kale), Kale (Kale (Seed)), Kohlrabi (Kohlrabi), Leaf Vegetables (Mixed Greens - Asian Greens (Seed)), Leaf Vegetables (Mixed Greens - Assorted Varieties), Leaf Vegetables (Mixed Greens - Salad Mix), Lettuce (Lettuce), Lettuce (Lettuce (Seed)), Spinach (Spinach), Spinach (Spinach (Seed)); Herbs/Spices: Basil (Basil), Borage (Borage (Seed)), Chamomile (Chamomile (Seed)), Cilantro (Cilantro), Cilantro (Cilantro (Seed)), Dill (Dill), Dill (Dill (Seed)), Herbs (Feverfew (Seed)), Herbs (Mixed Herbs), Mint (Mint (Seed)), Parsley (Parsley); Fruit Vegetables: Cucumbers (Cucumbers), Eggplants (Eggplants), Groundcherries (Seed), Peppers (Peppers), Peppers (Peppers (Seed)), Squash (Squash - Acorn (Seed)), Squash (Squash - Summer), Squash (Squash - Winter), Tomatillos (Tomatillos), Tomatoes (Tomatoes - Cherry), Tomatoes (Tomatoes - Slicer), Tomatoes (Tomatoes (Seed)); Fruit - Melons: Melons (Mixed Melons); Fruit - Berries: Strawberries (Strawberries); Flower Vegetables: Artichokes (Artichokes), Broccoli (Broccoli), Cauliflower (Cauliflower), Cauliflower (Cauliflower (Seed)); Field/Forageable: Grass (Grass (Pasture)), Mixed Grain - Millet (Seed); Other: Mixed Vegetables</t>
  </si>
  <si>
    <t>Tuber/Root Vegetables: Beets (Betabel), Carrots (zanahoria), Sweet Potatoes (camote dulce); Leaf Vegetables: Basil (Albahaca), Cilantro (Cilandro), Garlic (Ajo), Onions (Cebolla), Parsley (perejil); Fruit Vegetables: Pumpkins (Calabaza); Fruit - Melons: Watermelons (Sandia); Flower Vegetables: Broccoli (Brocoli), Cauliflower (Coliflor), Kale (Curly Kale, Lacinato Kale); Field/Forageable: Alfalfa (alfalfa), Corn (Maiz Azul, Maiz Blanco)</t>
  </si>
  <si>
    <t>Tuber/Root Vegetables: Garlic; Fruit Vegetables: Tomatoes; Field/Forageable: Corn, Corn, Fallow, Grain, Sudan Grass</t>
  </si>
  <si>
    <t>Seed/Pod Vegetables: Soybeans; Field/Forageable: Buckwheat, Clover (Seed &amp; Hay), Corn (Yellow, Open Pollinated), Hay, Oats, Rye, Spelt, Wheat (Hard red spring)</t>
  </si>
  <si>
    <t>Other: Barley (Grain), Chickpeas (Grain), Field Peas (Grain), Flax (Grain), Milo (Grain), Pea/Triticale/Sorghum (Hay), Wheat (Grain)</t>
  </si>
  <si>
    <t>Other: Millet (Hay), Proso Millet (Grain), Wheat (Grain)</t>
  </si>
  <si>
    <t>Seed/Pod Vegetables: Peas; Fruit - Berries: Grapes; Field/Forageable: Corn, Cover Crop, Field Crop, Flax, Grain, Grass, Hay, Millet, Oats, Rye, Triticale, Wheat</t>
  </si>
  <si>
    <t>Field/Forageable: Alfalfa (Alfalfa (Hay &amp; Haylage)), Barley, Buckwheat, Corn (Corn (Grain &amp; Silage)), Pasture</t>
  </si>
  <si>
    <t>Other: Barley, Beans (food grade) (Black, Cassoulet, Cranberry, Great Northern, Dark Red Kidney, Light Red Kidney, Navy, Pink, pinto, Small Red, Yellow), Buckwheat, Clover, Corn, Flax, Flint dent corn (blue, red, white, yellow), Hay, Hemp, Pasture, Peas, Popcorn (food grade) (white, yellow), Rye (food grade), Soybeans, Sunflowers, Triticale, Vetch, Wheat</t>
  </si>
  <si>
    <t>Field/Forageable: Alfalfa, Alfalfa/3 Way Grain mix</t>
  </si>
  <si>
    <t>Other: Corn (Grain)</t>
  </si>
  <si>
    <t>Tuber/Root Vegetables: Beets (Beets), Carrots (Carrots), Fennel (Fennel), Garlic (Garlic), Leeks (Leeks), Onions (Onions - Green), Potatoes (Potatoes), Radishes (Radishes), Shallots (Shallots), Sweet Potatoes (Sweet Potatoes), Turnips (Turnips); Seed/Pod Vegetables: Beans (Beans - Fava), Beans (Beans - Snap), Corn (Corn - Sweet), Okra (Okra), Peas (Peas - Sugar Snap); Nuts: Walnuts (Walnuts); Nursery/Starts/Flowers/Trees: Flowers (Flowers (Seedlings)); Leaf Vegetables: Arugula (Arugula), Bok Choy (Bok Choy), Cabbage (Cabbage), Chard (Chard - Swiss), Collards (Collards), Kale (Kale), Leaf Vegetables (Mixed Greens), Leaf Vegetables (Mixed Greens (Microgreens)), Lettuce (Lettuce), Rhubarb (Rhubarb), Spinach (Spinach), Tatsoi (Tatsoi); Herbs/Spices: Basil (Basil), Chives (Chives), Cilantro (Cilantro), Ginger (Ginger), Herbs (Mixed Herbs), Herbs (Mixed Herbs (Seedlings)), Herbs (Nettles), Lavender (Lavender), Lemon Balm (Lemon Balm), Lemon Grass (Lemon Grass), Lovage (Lovage), Mint (Mint), Oregano (Oregano), Other Herbs, Other Herbs - Lemon Verbena, Other Herbs - Shiso, Parsley (Parsley), Sage (Sage), Tarragon (Tarragon), Thyme (Thyme); Fruit Vegetables: Cucumbers (Cucumbers), Eggplants (Eggplants), Groundcherries, Peppers (Peppers - Hot), Peppers (Peppers - Sweet Bell), Pumpkins (Pumpkins - Carving), Pumpkins (Pumpkins - Pie), Squash (Squash - Acorn), Squash (Squash - Butternut), Squash (Squash - Delicata), Squash (Squash - Heirloom), Squash (Squash - Kabocha), Squash (Squash - Spaghetti), Squash (Squash - Summer), Tomatillos (Tomatillos), Tomatoes (Tomatoes - Cherry), Tomatoes (Tomatoes - Heirloom), Zucchini (Zucchini); Fruit - Stone: Plums (Plums); Fruit - Pome: Apples (Apples), Pears (Pears); Fruit - Berries: Blueberries (Blueberries), Raspberries (Raspberries), Strawberries (Strawberries); Flower Vegetables: Artichokes (Artichokes), Broccoli (Broccoli); Field/Forageable: Mixed Grain - Cover Crop (Seed); Other: Mixed Vegetables, Mixed Vegetables (Seedlings)</t>
  </si>
  <si>
    <t>Field/Forageable: Alfalfa Hay, Barley Grain, Oat Grain</t>
  </si>
  <si>
    <t>Other: Carryover Crops of 2022 Food Grade Soybeans–838.65 bushels, 2023 Rye–10.84 bushels, Corn, Hay/Teff, Oats/Peas/New Seeding, Sorghum-Sudan/Cover Crops, Soybeans</t>
  </si>
  <si>
    <t>Seed/Pod Vegetables: Peas; Field/Forageable: Barley, Buckwheat, Clover, Corn, Hay, Oats, Pasture, Soybeans, Spelt, Straw, Triticale</t>
  </si>
  <si>
    <t>Seed/Pod Vegetables: Flax (Flaxseed, Brown), Lentils (Lentils green, Lentils red); Field/Forageable: Buckwheat (Buckwheat), Sorghum Sudan Grass (Sudan Grass), Wheat (Wheat - Khorasan)</t>
  </si>
  <si>
    <t>Other: Rice (Organic Paddy(Rice)*)</t>
  </si>
  <si>
    <t>Other: Balage (wrapped bales), Corn silage, Corn, shell, Ear corn, Hay (dry round bales), Hay (dry square bales), Haylage, Oat hay, Oats, Pasture, Sorghum, Soybeans, Straw, Wheat</t>
  </si>
  <si>
    <t>Other: 1202 (Roof), 1288 (Lake South), 1327 (Lake North), 147 (White Farm), 154 (Derryberry), 159 (Hazelwood), 162 (CEDF), 2509 (Davoil), 37 (Brown), 4477 (CEDF), 5248 (Hazelwood), 5469 (Mann), 5501 (Otra Baca), 5667 (Lloyd), 5809 (Walmart), 6216 (C &amp; T), 6270 (Hazelwood), 6288 (Drewland), 6292 (Aboukhair), 6295 (Aboukhair), 6477 (Lime Plant), 6949 (Green House), 870 (Roof), 9554 (Blum Pit), Corn Silage, Forage / Grain Baleage, Forage Baleage, Grain Baleage, Grain Corn, Grain Wheat, Green Chopped Silage, Pasture, Pasture Baleage, Sorghum Sudan Hay</t>
  </si>
  <si>
    <t>Other: Alfalfa (Baled and Chopped), Alfalfa-Grass Hay Mix (Baled and Chopped), Assorted Cover Crops, Bruneau Soft White Winter Wheat Edible Grain, Seed and Straw, Dry Edible Beans (Max Pinto, Silver Cloud Cannellini, Windbreaker Pinto), Dry Edible Bean Seed (Silver Cloud Cannellini), Elwha River Hulless Winter Spelt Edible Grain, Seed and Straw, Garden Bean Seed (Blue Coco Pole, Bountiful, Dragon Langerie, Gold Rush, Maxibel, Provider, Royal Burgundy), Pasture, and Upstate Abundance Potatoes, Bruneau Soft White Winter Wheat Edible Grain, Dry Edible Beans (Max Pinto, Silver Cloud Cannellini, Windbreaker Pinto), Dry Edible Beans Seed (Silver Cloud Cannellini), and Garden Bean Seed (Blue Coco Pole, Bountiful, Dragon Langerie, Gold Rush, Maxibel, Provider, Royal Burgundy)</t>
  </si>
  <si>
    <t>Other: Apples, Beet, Buckwheat, Plums, Spelt, Temporary grassland</t>
  </si>
  <si>
    <t>Field/Forageable: Rice (Paddy basmati)</t>
  </si>
  <si>
    <t>Field/Forageable: Rice (Paddy basmati), Rice (Paddy Long Grain), Wheat (Wheat)</t>
  </si>
  <si>
    <t>Field/Forageable: Corn (Corn), Corn (White Corn), Popcorn (Popcorn), Soybeans (Soybeans), Wheat (Wheat); Other: White Dent Corn</t>
  </si>
  <si>
    <t>Seed/Pod Vegetables: Beans (Black, Small red), Beans (Great northern), Kidney Beans (Dark red, Light red), Soybeans; Field/Forageable: Corn (Yellow), Hay, Wheat</t>
  </si>
  <si>
    <t>Field/Forageable: Alfalfa Hay, Alfalfa (Cut for Silage), Corn (Cut for Silage), Corn Grain, Cotton, Haygrazer, Milo, Oats, Radishes, Rye, Sorghum, Triticale, Wheat</t>
  </si>
  <si>
    <t>Tuber/Root Vegetables: Beets, Carrots, Garlic, Onions, Potatoes, Radishes, Scallions; Seed/Pod Vegetables: Beans, Beans, Corn, Peas; Nursery/Starts/Flowers/Trees: Flowers; Leaf Vegetables: Kale, Lettuce, mesclun mix, Spinach; Herbs/Spices: Basil; Fruit Vegetables: Cucumbers, Peppers, Squash, Tomatoes; Fruit - Pome: Apples; Fruit - Berries: Blackberries, Raspberries; Field/Forageable: All other grains, Corn; Other: cover crop, vegetable seedlings</t>
  </si>
  <si>
    <t>Nursery/Starts/Flowers/Trees: Mustard, Seeds, Seeds, Seeds, Seeds, Seeds, Seeds, Seeds, Seeds, Seeds, Seeds, Seeds, Transplants; Fruit Vegetables: Cucumbers, Squash; Other: Seeds</t>
  </si>
  <si>
    <t>Tuber/Root Vegetables: Sweet Potatoes; Stem Vegetables: Lucuma; Seed/Pod Vegetables: Chia, White quinoa; Fruit - Tropical Fruits: Avocados, Bananas, Mangos, Pineapples; Fruit - Berries: Golden berries</t>
  </si>
  <si>
    <t>Seed/Pod Vegetables: Rape; Field/Forageable: Corn, Flax, Wheat</t>
  </si>
  <si>
    <t>Tuber/Root Vegetables: Beets (Beets (Seed)); Field/Forageable: Barley (Barley), Buckwheat (Buckwheat), Rye (Rye), Spelt (Spelt - Hulless Elwha Rver), Wheat (Wheat - Eileen), Wheat (Wheat - Hard Red Spring), Wheat (Wheat - Hard White), Wheat (Wheat - Soft White); Other: Whole Grains or Seeds: Barley, Whole Grains or Seeds: Blue Wheat, Whole Grains or Seeds: Brown Wheat, Whole Grains or Seeds: Hard Red Spring Wheat, Whole Grains or Seeds: Hard Winter Wheat, Whole Grains or Seeds: Oats, Whole Grains or Seeds: Quinoa, Whole Grains or Seeds: Salish Blue Wheat</t>
  </si>
  <si>
    <t>Field/Forageable: Corn (Yellow Corn), Hay (Hay), Pasture (Pasture), Rye (Rye), Soybeans (Soybeans), Vetch (Vetch)</t>
  </si>
  <si>
    <t>Other: Avocados, Citrus fruits, other, Coconuts, Flowers, Green vanilla, Herbal and medicinal plants, Lemongrass, Lemons, Oranges, Other products of forestry, Other trees fruits, Pink peppercorns, Raw spices, other, Starchy roots and tubers, Verbena, Vetiver</t>
  </si>
  <si>
    <t>Field/Forageable: Quinoa (Royal Quinoa Black, Royal Quinoa Red, Royal Quinoa White)</t>
  </si>
  <si>
    <t>Tuber/Root Vegetables: Beets (Cu Den/Beetroot), Carrots (Ca Rot/Carrot), Onions (Hanh Tay/Onion), Potatoes (Khoai Tay/Yam), Radishes (Cu Cai Do/Radish), Sweet Potatoes (Khoai lang/Sweet Potato), Turnips (Cu Cai Trang/Turnip); Stem Vegetables: Asparagus (Mang Tay/Asparagus.), Celery (Can Tay/Celery.); Seed/Pod Vegetables: Beans (Dau Den/Black Bean), Beans (Dau Do/Red Bean), Dau Cove Nhat/String Bean Jaban, Dau Cove/String Bean, Green Beans (Dau Xanh/Green Bean), Okra (Dau Bap/Orka); Nuts: Peanuts (Dau Phong/Peanut); Leaf Vegetables: Bok Choy (Cai Ngong/Choy Sum), Cabbage (Su Hao/Cabbage Turnip), Cabbage (Bap Su Tim/Cabbage Heart), Cabbage (Bap Su Tron/Cabbage), Cabbage (Cai Thao Hoa Tien/Napa Cabbage Rocket), Cabbage (Cai Thao/Napa Cabbage), Cabbage (Cai Thia/Chinese Cabage), Kale (Cai Kale/Kale), Leaf Vegetables (Xa Lach My/Lettuce), Leaf Vegetables (Xa Lach Romain/Letuce Romain), Leaf Vegetables (Xa Lach Xanh/Green Lettuce), Leaf Vegetables (Cai Be Xanh/Mustard Green), Leafy Greens (Tan O/Tungho), Leafy Greens (Hanh La/Spring Onion), Leafy Greens (Hanh Paro/Spring Onion Paro), Leafy Greens (Ngo Gai/Sawleaf), Leafy Greens (Rau Lang/Sweet Potato Buds), Leafy Greens (Rau Mong Toi/Ceylon Spinach), Leafy Greens (Rau Muong/Water Morning Glory), Leafy Greens (Rau Ngot Nhat/Japanese Sauropus), Leafy Greens (Rau Ngot/Katuk), Leafy Greens (Rau Thom/Wild Rocket), Pak Choi (Cai Ngot/Brassica Integrifolia), Spinach (Cai Bo Xoi/Spinach.); Herbs/Spices: Basil (Hung Que/Basil), Basil (La E Trang/Basil Leaf), Chives (He/Garlic Chives,), Coriander (Ngo Ri/Cilantro), Ginger (Gung/Ginger), Herbs (La Dua/pandan leaves), Herbs (Kinh Gioi/Marjoram), Herbs (Chum Ngay/Moringa.), Herbs (Diep Ca/Fishmint), Herbs (Rau Ma/Centella), Herbs (Sa/Lemon Grass), Herbs (Sam Bo Chinh/Abelmoschus sagittifolius), Herbs (Toi/Galic), Mint (La Bac Ha/Mint), Perilla (Tia To/Perilla Mint), Spearmint (Hung Lui/Spearmint), Spices (Rau Ram/Coriander), Wormwood (Ngai Cuu/Worm Wood); Fruit Vegetables: Cucumbers (Dua Leo Baby/Cucumber Baby), Cucumbers (Dua Leo/Cucumber), Eggplants (Ca Tim/Eggplant), Gourds (Bau/Gourd), Kho Qua/Bitter Melon, Muop Huong/Luffa, Ot Xiem Xanh/Green Siamese Chili, Ot/Chili, Peppers (Ot Chuong/Bell Pepper), Pumpkins (Bi An Ngon/Pumpkin Buds), Pumpkins (Bi Do Non/Pumpkin Baby), Pumpkins (Bi Do/Pumpkin), Tomatoes (Ca Chua Mini/Tomato Mini), Tomatoes (Ca Chua/Tomato), Zucchini (Bi Ngoi/Zucchini.); Fruit - Tropical Fruits: Bananas (Chuoi/Banana), Dua/Coconut, Durians (Sau Rieng/Durian), Jackfruits (Mit/Jack Fruit), Longans (Nhan/Longan.), Mangos (Xoai Cat/Mango), Papayas (Du Du/Papaya), Passionfruits (Chanh Day/Passion Fruit), Sapoche/Sapodilla, Tropical Fruits (La giang/Sour-soup creeper), Tropical Fruits (Mang cau xiem/Soursop), Tropical Fruits (Coc / Tahitian quince), Tropical Fruits (Vu Sua/Star Apple); Fruit - Pome: Dua Le/Pear Shaped; Fruit - Melons: Cantaloupes (Dua Luoi/Cantaloupe), Chayotes (Su Su/Chayote), Melons (Bi Dao/Winter Melon), Melons (Dua Gang/Indian Cream Cobra Melon), Melons (Dua Hoang Kim/Golden Melons); Fruit - Citrus Fruits: Guavas (Oi/guava.), Limes (Cay Chuc/Kaffir Lime), Limes (Chanh Ta/Lime), Mangosteen (Mang Cut/Mangosteen), Oranges (Cam/Orange), Oranges (Quat/Kumquat), Oranges (Quyt/Mandarin), Pomelos (Buoi/Pomelo); Flower Vegetables: Broccoli (Sup Lo Baby/Broccoli Baby), Broccoli (Sup Lo Xanh/Broccoli.), Thien Ly/Tonkin Jasmine; Field/Forageable: Amaranth (Rau Den Mau/Amaranthus Tricolor), Corn (Bap Nep/Corn), Corn (Bap Ngot Nhat/Sweet Corn), Corn (Bap Nu Hoang/Queen Corn), Mustard (Cai Xanh Wasabi/Mustard Green Wasabi), Rice (Ngo Om/Rice Paddy), Sam Long/Tiliacora triandra, Soybeans (Dau Nanh/Soy Bean), Sugercane (Mia/Sugarcane), Suong Sao/Asian Grass Jelly, Tea (Che xanh/green tea leaf); Other: Cay voi/ Syzygium nervosum, Chom Chom/ Rambutan, Dinh Lang/ Ming Aralia, Nho/ Grape, Doc mung/ Indian Taro, Hung chanh/ Country Borage, Rau cang cua/ Pepper Elder, Rau sam/ Common Purslane, Rau Dang/ Bacopa monnieri</t>
  </si>
  <si>
    <t>Field/Forageable: Alfalfa, Hay (Grass Mix Hay), Hay (Grain Mix Hay)</t>
  </si>
  <si>
    <t>Tuber/Root Vegetables: Beets, Carrots, Celeriac, Leeks, Onions, Onions, Potatoes, Radishes, Shallots, Turnips; Seed/Pod Vegetables: Beans, Corn; Nursery/Starts/Flowers/Trees: Transplants (See Farm Products for list); Leaf Vegetables: Cabbage, Lettuce; Fruit Vegetables: Squash, Tomatoes; Fruit - Pome: Apples; Fruit - Melons: Melons, Watermelons; Fruit - Berries: Blueberries, Grapes, Raspberries, Strawberries; Flower Vegetables: Broccoli, Cauliflower; Field/Forageable: Alfalfa, Corn, Grass, Hay, Meadow Hay, Oat-Pea, Oats, Pasture, Rye, Wheat; Other: Herbs Transplants, Melon Transplants, Mixed Vegetables, Native Prairie, Oats Seeds, Rye Grain Seeds, Seeds, Vegetable Transplants, Woodlands</t>
  </si>
  <si>
    <t>Other: Flowers, Fruits, Hay, Pasture, Seedlings and Vegetables: apples, arugula, beets, blackberries, bok choy, carrots,  celery,  cherries, cucumbers, edamame, garlic, grapes, greens mix, leeks, lettuce – heads, lettuce – mix, onions, peas,  peaches, pears, peas, plums, potatoes,  radishes, raspberries, shallots, spinach,  sweet potatoes, tomatoes, Herbs: basil, fennel, parsley, rosemary, sage, savory, thyme. Medicinal Herbs: alfalfa, anise hyssop, astragalus, catnip, chamomile, comfrey, cramp bark, echinacea, elderberry, elecampe, lemon balm, nettles, rhodiola, St. John’s wort, skullcap, valerian root, tulsi, yarrow. Grains: corn, oats, rye, triticale, wheat.</t>
  </si>
  <si>
    <t>Other: Alfalfa, Barley, Corn, Grain Sorghum, Grass Hay, Pasture, Pecans, Silage, Sorghum Hay, Soybeans, Wheat Grain, Wheat Hay</t>
  </si>
  <si>
    <t>Seed/Pod Vegetables: Soybeans; Field/Forageable: Buckwheat, Corn, Hay, Kernza, Oats, Pasture, Wheat; Other: Cover Crop Seeds, Seeds, Various Seeds (Grain seeds)</t>
  </si>
  <si>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</si>
  <si>
    <t>Other: Milo (Grain)</t>
  </si>
  <si>
    <t>Fungi: Mushrooms (Mushrooms - Agarikon (Fomitopsis officinalis)), Mushrooms (Mushrooms - Amadou (Fomes fomentarius)), Mushrooms (Mushrooms - Artist's Conk (Ganoderma applanatum)), Mushrooms (Mushrooms - Birch Polypore (Piptoporus betulinus)), Mushrooms (Mushrooms - Chaga (Inonotus obliquus)), Mushrooms (Mushrooms - Cordyceps (Cordyceps militaris)), Mushrooms (Mushrooms - Enokitake (Flammulina velutipes)), Mushrooms (Mushrooms - Lion's Mane (Hericium erinaceus)), Mushrooms (Mushrooms - Maitake (Grifola frondosa)), Mushrooms (Mushrooms - Mesima (Phellinus linteus)), Mushrooms (Mushrooms - Oregon Ganoderma (Ganoderma oregonense)), Mushrooms (Mushrooms - Oyster (Pleurotus ostreatus)), Mushrooms (Mushrooms - Reishi (Ganoderma lucidum)), Mushrooms (Mushrooms - Royal Sun Blazei (Agaricus brasiliensis)), Mushrooms (Mushrooms - Shiitake (Lentinula edodes)), Mushrooms (Mushrooms - Split Gill Polypore (Schizophyllum commune)), Mushrooms (Mushrooms - Turkey Tail (Trametes versicolor))</t>
  </si>
  <si>
    <t>Field/Forageable: Wheat (Wheat); Other: Paddy (Basmathi), Paddy (Long Grain)</t>
  </si>
  <si>
    <t>Seed/Pod Vegetables: Chickpeas (Garbanzo (Cicer arietinum) - Garbanzo (Cicer arietinum) Garbanzo orgánico), Grains of Paradise (Grain, other - Otros granos Cártamo orgánico); Field/Forageable: Fallow (Fallow - Barbecho Tierra en descanso)</t>
  </si>
  <si>
    <t>Other: Carrot, Chili, Grain corn (Waxy corn), Sweetcorn</t>
  </si>
  <si>
    <t>Field/Forageable: Sesame (Black Sesame Seeds*), Sesame (Black sesame grain*), Sesame (White Sesame Seeds*), Sesame (White sesame grain*); Other: Black chia grain*, Black chia seed*</t>
  </si>
  <si>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</si>
  <si>
    <t>Seed/Pod Vegetables: Chia organica (Salvia hispanica) =  250.000,00 kg Superficie de Cultivo = 500,00 ha</t>
  </si>
  <si>
    <t>Other: Alfalfa (Hay), Corn (Grain), Oats (Grain)</t>
  </si>
  <si>
    <t>Seed/Pod Vegetables: Beans, Beans (Black), Peas, Peas (Field); Nursery/Starts/Flowers/Trees: Seeds; Field/Forageable: Brassica Mix (Brassica Mix), Buckwheat, Clover, Corn, Hay, Oats, Other Field/Forageable, Rice, Rye, Soybeans, Triticale, Wheat</t>
  </si>
  <si>
    <t>Nursery/Starts/Flowers/Trees: Seeds; Field/Forageable: Grain, Hay, Hay, Silage, Vetch</t>
  </si>
  <si>
    <t>Seed/Pod Vegetables: Peas, Soybeans; Field/Forageable: Clover, Corn, Hay, Oat-Pea, Oat-Pea Hay, Oats, Rye; Other: Cover Crop, Oats Seeds, Rye Grain Seeds</t>
  </si>
  <si>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</si>
  <si>
    <t>Field/Forageable: Rice (Paddy Long Grain)</t>
  </si>
  <si>
    <t>Other: Native Grass / Pasture, Sorghum (Forage), Sorghum (Seed), Wheat (Grain)</t>
  </si>
  <si>
    <t>Other: Paddy rice</t>
  </si>
  <si>
    <t>Fungi: Mushrooms, Mushrooms</t>
  </si>
  <si>
    <t>Other: Corn (Grain), Wheat (Grain)</t>
  </si>
  <si>
    <t>Other: Biodiversity area, Cotton, ginned or uncombed, Grain corn</t>
  </si>
  <si>
    <t>Seed/Pod Vegetables: Beans (Black Beans); Field/Forageable: Alfalfa (Alfalfa), Corn (Corn), Hay (Hay), Oats (Oats), Pasture (Pasture), Soybeans (Soybeans), Straw (Straw)</t>
  </si>
  <si>
    <t>Other: Soybeans (grain), Wheat (grain), Yellow Corn (grain)</t>
  </si>
  <si>
    <t>Seed/Pod Vegetables: Corn; Field/Forageable: Alfalfa, Hay, Hay</t>
  </si>
  <si>
    <t>Other: Wheat (grain)</t>
  </si>
  <si>
    <t>Other: *Hay, *Pasture</t>
  </si>
  <si>
    <t>Field/Forageable: Alfalfa, Alfalfa, Corn, Pasture, Rye; Other: Rye Grain Seeds</t>
  </si>
  <si>
    <t>Nursery/Starts/Flowers/Trees: Sesame seed; Other: Basmati Paddy, Basmati Paddy Paddy Long Grain, Paddy Long Grain</t>
  </si>
  <si>
    <t>Field/Forageable: Barley</t>
  </si>
  <si>
    <t>Tuber/Root Vegetables: Onions; Nursery/Starts/Flowers/Trees: Transplants (Vegetable); Fruit Vegetables: Peppers, Squash; Fruit - Melons: Melons, Watermelons; Flower Vegetables: Broccoli, Cauliflower; Field/Forageable: Corn (Yellow &amp; Sweet), Hay, Pasture</t>
  </si>
  <si>
    <t>Tuber/Root Vegetables: Carrots, Onions, Potatoes; Leaf Vegetables: Lettuce; Fruit - Tropical Fruits: Pomegranates; Field/Forageable: Grain; Other: Mixed Fruits &amp; Vegetables, Mixed Vegetables</t>
  </si>
  <si>
    <t>Field/Forageable: Grain; Other: Mixed Vegetables</t>
  </si>
  <si>
    <t>Tuber/Root Vegetables: Carrots; Seed/Pod Vegetables: Beans; Field/Forageable: Corn, Cover Crop, Grain; Other: Mixed Vegetables</t>
  </si>
  <si>
    <t>Field/Forageable: All other grains</t>
  </si>
  <si>
    <t>Nursery/Starts/Flowers/Trees: Flowers; Fruit - Tropical Fruits: Kiwis; Fruit - Berries: Strawberries; Field/Forageable: Fallow, Miscellaneous Grain_Oilseed; Other: Cover Crop, Mixed Vegetables</t>
  </si>
  <si>
    <t>Other: Rice (Paddy*)</t>
  </si>
  <si>
    <t>Field/Forageable: Wheat (Wheat); Other: Paddy</t>
  </si>
  <si>
    <t>Field/Forageable: Rice (Paddy (long grain)), Wheat (Wheat)</t>
  </si>
  <si>
    <t>Other: Apricots, Blackcurrant, Carrots, China cabbage, Grain corn, Legume fruits, Raspberries, Spinach, Strawberries</t>
  </si>
  <si>
    <t>Seed/Pod Vegetables: Peas; Field/Forageable: Barley, Buckwheat, Clover, Corn, Hay, Oats, Rye, Straw, Wheat</t>
  </si>
  <si>
    <t>Tuber/Root Vegetables: Cassava; Seed/Pod Vegetables: Long Beans; Leaf Vegetables: Gotukola, Mukunuwenna, Sesbania grandiﬂora, Spinach, Thampala (Amaranthus spp.); Herbs/Spices: Capsicums, Cardamom, Cinnamon, Cinnamon Feathering, cinnamon leaves, Citronella, Clove, clove bud, clove leaves, clove stem, curry leaves, Ginger, Lemon Grass, Maca, Nutmeg, Pepper, pepper black, sandalwood, Turmeric, Vanilla, Vetiver grass; Fruit - Tropical Fruits: Breadfruits, Cocoa/Cocoa beans, Jackfruits; Fruit - Citrus Fruits: Bitter orange, Lemons, lime leaves, Limes; Other: lemon leaves, moringa leaves, papaya leaves</t>
  </si>
  <si>
    <t>Other: Flax, Hemp, Sesame Grains, White/ black chía grains</t>
  </si>
  <si>
    <t>Leaf Vegetables: Cabbage (Cabbage); Fruit Vegetables: Cucumbers (Cucumbers), Peppers (Peppers); Flower Vegetables: Cauliflower (Cauliflower); Field/Forageable: Barley (Barley), Wheat (Wheat); Other: Mixed Vegetables (Seedlings), Whole Grains or Seeds: Barley, Whole Grains or Seeds: Rye, Whole Grains or Seeds: Wheat</t>
  </si>
  <si>
    <t>Other: Chili (Chili 、PAPRIKA), Edamame, Mixed grains (Mung bean、Adzuki beans（Red beans）), Paddy (rice) (paddy、Glutinous paddy、Red paddy、Black paddy), Pepper, Safflower (safflower seed), Sweet potato (sweet potato), Turnip</t>
  </si>
  <si>
    <t>Fruit Vegetables: Pumpkins; Field/Forageable: Beans, Corn, Soybeans; Other: Bean Family, Grain Maize, Pumpkin Seed, Soy Bean</t>
  </si>
  <si>
    <t>Other: Common wheat, Grain corn, Mixed Leguminous (Light speckled kidney bean(cranberry bean)、Adzuki), Other legumes (Black kidney bean(black bean, black turtle bean)、White kidney bean(navy bean))</t>
  </si>
  <si>
    <t>Nursery/Starts/Flowers/Trees: Sunflowers; Field/Forageable: Beans, Corn, Grain, Soybeans; Other: Bean Seeds, Maize, Sorghum, Soy Bean, Sunflower</t>
  </si>
  <si>
    <t>Other: Beet</t>
  </si>
  <si>
    <t>Field/Forageable: Rice (Rice - in the husk (paddy))</t>
  </si>
  <si>
    <t>Seed/Pod Vegetables: Soybeans; Field/Forageable: Buckwheat, Clover (Sweet), Corn (Yellow &amp; Blue), Hay (Alfalfa), Oats, Pasture, Popcorn (White &amp; Yellow)</t>
  </si>
  <si>
    <t>Other: (Kharif 2023/24): Red Rajma, Amaranthus, Potato, Bhindi/Okra, Bitter Gourd, Pumpkin, French Beans;  - - - (Rabi 2024): Onion, Mustard Seeds, Green Pea, Wheat Grain, Barley Whole, Brinjal, Carrot, Cauliflower, Coriander Seed - - - (Perennial 2023/24): Apple, Walnut, Apricot, Malta, Peach</t>
  </si>
  <si>
    <t>Tuber/Root Vegetables: Beets (Beetroot - fresh), Carrots (Carrot - fresh); Herbs/Spices: Cardamom (Black Cardamom), Cinnamomum bark, Cinnamon leaves, Ginger (Ginger), Himalayan pepper (Timmur), Nettle, Sage (Sage (Salvia officinalis)), Turmeric (Turmeric); Fruit - Citrus Fruits: Lemons (Lemon); Field/Forageable: Rice (Black rice (paddy), Joyaral rice (paddy))</t>
  </si>
  <si>
    <t>Seed/Pod Vegetables: Edamame, Soybeans; Flower Vegetables: Sunflowers; Field/Forageable: Corn (Yellow), Pasture, Rye, Wheat (Einkorn, Renan Red, Black Emmer, Red Fife)</t>
  </si>
  <si>
    <t>Other: #Grinding of grain - 100% organic, *Barley, *Corn, *Hay, *Land, *Pasture, *Wheat</t>
  </si>
  <si>
    <t>Field/Forageable: Rice (ST25 Organic paddy / Lua huu co ST25)</t>
  </si>
  <si>
    <t>Field/Forageable: Rice (Paddy), Rice (Dried Paddy), Straw (Rice Straw)</t>
  </si>
  <si>
    <t>Tuber/Root Vegetables: Beets, Carrots, Fennel, Garlic, Leeks, Onions, Potatoes, Radishes, Shallots; Seed/Pod Vegetables: Beans, Chickpeas, Corn, Okra, Peas; Nursery/Starts/Flowers/Trees: Flowers (Seed); Leaf Vegetables: Arugula, Lettuce; Herbs/Spices: Basil, Cilantro, Parsley, Pepper; Fruit Vegetables: Cucumbers, Eggplants, Squash, Tomatillos, Tomatoes; Fruit - Melons: Melons, Watermelons; Field/Forageable: Amaranth, Barley, Corn, Quinoa, Rye, Sorghum, Wheat</t>
  </si>
  <si>
    <t>Other: Ajwain, Ashwagandha, Ashwagandha-Panchang (Inter crop), Black Gram, Brown Chana, Brown Mustard, Chandrasoor, Chia, Chickpea (kabuli chana), Coriander seed, Cumin, Dry RosePeteals (Rosa centifolia), Fenugreek, Flax/Linseed, Garlic, Ground Nut, Heena/Mehandi( Intercrops), Kalonji/nigella, Lentil, Maize (Corn), Neem flower, Neem leaves, Neem twig (Intercrop), Psyllium seed, Quinoa, Soybean Whole, Wheat grain</t>
  </si>
  <si>
    <t>Nursery/Starts/Flowers/Trees: Flowers; Fruit - Stone: Pears, Pluots; Field/Forageable: Fallow, Pasture; Other: Mixed Vegetables</t>
  </si>
  <si>
    <t>Stem Vegetables: Asparagus; Fruit Vegetables: Peppers; Fruit - Stone: Cherries, Peaches, Pears; Fruit - Berries: Blackberries; Field/Forageable: Fallow, Grain; Other: Mixed Vegetables</t>
  </si>
  <si>
    <t>Other: Vegetable and Grain (Edamame, Beets, Wheat, Sweet Corn, Chinese Cabbage, Millet)</t>
  </si>
  <si>
    <t>Other: Artichoke (Colorado red), Basil (african nunum, morada, aromato, genovesa, dark purple opal, gana akokonosa, lemon, hoja de lechuga) - Seed, Bean, Bean (Alabama black lima , Beurre de rocqueford , blauhilde, chinese python , chinese red noodle, gold marie vining , Golden Butterwax, Jaspeado , peumo, Redondo blanco , thai purple podded yard long ,) - Seed, Beet, Beet - Seed, Bok choy, Bok choy - Seed, Carrot, Carrot (amarillo , black nebula , cosmic purple , dara flowering , gniff , jaune obtuse du doubs, kuttiger , kyoto , little finger , longue rouge sand , lunar white , Morada, pusa asita , pusa rudhira) - Seed, Celery, Celery - Seed, Chili, Chili (brown jalapeño, anaheim, filius blue, buena mulata, cacho e cabra, cayenne long thin, Chiltepin ,early jalapeño, jalapeño, lemon spice, puma, Pumpkin Spice, sugar rush cream, sugar rush peach, Tam jalapeño serrano, TAM PIQUINHO, Black Hungarian, Shishito) - Seed, Cucumber, Cucumber (armenian yard long, crystal apple, dragon egg, lemon cuke , marketmore 76, mexican sour gherking , yamato extra long ,) - Seed, Eggplant, Eggplant (aswad, chinese string, little finger, diamond, neimatts battir, fengyuan, gboma, listada de gandia, melanza rossa di rotonda, melanzane, mitoyo, nagasaki long, ping tung, purple striped, snake of mugla, thai green frog finger, thai lavender frog egg, thai long green, cambodian green giant) - Seed, Flowers, Flowers (4oclock salmon pastel, 4oclock marble mixed, agastache mosquito plant, Ageratum Balm mixed, sweet allisum tall white, amapola amazing grey, amapola black peony, amapola california poppy, amapola crimson feathers, amapola danish flag, amapola falling in love, amapola flemish antique, amapola frosted salmon, amapola hens and chickens, amapola hungarian blue breadseeds, amapola lilac pompom, amapola purple bean, amapola rose feathers, amapola swan down, aster bernaris princess brike red, aster gala lavender, Aster china giant mix, aster gusford supreme, aster matsumoto formula mix, aster pastel mix, aster salmon janina, aster starlight mix, aster matsumoto blue, bachelor black boy, bachelor blue boy, bachelor classic romantic, Bachelor redboy, bachelor button mave lady, bachelor button pinkie, bachelor classic artistic mix, balm moldavian dragon head, balsam camelia flowered mix, borage white, calendula pacific mix, calendula porcupine mix, calendula pourcupine mix, calendula snow princess, calendula strawberry blonde, canterburry bells deluxe mixed, celosia lagos spinach, celosia yashidofayo, celosia yashidokinpol, celosia dwarf coral, celosia yellow queen, celosia flamingo, celosia rainbow princess mix, celosia variegada, clavelon simple, Coreopsis grandiflora, corrales azafran, cosmos black magic chocolate, cosmos bright lights, cosmos japanese kiiro, cosmos pastel mix, cosmos fizzy rose picotte, craspedia yellow droomstick, daisy african bluedisc, daisy livingstone mix, daisy pink shadespaper, dalia cactus flower red, dalia unwingsmix, diantus rainbow loveline, digitales mix , escabiosa mitz blue, Escabiosa Mix ROSADA, escabiosa burdeo , escabiosa fama blue ,escabiosa fama white, escabiosa snowmaiden, flor basket flower pink , flor de jamaica, gaillardia double sunset , gaillardia indian blanket, girasol crimson queen, girasol evening sun, Girasol Velvet Queen, girasol tall orange sun, gomphrena budy purple, Gomphrena Naranja, gomphrena snow white, Gomphrena strawberry fiedls, gomphrena lavender lady, gomphrenas salmon pastel, hierba lemongrass, hierba salvia, malva jet black, malva marjorette, milkweed butterfly, monarda citriodona, Mullein violeta, nicotiana bronze queen, nicotiana crimson bidder, nicotiana marshmallows, nigella love in a mist rose, Petunia sparkles, petunia superbissima , petunia pendula, phlox lavender beauty, phlox lavender, phlox sugar star, phlox twinkles dwarf mix, prim rose evening , Rudbeckia ghime chimenee ,rudbeckia sahara, rudbeckia cherry brandy , salpiglosiss grandiflora mix , scabiosa paper moon, stock baby blue, stock baby rainbow ,stock chanten dedo apricot, stock iron blue , stock quartel marine, stock venus cherry ,stock venus mix , stock baby high double cream , stock infinity snow ,strawflower double mix, strawflower king size orange , suspiro kikyozaki ,suspiro chocolate, suspiro japanese imperial, suspiro carnivale di venecia, suspiro split second, sweet allysum dwarf rainbow mix, sweet peas old spice, tong ho big leaf, Toothaches plant, Bulleyes Vinga, Heatwave raspberry, Viola Cornne, Zinnia cupid mix ,Zinnia el dorado ,Zinnia envy, Zinnia marzoukia, Zinnia meteor, Zinnia morada, Zinnia Pink señorita, Zinnia polar bear, Zinnia purple prince, Zinnia queen lime, Zinnia queen lime orange, Zinnia redmansupercactus, Zinnia tikkis choice, Zinnia will rogers, flor de jamaica ) - Seed, Grain corn, Grain corn (damaun ks super sweet , Glass Gem , mini blue pop corn , montana lavender clay , camelia, Caramelo , Coinco) - Seed, Leek, Leek (bulgarian giant ) - Seed, Lettuce, Lettuce (Bok choi , bronze beauty, crisp mint, devil's ear , forellenshulzs, garnet rose , iceplant, landis winter, Lunix , rouge d hiver, solar flare, yedikule ,) - Seed, Melon, Onion, Onion - Seed, Paprika, Paprika (King of the North, California Wonder, Black Hungarian, ajvorski, albino bullnose , anaheim , arroz con pollo , ashe county, big jim , black hungarian, blot, Cacho cabra , california wonder red, corbaci , etiuda, gold california wonder , jalapeno M , jimmy nardello's , king of the north , lemon spice jalapeño , leutschauer paprika, marconi di rosso, mini bell , Murasaki , nadapeno, nokturn, orange bell, paradicsum alaku, pumkin spice, pumpkin spice , quadrato d' asti giallo, red california wonder , reweia, rojo, shishito, sugar rush cream , Sugar rush peach , trinidad scorpion, Txorixero , yellow monster ) - Seed, Peas, Peas (america , azureus , carouby de maussane , mammoth melting , old spice ,) - Seed, Permanent meadow, Radish, Spinach, Spinach (red malabar, multicolor china, monopa) - Seed, Squash, Sunflower, Sunflower - Seed, Sweetcorn, Tomato, Tomato (Carbon, pink berkeley tye die, Speckled Roman, amish paste, ananas noire, apricot zebra, astro, atomico, aunt rubys german green, barrys crazy cherry, bekerley tie dye, big rainbow, black beauty, black cherry, black krim, black strawberry, black sun, Black vernisagge, blacn from tula, blue beauty, blue gold berrys, blush, brad's atomic grape, brandywine, burratino, canestrino, carbon, cherokee purple, Cherry amarillo, cherry rojo, cherry white, classic beefsteak, costolutok, costoluto florentino, costoluto genovese, dester, emerald evergreen, escarlata, evil olive, get stuffed, golden king of siberia, green doctor, green giant, green tie dye, green tiger, green vernissage, green zebra, halo, hartman yellow gooseberry, henderson pink ponderosa, hungarian heart, jersey devil, Kellogg's breackfast, korean long, lucid gem, lucky tiger, mar azul, marquese noire, michael pollan, mushroom basket, napa chardonney, blush, naranjo poto rojo, natura , natures riddle, orange accordion, orange banana, orange icicle, orange jazz, ozark pink, pantano romanesco, paul robenson, pera amarillo, pink bekerley tie dye, pink bumblebee, pink champagne, pink fang, pink oxheart, pink poppy, pink tiger, pork chop, prairie freirie, primary colors, prudence purple, purple reign, purple russian, raw lemon, red rosso siciliano, reise, rio grande, rosado cherry, rosado mapuche, rutger's 250, san marzano lungo, Sandia, Solar flare, sunrise bumblebee, Super atomico, Painted Pink, Green Ripper, Michael pollan, Tenca, Luficloije, shadowboxing, AB TIGER, Roma amarillo, rebel starfigther green, rebel starfigther Primer, Mexico Midget, Mountain Thunder, rose feathers, Desdemonas Hearth, lucid gem , Atomic Sunset, Jeruslem Giant, Ivory Tears, Porkshop, Bleeding Heart, Glossy rose blue, cluckoma, queen of the night, dark galaxy, Phils one, Brad Atomics grape, queen of molinalco, Phils two, trufa azul uk, thornburns terracota, topaz or huan, white beauty or snowball, white cherry , white cream sausagge, white currant, yellow pear, zapallo amarillo) - Seed, Watermelon, Zucchini, Zucchini (cream and green Patty Pan) - Seed</t>
  </si>
  <si>
    <t>Seed/Pod Vegetables: Beans, Beans (Dry); Flower Vegetables: Hops; Field/Forageable: Buckwheat, Camelina Sativa (Camelina Sativa), Canola, Clover, Clover (Red), Hay, Oats, Other Field/Forageable, Rye, Sunflowers (Sunflowers), Sunflowers, Wheat, Wheat (Einkorn), Wheat (Spring), Wheat (Winter)</t>
  </si>
  <si>
    <t>Field/Forageable: Popcorn (grain)</t>
  </si>
  <si>
    <t>Seed/Pod Vegetables: Peas (Peas - Austrian Pea (Seed)), Peas (Peas - Green Pea (Seed)); Field/Forageable: Barley (Barley - Malting Barley), Buckwheat (Buckwheat), Corn (Corn - Yellow Corn), Millet (Millet - White Sorghum), Mixed Grain - Sunhemp (Seed), Oats (Oats), Wheat (Wheat - Hard Red Spring), Wheat (Wheat - Soft White), Wheat (Wheat - Soft White Spring)</t>
  </si>
  <si>
    <t>Field/Forageable: 3 Way Grain, Alfalfa, Barley, Pasture; Other: Barley Straw</t>
  </si>
  <si>
    <t>Fungi: Mushrooms (Mushrooms); Nuts: Almond, Pine nut kernels, Walnut; Herbs/Spices: Cumin (Cumin); Fruit - Tropical Fruits: Pomegranates (Pomegranate); Fruit - Stone: Apricots (Apricots), Cherries (Cherries), Peaches (Peaches), Plums (Plums); Fruit - Pome: Apples (black Apples); Fruit - Berries: Grapes (Grapes), Mulberries (Mulberries); Field/Forageable: Alfalfa (Alfalfa); Other: Anchusa tinctoria (Alkanut) roots, Doiscorea deltoidea, Epehdra procera, Ferula foetida, Glycyrrhiza glabra (Licorice), Hyssopus oﬃcinalis, Juniperus communis, Mushrooms, Pinenuts, Pistacia integerrima, Polygonum bistorta, Ptychotis ajowan, Russian wild olive (leaves), Russian wild olives (berries), Sea buckthorn, Sisymbrium irio, Valerian</t>
  </si>
  <si>
    <t>Field/Forageable: Alfalfa (Alfalfa), Barley (Barley), Corn (Corn), Hay (Hay), Other, Soybeans (Soybeans), Spelt (Spelt), Straw (Straw), Wheat (Wheat)</t>
  </si>
  <si>
    <t>Field/Forageable: Cotton (Cotton), Wheat (Wheat)</t>
  </si>
  <si>
    <t>Field/Forageable: Cotton (Cotton)</t>
  </si>
  <si>
    <t>Other: Alfalfa, Barley, Hemp Fiber, Hemp Grain, and Straw</t>
  </si>
  <si>
    <t>Field/Forageable: Rice (Jasmine Paddy, Kam Glutinous Paddy, Mix Glutinous Paddy, Riceberry Paddy)</t>
  </si>
  <si>
    <t>Tuber/Root Vegetables: Carrot, Garlic, Onion, Potato, Radish; Stem Vegetables: Broccoli, Celery; Leaf Vegetables: Chinese Cabbage, Spinach; Field/Forageable: Alfalfa; Other: Barley Grass, Mungbeans, Oat Grass, Wheat Grass</t>
  </si>
  <si>
    <t>Other: Carrot, Chili (Chili、Pepper), Grain corn, Pepper (Paprika or Bell Pepper), Potato</t>
  </si>
  <si>
    <t>Other: Chia grains black/ white, HEMP SEEDS, Sesame</t>
  </si>
  <si>
    <t>Other: Vegetable: arugula, beans- green, beets, bok choy, broccoli, brussels sprouts, cabbage, carrots, cauliflower, celeriac, chard, chicory, cucumbers, eggplant, garlic, greens- mix, kale, kohlrabi, leeks, lettuce- heads, lettuce- mix, melons, onions, parsnips, peppers, peppers- hot, potatoes, radishes, rutabaga, scallions, shallots, spinach, squash-summer, squash, winter, tomatillos, tomatoes, tomatoes- cherry, turnips. Herbs: anise hyssop, basil, chamomile, chives, cilantro, dill, fennel, lavender, oregano, parsley, sage, thyme. Flowers: cut flower-annuals, bi-annuals. Seedlings: vegetables, herb, flowers. Berries: blueberries. Field Crops &amp; Grain: buckwheat, corn, peas, oats, rye, wheat. Hay: clover/grasses mix, sorghum, vetch.</t>
  </si>
  <si>
    <t>Tuber/Root Vegetables: Beets, Carrots, Garlic, Leeks, Leeks, Onions, Parsnips, Potatoes, Rutabaga, Turnips; Stem Vegetables: Asparagus, Celery, Rhubarb; Seed/Pod Vegetables: Beans, Beans, Corn, Peas; Nursery/Starts/Flowers/Trees: Christmas Trees, Flowers, Flowers; Leaf Vegetables: Arugula, Brussels Sprouts, Cabbage, Kohlrabi, Lettuce, Spinach; Herbs/Spices: Basil, Cilantro, Dill, Mint, Oregano, Parsley, Sage, Thyme; Fruit Vegetables: Cucumbers, Peppers, Pumpkins, Squash, Squash, Tomatoes; Fruit - Stone: Peaches, Plums; Fruit - Pome: Apples, Pears; Fruit - Berries: Blackberries, Blueberries, Grapes, Raspberries, Strawberries; Flower Vegetables: Broccoli, Cauliflower; Field/Forageable: All other grains, Barley, grass hay, Pasture, Wheat; Other: all other vegetables, all other vegetables</t>
  </si>
  <si>
    <t>Tuber/Root Vegetables: Beets (Beetroot), Potatoes (Potato); Seed/Pod Vegetables: Chickpeas (Chickpeas), Green Beans (Bean), Lentils (Green Lentils, Red Lentils); Herbs/Spices: Anise (Anise), Cumin (Cumin), Nigella (Nigella sativa (black cumin)); Fruit - Melons: Melons (Melon (Cucumis melo)); Field/Forageable: Barley (Barley), Corn (Maize (Corn)), Oats (Oat), Wheat (Wheat); Other: Sunflowers (Sunflower seed)</t>
  </si>
  <si>
    <t>Field/Forageable: Field Crop (Wheat Grain, Wheat Straw, Barley, Grass Hay, Range Land)</t>
  </si>
  <si>
    <t>Field/Forageable: Alfalfa (Alfalfa), Clover (Clover), Corn (Corn), Grass (Grass), Rye (Rye), Sudan Grass (Sudan Grass)</t>
  </si>
  <si>
    <t>Field/Forageable: Alfalfa (Hay), Corn (Grain), Oats (Grain), Soybeans (Grain), Wheat (Grain); Other: Mixed Grass (Pasture), Red Clover (Seed and Hay)</t>
  </si>
  <si>
    <t>Other: Soybeans (Grain), Wheat (Grain)</t>
  </si>
  <si>
    <t>Seed/Pod Vegetables: Grains of Paradise (Black gram - 
Black Gram(Vigna 
mungo)-Kharif), Seeds (Flax seed - Lino semillas Flax seed(Linum usitatissimum)-Rabi), Seeds (Rapeseeds - Semillas de colza Rapeseed(Brassica napus)-Rabi), Soybeans (Soya Soyabean(Glycine max)-Kharif); Nursery/Starts/Flowers/Trees: Wheat (Trigo (Triticum aestivum) Wheat(Triticum aestivium)-Rabi); Fruit Vegetables: Chickpeas (Garbanzo (Cicer arietinum) Chickpea (Cicer arietinum)-Rabi); Field/Forageable: Cotton (Cotton - Algodón (Gossypium herbaceum) Raw Cotton(Gossypium herbaceum)-Kharif)</t>
  </si>
  <si>
    <t>Other: Kharif: Soybean, raw cotton, maize grain; Rabi: Sunflower seeds, lentil, chickpea, wheat</t>
  </si>
  <si>
    <t>Other: Wheat Grain, Chickpea, Maize, Raw Cotton, Soybean, Pideon Pea</t>
  </si>
  <si>
    <t>Nuts: Coconuts; Herbs/Spices: Turmeric; Fruit - Tropical Fruits: Mango Kesar, Mango Totapuri; Fruit - Berries: Bananas; Field/Forageable: Dhaincha, Sugarcane, Bengal Gram whole, Red Chilii, Tomato; Other: Onion - Fresh, Onion seed</t>
  </si>
  <si>
    <t>Other: Raw Cotton, Soybean, Pigeon pea, Wheat grain, Maize, Chickpea</t>
  </si>
  <si>
    <t>Field/Forageable: Corn (Corn), Grass (Grass), Hay (Hay), Wheat (Einkorn Wheat), Wheat (Wheat)</t>
  </si>
  <si>
    <t>Other: Soybeans (Grain)</t>
  </si>
  <si>
    <t>Seed/Pod Vegetables: Pinto Beans; Field/Forageable: Corn (Yellow)</t>
  </si>
  <si>
    <t>Other: Kernza (Grain, Hay)</t>
  </si>
  <si>
    <t>Other: Corn, Soybean</t>
  </si>
  <si>
    <t>Other: Corn (Grain), Oat/Alfalfa (Hay)</t>
  </si>
  <si>
    <t>Seed/Pod Vegetables: Peas; Field/Forageable: Hay (Millet), Straw, Sudan Grass, Wheat (Hard red winter)</t>
  </si>
  <si>
    <t>Nuts: Peanuts; Nursery/Starts/Flowers/Trees: Sunflowers, Thistle; Field/Forageable: Corn, Grain sorghum, Millet, Millet, Wheat; Other: Cobs, Flax, Flax, Maize, Milk Thistle, Millet, Peanuts, Sorghum, Sunflower Seeds, Wheat</t>
  </si>
  <si>
    <t>Field/Forageable: Adzuki beans, Beans, Beans, Buckwheat, Corn, Corn, Corn, Corn, Corn, Grain sorghum, Millet, Millet, Millet, Millet, Oats, Quinoa, Rice, Rice, Rice, Rice, Rice, Soybeans; Other: Adzuki Bean, Buckwheat, Kidney Beans, Maize, Millet, Oat, Quinoa, Rice, Sorghum, Soy Bean, Sweet Corn</t>
  </si>
  <si>
    <t>Nuts: Peanuts; Nursery/Starts/Flowers/Trees: Sesame; Field/Forageable: Beans, Beans, Grain, Grain sorghum, Quinoa; Other: Beans, Dried, Coix Seeds, Mung(bean), Peanuts, Quinoa, Sesame, Sorghum</t>
  </si>
  <si>
    <t>Fruit Vegetables: Squash; Fruit - Melons: Melons; Field/Forageable: Corn, Fallow, Grain, Wheat; Other: Cantaloupe (Jumbo 9ct /40lb), Cantaloupe (Non-retail), Cantaloupe (Non-retail, jumbo), Cantaloupe (PLU), Cantaloupe (PLU (94049)), Cantaloupe (PLU (94050)), Cantaloupe (PLU sticker), Honeydew (PLU), Honeydew (PLU (94034)), Honeydew (PLU sticker), Honeydew (PLU, organge flesh), Melons (Non-retail, honeydew/gali/orange flesh), Melons (PLU, galia), Melons (PLU, Honeysaurus), Melons (PLU, orange flesh), Watermelon (Non-retail), Watermelon (Non-retail, 120 count), Watermelon (Non-retail, personal, seedless), Watermelon (Non-retail, seedless), Watermelon (PLU seedless mini 93421), Watermelon (PLU sticker, mini seedless), Watermelon (PLU, black seedless), Watermelon (PLU, mini seedless), Watermelon (PLU, mini, seedless), Watermelon (PLU, seedless), Watermelon (PLU, yellow seedless), Watermelon (PLU, yellow, mini, seedless), Wheat (Bulk, Non-retail)</t>
  </si>
  <si>
    <t>Seed/Pod Vegetables: Soybeans; Field/Forageable: Barley, Corn (Yellow), Hay, Silage (Corn), Straw, Wheat (Hard red winter)</t>
  </si>
  <si>
    <t>Field/Forageable: Alfalfa Grass Hay, Barley, Clover, Corn, Oats, Rye, Soybeans, Straw (Wheat, Triticale, Rye), Teff, Triticale, Wheat (Hard Red Spring Wheat), Wheat</t>
  </si>
  <si>
    <t>Field/Forageable: Cover Crop Custom Mix, Grass (Hay), Rye (Winter (EU,USCOEA) (Storage 2015)
EU – Denotes US-European Union Organic Equivalency Arrangement; USCOEA – Denotes US-Canada Organic Equivalency), Wheat (Hard Red Spring- Grain &amp; Seed (EU, USCOEA)
EU – Denotes US-European Union Organic Equivalency Arrangement; USCOEA – Denotes US-Canada Organic Equivalency)</t>
  </si>
  <si>
    <t>Other: Alfalfa, Barley, Hay, Pasture, Hay, Sorghum Sudangrass</t>
  </si>
  <si>
    <t>Field/Forageable: Alfalfa, Alfalfa Cut for Silage, Corn Cut for Silage, Corn Grain, Cotton, Haygrazer, Milo, Oats, Radishes, Rye, Sorghum, Soybeans, Triticale, Wheat</t>
  </si>
  <si>
    <t>Herbs/Spices: Lavindin Grosso, Peppermint; Field/Forageable: Alfalfa, Corn (Grain), Wheat</t>
  </si>
  <si>
    <t>Other: Aloevera, Aloevera Leaves, Bajra, Black Mustard Seed, Castor Seed, Castor Seed, Cumin Seed, Fenugreek Seed, Gokharu, Groundnut, Guar, Moong/ Green Gram, Moth, Psyllium Seed (Isobgul), Senna/Sonamukhi, Senna/Sonamukhi Leaves &amp; Pods, Sesame, Shankhpuspi, Wheat Grain, Yellow Mustard Seed</t>
  </si>
  <si>
    <t>Field/Forageable: Sesame, Soybean</t>
  </si>
  <si>
    <t>Seed/Pod Vegetables: Cardamom (Cardamomo (Elettaria cardamomum) - Oro); Fruit - Tropical Fruits: Cacao (Cocoa - Cacao en grano)</t>
  </si>
  <si>
    <t>Other: Chickpeas, dried, Cotton, ginned or uncombed, Grain corn, Soybean, Winter common wheat</t>
  </si>
  <si>
    <t>Field/Forageable: Hay (Alfalfa), Pasture</t>
  </si>
  <si>
    <t>Field/Forageable: Corn, Field Crop, Grain, Pasture, Silage, Sudan Grass</t>
  </si>
  <si>
    <t>Field/Forageable: Alfalfa (Hay), Oats (Grain), Soybeans (Grain), White Corn (Grain)</t>
  </si>
  <si>
    <t>Field/Forageable: Alfalfa, Barley, Clover, Corn, Hay, Oats, Rye, Soybeans, Wheat</t>
  </si>
  <si>
    <t>Herbs/Spices: Basil, Cilantro, Sage; Field/Forageable: Grass/Hay/Pasture, Alfalfa, Sorghum Sudan/Sudex, Sorghum, Corn, Soybeans; Other: Arugula, Beans, Broccoli, Cabbage, Eggplant, Greens, Kohlrabi, Lettuce, Onions, Peas, Radishes, Tomatoes, Winter squash, Zucchini, Hemp (for Fiber, Cannabinoids, and Grain)</t>
  </si>
  <si>
    <t>Other: Corn (Grain), Wheat</t>
  </si>
  <si>
    <t>Nursery/Starts/Flowers/Trees: Sesame, Sunflowers; Field/Forageable: Corn, Grain sorghum, Soybeans; Other: Maize, Sesame, Sorghum, Soy Bean, Sunflower Seeds</t>
  </si>
  <si>
    <t>Other: Long Grain Broken Brown Rice, Long Grain Broken Brown Rice, Long Grain Broken White Rice, Long Grain Brown Rice,, Paddy (basmati), Paddy Long Grain, Paddy Long Grain Rice, Supper Basmathi Broken Brown Rice, Supper Basmathi Broken White Rice, Supper Basmati Rice (Brown), Supper Basmati Rice (White)</t>
  </si>
  <si>
    <t>Tuber/Root Vegetables: Bulbs (Garlic (Bulb)), Carrots (Baby Carrots), Garlic (Garlic (Clove)), Radishes (Japanese Radish), Radishes, Shallots, Sweet Potatoes (Sweet Potato (Purple)), Sweet Potatoes (Sweet Potato (Orange)); Seed/Pod Vegetables: Beans (Yard Long Beans), Corn (Sweet corn); Leaf Vegetables: Cabbage, Cabbage (Chinese Cabbage), Cabbage (Chinese Cabbage-type Pak-Choi), Cabbage (Flowering White Cabbage), Kale (Chinese kale), Kale (Kale Mushroom), Lettuce, Spinach, Watercress (Red Watercress), Watercress (Green Watercress); Herbs/Spices: Basil (Sweet basil), Fingerroot, Mint, Parsley, Rosemary, Thyme; Fruit Vegetables: Cucumbers (Long cucumber), Cucumbers (Japanese cucumber), Eggplants (Thai Eggplant), Gourds (Wax gourd), Lettuce (Green oak lettuce), Lettuce (Red oak lettuce), Lettuce (Butterhead Lettuce), Lettuce (Cos lettuce), Lettuce (Thai Lettuce), Lettuce (Red coral lettuce), Lettuce (Cos Lettuce), Lettuce (Baby Cos Lettuce), Zucchini; Fruit - Tropical Fruits: Avocados, Papayas (Papaya (Holland)), Passionfruits; Fruit - Citrus Fruits: Limes; Flower Vegetables: Broccoli, Broccoli (Chinese Broccoli)</t>
  </si>
  <si>
    <t>Other: Fallow, Mixed grains, Rooibos</t>
  </si>
  <si>
    <t>Seed/Pod Vegetables: Beans (Bengal Gram); Nuts: Peanuts (Peanut, Groundnut in shell - unprocessed); Herbs/Spices: Ginger (Ginger - fresh), Pepper (Pepper (Capsicum, Chili) - fresh); Field/Forageable: Rice (Round grain rice - in the husk (paddy)); Other: Sesame, Sunflowers (Sunflower seed)</t>
  </si>
  <si>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</si>
  <si>
    <t>Other: Hard Red Winter Wheat (Grain)</t>
  </si>
  <si>
    <t>Field/Forageable: Fallow, Rice</t>
  </si>
  <si>
    <t>Seed/Pod Vegetables: Peas, Pinto Beans; Fruit Vegetables: Peppers; Field/Forageable: Corn, Cover Crop, Grain, Pasture, Rye</t>
  </si>
  <si>
    <t>Seed/Pod Vegetables: Corn; Field/Forageable: Oats, Soybeans</t>
  </si>
  <si>
    <t>Field/Forageable: Alfalfa, Corn (Grain, Fodder), Hay, Rye (Grain, Hay), Soybeans, Triticale (Grain, Hay)</t>
  </si>
  <si>
    <t>Seed/Pod Vegetables: Soybeans; Field/Forageable: Barley, Corn (Yellow), Hay, Oats, Pasture, Rye</t>
  </si>
  <si>
    <t>Field/Forageable: Pasture - Beef Cattle, Grain, Hay, Pasture</t>
  </si>
  <si>
    <t>Field/Forageable: Alfalfa (Hay), Corn (Grain), Oats (Grain), Soybeans (Grain), Wheat (Soft Red, Grain), Wheat (Soft Red, Hay)</t>
  </si>
  <si>
    <t>Seed/Pod Vegetables: Peas (Peas); Field/Forageable: Alfalfa (Alfalfa), Clover (Clover), Corn (Corn), Hay (Hay), Oats (Oats), Pasture (Pasture), Popcorn (Popcorn), Soybeans (Soybeans), Wheat (Wheat)</t>
  </si>
  <si>
    <t>Seed/Pod Vegetables: Beans (Black), Soybeans; Nursery/Starts/Flowers/Trees: Sunflowers; Field/Forageable: Barley, Buckwheat, Clover (Medium red), Corn (Yellow), Hay (&amp; Oat/clover), Oats, Pasture, Popcorn, Rye, Straw, Wheat (Soft white winter)</t>
  </si>
  <si>
    <t>Herbs/Spices: Medicinal herbs; Fruit - Berries: Blueberries; Field/Forageable: Barley, Corn (Polenta corn, field corn), Hay (Grass, alfalfa, clover), Pasture, Rye, Soybeans, Wheat; Other: mixed vegetables (asparagus, tomatoes, sweet potatoes, squash), tree fruits and nuts (apple, pear, figs, currants, spicebush, hawthorne, ginko)</t>
  </si>
  <si>
    <t>Field/Forageable: Alfalfa, Corn, Fallow, Grass, Oat-Pea, Pasture, Wheat, Wheat; Other: Barley Seeds, Fallow, Rye Grain Seeds (On-farm produced saved Rye Seed), Wheat Seeds (On-farm produced saved Wheat Seed)</t>
  </si>
  <si>
    <t>Field/Forageable: Wheat (Wheat); Other: Basmathi Paddy, Non Basmathi Paddy</t>
  </si>
  <si>
    <t>Other: Edamame (Edamame), Grain corn (Waxy corn), Sweetcorn</t>
  </si>
  <si>
    <t>Other: Field A1, Field A2, Field B1, Field B2, Field C1, Field D1, Field D2, Field E, Oats, Rye, Vetch, Wheat</t>
  </si>
  <si>
    <t>Field/Forageable: All other grains, Corn, Corn, grass baleage</t>
  </si>
  <si>
    <t>Seed/Pod Vegetables: Peas; Field/Forageable: Millet, Soybeans, Sunflowers, Wheat</t>
  </si>
  <si>
    <t>Seed/Pod Vegetables: Rapeseed; Field/Forageable: Barley, Wheat; Other: Sunflower</t>
  </si>
  <si>
    <t>Seed/Pod Vegetables: Peas; Field/Forageable: Linseed, Millet, Sunflower, Wheat</t>
  </si>
  <si>
    <t>Seed/Pod Vegetables: Lentils; Field/Forageable: Linseed, Millet, Rape seed, Soybeans, Spelt, Sunflowers, Vicia villosa, Wheat</t>
  </si>
  <si>
    <t>Field/Forageable: Millet, Mung beans, Rape Seed, Spelt, Sunflowers, Wheat</t>
  </si>
  <si>
    <t>Other: Grain, Hay, and Straw</t>
  </si>
  <si>
    <t>Field/Forageable: Corn, Rice, Soybeans, Wheat; Other: Rice (Broken) (Long &amp; Medium Grain, Brown), Rice (Long Grain) (Brown), Rice (Long Grain) (White), Rice (Medium Grain) (Brown), Rice (Medium Grain) (White), Soybeans</t>
  </si>
  <si>
    <t>Field/Forageable: Corn, Hay, Oats, Spelt, Straw, Wheat, Wheat (Einkorn)</t>
  </si>
  <si>
    <t>Other: #Resale of organic and conventional fruits, cheese, bread, chicken, eggs, beef, mushrooms, pork, lamb, small grains, syrup, honey, and canned vegetables., *Corn, *Pasture, *Soybeans, Land, Vegetables: arugula, asparagus, beets, bok choi, broccoli, broccoli raab, Brussels sprouts, cabbage, cardoon, carrots, cauliflower, celeriac, celery, celtus, chard, choi sum, chocolo corn, cucumbers, dandelion, eggplant, fennel, green beans, hon tsai tai, kale, kale/Brussels flower sprouts, kalettes, kohlrabi, leeks, lettuce, nasturtium, Napa cabbage, onions, orach, peas, peppers, popcorn, potatoes, pumpkins, radicchio, radish, Romanesco, rutabaga, salad mix, scallions, shallots, spinach, summer squash, sunchokes, sweet corn, sweet potatoes, tomato, Tokyo bekana, turnips, winter squash; Herbs: basil, catnip, chives, cilantro, dill, garlic, oregano, parsley, peppermint, thyme; Flowers; Fruit: melons, watermelons; Microgreens: mild mix.</t>
  </si>
  <si>
    <t>Other: Alfalfa, Clover, Corn, Oats, Soybean</t>
  </si>
  <si>
    <t>Seed/Pod Vegetables: Chickpeas, Peas, Peas; Field/Forageable: Buckwheat, Buckwheat, Corn, Millet, Millet, Popcorn, Wheat; Other: Soybean, Sunflower seed</t>
  </si>
  <si>
    <t>Field/Forageable: Fallow, Hay, Rice</t>
  </si>
  <si>
    <t>Field/Forageable: Alfalfa, Alfalfa Cut for Silage, Corn Cut for Silage, Corn Grain, Cotton, Haygrazer, Milo, Oats, Paprika, Radishes, Rye, Sorghum, Soybeans, Triticale, Wheat</t>
  </si>
  <si>
    <t>Seed/Pod Vegetables: Corn
Chickpea; Field/Forageable: Soybean
Wheat
Cotton</t>
  </si>
  <si>
    <t>Other: Kharif 2023: Soybean, raw cotton, maize grain, green gram (chana/moong bean), groundnut, pigeon pea; Rabi 2023-24: Chickpea, wheat</t>
  </si>
  <si>
    <t>Other: Kharif 2023/24: Soybean, raw cotton, maize grain; Rabi 2024: Sunflower seeds, lentil, chickpea, wheat</t>
  </si>
  <si>
    <t>Other: Beet Root (Fresh), Curry Leaves Fresh, Garlic, Green Chilli (Fresh), Lemon, Mint/Mentha /Pudina(Fresh), Mint/Mentha/Pudina (Dry), Moong Whole, Moringa Leaves Fresh, Onion, Pearl Millet (Bajra) Fodder, Pearl Millet (Grain), Rose, Sesame Seeds, Tomatoes (Fresh)</t>
  </si>
  <si>
    <t>Field/Forageable: Oats (Oat Hay (Kanota, Cayuse), Oat Grain (Kanota, Cayuse), Oat Straw (Kanota, Cayuse))</t>
  </si>
  <si>
    <t>Field/Forageable: Hay</t>
  </si>
  <si>
    <t>Nursery/Starts/Flowers/Trees: Aroeira, Rubber Tree; Herbs/Spices: Allspice, Annatto, Black Pepper, Cardamom, Cinnamon, Clove, Cumaru, Grains of Paradise, Lemongrass, Nutmeg, Turmeric, Vanilla; Fruit - Tropical Fruits: Achachairu, Avocados, Bananas, Cajarana, Cocoa, Coconuts, Cupuaçu, Dragonfruits, Genipap, Guarana, Jabuticaba, Jackfruits, Kola Nut, Peach Palm, Pineapples, Rambutan, Surinam Cherry; Fruit - Citrus Fruits: Guavas, Lemons, Mangosteen, Oranges, Rose Apple, Tangerines; Fruit - Berries: Acai Berries</t>
  </si>
  <si>
    <t>Other: Milo (Grain), Peas (Not Harvested), Soybeans (Grain)</t>
  </si>
  <si>
    <t>Tuber/Root Vegetables: Turnips; Seed/Pod Vegetables: Peas; Field/Forageable: Alfalfa, Barley, Buckwheat, Clover, Corn, Hay, Mustard, Oats, Oats (Oats Grain), Rye, Rye (Oat Straw), Soybeans, Wheat, Wheat (Wheat Grain), Wheat (Wheat Straw)</t>
  </si>
  <si>
    <t>Other: Alfalfa (Hay), Buckwheat (Grain), Clover (Hay), Corn, Grass (Hay), Milo (Grain), Oats, Soybeans, Wheat</t>
  </si>
  <si>
    <t>Other: Alfalfa (Hay), Corn (Grain)</t>
  </si>
  <si>
    <t>Other: Mulethi (Glycorrhiza glabra), Senna, Convolvulus pluricaulis (Shankpushpi), Moringa leaves, Satawar, Neem Leaves, Neem Twing, Neem Flower, Vinca rosea, Heena /Mehendi, Bougainvillea Leaf, Datura stramonium, Premna serratifolia (Agnimanthah), Castor seed, Castor Root, Green Gram Whole (Moong Sabut), Matki/Moth Bean, Pearl Millet/Bajra, Guar Seeds, Ground Nut, Sesame, Bimbi, Krishna Tulsi Seed, Rama Tulsi seeds, Fodder, Quinoa, Brown mustard, Yellow mustard, Wheat grain, Psyllium seed (Isobgul), Fennel/saunf, Chandrashoor (Lipidium sativum), Cumin (Black-seed)</t>
  </si>
  <si>
    <t>Field/Forageable: Corn, Hay/Pasture, Soybeans, Rye/Small Grain, Cover Crops</t>
  </si>
  <si>
    <t>Field/Forageable: Corn, Hay, Oats, Rye; Other: Corn, Oats, Rye Grain Seeds, Soybeans</t>
  </si>
  <si>
    <t>Field/Forageable: Alfalfa, Corn (Grain, Silage, Stalks), Sorghum Sudan Grass, Straw (Wheat), Wheat</t>
  </si>
  <si>
    <t>Other: Popcorn (Grain)</t>
  </si>
  <si>
    <t>Field/Forageable: Rice (Black Glutinous Rice - in the husk (paddy), Black Rice - in the husk (paddy), Hommali Rice - in the husk (paddy), Local Varieties Rice - in the husk (paddy), Red Glutinous Rice, Riceberry Rice - in the husk (paddy), Sticky rice in the husk (paddy))</t>
  </si>
  <si>
    <t>Other: Alfalfa (Hay), Corn (Grain), Oats (Hay), Rye (Hay), Soybeans (Grain)</t>
  </si>
  <si>
    <t>Field/Forageable: 3 Way Grain, Alfalfa, Alfalfa, Alfalfa - Grass - Clover, Alfalfa - Orchard Grass, Alfalfa-Barley, Alfalfa-Wheat, Barley, Barley, Corn, Grass, Grass, Grass Hay-Alfalfa Mix, Hay, Hay, Haylage, Pasture, Sudan Grass, Sudan Grass, Wheat, Wheat, Wheat; Other: Barley Straw, Cover Crop, Silage, Straw, Wheat Seeds, Wildlife Area</t>
  </si>
  <si>
    <t>Nursery/Starts/Flowers/Trees: Seeds; Field/Forageable: Grain, Hay, Silage</t>
  </si>
  <si>
    <t>Seed/Pod Vegetables: Peas (Peas); Field/Forageable: Corn (Corn), Fallow (Fallow), Hay (Hay), Oats (Oats), Pasture (Pasture), Popcorn (Popcorn), Rye (Rye), Soybeans (Soybeans), Spelt (Spelt), Wheat (Einkorn Wheat), Wheat (Wheat)</t>
  </si>
  <si>
    <t>Other: Oats/Alfalfa (Hay), Soybeans (Grain), White Corn (Grain)</t>
  </si>
  <si>
    <t>Field/Forageable: Alfalfa (Alfalfa), Corn (Corn), Hay (Hay), Oats (Oats), Other, Soybeans (Soybeans), Spelt (Spelt), Straw (Straw), Wheat (Wheat)</t>
  </si>
  <si>
    <t>Field/Forageable: Soybeans</t>
  </si>
  <si>
    <t>Tuber/Root Vegetables: Potatoes, Sweet Potatoes; Seed/Pod Vegetables: Beans, Corn, Corn; Fruit Vegetables: Squash; Field/Forageable: All other grains, Barley, Corn, mixed hay, Oats, Pasture, Wheat</t>
  </si>
  <si>
    <t>Seed/Pod Vegetables: Beans (Beans); Fruit - Berries: Berries (Berries); Field/Forageable: Corn (Corn), Hay (Hay), Oats (Oats), Pasture (Pasture), Rye (Rye); Other: Fruit, Mixed Vegetables</t>
  </si>
  <si>
    <t>Field/Forageable: Corn (Grain Corn, Silage)</t>
  </si>
  <si>
    <t>Fungi: Mushrooms (Agarikon, Almond Portabella, Cordyceps Lepidoptera, Bears Head/Waterfall, Beefsteak Polypore, Bioluminescent Panellus, Birch Polypore "Blue Ridge", Black Morel, Black Poplar, Blewit, Brick Top, Bristle Polypore, Brown Oyster, Brown Shimeji, Chestnut Mushroom, Chicken of the Woods, Coastal Blonde Morel, Cold Blue Oyster, Devil's Urn, Elm Oyster, Enoki, Giant Blonde Morel, Giant Macrobybe, Giant Milky, Golden Oyster, Hairy Panus, Iceman Polypore "Pisgah", Jack O Lantern, King Oyster - Eryngii, King Stropharia, King Tuber Oyster, Locust Phellinus, Maitake/Hen of the Woods, Maze Gill Polypore, Nameko, Paddy Straw, Parasol, Phoenix Oyster, Pink Flamingo Oyster, Lion's Mane, Portabella, Gold Reishi, Red Reishi, Shaggy Mane, Shiitake, Summer Button, Tiger Sawgill, Train Wrecker, Turkey Tail, Carnish Shelf, Warm Blue Oyster, White Oyster, Wild N.C., Wood Ear)</t>
  </si>
  <si>
    <t>Tuber/Root Vegetables: Garlic (Garlic - fresh); Leaf Vegetables: Shallots (Shallot (fresh)); Herbs/Spices: Galangal (Alpinia galanga) - fresh, Lemongrass (Cymbopogon citratus) - fresh, Pepper (Green Chili - fresh, Red Chili - fresh), Turmeric (Curcuma, Turmeric - fresh, White Turmeric - fresh); Fruit - Citrus Fruits: Limes (Kaffir lime (Citrus hystrix) - fresh); Field/Forageable: Rice ((RD83) Black Jasmine, Black Sticky rice, Hommali 105, RD 15, Red Jasmine rice, Red Sticky rice, Sticky rice)</t>
  </si>
  <si>
    <t>Seed/Pod Vegetables: Herbs (Garbanzo (Cicer arietinum) Brown Gram /Gram/Chana: (Cicer arietinum )-Rabi), Soybeans (Soya Soybean: (Glycine max) -Kharif); Nuts: Wheat (Trigo (Triticum aestivum) Wheat: (Triticum aestivum )-Rabi;
Maíz (Zea mays) Maize Corn : (Zea mays) -Kharif); Field/Forageable: Cotton (Algodón (Gossypium herbaceum) Raw Cotton : (Gossypium herbaceum ) -Kharif)</t>
  </si>
  <si>
    <t>Field/Forageable: Rice (Black rice paddy, Chainat (long grain rice) paddy, Hommali rice paddy, RD 15 Rice paddy, Red rice paddy, Rice Berry paddy, Sticky Black rice paddy, Sticky Red rice paddy, Sticky rice paddy)</t>
  </si>
  <si>
    <t>Other: Chickpeas, dried, Cotton, ginned or uncombed, Durum wheat, Grain corn, Soybean</t>
  </si>
  <si>
    <t>Tuber/Root Vegetables: Carrots (Carrots (Seed)), Carrots (Vegetables: Carrots); Seed/Pod Vegetables: Beans (Vegetables: Diana Fava Beans), Beans (Vegetables: Windsor Fava Beans), Beans (Vegetables: Kidney Beans), Mustard (Vegetables: Black Mustard), Peas (Peas: Field Peas); Leaf Vegetables: Chard (Vegetables: Chard); Fruit - Pome: Apples (Apples - Assorted Varieties); Field/Forageable: Alfalfa Grass Mix (Hay), Buckwheat (Grains: Buckwheat), Grass (Grass (Hay)), Grass (Grass (Pasture)), Mixed Grain - Rye/Vetch (Seed); Other: Feed and Forage: Cover Crop, Whole Grains or Seeds: Camelina, Whole Grains or Seeds: Hard Red Wheat Berries, Whole Grains or Seeds: Hard White Wheat Berries, Whole Grains or Seeds: Quinoa, Whole Grains or Seeds: Rye Berries, Whole Grains or Seeds: Soft White Wheat Berries, Whole Grains or Seeds: Triticale Berries</t>
  </si>
  <si>
    <t>Other: Chick Pea, Ginger, Maize (Grain), Raw Cotton, Soybean, Sugarcane, Wheat</t>
  </si>
  <si>
    <t>Seed/Pod Vegetables: Peas; Field/Forageable: Alfalfa (Hay), Barley (Grain), Barley (Straw), Grass (Hay), Rye (Grain), Rye (Straw), Wheat (Winter Hay)</t>
  </si>
  <si>
    <t>Tuber/Root Vegetables: Garlic, Leeks, Onions, Parsnips, Radishes, Rutabaga, Sweet Potatoes, Turnips; Stem Vegetables: Celery, Rhubarb; Seed/Pod Vegetables: Beans, Beans, Corn, Edamame, Okra, Peas; Nuts: Chestnuts; Nursery/Starts/Flowers/Trees: Calendula, Flowers, Flowers, Flowers, Flowers, Flowers, Transplants (See Farm Products for list); Leaf Vegetables: Arugula, Brussels Sprouts, Cabbage, Chard, Chicory, Collards, Gai Lan, Greens, Kale, Lettuce, Mustard, Sorrel, Spinach; Herbs/Spices: Basil, Chives, Cilantro, Dandelion, Dill, Echinacea, Fennel, Herbs, Oregano, Parsley, Sage, Savory, Thyme; Fruit Vegetables: Eggplants, Eggplants, Ground cherry, Peppers, Squash, Summer Squash, Tomatillos, Tomatoes; Fruit - Tropical Fruits: Figs; Fruit - Stone: Cherries, Peaches; Fruit - Pome: Apples, Pears; Fruit - Melons: Melons, Watermelons; Fruit - Berries: Currants, Gooseberry, Grapes, Raspberries, Raspberries, Strawberries; Flower Vegetables: Broccoli, Broccoli Raab, Cauliflower; Field/Forageable: Barley, Fallow, Hay, Hay, Rice, Sorghum; Other: Amaranth Seeds (Hopi Red Dye), Arugula Seeds (Perennial), Barley Seeds (Burbank Black Hulless), Barley Seeds (Streaker), Bean Seeds (Odawa Dry), Bean Seeds (Purple Podded Pole), Beet Seeds (Detroit Dark Red), Borage Seeds (Common Blue), Brussels Sprouts Seeds (Darkmar), Calendula Seeds (Orange Zinger), Chives Seeds, Cilantro Seeds (Pokey Joe ), Collard Seeds (Old Timey Blue), Corn Seeds (Top Hat Sweet Corn), Cosmos Seeds (Diablo), Cover Crop, Cucumber Seeds (Early Fortune), Cucumber Seeds (Poinsett 76), Dill Seeds (Bouquet), Dill Seeds (Jen's Dill), Eggplant Seeds (Open Ophelia), Eggplant Seeds (Rosa Blanca), Eggplant Seeds (Udumalapet), Fennel Seeds (Bronze), Flower Seeds (Bee Balm), Flower Seeds (Dyer's Coreopsis), Flower Seeds (Fizzy White Cosmos Seeds), Garlic (Candystriper), Garlic (Vietnamese Red), Garlic Chive Seeds, Garlic Seeds, Garlic Seeds (Alberta Rose), Garlic Seeds (Bogatyr), Garlic Seeds (Egeler), Garlic Seeds (Garlicana), Garlic Seeds (German Extra Hardy), Garlic Seeds (Lorz Italian), Garlic Seeds (Michigan Manzoni), Garlic Seeds (Music), Garlic Seeds (Orto di Pecci), Garlic Seeds (Rob's Rocambole), Garlic Seeds (Romanian Red), Garlic Seeds (Silver White), Garlic Seeds (Spanish Roja), Ground Cherry Seeds (Aunt Molly's), Hemp Seeds (Baox), Japanese Indigo Seeds, Kale Seeds (Alive Vates), Lettuce Seeds (Grand Rapids), Lettuce Seeds (Jazzy Leaf), Lettuce Seeds (Jericho), Lettuce Seeds (Slogun), Lima Bean Seeds (Calico Traveler), Maple Sap, Melon Seeds (Emerald Gem), Molokhia Seeds, Mustard Seeds (Osaka Hardy), Nasturtium Seeds (Mixed Colors), Nasturtium Seeds (Nasturtium Blend Seeds (Flower)), Okra Seeds (Emerald), Okra Seeds (Red Okra), Parsley Seeds (Curled), Pea Seeds (Record), Pea Seeds (Sugar Magnolia), Pea Seeds (Sugar Snap), Pepper Seeds (Ancho Poblano), Pepper Seeds (Beaver Dam ), Pepper Seeds (Chocolate Cake), Pepper Seeds (Corona Orange), Pepper Seeds (Fatalii), Pepper Seeds (Lunchbox Orange), Pepper Seeds (Macedonian Embroidered ), Pepper Seeds (Margaret's), Pepper Seeds (Mega Marconi), Pepper Seeds (Melrose), Pepper Seeds (Michigan Wonder), Pepper Seeds (Shishito), Pepper Seeds (Tempequino Serrano), Pepper Seeds (Thai Bird's Eye), Pepper Seeds (Tiny Chinese), Pepper Seeds (Traveler Jalapeno), Pepper Seeds (West Malaysian), Pepper Seeds (Wisconsin Lakes), Quinoa Seeds (Taiwanese), Radish Seeds (Holmes Royal Red), Rice Seeds (Amaura), Rice Seeds (Duborskian), Rice Seeds (Loto), Rice Seeds (Zerawchanica), Scallion Seeds (Evergreen Hardy), Seeds, Sesame Seeds (Black), Sorrel Seeds, Sorrel Seeds (Red Veined), Spinach Seeds (Abundant Bloomsdale), Spinach Seeds (Good King Henry), Squash Seeds (Brulee Butternut), Sunflower Seeds, Sunflower Seeds (Ring of Fire), Sweet Pea Seeds (Cupani's Original), Tomatillo Seeds (Morado), Tomato Seeds (Aosta ), Tomato Seeds (Blush), Tomato Seeds (Brandywine (Sudduth's Strain)), Tomato Seeds (Earl's Red Beefsteak), Tomato Seeds (Early Detroit), Tomato Seeds (Ferris Wheel), Tomato Seeds (Grape), Tomato Seeds (Grape Tomato), Tomato Seeds (Green Tiger), Tomato Seeds (Isbell's Golden Colossal), Tomato Seeds (Jada), Tomato Seeds (Mountain Delight), Tomato Seeds (New Big Dwarf), Tomato Seeds (Pink Berkeley Tie Die), Tomato Seeds (Rainbow Surprise), Tomato Seeds (Super Snacks), Tomato Seeds (Tasty Evergreen), Tomato Seeds (Victor), Tomato Seeds (Wisconsin 55), Watermelon Seeds (Sweet Siberian), Winter Squash Seed (Wisconsin Cheese)</t>
  </si>
  <si>
    <t>Seed/Pod Vegetables: Corn (Maize (corn) seeds - Maize Grain (Zea mays) - Rabi), Green Beans (Green Gram / Mung Bean - judía mungo Green Gram (Vigna radiata) - Kharif), Soybeans (Soya Soybean (Glycine max) - Kharif); Nursery/Starts/Flowers/Trees: Wheat (Trigo (Triticum aestivum) Wheat (Triticum aestivum) - Rabi); Fruit Vegetables: Chickpeas (Garbanzos Chickpea (Cicer arietinum) - Rabi); Field/Forageable: Cotton (Algodón (Gossypium herbaceum) Raw Cotton (Gossypium hirsutum) - Kharif)</t>
  </si>
  <si>
    <t>Other: Alfalfa (Hay)(Pellets), Corn (Grain), Rye, Soybeans (Grain)</t>
  </si>
  <si>
    <t>Seed/Pod Vegetables: Bean Sprouts (Adzuki Bean Sprouts), Bean Sprouts (Black bean sprouts), Bean Sprouts (Mung Bean Sprouts), Buckwheat (Buckwheat Sprouts), Millet (Millet Sprouts), Oats (Oat sprouts), Rice (Rice sprouts), Sesame (Sesame sprouts), Sorghum (Sorghum sprouts)</t>
  </si>
  <si>
    <t>Field/Forageable: Rice (Paddy Chainat Rice), Rice (Paddy Glutinous Rice), Rice (Paddy Hommali Rice)</t>
  </si>
  <si>
    <t>Field/Forageable: Balage (rye, triticale, oats, wheat), Barley, Corn (Floriani Red Flint, Pungo Creek Dent, Cherokee Long Ear Small Popcorn), Hay (grass/legume hay and baleage), Pasture, Soybeans, Straw</t>
  </si>
  <si>
    <t>Field/Forageable: Buckwheat (Buckwheat), Fallow (Fallow), Grass (Grass), Rye (Rye); Other: Transplants and Potted Plants (5627 sq ft) including vegetables, herbs, prairie and woodland species</t>
  </si>
  <si>
    <t>Tuber/Root Vegetables: Cassava; Nuts: Coconuts, Palm Nuts (King coconut); Leaf Vegetables: Centella asiatica (Gotu kola), mukunuwenna; Herbs/Spices: Cinnamon, Clove, garcinia, Ginger, Lemon Grass, Pepper, Peppermint, Thulsi, Turmeric, Vanilla (vanilla); Fruit Vegetables: Jackfruits; Fruit - Tropical Fruits: Bananas, Papayas, Pineapples, Pineapples (Pineapples), Starfruits; Other: Adathoda, Blue Butterfly pea, curry leaves, Guava, Heen Bovitia, Hibiscus, Kithul sap, Kohila, Moringa, Paddy, Pandan leaves, tea, tender jack fruit, Thebu (Costus speciosus), Thulsida</t>
  </si>
  <si>
    <t>Field/Forageable: Rice (Chainat 1 rice (paddy), Hommali rice (paddy), RD 15 rice (paddy), RD 43 rice (paddy), RD 6 rice (paddy), Red rice (paddy), Riceberry rice (paddy))</t>
  </si>
  <si>
    <t>Nuts: Nuts (Apricot kernel), Walnuts (Walnut); Fruit Vegetables: Tomatoes (Tomatoes); Fruit - Tropical Fruits: Figs (Fig); Fruit - Stone: Cherries (Cherry, Sourcherry, Sweet cherry); Fruit - Berries: Grapes (Grape); Other: Popyseed</t>
  </si>
  <si>
    <t>Seed/Pod Vegetables: Beans (Black), Pinto Beans, Soybeans; Nursery/Starts/Flowers/Trees: Sunflowers; Field/Forageable: Oats</t>
  </si>
  <si>
    <t>Other: Alfalfa Hay, Barley Grain, Grass Hay, Oat Hay, and Wheat Grain</t>
  </si>
  <si>
    <t>Tuber/Root Vegetables: Potatoes; Nursery/Starts/Flowers/Trees: fruit trees; Field/Forageable: All other grains, mixed hay, Pasture; Other: Other</t>
  </si>
  <si>
    <t>Other: Corn, Soybeans, Winter Wheat (grain)</t>
  </si>
  <si>
    <t>Field/Forageable: Alfalfa, Alfalfa-Oats, Corn, Pasture (Grain/Oilseed; Oats;)</t>
  </si>
  <si>
    <t>Seed/Pod Vegetables: Beans (Mung bean); Field/Forageable: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t>
  </si>
  <si>
    <t>Field/Forageable: Wheat (Wheat); Other: Paddy (long grain)</t>
  </si>
  <si>
    <t>Nursery/Starts/Flowers/Trees: Flowers; Herbs/Spices: Herbs; Field/Forageable: Grain, Pasture; Other: Fruit</t>
  </si>
  <si>
    <t>Tuber/Root Vegetables: Beets (Beetroot, Beetroot Baby), Carrots (Carrot, Carrot Baby), Celery (Celery), Radishes (Daikon, Radish Baby); Seed/Pod Vegetables: Green Beans (Green french bean), Peas (Snow pea), Sweet corn; Leaf Vegetables: Cabbage (Cabbage white), Kale (Kale curl, Kale Tuscano), Lettuce (Lollo green/rosso, Mesclun, Oakleaf green/red, Romaine Lettuce), Pak Choi (Pak Choi), Spinach (Malabar spinach, Spinach, Spinach Baby), Swiss chard; Herbs/Spices: Basil, Chrysanthemum, Edible Flower, Phlox, Leaf mustard, Lime leaves, Micro, Mix, Mint, Rosemary, Coriander (Corainder), Oregano (Oregano), Parsley (Parsley curl/flat), Peppermint (Chocomint), Thyme (Thyme); Fruit Vegetables: Broccoli (Broccoli), Cauliflower (Cauliflower), Cucumbers (Cucumber), Gourds (Gourd, Winter gourd), Okra (Okra), Tomatoes (Tomato Cherry red/yellow, Tomato Chocolate), Zucchini (Zucchini green); Fruit - Tropical Fruits: Bananas (Banana); Fruit - Citrus Fruits: Limes (Lime fruit); Field/Forageable: Amaranth (Amaranth); Other: Artichokes (Artichoke), Gourds (Luffa), Kohlrabi (Kohlrabi), Lettuce (Roquette Wild), Mustard (Japanese mustard)</t>
  </si>
  <si>
    <t>Leaf Vegetables: Chicory (Chicory); Herbs/Spices: Anise (Anise), Basil, Calendula, Coriander, Lemongrass, Marjoram, Rosemary, Spearmint, Chamomile (Chamomile), Fenugreek (Fenugreek), Lemon Balm (Lemon balm), Peppermint (Peppermint), Thyme (Thyme); Field/Forageable: Oats (Oat straw); Other: Caraway (Caraway), Fennel (Fennel)</t>
  </si>
  <si>
    <t>Field/Forageable: Corn (Corn), Hay (Hay), Pasture (Pasture), Soybeans (Soybeans), Wheat (Wheat)</t>
  </si>
  <si>
    <t>Other: Basmati Paddy, Black gram, Kodo Millets, Non-Basmati Paddy (Sona Masoori, Long Grain, Black rice, Red Rice, Sticky Rice, Round Grain Rice), Paddy Pusa Basmati, Kutki Millet, Pigeon pea, Maize, Raw Cotton, Sesame, Soybean, Chickpea/Kabuli chana, Chia, Pea Pulses, Quinoa, Fennel, Flaxseed, Lentil, Safflower (including bastard saffron), Wheat, Amla, Buchanania lanzan Spreng (Cheerojee), Lemon, Custard apple Fresh Ata)/Annona squamosa, Mango, Papaya, Guava, Haritaki/Harad (Terminalia chebula), Tamarind/Imli (T.indica)</t>
  </si>
  <si>
    <t>Field/Forageable: Wheat (Wheat); Other: Paddy (basmati), Paddy (Round grain)</t>
  </si>
  <si>
    <t>Other: Amaranthus seed, Aonla, Barnyard Millet, Basmati Paddy, Black Gram, Brown gram, Brown top Millet, Chia seed, Cowpea, Cowpea, Foxtail Millet, Garlic, Green Chilli Fresh, Green gram, Green Peas, Groundnut/Peanut, Kabuli Chana, Lemon, Lentil, Little millet, Maize, Non Basmati (Indrayani Paddy), Non Basmati Paddy, Non Basmati Paddy (HMT Kolam), Okra, Proso Millet, Ragi/Finger Millet Grain, Red rice Paddy, Sona masuri Paddy, Soyabean, Sugarcane, Sweet Corn, Sweet lime, Tamarind, Turmeric, Turmeric Dried, Urad, Wheat, White Pea (Vatana)</t>
  </si>
  <si>
    <t>Field/Forageable: Buckwheat, Clover (Yellow blossom sweet), Rye</t>
  </si>
  <si>
    <t>Other: Corn (Grain), Pasture/Native Grass (Grazing), Wheat (Silage)</t>
  </si>
  <si>
    <t>Seed/Pod Vegetables: Beans (Black Beans); Field/Forageable: Hay (Hay), Popcorn (Popcorn), Soybeans (Food Grade Soybeans)</t>
  </si>
  <si>
    <t>Other: Barley (Grain &amp; Straw), Corn (Grain), Grass (Hay), Oats (Grain &amp; Straw), Pasture (Grazing), Soybeans (Grain)</t>
  </si>
  <si>
    <t>Other: Pear (Abate Fetel), Pear (Beurré d'Anjou), Wine grape (Muscat à petits grains roses)</t>
  </si>
  <si>
    <t>Other: Oat/Pea Hay, Soybeans (Grain), Wheat (Grain)</t>
  </si>
  <si>
    <t>Field/Forageable: Barley (Hay &amp; Grain - (USCOEA, EU)
EU – Denotes US-European Union Organic Equivalency Arrangement; USCOEA – Denotes US-Canada Organic Equivalency), Grass (Hay), Millet (EU – Denotes US-European Union Organic Equivalency Arrangement; USCOEA – Denotes US-Canada Organic Equivalency), Triticale ((USCOEA, EU)
EU – Denotes US-European Union Organic Equivalency Arrangement; USCOEA – Denotes US-Canada Organic Equivalency), Wheat (Winter (USCOEA, EU)
EU – Denotes US-European Union Organic Equivalency Arrangement; USCOEA – Denotes US-Canada Organic Equivalency), Wheat (Hard Red Spring (USCOEA, EU)
EU – Denotes US-European Union Organic Equivalency Arrangement; USCOEA – Denotes US-Canada Organic Equivalency)</t>
  </si>
  <si>
    <t>Field/Forageable: Rice (Chainat 1 Rice - in the husk (paddy), Chor Ratree Rice - in the husk (paddy), Hommali Rice - in the husk (paddy), Pitsanulok 4 Rice - in the husk (paddy), RD 79 Rice - in the husk (paddy), Riceberry Rice - in the husk (paddy), Sin Lek Rice - in the husk (paddy))</t>
  </si>
  <si>
    <t>Tuber/Root Vegetables: Maca</t>
  </si>
  <si>
    <t>Seed/Pod Vegetables: Beans, Beans (Black), Beans (Cranberry), Beans (Navy), Beans (Pinto), Beans (Red), Edamame, Kidney Beans, Lentils, Peas (Peas), Peas (Austrian Winter), Peas; Field/Forageable: Alfalfa, Barley, Buckwheat, Clover, Corn, Flax, Hay, Mustard, Oats, Rye, Rye (Winter), Soybeans, Spelt, Triticale, Vetch, Wheat, Wheat (Einkorn), Wheat (Emmer), Wheat (Winter), Wheat (Winter (Hard Red)), Wheat (Winter (Soft White))</t>
  </si>
  <si>
    <t>Field/Forageable: Soybeans, Stored Hemp (for Cannabinoids, Fiber, and Grain)</t>
  </si>
  <si>
    <t>Other: herbs (Mimosa, Rose Centifolia &amp; Rose Damascena, Tansy, inula, red myrtle, green myrtle, immortal,
mugwort, verbena, thyme, vetiver, mint, basil, chicory, rosemary, shiso, oregano, tarragon, roman chamomile).
Bitter orange.</t>
  </si>
  <si>
    <t>Seed/Pod Vegetables: Beans, Beans, Fava Beans, Peas; Nursery/Starts/Flowers/Trees: Seeds, Transplants, Trees; Fruit Vegetables: Pumpkins, Tomatoes; Fruit - Berries: Cane Berries, Strawberries; Field/Forageable: Corn, Cover Crop, Fallow, Grain, Grass, Pasture, Wheat; Other: Fruit, Mixed Vegetables</t>
  </si>
  <si>
    <t>Field/Forageable: Wheat (Wheat); Other: Paddy (basmati), Paddy (long grain)</t>
  </si>
  <si>
    <t>Other: #Packaging, freezing, and distribution of fruit - 'Organic': elderberries, #Processing, grinding, and distribution of on-farm grain- 'Organic': Corn, *Corn, *Elderberries, *Garlic, *Hay, *Pasture, *Wheat</t>
  </si>
  <si>
    <t>Field/Forageable: Rice (Chainat Rice - in the hask(paddy), Hommali rice - in the husk (paddy), RD15 rice - in the husk (paddy), Sticky rice (Glutinous rice) - in the husk (paddy))</t>
  </si>
  <si>
    <t>Field/Forageable: Rice (Surin Hommali (105) Organic Rice)</t>
  </si>
  <si>
    <t>Field/Forageable: Grain, Hay, Pasture - Beef Cattle, Silage</t>
  </si>
  <si>
    <t>Seed/Pod Vegetables: Beans, Kidney Beans; Field/Forageable: Corn, Fallow, Popcorn, Rice, Rye, Triticale, Vetch, Wheat; Other: Rye (Merced Rye)</t>
  </si>
  <si>
    <t>Nuts: Pistachios; Fruit - Stone: Olives; Field/Forageable: Fallow, Rice</t>
  </si>
  <si>
    <t>Seed/Pod Vegetables: Soybeans; Field/Forageable: Corn (Yellow)</t>
  </si>
  <si>
    <t>Field/Forageable: Alfalfa, Alfalfa Cut for Silage, Corn Cut for Silage, Corn Grain, Cotton, Haygrazer, Hairy Vetch, Milo, Oats, Rye, Sorghum, Soybeans, Triticale</t>
  </si>
  <si>
    <t>Other: Corn (grain)</t>
  </si>
  <si>
    <t>Other: Corn, Hay, Rye, Soybeans, Wheat</t>
  </si>
  <si>
    <t>Nuts: Almonds; Fruit Vegetables: Peppers; Fruit - Stone: Olives; Field/Forageable: Barley, Fallow, Oats, Wheat</t>
  </si>
  <si>
    <t>Other: Alfalfa Hay, Alfalfa/Grass Hay &amp; Pasture, Barley Hay &amp; Grain - (USCOEA), Barley/Chickpea Mix -(USCOEA)  in Storage, Clover-Sweet, Grass-Native Rangeland, Lentils - (USCOEA), Emmer (USCOEA), Lentils (USCOEA) Lentils/Emmer Mix - (USCOEA) in Storage, Kernza - (USCOEA), Millet -(USCOEA) , Oats-Naked -(USCOEA) , Peas -(USCOEA) , Screenings -(USCOEA), Sainfoin Hay &amp; Pasture, Spelt - (USCOEA)</t>
  </si>
  <si>
    <t>Other: Ground nuts, Paddy rice, Sesame</t>
  </si>
  <si>
    <t>Stem Vegetables: Asparagus; Nursery/Starts/Flowers/Trees: Trees; Fruit - Stone: Olives; Fruit - Berries: Grapes; Field/Forageable: Alfalfa, Fallow, Grain, Pasture; Other: Mixed Vegetables</t>
  </si>
  <si>
    <t>Other: Basil, Beans, green, Bedding plants, Beets, Bok choy, Broccoli, Brussels sprouts, Cabbage, green, Cabbage, Napa, Cabbage, red, Cabbage, Savoy, Carrots, Cauliflower, Chives, Chives, garlic, Cilantro, Cucumber, Dill, Edible flowers, Eggplant, Fennel, Fennel, bronze leaf, Flowers, cut, Garlic, Greens, salad mixes, Ground cherries, Hay (dry square bales), Kale, Kohlrabi, Leek, Lettuce (head), Lovage, Marjoram, Melons, watermelon, Mint, Mushroom grain spawn, Mushrooms (Bear's Head Tooth), Mushrooms (Lion's mane), Mushrooms (Oyster), Mushrooms, Turkey Tail, Nasturtium, Onions, Oregano, Pac Choi, Parsley, Pasture, Peas, snap, Peas, snow, Peppers (hot), Peppers (sweet), Potatoes, Pumpkins, Radishes, Rhubarb, Romanesco, Rosemary, Sage, Salad mix, Savory, Summer, Scallions, Spinach, Squash (summer), Squash (winter), Sweet corn, Swiss chard, Thyme, Tomatillos, Tomatoes (greenhouse), Tomatoes, cherry, Turnips</t>
  </si>
  <si>
    <t>Seed/Pod Vegetables: Peas (Grain, Hay, Silage); Field/Forageable: Alfalfa (Hay, Silage), Barley (Grain, Hay, Silage, Straw), Corn (Earlage, Grain, Silage, Stover), Grass (Native Grass, Perennial Hay), Oats (Grain, Hay, Silage), Popcorn (Certified in compliance with the terms of the U.S.-Canada Organic Equivalency Arrangement: Popcorn), Popcorn (Grain, Slover), Rye (Grain, Hay, Silage, Straw), Sorghum Sudan Grass (Hay, Silage), Triticale (Grain,Hay, Silage, Straw), Wheat (Grain, Hay, Silage, Straw)</t>
  </si>
  <si>
    <t>Other: Blackberry, Cedron, Chamomile, Lavender, Lemon balm, Mint, Mixed grains, Other aromatic or medicinal plants, Tagetes minuta, Thyme, Wormwood</t>
  </si>
  <si>
    <t>Field/Forageable: Barley, Clover, Grass, Rye, Wheat; Other: Barley Seeds, Buckwheat Seeds, Crop (Buckwheat), Crop (Soft Whte Inter Wheat), Crop (Spelt), Crop (Triticale), Crop (Vetch), Crop (Winter Pea), Rye Grain Seeds, Seeds, Wheat Seeds (Soft Winter White)</t>
  </si>
  <si>
    <t>Field/Forageable: Quinoa (Quinua en grano Blanca, Quinua en grano Negra, Quinua en grano Roja)</t>
  </si>
  <si>
    <t>Other: Fresh Mushrooms including Beech (Brown, White), Black Pearl, Chestnut, Enoki (Golden, White), King Trumpet, Lion’s Mane, Maitake, Nameko, Nebrodini Bianco, Oyster (Black, Blue, Golden, Pink, Snow/White), Pioppino, Reishi, Shiitake, and Turkey Tail</t>
  </si>
  <si>
    <t>Seed/Pod Vegetables: Chickpeas; Field/Forageable: Proso Millet, Wheat (Hard red winter)</t>
  </si>
  <si>
    <t>Field/Forageable: 3 Way Grain, Alfalfa, Alfalfa-Barley, Hay, Miscellaneous Grain_Oilseed, Oats, Wheat; Other: Barley Seeds, Oats Seeds, Seeds, Wheat Seeds</t>
  </si>
  <si>
    <t>Other: Centella asiatica, Other aromatic or medicinal plants (Aframomum angustifolium, Catharanthus roseus, Areca, Drosera ramantecea, Desmodium, Lantana camara, Ricinus, Andiatum capillus, Cascara sagrada)</t>
  </si>
  <si>
    <t>Other: Chickpeas, dried, Cotton, ginned or uncombed, Grain corn, Pigeon peas, Soybean, Winter common wheat</t>
  </si>
  <si>
    <t>Other: Aloe vera, Asparagus, Barley, Basil, Cauliflowers, Citrus fruits, other, Coriander, Cucumbers, Fenugreek, Garlic, Ginger, Gooseberries, Herbal and medicinal plants, Jackfruit, Legumes, other, Lemongrass, Lemons, Mangos, Millet, Mustard, Onions, Papayas, Pone- and Stonefruits, Potatoes, Spinach, Stone fruits, other, Sweet potatoes, Tomatoes, Turmeric, Vegetables, other, Watermelons, Winter common wheat</t>
  </si>
  <si>
    <t>Seed/Pod Vegetables: Soybeans; Field/Forageable: Barley, Corn (Yellow), Hay, Oats, Pasture</t>
  </si>
  <si>
    <t>Tuber/Root Vegetables: Onions; Stem Vegetables: Vegetables: Asparagus, Beans, Beets, Carrots, Chard, Cilantro, Cucumber, Lettuce, Okra, Onions, Parsley, Radishes, Rutabaga, Turnips; Leaf Vegetables: Cabbage, Kale; Fruit Vegetables: Squash (Winter squash), Squash (Summer suash); Field/Forageable: Corn (Grain, Silage)</t>
  </si>
  <si>
    <t>Other: Corn (Grain), Soybeans (Grain)</t>
  </si>
  <si>
    <t>Field/Forageable: Cover Crop, Grain</t>
  </si>
  <si>
    <t>Tuber/Root Vegetables: Garlic, Onions, Radishes; Seed/Pod Vegetables: Beans, Okra; Nuts: Walnuts; Nursery/Starts/Flowers/Trees: Flowers, Hemp, Miscellaneous Flowers, Transplants (See Farm Products for list); Leaf Vegetables: Greens, Kale; Herbs/Spices: Lambs Quarter, Nettle; Fruit Vegetables: Cucurbits, Peppers, Squash, Tomatillos, Tomatoes; Fruit - Tropical Fruits: Dragonfruits, Eggfruit; Fruit - Melons: Watermelons; Fruit - Berries: Blackberries, Elderberries, Grapes, Mulberries, Raspberries, Strawberries; Flower Vegetables: Brassica; Other: Amaranth Seeds, Arugula Seeds, Basil Seeds, Beans Seeds, Beet Seeds, Broccoli Seeds, Cabbage Seeds, Canna, Cantaloupe Seeds, Carrot Seeds, Castor, Celery Seeds, Chestnuts (Horse Chestnuts (crafting)), Chives Seeds, Cilantro Seeds, Collard Seeds, Corn Seeds, Cowpea Seeds, Cress Seeds, Cucumber Seeds, Dahlia Tubers, Dill Seeds, Dried Herbs, Dried Peppers, Eggplant Seeds, Fennel Seeds, Flower Seeds (Bienniels), Flowers (Annuals), Garlic Seeds (Planting garlic), Gourd Seeds, Grains, Grass Seeds, Grass_Legume_Forage Seeds, Hemp Seeds, Herb Seeds, Herbs Transplants, Kale Seeds, Lettuce Seeds, Luffa, Luffa Seeds, Melon Seeds, Miscellaneous Transplants (Houseplants), Miscellaneous Transplants (Sedums), Mustard Seeds, Okra Seeds, Paprika, Pepper Seeds, Pepper Transplants, Potato Seeds (Seed potatoes), Pumpkin Seeds, Purslane Seeds, Radish Microgreens, Radish Seeds, Salsify Seeds, Scapes (Garlic Scapes), Seeds, Squash Seeds, Sunflower Seeds, Sweet Pea Seeds, Tomatillo Seeds, Tomato Seeds, Tomato Transplants, Turnip Seeds, Vegetable Seeds, Vetch Seeds, Walnuts (Black Walnuts), Watermelon Seeds</t>
  </si>
  <si>
    <t>Other: Paddy (basmati), Paddy (long grain), Paddy round rice</t>
  </si>
  <si>
    <t>Other: Alfalfa (Hay), Alfalfa / Oat Hay, Oat/Pea/Vetch Hay, Oats, Pasture, Popcorn (Grain), Soybeans (Grain)</t>
  </si>
  <si>
    <t>Other: Fallow, Rice (Medium Grain M-211)</t>
  </si>
  <si>
    <t>Seed/Pod Vegetables: Corn; Field/Forageable: Alfalfa, Fallow, Sorghum, Wheat</t>
  </si>
  <si>
    <t>Seed/Pod Vegetables: Corn; Field/Forageable: Alfalfa, Triticale, Wheat</t>
  </si>
  <si>
    <t>Seed/Pod Vegetables: Corn (Grain); Field/Forageable: Alfalfa, Proso Millet, Sorghum, Sunflowers, Wheat (Hard Red Winter), Wheat (White Sonora)</t>
  </si>
  <si>
    <t>Field/Forageable: Rice (Field 80: medium grain (M206)), Sorghum (Field 48 and 116 : Popping and W3120); Other: Sunflowers (Field 83 and 113: Sunflower/Seed Production)</t>
  </si>
  <si>
    <t>Other: Corn (Grain), Pasture, Wheat (Grain)</t>
  </si>
  <si>
    <t>Tuber/Root Vegetables: Daikon, Garlic; Seed/Pod Vegetables: Beans, Peas; Field/Forageable: all other baleage, All other grains, Barley, Buckwheat, Corn, grass/legume, Millet, mixed hay, Oats, Soybeans, Sudan Grass, Wheat; Other: cover crop, Straw</t>
  </si>
  <si>
    <t>Seed/Pod Vegetables: Pinto Beans; Field/Forageable: Corn (Yellow seed, Yellow), Hay (Alfalfa), Wheat (Soft white winter)</t>
  </si>
  <si>
    <t>Other: Cotton, Jowar, Little Millet, Maize (Corn), Moringa Fresh Dried, Moringa Fresh Fresh, Non-Basmati Paddy, Paddy-Sona Masuri, Pearl Millet/Bajra, Ragi/Finger Millet grain</t>
  </si>
  <si>
    <t>Tuber/Root Vegetables: Beets (Beets - Chioggia (Seed)), Beets (Beets - Shiraz (Seed)), Carrots (Carrots - Fantasia (Seed)), Carrots (Carrots - Nash's Rumba (Seed)), Celeriac (Celeriac - Monarch (Seed)), Garlic (Garlic - Chesnook), Garlic (Garlic - Chesnook (Seed)), Garlic (Garlic - Elephant), Garlic (Garlic - Elephant (Seed)), Garlic (Garlic - German White), Garlic (Garlic - German White (Seed)), Garlic (Garlic - Orcas Wild), Garlic (Garlic - Orcas Wild (Seed)), Garlic (Garlic - Polish Purple), Garlic (Garlic - Polish Purple (Seed)), Garlic (Garlic - Siberian), Garlic (Garlic - Siberian (Seed)), Leeks (Leeks - Quimper Blue Leek (Seed)), Onions (Onions - Rossa di Milano (Seed)), Radicchio (Radicchio - Chioggia (Seed)), Radicchio (Radicchio - Costa Rossa (Seed)), Radicchio (Radicchio - Treviso (Seed)), Radicchio (Radicchio - Variegato (Seed)), Radishes (Radishes - Black Spanish (Seed)), Radishes (Vegetables: Cherry Belle Radish), Turnips (Turnips - Tokyo Market (Seed)); Seed/Pod Vegetables: Beans (Beans - Blue Moro Bush Dry Bean (Seed)), Beans (Beans - Bond Bean (Seed)), Beans (Beans - Crimson Flower (Seed)), Beans (Beans - Dalmation (Seed)), Beans (Beans - Freckles (Seed)), Beans (Beans - Orca (Seed)), Beans (Beans - Provider Snap Bean (Seed)), Beans (Beans - Tiger's Eye (Seed)), Beans (Beans - Tink's Bond (Seed)), Beans (Beans - Tink's Romano Pole Bean (Seed)), Beans (Vegetables: Cranberry Bean), Beans (Vegetables: Hungarian Rice Bean), Beans (Vegetables: Holstein Bush Dry Bean), Beans (Vegetables: Ireland Creek Annie Bean), Beans (Vegetables: Desert Song Dry Bean), Beans (Vegetables: Whipple Bean), Beans (Vegetables: Rockwell Dry Bean), Beans (Vegetables: Rojo Chiquito Bean), Beans (Vegetables: Peregion Dry Bean), Beans (Vegetables: Nez Perce Bush Dry Bean), Beans (Vegetables: Golden Gaucho Dry Bean), Beans (Vegetables: Jacob's Cattle Dry Bean), Beans (Vegetables: Pink Bean), Corn (Vegetables: Painted Mountain Corn), Corn (Corn - Dakota Black Popcorn (Seed)), Corn (Corn - Painted Mountain Flour Corn), Corn (Corn - Painted Mountain Flour Corn (Seed)), Corn (Corn - Red Broom (Seed)), Corn (Corn - Sweet Tooth Sweet Corn (Seed)), Green Beans (Vegetables: Prairie Bush Purple Snap Bean), Mustard (Mustard (Seed)), Peas (Peas - Puget (Seed)), Peas (Peas - Sugar Snap (Seed)), Peas (Peas (Seed)); Nursery/Starts/Flowers/Trees: Flowers (Flowers - Achillea Noblessa (Seed)), Flowers (Flowers - Ammi visnaga - Green Mist (Seed)), Flowers (Flowers - Bachelor Button Mix (Seed)), Flowers (Flowers - Black Swan (Seed)), Flowers (Flowers - Blanket Flower (Seed)), Flowers (Flowers - Blue Lupine (Seed)), Flowers (Flowers - Blue Vein Sweet Pea (Seed)), Flowers (Flowers - Breadseed (Seed)), Flowers (Flowers - Coreopsis (Seed)), Flowers (Flowers - Deep Purple Sweet Pea (Seed)), Flowers (Flowers - Dyers Chamomile (Seed)), Flowers (Flowers - Dyers Weld (Seed)), Flowers (Flowers - Forget-Me-Not (Seed)), Flowers (Flowers - Jasmine Scented Nicotiana (Seed)), Flowers (Flowers - Larkspur Mix (Seed)), Flowers (Flowers - Lilac Ripple Sweet Pea (Seed)), Flowers (Flowers - Love-In-A-Puff (Seed)), Flowers (Flowers - Nasturtium (Seed)), Flowers (Flowers - Nicotiana Rustica (Seed)), Flowers (Flowers - Oatsplanter Mix (Seed)), Flowers (Flowers - Peaches and Cream Sweet Pea (Seed)), Flowers (Flowers - Phacelia (Seed)), Flowers (Flowers - Queen Red Lime Zinnia (Seed)), Flowers (Flowers - Ragged Red (Seed)), Flowers (Flowers - Rainbow Lupine (Seed)), Flowers (Flowers - Rubenza Cosmos (Seed)), Flowers (Flowers - Rudbekkia (Seed)), Flowers (Flowers - Scarlet (Seed)), Flowers (Flowers - Sea Holly (Seed)), Flowers (Flowers - Sonic Sweet Pea (Seed)), Flowers (Flowers - Sweetheart Mix (Seed)), Flowers (Flowers - Tasselflower (Seed)), Flowers (Flowers - Vanilla Ice Sunflower (Seed)), Flowers (Flowers - White Double Click Cosmos (Seed)), Flowers (Trees and Ornamentals: Cinnabar Marigold), Flowers (Trees and Ornamentals: Sweet Pea 'Blue Celeste'), Flowers (Trees and Ornamentals: Sweet Pea 'Ruby Streamers'), Flowers (Trees and Ornamentals: Sweet Pea 'Lilac Ripple'), Flowers (Trees and Ornamentals: Oatsplanter Burgundy Sweet Pea), Flowers (Trees and Ornamentals: Shades of Gold Marigold), Flowers (Trees and Ornamentals: Pincushion Flower Scaiosa), Flowers (Trees and Ornamentals: Nigella Mix), Flowers (Trees and Ornamentals: Cosmos Mix), Flowers (Trees and Ornamentals: Flemish Antique Poppy), Flowers (Trees and Ornamentals: Sunflower Mix), Flowers (Trees and Ornamentals: Strawflower Mix), Flowers (Trees and Ornamentals: Sweet Pea 'White Frills'), Flowers (Trees and Ornamentals: Love-In-A-Mist Nigella); Leaf Vegetables: Arugula (Arugula - West Bred (Seed)), Brussels Sprouts (Brussels Sprouts - Nash's (Seed)), Cabbage (Cabbage - French Green), Chard (Chard - Nash's Red (Seed)), Chard (Chard - True Magenta (Seed)), Chard (Vegetables: Bali Chard), Collards (Collards - Afghan (Seed)), Kale (Kale - Red Russian (Seed)), Kale (Kale - Siberian (Seed)), Kale (Vegetables: Red Russian Kale), Lettuce (Lettuce - Buttercrunch (Seed)), Lettuce (Lettuce - Forellenschleus (Seed)), Lettuce (Lettuce - Lettuce Mix (Seed)), Lettuce (Lettuce - Merlox Red Oak (Seed)), Lettuce (Lettuce - Optima Green Butterhead (Seed)), Lettuce (Lettuce - Outredeous (Seed)), Lettuce (Lettuce - Plato II Green Romaine (Seed)), Lettuce (Lettuce - Yugoslavian Red Butterhead (Seed)), Mizuna (Mizuna - Greens (Seed)), Mizuna (Vegetables: Mizuna), Spinach (Spinach - Abundant Bloomsdale (Seed)), Spinach (Spinach - UC Davis (Seed)); Herbs/Spices: Basil (Basil - Genovese (Seed)), Basil (Basil - Tulsi (Seed)), Borage (Herbs: Borage), Calendula (Calendula - Resina (Seed)), Calendula (Calendula - Zeolights (Seed)), Chamomile (Chamomile (Seed)), Chives (Chives (Seed)), Cilantro (Cilantro - Delfino (Seed)), Cilantro (Cilantro - Spring Planted Greens (Seed)), Cilantro (Cilantro (Seed)), Cress (Cress - Persian (Seed)), Dill (Herbs: Dill), Fennel (Fennel (Seed)), Herbs (Nettles - Stingy (Seed)), Herbs (Sweet Sagewort - Sweet Annie (Seed)), Herbs (Herbs: Ashwagandha), Lavender (Lavender (Seed)), Lemon Balm (Lemon Balm (Seed)), Oregano (Oregano - Greek (Seed)), Parsley (Parsley - Gigante d'Italia (Seed)), Rosemary (Rosemary (Seed)), Sage (Sage - Extrakta (Seed)), Thyme (Thyme - German Winter (Seed)); Fruit Vegetables: Cucumbers (Cucumbers - Katie's Pickler (Seed)), Cucumbers (Vegetables: Marketmore Cucumber), Peppers (Vegetables: Svoboda Pepper), Peppers (Peppers - Alpine Poblano (Seed)), Peppers (Peppers - Svoboda (Seed)), Pumpkins (Vegetables: Winter Luxury Pie Pumpkin), Squash (Vegetables: Uncle Davids Winter Squash), Squash (Squash - Blue Kuri Maxima (Seed)), Squash (Squash - Canada Crookneck Moschata (Seed)), Tomatillos (Tomatillos (Seed)), Tomatillos (Vegetables: Tomatillo), Tomatoes (Vegetables: Cherokee Green Tomato), Tomatoes (Tomatoes - Azoychka (Seed)), Tomatoes (Tomatoes - Cour di Beu (Seed)), Tomatoes (Tomatoes - Damsel Mix (Seed)), Tomatoes (Tomatoes - Damsel x ananas (Seed)), Tomatoes (Tomatoes - Garden Peach (Seed)), Tomatoes (Tomatoes - Green Zebra (Seed)), Tomatoes (Tomatoes - Renaissance Damsel (Seed)), Tomatoes (Tomatoes - Snowberry (Seed)), Tomatoes (Tomatoes - Sweetie Maxima (Seed)), Zucchini (Zucchini - Costata Romanesco (Seed)); Fruit - Melons: Cantaloupes (Cantaloupes - Maritime Melon (Seed)); Flower Vegetables: Broccoli (Broccoli - Purple Reign (Seed)), Broccoli (Broccoli - Saltwater Sprouting (Seed)); Field/Forageable: Corn (Grains: Papas Blue), Corn (Grains: Tuscarorra White Corn), Corn (Grains: Cassiopeia Popcorn), Flax (Flax - Linore Fiber (Seed)), Wheat (Wheat - Black Eagle Spring (Seed)), Wheat (Wheat - Nash's Soft White (Seed))</t>
  </si>
  <si>
    <t>Other: Raw Cotton
Groundnut
Maize Grain
Mustard Seeds/Spice
Wheat grain</t>
  </si>
  <si>
    <t>Other: Rabi: Wheat Grain, Chickpea, Maize, Kharif: Raw Cotton, Soybean, Pigeon Pea</t>
  </si>
  <si>
    <t>Field/Forageable: Clover (Red Clover), Corn (Field Corn), Fallow (Fallow), Hay (Hay), Pasture (Pasture), Popcorn (Popcorn), Soybeans (Food Grade Soybeans), Spelt (Spelt), Straw (Straw); Other: Red Clover Seed</t>
  </si>
  <si>
    <t>Other: Mustard seeds, fodder-barsem, lentil, kabuli chana, wheat grain, bengal grain, fennel, onion, coriander seeds, tomato, sunflower seeds, red chilli, cowpea, moth beans, mango, lemon, guavas, jamun, sugercane, turmeric, ginger, maize fodder, basmati paddy, fodder chari, urad whole black, non-basmati paddy, chitra rajma, groun nut</t>
  </si>
  <si>
    <t>Other: Basmati Paddy, Blackgram, Kodo Millets, Non-Basmati Paddy (Sona Masoori, Long Grain, Black rice, Red Rice, Sticky Rice, Round Grain Rice), Greengram, Paddy Pusa Basmati, Kutki Millet, Pigeonpea, Maize, Raw Cotton, Sesame, Soybean, Amranth, Chia, Quinoa, Chickpea/Kabuli chana, Lentil, Coriander Leaf, Coriander Seed, Cumin, Fenugreek, Flaxseed, Garlic, Onion, Ginger Fresh, Safflower (including bastard saffron), Wheat, Amla, Buchanania lanzan Spreng (Cheerojee), Custard apple, Guava, Haritaki, Lemon, Mango, Papaya, Tamarind/Imli (T.indica)</t>
  </si>
  <si>
    <t>Other: Alfalfa, Corn, Grain corn, Grass, other, Hay, Soybean, Winter common wheat</t>
  </si>
  <si>
    <t>Field/Forageable: Corn (Grain), Corn (Silage), Oats (cover crop and silage), Pasture (Grazing land), Sorghum (cover crop and silage), Triticale (cover crop and silage)</t>
  </si>
  <si>
    <t>Field/Forageable: Hay (Grass, Alfalfa)</t>
  </si>
  <si>
    <t>Field/Forageable: Corn (Grain), Silage (Corn), Wheat, Wheat (Certified in accordance with the terms of the U.S.-Canada Organic Equivalency Arrangement: Wheat)</t>
  </si>
  <si>
    <t>Tuber/Root Vegetables: Garlic, Potatoes; Herbs/Spices: Horseradish; Field/Forageable: Wheat ((Grain, Seed)); Other: Alfalfa</t>
  </si>
  <si>
    <t>Seed/Pod Vegetables: Beans (Black turtle, Calypso, Valentine, Hutterite soup, Jacob's cattle, Jacob's cattle gold, Marrow, Painted lady, Yellow indian woman, Zebra, Tiger eye, Spanish Tolosana, Dapple Grey, Fort Portal jade, Lina cisco bird egg, Aikara yellow, Amethyst, Painted Pony), Peas (Rouge Et Noir Cowpea), Pinto Beans; Field/Forageable: Barley, Corn (Wapsie Valley), Hay/Pasture, Spelt, Straw, Wheat (Einkorn)</t>
  </si>
  <si>
    <t>Seed/Pod Vegetables: Black Gram; Field/Forageable: Wheat (Wheat); Other: Paddy (basmati), Paddy (long grain), Sugarcane</t>
  </si>
  <si>
    <t>Herbs/Spices: Pepper (Charapita chili), Turmeric (Turmeric); Other: Sacha inchi</t>
  </si>
  <si>
    <t>Other: Grain corn, Moha, Sorghum</t>
  </si>
  <si>
    <t>Other: Bengal Gram, Maize Grain, Raw Cotton, Soybean, Wheat</t>
  </si>
  <si>
    <t>Tuber/Root Vegetables: Tubers (Fresh Konjac)</t>
  </si>
  <si>
    <t>Field/Forageable: Black chia, White chia, Quinoa (Black quinoa, Red quinoa, White quinoa)</t>
  </si>
  <si>
    <t>Tuber/Root Vegetables: Beets; Seed/Pod Vegetables: Corn, Corn (Sweet Corn), Green Beans; Nursery/Starts/Flowers/Trees: Brussels Sprouts (Brussel Sprout Seedlings), Cabbage (Cabbage Seedlings), Cauliflower Seedlings, Collard Seedlings, Corn (Corn Seedlings), Corn (Sweet corn seedlings), Cucumbers (Cucumber Seedlings), Eggplants (Eggplant Seedlings), Peppers (Pepper Seedlings), Pumpkins (Pumpkin seedlings), Squash (Squash Seedlings), Squash (Summer Squash Seedlings), Squash (Winter squash seedlings), Tomatoes (Tomato Seedlings), Transplants (Broccolli Seedlings), Zucchini (Zucchini Seedling); Leaf Vegetables: Brussels Sprouts, Cabbage, Collards; Herbs/Spices: Pepper; Fruit Vegetables: Cucumbers, Squash, Squash (Summer Squash), Tomatoes, Zucchini; Flower Vegetables: Broccoli, Cauliflower; Field/Forageable: Alfalfa, Barley, Corn, Fallow, Rye, Sorghum, Soybeans, Straw, Wheat</t>
  </si>
  <si>
    <t>Other: Cassia (Saro), Cinnamon, Clove, Coffee (Arabica), Geranium, Hedgerow (Lantana), Lemongrass (cymbopogon nardus, cymbopogon citratus), Lemon-Scented Gum tree, Longoze, Orange, Other aromatic or medicinal plants (Lemongrass), Other forest trees and shrubs (Iary), Other ornamental or perfume plants (Pervenche), Other tropical fruits (Corossol), Pink peppercorn, Ravintsara, Rosemary, Turmeric, Vanilla, Vetiver</t>
  </si>
  <si>
    <t>Fruit - Berries: Raspberries (Frambuesa (Rubus ideus)); Other: Oats (Oat - Avena (Avena sativa) Avena Abono Verde, Oat - Avena (Avena sativa) Avena Sativa (Grain))</t>
  </si>
  <si>
    <t>Field/Forageable: Amaranth (Amaranth), Chia black, Quinoa (Royal Quinoa Black, Royal Quinoa Red, Royal Quinoa White), Sesame (Sesame black, Sesame white)</t>
  </si>
  <si>
    <t>Other: Cocoa beans</t>
  </si>
  <si>
    <t>Other: Durum wheat, Fallow, Oats</t>
  </si>
  <si>
    <t>Other: Berries, other, Figs, Ginger, Grass, other, Seedlings, Turmeric</t>
  </si>
  <si>
    <t>Other: Arrowroot, Avocado/Bo huu co, Banana, Banana blossom, Basil, Bird Eye Chili, Black gram, Cardamom, Cashew, Cassava root, Chilli, Cinnamon, Clove, Cocoa, Coconut, Coffee/Ca phe nhan Robusta, Coriander (herb), Cumin, Curry Leaves, Durians, Fennel, Garcinia, Garlic, Garlic chives, Ginger, Gotukola, Green gram, Ground Nut, Hathawariya, Heen bovitiya, Iramusu, Jackfruit, Kadala cowpea, Kikirindiya, King coconut, Kollu, Lemon, Lemongrass, Lime, Mace, Maize, Majoram, Mango, Mint, Moringa, Nutmeg, Origano, Pandon, Papaya, Passion fruit, Penela, Pepper, pepper, Peppermint, Pineapple, Polpala, Purple Yam, Rambutan, Ranawara (Senna auriculata), Red Cowpea, Rice (Unakola Samba), Rosemary, Sesame, Soursop, Stevia, Sugar cane, Sweet potato, Tamarind, Tapioca, Taro root, Tea, Thulsi, Thyme, Turmeric, Vanilla, Water Melon, White Cowpea, Woodapple, Young Jackfruit</t>
  </si>
  <si>
    <t>Seed/Pod Vegetables: Common beans, Mung bean (Green gram; Vigna radiata), Soybean, Sesame; Herbs/Spices: Ginger; Fruit - Tropical Fruits: Bananas, Papayas; Other: Coffee, Corn</t>
  </si>
  <si>
    <t>Other: Aloe vera, Amaranthus, Avocados, Bananas, Basil, Bay leaves, Beans, Beet, Bergamot, Berries, other, Broccoli, Cabbages, Carrots, Cauliflowers, Celery, Chickpeas, dried, Chilis, Chives, Coriander, Corn, Cucumbers, Dill, Fennel, Fenugreek, Field peas, Garlic, Ginger, Gooseberries, Grain corn, Grapefruits, Grass, other, Green peas, Herbal and medicinal plants, Legumes, other, Lemongrass, Lettuces, Mangos, Melons, Millet, Mustard, Okra, Onions, Oranges, Other non-perennial crops, Papayas, Paprika, Parsley, Pomelos, Potatoes, Pumpkins, Radish, Raw spices, other, Sesame, Sorghum, Spinach, Stone fruits, other, Sweet potatoes, Tomatoes, Turmeric, Turnips, Vegetables, other, Watermelons, Winter common wheat, Zucchini</t>
  </si>
  <si>
    <t>Other: Alfalfa (Hay), Corn (Grain), Grass (Hay), Soybeans (Grain)</t>
  </si>
  <si>
    <t>Seed/Pod Vegetables: Green Beans; Fruit Vegetables: Squash, Winter squash; Fruit - Berries: Blueberries; Flower Vegetables: Broccoli; Field/Forageable: Fallow, Flax, Sudan Grass, Triticale, Wheat</t>
  </si>
  <si>
    <t>Herbs/Spices: Licorice (Liquorice), Nuomixiang leaves (Strobilanthes tonkinensis Lindau) - fresh, Sweet blackberry leaves - fresh, Rhodiola rosea</t>
  </si>
  <si>
    <t>Field/Forageable: Alfalfa, Grain, Grass, Grass, Hay &amp; Pasture, Pasture, Pasture, Triticale, Wheat; Other: Hay (Small Pet Hay )</t>
  </si>
  <si>
    <t>Other: Alfalfa (Lucern), Currant (Cape), Wine grape (Cabernet Sauvignon), Wine grape (Chardonnay), Wine grape (Chenin Blanc), Wine grape (Colombard), Wine grape (Merlot), Wine grape (Muscat d'Alexandrie), Wine grape (Pinotage), Wine grape (Sauvignon Blanc)</t>
  </si>
  <si>
    <t>Field/Forageable: Barley, Buckwheat, Corn, Fallow, Grass, Hay, Oats, Sorghum, Soybeans, Spelt, Wheat</t>
  </si>
  <si>
    <t>Other: Alfalfa (Lucern), Currant (Cape), Mixed grains, Sweet potato, Wine grape (Cabernet Franc), Wine grape (Cabernet Sauvignon), Wine grape (Chardonnay), Wine grape (Chenin Blanc), Wine grape (Colombar(d)), Wine grape (Durif), Wine grape (Malbec), Wine grape (Merlot), Wine grape (Muscadelle), Wine grape (Muscat à petits grains blancs), Wine grape (Petit Sirah), Wine grape (Pinot Gris), Wine grape (Pinot Noir), Wine grape (Pinotage), Wine grape (Sauvignon Blanc), Wine grape (Semillon), Wine grape (Shiraz), Wine grape (Shiraz; Cape Currant; Muscat Blanc/White Muscat)</t>
  </si>
  <si>
    <t>Field/Forageable: Pasture (Pasture)</t>
  </si>
  <si>
    <t>Nursery/Starts/Flowers/Trees: Seeds, Transplants, Trees; Field/Forageable: Grass; Other: Mixed Vegetables</t>
  </si>
  <si>
    <t>Other: Millet (Grain), Milo (Grain), Wheat (Grain)</t>
  </si>
  <si>
    <t>Other: Vegetables- arugula, asparagus, beans- green, beans-wax, beans-dried, beets, broccoli, brussels sprouts, cabbage, carrots, cauliflower, celery, chard, corn-popcorn, corn-sweet, cucumbers, eggplant, garlic, greens-mix, kale, kohlrabi, lettuce-heads, melons, onions, pac choi, peas, peppers, peppers-hot, potatoes, pumpkins, radishes, scallions, spinach, squash-summer, squash- winter, sweet potatoes, tomatoes, tomatoes-heirloom, tomatoes-cherry, tomatoes-grape, turnips. Herbs- basil, cilantro, dill, fennel, oregano, parsley. Flowers- cut flower- annuals, biannuals. Seedlings- vegetable, herb, flowers. Berries- strawberries. Field Crops &amp; Grains- corn, oats. Hay- clover/ grasses mix. Pasture</t>
  </si>
  <si>
    <t>Other: Alfalfa, Corn, Grass, Oats/Alfalfa, Peas-grain, Soybeans, Spring Barley, Winter Barley, and Winter Rye/Alfalfa, Carryover Crops: 2022 Corn- 700 bushels, 2022 Wheat- 1,700 bushels, and 2022 Rye- 2,400 bushels, Pasture, Wildlife Habitat</t>
  </si>
  <si>
    <t>Field/Forageable: Rice (Hommali Rice (Paddy), Red Rice (Paddy), Riceberry (paddy))</t>
  </si>
  <si>
    <t>Other: Long grain Paddy Rice</t>
  </si>
  <si>
    <t>Seed/Pod Vegetables: Peas, Rapeseed; Field/Forageable: Barley, Corn, Corn, Flax, Millet, Wheat; Other: Sunflower</t>
  </si>
  <si>
    <t>Other: Raw cotton, soybean, pigeon pea, green gram, wheat, mustard, chickpea, maize grain</t>
  </si>
  <si>
    <t>Field/Forageable: Barley (Barley), Corn (Corn), Grass (Grass), Hay (Hay), Pasture (Pasture), Wheat (Wheat)</t>
  </si>
  <si>
    <t>Fruit - Tropical Fruits: Dates; Field/Forageable: Wheat (Wheat); Other: Paddy (basmati), Paddy (long grain)</t>
  </si>
  <si>
    <t>Field/Forageable: Fallow, Grass, Pasture, Rice, Soybeans</t>
  </si>
  <si>
    <t>Seed/Pod Vegetables: Kidney Beans (Kidney beans); Herbs/Spices: Sunflowers (Sunflower); Field/Forageable: Amaranth (Amaranth), Corn (Corn), Wheat (Wheat); Other: Mustard (Mustard), Rapeseeds, Soybeans (Soybean)</t>
  </si>
  <si>
    <t>Field/Forageable: Rice (Paddy Hommali Rice, Paddy Glutinous Rice)</t>
  </si>
  <si>
    <t>Field/Forageable: Rice, Sugarcane</t>
  </si>
  <si>
    <t>Other: Bamboo (Square bamboo shoot), Bitter melon, Broccoli, Camellia oleifera, Carrot, Chili, Chinese cabbage (Chinese cabbage), Chinese Onion (Sagebrush head), Chives, Cowpea (Bean curd), Cucumber, Edamame (Spring edamame、Edamame bean), Eggplant, Field bean (Green knife bean), Garlic, Grain corn (Autumn corn, waxy corn), Lentil (Tea bean), Lily, Lotus (lotus root) - Stem, Lotus (lotus seed) - Seed, Mandarin (orange), Okra (Okra), Other aromatic or medicinal plants (Purple bead grass), Other vegetables (Foot plate potato, cabbage, konjac、horseshoe、cauliflower), Paddy (rice) (rice), Pumpkin, Rapeseed (rape flower), Shallot, Sorghum, Spinach, Sponge Gourd, Sweet potato, Sweetcorn, Taro (betel-nut taro), Tea plant - Leaf, Turnip, Watermelon, Wax gourd</t>
  </si>
  <si>
    <t>Tuber/Root Vegetables: Alliums; Field/Forageable: Alfalfa, Fallow, Rye</t>
  </si>
  <si>
    <t>Seed/Pod Vegetables: Corn, Great Northern Beans, Peas; Field/Forageable: Alfalfa, Buckwheat, Grass, Millet, Oats, Pasture, Rye, Sorghum, Wheat</t>
  </si>
  <si>
    <t>Field/Forageable: Hay, Pasture</t>
  </si>
  <si>
    <t>Seed/Pod Vegetables: Soybeans; Field/Forageable: Corn, Miscellaneous Grain_Oilseed, Miscellaneous Grass_Legume_Forage, Pasture; Other: Cover Crop Seeds, Wheat Seeds</t>
  </si>
  <si>
    <t>Other: Corn</t>
  </si>
  <si>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</si>
  <si>
    <t>Seed/Pod Vegetables: Oats (grain, straw), Peas, Soybeans (grain); Field/Forageable: Pasture; Other: Corn, Hay, Peas (baleage), Rye &amp; Hairy Vetch (grain), Yellow Corn (silage)</t>
  </si>
  <si>
    <t>Field/Forageable: Corn (Corn), Oats (Oats), Soybeans (Soybeans), Wheat (Wheat)</t>
  </si>
  <si>
    <t>Nursery/Starts/Flowers/Trees: Flowers (Flowers - Dandelion); Herbs/Spices: Catnip (Catnip), Catnip (Catnip: Dried Catnip), Dandelion (Dandelions: Dried Dandelion), Dandelion (Dandelions), Echinacea (Echinacea - Echinacea angustifolia), Echinacea (Echinacea - Echinacea angustifolia (Root)), Echinacea (Echinacea - Echinacea purpurea), Echinacea (Echinacea - Echinacea purpurea (Root)), Echinacea (Echinacea - Echinacea purpurea (Root)), Echinacea (Echinacea: Dried Echinacea), Herbs (Skullcap: Dried Skullcap), Herbs (Clover: Dried Red Clover), Herbs (Marshmallow: Dried Marshmallow), Herbs (Nettles - Stinging), Herbs (Skullcap), Herbs (Valerian), Herbs (Valerian: Dried Valerian), Lemon Balm (Lemon Balm: Dried Lemon Balm); Fruit - Berries: Berries (Mixed Berries), Blueberries (Blueberries), Blueberries (Blueberries: Frozen Blueberries), Currants (Currants: Frozen Currants), Currants (Currants - Black); Field/Forageable: Mixed Grain - Oats/Peas (Seed), Oats (Oats - Oatstraw Green Flowering Tops)</t>
  </si>
  <si>
    <t>Field/Forageable: Grain, Legume, Oil Seed</t>
  </si>
  <si>
    <t>Field/Forageable: Alfalfa (bales, haylage, hay), Barley (Feed &amp; Straw), Corn (Grain &amp; Straw), Forage Oats/Peas, Silage (Corn Silage)</t>
  </si>
  <si>
    <t>Field/Forageable: All other grains, Corn, grass hay, Oats, Pasture, Wheat; Other: Straw</t>
  </si>
  <si>
    <t>Tuber/Root Vegetables: Cassava (Cassava)</t>
  </si>
  <si>
    <t>Tuber/Root Vegetables: Potatoes; Seed/Pod Vegetables: Beans; Field/Forageable: All other grains, Barley, Wheat; Other: cover crop</t>
  </si>
  <si>
    <t>Other: Soybean,Sawan/Barnyard Millet, Green chilli dry, Amaranth seed/ Ram dhana, Ragi/Finger Millet grain, Red Kidney beans/Rajma (Phaseolus vulgaris), Barley whole, Potato, Wheat grain, Chamomile (M.Chamomile), Quinoa, Berberis Aristata (Daru Haldi), Jatamansi (Nardostachys jatamansi), Kutki (Picrorhiza kurroa), Pushkarmool (Inula racemosa), Sassurea lapa L. (Costus), Valeriana wallichii (Tagar), Hedychium spicatum (Kapur kachri), Bay Leaf, Dry Rose Petals</t>
  </si>
  <si>
    <t>Tuber/Root Vegetables: Beets (Beets (Seed)), Carrots (Carrots (Seed)), Celeriac (Celeriac (Seed)), Fennel (Fennel (Seed)), Leeks (Leeks (Seed)), Onions (Onions (Seed)), Parsnips (Parsnip (Seed)), Radicchio (Radicchio), Radicchio (Radicchio (Seed)), Radishes (Radishes (Seed)), Rutabaga (Rutabaga (Seed)), Shallots (Shallots (Seed)), Turnips (Turnips (Seed)); Seed/Pod Vegetables: Beans (Beans - Dry (Seed)), Beans (Beans - Fava (Seed)), Beans (Beans - Snap (Seed)), Corn (Corn - Flour (Seed)), Corn (Corn - Popcorn (Seed)), Corn (Corn - Sweet (Seed)), Peas (Peas - Dry (Seed)), Peas (Peas - Shelling (Seed)), Peas (Peas - Snow (Seed)), Peas (Peas - Sugar Snap (Seed)); Nursery/Starts/Flowers/Trees: Flowers (Flowers - Achillea (Seed)), Flowers (Flowers - Agastache (Seed)), Flowers (Flowers - Amaranth (Seed)), Flowers (Flowers - Baby's Breath (Seed)), Flowers (Flowers - Bachelor's Button (Seed)), Flowers (Flowers - Basketflower (Seed)), Flowers (Flowers - Borage (Seed)), Flowers (Flowers - Calaloo (Seed)), Flowers (Flowers - Calendula (Seed)), Flowers (Flowers - Celuosia (Seed)), Flowers (Flowers - Cerinthe (Seed)), Flowers (Flowers - Chinese Forget-Me-Not (Seed)), Flowers (Flowers - Cleome (Seed)), Flowers (Flowers - Columbine (Seed)), Flowers (Flowers - Coreopsis (Seed)), Flowers (Flowers - Cosmos (Seed)), Flowers (Flowers - Dahlia (Seed)), Flowers (Flowers - Datura (Seed)), Flowers (Flowers - Dianthus (Seed)), Flowers (Flowers - Didiscus (Seed)), Flowers (Flowers - Echinacea (Seed)), Flowers (Flowers - Edible Lupine (Seed)), Flowers (Flowers - Eryngium (Seed)), Flowers (Flowers - Flax (Seed)), Flowers (Flowers - Four O'Clocks (Seed)), Flowers (Flowers - Foxglove (Seed)), Flowers (Flowers - Grass (Seed)), Flowers (Flowers - Jacob's Ladder (Seed)), Flowers (Flowers - Larkspur (Seed)), Flowers (Flowers - Mallow (Seed)), Flowers (Flowers - Marigold (Seed)), Flowers (Flowers - Mignonette (Seed)), Flowers (Flowers - Minutina (Seed)), Flowers (Flowers - Monarda (Seed)), Flowers (Flowers - Morning Glory (Seed)), Flowers (Flowers - Nasturtium (Seed)), Flowers (Flowers - Nicotiana (Seed)), Flowers (Flowers - Nigella (Seed)), Flowers (Flowers - Phacelia (Seed)), Flowers (Flowers - Poppy (Seed)), Flowers (Flowers - Rudbeckia (Seed)), Flowers (Flowers - Salvia (Seed)), Flowers (Flowers - Saponaria (Seed)), Flowers (Flowers - Scabiosa (Seed)), Flowers (Flowers - Snapdragon (Seed)), Flowers (Flowers - Statice (Seed)), Flowers (Flowers - Strawflower (Seed)), Flowers (Flowers - Sunflower (Seed)), Flowers (Flowers - Sweet Pea (Seed)), Flowers (Flowers - Tithonia (Seed)), Flowers (Flowers - Verbascum (Seed)), Flowers (Flowers - Yarrow (Seed)), Flowers (Flowers - Zinnia (Seed)); Leaf Vegetables: Arugula (Arugula (Seed)), Cabbage (Cabbage (Seed)), Celery (Celery (Seed)), Chard (Chard (Seed)), Chicory (Chicory - Escarole (Seed)), Chicory (Chicory (Seed)), Collards (Collards (Seed)), Endive (Endive - Belgian/Witloof (Seed)), Endive (Endive - Curly (Seed)), Kale (Kale (Seed)), Leaf Vegetables (Mixed Greens - Asian Greens (Seed)), Leaf Vegetables (Mixed Greens (Seed)), Lettuce (Lettuce (Seed)), Rapini (Rapini (Seed)), Spinach (Spinach (Seed)); Herbs/Spices: Basil (Basil (Seed)), Basil (Holy Basil (Seed)), Borage (Borage (Seed)), Chamomile (Chamomile (Seed)), Cilantro (Cilantro (Seed)), Cress (Cress (Seed)), Dill (Dill (Seed)), Fenugreek (Fenugreek (Seed)), Herbs (Marshmallow (Seed)), Herbs (Mixed Herbs (Seed)), Hyssop (Hyssop - Anise (Seed)), Hyssop (Hyssop (Seed)), Mullein (Mullein - Common (Seed)), Nigella (Nigella (Seed)), Other Herbs - Mentuccia Romana (Seed), Other Herbs - Monarda (Seed), Other Herbs - Sculpit (Seed), Other Herbs - Shiso (Seed), Other Herbs - Trigonella (Seed), Parsley (Parsley (Seed)), Sage (Sage (Seed)), Sorrel (Sorrel (Seed)), Tarragon (Tarragon - Mexican (Seed)); Fruit Vegetables: Cucumbers (Cucumbers (Seed)), Eggplants (Eggplants (Seed)), Groundcherries (Seed), Peppers (Peppers - Hot (Seed)), Peppers (Peppers - Sweet (Seed)), Pumpkins (Pumpkins (Seed)), Squash (Squash - Summer (Seed)), Squash (Squash - Winter), Squash (Squash - Winter (Seed)), Tomatillos (Tomatillos (Seed)), Tomatoes (Tomatoes - Cherry (Seed)), Tomatoes (Tomatoes - Heirloom (Seed)), Tomatoes (Tomatoes - Paste (Seed)), Tomatoes (Tomatoes - Slicer (Seed)), Zucchini (Zucchini (Seed)); Fruit - Melons: Melons (Mixed Melons (Seed)), Watermelons (Watermelons (Seed)); Fruit - Berries: Raspberries (Raspberries), Strawberries (Strawberries); Flower Vegetables: Broccoli (Broccoli (Seed)), Cauliflower (Cauliflower (Seed)); Field/Forageable: Flax (Flax (Seed)), Mixed Grain - Amaranth (Seed), Mixed Grain (Seed), Quinoa (Quinoa (Seed)), Wheat (Wheat (Seed)); Other: Mixed Vegetables (Planting Stock), Mixed Vegetables (Seed), Mixed Vegetables (Seedlings), Other Vegetables - Burdock (Seed), Other Vegetables - Cardoon (Seed), Other Vegetables - Sculpit (Seed)</t>
  </si>
  <si>
    <t>Fruit - Tropical Fruits: Cashew</t>
  </si>
  <si>
    <t>Seed/Pod Vegetables: Beans, Corn; Nursery/Starts/Flowers/Trees: Flowers; Leaf Vegetables: Kale; Fruit Vegetables: Squash; Field/Forageable: Clover, Fallow, Grass, Miscellaneous Grain_Oilseed, Vetch; Other: Locust</t>
  </si>
  <si>
    <t>Seed/Pod Vegetables: Beans (Mung bean); Field/Forageable: Rice (Hommali 105 rice (paddy), Jasmine Rice (paddy), RD 95 rice (paddy), Rice berry (paddy), Sin Lek rice (paddy), Sticky rice (paddy), Tubtimchumpae rice (paddy))</t>
  </si>
  <si>
    <t>Field/Forageable: Field Crop, Grain, Hay, Hay &amp; Pasture, Oats, Pasture, Silage</t>
  </si>
  <si>
    <t>Nursery/Starts/Flowers/Trees: Lemon-scented teatree, Niaouli tree; Herbs/Spices: Lemon Grass, Lemon Grass, Lemon Grass; Other: Tea tree</t>
  </si>
  <si>
    <t>Field/Forageable: Barley (Barley), Corn (Corn), Hay (Hay), Pasture (Pasture), Rice (Rice), Rye (Rye), Soybeans (Soybeans), Wheat (Einkorn Wheat); Other: Mixed Vegetables, Transplant Greenhouse (392 sq ft)</t>
  </si>
  <si>
    <t>Field/Forageable: Barley, Corn, Hay, Oats, Sorghum, Soybeans, Wheat</t>
  </si>
  <si>
    <t>Stem Vegetables: Lemon Grass (Lemon grass/ Citronella), Lemon Grass (Lemongrass Essential Oil/ Citronella Essential Oil); Seed/Pod Vegetables: Beans (Black beans), Beans (Red Bean), Noni (Noni); Nursery/Starts/Flowers/Trees: Flowers (Waterlily), Lotus Root (Lotus); Herbs/Spices: Beans (Mung bean), Ginger (Ginger), Herbs (Hibiscus), Herbs (Hibiscus dried), Herbs (Moringa Leaves), Herbs (Moringa powder (leaves)), Herbs (nutrient powder), Herbs (pennywort), Herbs (Pennywort Powder), Spices (Chilli pepper); Fruit - Tropical Fruits: Bananas (Banana), Bananas (Banana flower), Bananas (Banana Powder), Bananas (Dried banana), Coconuts (Coconut), Jackfruits (Jackfruit), Mangos (Mango); Fruit - Citrus Fruits: Lemons (Lemon); Field/Forageable: Rice (black rice bran), Rice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Paper/ Ocean''s Halo Purple Spring Roll Rice Wrap),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(Stevia), Rice (Stevia dried),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Stevia (Dried Stevia)</t>
  </si>
  <si>
    <t>Other: Raw cotton, soybean, pigeon pea, green gram, wheat grain, mustard, chickpea, maize grain</t>
  </si>
  <si>
    <t>Other: Raw cotton, soybean, pigeon pea, green gram, wheat, mustard, chickpea, maize grain,</t>
  </si>
  <si>
    <t>Other: Wine grape (Cabernet Sauvignon), Wine grape (Carignan), Wine grape (Chasselas), Wine grape (Criolla / País), Wine grape (Muscat à petits grains roses), Wine grape (Muscat d'Alexandrie), Wine grape (Tintorera)</t>
  </si>
  <si>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</si>
  <si>
    <t>Field/Forageable: Clover (Hay &amp; Seed), Wheat (Einkorn)</t>
  </si>
  <si>
    <t>Field/Forageable: Cotton, Fallow, Grass, Pasture, Teff, Wheat</t>
  </si>
  <si>
    <t>Herbs/Spices: Rice (Carnaroli rice), Rice (Long-grain rice), Rice (Short-grain rice)</t>
  </si>
  <si>
    <t>Field/Forageable: Rye (grain and straw)</t>
  </si>
  <si>
    <t>Field/Forageable: Sesame, Soybeans</t>
  </si>
  <si>
    <t>Seed/Pod Vegetables: Soybeans; Field/Forageable: Barley, Barley Hay, Clover, Corn, Grass Hay, Grass-Clover Crop, Hay, Oat-Pea, Oats, Pasture, Sorghum Sudan Grass; Other: Barley Seeds, Barley Straw, Rye Grain Seeds, Wheat Seeds</t>
  </si>
  <si>
    <t>Seed/Pod Vegetables: Soybeans; Field/Forageable: Corn, Hay, Hay, Oats, Pasture, Wheat; Other: Assorted Seed (Small grains)</t>
  </si>
  <si>
    <t>Other: Chickpeas, dried, Cotton, ginned or uncombed, Grain corn, Rapeseed, Soybean, Winter common wheat</t>
  </si>
  <si>
    <t>Other: Chickpeas, dried, Grain corn, Rapeseed, Soybean, Winter common wheat</t>
  </si>
  <si>
    <t>Tuber/Root Vegetables: Onions (Onions - Walla Walla Sweet), Onions (Onions: Assorted Varieties); Seed/Pod Vegetables: Peas (Peas: Pea Cleanings); Fruit Vegetables: Squash (Squash - Assorted Varieties), Squash (Squash: Spaghetti), Squash (Squash: Butternut), Squash (Squash: Kabocha), Squash (Squash: Acorn); Field/Forageable: Barley (Barley - Malting Barley), Barley (Barley: Barley Cleanings), Canola (Canola: Canola Cleanings), Corn (Corn), Corn (Corn: Corn Cleanings), Milo - Sorghum, Oats (Oats: Oat Cleanings), Other Grain - Safflower (Seed), Other Grain - Soybean, Rye (Rye: Rye Cleanings), Rye (Rye), Wheat (Wheat), Wheat (Wheat - DNS), Wheat (Wheat - Soft White), Wheat (Wheat: Wheat Cleanings); Other: Malted Grains or Seeds: Barley</t>
  </si>
  <si>
    <t>Tuber/Root Vegetables: Potatoes; Field/Forageable: All other grains, mixed hay, Pasture; Other: cover crop</t>
  </si>
  <si>
    <t>Seed/Pod Vegetables: Peas (Peas); Field/Forageable: Barley (Barley), Corn (Corn), Hay (Hay), Oats (Oats), Pasture (Pasture), Rye (Rye), Soybeans (Soybeans), Sunflowers (Sunflowers), Wheat (Wheat)</t>
  </si>
  <si>
    <t>Field/Forageable: Cotton, Wheat</t>
  </si>
  <si>
    <t>Field/Forageable: Cotton (Cotton), Wheat</t>
  </si>
  <si>
    <t>Tuber/Root Vegetables: Beets (Beet), Betel, Carrots (Carrot), Cassava (Cassava), Cassava (Cassava Sugar), Cassava (Fermented Cassava), Curcuma, Curcuma Whole, Garlic (Garlic Whole), Ginger (Ginger), Ginger (Emprit Ginger), Ginger (Emprit Ginger Whole), Ginger (Red Ginger), Ginger (Red Ginger Whole), Peanuts (Peanut), Shallots (Shallot Whole), Sweet Potatoes (Sweet Potato Cilembu), Sweet Potatoes (Sweet Potato Orange), Sweet Potatoes (Sweet Potato Purple), Taro (Taro), Turmeric (Turmeric); Stem Vegetables: Alba Curcuma, Aloe Vera (Aloevera), Cinnamon (Cinnamon), Cinnamon (Cinnamon Stick), Zucchini (Zuccini); Seed/Pod Vegetables: Edamame (Edammame), Herbs (Tamarin), Moringa, Sesame (Sesame Seed); Nuts: Peanuts (Kapri (Pea)); Leaf Vegetables: Basil (Basil), Bay Leaves (Bay Leaves), Binahong, Brotowali, Bryophyllum Pinnatum, Clinacanthus Nutans, Clitoria ternatea, Coronam Dei, Grass (Grass Jelly), Grass (Grass Jelly Leaf), Gynura Procumbens, Jampi Orthosiphon Aristatus, Leafy Greens (Pandani), Leafy Greens (Sembung), Lemon Grass (Lemongrass), Lettuce (Green Lettuce), Lettuce (Head Lettuce), Lettuce (Red Lettuce), Marjoram (Marjoram), Mint (Mint), Murbey, Orthosiphon Aristatus, Parsley (Parsley), Plantago Major, Rosemary (Rosemary), Sage (Sage), Sauropus androgynus, Spinach (Brazil Spinach), Spondias, Stevia (Stevia), Taragon; Herbs/Spices: Chives (Chives), Coriander (Coriander), Galangal (Galangal), Herbs (Star Anise), Nutmeg (Whole Nutmeg), Nutmeg (Nutmeg), Nutmeg (Nutmeg Mace), Nutmeg (Nutmeg Skin), Onions (Onion Whole), Oregano (Oregano), Pepper (Chili), Peppermint (Black Pepper), Peppers (Black Pepper Whole), Peppers (White Pepper), Peppers (White Pepper Whole), Peppers (Paprika), Thyme (Thyme); Fruit - Tropical Fruits: Abiu (Abiyu), Ancillis, Bananas (Banana), Cacao (Cocoa Beans), Cermai, Coconuts (White Copra), Coconuts (Coconut Pandan Wangi), Coconuts (Coconuts), Coconuts (CNO), Coconuts (Copra), Coffee (Coffee/Ca phe nhan Robusta), Coleus atropurpureus Benth, Dulcis Saga, Grapefruits (Grape), Guavas (Guava Citra), Guavas (Guava Cristal), Guavas (Guava Jamaica), Guavas (Red Guava), Jackfruits (Jackfruit Dak), Jackfruits (Jackfruit Dulang), Jackfruits (Jackfruit mini), Mangos (Mango Kiojay), Mangos (Mango Okyong), Mangosteen (Mangosteen), Matoa, Phaleria Marcocarpa, Phyllanthus Urinaria, Pineapples (Pineapple), Pumpkins (Pumpkin), Starfruits (Starfruit), Strawberries (Strawberry), Tropical Fruits (Sawo), Tropical Fruits (Salacca); Fruit - Stone: Avocados (Avocado Mentega); Fruit - Melons: Melons (Melon); Fruit - Citrus Fruits: Cui, Lemons (Lemon tea), Limes (Lime), Limes (Lime Leaf), Oranges (Orange), Oranges (Orange Purut); Flower Vegetables: Boesenbergia Rotunda, Cumin (Cumin), Dill (Dill), Eleutherine Bulbosa; Field/Forageable: Longans (Longan Ituh), Longans (Longan New Cristal); Other: Magic</t>
  </si>
  <si>
    <t>Other: Rice (*Organic Paddy(Rice))</t>
  </si>
  <si>
    <t>Seed/Pod Vegetables: Peas; Field/Forageable: All other grains, Barley, grass baleage, grass/legume, Oats, Soybeans, Wheat; Other: Straw</t>
  </si>
  <si>
    <t xml:space="preserve">Additional Certified Products Under CROPS Scope </t>
  </si>
  <si>
    <t>Certificate Numbers for Certified Products under CROPS Scope</t>
  </si>
  <si>
    <t>Certificate numbers issued by Certifier.</t>
  </si>
  <si>
    <t>24-1093</t>
  </si>
  <si>
    <t>MN0036-G-12-0381</t>
  </si>
  <si>
    <t>24553</t>
  </si>
  <si>
    <t>17151-230808</t>
  </si>
  <si>
    <t>CE-021410-2024</t>
  </si>
  <si>
    <t>BINT-10500</t>
  </si>
  <si>
    <t>US10002/25</t>
  </si>
  <si>
    <t>BINT-10831</t>
  </si>
  <si>
    <t>BINT-10847</t>
  </si>
  <si>
    <t>7170240769.24.1</t>
  </si>
  <si>
    <t>All-Farm Organics</t>
  </si>
  <si>
    <t>CO-309752</t>
  </si>
  <si>
    <t>CO-309450</t>
  </si>
  <si>
    <t>CO-310906</t>
  </si>
  <si>
    <t>US8342/24</t>
  </si>
  <si>
    <t>CE-024804-2024</t>
  </si>
  <si>
    <t>CO-309218</t>
  </si>
  <si>
    <t>CO-309442</t>
  </si>
  <si>
    <t>24-412,23-334</t>
  </si>
  <si>
    <t>24-321</t>
  </si>
  <si>
    <t>9753</t>
  </si>
  <si>
    <t>17466-240222</t>
  </si>
  <si>
    <t>CU 848306NOP-01.2024</t>
  </si>
  <si>
    <t>24-1023</t>
  </si>
  <si>
    <t>17153-231001</t>
  </si>
  <si>
    <t>17155-230922</t>
  </si>
  <si>
    <t>17157-230726</t>
  </si>
  <si>
    <t>1653</t>
  </si>
  <si>
    <t>24690</t>
  </si>
  <si>
    <t>BINT-10910</t>
  </si>
  <si>
    <t>2025-308</t>
  </si>
  <si>
    <t>C0031027-NOPCPR-19</t>
  </si>
  <si>
    <t>4535/2024-01</t>
  </si>
  <si>
    <t>17158-230808</t>
  </si>
  <si>
    <t>WI0169-G-12-0379</t>
  </si>
  <si>
    <t>CO-312038</t>
  </si>
  <si>
    <t>MI0070-GH-18-1578</t>
  </si>
  <si>
    <t>CO-310769</t>
  </si>
  <si>
    <t>26043</t>
  </si>
  <si>
    <t>24-428</t>
  </si>
  <si>
    <t>,2128104</t>
  </si>
  <si>
    <t>CICALARES-183/06.24/0033-NOP</t>
  </si>
  <si>
    <t>24 10199 NOP</t>
  </si>
  <si>
    <t>CMX-NOP-961-2024-87</t>
  </si>
  <si>
    <t>CO-310460</t>
  </si>
  <si>
    <t>CE-021996-2024</t>
  </si>
  <si>
    <t>CE-002679-2025</t>
  </si>
  <si>
    <t>24-438</t>
  </si>
  <si>
    <t>2024-231</t>
  </si>
  <si>
    <t>0410</t>
  </si>
  <si>
    <t>CO-311165</t>
  </si>
  <si>
    <t>13792,</t>
  </si>
  <si>
    <t>10272015/F221</t>
  </si>
  <si>
    <t>2024-033</t>
  </si>
  <si>
    <t>23-297</t>
  </si>
  <si>
    <t>24730</t>
  </si>
  <si>
    <t>,2117201</t>
  </si>
  <si>
    <t>CO-312006</t>
  </si>
  <si>
    <t>C0164034-NOPCPR-15</t>
  </si>
  <si>
    <t>25485</t>
  </si>
  <si>
    <t>202407</t>
  </si>
  <si>
    <t>CO-310646</t>
  </si>
  <si>
    <t>,2125003</t>
  </si>
  <si>
    <t>23-1065</t>
  </si>
  <si>
    <t>24-527</t>
  </si>
  <si>
    <t>NOP-009058-2024</t>
  </si>
  <si>
    <t>25042</t>
  </si>
  <si>
    <t>1446</t>
  </si>
  <si>
    <t>NPS93ZCC</t>
  </si>
  <si>
    <t>CO-310915</t>
  </si>
  <si>
    <t>25699</t>
  </si>
  <si>
    <t>17241-240509</t>
  </si>
  <si>
    <t>CO-308230</t>
  </si>
  <si>
    <t>24125</t>
  </si>
  <si>
    <t>NPW88NCC</t>
  </si>
  <si>
    <t>CO-310048</t>
  </si>
  <si>
    <t>NPS73HCC</t>
  </si>
  <si>
    <t>0909</t>
  </si>
  <si>
    <t>CO-312237</t>
  </si>
  <si>
    <t>CO-309100</t>
  </si>
  <si>
    <t>25-200</t>
  </si>
  <si>
    <t>17461-240119</t>
  </si>
  <si>
    <t>17261-230606</t>
  </si>
  <si>
    <t>CU 859193NOP-01.2024</t>
  </si>
  <si>
    <t>17263-230726</t>
  </si>
  <si>
    <t>25608</t>
  </si>
  <si>
    <t>25447</t>
  </si>
  <si>
    <t>25519</t>
  </si>
  <si>
    <t>,2125903</t>
  </si>
  <si>
    <t>CO-310162</t>
  </si>
  <si>
    <t>24-464</t>
  </si>
  <si>
    <t>25135</t>
  </si>
  <si>
    <t>,14-037-077</t>
  </si>
  <si>
    <t>CO-307413</t>
  </si>
  <si>
    <t>26039</t>
  </si>
  <si>
    <t>25321</t>
  </si>
  <si>
    <t>2024-080</t>
  </si>
  <si>
    <t>C0176604-NOPCPR-12</t>
  </si>
  <si>
    <t>202322</t>
  </si>
  <si>
    <t>3555/2025-01</t>
  </si>
  <si>
    <t>17462-240120</t>
  </si>
  <si>
    <t>17463-240203</t>
  </si>
  <si>
    <t>26118</t>
  </si>
  <si>
    <t>US8333/24 US</t>
  </si>
  <si>
    <t>NOP-008342-2023</t>
  </si>
  <si>
    <t>18081-241124</t>
  </si>
  <si>
    <t>7170220511.24.1</t>
  </si>
  <si>
    <t>CO-310971</t>
  </si>
  <si>
    <t>1415</t>
  </si>
  <si>
    <t>CO-309363</t>
  </si>
  <si>
    <t>25-055</t>
  </si>
  <si>
    <t>CO-310847</t>
  </si>
  <si>
    <t>25-212</t>
  </si>
  <si>
    <t>NOP-008769-2023</t>
  </si>
  <si>
    <t>2024-030</t>
  </si>
  <si>
    <t>CO-308009</t>
  </si>
  <si>
    <t>202101</t>
  </si>
  <si>
    <t>BINT-10660</t>
  </si>
  <si>
    <t>25162</t>
  </si>
  <si>
    <t>0717</t>
  </si>
  <si>
    <t>CO-309745</t>
  </si>
  <si>
    <t>CO-310673</t>
  </si>
  <si>
    <t>CO-309758</t>
  </si>
  <si>
    <t>17715-241222</t>
  </si>
  <si>
    <t>25169</t>
  </si>
  <si>
    <t>CO-309650</t>
  </si>
  <si>
    <t>CO-309470</t>
  </si>
  <si>
    <t>CO-308402</t>
  </si>
  <si>
    <t>26023</t>
  </si>
  <si>
    <t>WI0597-GH-18-1565</t>
  </si>
  <si>
    <t>CO-309102</t>
  </si>
  <si>
    <t>25857</t>
  </si>
  <si>
    <t>25089</t>
  </si>
  <si>
    <t>172,</t>
  </si>
  <si>
    <t>1135</t>
  </si>
  <si>
    <t>25721</t>
  </si>
  <si>
    <t>4618/2024-01</t>
  </si>
  <si>
    <t>4619/2024-01</t>
  </si>
  <si>
    <t>4625/2024-01</t>
  </si>
  <si>
    <t>4626/2024-01</t>
  </si>
  <si>
    <t>17252-230809</t>
  </si>
  <si>
    <t>17240-240618</t>
  </si>
  <si>
    <t>17714-241222</t>
  </si>
  <si>
    <t>25902</t>
  </si>
  <si>
    <t>25445</t>
  </si>
  <si>
    <t>CO-310466</t>
  </si>
  <si>
    <t>CO-309611</t>
  </si>
  <si>
    <t>CO-310231</t>
  </si>
  <si>
    <t>NOP-009164-2024</t>
  </si>
  <si>
    <t>24-184</t>
  </si>
  <si>
    <t>CO-310720</t>
  </si>
  <si>
    <t>CO-311816</t>
  </si>
  <si>
    <t>CO-309241</t>
  </si>
  <si>
    <t>112119-01,</t>
  </si>
  <si>
    <t>CO-309283</t>
  </si>
  <si>
    <t>NPX37CCC</t>
  </si>
  <si>
    <t>17161-240701</t>
  </si>
  <si>
    <t>BINT-10937</t>
  </si>
  <si>
    <t>9742</t>
  </si>
  <si>
    <t>0748</t>
  </si>
  <si>
    <t>17450-241029</t>
  </si>
  <si>
    <t>US8983/24 subst. US8776/24 US</t>
  </si>
  <si>
    <t>CO-311088</t>
  </si>
  <si>
    <t>CO-309678</t>
  </si>
  <si>
    <t>17167-240701</t>
  </si>
  <si>
    <t>17166-240618</t>
  </si>
  <si>
    <t>25145</t>
  </si>
  <si>
    <t>US9069/24 substitute US8871/24</t>
  </si>
  <si>
    <t>2024-020</t>
  </si>
  <si>
    <t>821</t>
  </si>
  <si>
    <t>1442</t>
  </si>
  <si>
    <t>NOP-008495-2023</t>
  </si>
  <si>
    <t>LIVESTOCK Scope Certification Status</t>
  </si>
  <si>
    <t>Effective Date of LIVESTOCK Status</t>
  </si>
  <si>
    <t>Certified Products Under LIVESTOCK Scope</t>
  </si>
  <si>
    <t>Other: Chicken layers, broilers, eggs</t>
  </si>
  <si>
    <t>Other: Dairy Cows for milk - none eligible for organic slaughter, Dairy Replacements - none eligible for organic slaughter, Milk</t>
  </si>
  <si>
    <t>Cattle: Dairy Cattle, Milk (See Livestock List for Organic Slaughter Eligible Livestock)</t>
  </si>
  <si>
    <t>Poultry: Laying Hens (Eggs), Pullets; Cattle: Calves (Some eligible for organic slaughter), Dry Cows (Some eligible for organic slaughter), Heifers (Some eligible for organic slaughter), Milking Cows (Milk) (Some eligible for organic slaughter); Other: Milk</t>
  </si>
  <si>
    <t>Cattle: Milking Cows, Slaughter Eligible; Other: Beef Cuts</t>
  </si>
  <si>
    <t>Cattle: Calves (Dairy, Slaughter Eligible), Dairy Replacement Heifer (Slaughter Eligible), Dairy Steers (Slaughter Eligible), Milk, Milking Cows (Slaughter Eligible), Milking Cows (Transitioned)</t>
  </si>
  <si>
    <t>Goats: Slaughter Eligible; Cattle: Slaughter Eligible; Other: Beef Cuts, Goat Various Cuts</t>
  </si>
  <si>
    <t>Cattle: Bulls, Calves (Some eligible for organic slaughter), Dry Cows (Some eligible for organic slaughter), Heifers (Some eligible for organic slaughter), Milking Cows (Milk) (Some eligible for organic slaughter)</t>
  </si>
  <si>
    <t>Goats: Goats- (Dairy - Last Third - Ineligible for Organic Slaughter) (No Organic Slaughter Sales)</t>
  </si>
  <si>
    <t>Cattle: Beef Replacement Heifer (Replacement Heifers (Slaughter Eligible)), Breeding Eligible (Breeder Cows (Some Slaughter Eligible)), Bulls (Slaughter Eligible), Calves (Calves (Slaughter Eligible)), Steers (Slaughter Eligible), Yearling (Yearlings (Slaughter Eligible))</t>
  </si>
  <si>
    <t>Poultry: Laying Hens (Eggs), Slaughter Eligible; Cattle: Breeding Eligible (Beef), Slaughter Eligible (Beef)</t>
  </si>
  <si>
    <t>Cattle: Dairy Replacement Heifer (heifers and calves), Dairy Steers, Milking Cows, Slaughter Eligible</t>
  </si>
  <si>
    <t>Poultry: Eggs, Laying Hens</t>
  </si>
  <si>
    <t>Poultry: Laying Hens (Eggs)</t>
  </si>
  <si>
    <t>Cattle: Bulls, Calves, Dry Cows, Heifers, Milk, Milking Cows, Slaughter Eligible</t>
  </si>
  <si>
    <t>Cattle: Calves (some eligible for organic slaughter), Dry Cows (some eligible for organic slaughter), Heifers (some eligible for organic slaughter), Milking Cows (Milk) (some eligible for organic slaughter)</t>
  </si>
  <si>
    <t>Cattle: Dairy Replacement Heifer, Milking Cows (Dairy Cows)</t>
  </si>
  <si>
    <t>Other: Beef cattle: replacements, Beef cattle: slaughter stock, Dairy cow: milk, Dairy cow: replacements, Dairy cow: slaughter stock, Swine: slaughter stock</t>
  </si>
  <si>
    <t>Other: Sheep, Lambs, Mutton and Lamb, Beef Cattle, Beef</t>
  </si>
  <si>
    <t>Sheep: Sheep (Dairy - Last Third - Eligible for Organic Slaughter) (Slaughter Eligible Animals Identified by No Red Ear Tag); Poultry: Chickens-Layers</t>
  </si>
  <si>
    <t>Cattle: Cattle - Dairy Other (Milk), Dairy Replacement Heifer, Milking Cows, Slaughter Eligible</t>
  </si>
  <si>
    <t>Other: *Custom raising of heifers</t>
  </si>
  <si>
    <t>Cattle: Slaughter Eligible, Slaughter Eligible, Transitioned; Other: Cow Milk</t>
  </si>
  <si>
    <t>Cattle: Slaughter Eligible, Transitioned; Other: Cow Milk</t>
  </si>
  <si>
    <t>Other: Dairy bulls - all eligible for organic slaughter, Dairy cows for milk - all eligible for organic slaughter, Dairy replacements - all eligible for organic slaughter, Milk, Processing and distribution of Kefir; Kefir grains</t>
  </si>
  <si>
    <t>Cattle: Cattle (Dairy - Last Third - Eligible for Organic Slaughter) (Slaughter eligible animals identified by un-notched numbered ear tag), Cattle (Dairy-Transitioned-Not for Meat) (Tag #'s 501, 504, 505, 509, 510, and 512. No Slaughter Sales.)</t>
  </si>
  <si>
    <t>Cattle: Dairy Replacement Heifer, Slaughter Eligible</t>
  </si>
  <si>
    <t>Cattle: Beef Cattle</t>
  </si>
  <si>
    <t>Poultry: Laying Hens (Eggs), Laying Hens (Eggs)</t>
  </si>
  <si>
    <t>Cattle: Slaughter Eligible</t>
  </si>
  <si>
    <t>Swine: Piglets, Pigs; Sheep: Lambs, Slaughter Eligible; Poultry: Laying Hens; Cattle: Beef, Calves, Dairy Replacement Heifers, Milking Cows, Slaughter Eligible</t>
  </si>
  <si>
    <t>Poultry: Broilers (whole chicken, stewing hen, chicken breast, boneless chicken breast, boneless and skinless chicken breast, chicken quarters, chicken wings, chicken tenders, chicken backs/bones, chicken feet, chicken hearts, chicken livers, unpeeled chicken gizzards, peeled chicken gizzards, chicken necks, chicken fat, chicken skin), Laying Hens (Eggs), Turkeys (whole turkey, white turkey, heritage turkey, turkey feet, unpeeled turkey gizzards, turkey breast, turkey quarters, turkey backs/bones, turkey giblets); Cattle: Beef Brood Cows, Beef Steers, Slaughter Eligible</t>
  </si>
  <si>
    <t>Cattle: Beef, Calves, Dairy Replacement Heifers, Milking Cows</t>
  </si>
  <si>
    <t>Cattle: Slaughter Eligible; Other: Cow Milk</t>
  </si>
  <si>
    <t>Other: *Beef heifers and steers- all eligible for organic slaughter, *Dairy cows - all eligible for organic slaughter</t>
  </si>
  <si>
    <t>Cattle: Beef - Breeder Eligible, Calves, Feeders, Slaughter Eligible, Yearlings</t>
  </si>
  <si>
    <t>Cattle: Beef cuts - Wholesale &amp; Retail, Beef Heifers (Slaughter Eligible), Beef Steers (Slaughter Eligible), Beef, Ground, Calves (Beef, Slaughter), Slaughter Eligible</t>
  </si>
  <si>
    <t>Swine: Swine (Slaughter eligible animals identified by no ear notch or tags on both ears ); Cattle: Cattle (Dairy-Transitioned-Not for Meat), Cattle (Slaughter) (Slaughter eligible animals identified by only left ear tagged); Other: Beef, Beef (Organic Beef Back Ribs), Beef (Organic Beef Brisket Flat), Beef (Organic Beef Brisket Half), Beef (Organic Beef Brisket Point), Beef (Organic Beef Flank Steak), Beef (Organic Beef Flat Iron Steak), Beef (Organic Beef New York Strip Steak), Beef (Organic Beef Porterhouse Steak), Beef (Organic Beef Ribeye Steak), Beef (Organic Beef Round Roast), Beef (Organic Beef Short Ribs), Beef (Organic Beef Sirloin Tip Steak), Beef (Organic Beef Skirt Steak), Beef (Organic Beef Stew Meat), Beef (Organic Beef Tenderloin Filet Steak), Beef (Organic Beef Top Round Nude), Beef (Organic Beef Top Sirloin), Beef (Organic Beef Tri Tip), Beef (Organic Ground Beef), Chicken (Meat) (Chicken Bones), Chicken (Meat) (Chicken Breast), Chicken (Meat) (Chicken Drumsticks), Chicken (Meat) (Chicken Feet), Chicken (Meat) (Chicken Gizzards), Chicken (Meat) (Chicken Leg), Chicken (Meat) (Chicken Livers), Chicken (Meat) (Chicken Necks), Chicken (Meat) (Chicken Thighs), Chicken (Meat) (Chicken Wings), Chicken (Meat) (Whole Chicken), Custom Grazing of Animals, Custom Management of Animals, Meats (Beef jerky - Carne Asada ), Meats (Beef jerky - Cherrywood Smoked), Meats (Beef jerky - Salt and Pepper), Pork, Pork (Boston Butt Pork Roast), Pork (Brown Sugar Breakfast Sausage), Pork (No Sugar Bacon), Pork (Organic Pork Maple Breakfast Sausage), Pork (Organic Uncured Bacon), Pork (Organic Uncured Ham Containing Up To 10% Solution), Pork (Pork Cuts (Ground Pork, Pork Shoulder Roast, Pork Spare Ribs, Pork Baby Back Ribs, Pork Chops, Pork Belly, Pork Bones, Pork Tenderloin)), Pork (Savory Sage Sausage)</t>
  </si>
  <si>
    <t>Poultry: Laying Hens (Eggs); Other: Custom Organic Livestock Boarding, Other (Custom Organic Livestock Boarding)</t>
  </si>
  <si>
    <t>Cattle: Calves (Some Eligible for Organic Slaughter), Dry Cows (Some Eligible for Organic Slaughter), Heifers (Some Eligible for Organic Slaughter), Milking Cows (Milk) (Some Eligible for Organic Slaughter)</t>
  </si>
  <si>
    <t>Cattle: Dairy Replacement Heifer (Replacement Heifers (slaughter eligible)), Milking Cows (Dairy Cows (Eligible for slaughter stock))</t>
  </si>
  <si>
    <t>Swine: Slaughter Eligible; Sheep: Slaughter Eligible; Poultry: Broilers, Laying Hens, Turkeys; Cattle: Slaughter Eligible; Other: Beef Cuts, Chicken, Chicken Eggs, Pork Cuts, Turkey, Various Lamb Cuts</t>
  </si>
  <si>
    <t>Other: Beef Heifers (Finishing Fats), Beef Heifers (Yearlings), Beef Steers (Finishing Fats), Beef Steers (Yearlings), Calves, Cows</t>
  </si>
  <si>
    <t>Cattle: Beef, Calves, Dairy Replacement Heifers, Milking Cows, Slaughter Eligible</t>
  </si>
  <si>
    <t>Cattle: Cattle (Dairy - Last Third - Eligible for Organic Slaughter) (Slaughter eligible animals are identified by numbered green ear tag AND NO white button tag), Cattle (Dairy - Last Third - Ineligible for Organic Slaughter) (Animals identified by numbered ear tag AND white or red button tag.)</t>
  </si>
  <si>
    <t>Cattle: Beef</t>
  </si>
  <si>
    <t>Poultry: Broilers</t>
  </si>
  <si>
    <t>Additional Certified Products Under LIVESTOCK Scope</t>
  </si>
  <si>
    <t>Certificate Numbers for Certified Products under LIVESTOCK Scope</t>
  </si>
  <si>
    <t>2128104,</t>
  </si>
  <si>
    <t>WILD CROPS Scope Certification Status</t>
  </si>
  <si>
    <t>Effective Date of WILD CROPS Status</t>
  </si>
  <si>
    <t>Certified Products Under WILD CROPS Scope</t>
  </si>
  <si>
    <t>Other: Argan nuts</t>
  </si>
  <si>
    <t>Other: Nuts, other, Other products of forestry, Tropical fruits, other</t>
  </si>
  <si>
    <t>Herbs: Herbs (Bay, Chaste tree, Cystus, Linden, Liquorice, Oregano, Sage, Thyme); Fruits: Fruits (Blackberry, Black Mulberry, Blueberries, Mulberry, Raspberry, Rosehip); Other: Capers, Coriander, Rosemary, Sumac, Zahter</t>
  </si>
  <si>
    <t>Nuts: Murumuru (Astrocaryum murumuru)  =  2.449,00 Kg.., Nuts (Castaña (Bertholletia excelsa (Humb. &amp; Bonpl)) / Castañas en cáscara =  1.756.089,12 Kg.)</t>
  </si>
  <si>
    <t>Nuts: Nuts (Pinus koraiensis (Korean pine nut seed kernels))</t>
  </si>
  <si>
    <t>Herbs: Herbs (Zahter)</t>
  </si>
  <si>
    <t>Nuts: Nuts (Ojoche Seco en grano/ Ojoche Dry in grain)</t>
  </si>
  <si>
    <t>Fungi: Mushroom; Vegetables: Purslane; Nuts: Hickory, Walnut; Herbs: Bee balm, Lambs Quarter; Fruits: Elderberry, Mulberry; Other: Maple</t>
  </si>
  <si>
    <t>Fruits: Fruits (Pawpaw)</t>
  </si>
  <si>
    <t>Herbs: Herbs (cistus, mastic, myrtle.)</t>
  </si>
  <si>
    <t>Additional Certified Products Under WILD CROPS Scope</t>
  </si>
  <si>
    <t>Certificate Numbers for Certified Products Under WILD CROPS Scope</t>
  </si>
  <si>
    <t>23-302</t>
  </si>
  <si>
    <t>HANDLING Scope Certification Status</t>
  </si>
  <si>
    <t>Effective Date of HANDLING Status</t>
  </si>
  <si>
    <t>Certified Products Under HANDLING Scope</t>
  </si>
  <si>
    <t>Trees/Whole Plant Products/Flowers: Seeds (Watermelon seed); Processed  Items: Dehydrated Foods (Roasted buckwheat kernel), Dehydrated Foods (Roasted corn), Dehydrated Foods (Roasted soybean); Preservatives/Extracts/Flavors: Extracts (Pea fiber), Extracts (Pea protein), Extracts (Pea starch), Extracts (Potato starch), Extracts (Rice bran), Extracts (Rice protein), Extracts (Soybean protein isolate), Extracts (Soybean protein powder), Extracts (Wheat starch), Extracts (Textured soybean protein), Extracts (Soybean protein drawing), Herbs (Rapeseed); Other Grains, Pastas and Cereals: Barley, Buckwheat, Buckwheat kernel, Cracked corn, Flax seed, Millet, Oats, Oats (Oat kernel), Quinoa, Quinoa (Quinoa kernel), Rice, Rice (Black paddy), Rice (Black rice), Rice (Brown rice), Rice (Paddy), Rice (Glutinous paddy), Rice (Glutinous rice), Sorghum, Sticky hulled millet (also called hulled sticky millet, hulled broomcorn millet), Sticky millet (also called: broomcorn millet), Wheat; Oils &amp; Oleoresins: Oils (Rapeseed oil), Oils (Rice bran oil), Oils (Sesame oil), Oils (Raw flax oil), Oils (Soybean oil), Oils (Sunflower oil); Nuts/Seeds: Black sesame, Borage seed, Perilla seeds, Pine Nuts (Pinenut kernel), Sesame, Sunflower seed, Sunflower seeds kernel, Walnuts, Walnuts (Walnut kernels); Health Products: Herbs (Evening primrose seed); Fruits/Vegetables: Alfalfa, Beans (Black kidney bean (also called -black turtle bean)), Beans (Black soybean with green kernels), Beans (Black soybean with yellow kernels (also called - black soybean)), Beans (Red kidney bean (also called dark red kidney bean)), Beans (Soybean), Beans (Soybean hulled), Beans (Soybean hulls), Beans (White kidney bean), Beans (Adzuki bean (also called- small red bean)), Beans (Double green bean (also called -green soybean, edamame bean)), Beans (Green mung bean (also called mung bean)), Beans (Pinto bean (also called light speckled kidney bean)), Beans (Mung bean hulled), Berries (Goji berries), Vegetables (Lentil), Vegetables (Potato), Vegetables (Pumpkin kernel (also called: pumpkin kernel shine skin)), Vegetables (Pumpkin seed grown without shell (also called: pumpkin kernels GWS)), Vegetables (Pea), Vegetables (Pumpkin seed shine skin kernel (also called: organic pumpkin kernel)), Vegetables (Pumpkin seeds (pumpkin seeds shine skin)), Vegetables (Sweet potato), Vegetables (Chickpea (also called - garbanzo)), Vegetables (Corn (also called maize)), Vegetables (Corn chop), Vegetables (Cowpea); Dry/Baking Goods: Flours and Meals (Brown rice flour), Flours and Meals (Buckwheat flour), Flours and Meals (Corn flour), Flours and Meals (Oat flour), Flours and Meals (Rice flour), Flours and Meals (Wheat flour); Bread/Bakery/Snacks: Cereal Bars (Corn cobs); Animal Feed: Concentrated soybean protein, Livestock Feed (Blended feed pellets), Livestock Feed (Corn germ cake), Livestock Feed (Corn gluten meal), Livestock Feed (Flaxseed cake (Also called Flaxseed meal, Flaxseed expeller, Flax cake, Flax meal, Flax expeller)), Livestock Feed (Puffed soybean), Livestock Feed (Rapeseed meal (Also called Rapeseed cake, Rapeseed expeller)), Livestock Feed (Rice bran meal), Livestock Feed (Sesame meal (Also called Sesame cake, Sesame expeller)), Livestock Feed (Soybean protein powder), Livestock Feed (Squashed corn), Livestock Feed (Sunflower meal (Also called Sunflower cake, Sunflower expeller)), Livestock Feed (Wheat bran), Livestock Feed (Wheat gluten meal), Soybean crude lecithin (Also called: Crude soybean lecithin), Soybean meal (Also called: Soybean cake, Soybean expeller), Soybean Powder</t>
  </si>
  <si>
    <t>Processed  Items: Açai, Guarana concentrated, Organic 8% Acai, Organic Acai Soft with Guarana, Pasteurized Organic 12% Acai, Pasteurized Organic 14%/Acai Puree Unsweetened; Preservatives/Extracts/Flavors: Extracts (Guarana extract), Extracts (Yerba mate extract); Other Grains, Pastas and Cereals: Cocoa beans, Guarana in grains; Oils &amp; Oleoresins: Oils (Acai oil), Oils (Babassu oil); Fruits/Vegetables: Babassu, Camu camu, Guarana, Raw natural cocoa nibs; Dry/Baking Goods: Cocoa butter, Cupuacu butter, Powders (Cupuacu powder), Powders (Mate tea powder), Powders (Yerba mate powder), Powders (Açaí powder (açaí powder 100% pure rwd) / Organic Frezzer Dried Açai), Powders (Acai powder / frozen acai puree/ AMAVICO - freeze dried acai), Powders (Acerola powder 25%), Powders (Acerola powder), Powders (Camu camu powder), Powders (Cocoa powder); Beverage Related Products: Pulp (Acerola pulp)</t>
  </si>
  <si>
    <t>Other: 100% Organic, Black Barley, Black Beans, Brown Rice, Buckwheat, By-products, Flour, Great Northern Beans , Hard Red Spring Wheat Berries, Hard Red Winter Wheat Berries, Hard White Winter Wheat Berries, Hemp Grain, Kidney Beans, Pinto Beans, Popcorn, Purple Barley, Quinoa, Oats, Red Beans, Soft White Spring Wheat Berries, Spring Durum, White corn. Organic, Black and Purple Barley, Beans, Black, Great Northern, Kidney, Pinto, Red, Buckwheat, Popcorn, White corn, Wheat, Spring Durum, Hard Red Spring Wheat Berries, Hard Red Winter Wheat Berries, Hard White Winter Wheat Berries, Soft White Spring Wheat Berries</t>
  </si>
  <si>
    <t>Other Grains, Pastas and Cereals: Packaging of grains. Please see product addendum for specifics</t>
  </si>
  <si>
    <t>Trees/Whole Plant Products/Flowers: Flowers (Morning Glory), Flowers (Butterfly Pea (Clitoria ternatea)); Seasonings: Garlic, Onion, Shallot; Preservatives/Extracts/Flavors: Spices (Pepper); Other Grains, Pastas and Cereals: Rice (Rice); Health Products: Herbs (Ginger), Herbs (Mint), Herbs (Neem (Azadirachta indica)), Herbs (Basil/Tulsi), Herbs (Finger roots), Herbs (Galangal), Herbs (Kaffir Lime leaves), Herbs (Lemongrass), Herbs (Thyme), Herbs (Turmeric); Fruits/Vegetables: Avocado/Bo huu co, Banana, Beans (Kidney Bean), Beans (Long Beans), Beans (Soy bean), Beans (Mung bean), Beans (Edamame), Beans (French Bean), Citrus (Lemon), Citrus (Lime), Custard apple, Dragon fruit, Durians, Gourds, Guava, Jackfruit, Jackfruit Halves, Leafy Greens (Lettuce cos (romaine)), Leafy Greens (Green oak lettuce), Leafy Greens (Kale), Leafy Greens (Cabbage), Longan, Lychee, Mangosteen, Melons (Melon), Noni, Papaya, Passion fruit, Passion Fruit Cubes, Pineapple, Pumpkin, Rambutan, Red dragon fruit, Rose apple, Santol, Stone Fruit (Mangoes), Stone Fruit (Coconut), Vegetables (Cucumber), Vegetables (Tomato), Vegetables (Okra), Vegetables (Bitter Gourd), Vegetables (Spinach), Vegetables (Sugar snap pea), Vegetables (Red oak lettuce), Vegetables (Snow Pea), Vegetables (Carrot), Vegetables (Chilli), Vegetables (Chinese Broccoli), Vegetables (Chinese kale), Vegetables (Asparagus), Vegetables (Baby corn), Watermelon, Wollongong (South Langsat); Beverage Related Products: Coffee (Coffee); Other: Aloe vera, Cocoa, Pandanus leaves, Tamarind, Zingiber zerumbet</t>
  </si>
  <si>
    <t>Other Grains, Pastas and Cereals: Corn, Soybeans, Sunflowers, Wheat</t>
  </si>
  <si>
    <t>Other: Pasta (Whole Grain), Pasta (Whole Wheat), Semolina Pasta, Semolina Pasta (Campanelle), Semolina Pasta (Cavatappi), Semolina Pasta (Mezze Rigatoni), Semolina Pasta (Pipette Rigate), Semolina Pasta (Rotelle)</t>
  </si>
  <si>
    <t>Other: Pasta (Whole Grain), Pasta (Whole Wheat), Semolina Pasta, Semolina Pasta (Campanelle), Semolina Pasta (Cavatappi), Semolina Pasta (Elbow Macaroni), Semolina Pasta (Mezze Rigatoni), Semolina Pasta (Penne Rigate ), Semolina Pasta (Pipette Rigate), Semolina Pasta (Rotelle), Semolina Pasta (Spaghetti)</t>
  </si>
  <si>
    <t>Other Grains, Pastas and Cereals: Basmati Rice; Condiments and Sweeteners: Cardamom, cardamom large (black), Cardamon Powder; Beverage Related Products: Black Tea; Other: Ajwain, Amla Powder, Amla TBC, Arrowroot Powder, Ashwagandha powder, Ashwagandha Root, Basil/Tulsi,Bay leaves/Tejpatta, Black cumin, Black Pepper, Black Pepper Powder, Brahmi (Bacopa monnieri), Cane Molasses, Cardamon Powder, Celery seed, Chilli Flakes, Chilli Whole, Chilli-bird eye, Cinnamon, cinnamon (powder), Clove Powder,Clove Whole, Coffee Beans, Coriander, Coriander Powder, Cumin Powder, Cumin Whole, curry leaf/leaves, dill seed (aowa), dried nutmeg shelled, Dry rose petals-Rose, Eclipta alba (Bhringaraj), Fennel Powder, Fennel/ Saunf, Fenugreek, Fenugreek powder (Methi powder) , fenugreek seed (methi seed), Flax Seed, Garlic, Garlic granules, Garlic Powder, Ginger Flakes , Ginger Powder, Ginger Sliced (Dried) , Ginger TBC, Ginger Whole Dried, kalonji/nigella, Krishna tulsi (Ocimum sanctum), Krishna tulsi TBC-Ocimum basilicum), Lemon grass, Lemon Grass TBC, mango powder/ aamchur, Moringa Powder, Nutmeg (Shelled), Nutmeg Powder, Nutmeg whole, Onion Chopped , Onion Flakes, Onion granules, Onion minced, Onion Powder, Psyllium Husk Powder, Psyllium husk(isobgul), Rama tulsi (Ocimum sanctum), Red Chili Powder, Senna, Senna Leaves, Senna pods, Stevia/stevia rebaudiana powder, tamarind/imli (t.indica), Tulsi TBC/Tulsi TBC blend, Turmeric Flakes, Turmeric Powder, Turmeric TBC,Turmeric Whole Dried, Vana Tulsi (Ocimum gratissimum) , Wheatgrass powder, White Pepper, Sugar</t>
  </si>
  <si>
    <t>Other: Ajwain Powder, Ajwain/Bishop Weed Seed, Almond, Amaranth Flour, Amaranth/Amaranthus/Thotakura, Amla Powder, Amla TBC, Arhar Dal (Red Gram/Pigeon Pea), Ashwagandha Root, Ashwagandha Root Powder, Barley Whole, Basmati Rice-White / Basmati Rice, Bay Leaf, Bengal Gram Whole, Black Gram / Urd (Vigna sp), Black Gram Split White, Black Gram White Whole, Black Pepper, Black Pepper Powder, Black Pepper TBC, Brown Gram/Gram/Chan (Cicer Arietinum), Brown Rice, Cardamom Large (Black), Cashew Whole, Celery Seed, Chana Dal, Chickpea/Kabuli Chana (Garbanzo), Cinnamon, Cinnamon Bark TBC, Clove Powder, Cloves / Dried Clove, Coriander Powder, Coriander Seed Whole, Cowpea, Cumin Powder, Cumin Whole, Fennel / Saunf, Fenugreek, Fenugreek Powder (Methi Powder), Flax Seed, Garlic Flakes, Ginger Powder, Ginger TBC, Ginger Whole (Dried) / Ginger Whole, Gram Flour / Besan, Greem Gram Whole (Moong Sabut), Green Cardamom, Green Gram / Moong Dhuli, Groundnut / Peanut Oil (Edible Grade), Groundnut/Peanut, Hibiscus TBC, Jaggery, Kalonji/Nigella, Lentil, Mace, Maize (Corn), Maize /Corn Flour, Masoor Dal, Matki/Moth Bean, Moringa Powder, Moth Dal, Multi Grain Atta, Mustard, Nutmeg Powder, Nutmeg Whole, Onion (Dried) / Onion, Onion Powder, Orange Peel TBC / Sweet Orange Peel TBC, Pepper Long/Pippali (Piper Longum), Peppermint TBC, Pigeon Pea/Arhar Whole, Quinoa, Raisins/Kismis, Red Chilli (Whole), Red Chilli Flakes, Red Chilli Powder, Red Kidney Beans/Rajma (Phaseolus Vulgaris), Red Rice, Saffron, Sesame, Split Green Gram/Mooong (Vigna sp.), Split Lentil, Stevia Leaves Dried / Stevia, Sugar (Brown Natural), Sunflower Seed Oil / Sunflower Oil Edible Grade, Tamarind Concentrate, Tamarind Paste, Tamarind Powder (Imli), Turmeric Fingers, Turmeric Powder, Turmeric TBC, Urad Dal/Split Black Gram, Urad Dhuli, Walnuts, Wheat, Wheat Flour, Wheat Porridge /Dalia, White Pepper, Yellow Mustard, Yellow Mustard Powder</t>
  </si>
  <si>
    <t>Other: Custom Roasting of Organic Grains</t>
  </si>
  <si>
    <t>Other Grains, Pastas and Cereals: Rice (Basmati rice - brown), Rice (Basmati rice - white), Rice (Basmati rice - white (pusa 1121)), Rice (Non-basmati rice), Rice (Organic white pusa basmati rice), Rice (Parboiled basmati rice), Rice (Parboiled non basmati rice), Rice (Sona masuri rice)</t>
  </si>
  <si>
    <t>Trees/Whole Plant Products/Flowers: Seeds (Chia Seed White, Organic), Seeds (Milk Thistle Seed, Organic), Seeds (Milk Thistle Seed, Organic), Seeds (Cumin Seed, Organic Black); Seasonings: Cinnamon Ground, Organic; Preservatives/Extracts/Flavors: Extracts (Anise Extract, Organic), Extracts (Vanilla Extact, Organic), Extracts (Vanilla Extact, Organic), Powders (Ginger Powder, Organic), Powders (Yacon Powder, Organic), Powders (Carrot Powder, Organic); Other Grains, Pastas and Cereals: Canihua Grain, Organic, Oats (Oat Flour Gluten-Free, Organic), Oats (Oats Rolled Gluten-Free, Organic), Quinoa (Quinoa Grains (Black, Red, White), Organic), Quinoa (Quinoa Flour, Organic), Quinoa (Quinoa Grains (Black, Red, White), Organic), Quinoa (Quinoa White, Organic); Oils &amp; Oleoresins: Oils (Coconut Oil RBD, Organic), Oils (Sunflower Oil, High Oleic (RBDW), Organic), Oils (Sunflower Seed (Black Oil), Organic), Oils (Tigernut Oil, Organic), Oils (Coconut Oil RBD, Organic), Oils (Coconut Oil Virgin, Organic), Oils (Palm Shortening, Organic), Oils (Sesame Seed Oil Toasted, Organic), Oils (Coconut Oil Virgin, Organic); Nuts/Seeds: Almonds (Almonds (Blanched, Meal/Flour, Sliced, Whole), Organic), Almonds (Almonds (Blanched, Fine Diced (flour), Sliced, Whole), Organic), Cashew Nuts (Cashews, Organic), Cashew Nuts (Cashews, Organic), Chia Milled, Organic, Chia Milled, Organic, Chia Seed Black, Organic, Chia Seed Black, Organic, Flax Seed (Brown), Organic, Flax Seed (Gold), Organic, Flax Seed (Milled, Whole), Organic, Flax Seed (Milled, Whole), Organic, Flax Seed, Milled Organic, Hazelnut (Hazelnuts Diced, Organic), Hazelnut (Hazelnuts, Organic), Hazelnut (Hazelnut Paste, Organic), Hazelnut (Hazelnuts, Organic), Hemp Seed (Hulled, Protein Powder), Organic, Macadamia (Macadamia Nut, Organic), Nuts (Brazil Nuts, Organic), Nuts (Macadamia Nut, Organic), Peanuts (Peanuts Toasted, Organic), Peanuts (Peanuts, Organic), Pecans (Pecans Mammoth Halves, Organic), Pecans (Pecans Medium Pieces, Organic), Pine Nuts (Pinenuts, Organic), Pumpkin Seed Butter, Organic, Pumpkin Seeds Styrian, Organic, Pumpkin Seeds Styrian, Organic, Pumpkin Seeds, Organic, Pumpkin Seeds, Organic, Sesame Seed (Hulled, Natural), Organic, Sesame Seed Black, Organic, Sunflower Seeds, Organic, Sunflower Seeds, Organic, Sunflower Seeds, Organic, Tigernut Butter, Organic, Tigernut Butter, Organic, Tigernut Peeled, Organic, Tigernut Sliced, Organic, Tigernut, Organic, Walnuts (Walnuts, Organic), Walnuts (Walnuts, Organic); Health Products: Supplements (Sunflower Protein Powder, Organic); Fruits/Vegetables: Apples (Rings, Dices), Organic, Apples (Rings, Dices), Organic, Banana Paste, Organic, Banana Thick Cut, Organic, Berries (Goldenberries Dried, Organic), Berries (Mulberries Dried, Organic), Berries (Goji Berries Dried, Organic (Made in Nature)), Berries (Goji Berries Dried (Volupta), Organic), Berries (Goji Berries Dried, Organic), Cacao Liquor/Paste, Organic, Coconut (Chips, Creamed, Desiccated, Milk Powder), Organic, Coconut Chips, Organic, Coconut Chips, Organic, Coconut Cream, Organic, Coconut Cream, Organic, Coconut Desiccated, Organic, Coconut Desiccated, Organic, Coconut Nectar, Organic, Ginger Crystalized, Organic, Mango Dried, Organic, Mango Dried, Organic, Organic, Dragon Fruit (Pitahaya), Organic, Dragon Fruit (Pitahaya), Pineapple Rings Dried, Organic, Pineapple Rings Dried, Organic, Raisins, Organic, Raisins, Organic; Dry/Baking Goods: Confections (Cacao Nibs Sweetened w/ Yacon Syrup, Organic), Confections (Cacao Nibs Coated With Organic Coconut Palm Sugar, Organic), Flours and Meals (Tigernut Flour, Organic), Flours and Meals (Tapioca Flour/Starch, Organic), Flours and Meals (Quinoa Flour, Organic), Flours and Meals (Chia Flour, Organic), Flours and Meals (Coconut Flour, Organic), Flours and Meals (Tapioca Flour/Starch, Organic), Potato Starch, Organic, Powders (Acai Powder, Organic), Powders (Acerola Powder, Organic), Powders (Ashwagandha Powder, Organic), Powders (Coconut Milk Powder, Organic), Powders (Goji Berry Powder, Organic), Powders (Maquiberry Powder, Organic), Powders (Vanilla Powder Pure, Organic), Powders (Acai Powder, Organic), Powders (Pumpkin Seed Protein Powder (Raw, Toasted), Organic), Powders (Vanilla Powder Pure, Organic), Powders (Amla Powder, Organic), Powders (Beet Powder, Organic), Powders (Blueberry Powder, Organic), Powders (Cacao Powder, Organic), Powders (Dragon Fruit Powder, Organic), Powders (Green Banana Powder), Powders (Irish Moss Powder, Organic), Powders (Lemon Powder, Organic), Powders (Mesquite Powder, Organic), Powders (Organic, Maca Powder Gelatinized (Black, Red)), Powders (Organic, Strawberry Powder Freeze Dried), Powders (Pomegranate Powder, Organic), Powders (Pumpkin Fruit Powder, Organic), Powders (Raspberry Powder, Organic), Powders (Strawberry Powder, Organic), Powders (Sweet Potato Powder Organic), Powders (Wheatgrass Powder, Organic), Powders (Ashwagandha Powder, Organic), Powders (Banana Powder, Organic), Powders (Blueberry Powder, Organic), Powders (Cacao Powder, Organic), Powders (Camu Camu Powder, Organic), Powders (Chia Protein Powder, Organic), Powders (Chlorella Powder, Organic), Powders (Cinnamon Ground, Organic), Powders (Dragon Fruit Powder, Organic), Powders (Ginger Powder, Organic), Powders (Irish Moss Powder, Organic), Powders (Lemon Powder, Organic), Powders (Lucuma Powder, Organic), Powders (Maca Powder (Black, HP, Red, Yellow), Organic), Powders (Maca Powder Gelatinized, Organic), Powders (Maquiberry Powder, Organic), Powders (Mesquite Powder, Organic), Powders (Organic, Maca Powder Gelatinized (Black, Red)), Powders (Organic, Strawberry Powder Freeze Dried), Powders (Pea Fiber, Organic), Powders (Pea Protein, Organic), Powders (Pea Starch, Organic), Powders (Pomegranate Powder, Organic), Powders (Pumpkin Seed Protein Powder (Raw), Organic), Powders (Raspberry Powder, Organic), Powders (Sacha Inchi Protein Powder, Organic), Powders (Spirulina Powder, Organic), Powders (Strawberry Powder, Organic), Powders (Sweet Potato Powder Organic), Powders (Turmeric Powder, Organic/Turmeric Powder 5%, Organic), Powders (Wheatgrass Powder, Organic); Condiments and Sweeteners: Coconut Sugar, Organic, Coconut Sugar, Organic, Sweeteners (Monk Fruit Extract, Organic), Sweeteners (Stevia Extract, Organic), Sweeteners (Monk Fruit Extract, Organic), Sweeteners (Coconut Sugar, Organic), Sweeteners (Coconut Sugar, Organic), Sweeteners (Stevia Extract, Organic), Syrups (Yacon Syrup, Organic); Chocolate Goods: Cacao (Beans, Butter, Liquor/Paste, Nibs, Nibs Fine, Powder), Organic, Cacao Butter Deodorized, Organic, Chocolate (Chocolate Sweetened w/ Organic Coconut Palm Sugar (Chips &amp; Wafers), Organic); Other: Apple Cinnamon Filling, Bake Stable, Organic, Blueberry Filling, Bake Stable, Organic, Chickpea Organic, Mixed Berry Filling, Bake Stable, Organic, Psyllium Husk (Powder, Whole), Organic, Tahini, Organic, Tahini, Organic, Tigernut Flakes, Organic</t>
  </si>
  <si>
    <t>Animal Feed: Livestock Feed (Broiler Grower 18%), Livestock Feed (Calf Grower 16%), Livestock Feed (Calf Starter 14.5%), Livestock Feed (Chick Starter 21%), Livestock Feed (Custom Dairy Livestock Feed), Livestock Feed (Layer Feed 16%), Livestock Feed (Mixed Grains), Livestock Feed (Roasted Ground Soybeans), Livestock Feed (Soy-Can), Livestock Feed (Swine Grower 14%), Livestock Feed (Swine Grower 16%), Livestock Feed (Turkey Finisher 16%), Livestock Feed (Turkey Grower #1, 24%), Livestock Feed (Turkey Grower #2, 21%), Livestock Feed (Turkey Starter 26%)</t>
  </si>
  <si>
    <t>Other Grains, Pastas and Cereals: Cereal (Kiwicha), Quinoa (Black Quinoa, Red Quinoa, Tricolor Quinoa, White Quinoa); Other: Seeds (Chía)</t>
  </si>
  <si>
    <t>Other: Rice (Bulk - Milled Short &amp; Med Grain (White &amp; Brown), Milled Brokens (White &amp; Brown), Milled Brewers (White &amp; Brown), Rice Bran, Rice Hulls), Rice (No Current Production for This Brand), Rice Processing (Client Profile Products only) (Milling &amp; Storage)</t>
  </si>
  <si>
    <t>Other: Avocados, Flour (Flour Einkorn Organic T* 669392), Flour (Flour Manitoba Pastry Org T* 669413), Flour (Flour Org 00 All Pur 669412), Flour (Flour Org Semolina Cappeli T* 669427), Flour (Flour Organic 0 Multiuso T* 669406), Flour (Flour Organic 00 All Purpose 669405), Flour (Flour Organic 00 Pizza 669425), Flour (Flour Organic 00 Pizza T* 669428), Flour (Flour Organic Andina Retail 669445), Flour (Flour Organic Extra Fcy Durum 669399), Flour (Flour Organic Semolina - Italy 669401), Flour (Flour Organic Semolina Ret 669403), Flour (Flour Organic Whole Wheat 669459), Flour (Flour Semolina Organic 5kg T* 669451), Flour (Flour Semolina Whole Wheat Organic T* 669402), Flour (Flour Tipo 1 Stone Grd Organic 669409), Grains (Farro Spelta Whl Wht Organic T 744524), Honey (Acacia 686980), Honey (Chestnut Raw 600913), Honey (Honey Wild Flower Organic 686970), Honey (Hot Italian 600909), Honey (Orange 686990), Honey (Rosemary Italia 600919), Olive Oil (EVOO #1 DOP 714892), Olive Oil (EVOO #3 DOP 714901), Olive Oil (EVOO #5 DOP 714910), Pasta (Pasta Elicoidali Whole Wheat organic 810717), Pasta (Pasta Linguine Whole Wheat Organic 809789), Pasta (Pasta Penne WH Wheat Organic 810739), Pasta (Pasta Spaghetti Whole Wheat Organic 820951), Pasta (Pasta Spirali Whole Wheat Organic 811487), Tomato Products (Chopped Italian 983141), Tomato Products (Peeled Italian 983149)</t>
  </si>
  <si>
    <t>Trees/Whole Plant Products/Flowers: Other Trees/Whole Plant Products/Flowers - Allium Bulbs, Other Trees/Whole Plant Products/Flowers - Sweet Potato Slips, Transplants (Bayou Belle sweet potato), Transplants (Beauregard sweet potato), Transplants (Bonita sweet potato), Transplants (Covington sweet potato), Transplants (Evangeline sweet potato), Transplants (Murasaki sweet potato), Transplants (Potato Seedlings), Transplants (Purple Majesty sweet potato); Nuts/Seeds: Seeds (Artichoke Seeds), Seeds (Bean Seeds), Seeds (Beet Seeds), Seeds (Broccoli Seeds), Seeds (Brussels Sprouts Seeds), Seeds (Cabbage Seeds), Seeds (Carrot Seeds), Seeds (Cauliflower Seeds), Seeds (Celery &amp; Celeriac Seeds), Seeds (Chard Seeds), Seeds (Collard Seeds), Seeds (Corn Seeds), Seeds (Cotton Seeds), Seeds (Cover Crop Seeds), Seeds (Cucumber Seeds), Seeds (Eggplant Seeds), Seeds (Flower Seeds), Seeds (Gourd Seeds), Seeds (Grain Seeds), Seeds (Greens Seeds), Seeds (Herb Seeds), Seeds (Huckleberry Seeds), Seeds (Husk Tomato Seeds), Seeds (Leek Seeds), Seeds (Lettuce Seeds), Seeds (Melon Seeds), Seeds (Mustard Seeds), Seeds (Okra Seeds), Seeds (Onion Seeds), Seeds (Parsnip Seeds), Seeds (Pea (Southern) Seeds), Seeds (Pea Seeds), Seeds (Peanut Seeds), Seeds (Pepper Seeds), Seeds (Pumpkin Seeds), Seeds (Radish Seeds), Seeds (Rhubarb Seeds), Seeds (Rutabaga Seeds), Seeds (Salsify Seeds), Seeds (Sorghum Seeds), Seeds (Summer Squash &amp; Zucchini Seeds), Seeds (Sunflower Seeds), Seeds (Tomato Seeds), Seeds (Turnip Seeds), Seeds (Watermelon Seeds), Seeds (Winter Squash Seeds)</t>
  </si>
  <si>
    <t>Other: #Processing, packaging, and labeling of milled grains, Corn meal (Bloody Butcher, Blue Clarage, Kentucky Rainbow), Flour (einkorn, emmer, turkey red, whole grain spelt), Grits (Bloody Butcher, Blue Clarage, Kentucky Rainbow)</t>
  </si>
  <si>
    <t>Other Grains, Pastas and Cereals: Flours and Meals (Maize Flour, Rice Flour, Soybean Meal), Rice (White Jasmine Rice); Oils &amp; Oleoresins: Oils (Refined Canola Oil, Refined High Oleic Sunflower Oil), Oils (Crude Soybean Oil), Oils (RBD Coconut Oil - Infant Grade); Other: Storage of Certified Organic Products</t>
  </si>
  <si>
    <t>Other: Animal Feed (Screenings), Barley (Barley), Barley (Barley), Barley (Barley Flour), Barley (Barley Meal), Barley (Black Barley), Barley (Black Barley), Barley (Hull-less Barley), Barley (Hull-less Barley), Barley (Malted Barley), Barley (Malted Barley), Barley (Malted Barley Flour), Barley (Malted Barley Flour), Barley (Malting Barley Flour), Barley (Malting Barley Meal), Barley (Pearled Barley), Buckwheat (Buckwheat), Cleaning (Client Profile Products only) (Grain Cleaning), Corn (Blue Corn (Cracked, Flour, Grits, Meal)), Corn (Corn (Blue, Popcorn, Red, White, Yellow)), Corn (Corn (Blue, Popcorn, Red, White, Yellow)), Corn (Red Corn (Cracked, Flour, Grits, Meal)), Corn (White Corn (Cracked, Flour, Grits, Meal)), Corn (Yellow Corn (Cracked, Flour, Grits, Meal)), Feed (Feed Barley), Feed (Feed Peas -  No Current Production), Feed (Yellow Corn Hominy Feed), Flax Seed (Brown Flax Seed), Grains (Amaranth - No Current Production), Grains (Amaranth - No Current Production), Grains (Canola Meal), Grains (Emmer Farro), Grains (Red Sorghum), Grains (Safflower Meal), Grains (Sorghum), Grains (Sorghum (Black, Pearled, Popping, Red, White)), Grains (Sunflower Meal), Grains (White Sorghum), Millet (White), Millet (White), Millet (White, Pearled), Quinoa (Quinoa Flakes), Rice (White Arborio), Rice (Long Grain Brown) (Long Grain Brown Rice - No Current Production), Rice (Long Grain Brown) (Long Grain Brown Rice - No Current Production), Rice (Long Grain White) (Long Grain White Rice - No Current Production), Rice (Long Grain White) (Long Grain White Rice - No Current Production), Rice (Medium Grain Brown) (Medium Grain Brown Rice), Rice (Medium Grain Brown) (Medium Grain Brown Rice), Rice (Medium Grain) (Medium Grain White Rice), Rice (Medium Grain) (Medium Grain White Rice), Rice (Short Grain) (Brown - No Current Production), Rice (Short Grain) (White - No Current Production), Rice Flour (White Long Grain Rice - No Current Production), Rice Flour (Brown) (Long Grain Brown Rice Flour  - No Current Production), Rice Flour (Brown) (Medium Grain Brown Rice Flour), Rice Flour (White) (Medium Grain White Rice Flour), Rye (Rye), Rye (Rye), Rye (Rye Flour), Rye (Rye Meal), Safflower (Oleic Safflower), Safflower (Oleic Safflower), Soy Meal (Soybean Meal), Soybeans (Soybean (Black Hilum, Clear Hilum)), Soybeans (Soybean Enzyme Active Chips), Soybeans (Soybean Hulls, Bulk), Spelt (Spelt - No Current Production), Spelt (Spelt - No Current Production), Spelt (Spelt Flourt - No Current Production), Spelt (Spelt Meal - No Current Production), Sunflower Seed (High Oleic Sunflower), Sunflower Seed (Oleic Sunflower - No Current Production), Triticale (Triticale - No Current Production), Triticale (Triticale - No Current Production), Triticale (Triticale Flour - No Current Production), Triticale (Triticale Meal - No Current Production), Wheat (Hard Red Spring Wheat), Wheat (Hard Red Spring Wheat), Wheat (Hard Red Winter Wheat), Wheat (Hard Red Winter Wheat), Wheat (Hard Red Winter Wheat Flour), Wheat (Hard Red Winter Wheat Meal), Wheat (Hard White Wheat), Wheat (Hard White Wheat), Wheat (Hard White Wheat Flour), Wheat (Hard White Wheat Meal), Wheat (Millrun), Wheat (Millrun), Wheat (Soft White Wheat - No Current Production), Wheat (Soft White Wheat - No Current Production), Wheat Berries (Hard Red High Protein), Wheat Berries (Hard Red High Protein)</t>
  </si>
  <si>
    <t>Other: Garlic Seeds, Seed (Adaptive Seeds Cool Season Lettuce Mix), Seed (Alfalfa Seed), Seed (Allium, Leek Seed), Seed (Allium, Onion Seed), Seed (Amaranth Seed), Seed (Artichoke Seed), Seed (Aster - Light Blue Lady Coral ), Seed (Barley Seeds), Seed (Bean Seeds), Seed (Bean, Adzuki Seed), Seed (Bean, Black Seed), Seed (Bean, Bush Seed), Seed (Bean, Cowpea Seed), Seed (Bean, Dry), Seed (Bean, Fava Seed), Seed (Bean, Garbanzo Seed), Seed (Bean, Pole Dry Seed), Seed (Bean, Pole Snap Seed), Seed (Bean, Runner Seed), Seed (Bean, Snap), Seed (Bean, Soy Seed), Seed (Bean, Tepary Seed), Seed (Beet Seed), Seed (Brassica, Arugula Seed), Seed (Brassica, Broccoli Seed), Seed (Brassica, Brussels Sprout Seed), Seed (Brassica, Brussels Sprout Seed - CA), Seed (Brassica, Cabbage Seed), Seed (Brassica, Cauliflower Seed), Seed (Brassica, Collards Seed), Seed (Brassica, Kale Seed), Seed (Brassica, Mizspoona Seed), Seed (Brassica, Mustard Seed), Seed (Brassica, Pac Choi Seed), Seed (Brassica, Purple Sprouting Broccoli Seed), Seed (Brassica, Rutabaga Seed), Seed (Brassica, Rutabaga Seed - CA), Seed (Burdock Seed), Seed (Cardoon Seed), Seed (Carrot Seed), Seed (Carrot Seed - CA), Seed (Celeriac Seed), Seed (Celery Seed), Seed (Celery Seed (leaf)), Seed (Chard Seed), Seed (Chervil Seed), Seed (Chicory Seed), Seed (Chive Seed), Seed (Clover), Seed (Corn), Seed (Cress Seed), Seed (Cucumber Seed), Seed (Dill Seed), Seed (Eggplant Seed), Seed (Einkorn), Seed (Endive Seed), Seed (Epazote Seed), Seed (Escarole Seed), Seed (Fennel Seed), Seed (Flower, Bachelor Button Seed), Seed (Flower, Blanket Seed), Seed (Flower, Calendula Seed), Seed (Flower, Camas Seed), Seed (Flower, Campanula Seed), Seed (Flower, Coreopsis Seed), Seed (Flower, Cosmos Seed), Seed (Flower, Daisy Seed), Seed (Flower, Evening Primrose Seed), Seed (Flower, Painted Tounge Seed), Seed (Flower, Poppy Seed), Seed (Flower, Rose Campion), Seed (Flower, Sunflower Seed), Seed (Flower, Sweet Sultan Seed), Seed (Flower, Tobacco Seed), Seed (Flower, Zinnia Seed), Seed (Flowr Seed, Columbine), Seed (Garlic Seed), Seed (Grain, Buckwheat Seed), Seed (Grain, Flax Seed), Seed (Grain, Millet Seed), Seed (Grain, Quinoa Seed), Seed (Grain, Rye Seed), Seed (Grass / Legume / Forage Seed), Seed (Green Onion), Seed (Ground Cherry), Seed (Herb, Basil Seed), Seed (Herb, Borage Seed), Seed (Herb, Catnip Seed), Seed (Herb, Chamomile Seed), Seed (Herb, Cilantro Seed), Seed (Herb, Clary Sage Seed), Seed (Herb, Elecampane Seed), Seed (Herb, Horehound Seed), Seed (Herb, Lemonbalm Seed), Seed (Herb, Marshmallow Seed), Seed (Herb, Mint Seed), Seed (Herb, Mugwort Seed), Seed (Herb, Parsley Seed), Seed (Herb, Tobacco Seed), Seed (Herb, Valerian Seed), Seed (Herb, Yarrow Seed), Seed (Hollyhock Seed), Seed (Kohlrabi), Seed (Lettuce Seed), Seed (Lettuce Seed, Corn Salad), Seed (Lovage Seed), Seed (Marigold Seed), Seed (Melon Seed), Seed (Misc Greens Seed), Seed (Mix, Bird Food Bonanza), Seed (Mix, Bitter is Better), Seed (Mix, Pollinator Party), Seed (Monarda - Lemon Bergamot), Seed (Mullein Seeds), Seed (Nappa Cabbage), Seed (Nasturtium Seed), Seed (Okra Seed), Seed (Oregano Seed), Seed (Pak Choi), Seed (Parsnip Seed), Seed (Pea Seed), Seed (Pepper Seed), Seed (Popcorn), Seed (Radicchio Seed), Seed (Radish Seed), Seed (Salsify Seed), Seed (Scorzonera Seed), Seed (Shallot Seed), Seed (Sorrel Seed), Seed (Spinach Seed), Seed (Summer Fun Salad Mix), Seed (Summer Salad Mix), Seed (Summer Squash Seed), Seed (Superior Licorice Mint), Seed (Teff Seed), Seed (Tomatillo Seed), Seed (Tomato Seed), Seed (Turnip Seed), Seed (Watermelon Seed), Seed (Wheat Seed), Seed (Winter Squash Seed), Seed (Yukina Savory), Seed (Zucchini Seed), Seed (Zucchini Seed - CA)</t>
  </si>
  <si>
    <t>Trees/Whole Plant Products/Flowers: Seeds (MILLET); Other Grains, Pastas and Cereals: Barley, CANOLA SEED, Cereal (RYE), CORN, Oats (OAT), POPCORN, Sorghum, SUNFLOWER, Wheat, Wheat (BUCKWHEAT); Nuts/Seeds: FLAX; Fruits/Vegetables: Beans (PEA), Beans (BEAN), Beans (SOYBEAN), Beans (VETCH)</t>
  </si>
  <si>
    <t>Other: Acorn Squash, Arugula, Asian Eggplant, Baby Bok Choi, Baby Fennel, Bunched, Baby Kale, Baby Kale Mix, Baby Lettuce, Baby Spinach, Baby Tat Soi, Bagged Fingerling Potatoes, Basil, Basil Bunch, Basil Plants, Beefsteak Tomatoes, Beet Bunch, Beet Greens, Blueberries, Bok Choy, Boston Lettuce, Braising Greens, Broccoli, Broccolini, Brussels Sprouts, Buttercup Squash, Butternut Squash, Calico Bell Pumpkin (Decorative), Caraflex Cabbage, Carrot Bunch, Carrots, Cauliflower, Celeriac, Celery, Celery, Bunched, Cherry Tomatoes, Chives, Chives Plants, Cilantro, Claytonia, Cold storage, Collard Greens, Colorful Bell Peppers, Curly Parsley, Curly Parsley Plants, Daikon Radish, Daikon Radish, Bunch, Daikon Radish, Loose, Daybreak Orange Pumpkin (Decorative), Delicata Squash, Dill, Dragon Tongue Beans, Dry storage, Elderberries, Escarole, Fennel, Filet Beans, Fingerling Potatoes, Flat Leaf Parsley Plants, Flatleaf Parsley, Flower Bouquet, French Breakfast Radish, French Breakfast Radish Bunch, Fringe Lavendar Plants, Frozen Blueberries, Garlic Chives, Garlic Scapes, Garlic, Hardneck, Gilfeather Turnip, Gold Beet, Gold Beet Bunch, Golden Beets, Loose, Gourmet Lettuce Mix, Green &amp; Pink Celery, Green Beans, Green Bell Peppers, Green Butterhead Lettuce, Green Cabbage, Green Curly Kale, Green Italian Sweet Peppers, Green Kale, Green Leaf Head Lettuce, Green Leaf Lettuce, Green Peppers, Green Tomatoes, Green Zucchini, Ground Beef, Hakurei Turnips, Hakurei Turnips, Loose, Heirloom Eggplant, Heirloom Tomatoes, Honeynut Squash, Hybrid-Heirloom Slicing Tomatoes, Iceberg Head Lettuce, Italian Basil, Italian Eggplant, Jalapeno, Japanese Eggplant, Japanese Slicing Cucumbers, Kale Mix, Kale Tops (loose), Lacinato, Kale Tops(loose), Green, Lacinato Kale, Lavendar Plants, Lavender, Leeks, Lemon Thyme Plants, Lettuce Heads, Little Gem Head Lettuce, Lunchbox Peppers, Marjoram, Marjoram Plants, Mesclun Mix, Mini Gem Lettuce, Mini Leaf Lettuce, Mint, Mixed Cherry Tomatoes, Mixed Head Lettuce, Mixed Kale, Mixed Seconds Tomatoes, Mixed Sweet Peppers, Mixed Zucchini and Summer Squash, Moonlight White Pumpkin (Decorative), Mustard Greens, Napa Cabbage, Okra (Red &amp; Green), Orange Peel Gourd (Decorative), Oregano, Oregano Plants, Other: Frozen Storage, Other: Transport, Pac Choi, Painted Mountain Grain Corn, Parsley, Parsnip, Paste Tomatoes, Patty Pan Squash, Pea Shoots, Peppermint Plants, Peter Wilcox Potato (Purple Skin/Yellow Flesh), Pickling Cucumbers, Pineapple Sage Plants, Poblano Peppers, Purple Basil, Purple Bell Peppers, Purple Curly Kale, Purple Daikon Radish, Purple Eggplant, Purple Kohlrabi, Purple Top Turnip, Purple-Top Turnip, Radicchio, Radish, Black, Radish, Mini Purple Daikon, Radishes, Rainbow Chard, Rainbow Chard, Baby, Rainbow Chard, Bunch, Red &amp; White Onions, Fresh, Red Beets, Red Beets, Loose, Red Bell Peppers, Red Bok Choi, Red Butter Head Lettuce, Red Cabbage, Red Curly Kale, Red Leaf Lettuce, Red Onions, Red Potatoes, Red Radish, Red Radishes, Bunched, Red Russian Kale, Red Slicing Tomatoes, Red Summer Crisp Lettuce, Red Swiss Chard Bunch, Rhubarb, Romaine Lettuce, Rosemary, Rosemary Plants, Rutabaga, Sage, Salad Greens, Salad Mix, Salad Turnips, Scallions, Scarlet Turnip, Serrano Peppers, Shallots, Shishito Peppers, Slicing Cucumbers, Snow Peas, Spaghetti Squash, Spearmint Plants, Spinach, Spring Mix Lettuce, Sugar Snap Peas, Sungold Cherry Tomatoes, Sweet Corn, Bi-Color, Sweet Italian Frying Peppers, Tarragon Plants, Thin-Skinned Cucumber, Thyme, Thyme Plants, Tokyo Bekana, Tomatillos, Tomatoes, Beefsteak, Tomatoes, Premium, Tomatoes, Utility/Seconds, Turnips, Watermelon, Watermelon Radish, Watermelon Radish, Loose, White Scallions, Yellow Beans, Yellow Onions, Yellow Squash, Yellow Summer Squash, Yukon Gem Potatoes, Yukon Gold Potato</t>
  </si>
  <si>
    <t>Other: Basmati Rice / Basmati Rice Seasoned With cloves And Cardamom, Brown Basmati Rice, Brown Rice, Brown Rice &amp; Ancient Grains, Brown Rice &amp; Quinoa, Cilantro Lime Flavored Rice, Coconut Chili Lime Rice, Restaurant Style Basmati Rice, White And Red Quinoa Blend, Whole Grain Brown Rice</t>
  </si>
  <si>
    <t>Other: Alfalfa (Alfalfa Meal), Alfalfa (Alfalfa Pellets), Almond Hulls Livestock Feed, Barley, Barley Flour, Canola Meal, Canola Oil, Canola Oil (Crude Canola Oil), Canola Oil (RBD Canola Oil), Chicken Fat, Corn, Cottonseed, Cottonseed (Pima Cottonseed), Cottonseed (Upland Cottonseed), Dried Distillers Grains, Flax, Garbanzo Beans, Kelp (Kelp Meal), Kelp Livestock Feed (Kelp Meal), Livestock Feed - Corn, Livestock Feed - Flax Meal, Livestock Feed - Hominy, Livestock Feed - Hominy (Corn), Livestock Feed - Wheat Midds, Livestock Pellets - Alfalfa, Millet, Milo, Oat Flour, Oats, Okara, Peas, Rye Flour, Safflower Meal, Screenings Livestock Feed, Screenings Livestock Feed (Bean), Screenings Livestock Feed (Feed Pellet from Screenings), Screenings Livestock Feed (Flax Screenings), Screenings Livestock Feed (Middlings/Screenings), Screenings Livestock Feed (Mixed Grain Screenings), Screenings Livestock Feed (Pea Screenings), Screenings Livestock Feed (Rye Seed Screenings), Sesame Meal, Soybean Hulls, Soybean Meal, Soybean Oil, Soybeans, Sunflower Meal, Sunflower Meal, Tapioca Starch, Wheat, Wheat Bran, Wheat Flour, Wheat Millrun Pellets</t>
  </si>
  <si>
    <t>Other: Brokering (9 Fruit and Veggie Blend), Brokering (Acai), Brokering (Acai Powder), Brokering (Adobo Blend), Brokering (Agaricus (Agaricus blazei)), Brokering (Al Pastor Street Taco Seasoning (4031)), Brokering (Alfalfa Extract), Brokering (Alfalfa Powder), Brokering (Allspice), Brokering (Allspice), Brokering (Almond Mushroom Powder), Brokering (Aloe Vera Extract), Brokering (Aloe Vera Leaf PDS 100X), Brokering (Aloe Vera Leaf PDS 200X), Brokering (Amla Powder), Brokering (Angelica Root Powder), Brokering (Anise Seed), Brokering (Anise Seed), Brokering (Annatto), Brokering (Annatto), Brokering (Antrodia (Antrodia camphorata)), Brokering (Apple Cider Vinegar Powder), Brokering (Apple Fruit Powder), Brokering (AppleActiv DAPP Powder), Brokering (Arrowroot), Brokering (Arrowroot), Brokering (Artichoke Powder), Brokering (Ashwaganda Powder), Brokering (Ashwaganda Powder Granular), Brokering (Ashwagandha), Brokering (Ashwagandha), Brokering (Astragalus Root), Brokering (Astragalus Root Extract), Brokering (Astragalus Root Powder), Brokering (Barbacoa Street Taco Seasoning), Brokering (Basil), Brokering (Basil), Brokering (Bay Leaf), Brokering (Bay Leaf), Brokering (Beauty Matrix), Brokering (Beet), Brokering (Beet Root Extract), Brokering (Beet Root Powder), Brokering (Bell Pepper - Green), Brokering (Bell Pepper - Green), Brokering (Bell Pepper - Red), Brokering (Bell Pepper - Red), Brokering (Black Cohosh Powder), Brokering (Black Pepper Extract), Brokering (Black Pepper Grinder), Brokering (Black Pepper Oil), Brokering (Black Pepper Oleoresin), Brokering (Black Pepper Powder), Brokering (Black Tea Extract), Brokering (Blend NSG-82823), Brokering (Blueberry Extract), Brokering (Blueberry Juice Powder), Brokering (Blueberry Juice Powder), Brokering (Brain MD Smart Mushroom Blend), Brokering (Broccoli), Brokering (Broccoli), Brokering (Broccoli Powder), Brokering (Brown Rice Milk Powder - Oryz-O-Lait), Brokering (Burdock Root Extract), Brokering (Burdock Root Powder), Brokering (Buttermilk Powder), Brokering (Camu Camu Powder), Brokering (Cane Sugar - Light), Brokering (Cane Sugar, Dark), Brokering (Cane Sugar, Dark), Brokering (Cane Sugar, Extra Light), Brokering (Cane Sugar, Extra Light), Brokering (Cane Sugar, Golden), Brokering (Cane Sugar, Golden), Brokering (Cane Sugar, Light Golden), Brokering (Cane Sugar, Light Golden), Brokering (Capsicum Oleoresin), Brokering (Capsicums), Brokering (Caraway Seed), Brokering (Caraway Seed), Brokering (Cardamom), Brokering (Cardamom), Brokering (Cardamom Oil), Brokering (Carne Asada Street Taco Seasoning (4030)), Brokering (Carnitas Street Taco Seasoning (4032)), Brokering (Carrot), Brokering (Carrot), Brokering (Carrot Granules), Brokering (Carrot Powder), Brokering (Celery Powder), Brokering (Celery Seed), Brokering (Celery Seed), Brokering (Chaga (Inonotus obliquus)), Brokering (Chaga Mushroom Powder), Brokering (Chamomile), Brokering (Chamomile), Brokering (Chamomile Extract), Brokering (Chamomile Powder), Brokering (Chaste Berry Powder), Brokering (Chia Seed Powder), Brokering (Chia Seeds), Brokering (Chicken Fajita Seasoning (4005)), Brokering (Chicken Tinga Street Taco Seasoning (4034)), Brokering (Chili - Aji Amarillo), Brokering (Chili - Aji Panco), Brokering (Chili - Aji Panco), Brokering (Chili - Ancho), Brokering (Chili - Ancho), Brokering (Chili - Bird's Eye), Brokering (Chili - Cayenne), Brokering (Chili - Chipotle), Brokering (Chili - Ghost), Brokering (Chili - Green), Brokering (Chili - Green), Brokering (Chili - Habanero), Brokering (Chili - Jalapeno), Brokering (Chili - Paprika), Brokering (Chili - Paprika Smoked/Roasted), Brokering (Chili - Red), Brokering (Chili - Roasted), Brokering (Chili Seasoning (4006)), Brokering (Chives), Brokering (Chives - Freeze Dried), Brokering (Chives - Freeze Dried), Brokering (Cilantro), Brokering (Cilantro), Brokering (Cinnamon), Brokering (Cinnamon (Cassia)), Brokering (Cinnamon (Cassia)), Brokering (Cinnamon Oil), Brokering (Cinnamon Oleoresin), Brokering (Cinnamon Powder), Brokering (Clove Bud Oil), Brokering (Clove Bud Oleoresin), Brokering (Clove Leaf Oil), Brokering (Clove Stem Oil), Brokering (Cloves), Brokering (Cloves), Brokering (Cloves Powder), Brokering (Cocoa), Brokering (Cocoa/Cocoa Powder), Brokering (Coconut MCT Oil), Brokering (Coconut Milk Powder), Brokering (Coconut Oil RBD), Brokering (Coleus Forskohlii Powder), Brokering (Cordyceps (Cordyceps militaris)), Brokering (Cordyceps (Cordyceps sinensis)), Brokering (Cordyceps Militaris Mushroom Powder), Brokering (Cordyceps Powder), Brokering (Cordyceps Sinensis Mushroom Powder), Brokering (Coriander), Brokering (Coriander), Brokering (Corn Flour), Brokering (Corn Flour), Brokering (Corn Starch), Brokering (Cranberry Extract), Brokering (Critical Care Matrix), Brokering (Cucumber Powder), Brokering (Cumin), Brokering (Cumin Seed), Brokering (Customer Blend (6002055)), Brokering (Customer Blend (6002056)), Brokering (Customer Blend (6002057)), Brokering (Dahl Seasoning (4009)), Brokering (Daily Life Essentials Matrix), Brokering (Dandelion Root), Brokering (Dandelion Root), Brokering (Dandelion Root Powder), Brokering (Dehydrated Beech Mushrooms Fruit Bodies), Brokering (Dehydrated King Trumpet Mushroom Fruit Bodies), Brokering (Dehydrated Maitake Mushroom Fruit Bodies), Brokering (Dehydrated Reishi Fruitbody), Brokering (Dill Seeds), Brokering (Dill Weed), Brokering (Dill Weed), Brokering (Distilled Vinegar 110 Grain), Brokering (Distilled Vinegar 120 Grain), Brokering (DLE - Canada Mushroom Blend), Brokering (Dried Oat Protein - AvenOlait), Brokering (Dulse), Brokering (Echinacea Powder), Brokering (Elderberry), Brokering (Elderberry Extract), Brokering (Elderberry Powder), Brokering (Elecampane Powder), Brokering (Eucalyptus Leaves), Brokering (Everything Bagel (4042)), Brokering (Fennel), Brokering (Fennel), Brokering (Fennel Powder), Brokering (Fenugreek), Brokering (Fenugreek), Brokering (Fenugreek Powder), Brokering (Fish Taco (4024)), Brokering (Fit Matrix), Brokering (Flax Seed Powder), Brokering (Flo-Guard), Brokering (Garcinia Cambogia Powder), Brokering (Garcinia Extract), Brokering (Garlic), Brokering (Garlic), Brokering (Garlic - Roasted), Brokering (Garlic - Roasted), Brokering (Garlic Extract), Brokering (Garlic Seasoning Salt (4023)), Brokering (Garlic Seasoning Salt (4041)), Brokering (Gelatinized Maca Powder), Brokering (Ginger), Brokering (Ginger), Brokering (Ginger Oil), Brokering (Ginger Oleoresin), Brokering (Gingko Biloba Leaf), Brokering (Ginkgo Leaf Extract), Brokering (Glycerine), Brokering (Gochugaru), Brokering (Goji (Wolfberry) Extract), Brokering (Green Coffee Bean Extract), Brokering (Green Tea Extract), Brokering (Green Tea Powder), Brokering (Guacamole Mix (4004)), Brokering (Hawthorn Berry Powder), Brokering (Hemp - Hulled), Brokering (Hemp Protein - Cannatein 58%), Brokering (Hemp Protein - Cannatein 58%), Brokering (Hemp Protein - Cannatein Plus 68%), Brokering (Hemp Protein - Cannatein Plus 68%), Brokering (Hibiscus), Brokering (Himalayan Pink Seasoning Salt - Chicken), Brokering (Himalayan Pink Seasoning Salt - Fish Grinder), Brokering (Himalayan Pink Seasoning Salt - Steak Grinder), Brokering (Himalayan Pink Seasoning Salt - Veggie), Brokering (Horseradish), Brokering (Horseradish), Brokering (Horsetail Powder), Brokering (Hot Wing Seasoning (4017)), Brokering (Immune Matrix), Brokering (Indian Grill Seasoning), Brokering (Inulin), Brokering (Italian Dressing), Brokering (JiaBlend Organic Greens), Brokering (JiaBlend Organic Reds), Brokering (Juniper), Brokering (Juniper), Brokering (Kale), Brokering (Kale), Brokering (Kansas CIty BBQ Seasoning), Brokering (Kelp), Brokering (King Trumpet (Pleurotus eryngii)), Brokering (King Trumpet Mushroom Powder), Brokering (Konjac Powder), Brokering (Lavender), Brokering (Lavender), Brokering (Lavender Extract), Brokering (Lemon), Brokering (Lemon), Brokering (Lemon - Dehydrated), Brokering (Lemon Balm), Brokering (Lemon Balm), Brokering (Lemongrass), Brokering (Lemongrass Oil), Brokering (Lentinula Edodes), Brokering (Licorice (Glyzyrrhiza glabra)), Brokering (Lime Juice - Powder), Brokering (Lime Oil Distilled), Brokering (Lion's Mane (Hericium erinaceus)), Brokering (Lion's Mane Mushroom Extract), Brokering (Lion's Mane Mushroom Powder), Brokering (Lucuma), Brokering (M2I Focus Blend), Brokering (M2i Multi Species Blend), Brokering (Maca), Brokering (Maca Extract), Brokering (Maca Powder), Brokering (Maca Root Gelatinized Powder), Brokering (Maca Root Powder), Brokering (Mace), Brokering (Mace), Brokering (Maitake (Grifola frondosa)), Brokering (Maitake Mushroom Powder), Brokering (Maltodextrin), Brokering (Maltodextrin), Brokering (Marjoram), Brokering (Marjoram), Brokering (Marshmallow Extract), Brokering (Marshmallow Powder), Brokering (Matcha Powder), Brokering (Milk Thistle), Brokering (Milk Thistle Extract), Brokering (Milk Thistle Extract P.E. 80%), Brokering (Milk Thistle Powder), Brokering (Monk Fruit Extract), Brokering (Monk Fruit/Siratia Grosvenorii Extract), Brokering (Moringa), Brokering (Moringa Leaf Powder), Brokering (Moringa Powder), Brokering (Mulberry Leaf Powder), Brokering (Mustard Seed - Brown), Brokering (Mustard Seed - Brown), Brokering (Mustard Seed - Yellow), Brokering (Mustard Seed - Yellow), Brokering (Neem Leaf Powder), Brokering (Nettle), Brokering (Nettle Powder), Brokering (Noni Powder), Brokering (Nori), Brokering (Nu-Bake), Brokering (Nu-Bind), Brokering (Nu-Flac Tea Cut), Brokering (Nu-Flow), Brokering (Nu-Mag), Brokering (Nu-Rice), Brokering (Nu-SORP Oil), Brokering (Nu-SORP Water), Brokering (Nutmeg), Brokering (Nutmeg), Brokering (Nutmeg Oil), Brokering (Nutmeg Oleoresin), Brokering (Oat Grass Powder), Brokering (Oats (Avena Sativa) Powder), Brokering (Olive Leaf Powder), Brokering (Onion), Brokering (Onion), Brokering (Onion - Green), Brokering (Onion - Green), Brokering (Onion Dip (4015)), Brokering (Orange - Dehydrated), Brokering (Orange Juice Powder), Brokering (Orange Peel), Brokering (Orange Peel), Brokering (Oregano), Brokering (Oregano), Brokering (Oregano - Mexican), Brokering (Oregano - Mexican), Brokering (Papaya Leaves), Brokering (Parsley), Brokering (Parsley), Brokering (Pea Protein), Brokering (Pea Protein), Brokering (Pea Protein Powder), Brokering (Pepper Medley Grinder (4021)), Brokering (Peppercorn - Red/Pink), Brokering (Peppercorn - Red/Pink), Brokering (Peppercorn - White), Brokering (Peppercorn - White), Brokering (Peppercorns - Black), Brokering (Peppercorns - Black), Brokering (Peppercorns - Green), Brokering (Peppercorns - Green), Brokering (Peppermint), Brokering (Peppermint Extract), Brokering (Peppermint Powder), Brokering (Phycocyanin), Brokering (Pineapple Juice Powder), Brokering (Pomegranate Juice Powder), Brokering (Poppy Seeds), Brokering (Poppy Seeds), Brokering (Potato Flour), Brokering (Psyllium Husk), Brokering (Psyllium Husk), Brokering (Psyllium Husk Powder), Brokering (Psyllium Powder), Brokering (Pumpkin Fruit Powder), Brokering (Pumpkin Seed Protein - Cucurbotein OT59), Brokering (Pumpkin Seed Protein - Cucurbotein OT65), Brokering (Quinoa Coarse Flour), Brokering (Ranch Mix), Brokering (Raspberry), Brokering (Raspberry Powder), Brokering (Red Clover), Brokering (Red Clover), Brokering (Red Clover Extract), Brokering (Red Clover Powder), Brokering (Red Peony Root Powder), Brokering (Reishi (Ganoderma lucidum)), Brokering (Reishi Extract), Brokering (Reishi Mushroom Powder), Brokering (Reishi Powder), Brokering (Restore Matrix), Brokering (Rhodiola Extract), Brokering (Rhodiola Powder), Brokering (Rhodiola Rosea Extract), Brokering (Rhodiola Rosea Powder), Brokering (Rice Hulls Ground), Brokering (Rice Hulls Raw), Brokering (Rice Protein - Oryzatein Original 80%), Brokering (Rice Protein - Oryzatein Original 90%), Brokering (Rice Protein - Oryzatein Silk 80%), Brokering (Rice Protein - Oryzatein Silk 90%), Brokering (Rice Protein - Oryzatein Ultra 80%), Brokering (Rice Protein - Oryzatein Ultra 90%), Brokering (Rice Protein Powder), Brokering (Roasted Veggie (4025)), Brokering (Rooibos), Brokering (Rose Hip Extract), Brokering (Rose Hip Powder), Brokering (Roselle Extract), Brokering (Rosemary), Brokering (Rosemary), Brokering (Sacha Inchi Protein - Incatein), Brokering (Saffron), Brokering (Sage), Brokering (Sage), Brokering (Sarsaparilla), Brokering (Savory), Brokering (Schisandra Extract), Brokering (Schisandra Powder), Brokering (Sea Buckthorn Powder), Brokering (Senna), Brokering (Sesame Seed - Oil), Brokering (Sesame Seed - Oil, Toasted), Brokering (Sesame Seeds - Black Hulled), Brokering (Sesame Seeds - Black Hulled), Brokering (Sesame Seeds - Toasted, White Hulled), Brokering (Sesame Seeds - Toasted, White Hulled), Brokering (Sesame Seeds - White Hulled), Brokering (Sesame Seeds - White Hulled), Brokering (Shatavari Powder), Brokering (Shiitake), Brokering (Shiitake (Lentinula edodes)), Brokering (Shiitake Mushroom Powder), Brokering (Shiitake-Maritake Blend), Brokering (Shredded Beef Seasoning (4001)), Brokering (Shrimp and Fish Seasoning (4003)), Brokering (Siberian Ginseng Extract), Brokering (Siberian Ginseng Powder), Brokering (Sloppy Joe Seasoning (4007)), Brokering (Southwest Ranch Dressing (4028)), Brokering (Spearmint), Brokering (Spearmint), Brokering (Spicy Chili (4027)), Brokering (Spicy Taco (4026)), Brokering (Spinach), Brokering (Spinach), Brokering (Spinach Powder), Brokering (Spirulina), Brokering (Spirulina Extract), Brokering (Spirulina Powder), Brokering (Star Anise), Brokering (Star Anise), Brokering (Star Anise Whole), Brokering (Stevia Extract), Brokering (Stevia Powder), Brokering (Strawberry Juice Powder), Brokering (Sugar, Brown Light), Brokering (Sugar, Brown Light), Brokering (Sugar, Light Brown), Brokering (Sugar, Maple), Brokering (Sugar, Maple), Brokering (Sumac), Brokering (Sunflower Oil), Brokering (Super Immune Complex Blend), Brokering (Superfoods More Golden), Brokering (Superfoods Psyllium Husk Powder), Brokering (Superfoods Ravin Red), Brokering (Superfoods Super Greens), Brokering (Taco Seasoning (4000)), Brokering (Tarragon), Brokering (Tarragon), Brokering (Thyme), Brokering (Thyme), Brokering (Tomato), Brokering (Tomato Flake), Brokering (Tomato Powder), Brokering (Tulsi (Holy Basil)), Brokering (Turkey Tail (Trametes versicolor)), Brokering (Turkey Tail Mushroom Powder), Brokering (Turmeric), Brokering (Turmeric), Brokering (Turmeric Oil), Brokering (Turmeric Powder), Brokering (Valerian Root), Brokering (Valerian Root Extract), Brokering (Valerian Root Powder), Brokering (Veggie Fajita Seasoning (4002)), Brokering (Virgin Coconut Oil), Brokering (Wheat Grass), Brokering (Wheat Grass Juice Powder), Brokering (Wheat Grass Powder), Brokering (White Vinegar Powder), Brokering (White Willow Bark Powder), Brokering (Whole Grain Brown Rice Concentrate - Oryzatein SG-BGN), Brokering (Yeast Extract)</t>
  </si>
  <si>
    <t>Other Grains, Pastas and Cereals: Seed Corn; Other: Cleaning, Conditioning, Grading, Treating, Bagging &amp; Boxing Seed Corn</t>
  </si>
  <si>
    <t>Nuts/Seeds: Chia; Other: CAÑIHUA GRAIN, Kiwicha grains, Quinoa, Quinoa Flake, Quinoa flour</t>
  </si>
  <si>
    <t>Other: Cowpea / Black Eye Beans, Flax Seed, Flax/Linseed Meal, Ginger Whole / Ginger, Maize (Corn), Maize Grain, Mustard Meal, Mustard Seed, Natural Sesame Seed/Sesame Seed, Sesame Meal, Sesame Seed Oil / Sesame Seed Crude Oil, Soyabean/Soybean Meal, Soybean, Soybean Oil / Soyabean Oil / Soybean Crude Oil, Wheat Flour, Wheat Grain</t>
  </si>
  <si>
    <t>Other Grains, Pastas and Cereals: Sorghum; Nuts/Seeds: Flax; Other: Chickpeas, Green Peas, Lentils, Soybeans, Wheat, White Corn, Yellow Corn, Yellow Peas</t>
  </si>
  <si>
    <t>Other Grains, Pastas and Cereals: Barley (Barley), Canola Meal, Canola Seed, Corn, Flaxseed, Flaxseed Meal, Oats (Oats), Peas, Rice Protein Concentrate, Sesame Meal, Soybean Hulls, Soybean Meal, Soybeans, Sunflower Meal, Wheat (Wheat), Wheat (Wheat Midds)</t>
  </si>
  <si>
    <t>Other: Amaranth Seed/ Ram Dhana, Chickpea/Kabuli Chana (Garbanzos), Cooked/ Roasted/ Cracked Corn, Coriander, Fennel/Saunf, Flax Seed OIil, Flax/Linseed Meal, Flaxseed, Glycerine, Green Gram Whole (Moong Sabut), Green Gram/Moong Dhuli, Groundnut Meal, Groundnut/Peanut, Groundnut/Peanut Oil (Crude), Lentil, Lentil Dal, Low Fat Soybean Flour, Maize Grain, Moong Dal-Split With Shell/Moong Dal Chhilka, Mustard, Mustard Meal, Mustard Oil (Refined), Rapeseed, Rapeseed Meal, Rapeseed Oil, Sesame Meal, Sesame Oil/Gingelly Oil, Sesame/Sesamum, Soy/Soyabean Oil, Soya Lecithin, Soyabean/Soybean Meal, Soyabean/Soybean Meal-Expeller var., Soyabean/Soybean White, Soybean Grits, Soybean/Soyabean Oil, Sunflower Meal, Sunflower Oil: Edible Grade, Sunflower Seed, Tur/Toor/Arhar Dal, Wheat, Wheat Flour</t>
  </si>
  <si>
    <t>Processed  Items: Dehydrated Foods (Dehydrated Garlic, Dehydrated Onion, Lemon, Lemon Dehydrated, Lemon Peel), Dehydrated Orange; Other Grains, Pastas and Cereals: Cereal (Maize - Seeds, Sweet Maize - Seeds); Nuts/Seeds: Seeds (Caraway Seeds); Health Products: Herbs (Anise Seeds - Ground, Powder, TBC, Basil - Crushed, Leaves, Powder, TBC, Ground, Calendula - Flowers, Petals, Chamomile - Flowers, Pollen, TBC, Whole, Cut, Chili, Cilantro - Leaves, Crushed, Clover, Coriander Seeds, Cumin - Seeds, Ground, Dill - Seeds, Weeds, Echinacea - Whole, Fennel Seeds, Fenugreek - Seeds, Ground, Hibiscus - Flowers, Lemon Balm - Leaves, Lemon Verbena - Leaves, Lemongrass - Leaves, Liquorice Roots, Marjoram Leaves - Whole, Moringa Leaves - Whole, Nettle Leaves, Nigella Seeds, Oregano Leaves, Parsley - Leaves, TBC, Powder, Granules, Peppermint - Crushed, Leaves, TBC, Rose Petals - Whole, Powder, TBC, Rosemary Leaves - Whole, Powder, TBC, Sage Leaves - Whole, Powder, TBC, Savory, Senna - Leaves, Pods, Spearmint Leaves - Crushed, TBC, Thyme - Leaves, Whole, Powder, TBC); Fruits/Vegetables: Vegetables (Celery - Seeds, Leaves, Dehydrated Leek, Dehydrated/Dried Beetroot - Powder, Slices); Fiber Textiles: Jute (Jew's Mallow - Leaves, Whole); Animal Feed: Livestock Feed (Alfa alfa - Leaves, Powder); Other: Seeds (Sesame Seeds)</t>
  </si>
  <si>
    <t>Other: Apple cider vinegar, Blueberry Vinegar, Granulated powder blueberry (dried), Plant production and propagation, Semilla de maíz, Semilla de zapallo</t>
  </si>
  <si>
    <t>Other: Corn (Bran), Corn (Stabilized Bran), Corn Flour (Degerminated White), Corn Flour (Degerminated White, Pregelatinized), Corn Flour (Degerminated Yellow), Corn Flour (Degerminated Yellow, Pregelatinized), Corn Flour (Whole grain yellow), Corn Flour (Whole grain yellow, Pregelatinized), Corn Germ, Corn Germ (Stabilized), Corn Grits (Degerminated White), Corn Grits (Degerminated Yellow), Corn Grits (Whole Grain), Cornmeal, Cornmeal (Corn Cones), Cornmeal (Degerminated White), Cornmeal (Degerminated Yellow), Cornmeal (Snackmeal), Cornmeal (White Medium), Cornmeal (Whole grain), Cornmeal (Whole Grain White), Cornmeal (Whole grain yellow), Grain by-product, Livestock Feed - Hominy (High Fat Hominy)</t>
  </si>
  <si>
    <t>Processed  Items: Cereal (Buckwheat noodles, Buckwheat pasta, Corn gluten meal, Corn noodles, Corn pasta, Cracked corn, DDGS, Flaked corn, Millet noodles, Millet pasta, Rice bran, Rice husk, Squashed corn, Wheat bran), Dehydrated Foods (Beet pellet), Flax meal/Flaxseed meal; Other Grains, Pastas and Cereals: Barley (Barley), Cereal (Corn, Millet), Oats (Oat), Rice (Black rice, Broken rice, Brown rice, Brown rice noodles, Brown rice pasta, Glutinous paddy, Glutinous rice, Paddy, Rice, Rice noodles, Rice pasta), Sorghum (Sorghum), Wheat (Black wheat, Buckwheat, Wheat); Oils &amp; Oleoresins: Oils (Corn germ oil, Flax oil, Rapeseed oil, Safflower seed oil, Soybean oil , Sunflower oil); Nuts/Seeds: Seeds (Flaxseed (gold), Pumpkin seed, Pumpkin seed GWS, Rapeseed, Sunflower seed); Health Products: Herbs (Alfalfa, Oat grass); Fruits/Vegetables: Potato, Vegetables (Beet); Dry/Baking Goods: Flours and Meals (Black soybean flour, Black wheat flour, Buckwheat flour, Corn flour, Corn starch, Glutinous rice flour, Millet flour, Rice flour, Soybean flour, Wheat Flour); Condiments and Sweeteners: Sugar (Sugar), Sweeteners (Dextrose, Glucose syrup, Maltodextrin, Molasses); Beverage Related Products: Mixed Drinks (Pure soy milk powder); Alcohol: Alcohol; Other: Beans (Adzuki bean, Black soybean, Black turtle bean, Mung bean, Pinto bean (light red speckled kidney bean), Red kidney bean, Soybean, White kidney bean), Corn germ cake, Flax cake, Lentil, Pea, Rapeseed cake, Rapeseed meal, Safflower seed cake, Safflower seed meal, Soybean cake, Soybean hulls, Sunflower cake, Sunflower meal, Sunflower seed cake, Sunflower seed meal, Seeds (Black sesame, White sesame)</t>
  </si>
  <si>
    <t>Other Grains, Pastas and Cereals: Cereal, Quinoa; Dry/Baking Goods: Flours and Meals; Bread/Bakery/Snacks: Cereal, Packaged Snacks and Chips</t>
  </si>
  <si>
    <t>Other Grains, Pastas and Cereals: Quinoa (Black quinoa, Chia, Canihua, Kiwicha, Red quinoa, Tricolor quinoa, White quinoa, Black Quinoa Flakes); Fruits/Vegetables: Fresh Ginger, Fresh Turmeric; Dry/Baking Goods: Flours and Meals (Black Quinoa Flour, Gelatinized maca powder,Canihua flour, Cacao Powder, Kiwicha flour, Maca Powder, Red Quinoa Flour, Tricolor quinoa flour, White Quinoa Flour); Chocolate Goods: Chocolate Nibs; Other: Cacao Paste (Liquor), Cereal (Canihua Flakes, Kiwicha flakes, Red Quinoa Flakes, White Quinoa Flakes), Dehydrated Ginger, Dehydrated grain purple corn, Dehydrated Turmeric, Dehydrated turmeric flakes, Lucuma Powder, Purple Corn Cob Powder, Purple corn grain powder, Turmeric Powder, Yacon Powder, Yacon Syrup</t>
  </si>
  <si>
    <t>Processed  Items: Dehydrated Foods, dried mango flakes;Dried pineapple flakes;gelatinized red maca;gelatinized yellow maca; Preservatives/Extracts/Flavors: Powders, Spices; Other Grains, Pastas and Cereals: Cereal, Quinoa; Oils &amp; Oleoresins: Oils; Nuts/Seeds: Flours and Meals; Fruits/Vegetables: banana;Coconut;maca;Mango;Pinneapple;Purple Corn, Berries, Stone Fruit, Vegetables; Dry/Baking Goods: Flours and Meals; Chocolate Goods: cacao;cacao powder;cocoa beans, Chocolate Nibs; Beverage Related Products: Coffee, Yacon juice; Other: Panela</t>
  </si>
  <si>
    <t>Other Grains, Pastas and Cereals: Barley (BARLEY), CANOLA SEED, CORN, POPCORN, Sorghum (SORGHUM), SUNFLOWER, Wheat (WHEAT); Nuts/Seeds: Peanuts (PEANUT), SEEDBIRD; Fruits/Vegetables: Beans (SOYBEAN), Beans (VETCH)</t>
  </si>
  <si>
    <t>Processed  Items: Dehydrated Foods (Black Quinoa Flakes), Dehydrated Foods (Cañihua ﬂakes), Dehydrated Foods (Dehydrated ginger ﬂakes), Dehydrated Foods (Dehydrated Turmeric), Dehydrated Foods (Dehydrated turmeric ﬂakes), Dehydrated Foods (Kiwicha ﬂakes), Dehydrated Foods (Red Quinoa Flakes), Dehydrated Foods (Tricolor quinoa ﬂakes), Dehydrated Foods (White Quinoa Flakes); Other Grains, Pastas and Cereals: Cañihua, Kiwicha, Quinoa (Red quinoa), Quinoa (Tricolor quinoa), Quinoa (White quinoa), Quinoa (Black quinoa); Nuts/Seeds: Chia; Fruits/Vegetables: Fresh Ginger, Fresh Turmeric; Dry/Baking Goods: Flours and Meals (Black Quinoa Flour), Flours and Meals (Cañihua ﬂour), Flours and Meals (Kiwicha ﬂour), Flours and Meals (Red Quinoa Flour), Flours and Meals (Tricolor quinoa ﬂour), Flours and Meals (White Quinoa Flour), Powders (Turmeric Powder), Powders (Maca Powder), Powders (Ginger Powder)</t>
  </si>
  <si>
    <t>Trees/Whole Plant Products/Flowers: Sunflower, Poppy (Blue-White), Sage, Parsley Flakes, Laurel Leaves, Mint; Seasonings: Spices (Rosemary, Sumac, Thyme, Cinnamon, Mace, Cilantro, Oregano, Turmeric, Nutmeg); Processed  Items: Butter (Almond Butter, Cashew Butter, Peanut Butter, Sunflower Butter, Cocoa Butter), Concentrates (Apple Juice Concentrate, Cranberry Juice Concentrate, Grape Juice Concentrate, Lemon Juice Concentrate 400 Gpl,
Red Grape Concentrate, Tomato Concentrate, Pomegranate Juice Concentrate), Feed Pellet (All Types), Mixed Feed Pellet (All Types), Wheat Pellet, Soybean Pellet, Corn Pellet, Barley Pellet, Sunflower Cake, Sesame Tahin, Starch (All Kinds), Locust Bean Gum (E410), Pasta (Almond Paste, Peanut Paste, Tomato Paste), Powders (Chickpea flour, Red lentil flour, Yellow lentil flour, Green pea flour, Yellow pea flour, Rice flour, Wheat flour, Corn Flour, Soybean Meal, Sunflower Meal, Flours (All Purpose), Barley Flour, Chia Seed Flour, Coconut Flour, Garbanzo Flour, Quinoa Flour, Rye Flour, Unbleached Flour, Flaxseed Meal, Carob Powder, Beet Powder, Broccoli Powder, Spinach Powder, Egg White (Powder, Frozen), Egg Yolk (Powder, Frozen), Milk Powder (Non-Fat, Skimmed, Whole, Instant), Garlic Powder, Cayenne Powder, Bean flour, Tomato Powder), Purees (Apple Puree, Apricot Puree, Guava Puree, Mango Puree, Pear Puree, Raspberry Puree, Tomato Puree), Syrups (Syrups (All Types)); Other Grains, Pastas and Cereals: Lentil brown, Lentil green, Red football lentil, Red split lentil, Yellow football lentil, Yellow split lentil, Corn, Paddy
Popcorn, Rice, Wheat, Black eyed Bean, Dry bean, Kidney bean, White bean, Mung bean, Broken green pea, Broken yellow pea, Rice broken, Freekeh, Oat, Rye, Millet, Garbanzo Beans, Great Northern Beans, Navy Beans, Pinto Beans, Adzuki Beans, Red Beans, Black Beans, Cannellini Beans, Soybean, Kidney Beans, Lima Beans, Quinoa, Brown Rice, Red Rice, Black Rice, Green Beans, Couscous, Crisp Brown Rice, Pasta (Macaroni), Quinou Flakes, Oat Bran, Oat Flakes, Oat Groats, Whole Carob, Kibbled Carob, Barley, Bulgur brown, Bulgur yellow, Wheat(feed grade),; Oils &amp; Oleoresins: Oils (Sunflower Oil, High Oleic Sunflower Oil, Olive Oil, Soybean Oil, Canola Oil, Coconut Oil, Flaxseed Oil, Palm Oil, Safflower Oil, Sesame Oil, Oregano Oil); Nuts/Seeds: Nuts (Almonds, Cashews, Hazelnuts In Shell, Hazelnut Kernels (Natural, Blanched), Peanuts, Pecans, Walnuts, 
Pinenuts), Seeds (Chickpea, Flaxseed, Rapeseed, Sesame, Semolina, Sesame (hulled), Black Cumin, Cumin, Sunflower Seed, Rapeseed
Poppy Seed, Watermelon Seeds, Chia Seeds, Green pea, Yellow pea, Mustard Seed, Fennel Seeds, Aniseeds, Amaranth, Cotton Seed, Nigella Seeds); Chocolate Goods: Chocolate (Dark Chocolate); Beverage Related Products: Juice (Orange Juice, Peach Juice, Pear Juice, Pineapple Juice, Pomegranate Juice), Liqueurs (Capari); Other: Mushroom (Portabello, White), Cotton, Sweeteners (Sugar (Cane, Beet), Coconut Sugar, Brown Sugar, Honey)</t>
  </si>
  <si>
    <t>Processed  Items: Cereal (Buckwheat (chopped) , Semolina), Mustards (Mustard); Other Grains, Pastas and Cereals: Barley (Barley, Barley groats , Pearl barley), Cereal (Corn, Corn grain, peeled , Corn grits , Millet , Millet calibrated, Millet groats , Rye, Rye bran, Spelt, Triticale, Wholemeal rye flour not sifted), Oats (Instant oatmeal, Instant oatmeal cut, Oat, Peeled oats , Vica Oat), Wheat (Buckwheat , Buckwheat green kernels , Buckwheat groats, Buckwheat husk, Buckwheat kernels, Wheat, Wheat bran, Wheat groats (Artek), Wheat groats (spring wheat) , Wholemeal wheat flour not sifted , Winter wheat, Winter wheat calibrated); Oils &amp; Oleoresins: Oils (Flaxseed oil, Mustard Oil, Soybean oil , Sunflower oil); Nuts/Seeds: Seeds (Brown flax calibrated, Flax, Golden flax calibrated, Spring rape, Winter rape); Health Products: Herbs (Sunflower); Fruits/Vegetables: Vegetables (Sainfoin); Dry/Baking Goods: Flours and Meals (Buckwheat flour , Buckwheat flour not sifted , Corn flour , Groats oatmeal , Oatmeal, Oatmeal flattened , Rye flour, Spelt flour, Wheat flour (spring wheat), Wheat flour (winter wheat)); Animal Feed: Livestock Feed (Sunflower cake); Other: Beans (Soybean, Soybean meal), Lentils, Pea, Pea groats</t>
  </si>
  <si>
    <t>Processed  Items: Amaranth pop, Quinoa pop; Nuts/Seeds: Black quinoa, Brazil Nut, Chia, Quinoa Grain, Red quinoa, Sacha Inchi Seeds, Tricolor / Multicolor quinoa, White quinoa; Condiments and Sweeteners: Panela; Chocolate Goods: Cacao / cocoa beans, Cacao Liquor; Other: Amaranth, Amaranth Flakes, Amaranth flour, Cacao Butter, Cacao Nibs, Cacao nibs - sweetened, Cacao Powder, Camu Camu Powder, Dried banana, Dried goldenberry, Dried mango, Kaniwa grain, Lucuma Powder, Maca gelatinized, Maca Powder, Quinoa Flakes, Quinoa flour</t>
  </si>
  <si>
    <t>Other: Ajwain, Ajwain Powder, All Spice Powder, Arhar Dal (Red Gram/Pigeon Pea), Bajra Flour/Atta, Bay Leaf, Bay Leaf Powder, Bengal Gram (Chana)Flour, Bengal Gram Whole, Black Cumin, Black Cumin Powder, Black Pepper, Black Pepper Powder, Brown Mustard, Cardamom, Chickpea/Kabuli Chana (Garbanzos), Chilli Powder, Chilli Powder Steam Sterilized, Chilli Whole, Chilli Whole Dried, Cinnamon Bark, Cinnamon Powder, Clove Powder, Cloves, Coffee Powder, Coffee Robusta Cherry, Coriander Powder, Coriander Powder Steam Sterilised, Coriander Seed, Cumin Powder, Cumin Seed / Whole Steam Sterilized, Cumin Whole, Fennel Powder, Fennel Seed, Fenugreek Powder, Fenugreek Seed (Methi Seed), Garlic, Garlic Powder, Ginger Powder, Ginger Sliced Dried, Ginger Whole (Dry), Mace, Maize (Corn) Flakes, Maize Flour/Corn Flour, Nutmeg Mace (Dried), Nutmeg Powder, Nutmeg Whole, Psyllium Husk (Isobgul), Psyllium Seed (Isobgul), Quinoa, Ragi Flour, Ragi/Finger Millet Grain, Red Chilli Powder, Red Chilli Whole, Red Rice, Rice Flour, Sorghum, Sorghum Flour, Soybean Whole, Turmeric Dried, Turmeric Fingers, Turmeric Powder, Turmeric Powder Steam Sterilized, Turmeric Whole Dried, Urad Whole (Black), Wheat, Wheat Flour</t>
  </si>
  <si>
    <t>Processed  Items: Agave Powder, Agave Syrup, Amaranth crisp, Black quinoa crisp, Chia Crisp, Choco Quinoa Mix, Choco Quinoa Mix with Agave, Maca Crisp, Macarich 4:1, Macarich 6:1, Puff Rice Bar Sweetened, Quinoa Bite - Quinoa Bits, Quinoa Bite Sea Salt, Quinoa Bits Sea Salt, Quinoa Crisp, Quinoa Crouton, Quinoa Crouton Sea Salt, Quinoa Puff Pink Salt, Quinoa Puff Sea Salt, Quinoa Puff Strawberry, Quinoa Puff Vanilla, Quinoa Rice Puff, Red quinoa crisp, Rice Chip, Rice Extruded Powder, Rice Popped Chip, Rice Powder, Sacha Inchi Crisp, Sacha Inchi Spread; Oils &amp; Oleoresins: Coconut Oil Refined, Sunflower oil refined; Nuts/Seeds: Black chia seed, Black Quinoa Grains, Chia Seed, Quinoa Grain, Red Quinoa Grains, Sacha Inchi Seed, White Quinoa Grains; Chocolate Goods: Cacao + Quinoa Blend, Cacao Alkaline Powder 10% - 12% fat content, Cacao Alkaline Powder 20% - 22% fat content, Cacao Bean, Cacao Liquor, Cacao Nibs with Yacon Syrup, Cacao Raw Nib, Cacao Shell; Other: Amaranth Extruded Flake, Amaranth Flake, Amaranth Grain, Amaranth instant powder, Amaranth Powder, Amaranth Puff, Avocado oil, Banana Powder, Black maca chip, Black maca gelatinized powder, Black maca powder, Cacao Butter, Cacao Natural Powder, Cacao Natural Powder 10% -12% fat content, Cacao Natural Powder 20% - 22% fat content, Cacao Paste, Cacao Roasted Nib, Camu Camu Powder, Camu Camu Whole Fruit Powder, Canihua Extruded Flake, Canihua Flake, Canihua Grain, Canihua Instant Powder, Canihua Powder, Canihua Puff, Chia Instant Powder, Chia Powder, Chia protein crisp, Chia Protein Instant Powder, Chia Protein Powder, Chia Raw Powder, Chia Virgin Oil, Coconut Oil, Cold Pressed Chia Seed Oil, Cold Pressed Passion Fruit Seed Oil, Cold Pressed Sacha Inchi Oil, Ginger Powder, Goldenberry - Dried, Lucuma Chip, Lucuma Powder, Maca Chip, Maca Gelatinized Powder, Maca Powder, Maca Raw Powder, Mix Maca Gelatinized with Cocoa Powder, Purple Corn Chip, purple corn flakes, Purple Corn Flakes with Quinoa, Yacon and, Purple Corn Popped Chip, Quinoa Extruded Flake, Quinoa Extruded Flake Whole Cane Sugar, Quinoa Flake, Quinoa Gelatinized Powder, Quinoa Instant Powder, Quinoa Powder, Quinoa Pre-cooked Dehydrated, Quinoa protein crisp, Quinoa Puff, Quinoa Puff Cocoa, Quinoa Puff Whole Cane Sugar, Red maca chip, Red maca gelatinized powder, Red maca powder, Rice, Rice Puff, Sacha Inchi butter, Sacha Inchi Extra Virgin Oil, Sacha Inchi Extruded Powder, Sacha inchi protein crisp, Sacha Inchi Protein Powder, Sacha Inchi Roasted and Salted Seed, Sacha Inchi Roasted and Unsalted Seed, Sacha Inchi Roasted Chopped Seed, Sacha Inchi Roasted Seed Cocoa, Sacha Inchi Roasted Seed Whole Cane Sugar, Sacha Inchi Roasted Seed Yacon Syrup, Sacha Inchi Seed Cake, Textured Sacha Inchi Protein, Turmeric Powder, Whole Cane Sugar (Panela granulated), Whole Cane Sugar Cube (Panela cube), Yacon and Lucuma Powder Mix, Yacon Dried Slices, Yacon Powder, Yacon Syrup, Yellow maca chip, yellow maca gelatinized powder, Yellow Maca Powder</t>
  </si>
  <si>
    <t>Other Grains, Pastas and Cereals: Barley, Wheat; Fruits/Vegetables: Pea; Other: Corn, Millet, Potato, Rapeseed, Soybean, Sunflower</t>
  </si>
  <si>
    <t>Other: Ajwain, Ajwain Powder, All Spice Powder, All Spice Whole, Aloevera Leaves, Aloevera Powder, Aloevera TBC, Amla Powder, Amla TBC, Amla Whole Dried, Anantmool (Hermidesmus Indicus), Arhar Dal / Toor Dal, Arjuna Powder, Arrowroot Powder, Ashwagandha, Ashwagandha (Withania Somnifera) Powder, Ashwagandha TBC, Asparagus Racemosus (Shatawari) TBC, Bajra Flour / Atta, Barley Flour, Barley Grass Powder, Barley Porridge / Dalia, Barley Whole, Barley-Dehulled, Basil / Tulsi, Basmati Rice, Basmati Rice White, Bay Leaf Powder, Bay Leaves / Tejpatta, Bay Leaves TBC / Tejpatta TBC, Beaten Rice, Beet Root Powder, Bengal Gram (Chana) Flour / Besan, Bengal Gram Whole, Bhringraj Powder, Biryani Masala, Black Cumin, Black Gram / Urd (Vigna sp.), Black Gram Flour / Urad Flour, Black Gram White Whole, Black Pepper, Black Pepper Crushed, Black Pepper Powder, Black Pepper TBC, Black Tea, Blend Butter Chicken, Blend Rogan Josh, Brahmi (Bacopa Monnieri), Brahmi Powder, Brahmi TBC / Brahmi Cut &amp; Sifted, Broken Rice, Brown Gram / Gram / Chana (Cicer Arietinum), Brown Rice, Buck Wheat (Other Than Seed), Buck Wheat (Seed Quality), Buckwheat Flour, Cardamom, Cardamom Large (Black), Cardamom Powder, Cardamom Seed, Cardamom TBC, Cashew Kernels (W320), Cashew Whole, Castor Oil, Celery Seed, Centella Asiatica / Centella Asiatica Leaves, Centella Asiatica Powder / Gotukola Powder, Centella Asiatica TBC, Chai Masala, Chamomile (M.Chamomile), Chamomile Powder, Chana Dal, Chana Masala, Chat Masala, Chia, Chickpea / Kabuli Chana (Garbanzos), Chicory Powder, Chicory Roots, Chicory TBC, Chilli Powder, Chilli Whole, Chimichurri Spice Blend, Chitra Kidney Beans / Rajma (Phaseolus Vulgaris), Chlli Flakes, Cinnamon, Cinnamon Latte, Cinnamon Powder, Cinnamon TBC, Clove Powder, Clove TBC, Cloves, Coastal Curry Masala, Coconut Oil, Coffee Beans - Arabica, Coffee Beans - Robusta, Coriander, Coriander Powder, Coriander Seed / Whole, Cowpea / Black Eye Pea, Cowpea Red, Cowpea White Dal, CTC Tea, Cumin Powder, Cumin TBC, Cumin Whole, Curry Leaf / Leaves, Curry Leaves Powder, Curry Powder Hot, Curry Powder Mild, Dal Tadka, Dried Cardamom, Dried Clove, Dried Nutmeg Shelled, Dry Rose Petals-Red, Eucalyptus Leaves TBC, Fennel / Saunf, Fennel Powder / Fennel Seed Powder, Fennel TBC, Fenugreek Powder, Fenugreek Seed (Methi Seed), Fenugreek TBC, Fish Curry Masala / Mustard Fish Curry Masala, Flax Seed, Foxtail Millet, Galangal Powder, Galangal Root, Galangal TBC, Garam Masala / Garam Masala Traditional, Garlic, Garlic Flakes, Garlic Granules, Garlic Powder, Giloy Powder, Ginger (Dried Unbleached), Ginger Flakes, Ginger Fresh, Ginger Powder, Ginger Sliced (Dried), Ginger TBC, Ginger Whole (Dried), Green Cardamom, Green Gram / Moong Dhuli, Green Gram Flour, Green Gram Whole (Moong Sabut), Green Tea, Groundnut / Peanut, Groundnut / Peanut Oil (Edible grade), Guar Gum Powder, Guduchi (Cocculus Cordifolous ), Gymnema Leaves / Gymnema, Gymnema Powder, Gymnema TBC / Gudmar TBC, Haritaki / Harad (Terminalia Chebula), Haritaki Powder, Henna Leaves, Henna Leaves Powder, Hibiscus, Hibiscus Powder, Hibiscus TBC, Idli Rice, Idly Rava, Indian Curry Masala, Indian Organic Brown Basmati Rice, Indigo Leaves Powder / Indigo Powder, Jaggery, Jaggery Powder, Jowar Flour/ Sorghum Flour, Kalonji Oil, Kalonji Seed / Nigella Seed, Kodo Millet, Lemon Grass TBC, Lemon Peel Dried, Lemon Peel Powder, Lemon Peel TBC, Lemongrass, Lemongrass Powder, Lemongrass TBC, Lentil, Liquorice / Mulethi / Liquorice Root, Liquorice Powder, Liquorice TBC / Mulethi TBC, Little Millet, Mace, Mace Powder, Madras Curry Masala, Maize (Corn), Maize / Corn Flour, Maize / Corn Porridge (Dalia), Maize Grain, Mango Powder / Aamchur, Manjistha / Rubia Cordifolia, Manjistha Powder / Rubia Cordiflora Powder, Masoor / Masur / Masoor Dhuli / Masoor Mogar, Masoor Dal, Matki / Moth Bean, Millet, Mix Dal, Moong Dal, Moringa Dried Leaves / Moringa Leaves, Moringa Powder, Moringa Seed, Moringa TBC, Moth Dal, Moth Dhuli, Mucuna Powder, Mucuna Whole, Multi Grain Atta / Multi Grain Flour, Multi-Grain Nurti Atta/Flour, Mustard, Mustard Black, Mustard Oil, Mustard Powder, Neem Leaf Powder / Neem Leaves Powder, Neem Leaves, Neem Leaves TBC, Non Basmati Rice, Nutmeg Powder, Nutmeg TBC, Nutmeg Whole, Onion (Powder), Onion Flakes, Onion Fresh / Kanda, Orange Peel, Orange Peel Powder, Orange Peel TBC, Oregano, Oregano Leaves, Panchartna Dal, Pav Bhaji Masala, Pearl Millet / Bajra, Pepper Long / PippaIi (Piper Longum), Peppermint Leaves / Mentha Piperita Leaf, Peppermint Leaves TBC, Peppermint Powder, Pipalli/ Piper Longum Powder, Poha Flattened Rice, Psyllium Husk (Isobgul) / Psyllium Husk, Psyllium Husk Powder, Psyllium Seed (Isobgul) / Psyllium Seed, Psyllium Seed Powder, Quinoa, Ragi / Finger Millet Grain, Ragi Flour, Raisins / Kismis, Rajma Masala, Ras El Hanout, Rasam Masala, Red Chilli (Whole), Red Chilli Flakes, Red Chilli Powder, Red Flattened Rice, Red Kidney Beans / Rajma (Phaseolus Vulgaris), Red Lentil, Red Rice, Red Rose Petal Powder, Rice, Rice Flour, Rice Sonamasuri Brown, Rice-Sona Masuri, Roasted Chicory Granules, Rose Petal TBC, Safed Musli Powder, Saffron, Saffron Latte, Sambhar Masala, Sawan/Barnyard Millet, Senna Leaves, Senna Leaves Powder, Senna Leaves TBC, Senna Pods Powder, Senna Pods TBC, Shatavari, Shatavari Root Powder / Shatavari Powder, Shawarma Seasoning, Shichimi Togarashi, Soapnut / Reetha (Nuts), Soapnut/ Reetha (Powder), Sona Masuri Rice Broken, Sonamasuri Brown Rice, Sonamasuri Polished Rice, Sonamasuri Semi Brown Rice, Sonamasuri Semi Polished Rice, Sonamasuri Un Polished Rice, Sorghum, Sorghum Flour, Spearmint Leaves, Spearmint Powder, Spearmint TBC, Star Anise, Star Anise Powder, Star Anise TBC / Star Anise Cut &amp; Sifted, Stevia / Stevia Rebaudiana Powder, Stevia Leaves Dried, Stevia Leaves Powder, Stevia Leaves TBC, Sugar, Sugar (Brown / Natural), Suji / Semolina / Cream of Wheat, Sunflower Seed Oil/ Sunflower Oil, Tamarind Concentrates, Tandoori Masala, Tapioca, Tapioca Powder/ Cassava Powder, Thai Green Curry Powder, Tikka Masala, Tribulus Terrestris Powder / Gokhru Powder / Tribulus Powder, Triphala Powder, Tulsi Leaves Dry, Tulsi Powder, Tulsi Powder / Holy Basil Powder / Tulsi Leaves Powder, Tulsi TBC, Tur / Toor Dal, Turmeric Dried, Turmeric Fingers, Turmeric Fresh, Turmeric Latte, Turmeric Powder, Turmeric TBC, Urad Dal Split, Urad Dhuli, Vanilla, Vanilla Powder, Vanilla TBC, Vindaloo Masala, Virgin Coconut Oil, Walnut, Wheat, Wheat Flour, Wheat Maida, Wheat Porridge / Dalia, Wheatgrass Powder, White Basmati Pusa 1121, White Pepper, White Pepper Powder, White Pepper TBC, Yellow Mustard, Yellow Mustard Powder/ground</t>
  </si>
  <si>
    <t>Other Grains, Pastas and Cereals: Quinoa (Black quinoa, Quinoa Bicolor, Quinoa Tricolor, Red quinoa, White quinoa)</t>
  </si>
  <si>
    <t>Preservatives/Extracts/Flavors: Herbs (Mint), Herbs (Salsa), Spices (Sálvia), Spices (Thyme), Spices (Rosemary); Other Grains, Pastas and Cereals: Corn; Fruits/Vegetables: Banana, Basil, Beans, Berries (Açaí), Berries (Acerola), Black olive, Cashew, Citrus (Sicilian lemon), Citrus (Tahitian lemon), Coconut, Dragon fruit, Green papaya, Hog plum, Jambo, Jenipapo, Leafy Greens (Spinach), Mango, Papaya, Passion fruit, Pitomba, Pomegranade, Red surinam cherry, Sapoti, Seriguela, Soursop, Starfruit, Tamarind, Vegetables (Sweet potato), Vegetables (Broccoli), Vegetables (Salsão)</t>
  </si>
  <si>
    <t>Other Grains, Pastas and Cereals: Quinoa (Black Quinoa, Red Quinoa, Tricolor Quinoa, White Quinoa); Nuts/Seeds: Brazil Nut (Brazil nut), Peanuts (Peanut); Other: Beans (Black Bean), Seeds (Black Chia , Sesame, White Chia)</t>
  </si>
  <si>
    <t>Other Grains, Pastas and Cereals: Sorghum; Nuts/Seeds: CHIA (Salvia hispanica L), FLAX, SESAME; Fruits/Vegetables: Beans (CHICKPEA), Beans (LENTIL), Beans (BEAN), Beans (SOYBEAN)</t>
  </si>
  <si>
    <t>Other Grains, Pastas and Cereals: Wheat (Wheat); Fruits/Vegetables: Corn; Other: Paddy</t>
  </si>
  <si>
    <t>Other: Agave (Agave Syrup), Agave (Various), Algae (Chlorella Powder Chinese), Algae (Kelp Granules), Algae (Kelp Powder), Algae (Various), Almond Oil, Almond Oil, Aloe Vera, Aloe Vera (Aloe Vera Freeze Dried Powder 200X), Aloe Vera (Aloe vera Freeze Dried Powder LC), Aloe Vera (Aloe Vera Freeze dried Powder SC), Aloe Vera (Aloe Vera Gel Dehydrated Powder 200x), Aloe Vera (Aloe Vera Gel or Juice 1X), Aloe Vera (Aloe Vera Gel Spray Dried Powder 200x Food Grade), Aloe Vera (Aloe Vera Gel Spray Dried Powder- LC), Aloe Vera (Aloe Vera Powder (freeze dried, 100X)), Aloe Vera (Aloe Vera Powder (freeze dried, 200X)), Aloe Vera (Aloe Vera Powder (spray dried, 100X)), Aloe Vera (Aloe Vera Powder (spray dried, 200X)), Aloe Vera (Aloe Vera Powder Organic 1:200), Aloe Vera (Aloe Vera Whole Leaf Spray Dried Powder (100x)), Aloe Vera (Various), Aloe Vera Gel (Aloe Ver Gel Spray Dried Powder- SC), Anise Seed, Anise Seed (Powder), Anise Seed (Powder), Apricot Kernel Oil, Apricot Kernel Oil, Arrowroot (Powder), Beans (Black Bean Flakes), Beans (Black Bean Powder), Beans (Black Soybean Flakes), Beans (Black Soybean Powder), Beans (Cranberry Bean Flakes), Beans (Cranberry Bean Powder), Beans (Dark Red Kidney Bean Flakes), Beans (Dark Red Kidney Bean Powder), Beans (Durum ), Beans (Durum Flour ), Beans (Fava Bean Flakes), Beans (Fava Bean Powder), Beans (Kintoki Bean Flakes), Beans (Kintoki Bean Powder), Beans (Lentil Flakes), Beans (Lentil Flour), Beans (Lentil Powder), Beans (Navy Bean Flakes), Beans (Navy Bean Powder), Beans (Otebo Bean Flakes), Beans (Otebo Bean Powder), Beans (Pinto Bean Flakes), Beans (Pinto Bean Powder), Beans (Small Red Bean Flakes), Beans (Small Red Bean Powder), Beans (Soy Fiber), Beans (Soy Flour, roasted), Beans (Soy Lecithin), Beans (Soybean Meal), Beans (Soybean Meal-Expelled), Beans (Soybean Meal-Extruded), Beans (Soybeans), Beans (Split Yellow Soybean Flakes), Beans (Split Yellow Soybean Powder), Beans (Vanilla Beans), Beans (Various), Beans (White Kidney Bean Flakes), Beans (White Kidney Bean Powder), Beans (White Kidney Beans), Beans (Whole Green Pea Flakes), Beans (Whole Green Pea Powder), Beans (Whole Yellow Pea Flakes), Beans (Whole Yellow Pea Powder), Beans (Whole Yellow Soybean Flakes), Beans (Whole Yellow Soybean Powder), Beans (Yellow Split Pea Flakes), Beans (Yellow Split Pea Powder), Beeswax (Refined Beeswax), Beeswax (Various), Berries (Schizandra Berry Powder), Berries (Schizandra Berry Whole), Berries (Various), Botanical Extracts (Bay Leaf), Botanical Extracts (Black Cohosh), Botanical Extracts (Black Tea), Botanical Extracts (Black Walnut), Botanical Extracts (Blackberry Leaf), Botanical Extracts (Bladderwracka), Botanical Extracts (Blessed Thistle), Botanical Extracts (Blueflag), Botanical Extracts (Blueflag Root), Botanical Extracts (Boneset), Botanical Extracts (Borage), Botanical Extracts (Boswellia Extract Powder), Botanical Extracts (Brazil Nut), Botanical Extracts (Buchu Leaf), Botanical Extracts (Buckthorn Bark), Botanical Extracts (Burdock Root), Botanical Extracts (Butchers Broom), Botanical Extracts (Calendula), Botanical Extracts (California Poppy), Botanical Extracts (Canteloupe Seed), Botanical Extracts (Cardamom), Botanical Extracts (Carrot), Botanical Extracts (Cashew), Botanical Extracts (Catnip), Botanical Extracts (Celadine), Botanical Extracts (Celery Seed), Botanical Extracts (Chamomile), Botanical Extracts (Chickweed), Botanical Extracts (Chicory Root), Botanical Extracts (Chrysanthemum), Botanical Extracts (Cinnamon Bark), Botanical Extracts (Clove), Botanical Extracts (Cocoa), Botanical Extracts (Colts Foot), Botanical Extracts (Comfrey Leaf), Botanical Extracts (Comfrey Root), Botanical Extracts (Coriander), Botanical Extracts (Cornflower), Botanical Extracts (Cornsilk), Botanical Extracts (Cucumber Seed), Botanical Extracts (Dandelion), Botanical Extracts (Devil's Claw), Botanical Extracts (Dong Quai), Botanical Extracts (Dulse), Botanical Extracts (Echinacea), Botanical Extracts (Eclipta), Botanical Extracts (Elderberry), Botanical Extracts (Elecampane), Botanical Extracts (Eleuthero Root), Botanical Extracts (Eucalyptus), Botanical Extracts (Fennel), Botanical Extracts (Fenugreek), Botanical Extracts (Feverfew), Botanical Extracts (Flax Seed), Botanical Extracts (Fo-Ti Root), Botanical Extracts (Gentain Root), Botanical Extracts (Green Tea, Licorice, Pomegranate Blend), Botanical Extracts (Honey), Botanical Extracts (Honeydew Seed), Botanical Extracts (Honeysuckle), Botanical Extracts (Hops Flower), Botanical Extracts (Horehound), Botanical Extracts (Horse Chest Nut Extract Powder), Botanical Extracts (Horse Chestnut), Botanical Extracts (Horse Tail), Botanical Extracts (Hyssop), Botanical Extracts (Iceland Moss), Botanical Extracts (Juniper Berries), Botanical Extracts (Kelp), Botanical Extracts (Lavandin), Botanical Extracts (Lavender Flowers), Botanical Extracts (Laver), Botanical Extracts (Lemon Balm), Botanical Extracts (Lemongrass), Botanical Extracts (Licorice), Botanical Extracts (Linden Flower), Botanical Extracts (Lobelia), Botanical Extracts (Lotus Leaf), Botanical Extracts (Macadamia Nut), Botanical Extracts (Marshmallow Root), Botanical Extracts (Meadowsweet), Botanical Extracts (Milk Thistle), Botanical Extracts (Mugwort), Botanical Extracts (Mullein Leaf), Botanical Extracts (Nettle), Botanical Extracts (Oat), Botanical Extracts (Oatstraw Green Tops), Botanical Extracts (Olive Leaf), Botanical Extracts (Oolong Tea), Botanical Extracts (Orange Peel), Botanical Extracts (Osha Root), Botanical Extracts (Parsley), Botanical Extracts (Passion Flower), Botanical Extracts (Pecan), Botanical Extracts (Pennyroyal), Botanical Extracts (Peppermint), Botanical Extracts (Shepherd's Purse), Botanical Extracts (Slippery Elm), Botanical Extracts (Soybean), Botanical Extracts (Spearmint), Botanical Extracts (Spilanthes), Botanical Extracts (Spirulina), Botanical Extracts (St. John's Wart), Botanical Extracts (Sugar Cane), Botanical Extracts (Sunflower), Botanical Extracts (Tansy), Botanical Extracts (Tarragon), Botanical Extracts (Thyme), Botanical Extracts (Tomato), Botanical Extracts (Tribulus), Botanical Extracts (Triphala), Botanical Extracts (Turmeric Root), Botanical Extracts (Uva Ursi), Botanical Extracts (Valerian Root), Botanical Extracts (Vanilla), Botanical Extracts (Vervain), Botanical Extracts (Walnut), Botanical Extracts (Watercress), Botanical Extracts (Wheat Grass), Botanical Extracts (White Tea), Botanical Extracts (White Willow Bark), Botanical Extracts (Wormwood), Botanical Extracts (Yarrow Flowers), Botanical Extracts (Yerba Mate), Chaste Tree Berry, Chocolate (Various), Cocoa Butter, Cocoa Powder, Coconut (Creamed Coconut), Coconut (Various), Coconut Butter (Coconut Butter, raw), Coconut Oil (Virgin Coconut Oil ), Corn (Blue Corn), Corn (Corn Flour), Corn (Corn Starch), Corn (Cornmeal), Corn (Popcorn), Corn (Various), Corn (White Corn), Corn (YellowCorn ), Cream (Coconut cream), Cream (Various), Dietary Supplement (Various), Dried Flowers (Jasmine), Dried Flowers (Rose), Dried Flowers (Various), Emulsion (AIP-EMUL1), Emulsion (AIP-EMUL2), Emulsion (AIP-EMUL3), Emulsion (AIP-EMUL5), Essential Oil (Absinthe ), Essential Oil (Allspice), Essential Oil (Allspice), Essential Oil (Angelica root), Essential Oil (Angelica Root), Essential Oil (Angelica, Root/Seed), Essential Oil (Anise), Essential Oil (Anise ), Essential Oil (Anise seed), Essential Oil (Arnica), Essential Oil (Basil  Tropical (Basil Clove)), Essential Oil (Basil Big Green Linalol), Essential Oil (Basil Cinnamon), Essential Oil (Basil Exotic), Essential Oil (Basil Linalol), Essential Oil (Bay Laurel), Essential Oil (Bergamot), Essential Oil (Bergamot), Essential Oil (Bergamot (Bergapten Free)), Essential Oil (Bitter Orange), Essential Oil (Bitter Orange Blossom), Essential Oil (Bitter Orange, Red and Green), Essential Oil (Black Pepper), Essential Oil (Black Spruce), Essential Oil (Cajepeut), Essential Oil (Caraway), Essential Oil (Cardamom), Essential Oil (Cardamom), Essential Oil (Carrot), Essential Oil (Carrot, Seed), Essential Oil (Cascarilla), Essential Oil (Cassia), Essential Oil (Cassia), Essential Oil (Cedar Atlantic), Essential Oil (Cedarwood (Atlantic)), Essential Oil (Cedarwood Atlas), Essential Oil (Celery Seed), Essential Oil (Chamomile Blue), Essential Oil (Chamomile German ), Essential Oil (Chamomile, Blue), Essential Oil (Chamomile, German), Essential Oil (Chamomile, Roman), Essential Oil (Chamomile, Roman), Essential Oil (Chocolate Mint), Essential Oil (Chocolate Peppermint), Essential Oil (Cinnamon), Essential Oil (Cinnamon Bark), Essential Oil (Cinnamon Leaf), Essential Oil (Cistus), Essential Oil (Citronella), Essential Oil (Clary Sage), Essential Oil (Clove ), Essential Oil (Clove Bud), Essential Oil (Clove Bud &amp; Leaf), Essential Oil (Clove stem), Essential Oil (Copaiba Balsam  Oil), Essential Oil (Coriander Seed ), Essential Oil (Coriander Seed), Essential Oil (Cornmint ), Essential Oil (Corriander Leaf or Cilantro), Essential Oil (Cumin), Essential Oil (Cumin), Essential Oil (Cypress), Essential Oil (Cypress Leaf), Essential Oil (Cypress Leaf ), Essential Oil (Davana), Essential Oil (Dill Weed), Essential Oil (Dill Weed ), Essential Oil (Echinacea), Essential Oil (Eucalyptus), Essential Oil (Eucalyptus), Essential Oil (Eucalyptus Citriodora), Essential Oil (Eucalyptus Citriodora), Essential Oil (Eucalyptus Globulus), Essential Oil (Eucalyptus Globulus), Essential Oil (Eucalyptus Radiata), Essential Oil (Eucalyptus Radiata), Essential Oil (Eucalyptus Smithii), Essential Oil (Eucalyptus Young Leaves), Essential Oil (Eucalyptus; Calmduleusis), Essential Oil (Fennel), Essential Oil (Fennel), Essential Oil (Fennel Sweet), Essential Oil (Fir), Essential Oil (Fir), Essential Oil (Fir Balsam ), Essential Oil (Fir Balsam), Essential Oil (Fleabane), Essential Oil (Frankincense), Essential Oil (Garlic), Essential Oil (Geranium, Bourbon), Essential Oil (Geranium, Rose and Bourbon), Essential Oil (German Chamomile), Essential Oil (Ginger), Essential Oil (Golden Rod), Essential Oil (Goldenrod ), Essential Oil (Grapefruit), Essential Oil (Grapefruit ), Essential Oil (Grapefruit Pink Peel), Essential Oil (Grapefruit Red), Essential Oil (Grapefruit, Cold Pressed), Essential Oil (Grapefruit, Decolorized), Essential Oil (Helichrysum), Essential Oil (Helichrysum/ Immortelle), Essential Oil (Hemlock), Essential Oil (Hyssop), Essential Oil (Hyssop), Essential Oil (Jatamansi), Essential Oil (Juniper), Essential Oil (Juniper), Essential Oil (Juniper Berry), Essential Oil (Juniper Berry), Essential Oil (Juniper Berry and Twig), Essential Oil (Juniper Needle), Essential Oil (Labdanum), Essential Oil (Labrador Tea), Essential Oil (Larch), Essential Oil (Laurel), Essential Oil (Lavandin), Essential Oil (Lavandin Abrialis), Essential Oil (Lavandin Grosso), Essential Oil (Lavandin Super), Essential Oil (Lavender), Essential Oil (Lavender ), Essential Oil (Lavender Abrialis), Essential Oil (Lavender Augustifolia), Essential Oil (Lavender Fine), Essential Oil (Lavender Grosso), Essential Oil (Lavender Maillete), Essential Oil (Lavender Officinalis), Essential Oil (Lavender Spike), Essential Oil (Lavender Vera), Essential Oil (Lavender, Fine), Essential Oil (Lavendula), Essential Oil (Ledum Groenlandicum), Essential Oil (Leek ), Essential Oil (Lemon), Essential Oil (Lemon), Essential Oil (Lemon Balm), Essential Oil (Lemon Myrtle), Essential Oil (Lemon Peel), Essential Oil (Lemon Petitgrain), Essential Oil (Lemon Petitgrain), Essential Oil (Lemon Verbena), Essential Oil (Lemon Verbena), Essential Oil (Lemon, 10 Fold), Essential Oil (Lemon, 5 Fold), Essential Oil (Lemon, Cold Pressed), Essential Oil (Lemongrass), Essential Oil (Lemongrass), Essential Oil (Lime), Essential Oil (Lime), Essential Oil (Lime Peel), Essential Oil (Lime, Cold Pressed), Essential Oil (Lime, Key), Essential Oil (Litsea Cubeba), Essential Oil (Ltisa Cubeba), Essential Oil (Mace), Essential Oil (Mace), Essential Oil (Mandarin), Essential Oil (Mandarin Petitgrain), Essential Oil (Mandarin Petitgrain), Essential Oil (Mandarin, decolorized), Essential Oil (Mandarin, Red and Green), Essential Oil (Mandrain, Green), Essential Oil (Mandrain, Red), Essential Oil (Marjoram), Essential Oil (Marjoram), Essential Oil (Marjoram Spain), Essential Oil (Marjoram Sylvester), Essential Oil (Marjoram, Coquille), Essential Oil (Marjoram, Sweet), Essential Oil (Melissa), Essential Oil (Melissa, Officinalis), Essential Oil (Monarda), Essential Oil (Monarda Didyma), Essential Oil (Monarda Fistulosa), Essential Oil (Mugwort), Essential Oil (Myrica Gale), Essential Oil (Myrrh), Essential Oil (Myrtle), Essential Oil (Myrtle Lemon), Essential Oil (Neroli), Essential Oil (Niaouli), Essential Oil (Nutmeg), Essential Oil (Onion), Essential Oil (Orange), Essential Oil (Orange ), Essential Oil (Orange ( Bitter) ), Essential Oil (Orange ( Sweet)), Essential Oil (Orange (Blood) ), Essential Oil (Orange Peel), Essential Oil (Orange Peel ), Essential Oil (Orange, 5 and 10 Fold), Essential Oil (Orange, Cold Pressed), Essential Oil (Oregano), Essential Oil (Oregano (Origanum Compactum)), Essential Oil (Palmarosa), Essential Oil (Parsley), Essential Oil (Patchouli), Essential Oil (Patchouli), Essential Oil (Pepper Black), Essential Oil (Peppermint Chocolate), Essential Oil (Peppermint Citrata), Essential Oil (Peppermint Forest), Essential Oil (Peppermint Sweet), Essential Oil (Petitgrain), Essential Oil (Pine), Essential Oil (Pine Needle), Essential Oil (Pine, Scotch), Essential Oil (Pinus Silvestris), Essential Oil (Red Bergamot), Essential Oil (Rhododendron), Essential Oil (Roman Chamomile), Essential Oil (Rosa Damascene), Essential Oil (Rose), Essential Oil (Rose Centfolia), Essential Oil (Rosemary), Essential Oil (Rosemary), Essential Oil (Rosemary Camphor ), Essential Oil (Rosemary Cineole), Essential Oil (Rosemary Verbenone), Essential Oil (Rosemary Verbenone), Essential Oil (Rosemary, Camphor), Essential Oil (Rosemary, Cineole), Essential Oil (Rosemary, Cineole, Camphor), Essential Oil (Rue), Essential Oil (Sage), Essential Oil (Sage), Essential Oil (Sage Clary), Essential Oil (Sage Officinalis), Essential Oil (Sandalwood), Essential Oil (Sandalwood), Essential Oil (Santolina), Essential Oil (Sarriette (Savory)), Essential Oil (Savory), Essential Oil (Serpolet), Essential Oil (Snake root), Essential Oil (Southernwood), Essential Oil (Spearmint), Essential Oil (Spearmint), Essential Oil (Spike Lavender), Essential Oil (Spruce), Essential Oil (Spruce Black), Essential Oil (Spruce White), Essential Oil (St. Johns Wort), Essential Oil (Star Anise), Essential Oil (Sugandah Kokhila), Essential Oil (Sweet Flag), Essential Oil (Sweet Gale), Essential Oil (Sweet Marjoram), Essential Oil (Sweet Orange), Essential Oil (Tangelo), Essential Oil (Tangerine), Essential Oil (Tangerine (Mandarin)), Essential Oil (Tangerine (yellow)), Essential Oil (Tangerine, Red and Green), Essential Oil (Tarragon), Essential Oil (Tea Tree), Essential Oil (Tea Tree), Essential Oil (Thyme), Essential Oil (Thyme), Essential Oil (Thyme Borneol), Essential Oil (Thyme Cineol), Essential Oil (Thyme Creeping ), Essential Oil (Thyme Geraniol), Essential Oil (Thyme Linalol), Essential Oil (Thyme Paracymene), Essential Oil (Thyme red), Essential Oil (Thyme Thuyanol), Essential Oil (Thyme Thymol), Essential Oil (Thyme Vulgaris), Essential Oil (Thyme, Thymol), Essential Oil (Tumeric), Essential Oil (Vanilla Extract/ Oleoresin), Essential Oil (Various), Essential Oil (Verbena Lemon ), Essential Oil (Vetiver), Essential Oil (Vetiver), Essential Oil (White Sage), Essential Oil (White Spruce), Essential Oil (Wild Bergamot), Essential Oil (Wintergreen), Essential Oil (Yarrow), Essential Oil (Yarrow), Essential Oil (Ylang #1), Essential Oil (Ylang Ylang), Essential Oil (Ylang Ylang ), Essential Oil (Ylang Ylang # 2 ), Essential Oil (Ylang Ylang # 3), Essential Oil (Ylang Ylang Complete), Essential Oil (Ylang Ylang, 1st Distillation), Essential Oil (Ylang Ylang, 2nd Distillation), Essential Oil (Ylang Ylang, 3rd Distillation), Essential Oil (Ylang Ylang, Complete), Essential Waters (Lavender), Essential Waters (Orange), Essential Waters (Various), Esters (Ethyl Palmate), Esters (High sugar coconut esters with skim milk), Esters (High Sugar Coconut Esters with Whey), Extracts (Acai), Extracts (Alaria), Extracts (Alfalfa), Extracts (Allspice), Extracts (Almond), Extracts (Aloe), Extracts (American Ginseng Root), Extracts (Anise), Extracts (Apple), Extracts (Apricot), Extracts (Arnica), Extracts (Ashwagandha), Extracts (Astragalus), Extracts (Avocado), Extracts (Banana), Extracts (Basil), Extracts (Black Tea), Extracts (Black Walnut), Extracts (Blueflag), Extracts (Burdock Root), Extracts (Calendula), Extracts (Canteloupe Seed), Extracts (Celery Seed), Extracts (Chamomile), Extracts (Chickweed), Extracts (Cinnamon Bark), Extracts (Circulation Extract), Extracts (Comfrey Leaf), Extracts (Comfrey Root), Extracts (Coriander), Extracts (Cucumber Seed), Extracts (Echinacea), Extracts (Echinacea Ang/Golden Seal Extract Blend), Extracts (Eclipta), Extracts (Elderberry), Extracts (Elecuthero Root), Extracts (Eucalyptus), Extracts (Fennel ), Extracts (Flax Seed), Extracts (Gingko Bilboa), Extracts (Golden Seal), Extracts (Golden Seal Root Extract), Extracts (Goldenseal), Extracts (Gotu Kola ), Extracts (Gotu Kola Herb Extract), Extracts (Grapeseed Extract), Extracts (Green Tea), Extracts (Hawthorn Berry Extract), Extracts (Heal-All), Extracts (Helichrysum), Extracts (Hibiscus), Extracts (Honey), Extracts (Honeysuckle), Extracts (Horsetail), Extracts (Hyssop), Extracts (Ivy Leaf Extract), Extracts (Kelp), Extracts (Kidney Support Extract), Extracts (Lavender Flower), Extracts (Lemon Balm), Extracts (Lemon Balm Leaf Powder), Extracts (Lemon Peel), Extracts (Licorice), Extracts (Licorice Root Powder), Extracts (Linden), Extracts (Marjoram), Extracts (Marshmallow Root), Extracts (Meadowsweet), Extracts (Milk Thistle), Extracts (Milk Thistle Seed Extract), Extracts (Mullein Leaf), Extracts (Mullein Leaf Extract), Extracts (Nettle), Extracts (Nettle Leaf Extract), Extracts (Oat), Extracts (Olive Leaf), Extracts (Olive Leaf Extract), Extracts (Orange Peel), Extracts (Parsley), Extracts (Passion Flower), Extracts (Peppermint), Extracts (Plantain Leaf), Extracts (Poppy Seed), Extracts (Quinoa), Extracts (Red Raspberry Leaf), Extracts (Reishi Mushroom), Extracts (Rose Petals), Extracts (Rosemary Leaf), Extracts (Safflower), Extracts (Sage), Extracts (Saw Palmetto Berries Extract), Extracts (Scullcap herb Extract), Extracts (Skullcap), Extracts (Slippery Elm Bark Extract), Extracts (Solids: Menthol Crystals), Extracts (Spirulina), Extracts (St. John's Wort), Extracts (St. John's Wort Herb c/s), Extracts (Tomato), Extracts (Turmeric Root), Extracts (Uva Ursi), Extracts (Valerian Root Extract), Extracts (Vanilla), Extracts (Vanilla), Extracts (Various), Extracts (Watercress), Extracts (White Tea), Extracts (White Willow Bark), Extracts (Yerba Mate), Fatty Acids (Flaxseed Acids), Fatty Acids (Lauric Acid), Fatty Acids (Linoleic Acid), Fatty Acids (Myristic Acid), Fatty Acids (Oleic Acid), Fatty Acids (Palmitic Acid), Fatty Acids (Sodium Laurate), Fatty Acids (Sodium Linoleate), Fatty Acids (Sodium Oleate), Fatty Acids (Sodium Stearate), Fatty Acids (Stearic Acid), Fatty Acids (Various), Floral Water or Hydrosols (Angelica Root), Floral Water or Hydrosols (Basil), Floral Water or Hydrosols (Chamomile, German), Floral Water or Hydrosols (Chamomile, Roman), Floral Water or Hydrosols (Cinnamon Bark), Floral Water or Hydrosols (Cinnamon Leaf), Floral Water or Hydrosols (Clary Sage), Floral Water or Hydrosols (Clove Bud ), Floral Water or Hydrosols (Corriander ), Floral Water or Hydrosols (Eucalyotus, Globulus), Floral Water or Hydrosols (Eucalyptus Citridora), Floral Water or Hydrosols (Eucalyptus Radiata), Floral Water or Hydrosols (Eucalyptus Smithii), Floral Water or Hydrosols (Fleabane), Floral Water or Hydrosols (Geranium), Floral Water or Hydrosols (Helichrysum), Floral Water or Hydrosols (Jasmin ), Floral Water or Hydrosols (Lavander), Floral Water or Hydrosols (Lavandin Super ), Floral Water or Hydrosols (Lemon Balm), Floral Water or Hydrosols (Lemon Grass), Floral Water or Hydrosols (Marjoram), Floral Water or Hydrosols (Melissa ( Lemon Balm)), Floral Water or Hydrosols (Mugwort), Floral Water or Hydrosols (Neroli (Orange Flower)), Floral Water or Hydrosols (Nutmeg), Floral Water or Hydrosols (Palmarosa), Floral Water or Hydrosols (Patchouly ), Floral Water or Hydrosols (Pepper, Black), Floral Water or Hydrosols (Pepper, Green), Floral Water or Hydrosols (Peppermint), Floral Water or Hydrosols (Peppermint, Chocolate), Floral Water or Hydrosols (Rose), Floral Water or Hydrosols (Rosemary Camphor ), Floral Water or Hydrosols (Rosemary Cineole), Floral Water or Hydrosols (Sage, White), Floral Water or Hydrosols (Savory ), Floral Water or Hydrosols (Serpolet), Floral Water or Hydrosols (Spearmint), Floral Water or Hydrosols (St. John's Wort), Floral Water or Hydrosols (Thyme Linalol ), Floral Water or Hydrosols (Thyme Red), Floral Water or Hydrosols (Verbena), Floral Water or Hydrosols (Verbena, Lemon), Floral Water or Hydrosols (Vetiver), Floral Water or Hydrosols (Yarrow), Flour (Chia Seed), Flour (Coconut Flour), Flour (Rye Flour), Flour (Various), Fruit Butter (Acai Butter), Fruit Butter (Blueberry Butter), Fruit Butter (Cranberry Butter), Fruit Butter (Garcinia Butter), Fruit Butter (Mango Butter), Fruit Butter (Murumuru Butter), Fruit Butter (Palm Butter), Fruit Butter (Palm Butter ultra refined), Fruit Butter (Pomegranate Butter), Fruit Butter (Various), Fruit Extracts (Bilberry), Fruit Extracts (Blueberry), Fruit Extracts (Coconut), Fruit Extracts (Cranberry), Fruit Extracts (Fig), Fruit Extracts (Lemon Peel), Fruit Extracts (Mango), Fruit Extracts (Mulberries), Fruit Extracts (Papaya), Fruit Extracts (Peach), Fruit Extracts (Pineapple), Fruit Extracts (Pomegranate), Fruit Extracts (Prune), Fruit Extracts (Raisin), Fruit Extracts (Raspberry), Fruit Extracts (Strawberry), Fruit Extracts (Tart Cherry), Fruit Juice (Apple Juice Concentrate), Fruit Puree (Raspberry), Fruit Puree (Strawberry Puree), Fruits (Cayenne Extract), Fruits (Cranberry IQF), Fruits (Raisins), Fruits (Tribulus Fruit), Fruits (Tribulus Fruit Powder), Fruits (Various), Ginger Oil, Glycerine, Glycerine (Glycerin), Grains (Amaranth), Grains (Amaranth), Grains (Barley, Hulled), Grains (Barley, Hulled), Grains (Barley, Pearled), Grains (Barley, Pearled), Grains (Brown Rice Cream/Meal), Grains (Brown Rice Flour), Grains (Buckwheat , Hulled Grits), Grains (Buckwheat Flour), Grains (Buckwheat Hulled), Grains (Buckwheat Kasha), Grains (Buckwheat, Hulled Groats), Grains (Buckwheat, Whole), Grains (Bulgur), Grains (Flour), Grains (Millet, Hulled), Grains (Oat Bran), Grains (Oats), Grains (Old Fashioned Rolled Oats), Grains (Popcorn), Grains (Regular Rolled Oats), Grains (Rye), Grains (Various), Grains (Vital Wheat Gluten), Grains (Wheat Bran), Grains (Wheat Flour), Grains (Wheat Germ), Grains (Wheat Starch, Native), Grains (White Rice), Grains (White Rice Cream/Meal), Grains (White Rice Flour), Grains (Wild Rice Flour), Hemp Seed, Herbs (Agrimony Herb c/s), Herbs (Alfalfa Leaf c/s), Herbs (Alfalfa Leaf Powder), Herbs (Allspice Powder), Herbs (Amaranth), Herbs (Amaranth), Herbs (Amaranth Flakes), Herbs (Amaranth Flour), Herbs (Angelica Root c/s), Herbs (Angelica Root powder), Herbs (Angelica Root Powder), Herbs (Artichoke Leaf c/s), Herbs (Artichoke Leaf c/s), Herbs (Ashwaganda Root c/s), Herbs (Ashwaganda Root Powder), Herbs (Astragalus Root c/s), Herbs (Astragalus Root Powder), Herbs (Astragalus Root Sliced), Herbs (Astragulus Root Extract), Herbs (Barley Flakes), Herbs (Barley Flour), Herbs (Barley Grass Juice Powder), Herbs (Barley Grass Powder), Herbs (Barley Pearled), Herbs (Basil c/s), Herbs (Basil Leaf Powder), Herbs (Bay Leaf), Herbs (Bilberry Fruit Powder), Herbs (Bilberry Leaf c/s), Herbs (Bilberry Leaf Powder), Herbs (Billberries powder), Herbs (Billberry Leaf TBC), Herbs (Black Cohosh Root c/s), Herbs (Black Cohosh Root Powder), Herbs (Black Walnut Hull c/s), Herbs (Black Walnut Hull Extract), Herbs (Black Walnut Hull Powder), Herbs (Black Walnut Leaf c/s), Herbs (Blessed Thistle Herb c/s), Herbs (Blessed Thistle Herb Powder), Herbs (Blue Violet Leaf c/s), Herbs (Borage Herb c/s), Herbs (borage seed powdered extract), Herbs (Brown Rice), Herbs (Brown Rice Cream/Meal), Herbs (Brown Rice Flour), Herbs (Buckthorn Bark powder), Herbs (Buckwheat, Flour), Herbs (Buckwheat, Grits), Herbs (Buckwheat, Groats), Herbs (Buckwheat, Hulled), Herbs (Buckwheat, Kasha), Herbs (Buckwheat, Whole), Herbs (Burdock Root c/s ), Herbs (Burdock Root Extract), Herbs (Butcher's Broom Root cut), Herbs (Cacao Nibs), Herbs (Cajun Spice), Herbs (Calamus Root c/s), Herbs (Calendula Flowers), Herbs (California Poppy Leaf c/s), Herbs (Cardamom Decorticated), Herbs (Cardamom Decorticated Ground), Herbs (Cardamom Pods Green), Herbs (Carrot Powder), Herbs (Cassia, Vietnamese), Herbs (Catnip Leaf &amp; Flower C/S), Herbs (Cat's Claw Powder), Herbs (Cayenne Powder 160K), Herbs (Cayenne Powder 90k), Herbs (Celendine Herb c/s), Herbs (Chamomile Flower TBC), Herbs (Chamomile Flowers Pollen), Herbs (Chamomile Flowers Powder), Herbs (Chamomile Flowers whole), Herbs (Chamomile Tea), Herbs (Chaste Tree Berries), Herbs (Chaste Tree Berries Powder), Herbs (Chia Seed), Herbs (Chinese Five Spice Blend), Herbs (Cinnamon Powder), Herbs (Cloves Powder), Herbs (Cloves Whole), Herbs (Cocoa Powder), Herbs (Coltsfoot Leaf c/s), Herbs (Comfrey Leaf c/s), Herbs (Comfrey Leaf Powder), Herbs (Comfrey Root c/s), Herbs (Comfrey Root Powder), Herbs (Cornsilk Herb c/s), Herbs (Dandelion Leaf c/s ), Herbs (Dandelion Leaf Powder), Herbs (Dandelion Root c/s), Herbs (Dandelion Root Powder), Herbs (Dandelion Root roasted c/s), Herbs (Dandelion tea bag - cut), Herbs (Darjeeling Tea), Herbs (Dill Weed Egyptian), Herbs (Dong Quai Root), Herbs (Dong Quai Root c/s), Herbs (Dong Quai Root Powder), Herbs (Dong Quai Root Sliced), Herbs (Dusle Leaf Whole), Herbs (Echinacea Angustifolia Herb c/s), Herbs (Echinacea Angustifolia Powder), Herbs (Echinacea Angustifolia Root c/s), Herbs (Echinacea Angustifolia Root Powder), Herbs (Echinacea Purpurea Herb c/s), Herbs (Echinacea Purpurea Herb Powder), Herbs (Echinacea Purpurea Herb TBC), Herbs (Echinacea Purpurea Root c/s), Herbs (Echinacea Purpurea Root Powder), Herbs (Elder Berries), Herbs (Elder Flowers c/s), Herbs (Elderberry Powder), Herbs (Elecampane Root c/s), Herbs (Eleuthero Root c/s), Herbs (Eleuthero Root Powder), Herbs (Essiac Tea - Trinity Blend), Herbs (Eyebright Herb Powder), Herbs (Fo-Ti Root Powder), Herbs (Fo-Ti Root Slices), Herbs (Garlic Granulated), Herbs (Garlic Minced), Herbs (Garlic Powder), Herbs (Garlic Salt), Herbs (Gentian Root c/s), Herbs (Ginger Root 1/4" cut- Indian), Herbs (Ginger Root Powder,Indian), Herbs (Ginger Root Whole, Indian), Herbs (Gingko Leaf cut), Herbs (Gingko Leaf Powder), Herbs (Golden Seal Leaf c/s), Herbs (Golden Seal Leaf powder), Herbs (Golden Seal root powder), Herbs (Grapeseed Powdered Extract), Herbs (Green Tea Fannings), Herbs (Gymnema sylvestre leaf c/s), Herbs (Gymnema sylvestre leaf Powder), Herbs (Hawthorn Berries Powder), Herbs (Hawthorn Berries Whole), Herbs (Hawthorn Leaf &amp; Flower c/s), Herbs (Hawthorn Powder), Herbs (Henna Leaf Powder Brown), Herbs (Henna Leaf Powder Red), Herbs (Herbs de Provence Herbs &amp; Spices), Herbs (Hibiscus Flower c/s), Herbs (Hibiscus Flower Powder), Herbs (Hibiscus Flower tbc), Herbs (Hibiscus Flower Whole), Herbs (Hops Flower), Herbs (Horehound Herb c/s), Herbs (Horny Goat Weed Herb c/s), Herbs (Horny Goat Weed Powder), Herbs (Hyssop Leaf c/s), Herbs (Icelandic Moss Herb c/s), Herbs (Juniper Berries Whole), Herbs (kiwi fruit powdered extract), Herbs (Lavender Flowers (Extra)), Herbs (Lavender Flowers (Select)), Herbs (Lavender Flowers (Super)), Herbs (Lecithin Powder), Herbs (Lemon Balm Leaf c/s), Herbs (Lemon Balm Leaf Powder), Herbs (Lemon Verbena Leaf c/s), Herbs (Lemongrass c/s), Herbs (Lemongrass TBC), Herbs (Licorice Root c/s), Herbs (Licorice Root Powder), Herbs (Licorice Root TBC), Herbs (Licorice Sticks), Herbs (Life Everlasting Flowers), Herbs (Linden Flowers &amp; Leaf cut), Herbs (Lovage Root c/s), Herbs (Maca Powder), Herbs (Maca Powder Gelatinized), Herbs (Maitake Mushrooms), Herbs (Marjoram Herb c/s), Herbs (Marshmallow Root Powder), Herbs (Milk Thistle Leaf c/s), Herbs (Milk Thistle Seed), Herbs (Milk Thistle Seed Powder), Herbs (Millet Flour), Herbs (Mugwort Herb c/s), Herbs (Mullein Leaf c/s), Herbs (Nettle Root c/s), Herbs (Nutmeg Powder), Herbs (Nutmeg Whole), Herbs (Oat Bran), Herbs (Oat Flour), Herbs (Oat Groats), Herbs (Oats), Herbs (Oats, rolled), Herbs (Oatstraw Herb c/s), Herbs (Olive Leaf Powder), Herbs (Onion Chopped), Herbs (Onion Granules), Herbs (Onion Minced), Herbs (Onion Powder), Herbs (Orange Peel TBC), Herbs (Oregano Leaf Powder), Herbs (Paprika Smoked), Herbs (Pepper Black Powder 14 Mesh), Herbs (Pepper Black Powder 32 Mesh), Herbs (Pepper Black Powder 60 Mesh), Herbs (Pepper Black Whole), Herbs (Peppermint Leaf c/s), Herbs (Peppermint Leaf Powder), Herbs (Peppermint Leaf TBC), Herbs (Pickling Spice ), Herbs (Plantain Leaf Powder), Herbs (Polygonum Cuspidatum Powdered Extract), Herbs (Pomegranate powdered extract), Herbs (Pomegranate Seed Powdered Extract), Herbs (Psyllium Husk), Herbs (Psyllium Husks - Powder), Herbs (Psyllium Husks - Whole), Herbs (Red Clover Blossoms), Herbs (Red Clover Blossoms c/s), Herbs (Red Clover Blossoms Powder), Herbs (Red Clover Blossoms Whole Premium), Herbs (Red Raspberry Leaf c/s), Herbs (Red Raspberry Leaf Powder), Herbs (Reishi Mushrooms), Herbs (Rhodiola Root Powder), Herbs (Rhubarb Root c/s), Herbs (Rhubarb Root Powder), Herbs (Rosehips Powder), Herbs (Rosehips Powdered Extract), Herbs (Rosehips TBC), Herbs (Rosehips Whole), Herbs (Rosemary Leaf Powder), Herbs (Rue Herb c/s), Herbs (Safflower Powdered Extract), Herbs (Sage Leaf cut), Herbs (Sage Leaf Ground), Herbs (Savory Leaf c/s), Herbs (Saw Palmetto Berries c/s), Herbs (Saw Palmetto Berries Powder), Herbs (Saw Palmetto powdered extract), Herbs (Seabuckthorn powdered extract), Herbs (Senna Leaf c/s), Herbs (Senna Leaf Powder), Herbs (Senna Leaf Whole), Herbs (Senna Pods), Herbs (Shavegrass Herb c/s), Herbs (Shavegrass Herb Powder), Herbs (Sheep Sorrel Herb c/s), Herbs (Sheep Sorrel Herb Powder), Herbs (Shepherd's Purse Herb c/s), Herbs (Shitake Mushrooms), Herbs (Slippery Elm Bark cotton cut), Herbs (Slippery Elm Bark Powder), Herbs (Soap Nut), Herbs (Sorghum), Herbs (Soy Flour), Herbs (Soy Flour, Roasted), Herbs (Soybean Meal), Herbs (Spearmint Leaf c/s), Herbs (Spearmint Leaf tbc), Herbs (Spelt), Herbs (Spelt Flour), Herbs (Spinach Powder), Herbs (Spirulina Powder (Chinese)), Herbs (Spirulina Powder (India)), Herbs (St. John's Wort Herb c/s), Herbs (St. John's Wort Powder), Herbs (Star Anise powdered extract), Herbs (Star Anise Seed), Herbs (Star Anise Seed Powder), Herbs (Stevia Leaf c/s), Herbs (Stevia Leaf Powder), Herbs (Stevia Leaf TBC), Herbs (Strawberry Leaf c/s), Herbs (Tansy Herb c/s), Herbs (Tarragon Leaf c/s), Herbs (Thyme c/s), Herbs (Thyme Leaf Powder), Herbs (Triphala Powder), Herbs (Triticale), Herbs (Triticale Flour), Herbs (Turmeric Root powder), Herbs (Turmeric Root slices), Herbs (Uva Ursi Leaf cut), Herbs (Uva Ursi Leaf Powder), Herbs (Valerian Root c/s), Herbs (Valerian Root Powder), Herbs (Vanilla Powder), Herbs (Various), Herbs (Vervain Herb Powder), Herbs (White Oak Bark c/s), Herbs (Wild Lettuce Herb c/s), Herbs (Wild Yam Root c/s ), Herbs (Wild Yam Root Powder ), Herbs (Wood Betony Herb c/s), Herbs (Wormwood Herb c/s), Herbs (Wormwood Herb Powder), Herbs (Yarrow Flowers c/s), Herbs (Yarrow Flowers Powder), Herbs (Yellowdock Root c/s), Honey (Honey), Hydrosol (Bay Laurel), Hydrosol (Carrot Seed), Hydrosol (Chocolate Mint), Hydrosol (Clary Sage), Hydrosol (Fennel), Hydrosol (Geranium), Hydrosol (Labrador Tea (Ledum)), Hydrosol (lavender), Hydrosol (Lavendula  ), Hydrosol (Lavendula Agustifolia), Hydrosol (Lemon Balm), Hydrosol (Lemon Balm (Melissa Officinalis)), Hydrosol (Lemon Verbena), Hydrosol (Orange), Hydrosol (Orange Blossom), Hydrosol (Oregano), Hydrosol (Peppermint), Hydrosol (Roman Chamomile), Hydrosol (Rose Geranium), Hydrosol (Rosemary), Hydrosol (Sage), Hydrosol (Thyme), Hydrosol (Various), Hydrosol (White Sage), Hydrosol (Yarrow), Inulin, IQF Fruit (IQF Pineapple), IQF Fruit (IQF Strawberry), Juice (Lime Juice), Juice (Various), Lecithin (Hydrolyzed Lecithin),</t>
  </si>
  <si>
    <t>Other: Brokering, Handling and Distribution of Organic Grains, Drying and Storage of Organic Grains</t>
  </si>
  <si>
    <t>Other: Almond kernels, Almonds, Apricot kernels, Apricots dried, Blend of long grain brown rice and red rice (Himalayan natural blend), Chilgoza, Chop dates with rice ﬂour, Chopped dates, Clariﬁed rice glucose syrup, Dates, Dates (with stone), Dates pitted, Dates syrup, Figs, Figs dried, Japonica (Round, Arborio, Sushi, Calrose, Risotto, Short Grain) Brown Rice, Japonica (Round, Arborio, Sushi, Calrose, Risotto, Short Grain) White Rice, Long grain broken rice, Long grain parboiled rice, Mango dehydrated, Mangoes, Mangoes, Mulberry, Mulberry dried, parboiled rice basmati husked, parboiled rice basmati milled, Pine nut kernels, Pinenuts, Raw basmati rice, Raw long grain rice, Red Rice Basmati, Red Rice Long Grain, Red Rice Round, resin black, Rice Basmati, Rice basmati brown, Rice Basmati parboiled brown, Rice Basmati white, Rice Broken Basmati Brown, Rice Broken Basmati Parboiled, Rice Broken Basmati White, Rice Broken Long grain Brown, Rice Broken Long grain Parboiled, Rice ﬂour, Rice long grain brown, Rice long grain white, Rice medium grain, Rice Protein, Rice syrup clariﬁed, Walnut kernel oil, Walnut Kernels, Walnuts, Wheat, Wheat (Khorasan), Wheat Flour, White super basmati rice</t>
  </si>
  <si>
    <t>Other Grains, Pastas and Cereals: Rice (Glutinous Rice (white/brown), Red Rice, Rice Berry, Thai Hom Mali Rice (white/brown))</t>
  </si>
  <si>
    <t>Other Grains, Pastas and Cereals: Wheat (Vital Wheat Gluten); Dry/Baking Goods: Flours and Meals (Wheat Starch)</t>
  </si>
  <si>
    <t>Other Grains, Pastas and Cereals: Cereal (Maize), Wheat (Wheat); Health Products: Herbs (Anise - dried, Basil - dried, Fennel, Geranium - fresh, Hibiscus - dried, Nigella - dried); Fruits/Vegetables: Vegetables (Beet, Garlic, Onion); Animal Feed: Livestock Feed (Clover); Other: Beans (Beans, Soybean), Seeds (Sesame)</t>
  </si>
  <si>
    <t>Processed  Items: Dehydrated Foods (Celery processed/dried, Fennel, processed/dried, Garlic - dried, Leek, processed/dried, Onion - dried); Other Grains, Pastas and Cereals: Cereal (Maize (corn)); Nuts/Seeds: Seeds (Caraway seeds, Flaxseed, Linseed (Linum usitatissimum)); Health Products: Herbs (Anise seeds, Basil - dried, Black cumin, Nigella (Nigella sativa) - dried, Calendula, Marigolds (Calendula officinalis) - dried, Chamomile (Matricaria chamomilla) - dried, Chilli, Pepper (Capsicum, Chili) - dried, Coriander (seeds), Cumin, caraway, Dill - dried, Fenugreek - dried, Henna leaf - dried, Hibiscus, Roselle, Carcade (Hibiscus sabdariffa) - dried, Lemongrass - dried, Liquorice, dried, Marjoram - dried, Moringa - dried, Oregano - dried, Parsley - dried, Peppermint (Mentha piperita) - dried, Rose - dried, Rosemary (Rosmarinus officinalis) - dried, Sage (Salvia officinalis) - dried, Spearmint (Mentha spicata) - dried, Thyme - dried); Other: Seeds (Sesame)</t>
  </si>
  <si>
    <t>Other Grains, Pastas and Cereals: Cereal (Maize), Wheat (Wheat); Health Products: Herbs (Basil - dried, Chamomile - dried, Parsley - dried, Peppermint - dried, Spearmint - dried); Fruits/Vegetables: Vegetables (Garlic, Onion); Fiber Textiles: Cotton (Cotton); Other: Beans (Beans, Soybean), Seeds (Sesame)</t>
  </si>
  <si>
    <t>Other: Alfalfa Dried Leaves, Alfalfa Fresh, Anise seeds, basil crushed leaves, Basil Fresh, Clover seeds, Corn/Maize seeds, Cotton seed, Cumin(Nigella Sativa), Echinacea Dried Crushed, Fennel Seeds, Garlic Fresh, Geranium fresh, Hibiscus dried flower, Jojoba seeds, leek dried leaves, Leek Fresh, lemongrass ( leaves crushed ), lemongrass Dried Leaves, Licorice Dried Crushed, Parsley Dried Leaves, Peppermint Dried crushed, Peppermint Dried Leaves, Red Beet, Rose Flower dried (cutted), rosemary leaves dried, Sage Leaves dried, senna leaves dried, sesame seeds, Spearmint Crushed, Spearmint Leaves dried, Wheat</t>
  </si>
  <si>
    <t>Processed  Items: Bellino Organic Pre-Cooked Polenta Tube, Cento Organic Certified San Marzano Tomatoes, Cento Organic Italian Crushed Tomatoes, Cento Organic Italian Whole Peeled Tomatoes, Cento Organic Pesto Sauce, Cento Organic Tomato Paste in a Tube, Cento Organic Vegetable Stock, Cento Organic Whole Cherry Tomatoes; Other Grains, Pastas and Cereals: Noodles (Anna Organic Whole Wheat Penne Rigate), Noodles (Anna Organic Whole Wheat Spaghetti); Oils &amp; Oleoresins: Oils (Bellino Organic EVOO), Oils (Cento Organic Balsamic Vinegar of Modena), Oils (Cento Organic EVOO); Dry/Baking Goods: Flours and Meals (Anna Organic TIPO "00" Flour); Condiments and Sweeteners: Vinegar (Bellino Organic Balsamic Vinegar of Modena), Vinegar (Cento Organic Raw Unfiltered Apple Cider Vinegar)</t>
  </si>
  <si>
    <t>Other: Grain Inoculation, Seed Bagging, Seed Cleaning</t>
  </si>
  <si>
    <t>Other: Coating, Inoculating, Treating, Packaging, and Labeling of Seed and Seed Mixes. Products listed above may be coated, treated, or inoculated with: Amplitude ST Broad-Spectrum, BIOST Insecticide 100 Biological Insecticide, BIOST Nematicide 100 Biological Nematicide, BIOST Organic VPH 9.0 5-0-0, Emereen 3916 Glycerine 99.7% USP, EVOIA AmpliFYR, Exceed Superior Legume Inoculant Exceed Peat for Alfalfa/True Clover Combination Peat, Exceed Superior Legume Inoculant Exceed Peat for Peanut/Cowpea /Lespedeza/Mung Bean Peat, Exceed Superior Legume Inoculant Exceed Peat for Soybean Peat, Exceed Superior Legume Inoculant for Pea, Vetch and Lentil Peat, Exceed Superior Legume Inoculant Traditional Liquid for Soybean Traditional Liquid, Exceed Superior Legume Inoculant Exceed Peat for Sainfoin Peat Exceed Superior Legume, Inoculant Exceed Traditional Liquid for Peas, Vetch &amp; Lentils Traditional Liquid, Heads Up Plant Protectant, ph Douglas Plant Health Myco Seed Treat, Nitro-Coat Organic for Legumes, Pre-Vail (Alfalfa and Sweet Clover, Alfalfa/True Clover Combination, True Clover), SabrEx Root Inoculant for Corn Corn LQ, SabrEx Root Inoculant for Corn or Wheat HC, PB, or LQ, Seed Start 200, SoilBiotics Organic 1r Seed Treatment, SoilBiotics Polymer for Seed, Summit Seed Coating Apex Green + Graph-Ex SA Inoculant Seed Lubricant, Summit Seed Coatings Apex Green Hydroloc, and Ultim-ST Agricultural Fungicide/Bactericide
Treated seed may not be sold or used as human food (including sprout production) or livestock feed, Conditioning, Mixing, Packaging, and Labeling of Seed Mixes including Alsike Clover/Yellow Blossom Clover, Barley/Pea Mix, Buffer Strip Mix, Cultivation Max CC8, Custom Mixes, Dairy Pro Mix, FinNMax CC11, Graze and Chop Mix, GrazeMax, Hay Mix, NitroMax CC1, Oat/Pea Mix, Pasture Mix, Plowdown Blend CC9, Renovator Mix, Triticale/Pea Mix, Succotash, SummerMax CC6, Turnip/Rapeseed Mix, ValueMax CC2, and WinterMax CC3, Conditioning, Packaging, and Labeling of Grain and Seed including Alfalfa,* Barley (spring, winter),* Beans (faba, pinto), Black eyed cow peas, Bromegrass (meadow, smooth), Buckwheat, Camelina (Winter), Clover (alsike, crimson, mammoth, red,* white, yellow blossom*), Corn (field, sweet), Einkorn, Emmer, Fescue (meadow, tall),* Festulolium,* Flax (golden), Lentils, Millet (Japanese, proso), Mustard (yellow), Oats,* Orchardgrass,* Peas (Austrian winter, field*), Radish, (Daikon, tillage), Rape (Polish),* Rye (winter, hybrid winter),* Ryegrass (annual, Italian, perennial),* Sainfoin,* Sorghum-Sudangrass, Soybeans, Spelt, Sudangrass, Sunflowers, Timothy, Triticale (spring, winter), Turnips (purple top), Vetch (common, hairy), Wheat (Einkorn, Hard Red Spring/Winter,* Soft Red Winter), and Screenings, Packaging and Labeling of Horticultural Seed and Planting Stock including Basil, Beans (bush, dried pole, wax), Beets, Broccoli, Cabbage, Carrots, Catnip, Cauliflower, Chard, Cilantro, Cucumbers, Dill, Garlic, Kale, Kohlrabi, Lettuce, Marigold, Melon (watermelon), Okra, Oregano, Pak Choi, Peas (shelling, snow, snap), Peppers (hot, sweet), Potatoes, Pumpkins, Radishes, Sage, Spinach, Squash (summer, winter), Swiss Chard, Thyme, Tomatoes, and Turnips</t>
  </si>
  <si>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</si>
  <si>
    <t>Processed  Items: Gousses de vanille, Graines de vanille, Vanille en poudre</t>
  </si>
  <si>
    <t>Other Grains, Pastas and Cereals: Pasta (Organic gluten free cassava pasta), Rice (Organic gluten free brown rice pasta)</t>
  </si>
  <si>
    <t>Other Grains, Pastas and Cereals: Grains (Brown Flax, Quinoa, Oats, Tapioca); Fruits/Vegetables: Vegetables (Onions (minced), Garlic, Pumpkin, Sunflower)</t>
  </si>
  <si>
    <t>Other: IQF Vegetables (Cilantro, IQF), Rice (Arborio (non-retail)), Rice (Basmati), Rice (Brown Long Grain (non-retail)), Rice (Brown Medium Grain (non-retail)), Rice (Brown Short Grain (non-retail)), Rice (Glutinous (non-retail)), Rice (Nerone (Black) Parboiled Rice (non-retail)), Rice (Rice Berries (non-retail)), Rice (Riceberry (Black Rice) (non-retail)), Rice (Thai Hom Mali (Jasmine)), Rice (White Long Grain (non-retail)), Rice (White Medium Grain (non-retail)), Rice (White Short Grain (non-retail)), Rice (Arborio), Rice (Basmati), Rice (Basmati) (Brown (non-retail)), Rice (Basmati) (Brown (retail)), Rice (Basmati) (Brown Basmati (Amy's Kitchen Item# 300021 non-retail)), Rice (Basmati) (Parboiled (non-retail)), Rice (Basmati) (Turmeric &amp; Cumin (retail)), Rice (Basmati) (White (non-retail)), Rice (Basmati) (White (previously packaged)), Rice (Basmati) (White (retail)), Rice (Basmati) (White Basmati (Amy's Kitchen Item# 300019 non-retail)), Rice (Jasmine), Rice (Jasmine) (Brown (non-retail)), Rice (Jasmine) (Red (Cargo) Rice (non-retail) ), Rice (Jasmine) (Red Cargo (Amy's Kitchen Item #AK300001 non-retail)), Rice (Jasmine) (Thai Hom Mali Brown Jasmine (non-retail)), Rice (Jasmine) (Thai Hom Mali White Jasmine (Amy's Kitchen Item# 300240 non-retail)), Rice (Jasmine) (Thai Hom Mali White Jasmine (non-retail) ), Rice (Jasmine) (White (non-retail)), Rice (Jasmine) (White Jasmine Rice (previously packaged)), Rice (Jasmine) (White Jasmine Rice Frozen (previously packaged)), Rice (Long Grain Brown), Rice (Long Grain White), Rice (Prepared) (Frozen Cooked - Basmati Rice), Rice (Prepared) (Frozen Cooked - Brown Jasmine Rice), Rice (Prepared) (Frozen Cooked - Jasmine Rice), Rice (Prepared) (Frozen Cooked - Thai Rice Medley), Rice (Prepared) (Frozen Cooked - Turmeric Basmati Rice with Cumin ), Rice (Prepared) (Frozen Cooked - White Rice), Rice (Wild) (Wild Rice (non-retail)), Rice (Wild) (Wild Rice Blend)</t>
  </si>
  <si>
    <t>Other Grains, Pastas and Cereals: pasta; Oils &amp; Oleoresins: Oils; Fruits/Vegetables: guacamole; Other: Flours and Meals, Powders, Quinoa, Rice</t>
  </si>
  <si>
    <t>Other Grains, Pastas and Cereals: Oats (Oat bran), Oats (Oat flakes); Dry/Baking Goods: Sugar (Demerara sugar)</t>
  </si>
  <si>
    <t>Other: Coriander green leaf, Lemon juice, Organic Basmati Rice, Organic Brown Rice, Organic Brown Rice &amp; Ancient Grains With Black Pepper, Organic Brown Rice&amp; Quinoa, Organic Cilantro Lime Rice, Ritika's Global Grains Organic Cilantro &amp; Lime Rice</t>
  </si>
  <si>
    <t>Other Grains, Pastas and Cereals: CORN, POPCORN, SUNFLOWER, WHEAT; Fruits/Vegetables: Beans (CHICKPEA), Beans (ADZUKI BEAN), Beans (BEAN), Beans (RED DARK BEAN), Beans (LIGH RED BEAN), Beans (MUNG BEAN), Beans (BLACK BEAN), Beans (SOYBEAN)</t>
  </si>
  <si>
    <t>Other Grains, Pastas and Cereals: Soybean; Animal Feed: Soy bean meal</t>
  </si>
  <si>
    <t>Other: Animal Feed (Hay), Hay (Alfalfa, Straw, Grain, Grass)</t>
  </si>
  <si>
    <t>Other: '100% Organic': Corn, soybeans, rice hulls,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Brokering and Trade in organic commodities -, Corn, soybeans, rice hulls, Triticale, 'Organic':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quinoa, brown rice (broken), rice bran, white rice, rye, roasted soybeans, sesame meal, soybeans (feed-grade, food-grade), soybean hulls, soybean meal, soybean oil, spelt, straw, sunflower meal, sunflower seed, sunflower oil, wheat bran, wheat, wheat midds, flax meal, rice bran</t>
  </si>
  <si>
    <t>Other: #Brokering and Trade in organic commodities.,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Corn, soybeans, rice hulls, Triticale.</t>
  </si>
  <si>
    <t>Other: Cold Pressed Hemp Seed Oil 250 ml, Dark Chocolate and Superberries 175 g, Grain Free Granola, Honey Flavour Seed Granola "Gut Lover", instant oatmeal with apple and cinnamon "Brain Boost", instant oatmeal with banana and coconut "Hunger Control", instant oatmeal with berries "Immunity Boost", instant oatmeal with peanuts "Gut Lover", Organic Cold Pressed Hemp Seed Oil, Organic Grain Free Seed Granola Honey Flavor "Gut Lover", Organic Grain Free Seed Granola Original "Hunger Control", Organic Grain Free Seed Granola Salted Caramel Flavor "Brain Boost", Organic Grain Free Seed Granola With Berries "Immunity Boost", Organic Hemp Seed Protein 32-36 %, 15kg, Organic Hemp Seed Protein 50 %, 15kg, Organic Hulled Hemp Seeds, 20 kg, Organic Peanut Spread with Guarana “Brain Boost”, Organic Seed Granola Bar with Acerola "Immunity Boost", Organic Seed Granola Bar with Ginger "Gut Lover", Organic Seed Granola Bar with Guarana "Brain Boost", Organic Shelled hemp seeds, 907g, Organic White Chocolate Flavor Cashew Spread with Green Coffee Beans “Zero Guilt”, Salted Caramel Flavor Seed Granola "Brain Boost", Savory Onion Power Seed Mix175 g, Seed Granola "Hunger Control", Seed Granola with Berries "Immunity Boost", Strength and Beauty Hulled Hemp Seeds 175 g, Strength and Beauty Hulled Hemp Seeds 350 g</t>
  </si>
  <si>
    <t>Trees/Whole Plant Products/Flowers: Seeds (MILLET); Other Grains, Pastas and Cereals: POPCORN; Nuts/Seeds: BLACK CHIA, CHIA (Salvia hispanica L), FLAX, SESAME, WHITE CHIA; Fruits/Vegetables: Beans (RED BEAN), Beans (BEAN), CHICKPEA</t>
  </si>
  <si>
    <t>Other Grains, Pastas and Cereals: Cereal (Maize Grain), Wheat (Wheat Grain); Other: Black Cumin Seeds, Sunflower Seeds</t>
  </si>
  <si>
    <t>Other: Brokering organic grain, Storing organic grain, Transporting organic grain, Wheat</t>
  </si>
  <si>
    <t>Other: ASB Sourdough Starter (WIP), K12 Bagels, Plain, Mighty Everything Bread, Mighty Power Grain Bread, Mighty Whole Wheat Bread, Plain Bagels, Sprouted California Style Bread, Sprouted Cinnamon Raisin Bagels, Sprouted Cinnamon Raisin Bagels, Sprouted Cinnamon Raisin Bread, Sprouted Diabetic Lifestyles Low Glycemic Bread, Sprouted Everything Bread Thin Sliced, Sprouted Flax &amp; Chia Thin Sliced Bread, Sprouted Flax and Chia Bread 24 oz., Sprouted Flax Seed Bread, Sprouted Hamburger Buns, Sprouted Hot Dog Buns, Sprouted Keto Multi-Grain Bread, Sprouted Multi-Grain Bread, Sprouted No Salt Added Multi-Grain Bread, Sprouted Onion Poppyseed Bagels, Sprouted Org Wheat Berries, Sprouted Org White Wheat Berries, Sprouted Sesame Seed Bagels, Sprouted Sourdough Bread, Sprouted Sourdough Bread, Sprouted Sourdough Keto Bread, Sprouted Wheat Bagels, Sprouted Wheat Bagels, Sprouted Wheat Everything Bagels, Sprouted Wheat Hamburger Buns, Sprouted Wheat Hot Dog Buns, Sprouted Wheat Multi-Grain Bread, Sprouted Wheat Multi-Grain Very Low Sodium, Sprouted Whole Wheat Bread, Sprouted Whole Wheat Bread, Sprouted Whole Wheat Bread Thin Sliced, Whole Wheat Starter/ Starter Keeper</t>
  </si>
  <si>
    <t>Processed  Items: Rice Protein, Rice syrup brown, Rice syrup clariﬁed, Sesame seed, Tapioca syrup; Other Grains, Pastas and Cereals: Rice (Rice basmati super brown), Rice (Rice basmati super parboiled), Rice (Rice basmati super white), Rice (Rice ﬂour brown), Rice (Rice ﬂour white), Rice (Rice super basmati brown parboiled), Rice (Round rice brown), Rice (Round rice parboiled), Rice (Round rice white), Rice (Basmati Rice Brown), Rice (Basmati Rice White), Rice (Basmati Steamed Rice white), Rice (Broken Rice), Rice (Japonica Rice Brown), Rice (Japonica rice paddy), Rice (Japonica Rice Parboiled), Rice (Japonica Rice White), Rice (Long Grain Broken Brown Rice), Rice (Long grain broken white rice ( reciepe 02 )), Rice (Long Grain Brown Broken rice), Rice (Long Grain Brown Rice,), Rice (Long grain parboiled brown rice), Rice (Long grain parboiled rice), Rice (Long Grain Parboiled White Rice), Rice (Long grain steamed rice), Rice (Long Grain white Rice), Rice (Long grain white rice - broken), Rice (Non Basmati Brown Rice), Rice (Non Basmati White Rice); Other: Paddy (basmati), Paddy (non basmati), Paddy Long Grain, Paddy round rice</t>
  </si>
  <si>
    <t>Nuts/Seeds: Black and White sesame grain*; Other: Chia*</t>
  </si>
  <si>
    <t>Other: Acai, Activated Charcoal, Amla, Ashwagandha, Ashwagandha Root, Bacopa, Barley Grass, Basil, Broccoli, Cacao Powder, Cacao Raw Nibs, Camu Camu, Ceylon Cinnamon, Chia Seed, Chlorella, Cocoa Powder, Coconut Flour, Dragon Fruit, Dried Ginger Slices, Fenugreek, Flax Seeds, Ginger, Ginger Root, Goji Berries, Golden Berries, Ground Flaxseed, Gymnema, Heirloom Pumpkin Seeds, Hemp, Henna Leaves, Hibiscus Petals, Hulled Sesame Seeds, Lions Mane Mushroom, Maca, Maca Root, Moringa, Neem, Papaya, Pea Protein (Unflavored), Pomegranate, Psyllium Husk, Quinoa Red Grain, Quinoa White Grain, Raw Cacao Nibs, Raw Cocoa, Senna, Shatavari, Spirulina, Strawberry, Sunflower Kernels, Sweet Potato, Tribulus, Triphala, Turmeric, Turmeric Curcumin with BioPerine 1500 mg PS, Turmeric Curcumin with BioPerine 2250 mg PS, Wheat Grass, Wheatgrass, Whole Flaxseed</t>
  </si>
  <si>
    <t>Processed  Items: Cat's claw bark, Quinoa (Black quinoa powder); Nuts/Seeds: Chia Seed, Quinoa Grain; Other: Banana Powder, Black maca dried, Gelatinized maca mix capsules, Maca chips, Turmeric</t>
  </si>
  <si>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</si>
  <si>
    <t>Other Grains, Pastas and Cereals: Quinoa (ORGANIC QUINOA WHITE); Nuts/Seeds: Almonds (Almond), Brazil Nut (Brazil Nuts), Cashew Nuts (Cashews), Hazelnut (ORGANIC HAZELNUT), Nuts (Caocao Nibs), ORGANIC PUMPKIN SEEDS, ORGANIC SUNFLOWER SEEDS, Pecans (ORGANIC PECANS HALVES), Walnuts (ORGANIC WALNUTS LIGHT); Fruits/Vegetables: Berries (ORGANIC GOJI BERRY), Dates, Mixed Fruit (Banana Chips), Mixed Fruit (Apricots), ORGANIC FIGS, ORGANIC MANGO, ORGANIC RAISINS BLACK, ORGANIC RAISINS GOLDEN</t>
  </si>
  <si>
    <t>Processed  Items: Soy Lecithin, Soy Lecithin Bleached; Preservatives/Extracts/Flavors: Canola Deodorized Distillates, Soy Deodorized Distillates; Other Grains, Pastas and Cereals: Canola, Corn, Oats, Soy Hull Pellets, Soy Hulls, Soybeans; Oils &amp; Oleoresins: Oils (Canola Crude Oil), Oils (Canola Oil RBD), Oils (Flax Oil, Debittered), Oils (Flax Oil, Non-Debittered), Oils (High Oleic Sunflower Oil Crude), Oils (High Oleic sunflower Oil RBD), Oils (Soy Oil RBD), Oils (Soybean Crude Oil); Nuts/Seeds: Flax; Dry/Baking Goods: Flours and Meals (Canola Meal), Flours and Meals (Flax Meal), Flours and Meals (Soybean Meal), Flours and Meals (Low Fat Soy Flour; Full Fat Soy Flour)</t>
  </si>
  <si>
    <t>Other Grains, Pastas and Cereals: Other Other Grains, Pastas and Cereals - Black Lentils, Other Other Grains, Pastas and Cereals - Brown Lentils, Other Other Grains, Pastas and Cereals - Brown Teff, Other Other Grains, Pastas and Cereals - French Lentils, Other Other Grains, Pastas and Cereals - Green Lentils, Other Other Grains, Pastas and Cereals - Lentils, Other Other Grains, Pastas and Cereals - Red Lentils, Other Other Grains, Pastas and Cereals - Yellow Lentils, Quinoa (Tri-Color Quinoa); Nuts/Seeds: Other Nuts/Seeds - Alpiste Canary Seeds, Other Nuts/Seeds - Chia Seeds; Fruits/Vegetables: Beans (Black Beans), Beans (Garbanzo Beans), Beans (Red Kidney Beans); Condiments and Sweeteners: Syrups (Brown Rice Syrup); Beverage Related Products: Other Beverage Related Products - Black Tahini</t>
  </si>
  <si>
    <t>Other: Blend (A2/A2 Whole Milk Shake - Strawberry Crème), Blend (A2/A2 Whole Milk Shake Banana Blueberry Blast), Blend (A2/A2 Whole Milk Shake Banana Crème), Blend (A2/A2 Whole Milk Shake Mango Pear-adise), Blend (A2/A2 Whole Milk Shake Triple Berry), Blend (A2/A2 Whole Milk Smoothie Orange Squeeze), Blend (Apple Cinnamon Applesauce), Blend (Apple Strawberry Applesauce), Blend (Baby Advanced Nutrition Fruit &amp; Veggie Blend - Ancient Grains &amp; Greens), Blend (Baby Advanced Nutrition Fruit &amp; Veggie Blend - Cauliflower Fields), Blend (Baby Advanced Nutrition Fruit &amp; Veggie Blend - Oats &amp; Roots), Blend (Baby Advanced Nutrition Fruit &amp; Veggie Blend - Power Bowl), Blend (Baby Fruit &amp; Veggie Blend - Apple &amp; Sweet Potato), Blend (Baby Fruit &amp; Veggie Blend - Apple, Banana &amp; Kale), Blend (Baby Fruit &amp; Veggie Blend - Apple, Banana &amp; Kale (with Flax Seed)), Blend (Baby Fruit &amp; Veggie Blend - Apple, Blueberry &amp; Sweet Potato), Blend (Baby Fruit &amp; Veggie Blend - Apple, Carrot, Beet &amp; Ginger), Blend (Baby Fruit &amp; Veggie Blend - Apple, Strawberry, Banana &amp; Beet), Blend (Baby Fruit &amp; Veggie Blend - Peach, Mango, Apple &amp; Squash with Basil), Blend (Baby Fruit &amp; Veggie Blend - Pear, Apple, Cranberry &amp; Beet), Blend (Baby Fruit &amp; Veggie Blend - Pear, Carrot &amp; Mango), Blend (Baby Fruit &amp; Veggie Blend - Pear, Squash &amp; Raspberry), Blend (Baby Fruit &amp; Veggie Blend - Pear, Strawberry &amp; Carrot),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 Baby Oatmeal Blend - Apple), Blend (Dairy-Free - Baby Oatmeal Blend - Banana), Blend (Dairy-Free - Baby Oatmeal Blend - Pear &amp; Blueberry), Blend (Dairy-Free - Coconut Milk Yogurt Alternative - Ba-Nilla), Blend (Dairy-Free - Coconut Milk Yogurt Alternative - Mixed Berry), Blend (Dairy-Free - Coconut Milk Yogurt Alternative - Strawberry Banana), Blend (Dairy-Free - Overnight Oats - Apple &amp; Cinnamon), Blend (Dairy-Free - Overnight Oats - Blueberry), Blend (Dairy-Free - Overnight Oats - Strawberry), Blend (Dairy-Free - Smoothie - Berry Berry (Melange de baies)), Blend (Dairy-Free - Smoothie - Coco for Mangoes), Blend (Dairy-Free - Smoothie - Go-Go Greens (Smoothie Vert)), Blend (Dairy-Free - Smoothie - Strawberry Banana Swirl (Fraise et banane)), Blend (Dairy-Free - Smoothie - Tropical Twirl), Blend (Dairy-Free - Smoothie Peach Sunrise), Blend (Farmer Jen &amp; The Giant Squash), Blend (Farmer Jen's Pumpkin Apple Pie), Blend (Farmer Jen's Pumpkin Oatmeal Cookie), Blend (Farmer Jen's Pumpkin, Apple &amp; Carrot), Blend (Farmer Jen's Sweet Potato Pie), Blend (Fruit &amp; Veggie Blend - Apple Blends ), Blend (Fruit &amp; Veggie Blend - Apple, Banana, Spinach &amp; Avocado), Blend (Fruit &amp; Veggie Blend - Banana Strawberry Beet), Blend (Fruit &amp; Veggie Blend - Blueberry Buckle), Blend (Fruit &amp; Veggie Blend - Cran-Berry Smash), Blend (Fruit &amp; Veggie Blend - Green Kale &amp; Apples with Hemp Seed (Apple, Banana &amp; Kale with Hemp Seed)), Blend (Fruit &amp; Veggie Blend - Mama Blueberry (Apple Sweet Potato Blueberry with Coconut Milk - Pomme patate douce bleuet et lait de coco)), Blend (Fruit &amp; Veggie Blend - Oh My Mega Veggie (Apple Carrot Beet with Ginger &amp; Flax - Pomme carotte betterave et gingembre et lin)), Blend (Fruit &amp; Veggie Blend - Strawberry Patch (Strawberry, Squash, Coconut)), Blend (Fruit &amp; Veggie Blend - Wild Rumpus Avocado (Pineapple Banana Avocado with Mint - Ananas banane avocat et menthe)), Blend (Fruit Blend - Mango), Blend (Fruit Blend - Pear with Ginger), Blend (Immunity Blend - Apple Cherry Elderberry), Blend (Immunity Blend - Blueberry, Banana, &amp; Ginger), Blend (Immunity Blend - Mango Banana Spirulina), Blend (Immunity Blend - Pineapple Banana Dragon Fruit), Blend (Meal Starters - Grains - Ancient Grain Bowl), Blend (Meal Starters - Grains - Sweet Spinach &amp; Barley), Blend (Meal Starters - Legumes - Cajun Beans), Blend (Meal Starters - Legumes - Curried Carrot &amp; Beans), Blend (Meal Starters - Legumes - Greens &amp; Beans), Blend (Meal Starters - Legumes - Mexican Black Beans), Blend (Meal Starters - Legumes - Mint to be Mediterranean), Blend (Meal Starters - Legumes - Reds, Greens &amp; Black Beans), Blend (Meal Starters - Legumes - Veggie Burrito Bowl), Blend (Meal Starters - Veggies - Golden Cauliflower &amp; Carrot), Blend (Meal Starters - Veggies - Mango &amp; Sweet Potato Medley), Blend (Meal Starters - Veggies - Papaya Sunrise), Blend (Meal Starters - Veggies - Peas Pass the Greens), Blend (Meal Starters - Veggies - Ratatouille), Blend (Meal Starters - Veggies - Sofrito &amp; Cauliflower), Blend (Meal Starters - Veggies - Veggie Pot Pie), Blend (Miscellaneous - Apple Sweet Potato Blueberry 7+ months), Blend (Miscellaneous - Pear, Carrot &amp; Mango 7+ months), Blend (Oatmeal &amp; Fruit - Banana Berry Acai), Blend (Oatmeal &amp; Fruit - Mixed Berry Crumble), Blend (Pasta Meals - Cauli-fredo &amp; Spinach), Blend (Pasta Meals- Pomodoro), Blend (Plant-Rich Meals - Blueberry, Carrot &amp; Navy Bean), Blend (Plant-Rich Meals - Butternut Squash, Kale &amp; Quinoa), Blend (Plant-Rich Meals - Quinoa, Pineapple, Cauliflower &amp; Coconut Milk), Blend (Plant-Rich Meals - Sweet Potato, Mango &amp; Coconut Milk), Blend (Plant-Rich Meals - Sweet Potato, Pineapple, Coconut Butter &amp; Date), Blend (Smart Blend - Bananas for Apples &amp; Greens), Blend (Smart Blend - Pear-y Blueberry &amp; Spinach), Blend (Smart Blend - Pine-Apple Berry Punch), Blend (Smart Blend - Ras-pear-y Kale), Blend (Various Multi-Packs of Client Profile Products), Blend (Veggie Blend - Butternut Squash with Cinnamon), Bread (Traditional Herb Stuffing (No Current Production) )</t>
  </si>
  <si>
    <t>Trees/Whole Plant Products/Flowers: Seeds (Hemp Seeds), Seeds (Poppy Seeds), Seeds (Hemp Seeds), Seeds (Poppy Seeds); Other Grains, Pastas and Cereals: Quinoa (Quinoa), Quinoa (Quinoa); Nuts/Seeds: Almonds (Almonds), Almonds (Almonds), Brazil Nut (Brazil Nut), Brazil Nut (Brazil Nut), Cashew Nuts (Cashew Nuts), Chia Seeds, Black, Hazelnut (Hazelnuts/Filberts), Hazelnut (Hazelnuts/Filberts), Macadamia (Macadamia), Macadamia (Macadamia), Pepitas, Pepitas, Pine Nuts (Pine Nuts), Sunflower Seeds, Sunflower Seeds, Walnuts (Walnuts); Fruits/Vegetables: Apricots, Dried, Banana, Dried, Banana, Dried, Berries (Mulberries, Dried), Coconuts, Dried, Coconuts, Dried, Dates/Dates with Org Rice Flour, Dates/Dates with Org Rice Flour, Figs, Goji Berries, Dried, Goji Berries, Dried, Goldenberries, Goldenberries, Mango, Dried, Mango, Dried, Papaya, Dried, Papaya, Dried, Pineapple, Dried, Pineapple, Dried, Raisins, Raisins</t>
  </si>
  <si>
    <t>Bread/Bakery/Snacks: Popcorn; Other: Grain Cleaning, Popcorn Packaging</t>
  </si>
  <si>
    <t>Other: Alfalfa (Pellets, Meal), Almond Hulls, Animal Feed (By-O-Reg+), Animal Feed (High Energy Feed Dried Molasses), Animal Feed (PRO Series Organic Premix), Animal Feed (Timothy Pellets/Meal), Barley (Bulk), Beans (Chick Pea Flour), Beans (Garbanzo), Beef (Soup Bone Mix), Blueberries, Broker (Client Profile Products only) (Brokering ), Carrots (Meal), Carrots (Whole), Chia (Black Seeds), Chicken (Meat) (Meal), Coconut (Coconut Flour, Meal), Corn (Bulk, Screenings), Cotton, Cottonseed (Whole), Feed (Dairy Pellet 18%), Feed (Feed Milling Pellets), Feed (Feed Pellet), Feed (Feed Pellet 12%), Feed (Feed Pellet 14%), Feed (Feed Pellet 16%), Feed (Kelp Meal), Feed (Kem Glo Dry), Feed (Oro Glo Dry), Feed (Rice Cake), Feed (Rice Protein), Flax (Flax Seed, Meal, Screenings), Grains (Dried Distillers Grains (DDG)), Grains (Grain Screenings, Mixed Grain Screenings), Grains (Ground Grain, Ground Grain Screenings), Grains (Hominy), Grains (Millrun, Millrun Pellets), Grinding (Client Profile Products only), Handling (Client Profile Products only) (Transloading), Hay (Oat Hay), Lentils, Manufacturing (Client Profile Products Only) (Pelleting ), Meals (Guar), Millet, Milo (Bulk), Milo (White Milo/Sorghum), Mixing (Client Profile Products only) (Blending/Mixing), Molasses (Bulk), Oats (Bulk), Oats (Hulls), Oils (Canola Oil), Oils (Soybean Oil), Oils (Sunflower Oil), Packing (Client Profile Products only) (Packing into Totes), Paprika, Peas, Peas (Bulk), Peas (Pea Protein), Pet Food (Organic Ingredient Blend #1), Pet Food (Organic Ingredient Blend 1900A), Pet Food (Organic Ingredient Blend 1900B), Pet Food (Organic Ingredient Blend 2350 Feline), Pet Food (Organic Premix with Grain 1626), Pet Food (Trouw Nutrition Dog Vitamin Premix Dry, Wet), Potatoes, Potatoes (Pellets), Potatoes (Whole Potato Powder), Pumpkin Seed, Quinoa, Rice, Rice Bran, Rice Cakes, Rice Protein, Rye, Seed (Canola Meal), Seed (Canola Seed), Seed (Rapeseed Meal), Seed (Safflower Meal), Sesame (Seed Meal), Soybeans (Roasted), Soybeans (Soy Hulls, Soy Hull Pellets, Soybean Meal), Soybeans (Whole), Storage, Sugar (Cane), Sunflower Seed ((Meal) Pellets), Sunflower Seed (Black Oil Sunflower), Sunflower Seed (Meal), Sweet Potatoes (Meal), Sweet Potatoes (Pellets), Sweet Potatoes (Whole Sweet Potato Powder), Sweet Potatoes (Whole Sweet Potatoes), Tapioca (Starch), Triticale (Triticale), Wheat (Bulk, Wheat Screenings, Wheat Bran)</t>
  </si>
  <si>
    <t>Other: Custom Cold Storage for Grain Millers Inc including Barley, Chia, Corn, Flax, Lentils, Peas, Quinoa, Rye, Soybeans, and Spring Wheat</t>
  </si>
  <si>
    <t>Other Grains, Pastas and Cereals: Rice (Black cargo rice, Black rice, Black sticky cargo rice, Chainat 1 (white and brown), Hommali rice (white and brown), Hommali rice, Local Red Rice (Mah Yaeng) (white and brown), Local rice varities, RD 15 rice, RD15 rice (white and brown), Red cargo rice, Red Rice, Red sticky cargo rice, Red Sticky Rice, Rice Berry rice, Sticky rice ( white and brown), Sticky Rice (RD 6))</t>
  </si>
  <si>
    <t>Other Grains, Pastas and Cereals: Rice (By Products (broken rice, rice bran), Hommali (paddy), Hommali White/Brown Rice)</t>
  </si>
  <si>
    <t>Other: Beans, Bread, Cheese, Chocolate, Dairy, Dates (Medjool), Dried Fruits, Eggs, Flour, Fresh Fruit, Frozen Fruits, Grains, Greens, Herbs, Lentils, Milk Products, Mushrooms, Nut Butter, Nuts, Oils, Pasta, Rice, Seeds, Snack Foods, Spices, Sweetener, Vegetables, Vegetables (Frozen)</t>
  </si>
  <si>
    <t>Other: Cambodian organic black rice, Cambodian organic broken white jasmine rice A1 Super SPP fairtrade, Cambodian Organic broken White Jasmine SPP Rice A1 Super, Cambodian Organic Brown Jasmine Broken Rice A1 Super, Cambodian Organic brown Jasmine broken rice A1 super Extra, Cambodian organic brown jasmine rice, Cambodian organic brown red Jasmine broken rice A1 Super Extra, Cambodian organic brown red jasmine rice, Cambodian Organic Brown Rice 100% Broken, Cambodian organic long grain brown jasmine rice SPP fairtrade, Cambodian Organic Long Grain Brown Jasmine SPP Rice, Cambodian Organic Long Grain Brown Parboiled Rice, Cambodian organic long grain brown rice, Cambodian Organic Long Grain Brown Rice, Cambodian organic long grain jasmine milled rice SPP fairtrade, Cambodian organic long grain jasmine semi milled rice SPP fairtrade, Cambodian organic long grain jasmine unpolished rice SPP fairtrade, Cambodian Organic Long Grain Milled Run Brown Rice, Cambodian Organic Long Grain Milled Run Unpolished White Rice, Cambodian Organic Long Grain Parboiled Rice, Cambodian Organic Long Grain Parboiled Rice 100% Broken, Cambodian Organic Long Grain Parboiled Rice SPP Fairtrade, Cambodian organic long grain red jasmine rice SPP fairtrade, Cambodian Organic Long Grain Red Jasmine SPP Rice, Cambodian Organic Long Grain Semi Milled rice, Cambodian Organic Long Grain White Jasmine SPP Rice, Cambodian Organic Long Grain White Jasmine Unpolished Rice, Cambodian organic long grain white rice, Cambodian Organic Long Grain White Rice, Cambodian Organic Long Grain White Rice 100% Broken, Cambodian Organic Medium Grain Brown Rice, Cambodian Organic Medium Grain Milled Run Brown Rice, Cambodian Organic Medium Grain Milled Run Unpolished White Rice, Cambodian Organic Medium Grain Parboiled Rice, Cambodian Organic Medium Grain Semi Lightly Milled Rice, Cambodian Organic Medium Grain White Rice, Cambodian Organic Medium Grain White Rice 100% Broken, Cambodian Organic red Jasmine Broken rice A1 super extra, Cambodian Organic Red Jasmine Rice, Cambodian Organic White Jasmine Broken Rice A1 Super, Cambodian Organic White Jasmine Broken Rice A1 Super Extra, Cambodian Organic White Jasmine Rice, Cambodian organic white rice 100% broken, Cambodian Organic white rice 100% broken, Cambodian organic white rice paper, Cambodian Organic White Rice Paper, Organic Brown Rice Paper, Organic brown rice paper, Organic Ocean's Halo Purple Spring Roll Rice Wraps, Organic Ocean's Halo Spring Roll Rice Wraps, Rice husk</t>
  </si>
  <si>
    <t>Other: Fungal Products (Fruiting Blocks - Lion's Mane, Reishi, Turkey Tail, Cordyceps, Maitake, Shiitake, Blazeii, King Trumpet, and Oyster Mushrooms), Fungal Products (Myceliated Grain- Blazeii), Fungal Products (Myceliated Grain- Chaga), Fungal Products (Myceliated Grain- Cordyceps), Fungal Products (Myceliated Grain- Lions Mane), Fungal Products (Myceliated Grain- Maitake), Fungal Products (Myceliated Grain- Reishi), Fungal Products (Myceliated Grain- Shiitake), Fungal Products (Myceliated Grain- Turkey Tail)</t>
  </si>
  <si>
    <t>Other: Acerola Orgânica Liofilizada/Organic lyophilized acerola, Erva Mate Cancheada, Erva Mate, Moída, Erva Mate 5mm, Erva Mate 2mm, Erva Mate 1mm, Erva Mate 1mm -7mm, Erva Mate Pó, Erva Mate Misto de Folhas, Erva Mate Tostada 1mm,Erva Mate Tostada 2mm, Erva Mate Tostada 5mm, Erva Mate Tostada, Escuro 2mm, Erva Mate Tostada Escuro 5mm e Misto de Folhas Tostado) Erva Mate Terere Organic, Maté leaves, Erva Mate Orgânica/Organic Yerba Mate, Extrato seco de Urucum / Organic Urucum Dry Extract, Extrato Seco Orgânico de Ginseng Brasileiro / Ginseng dry extract, Ginseng Brasileiro/Brazilian Ginseng (Pfaffia glomerata), Guaraná desidratado (Paullinia cupana), Guaraná em grão/Guaraná in grain, Óleo de Pequi</t>
  </si>
  <si>
    <t>Processed  Items: Cashew Nuts (Organic fresh cashew), Cereal (Organic 4-grain mixed rice, Organic Buckwheat seeds, Organic Hulled Millet, Organic mixed Quinoa, Organic oat, Organic Pearl barley/coix , Organic white quinoa, Organic Yellow Popcorn Kernels), Dehydrated Foods (Organic oyster sauce vegetarian), Dehydrated Foods (Organic Dried Potato, Organic dried apple, Organic dried burdock, Organic dried seedless lime, Organic dried stevia, Organic dried sweet potato, Organic Goji Berries), Organic baby rice cracker (apple flavour), Organic baby rice cracker (chickpea, pumpkin), Organic baby rice cracker (lentils, carrots), Vegan nutritional cereal popsicles, Instant organic porridge for babies ( chickpea and pumpkin), Instant organic porridge for babies (lentils and carrot), Organic rice cracker for babies (cashews, spinach), Organic Rice Cracker with Nutritious Seeds, Organic Soybean, Organic soybean (Peeled skin), Organic yellow pea, Organic almonds, Organic Azuki bean, Organic black bean, Organic broken mung bean, Organic chickpea, Organic Dessicated Coconut (Organic Coconut Flakes), Organic Green Lentils, Organic green pea, Organic Kidney beans (white), Organic Kidney black beans , Organic Kidney red beans , Organic Mung bean (organic green bean), Organic Mungbean (Peeled skin), Organic Nutrition Bar, Organic Pinto Bean, Organic red lentil; Other Grains, Pastas and Cereals: Rice (Organic 6-grain mixed rice, Organic rice cakes); Oils &amp; Oleoresins: Oils (Organic fish sauce vegetarian), Oils (Organic Almond Oil Cold Pressed , Organic Canola Oil Refined , Organic cold pressed chia seed oil, Organic cold pressed peanut oil, Organic Cold Pressed Sunflower Oil, Organic Flaxseed Oil Cold Pressed, Organic Hemp Seed Oil Cold Pressed , Organic Olive Oil Cold Pressed , Organic Rice Bran Oil Refined , Organic Sesame Seed Oil Cold Pressed , Organic Soybean Oil Refined , Organic Sunflower Oil Refined , Organic Walnut Oil Cold Pressed); Nuts/Seeds: Nuts (Instant organic porridge for babies (cashew and spinach)), Nuts (Organic Cashew nuts (Broken Kernel), Organic nut milk powder No. 3 (from 19 nutritional nuts), Organic roasted salted cashews (no skin), Organic Salt roasted cashews(with skin)), Peanuts (Organic peanuts); Health Products: Herbs (Organic Nut Milk Mix Cordyceps), Herbs (Organic "Luc Bao An" Tea, Organic asia grass jelly nut milk tea, Organic Emerald tea, Organic mango jelly nut milk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milks mix Goji berry, Organic pineapple jelly nut milk tea), Herbs (Organic chrysanthemums flowers, Organic Nutritional Sesame Salt , Organic tea jujube, goji berry, chrysanthemum , Organic walnut, Organic wheatgrass); Fruits/Vegetables: Dehydrated Foods (Organic black goji berries, Organic Black Jujube, Organic Dates, Organic Hotan Red Jujube, Organic Jujube, Organic Jujube Covered Cashew), Powders (Vegetable seasoning powder for babies), Powders (Nut Milk powder mixed with cordyceps, Nut Milk powder mixed with Goji berry, Organic nut milk powder No. 1 (from 12 nutritious nuts), Organic nut milk powder No. 2 - 16 nuts (less sugar), Organic nut milk powder No. 2 (from 16 nutritious nuts), Organic nutrition powder No. 1 (5 types of seeds), Organic Nutritional Powder No. 2 (9 types of seeds), Organic vegetable seasoning powder); Dry/Baking Goods: Flours and Meals (Tapioca starch); Condiments and Sweeteners: Sweeteners (Erythritol, Kasib Organic Cane Sugar 1kg, Kasib Organic Cane Sugar 400g, Kasib Organic cane sugar in 25kg bag); Other: Mixed Organic seeds No. 1, Mixed Organic seeds No. 10, Mixed Organic seeds No. 12, Mixed Organic seeds No. 13, Mixed Organic seeds No. 2, Mixed Organic seeds No. 3, Mixed Organic seeds No. 4, Mixed Organic seeds No. 5, Mixed Organic seeds No. 6, Mixed Organic seeds No. 8, Mixed Organic seeds No. 9, Mixed 7 organic seeds, Mixed Organic seeds No. 11, Mixed Organic seeds No.7, Organic black Seasame , Organic chia seed, Organic dried hibiscus, Organic Flax brown seed , Organic Flax gold seed, Organic hemp seed, Organic Pumpkin Seed, Organic Sunflower Kernel, Organic sunflower seed, Organic white Seasame</t>
  </si>
  <si>
    <t>Other: Flour (Whole Wheat), Flour (Whole Wheat) (Durum Iraq), Flour (Whole Wheat) (Ethiopian Emmer Stone Ground), Flour (Whole Wheat) (Sonora Stone Ground), Flour (Whole Wheat) (Stone Ground Cracked Whole Durum Wheat), Lentils (yellow), Pasta (Durum Iraq Whole Wheat Pasta - Spirals, Vermicelli, and Ribbons), Pasta (Ethiopian Emmer Wheat Spirals), Pasta (Ethiopian Emmer Wheat Vermicelli), Pasta (Sonora Wheat Pasta - Spirals, Ribbons, Vermicelli), Wheat (grain)</t>
  </si>
  <si>
    <t>Other: #Manufacturing of puffed and milled grains for further processing -, *Coarse Ground Brown Rice, *Organic Pre-gel Powders: Amaranth, * Brown Rice, *Brown Rice Coarse Ground, *Buckwheat, * Millet, *Oats, *Quinoa, *Sorghum (Light, *Dark), *Sorghum Course Ground, *Toasted Quinoa, *Puffed Brown Rice, *Puffed Grains: Amaranth, *Brown Rice, *Buckwheat, *Corn, *Millet, *Oats, *Quinoa, *Sorghum (Light, *Dark), *Toasted Quinoa, *Quinoa Flakes, *Puffed Grains: Brown Rice, *Corn, *Kamut, *Millet, *Rice Puffs, Amaranth, Brown Rice, Brown Rice Coarse Ground, Puffed Grains: Hard Red Winter Wheat</t>
  </si>
  <si>
    <t>Other: Amaranth, Black Nile Barley , Black Nile Barley Flour, Buckwheat, Chia, Einkorn, Einkorn Flour, Emmer, Emmer Flour , Flax, Grain Screenings, Hard Red Wheat , Hard Red Wheat Flour, Hard White Wheat , Hard White Wheat Flour, Khorasan, Khorasan Flour, Lentils, Millet, Oat Groats, Quinoa, Rye, Rye Flour, Soft White Wheat, Sorghum, Spelt, Spelt Flour, Split Peas, Teff, and Wheat.</t>
  </si>
  <si>
    <t>Other Grains, Pastas and Cereals: Pasta, Pasta, Pasta, Pasta, Pasta, Pasta, Pasta, Pasta, Pasta, Pasta, Pasta, Pasta</t>
  </si>
  <si>
    <t>Processed  Items: Extrusado de quinua (pop) [Quinoa pop], Ready to Eat Foods (Hojuela de quinua real blanca [Royal white quinoa flakes]); Other Grains, Pastas and Cereals: Quinoa (Grano de quinua real Blanca procesada / Grano de quinua real Roja procesada / Grano de quinua real Negra procesada), Quinoa (Grano de quinua real Mixta procesada (Quinua Blanca + Quinua Roja + Quinua Negra) [Royal mix quinoa]), Quinoa (Quinua precocida Blanca / Quinua precocida Roja / Quinua precocida Negra); Dry/Baking Goods: Flours and Meals (Harina de quinua [Quinoa Flour]); Bread/Bakery/Snacks: Popcorn (Insuflado tipoca de quinua (pipoca) [puffed quinoa])</t>
  </si>
  <si>
    <t>Processed  Items: Dehydrated Foods; Other Grains, Pastas and Cereals: Cereal, Chia, Quinoa; Fruits/Vegetables: Berries, Maca;Purple Corn; Dry/Baking Goods: Flours and Meals; Chocolate Goods: cacao beans;roasted cacao bean, Chocolate Nibs; Bread/Bakery/Snacks: Cereal; Beverage Related Products: Coffee</t>
  </si>
  <si>
    <t>Other Grains, Pastas and Cereals: Pasta (Black Royal Quinoa Pasta, Red Royal Quinoa Pasta , White Royal Quinoa Pasta), Quinoa (Quinoa Black, Quinoa flakes (White, Red, Black), Quinoa grain Mix (White, Red, Black), Quinoa Red, Quinoa White); Dry/Baking Goods: Flours and Meals (Quinoa flour (White, Red, Black), Quinoa flour pre-cooked (White, Red, Black))</t>
  </si>
  <si>
    <t>Processed  Items: Flours and Meals (Amaranth flour), Quinoa (Quinoa flake), Quinoa (Quinoa flour); Nuts/Seeds: Black chia seeds - Black chia, Black quinoa - Black quinoa grains, Red quinoa - Red quinoa grains, Tricolor quinoa - Tricolor quinoa grains, White chia seeds - White chia, White quinoa - White quinoa grains; Other: Amaranth, Canihua Grains</t>
  </si>
  <si>
    <t>Other: #Handling, packaging, labeling, and distribution of organic seeds and planting stock -, Flowers: Agastache (Sunset Hyssop); Angel's Wings; Asclepias (Native Northwest, Perennial Milkweed Mix, Silky Gold, Silky Red); Aster (Lilliput Blue Moon, Giant Imperial Master Blend, Stokes); Bells of Ireland; Calendula (Pacific Beauty, Pacific Beauty Mix, Resina, Strawberry Blonde); Celosia (Red Flame); Centaurea (Bachelor’s Buttons Tall Mix); Cleome (Spider Flower Mix); Cosmos (Sea Shell Mix, Sensation, Sensation Blend); Clover (Crimson, Mammoth Red); Craspedia (Sun Ball); Delphinium (Belladonna Cliveden Beauty); Echinacea Purple Coneflower; Evening Primrose; Four O'clocks; Hairy Vetch; Love-in-a-Mist; Marigold (Mexican Mint, Pericon, Queen Sophia French, Sparky Mix); Nasturtium (Blend, Dwarf Jewel, Empress of India); Nicotiana (Ghost Pipes); Poppy (Black Beauty, Black Peony, Jimi’s Flag, Jimi’s Purple Haze, Lucille, Mother of Pearl, Planète Rouge); Queen Anne's Lace; Rudbeckia (Black-Eyed Susan); Scabiosa (Black Knight); Snapdragon (Lion's Mouth); Strawflower (Fireball); Sunflowers (Arikara, Autumn Beauty Mix, Dwarf Sunspot, Evening Sun, Mammoth Gray Stripe, Mexican, Mongolian Giant, Lemon Queen, Taiyo, Teddy Bear, Velvet Queen); Veronica (Blue); Zinnia (Aztec Sunset Mix, California Giants, California Giant Mix, Cut and Come Again, Dwarf Thumbelina Mix, Giant Cactus, Giant Coral, Oklahoma Mix, Orange King, Orange, Peppermint Stick, Queen Lime Blush, Red Beauty, State Fair Mix, Thumbelina Mix);, Grains: Buckwheat; Canola; Oats; Quinoa (Red Head); Rye (Winter); Spelt; Wheat (Black Emmer, Black Tip, Durum, Einkorn, Kamut, Red Fife, Turkey Red);, Grasses: Rye (annual);, Herbs: Angelica, Basil (Cinnamon, Genovese, Dark Opal, Greek, Holy/Tulsi, Lemon, Lime, Thai); Catnip; Chamomile; Chicory; Chives and Garlic Chives; Cilantro; Dill (Bouquet, Mammoth); Epazote (Glossy); Fenugreek; Lavender (Common English, Vera); Lemon Balm; Marjoram (Sweet); Mint (Korean Licorice, Peppermint); Navajo Tea; Oregano (Greek, Za'atar); Parsley (Giant Italian, Italian Flat Leaf, Plain); Sage; Sorrel (Red Veined); Stevia; Summer Savory; Thyme; Zaatar;, Kits: Annie's Victory Garden Kit, Planting Stock: Garlic Seed (Early Italian, Inchelium); Seed Potatoes (Austrian Crescent Fingerling, Dark Red Norland, French Fingerling, German Butterball, Goldrush Russet, Kennebec, Red Gold, Yukon Gold), Vegetables: Amaranth (Hopi Red Dye, Red Garnet), Arugula (Rocket Salat, Roquette, Sylvetta Wild); Asian Greens (Kaleidoscope Mix, Purple Mizuna, Scarlet Tatsoi, Tatsoi, Yukina); Beans (Adzuki, Black, Blue Lake Bush, Blue Lake Pole, Broad Windsor Fava, Calypso, Contender, Dragon's Tongue, Eclipse Dry, French Garden, Jacob's Cattle, Garbanzo, Golden Wax, Kentucky Wonder Pole, Kidney Bean Dark Red, Kidney Bean Light Red, Lina Sisco's Bird Egg, Mardi Gras Bean Blend, Mindori Giant Soybean, Mung, Northeaster Pole, Painted Pony Bush, Pinto, Provider Bush, Purple Pod Pole, Rattlesnake Pole, Rainbow Bean Mix, Roma II Bush, Royal Burgundy Bush, Royalty Purple Pod Bush, Strike, Strike Bush, True Red Cranberry, Windsor Fava); Beets (Bull's Blood, Burpee's Golden, Chioggia, Crosby Egyptian, Detroit Dark Red, Detroit Golden, Detroit Mix, Early Wonder, Formanova); Bok Choy (Pak Choi, Prize); Broccoli (Di Cicco, Hon Tsai Tai Flowering, Purple Sprouting, Waltham 29); Cabbage (All Seasons, Brunswick, Early Jersey Wakefield, Golden Acre, Red Ace, Red Acres); Carrot (Atomic Red, Cosmic Purple, Danver's Half Long, Danver's 126, Dragon, Little Fingers, Luna White, Parisian Carrot, Purple Dragon, Rainbow Blend, Red Cored Chantenay, Scarlet Nantes, Solar Yellow, Tendersweet, Yellowstone); Cauliflower (Self Blanching, Snowball); Celery (Chinese Pink, Redventure, Tango, Utah Tall); Collards (Champion); Corn (Double Standard, Golden Bantam, Hopi Blue, Nothstine Dent, Painted Mountain, Painted Mountain Milling, Roy Calais Flint, Stowell's Evergreen, Strawberry Popcorn, Striped Japonica, Tom Thumb Popcorn); Cover Crops (Annie's Understory Mix, Winter Rye/Vetch Mix, WinterMax CC3 Mix, Understory Mix); Cress (Curled); Cucumber (Boothby's Blonde, Double Yield, Early Fortune, Homemade Pickling, Lemon, Long Fellow, Marketmore 76, Muncher, National Pickling, Poinsett 76, Straight 8, Suyo Long, Telegraph, Tendergreen, White Mini, Wisconsin SMR 58); Eggplant (Black Beauty, Diamond, Little Finger, Listada de Gandia, Ping Tung Long, Rosa Bianca, Thai Long Green); Endive (Frisee, Maraichere Tres Fine); Fennel (Bronze, Finale); Greens (Ovations Mix); Gourds (Birdhouse, Bottle); Kale (Black Magic, Dwarf Blue Curled Scotch, Ironman Mix, Lacinato, Meadowlark, Red Russian, Siberian, Vates, Vates Blue Curled, Westlander, White Russian); Kohlrabi (Azur Star, Purple Vienna, Superschmelz); Leeks (Alto, American Flag, King Richard, Lancelot); Lentils (Green); Lettuce (Amish Deer Tongue, Buttercrunch, Butterhead Bibb, Black Seeded Simpson, Emerald Oak, Freckles, Little Caesar Romaine, Little Gem, Lollo Rossa, Marvel of Four Seasons, Mesclun Mix, Outredgeous, Paris Island, Paris Island Cos, Pirat, Prizehead, Red Oakleaf, Red Sails, Red Salad Bowl, Red Velvet, Rouge d' Hiver, Salad Bowl, Speckled, Tango, Tennis Ball, Tom Thumb, Waldman's, Winter Density);, Vegetables: Melon (Charentais, Green Nutmeg, Hale's Best Jumbo, Hearts of Gold, Honeydew Green Flesh, Honeydew Orange Flesh, Honey Rock, Mango/Vine Peach, Minnesota Midget, Noir des Carmes, Petit gris de Rennes, Pride of Wisconsin); Mustard (Early Mizuna, Garnet Giant, Giant Red, Green Wave, Mizuna, Southern Giant Curled, Tendergreen, Wasabina); Okra (Beck's Big Buck, Clemson Spineless, Cowhorn); Onions (Ailsa Craig Prizewinner, Early Texas Grano, Evergreen Bunching, Evergreen White Bunching Nebuka, New York Early, Red Cipollini, Red Geneva, Red Long of Florence, Rossa di Milano, Stuttgarter, Texas Grano 502, Valencia, Walla Walla, Yellow Cipollini, Yellow Sweet Spanish); Parsnip (Halblange); Peas (Dwarf Grey Sugar Snow, Golden Sweet Pea, Green Arrow, Green Arrow Shell, Laxton's Progress, Mammoth Melting, Mammoth Melting Snow, Sugar Ann, Sugar Snap); Peppers (Allepo, Anaheim, Ancho, Ancho Grande, Black Hungarian, California Wonder, Casper, Cayenne, Cinderella, Corbaci, Corno di Toro Rosso, Early Jalapeno, Fish, Golden California Wonder, Habanda, Habanero, Hungarian Hot Wax, Jalapeno, Jarrahdale, Jimmy Nardello’s, Jupiter Bell, King of the North, Lemon Spice, Marconi Red Sweet, Melrose, Miniature Red Bell, Miniature Chocolate Bell, Miniature Yellow Bell, Mini Bell Pepper Mix, Orange Habanero, Padron, Pumpkin, Purple Beauty, Red Hot Cherry, Round of Hungary Serrano, Shishito, Spooky, Sweet Banana, Sweet Chocolate Bell, Tolli's Sweet Italian, Valenciano); Pumpkin (Black Futsu, Casper, Jack Be Little, Howden, Long Pie, New England Pie, Winter Luxury); Radishes (Cherry Belle, China Rose, Daikon, Easter Egg, French Breakfast, Philadelphia White Box, Pink Beauty, Purple Plum, Watermelon, White Icicle); Romanesco; Rutabaga (Cairns Family Heirloom, Gilfeather); Salsify (Fiore Blue); Soybean (Chiba); Spinach (Bloomsdale Long Standing, Butterfly, Giant Winter); Squash (Anna Swartz Hubbard, Benning's Green Tint, Benning's Green Tint Summer, Black Beauty Zucchini, Blue Hubbard, Burgess Buttercup, Cocozelle di Napoli Zucchini, Dark Green Zucchini, Delicata, Early Prolific Straight Neck, Gills Golden Pippin, Golden Zucchini, Green and Cream Scallop (Jaune et Verte), Georgia Candy Roaster, Honeyboat Delicata, Honeynut, Japanese Red Kuri, Peanut (Galeux d' Eysines), Potimarron, Red Kuri, Romanesco Zucchini, Ronde de Nice Summer, Spaghetti, Sugar Dumpling, Table Queen Acorn, Thelma Sanders, Waltham Butternut, Yellow Bush Scallop, Yellow Crookneck); Swiss Chard (Canary Yellow, Fordhook, Orange, Oriole, Ruby Rhubarb, Ruby Red); Tomatillo (Aunt Molly's Ground Cherry, De Milpa, Purple, Verde); Tomato (Amana Orange, Amish Paste, Arkansas Traveler, Aunt Ruby's German Green, Baby Blues, Beefsteak, Black Cherry 088G, Black Krim, Black Prince, Bloody Butcher, Blondkopfchen, Blue Beech, Bonnie Best, Boxcar Willie, Brandywine, Brandywine-Sudduth’s, Caspian Pink, Cherokee Green, Cherokee Purple, Cherry Falls, Cherry Roma, Chocolate Cherry, Cipolia's Pride, Copia, Delicious, Fireworks, German Johnson, German Pink, Get Stuffed, Glacier, Great White, Green Zebra, Homestead, Hungarian Heart, Italian Heirloom, Japanese Black Trifele, Large Red Cherry, Martino's Roma, Matt's Wild Cherry, Mortgage Lifter, Moskvich, Mountain Princess, Old German, Paul Robeson, Peron, Pineapple, Pruden's Purple, Red Chief, Red Pear, Rosella, Rosso Sicilian, San Marzano, Speckled Roman, Striped German, Stupice, Super Sioux, Sweet Pea Currant, Thessaloniki, Valencia, Virginia Sweets, Wild Boar Beauty Queen, Wild Boar Green Berkeley Tie Dye, Wild Boar Pink Berkeley Tie Dye, Wisconsin 55, Yellow Brandywine, Yellow Pear); Turnips (Black Tail, Gold Ball, Gold Globe, Golden Midget, Purple Top White Globe, Seven Top, Watermelon); Watermelon (Chris Cross, Crimson Sweet, Moon and Stars, Moon and Stars Yellow, Mountain Sweet Yellow, Sugar Baby);</t>
  </si>
  <si>
    <t>Processed  Items: maca flan; Preservatives/Extracts/Flavors: Black pepper, Ginger capsule, Mashua powder, Pepper powder, Powders, Seasoning Blends, Spices, Turmeric and pepper capsule; Other Grains, Pastas and Cereals: Seed mix; Health Products: Achiote capsules;maca capsules;soursop capsules; Fruits/Vegetables: Broad bean cream;potato bean, Potato derivatives, Potatoes; Dry/Baking Goods: Confections, Flours and Meals; Condiments and Sweeteners: Royal jelly, Syrups; Chocolate Goods: cacao beans;cacao powder, Chocolate, Chocolate Nibs; Bread/Bakery/Snacks: Cereal, Snack Mixes; Beverage Related Products: blend infusion (black salsify-red nettle-borage-muña);blend infusion (burnet-mint-lemon beebrush-lemon balm);blend infusion (muña-absinthe-mint-lemon beebrush-lemon balm);burnet infusion;Chamomile infusion;ginger infusion;infusion of green coffee and mint;lemon balm infusion;lemon beebrush infusion;mint infusion;muña infusion, Coffee; Alcohol: Liqueurs</t>
  </si>
  <si>
    <t>Other Grains, Pastas and Cereals: Wheat; Alcohol: Spirits (Farmhouse Gin), Vodka (Farmhouse Vodka), Vodka</t>
  </si>
  <si>
    <t>Other: Granola (Chocolate Sea Salt Probiotic Granola), Granola (Club Pack - Grain-Free Vanilla Almond Butter Granola), Granola (Grain-Free Apple Walnut + MCT Oil Granola), Granola (Grain-Free Cinnamon Peanut Butter + MCT Oil Granola), Granola (Grain-Free Coconut Cashew Granola), Granola (Grain-Free Vanilla Almond Butter Keto Granola Clusters), Granola (Honey Almond + Probiotics Granola), Granola (Original Ancient Grain Granola), Snack Bars (Chocolate Hazelnut Crisp Bar), Snack Bars (Chocolate Mint Bar), Snack Bars (Coconut Peanut Butter Bar), Snack Bars (Dark Chocolate Chip Peanut Butter Bar), Snack Bars (Dark Chocolate Chip Peanut Butter Bar - Snack Size), Snack Bars (Peanut Butter Bar), Snack Bars (Peanut Butter Bar - Snack Size), Snack Bars (Peanut Butter Cookie Bar), Snack Bars (Pumpkin Pie Bar), Snack Bars (Variety Pack – (Peanut Butter Bar, Dark Chocolate Chip Peanut Butter Bar))</t>
  </si>
  <si>
    <t>Other Grains, Pastas and Cereals: Barley Whole,Basmati Rice,Brown Rice,foxtail millet,Jowar,Kodo/Kodon Millet,Little Millet,Maize (Corn),Non-Basmati Rice,Pearl millet / Bajra,Proso Millet,Ragi / Finger Millet Grain,Red Rice ,Rice Sonamasuri Handpound,Sawan / Barnyard Millet; Fruits/Vegetables: Coconut ,Fenugreek,Green peas,Onion ,Tamarind dry (IMLI); Other: Amla,Amla Dried,Amla Powder,Amla TBC,Arrowroot Powder,Ashwagandha powder,Ashwagandha Root,Ashwagandha TBC,Barley flour,basil/tulsi,Bay leaves/Tejpatta,Black Pepper,Black Pepper Powder,Black Pepper TBC,Cardamom Powder,Cardamom seed,Cardamom TBC,Centella asiatica,Chana Dal,Chia ,chickpea/kabuli chana(garbanzos),Chilli Crushed,Chilli Flakes,Chilli Powder,Chilli Whole dry,Cinnamon,cinnamon (powder),Cinnamon bark,Cinnamon dried,Cinnamon TBC,Clove Powder,Clove TBC,Coconut Desiccated ,Coriander Powder,Coriander TBC,Cumin Powder,cumin TBC ,Cumin Whole,Curry Leaf powder,Dried Cardamom,Dried clove,Dried Curry Leaves,Dried Garlic,Fennel Powder,Fennel/ Saunf,Fenugreek, Fenugreek powder (Methi powder) ,Fenugreek TBC,Finger Millet flour,Flaxseed,garcinia cambogia (fruit),Garlic,Garlic Powder,Ginger Powder,Ginger Sliced (Dried),Ginger TBC,Ginger Whole Dried,Green Cardamom,Green Gram Split Yellow (Moong Dal Yellow),Green gram whole (Moong sabut),Green Pepper-Fresh,Groundnut/Peanut,Haritaki/Harad(Terminalia chebula),Jaggery,Jaggery Powder,Jowar Flour,Krishna tulsi (Ocimum sanctum), Lemongrass Powder,Liquorice powder,Liquorice TBC,Mace powder,Maida,Masoor Dal,mint/mentha,Moong Dal,moringa dried leaves,Moringa Powder,Mustard Black,Nutmeg mace (dried),Nutmeg Powder,Nutmeg Tea Bag Cut,Nutmeg whole,Oregano,Peppermint Leaves,Peppermint leaves tea bag cut,Ragi Flour,Red chilli (whole),red kidney beans/rajma (phaseolus vulgaris),Roasted chicory ,Senna Leaves,Spearmint - Mentha Spicata-TBC,Spearmint Leaves,Spearmint powder,Stevia Leaves Dried ,Stevia/stevia rebaudiana powder,Sugar (Brown/Natural),Suji/Semolina/ Cream of Wheat,Tamarind Powder (Imli),Terminalia bellirica/baheda ,Tulsi Leaves Dry,Tulsi TBC/Tulsi TBC blend,Turmeric Powder,Turmeric Slice Dried,Turmeric TBC,turmeric whole-dried,turmeric whole-fresh,Urad dal split,Vana Tulsi (Ocimum gratissimum),Vanilla Powder,Wheat Flour,Wheat Porridge/Dalia,White Pepper,White Pepper Powder,Yellow Mustard ,Yellow Mustard Powder/ Ground, Sugar</t>
  </si>
  <si>
    <t>Processed  Items: Black seeds / Black cumin (Nigella), Black seeds / Black cumin (Nigella), Dehydrated Foods (Leek, Leek, Celery Leaves, Celery Leaves, Celery Seed, Celery Seed, Dates, Dates, Garlic, Garlic, Garlic granules, Garlic granules, Garlic powder, Garlic powder, Garlic pulp, Garlic pulp, Onion, Onion, Onion pulp, Onion pulp, Onion slices, Onion slices, Red beet, Red beet, Red beet granules, Red beet granules); Preservatives/Extracts/Flavors: Extracts (Aloe Vera CO2 extract, Anise CO2 extract, Basil CO2 extract, Beetroot CO2 extract, Black pepper CO2 extract, Blackseeds CO2 extract, Calendula CO2 extract, Caraway CO2 extract, Celery seed CO2 extract, Chamomile CO2 extract, Chilli Pepper, Capsicum CO2 Extract, Chilli Pepper, Capsicum CO2 Extract, Clove CO2 extract, Coriander CO2 extract, Cumin CO2 extract, Dill seeds CO2 extract, Fennel CO2 extract, Fenugreek CO2 extract, Flaxseed CO2 extract, Garlic CO2 extract, Geranium CO2 extract, Hibiscus CO2 extract, Jojoba CO2 extract, Lemon CO2 extract, Licorice CO2 extract, Marjoram CO2 extract, Olives leaves CO2 extract, Onion CO2 extract, Orange CO2 extract, Oregano CO2 extract, Parsley CO2 extract, Peppermint CO2 extract, Pomegranate CO2 extract, Rose CO2 extract, Rosemary CO2 extract, Sage CO2 extract, Sesame CO2 extract, Spearmint CO2 extract, Thyme CO2 extract, Wheat CO2 extract), Extracts (Aloe Vera Powder Extract, Anise Powder Extract, Anise Soft Extract , Basil Powder Extract, Basil Soft Extract, Beetroot Powder Extract, Black Pepper Powder Extract, Black Pepper Soft Extract , Blackseeds Powder Extract, Blackseeds Soft Extract, Calendula Powder Extract, Calendula Soft Extract, Capsicum Powder Extract, Capsicum Powder Extract, Capsicum Soft Extract, Capsicum Soft Extract, Caraway Powder Extract, Caraway Soft Extract, Celery Seed Powder Extract, Celery Seed Soft Extract, Chamomile Powder Extract, Chamomile Soft Extract , Clove Powder Extract, Clove Soft Extract, Coriander Powder Extract, Coriander Soft Extract, Cumin Powder Extract, Cumin Soft Extract, Dill Seed Powder Extract, Dill Seed Soft Extract , Fennel Powder Extract, Fennel Soft Extract, Fenugreek Powder Extract, Fenugreek Soft Extract, Flaxseed Powder Extract, Flaxseed Soft Extract, Garlic Powder Extract, Garlic Soft Extract, Geranium Powder Extract, Geranium Soft Extract, Hibiscus Powder Extract, Hibiscus Soft Extract, Jojoba Powder Extract, Jojoba Soft Extract, Lemon Powder Extract, Licorice Powder Extract, Licorice Soft Extract, Marjoram Powder Extract, Marjoram Soft Extract, Olives leaves Powder Extract, Olives leaves Soft Extract, Onion Powder Extract, Onion Soft Extract, Orange Powder Extract, Oregano Powder Extract, Oregano Soft Extract, Parsley Powder Extract, Parsley Soft Extract, Peppermint Powder Extract, Peppermint Soft Extract, Pomegranate Powder Extract, Rose Powder Extract, Rose Soft Extract, Rosemary Powder Extract, Rosemary Soft Extract, Sage Powder Extract, Sesame Powder Extract, Sesame Soft Extract, Spearmint Powder Extract, Spearmint Soft Extract, Thyme Powder Extract, Thyme Soft Extract); Other Grains, Pastas and Cereals: Wheat (Wheat, Wheat); Oils &amp; Oleoresins: Essential Oils (Aloe Vera Essential Oil, Anise Essential Oil, Basil Essential Oil, Black Pepper Essential Oil, Blackseeds Essential Oil, Calendula Essential Oil, Caraway Essential Oil, Celery Seed Essential Oil, Chamomile Essential Oil, Clove Essential Oil, Coriander Essential Oil, Cumin Essential Oil, Dill Seed Essential Oil, Fennel Essential Oil, Fenugreek Essential Oil, Flaxseed Essential Oil, Garlic Essential Oil, Geranium Essential Oil, Lemon Essential Oil, Marjoram Essential Oil, Onion Essential Oil, Orange Essential Oil, Oregano Essential Oil, Parsley Essential Oil, Peppermint Essential Oil, Pomegranate Essential Oil, Rose Essential Oil, Rosemary Essential Oil, Sage Essential Oil, Spearmint Essential Oil, Thyme Essential Oil); Nuts/Seeds: Jojoba (Jojoba seeds, Jojoba seeds), Seeds (Caraway seeds, Caraway seeds, Flaxseed, Flaxseed); Health Products: Aloe Vera (Aloe Vera , Aloe Vera), Herbs (Anise seeds, Anise seeds, Basil (Crushed), Basil (Crushed), Basil leaves, Basil leaves, Black Seeds, Black Seeds, Cactus, Cactus, Calendula flower and petals, Calendula flower and petals, Chicory Leaves, Seeds, Chicory Leaves, Seeds, Coriander (Whole leaves), Coriander (Whole leaves), Coriander seeds, Coriander seeds, Cumin seeds, Cumin seeds, Dill leaves cuts, Dill leaves cuts, Dill Seeds, Dill Seeds, Dillweed, Dillweed, Echinacea (Leaves Cuts), Echinacea (Leaves Cuts), Fennel seeds, Fennel seeds, Fenugreek seeds, Fenugreek seeds, Geranium leaves, Geranium leaves, Henna leaves, Henna leaves, Hibiscus , Hibiscus , Hibiscus (Cuts), Hibiscus (Cuts), Hibiscus flower, Hibiscus flower, Jew's mallow, Jew's mallow, Lemon balm, Lemon balm, Lemon Verbena , Lemon Verbena , Lemongrass, Lemongrass, Licorice roots, Licorice roots, Liquorice (Cuts), Liquorice (Cuts), Marjoram leaves, Marjoram leaves, Moringa , Moringa , Nettle, Nettle, Oat Herb , Oat Herb , Oat straw , Oat straw , Olives leaves, Olives leaves, Onion Seeds, Onion Seeds, Oregano leaves, Oregano leaves, Parsley leaves, Parsley leaves, Parsley Seeds, Parsley Seeds, Peppermint leaves, Peppermint leaves, Red clover, Red clover, Rose flower and petals, Rose flower and petals, Rosemary leaves, Rosemary leaves, Sage leaves, Sage leaves, Senna, Senna, Spearmint leaves, Spearmint leaves, Thyme leaves, Thyme leaves); Fruits/Vegetables: Dehydrated Foods (Capsicum fruit, Capsicum fruit), Powders (Caraway powder, Caraway powder, Chamomile Powder, Chamomile Powder, Coriander powder, Coriander powder, Cumin powder, Cumin powder, Fennel powder, Fennel powder, Fenugreek powder, Fenugreek powder, Flaxseed powder, Flaxseed powder, Henna powder, Henna powder, Hibiscus Powder, Hibiscus Powder, Jew's mallow powder, Jew's mallow powder, Lemon balm powder, Lemon balm powder, Lemon Verbena Powder, Lemon Verbena Powder, Lemongrass powder, Lemongrass powder, Liquorice powder, Liquorice powder, Marjoram powder, Marjoram powder, Moringa powder, Moringa powder, Nettle powder, Nettle powder, Onion powder, Onion powder, Parsley powder, Parsley powder, Peppermint powder, Peppermint powder, Red beet powder, Red beet powder, Rose powder, Rose powder, Rosemary powder, Rosemary powder, Sage powder, Sage powder, Senna powder, Senna powder, Spearmint powder, Spearmint powder, Thyme powder, Thyme powder); Animal Feed: Livestock Feed (Alfalfa (Leaves Cuts -T.B.C) , Alfalfa (Leaves Cuts -T.B.C)); Other: Beans, Beans, Wheat germ, Wheat germ, Seeds (Sesame, Sesame)</t>
  </si>
  <si>
    <t>Processed  Items: SOYBEAN CAKE; Other Grains, Pastas and Cereals: SUNFLOWER; Fruits/Vegetables: Beans (SOYBEAN); Dry/Baking Goods: Flours and Meals (SOYBEAN MEAL)</t>
  </si>
  <si>
    <t>Trees/Whole Plant Products/Flowers: Seeds (MILLET); Processed  Items: CANOLA CAKE, DURUM WHEAT, FLAXSEED CAKE, FLAXSEED PELLETS, RAPESEED PELLETS, SOYBEAN CAKE, SOYBEAN PELLETS, SUNFLOWER CAKE, SUNFLOWER PELLETS, WHEAT GLUTEN, WHEAT PROTEIN STARCH; Other Grains, Pastas and Cereals: Barley, CANOLA SEED, CORN, Oats (OAT), SUNFLOWER, Wheat; Oils &amp; Oleoresins: Essential Oils (CANOLA OIL), Essential Oils (SUNFLOWER OIL), Essential Oils (FLAX SEED OIL), Essential Oils (SOYBEAN OIL); Nuts/Seeds: FLAX; Fruits/Vegetables: Beans (YELLOW PEAS), Beans (CHICKPEA), Beans (RED LENTIL), Beans (GREEN LENTIL), Beans (SOYBEAN); Dry/Baking Goods: Flours and Meals (WHEAT BRAN), Flours and Meals (CANOLA MEAL), Flours and Meals (SUNFLOWER MEAL), Flours and Meals (FLAX MEAL), Flours and Meals (SOYBEAN MEAL)</t>
  </si>
  <si>
    <t>Other Grains, Pastas and Cereals: Barley, Buckwheat, Chickpeas, Lentils, Oats, Peas, Spelt, Wheat - Hard Red Spring/Hard Red Winter/Hard White/Soft White</t>
  </si>
  <si>
    <t>Other: Bread (Great White Bread), Bread (Honey Whole Wheat), Bread (Inked Super Organic Seeds Bread), Bread (Mighty Multigrain Bread), Bread (Serious Cinna' Seeds), Bread (Streusel Cinna' Raisin), Bread Flour (OG Energy ALT Blend Tote), Bread Flour (OG Energy Flour Blend), Seed Blend (Inked Organic Mighty Multigrain Blend ), Seed Blend (Izzio Organic 5 Grain and Seed), Seed Blend (OG Energy Grain &amp; Seeds Blend)</t>
  </si>
  <si>
    <t>Other: Cereal (Flaked Quinoa (wholesale)), Chia (Black (wholesale)), Chia (White (wholesale)), Grains (Amaranth Seed (wholesale)), Grains (Ancient Grain Power Blend), Grains (Black Quinoa Seed (wholesale)), Grains (Black Royal Quinoa (wholesale)), Grains (Brown Flaxseed (wholesale)), Grains (Golden Royal Quinoa (wholesale)), Grains (Millet Seed (wholesale)), Grains (Red Royal Quinoa (wholesale)), Grains (Teff Seed), Grains (Tricolor Quinoa (wholesale)), Grains (Tricolor Royal Quinoa (wholesale)), Grains (White Quinoa Seed (wholesale)), Grains (White Sorghum Seed (wholesale)), Quinoa (Antique White Quinoa), Quinoa (Black), Quinoa (Common (wholesale)), Quinoa (Harmony Quinoa), Quinoa (Inca Red Quinoa), Quinoa (Pearl), Quinoa (Rainbow), Quinoa (Red Quinoa), Quinoa (Red Royal), Quinoa (Traditional Quinoa), Quinoa (Tri-Color Quinoa Blend), Quinoa (White Quinoa), Quinoa (Whole Grain Black (wholesale), (retail) ), Quinoa (Whole Grain Golden (wholesale), (retail)), Quinoa (Whole Grain Red (wholesale), (retail)), Quinoa (Whole Grain Tricolor/Rainbow (wholesale), (retail) ), Rice (Black Pearl Rice), Rice (Brown Basmati Rice ), Rice (Brown Jasmine Rice ), Rice (Brown Long Grain Rice), Rice (Brown Short Grain Rice), Rice (California Brown Basmati Rice), Rice (California Brown Jasmine Rice), Rice (California Red Jasmine Rice), Rice (California Sushi Rice ), Rice (California White Basmati Rice), Rice (California White Jasmine Rice), Rice (Forbidden Rice), Rice (Jade Pearl Rice ), Rice (Jasmine Brown Mekong Flower Rice ), Rice (Madagascar Pink Rice ), Rice (Red Rice), Rice (Sprouted Brown Basmati Rice), Rice (Sprouted Brown Short Grain Rice), Rice (Volcano Rice), Rice (White Basmati Rice), Rice (White Jasmine Rice ), Rice (White Long Grain Rice), Rice (Wild Blend Rice), Rice (Wild Rice)</t>
  </si>
  <si>
    <t>Other: Barley (Barley Flour), Brokering (Coconut products on Honeyville Food Products), Brokering (Imported and Domestic Quinoa products from Jacha Inti Industrial S.A. ), Brokering (Wheat (Raw Grain)), Buckwheat (Buckwheat Flour), Millet (Mlilet Flour), Spelt (Spelt Berries Pearled (Farro Tote)), Spelt (WHL SPELT BERRIES ), Spelt Flour, Wheat Berries (Coarse Cracked), Wheat Berries (Khorasan Wheat Berries), Wheat Berries (ORG WHL HR WHEAT BERRIES TOTE), Wheat Berries (WHL HRD WHT BERR STL CUT DKB TOTE), Wheat Berries (WHL HRS BERRIES), Wheat Berries (WHL HRW BERRIES ), Wheat Berries (WHL HWW BERRIES  ), Wheat Flour (AP Flour), Wheat Flour (Bread Flour), Wheat Flour (Pastry Flour)</t>
  </si>
  <si>
    <t>Other Grains, Pastas and Cereals: Amaranth (Berries), Black Turtle Beans, Fava (Faba) Beans, Flax Seed, Garbanzo Beans (Chick Peas), Lentils (Red, Green, Yellow), Light Buckwheat (Hulled or Groats), Light Buckwheat (Whole, Grits, or Groats), Millet (Berries), Navy (White) Beans, Oats (Oat (Groats, Steel Cuts, Rolled, Pressed, Hefty, Flakes)), Peas (Green), Purple Corn, Quinoa (Quinoa (Berries)), Rice (Brown Rice Kernels), Rice (White Rice Kernels), Sorghum (Sorghum (Berries)), Teff Seed (Ivory or Brown), Yellow Corn; Dry/Baking Goods: Flours and Meals (Black Turtle Bean Flour), Flours and Meals (Brown Rice Flour), Flours and Meals (Campbells Gluten Free 5 Grain Blend), Flours and Meals (Corn Flour), Flours and Meals (Dark Buckwheat (Whole, Grits,or Groats)), Flours and Meals (Dark Buckwheat Flour), Flours and Meals (Fava (Faba) Bean Flour), Flours and Meals (Flax Flour (14 or 20 Mesh)), Flours and Meals (Garbanzo (Chick Peas) Flour), Flours and Meals (GF Organic All Purpose Flour), Flours and Meals (GF Organic Base Mix), Flours and Meals (Gluten Free Organic 4 Grain Whole Grain Flour), Flours and Meals (Gluten Free Organic 5 Grain Whole Grain Flour), Flours and Meals (Gluten Free Organic All Purpose Flour), Flours and Meals (Gluten Free Organic Amaranth Flour), Flours and Meals (Gluten Free Organic Brown Rice Flour), Flours and Meals (Gluten Free Organic Chick Pea Flour), Flours and Meals (Gluten Free Organic Millet Flour), Flours and Meals (Gluten Free Organic Oat Flour), Flours and Meals (Gluten Free Organic Sorghum Flour), Flours and Meals (Gluten Free Organic White Quinoa Flour), Flours and Meals (Gluten Free Organic White Rice Flour), Flours and Meals (Gluten Free Organic Whole Roasted Chickpea (Garbanzo Bean) Flour), Flours and Meals (Hulled Buckwheat), Flours and Meals (Lentil Flour (Red, Green, Yellow)), Flours and Meals (Light Buckwheat Flour), Flours and Meals (Millet Flour), Flours and Meals (Navy (White) Bean Flour), Flours and Meals (Oat Flour), Flours and Meals (Pea (Green) Flour), Flours and Meals (Purple Corn Flour), Flours and Meals (Quinoa Flour), Flours and Meals (Sorghum Flour), Flours and Meals (Teff Flour (Ivory or Brown)), Flours and Meals (White Rice Flour), Flours and Meals (Gluten Free Organic 3 Grain Blend GFO3GR BLD), Flours and Meals (4 Grain Flour), Flours and Meals (5 Grain Whole Grain Flour), Flours and Meals (Amaranth Flour), Potato Starch, Powders (Arrowroot Powder), Tap OK Tapioca Starch</t>
  </si>
  <si>
    <t>Other: Barley (Barley Berries), Bread Flour, Bread Flour (Enriched), Buckwheat (Buckwheat Berries), Millet (Millet Berries), Millfeed, Pastry Flour, Pastry Flour, Pastry Flour (Whole Wheat), Spelt (WHL Spelt Berries), Spelt Flour, Spelt Flour (Spelt Whole Wheat Flour), Spelt Flour (Spelt Whole Wheat Flour), Wheat Berries (WHL HRS Berries), Wheat Berries (WHL HRW Berries), Wheat Berries (WHL HWW Berries), Wheat Berries (WHL SWW Berries), Wheat Flour, Wheat Flour (All Purpose), Wheat Flour (All Purpose - Enriched), Wheat Flour (Coarse Cracked Wheat), Wheat Flour (Pastry - Enriched), Wheat Flour (Premium Bakers), Wheat Flour (Premium Bakers Flour), White Flour (All Purpose ), Whole Wheat Flour, Whole Wheat Flour (Khorasan), Whole Wheat Flour (Ultra-Grain Hard Whole Wheat)</t>
  </si>
  <si>
    <t>Other: Argan fruits, Argan leaves, Argan Nut Powder, Deodorized argan oil, Huile de grain de figue de barbarie, Roasted and unroasted argan oil</t>
  </si>
  <si>
    <t>Other Grains, Pastas and Cereals: Rice (WHITE RICE), Rice (BROWN RICE)</t>
  </si>
  <si>
    <t>Other Grains, Pastas and Cereals: Barley (Barley Bulk); Other: Wheat</t>
  </si>
  <si>
    <t>Animal Feed: Livestock Feed (Corn), Livestock Feed (Custom Livestock Feed Mixes), Livestock Feed (Hay), Livestock Feed (Molasses), Livestock Feed (Oats), Livestock Feed (Soybean Meal), Livestock Feed (Soybeans); Other: Bagging Livestock Feed, Brokering of Livestock Feed and Grains, Grinding Livestock Feed, Mixing Livestock Feed, Roasting Livestock Feed, Storing of Grains and Livestock Feed Ingredients</t>
  </si>
  <si>
    <t>Other Grains, Pastas and Cereals: Barley, Wheat; Fruits/Vegetables: Beans; Dry/Baking Goods: Flours and Meals (Bean flour, corn flour, red lentils flour,yellow lentil flour, chickpea flour); Other: Blue poppy seed, Brown lentils, bulghur, chickpeas, corn, green lentils, Red lentils,  soybean,  yellow lentils, Sesame seed</t>
  </si>
  <si>
    <t>Processed  Items: Brown rice syrup, Clarified brown Rice syrup, Clarified Rice syrup, Dried Hulled Sesame Seeds (Roasted), Dried Natural Sesame Seeds (Roasted), Rice maltodextrins, Rice Protein 45-75%, Rice protein 50%, Rice syrup solids, Rice syrup,, Sesame, Sesame seed hulled, Sesame seeds natural; Other Grains, Pastas and Cereals: Brown rice flour, Brown Rice Flour (Round Rice), Rice (Round rice broken), Rice (Round rice brown), Rice (Round rice white), Rice (Basmati Rice - Brown), Rice (Basmati Rice - White), Rice (Broken Basmati Brown Rice), Rice (Broken Basmati White Rice), Rice (Long Grain Broken Brown Rice), Rice (Long Grain Broken White Rice), Rice (Long Grain Brown Rice,), Rice (Long Grain Milled Rice), Rice (Long Grain white Rice), Rice (Parboiled Rice), Wheat (Wheat), White Rice Flour, White Rice Flour (Round Rice); Fruits/Vegetables: Chopped Dates (Aseel ), Dates Aseel, Pitted dates, Pitted Dates (Aseel), Whole dates (Aseel); Other: Basmati Paddy, Paddy Long Grain, Paddy round rice</t>
  </si>
  <si>
    <t>Other: Beurre de cacao, Huile essentielle de Baie de rose, Huile essentielle de Cannelle feuille, Huile essentielle de Curcuma, Huile essentielle de Géranium lot No EHEV125424.FHE01 (110KG), Huile essentielle de Gingembre, Huile essentielle de Girofle clou, Huile essentielle de Longoza feuille, Huile essentielle de Longoza graine, Huile essentielle de Niaouli, Huile essentielle de Palma rosa, Huile essentielle de Patchouli, Huile essentielle de Poivre noir, Huile essentielle de Ravintsara, Huile essentielle de vetiver, Huile essentielle d'Ylang-Ylang, Huile essentielle Eucalyptus citriodora, Huile essentielle Géranium Bourbon, Huile végétale de Calophyllum, Huile végétale de figue de barbarie, Huile végétale de Kukui, Huile végétale de Marula, Huile végétale de Moringa, Huile végétale de ricin, Huile végétale de ximenia, Huiles essentielles de Ravintsara lot NO EHV265424.FH101 (200kg)</t>
  </si>
  <si>
    <t>Other Grains, Pastas and Cereals: Broken rice, Integral rice, Rice crumb, Rice husk, Rice semolina, White rice.</t>
  </si>
  <si>
    <t>Other: 23 Grains and Seeds. 5 Multigrain, Sourdough, Super Seed No Sugar Added, Sourdough Stuffing, Sourdough Sponge, Sourdough, Sourdough Twice Baked Crackers with Sea Salt, Spicy Roasted Vegetable Twice Baked Crackers, White Cheddar Twice Baked Crackers, Bagel Crisps Everything, Bagel Crisps Garlic &amp; Herb</t>
  </si>
  <si>
    <t>Other: Packaging, labeling, and distribution of ingredient products: Organic -Beans: Adzuki, Black-Eyed, Cannellini, Garbanzo, Kidney (dark red, light red), Lentils (red), Lima (baby), Split Peas (green, yellow), Turtle Beans;Flour: Coconut, Quinoa (white), White Rice;Fruit: Apple Rings, Banana Chips, Goji Berries, Prunes (pitted);Grains and seeds: Amaranth, Buckwheat (groats), Chia seed (black), Couscous (whole wheat), Flax Seeds (brown, golden), Hemp (hulled), Millet (seed), Oats (steel cut, quick rolled), Quinoa (black, red, tricolored, puffed), Rice (Arborio, brown, white), Sunflower Seeds (shelled);Herbs: Basil, Cacao Nibs, Cocoa Powder, Cayenne, Chipotle Pepper, Cinnamon, Coriander, Cumin, Fenugreek, Garlic, Onion (granulated), Oregano, Paprika, Pepper (black table grind, cayenne, chipotle, red pepper chili flakes), Thyme, Turmeric;Nuts:Almonds (California), Cashews (dry roasted, raw), Macadamia Nuts, Pecans (dry roasted), Pistachios (salted), Walnuts (California):Powders and sugars: Acai Berry(freeze-dried), Coconut Crystal Sugar, Matcha Green Tea;Multi-ingredient products: Ancient Black Rice Blend, Protein Boost Mix.</t>
  </si>
  <si>
    <t>Other: #Importing, Storage and Distribution of single ingredients and Crackers, Grain-free Crackers: Chile lime, sea salt, tomato herb, Plantain Flour</t>
  </si>
  <si>
    <t>Processed  Items: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Plantas Medicinales - Plantas Medicinales - Organic CastorSeed;
Plantas Medicinales - Plantas Medicinales - Organic Celery Seed;
Plantas Medicinales - Plantas Medicinales - Organic Centella Asciatica Extract;
Plantas Medicinales - Plantas Medicinales - Organic Chamomile (M.chamomile);
Plantas Medicinales - Plantas Medicinales - Organic Chamomile Extract;
Plantas Medicinales - Plantas Medicinales - Organic Chicory (Cichorium Intybus) Extract;
Plantas Medicinales - Plantas Medicinales - Organic Chromium Powder Mix;
Plantas Medicinales - Plantas Medicinales - Organic Comiphora Whitii Extract;
Plantas Medicinales - Plantas Medicinales - Organic Commiphora whitii (Guggal);
Plantas Medicinales - Plantas Medicinales - Organic Copper Powder Mix;
Plantas Medicinales - Plantas Medicinales - Organic Curcuma longa extract;
Plantas Medicinales - Plantas Medicinales - Organic Curry Leaf Extract;
Plantas Medicinales - Plantas Medicinales - Organic D-Chiro Inositol;
Plantas Medicinales - Plantas Medicinales - Organic DHA;
Plantas Medicinales - Plantas Medicinales - Organic Diosmin Extract;
Plantas Medicinales - Plantas Medicinales - Organic Distilled Fatty Acid;
Plantas Medicinales - Plantas Medicinales - Organic Eclipta alba (Bhrigjraj/Bhringraj);
Plantas Medicinales - Plantas Medicinales - Organic Eclipta Alba Extract;
Plantas Medicinales - Plantas Medicinales - Organic Elettaria cardamomum Extract.;
Plantas Medicinales - Plantas Medicinales - Organic Eucalaptus Extract;
Plantas Medicinales - Plantas Medicinales - Organic Fenugreek Extract;
Plantas Medicinales - Plantas Medicinales - Organic Flaxseed Extract;
Plantas Medicinales - Plantas Medicinales - Organic Folic acid/Vitamin B9 Powder Mix;
Plantas Medicinales - Plantas Medicinales - Organic Galangal roots;
Plantas Medicinales - Plantas Medicinales - Organic Garcinia Cambogia Powder/Extract;
Plantas Medicinales - Plantas Medicinales - Organic Garcinia Cambogia Powder/Kokum Powder /Kokum Flour;
Plantas Medicinales - Plantas Medicinales - Organic Ginseng Extract /Ashwagandha(Withania Somnifera)/Indian;), Herbs (Ginseng/Ashwagnadha Extract;
Plantas Medicinales - Plantas Medicinales - Organic Glycyrrhiza;
Plantas Medicinales - Plantas Medicinales - Organic Glycyrrhiza Glabra-Root Extract;
Plantas Medicinales - Plantas Medicinales - Organic Glycyrrhiza Root Powder;
Plantas Medicinales - Plantas Medicinales - Organic Golden Milk;
Plantas Medicinales - Plantas Medicinales - Organic Guava Leaf (Psidium guajava) Extract;
Plantas Medicinales - Plantas Medicinales - Organic Gymnema / Gymnema Sylvester;
Plantas Medicinales - Plantas Medicinales - Organic Gymnema Extract;
Plantas Medicinales - Plantas Medicinales - Organic Haritaki / Harad (Terminalia chebula);
Plantas Medicinales - Plantas Medicinales - Organic Health Enricher;
Plantas Medicinales - Plantas Medicinales - Organic Health Rejuvenation;
Plantas Medicinales - Plantas Medicinales - Organic Health Vigour;
Plantas Medicinales - Plantas Medicinales - Organic Health Vitalizer;
Plantas Medicinales - Plantas Medicinales - Organic Henna Leaves;
Plantas Medicinales - Plantas Medicinales - Organic Henna Powder;
Plantas Medicinales - Plantas Medicinales - Organic Hesperidin Extract;
Plantas Medicinales - Plantas Medicinales - Organic Indigo Powder;
Plantas Medicinales - Plantas Medicinales - Organic Iodine Powder Mix;
Plantas Medicinales - Plantas Medicinales - Organic Iron Powder Mix;
Plantas Medicinales - Plantas Medicinales - Organic Kalonji/nigella;
Plantas Medicinales - Plantas Medicinales - Organic Karela Extract (Momordica Charantia );
Plantas Medicinales - Plantas Medicinales - Organic Lemon Peel Extract (Citrus limon);
Plantas Medicinales - Plantas Medicinales - Organic Liquorice Extract;
Plantas Medicinales - Plantas Medicinales - Organic Lycopen Powder Mix;
Plantas Medicinales - Plantas Medicinales - Organic Magnesium Powder Mix;
Plantas Medicinales - Plantas Medicinales - Organic Mandukapami-Centella asiatica Powder;
Plantas Medicinales - Plantas Medicinales - Organic Manganese Powder Mix;
Plantas Medicinales - Plantas Medicinales - Organic Manjistha/Rubia cordifolia;
Plantas Medicinales - Plantas Medicinales - Organic Medicinal Herbs (Mint Extract);
Plantas Medicinales - Plantas Medicinales - Organic Milk Thistle Extract (Silymarin);
Plantas Medicinales - Plantas Medicinales - Organic Mucuna Pruriens Extract;
Plantas Medicinales - Plantas Medicinales - Organic Multiminerals Powder;
Plantas Medicinales - Plantas Medicinales - Organic Multivitamins Powder;
Plantas Medicinales - Plantas Medicinales - Organic Mung Bean Extract;
Plantas Medicinales - Plantas Medicinales - Organic Neem Extract;
Plantas Medicinales - Plantas Medicinales - Organic Neem Leaves;
Plantas Medicinales - Plantas Medicinales - Organic Noni (Morinda Citrifolia) - Extract;
Plantas Medicinales - Plantas Medicinales - Organic Omega 3 Powder Mix;
Plantas Medicinales - Plantas Medicinales - Organic Omega 6 Powder Mix;
Plantas Medicinales - Plantas Medicinales - Organic ProVitamin Powder Mix;
Plantas Medicinales - Plantas Medicinales - Organic Rose Petals Tea Bag Cut;
Plantas Medicinales - Plantas Medicinales - organic Safed Musli - Extract Powder;
Plantas Medicinales - Plantas Medicinales - Organic Sage Dry Extract (Rosmarinic Acid);
Plantas Medicinales - Plantas Medicinales - Organic Selenium Powder Mix;
Plantas Medicinales - Plantas Medicinales - Organic Senna/Senna leaves;
Plantas Medicinales - Plantas Medicinales - Organic Shatavari;
Plantas Medicinales - Plantas Medicinales - Organic Shatavari Extract;
Plantas Medicinales - Plantas Medicinales - Organic Shatavari TBC;
Plantas Medicinales - Plantas Medicinales - Organic Shikakai Powder;
Plantas Medicinales - Plantas Medicinales - Organic Soap Nut/Reetha ( Powder);
Plantas Medicinales - Plantas Medicinales - Organic Soapnut Shells;
Plantas Medicinales - Plantas Medicinales - Organic Sodium Hyalurolate;
Plantas Medicinales - Plantas Medicinales - Organic Spinach;
Plantas Medicinales - Plantas Medicinales - Organic Spinach extract), Herbs (Plantas Medicinales - Plantas Medicinales - Organic Spinach Powder;
Plantas Medicinales - Plantas Medicinales - Organic Terminalia Arjuna;
Plantas Medicinales - Plantas Medicinales - Organic Terminalia bellirica powder;
Plantas Medicinales - Plantas Medicinales - Organic Terminalia bellirica-Baheda;
Plantas Medicinales - Plantas Medicinales - organic Terminalia Chebula Extract;
Plantas Medicinales - Plantas Medicinales - organic Terminlia Bellirica Extract;
Plantas Medicinales - Plantas Medicinales - organic Tinospora Cordifolia Extract;
Plantas Medicinales - Plantas Medicinales - Organic Tribulus Terrestris Extract;
Plantas Medicinales - Plantas Medicinales - Organic Trikatu Extract;
Plantas Medicinales - Plantas Medicinales - Organic Trikatu Powder;
Plantas Medicinales - Plantas Medicinales - Organic Trikatu Powder Mix;
Plantas Medicinales - Plantas Medicinales - Organic Triphala;
Plantas Medicinales - Plantas Medicinales - organic Triphala - Extract/Powder;
Plantas Medicinales - Plantas Medicinales - Organic Triphala Extract Granules;
Plantas Medicinales - Plantas Medicinales - Organic Triphala Extract Granules / Powder;
Plantas Medicinales - Plantas Medicinales - Organic Triphala Powder;
Plantas Medicinales - Plantas Medicinales - Organic Triphala Powder Mix;
Plantas Medicinales - Plantas Medicinales - Organic Valeriana Wallichii (Tagar) Extract;
Plantas Medicinales - Plantas Medicinales - Organic Vetiveria Zizanoides (Khas);
Plantas Medicinales - Plantas Medicinales - Organic Vitamin B complex Powder Mix;
Plantas Medicinales - Plantas Medicinales - Organic Vitamin B1 Powder Mix;
Plantas Medicinales - Plantas Medicinales - Organic Vitamin B12 Powder Mix;
Plantas Medicinales - Plantas Medicinales - Organic Vitamin B2 Powder Mix;
Plantas Medicinales - Plantas Medicinales - Organic Vitamin B5 Powder Mix;
Plantas Medicinales - Plantas Medicinales - Organic Vitamin B6 Powder Mix;
Plantas Medicinales - Plantas Medicinales - Organic Vitamin C Powder Mix;
Plantas Medicinales - Plantas Medicinales - Organic Vitamin D Powder Mix;
Plantas Medicinales - Plantas Medicinales - Organic Vitamin D2 Powder Mix;
Plantas Medicinales - Plantas Medicinales - Organic Vitamin D3 Powder Mix;
Plantas Medicinales - Plantas Medicinales - Organic Vitamin E Powder Mix;
Plantas Medicinales - Plantas Medicinales - Organic Vitamin K Powder Mix;
Plantas Medicinales - Plantas Medicinales - Organic Vitamin K2MK7 Powder Mix,;
Plantas Medicinales - Plantas Medicinales - organic Zinc Powder;
Plantas Medicinales - Plantas Medicinales - Organic Zinc Powder Mix;
Plantas Medicinales - Plantas Medicinales - Orgnaic Mandukapami-Centella asiatica;), Mixed Condiments (Bananas - Bananas/ Plátanos - Organic Banana Extract (corosolic acid);
Beekeeping Products - - Organic Bee Wax;
Cashew - Marañon - Organic Cashew nut (salted);
Cashew - Marañon - Organic Cashew Whole;
Chia - - Organic Chia Seed Extract;
Citrus - Citricos - Organic Citrus Bioflavonoids Extract / Citrus Extract;
Cloves - Clavos de olor - Organic Clove Extract;
Coconut - Coco - Organic Activated Carbon - (coconut shell source);
Coconut - Coco - Organic Activated Coconut Charcol;
Coconut - Coco - Organic Coconut Powder (Coconut Powder Extract);
Coffee - Café - Organic Caffeine Extract;
Coffee - Café - Organic Coffee Dry Extract (Caffeine);
Coffee - Café - Organic Green Coffee Extract;
Lavender - Lavanda - Organic Lavender;
Lavender - Lavanda - Organic Lavender Leaves Powder;
Lavender - Lavanda - Organic Lavender Leaves TBC/Lavende TBC;
Legumes - - Organic Chana Black;
Mango - - Organic Mangifera indiaca Extract;
Medical Plants - - Organic Bamboo extract;
Medical Plants - - Organic Nettle Root Extract;
Medical Plants - - Organic Vitamin B3 Powder Mix;
Millet grain - - Organic Multi Grain Atta;
Moringa - - Organic Moringa Oleifera Extract;
Moringa - - Organic Moringa Oleifera Leaves Extract;
Mustard Seed - Semillas de mostaza - Organic Mustard Meal/Mustard Cake;
Mustard Seed - Semillas de mostaza - Organic Mustard Seed Extract (Brassica nigra)
Nutmeg seeds - Semillas de nuez moscada - Organic Nutmeg Extract;
Nuts, other - Otras Nueces - Organic Almond;
Organic Rice - Arroz Organico - Organic Rice;
Other spices - Otras especias - Organic Cumin Extract;
Papaws - Papaya - Organic Dried Papaya Slices;
Papaws - Papaya - Organic Papaya Extract (C.papaya);
Papaws - Papaya - Organic Papaya Powder;
Peanut - Cacahuate, maní - Organic Peanut Oil/Cold Press Peanut Oil;
Pepper - Pimientos - Organic Cayenne Pepper Extract;
Pepper - Pimientos - Organic Piper longum Extract;), Oils (Aceite esencial - Aceite esencial - Organic Almond Oil/Organic Sweet Almond Oil/Cold Press Almond Oil;
Aceite esencial - Aceite esencial - Organic Ascorbic Acid,;
Aceite esencial - Aceite esencial - Organic brown Mustard oil;
Aceite esencial - Aceite esencial - Organic Cassia Oil;
Aceite esencial - Aceite esencial - Organic Castor Oil;
Aceite esencial - Aceite esencial - Organic Cedarwood oil;
Aceite esencial - Aceite esencial - organic Celery Seed Oil;
Aceite esencial - Aceite esencial - Organic Cinnamon Oil;
Aceite esencial - Aceite esencial - Organic Citronella Oil;
Aceite esencial - Aceite esencial - Organic Clary Sage Oil/Organic sage Oil;
Aceite esencial - Aceite esencial - Organic Clove Bud Oil;
Aceite esencial - Aceite esencial - organic Clove Oil;
Aceite esencial - Aceite esencial - organic Cumin Seed Oil;
Aceite esencial - Aceite esencial - organic Dill oil (Sowa Oil);
Aceite esencial - Aceite esencial - Organic Eucalyptus Oil;
Aceite esencial - Aceite esencial - organic Fennel Seed Oil;
Aceite esencial - Aceite esencial - Organic Flax/Linseed Oil;
Aceite esencial - Aceite esencial - Organic Flaxseed oil;
Aceite esencial - Aceite esencial - Organic Geranium oil;
Aceite esencial - Aceite esencial - Organic Ginger Oil;
Aceite esencial - Aceite esencial - Organic Glycerine;
Aceite esencial - Aceite esencial - Organic Jasmine oil;
Aceite esencial - Aceite esencial - Organic Jatamansi Oil;
Aceite esencial - Aceite esencial - Organic Lauric Acid;
Aceite esencial - Aceite esencial - Organic Lavender Oil;
Aceite esencial - Aceite esencial - Organic Lemongrass Oil;
Aceite esencial - Aceite esencial - Organic Linoleic Acid,;
Aceite esencial - Aceite esencial - Organic Marigold/Tagetes oil;
Aceite esencial - Aceite esencial - Organic Marjoram Sweet Oil (Origanum Marjorana);
Aceite esencial - Aceite esencial - Organic MCT Oil (Medium Chain Triglyceride);
Aceite esencial - Aceite esencial - Organic Mentha Averensis Oil;
Aceite esencial - Aceite esencial - Organic Mentha Citrata Oil;
Aceite esencial - Aceite esencial - Organic Mentha piperata oil (Mentha piperita);
Aceite esencial - Aceite esencial - Organic Mustard Oil ( crude);
Aceite esencial - Aceite esencial - Organic Mustard Oil (refined);
Aceite esencial - Aceite esencial - Organic Nagarmotha oil/Organic Cyperiol Oil;
Aceite esencial - Aceite esencial - Organic Neem Oil;
Aceite esencial - Aceite esencial - Organic Niger seed oil;
Aceite esencial - Aceite esencial - Organic Nutmeg Oil;
Aceite esencial - Aceite esencial - Organic Oleic Acid;
Aceite esencial - Aceite esencial - Organic Onion Oil;
Aceite esencial - Aceite esencial - Organic Palmarosa Oil;
Aceite esencial - Aceite esencial - Organic Palmitic Acid;
Aceite esencial - Aceite esencial - Organic Patchouli Oil;
Aceite esencial - Aceite esencial - Organic Peppermint Oil (Mentha piperita);
Aceite esencial - Aceite esencial - Organic Rapeseed oil;
Aceite esencial - Aceite esencial - Organic Rice Bran oil;
Aceite esencial - Aceite esencial - Organic Rose Oil;
Aceite esencial - Aceite esencial - Organic Rosemary Oil;
Aceite esencial - Aceite esencial - Organic Stearic Acid,;
Aceite esencial - Aceite esencial - Organic Sugandha Kokila Oil(Luvunga Scandens);
Aceite esencial - Aceite esencial - Organic Sunflower Seed Oil;
Aceite esencial - Aceite esencial - Organic Thyme Oil;
Aceite esencial - Aceite esencial - Organic Tocopherol;
Aceite esencial - Aceite esencial - Organic Turmeric Oil;
Aceite esencial - Aceite esencial - Organic Valerian oil;
Aceite esencial - Aceite esencial - Organic Vetiver Oil;
Aceite esencial - Aceite esencial - Organic Vitamin E;
Aceite esencial - Aceite esencial - Organic Vitamin E Oil;
Aceite esencial - Aceite esencial - Organic Wheatgerm Oil;), Spices (Coconut Oil / Cold Press Coconut Oil /Virgin Coconut Cold Press Oil;
- - Oragnic Ajwain;
- - Organic Ajwain Powder;
- - Organic Ajwain Seed Oil;
- - Organic All Spices;
- - Organic Allspice Powder;
- - Organic Amaranth Flour;
- - Organic Amaranth roasted;
- - Organic Amaranth Seed/Ram Dhana;
- - Organic Amla powder;
- - Organic Anise oil (aniseed oil);
- - Organic Anise/Aniseed;
- - Organic Annatto Powder;
- - Organic Apricot oil;
- - Organic Arrowroot powder;
- - organic Asafoetida;
- - organic Ashwagandha Powder;
- - Organic Ashwagandha TBC;
- - Organic Barley Whole;
- - Organic Basil/Tulsi Oil;
- - Organic Basmati Rice;
- - Organic Bay Leaf;
- - organic Black mustard Oil;
- - Organic Black Pepper;
- - Organic Black Pepper Crushed;
- - Organic Black Pepper Extract;
- - Organic Black pepper oil;
- - Organic Black Pepper TBC;
- - Organic Black Tea Extract;
- - Organic Brahmi Powder;
- - Organic Brahmi/Bacopa monnieri;
- - Organic Caraway oil (Carum carvi);
- - Organic Cardamom;
- - Organic Cardamom Large Black;
- - Organic Cardamom Oil;
- - Organic Cardamom Powder;
- - Organic Cassia;
- - Organic Centella asciatica Powder;
- - Organic Chickpea/Kabuli Chana (garbanzos);
- - Organic Chicory;
- - Organic Chicory Root Powder;
- - Organic Chicory TBC;
- - Organic Chilli Flakes;
- - Organic Chilli Flakes-bird eye;
- - Organic Chilli Whole/Chilli Whole Dry;
- - Organic Chitra Kidney Beans / Rajma (Phaseolus Vulgaris);
- - Organic cinnamon;
- - Organic Cinnamon - Extract;
- - Organic Cinnamon (Powder);
- - Organic Cinnamon Bark;
- - Organic Cinnamon TBC;
- - Organic clove;
- - Organic Clove Powder;
- - Organic Coconut Decicated;
- - Organic Coconut Flakes;
- - Organic Coconut powder/dried coconut powder;
- - Organic Coffee extract;
- - Organic Coriander Crushed;
- - Organic Coriander Extract;
- - Organic Coriander Powder;
- - Organic Coriander Seed;
- - Organic Cowpea Split;
- - Organic Cumin Powder;
- - Organic Cumin Seed;
- - Organic Cumin TBC;
- - Organic Curry Leaves Dried;
- - Organic Curry leaves powder;
- - Organic Davana Oil/Artemisia Oil;
- - Organic Dill Powder (Aowa);
- - Organic Dill Seed (Aowa);
- - Organic Eclipta alba Powder / Bringraj Powder;
- - Organic Fennel Powderm;
- - Organic Fennel tea bag cut;
- - Organic Fenugreek Crushed;
- - Organic Fenugreek Powder (Methi Powder);
- - Organic Fenugreek TBC;
- - Organic Fenugreek/Fenugreek Seed (Methi);
- - Organic Flax Seed;
- - Organic Flax Seeds (Grounded);
- - Organic Galangal Powder;
- - Organic Galangal TBC;
- - Organic Garlic Powder;
- - Organic Garlic/Garlic Flakes;
- - Organic Ginger Extract - Zingiber officinalis;
- - Organic Ginger Powder;
- - Organic Ginger Sliced Dried;
- - Organic Ginger TBC;
- - Organic Gram Flour/Besan/Chick Pea Flour;
- - Organic Green Gram /Moong Dhuli;
- - Organic Green Tea;
- - Organic Guar Gum Powder;
- - Organic Guava Fruit Extract (Psidium guajava);
- - Organic Gymnema Powder;
- - Organic Haritaki powder;
- - Organic Lemon grass TBC;
- - Organic lemon Peel Powder;
- - Organic Maize starch/Corn Starch;
- - Organic Mango Fruit Extract (Mangifera indica);
- - Organic Mango Powder/ Aamchur;
- - Organic Manioc Cassava Powder / Cassava Flour/ Tapioca Powder/Tapioca Flour;
- - Organic Manjistha/Rubia cordifolia Powder;
- - Organic Masoor (Lens Culinaris);
- - Organic Masoor Dal;
- - Organic Masur/Masoor dhuli;
- - Organic Moong Daal Split;
- - Organic Moth Daal;
- - Organic Mustard;
- - Organic Mustard Powder;
- - Organic Neem powder;), Spices (Organic Nutmeg Whole;
- - Organic Onion (Powder);
- - Organic Onion Flakes;
- - Organic Oregano;
- - Organic Pearl Millet/Bajra;
- - Organic Pepper long/Pippali (Piper longum);
- - Organic Peppermint leaves;
- - Organic Peppermint Leaves Powder/Mint Leaves Powder/Mint Powder;
- - Organic Pippali powder-Piper longum;
- - Organic Potato Flour/Powder;
- - Organic Potato Starch;
- - Organic Psyllium husk powder;
- - Organic Psyllium seed (isobgul);
- - Organic Ragi Flour;
- - Organic Rapeseed/Rai/Rye;
- - Organic Red Chilli (whole);
- - Organic Red Lentils;
- - Organic Rice Flour;
- - Organic Rice Lecithin (Liquid and Powder);
- - Organic Roasted Gram/ chana;
- - Organic Rose Petals Powder;
- - Organic Rosemary;
- - Organic saffron Powder;
- - Organic Senna Leaves Powder;
- - Organic Senna Leaves Tea Bag Cut (TBC);
- - Organic Sesame Seed Black;
- - Organic Sesame Seeds Natural;
- - Organic Shatavari powder;
- - Organic Sorghum;
- - Organic Soyabean Flour;
- - Organic Star Anise;
- - Organic Stevia;
- - Organic Stevia/Stevia rebaudiana powder;
- - Organic Sunflower;
- - Organic Sunflower Lecithin, (Liquid and Powder);
- - Organic Tamarind Concentrate;
- - Organic Tamarind Powder (Imli);
- - Organic Tamarind/Imli (T.indica)/Tamarind Dry Imli;
- - Organic Thyme;
- - Organic Tomato powder;
- - Organic Tulsi Powder;
- - Organic Tulsi TBC/Tulsi TBC Blend;
- - Organic Turmeric Dried;
- - Organic Turmeric Finger;
- - Organic Turmeric Powder;
- - Organic Turmeric TBC;
- - Organic Urad Daal Dhuli;
- - Organic Urad Daal Split;
- - Organic Wheat;
- - Organic Wheat flour;
- - Organic Wheat starch;
- - Organic White Pepper;
- - Organic White Pepper Crushed;
- - Organic White Pepper powder;
- - OrganicBrown Rice;
- - Orgnaic Black Pepper Powder;
- - Orgnaic Chilli crushed;
- - Orgnaic Chilli Powder;
- - Orgnaic Roasted Chicory;), Spices (Preparation - Food Flavours - - organic Stevia/Stevia Rebaudiana Extract;
Preparation - Plant extracts - - Organic Holy Basil extract / Organic Tulsi Extract;
Rapeseeds - Semillas de colza - Organic Rape Seed cake/ Rape Seed Meal;
Rapeseeds - Semillas de colza - Organic Rape Seed Extract;
Rosemary - Romero - Organic Rosemary Extract;
Sesame (Sesamum indicum) - Sesamo (Sesamum indicum) - Organic Gingelly Oil;
Sesame (Sesamum indicum) - Sesamo (Sesamum indicum) - Organic Sesame Seed Oil / organic Sesame Seed Cold Press Oil;
Sesamun Seeds - Semillas de ajonjolí o sésamo - Organic Black Sesame Seed Oil/ Sesame Seed Oil Cold Press;
Sesamun Seeds - Semillas de ajonjolí o sésamo - Organic White Sesame Seed Oil / Organic White Sesame Seed Oil
Cold Press;
Soy bean - Soja - Organic Soya Isoflavon;
Soy bean - Soja - Organic Soya Meal/Soya Cake;
Soy bean - Soja - Organic Soyabean;
Soy bean - Soja - Organic Soyabean Extract;
Soy bean - Soja - Organic Soyabean Oil
Soya beans, whether or not broken. - Habas de soja, incluyendo quebrantadas. - Organic Soya Lecithin (Liquid an
Powder);
Spices - Especias - Organic Chana Masala;
Spices - Especias - Organic Chiken Masala;
Spices - Especias - Organic Fennel extract;
Spices - Especias - Organic Fennel Seed/Fennel Saunf/Anise;
Spices - Especias - Organic Meat Masala;
Spices - Especias - Organic Mutton Curry Masala;
Spices - Especias - Organic Pippali (Piper Longum) Extract;
Spices - Especias - Organic Rajma masala;
Spices - Especias - Organic Sabji Masala;
Spices - Especias - Organic Spice Mix (Tea Masala);
Sunflower seeds, whether or not broken - Semillas de girasol, incluyendo quebrantadas - Organic Sunflower seed extract;
Tea - - Organic Green Tea Extract;
Tomatoe - Tomates - organic Tomato extract;
Turmeric (Curcuma) - Cúrcuma - Organic Turmeric extract;
vegetable powder - Polvo vegetal - Organic Elephant Yam Powder;
vegetable powder - Polvo vegetal - Organic Elephant Yam Slices/Elephant Yam Dry Slices;
Wheat - Trigo - Organic Wheatgrass Extract)</t>
  </si>
  <si>
    <t>Processed  Items: Activated carbon (coconut shell source), Activated coconut charcoal, Ascorbic acid, Black pepper TBC, Coconut decicated, Coconut flakes, Coconut powder/Coconut powder extract, Coconut powder/Dried coconut powder, Distilled fatty acid, Glycerine , Indigo powder, Manioc (Cassava) powder/Cassava flour/Tapioca powder/Tapioca flour, Papaya powder, Papaya slices, Rice bran oil , Rice lecithin (liquid and powder), Soya lecithin (liquid and powder), Spinach, Spinach powder, Sunflower lecithin (liquid and powder), Tomato powder, Cashew Nuts (Cashew nut (salted)), Cereal (Amaranth roasted, Maize starch), Dehydrated Foods (Amla, Amla powder, Garlic , Garlic Flakes , Lemon peel powder, Onion (powder) , Onion flakes), Mustards (Mustard, Mustard Powder); Preservatives/Extracts/Flavors: Extracts (Adhatoda vasica extract, Amla fruit extract (Emblica officianlis), Annatto powder, Annatto seeds extract, Ashwagandha extract, Asparagus racemosus extract, Bamboo extract, Banana extract (Corosolic acid), Berberis aristata/Daruhaldi extract powder, Black pepper extract, Black tea extract, Boswellia serrata extract, Brahmi/Bacopa monnieri extract powder, Caffeine extract, Carica papaya extract, Carrot extract, Cassava root extract, Cayenne pepper extract, Centella asciatica extract, Chamomile extract, Chia seed extract, Chicory (Cichorium intybus) extract, Cinnamon extract, Clove extract, Coffee dry extract (Caffeine), Coffee extract, Comiphora whitii extract, Coriander extract, Cumin extract, Curcuma longa extract, Curry leaf extract, Eclipta alba extract, Elettaria cardamomum extract, Eucalyptus extract, Fennel extract, Fenugreek extract, Flaxseed extract, Ginger extract (Zingiber officinalis), Ginseng extract, Glycyrrhiza glabra root extract, Green coffee extract, Green tea extract, Guava fruit extract (Psidium guajava), Guava leaf (Psidium guajava) extract, Gymnema extract, Holy basil extract/Tulsi extract, Karela (Momordica charantia) extract, Lemon peel extract (Citrus limon), Liquorice extract, Mangifera indiaca extract, Mango fruit extract (Mangifera indica), Medicinal herbs (Mint) extract, Milk thistle (Silymarin) extract, Moringa oleifera extract, Moringa oleifera leaves extract, Mucuna pruriens extract, Mung bean extract, Mustard seed extract (Brassica nigra), Neem extract, Nettle root extract, Noni (Morinda citrifolia) extract, Nutmeg extract, Papaya extract (C. papaya), Piper longum extract, Pippali (Piper longum) extract, Rosemary extract, Safed musli extract powder, Sage dry extract (Rosmarinic acid), Shatavari extract, Soyabean extract, Spinach extract, Stevia/Stevia rebaudiana extract, Sunflower seed extract, Terminalia bellirica extract, Terminalia chebula extract, Tinospora cordifolia extract, Tomato extract, Tribulus terrestris extract, Trikatu extract, Triphala extract powder, Turmeric extract, Valeriana wallichii (Tagar) extract, Wheatgrass extract); Other Grains, Pastas and Cereals: Barley (Barley whole), Cereal (Amaranth seed/ Ram dhana, Millet, Multi grain Atta, Pearl millet/Bajra/Bajra (seed quality), Ragi flour), Rice (Brown Rice, Rice), Sorghum (Sorghum), Wheat (Wheat); Oils &amp; Oleoresins: Essential Oils (Apricot Oil, Basil/Tulsi oil, Black Pepper Oil, Cardamom Oil, Cedarwood oil, Celery Seed Oil, Citronella oil , Clary sage oil/Sage oil, Clove bud oil, Clove oil, Davana Oil/Artemisia Oil, Dill oil (Sowa oil), Eucalyptus oil, Flaxseed oil, Geranium oil, Gingelly oil, Ginger Oil , Jasmine oil, Jatamansi oil, Lavender oil, Lemongrass oil, Marigold/Tagetes oil, Marjoram sweet oil (Origanum marjorana), MCT Oil (Medium chain triglyceride), Mentha Citrata Oil, Mentha piperata oil (Mentha piperita), Menths averensis oil, Nagarmotha oil/Cyperiol oil, Neem oil , Nutmeg oil, Onion oil, Palmarosa oil , Patchouli oil , Peppermint oil (Mentha piperita), Rose oil , Rosemary oil , Sesame seed oil/Sesame seed cold press oil, Spearmint oil , Sugandha kokila (Luvunga scandens) oil, Thyme Oil, Turmeric oil, Valerian oil, Vetiver Oil, Wheatgerm oil), Oils (Ajwain Seed Oil, Almond oil/Sweet almond oil/Cold press almond oil, Anise Oil (Aniseed Oil), Caraway oil (Carum varvi), Cassia oil, Castor Oil, Chana black , Chana masala, Cinnamon oil , Coconut oil/Cold press coconut oil/Virgin coconut oil, Cumin Seed Oil , Fennel Oil, Fennel seed oil, Flax/Linseed Oil, Galangal Powder , Garlic Powder, Groundnut/Peanut oil (crude), Lauric acid, Linoleic Acid, Mustard Oil (crude), Mustard oil (refined), Niger seed oil, Oleic Acid, Palmitic Acid, Peanut oil/Cold press peanut oil, Rapeseed oil, Stearic Acid, Sunflower seed oil, Tocopherol, Vitamin E); Nuts/Seeds: Almonds (Almond), Cashew Nuts (Cashew whole), Nuts (Soapnut shells, Soapnut/Reetha (powder)), Seeds (Castor seed, Flax Seed , Flax seed (grounded), Mustard meal/Mustard cake, Mustard Seeds, Rapesed/Rai/Rye , Sunflower); Health Products: Aloe Vera (Aloe vera), Betacarotene powder mix, Biotin powder mix, Calcium powder mix, Chromium powder mix, Copper powder mix, Folic acid/Vitamin B9 powder mix, Golden milk, Health enricher, Health rejuvenation, Health vigour, Health vitalizer, Iodine powder mix, Iron powder mix, Lycopene powder mix, Magnesium powder mix, Manganese powder mix, Multiminerals powder, Multivitamins powder, Omega 3 powder mix, Omega 6 powder mix, ProVitamin powder mix, Selenium powder mix, Vitamin A powder mix, Vitamin B complex powder mix, Vitamin B1 powder mix, Vitamin B12 powder mix, Vitamin B2 powder mix, Vitamin B3 powder mix, Vitamin B5 powder mix, Vitamin B6 powder mix, Vitamin C powder mix, Vitamin D powder mix, Vitamin D2 powder mix, Vitamin D3 powder mix, Vitamin E powder mix, Vitamin K powder mix, Vitamin K2MK7 powder mix, Zinc powder, Zinc powder mix, Herbs (Ajwain, Ajwain Powder, Allspice, Allspice powder, Anantmool (Hemidesmus indicus), Anantmool powder, Anise/Aniseed, Annatto, Asafoetida, Ashwagandha, Ashwagandha Powder, Ashwagandha TBC, Basil/Tulsi, Bay leaf, Black cumin, Black Pepper, Black pepper crushed, Black Pepper Powder, Brahmi Powder, Brahmi/Bacopa monnieri, Cardamom, Cardamom Large (Black), Cardamom Powder, Cassia, Chamomile (M. chamomilla), Chicken masala, Chilli crushed , Chilli flakes , Chilli flakes (bird eye), Chilli powder, Chilli whole/Chilli whole dry, Cinnamon , Cinnamon bark, Cinnamon powder, Cinnamon TBC , Clove powder, Cloves, Commiaphora whitii (Guggal), Coriander crushed, Coriander Powder , Coriander seed, Cumin Powder , Cumin seed, Cumin TBC, Curry leaves dried, Curry leaves powder, Dill powder, Dill seed (Sowa), Eclipta alba (Bhrigjraj/Bhringraj), Eclipta alba powder/Bringraj powder, Elephant yam powder, Elephant yam slices/Elephant yam dry slices, Fennel powder , Fennel seed/Fennel saunf, Fenugreek crushed , Fenugreek powder (Methi powder), Fenugreek TBC, Fenugreek/Fenugreek seed (Methi), Galangal roots, Galangal TBC, Ginger Powder , Ginger sliced dried, Ginger TBC , Glycyrrhiza, Glycyrrhiza root powder, Gymnema powder, Gymnema/Gymnema sylvestre, Haritaki powder, Haritaki/Harad (Terminalia chebula), Henna leaves, Henna powder, Kalonji/Nigella sativa/Black cumin, Lavender, Lavender leaves powder, Lavender leaves TBC/Lavender TBC, Lemongrass dried, Lemongrass TBC, Mandukapami/Centella asiatica, Mandukapami/Centella asiatica powder, Manjistha/Rubia cordifolia, Manjistha/Rubia cordifolia powder, Meat masala, Mint powder, Moringa (M.oleifera), Moringa Powder, Mutton curry masala, Neem leaves, Neem Powder , Nutmeg Whole, Oregano, Pepper long/Pippali (Piper longum), Peppermint leaves, Pippali powder/Piper longum, Psyllium husk (isobgul), Psyllium husk powder , Psyllium seed (isobgul), Rajma masala, Red chilli (whole ), Roasted chicory , Rose petals powder, Rose petals T cut, Sabji masala, Safed musli powder , Saffron powder , Senna leaves powder , Senna leaves TBC, Senna/Senna leaves, Shatavari, Shatavari powder, Shatavari TBC, Shikakai powder, Spice mix (Tea masala), Star anise , Tamarind concentrate, Tamarind powder (Imli), Tamarind/Imli (T.indica)/Tamaring Dry Imli, Terminalia arjuna, Terminalia bellirica powder, Terminalia bellirica/Baheda, Thymes, Trikatu powder, Trikatu powder mix, Triphala, Triphala extract granules, Triphala powder, Triphala powder mix, Tulsi Powder, Tulsi TBC/Tulsi TBC blend, Turmeric dried, Turmeric powder, Turmeric TBC, Turmeric whole-dried/Turmeric fingers, Vetiveria zizanoides (Khas), White pepper , White pepper crushed, White pepper powder); Fruits/Vegetables: Arrow root powder, Beans (Chitra kidney beans /Rajma (phaseoulus vulgaris)), Dehydrated Foods (Mango powder/Aamchur), Vegetables (Celery seed, Chicory, Chicory root powder, Chicory TBC); Dry/Baking Goods: Flours and Meals (Amaranth Flour, Gram flour/Besan/Chickpea flour, Millet Flour, Potato flour/powder, Potato starch, Rice flour, Wheat flour , Wheat Starch); Condiments and Sweeteners: Sweeteners (Maltodextrin, Stevia, Stevia/Stevia rebaudiana powder); Beverage Related Products: Tea (Fennel tea bag cut , Green tea); Animal Feed: Livestock Feed (Rapeseed cake/Rapeseed meal); Other: Beans (Green gram/Moong, Roasted gram/Chana, Soya meal, Soybean flour, Urad Daal Dhuli, Urad Daal Split), Beewax, Boswellia sereta powder, Chickpea /Kabuli Chana (garbanzos), Cowpeas split, Garcinia cambogia powder/extract, Guar gum powder, Masoor (Lens Culinaris), Masoor Dal, Masur/Masoor dhuli, Moong daal split, Moth daal, Red lentils, Seeds (Sesame seed black, Sesame seeds natural)</t>
  </si>
  <si>
    <t>Trees/Whole Plant Products/Flowers: Alfalfa, Oat grass; Preservatives/Extracts/Flavors: Extracts (Pea protein), Extracts (Soybean lecithin crude), Extracts (Soybean Lecithin fluid), Extracts (Soybean Lecithin powder), Extracts (Sunflower lecithin crude), Extracts (Sunflower Lecithin fluid), Extracts (Sunflower Lecithin powder), Herbs (Flaxseed); Other Grains, Pastas and Cereals: Corn, Rice (Paddy), Rice (Rice), Rice (Black paddy), Wheat (Black wheat), Wheat; Oils &amp; Oleoresins: Oils (Corn oil), Oils (Flaxseed oil), Oils (High oleic sunflower oil), Oils (Rapeseed oil (Canola oil)), Oils (Soybean oil), Oils (Sunflower oil); Nuts/Seeds: Black sesame seed, Rapeseed/Canola, Sunflower seed; Fruits/Vegetables: Beans (Black soybean), Beans (Mung bean), Beans (Red kidney bean), Beans (Soybean/Soya), Vegetables (Pea); Dry/Baking Goods: Corn starch, Flours and Meals (Wheat flour), Sugar (White granulated sugar); Condiments and Sweeteners: Sweeteners (Erythritol), Sweeteners (Starch sugar (Maltose; Maltodextrin; Glucose; Glucose syrup)); Animal Feed: Livestock Feed (Beet pellet meal), Livestock Feed (Corn bran meal), Livestock Feed (Corn flake), Livestock Feed (Corn flour), Livestock Feed (Corn germ cake/meal), Livestock Feed (Corn gluten meal), Livestock Feed (DDGS), Livestock Feed (Flaxseed cake/meal), Livestock Feed (Puffed corn), Livestock Feed (Puffed soybean), Livestock Feed (Rapeseed cake/meal/expeller), Livestock Feed (Rice bran), Livestock Feed (Soybean bran), Livestock Feed (Soybean cake/meal/expeller (also called: Soya expeller)), Livestock Feed (Sunflower seed cake/meal/expeller), Livestock Feed (Wheat bran)</t>
  </si>
  <si>
    <t>Other Grains, Pastas and Cereals: Wheat, Wheat; Fruits/Vegetables: Beans; Other: Flaxseed</t>
  </si>
  <si>
    <t>Beverage Related Products: Beverage: Sparkling Hop Water; Animal Feed: Livestock Feed (Grain: Spent Grain); Alcohol: Beer (Beer: PM to the AM Funk), Beer (Beer: Mines of Moria Grisette), Beer (Beer: Siren Sound - Petite Saison), Beer (Beer: Peach, Be Humble), Beer (Beer: Cuvee Sortir), Beer (Beer: Frances Mezcal), Beer (Beer: Peated Frances), Beer (Beer: Past Meets Presence Saison), Beer (Beer: Justice Temple - Rustic Saison), Beer (Beer: Leo Rising Porter), Beer (Beer: Pecan Porter), Beer (Beer: Dunkleweizen), Beer (Beer: Hefeweizen), Beer (Beer: Partyweizen), Beer (Beer: American Stout), Beer (Beer: Irish Coffee), Beer (Beer: Satan's Airport - Imperial Milk Stout), Beer (Beer: Chai Milk Stout), Beer (Beer: Brett Stout), Beer (Beer: Satan's Airport - Bourbon Barrel Aged), Beer (Beer: Syncopation Barrel Aged Sour Ale), Beer (Beer: Disco Lemonade (Berliner Weisse)), Beer (Beer: Raspberry Disco Lemonade (Berliner Weisse)), Beer (Beer: Cherry Lime Disco Lemonade (Berliner Weisse)), Beer (Beer: Ginger Disco (Berliner Weisse)), Beer (Beer: Strawberry Habanero Disco Lemonade (Berliner Weisse)), Beer (Beer: Basil Lime Disco Lemonade (Berliner Weisse)), Beer (Beer: Vienna Lager), Beer (Beer: Bar Beer - Kolsch Style Ale), Beer (Beer: Klaus - Kolsch Style Ale), Beer (Beer: Fresh Hop Kolsch), Beer (Beer: Frauenbier - Schwarzbier), Beer (Beer: Scheinaversary Ale), Beer (Beer: French India Farmhouse Ale (FIFA)), Beer (Beer: Dawn Patrol Pacific Ale), Beer (Beer: Summer Solar Ale), Beer (Beer: King Moonracer Holiday Ale), Beer (Beer: Orange Suede Suit), Beer (Beer: Flanders Red), Beer (Beer: Deception Pass Summer Ale), Beer (Beer: Ozzie - Sour Base Beer), Beer (Beer: Nectarine Farmer), Beer (Beer: I Am Gruit!), Beer (Beer: Black Gold - Blackberry Kolsch), Beer (Beer: Ginger Spiced Rye Ale), Beer (Beer: Piranha Bath - Dry Hopped Sour), Beer (Beer: Rocky Horror Pumpkin Ale), Beer (Beer: 542 Winter Warmer), Beer (Beer: King Moonracer Holiday Ale – Bourbon Barrel Aged), Beer (Beer: Pulp Fiction), Beer (Beer: Ally Ale), Beer (Beer: Black Gold - English Style Barley Wine), Beer (Beer: Neon Theater (Hazy Pale Ale)), Beer (Beer: Legacy Pale Ale), Beer (Beer: 7otality - Pale Ale), Beer (Beer: Arcade Dreams), Beer (Beer: Purrsuasion Anniversary Pale Ale), Beer (Beer: Dawn Patrol Pale Ale), Beer (Beer: Hazy Pale Ale), Beer (Beer: Arcade Awakens - Coffee Pale Ale), Beer (Beer: Jazz Juice Pale Ale), Beer (Beer: Throwback Pale Ale), Beer (Beer: Mountain Lion Hazy Pale Ale), Beer (Beer: Brave Noise Pale Ale), Beer (Beer: Motorcycle Craig APA), Beer (Beer: Ashes in the Fall), Beer (Beer: Wee Heavy), Beer (Beer: Floyd the Barber Nordic Pale Ale), Beer (Beer: Witbier), Beer (Beer: Let's Talk About 6 IPA), Beer (Beer: Midnight Couloir - Black IPA), Beer (Beer: Space Between Galaxies IPA), Beer (Beer: Tidal IPA), Beer (Beer: Anniversary Extra IPA), Beer (Beer: Monarch IPA), Beer (Beer: Offshore IPA), Beer (Beer: Melopepo IPA), Beer (Beer: Batch 2000 Blackberry IPA), Beer (Beer: Evolution Red IPA), Beer (Beer: Inside Voice aka Brown IPA), Beer (Beer: Batch 15 India Pale Ale), Beer (Beer: Illmatic IPA), Beer (Beer: 10 lb Hammer (Double IPA)), Beer (Beer: Raspberry Ron IPA), Beer (Beer: Space Eagle IPA), Beer (Beer: Falcon Punch IPA), Beer (Beer: Tales of Ordinary Madmess IPA), Beer (Beer: Alligator Suitcase Double IPA), Beer (Beer: Strawberry Ron IPA), Beer (Beer: Cascade IPA), Beer (Beer: The Cranberries IPA), Beer (Beer: Lambo Tape Deck Double IPA), Beer (Beer: Red Hook Collab IPA), Beer (Beer: Captain Planet IPA), Beer (Beer: Blueprint Session IPA), Beer (Beer: Stillmatic IPA), Beer (Beer: Flannel Blizzard), Beer (Beer: Cosmic Dreams IPA), Beer (Beer: Return of the Mack IPA), Beer (Beer: I Stand IPA), Beer (Beer: Elk Street IPA), Beer (Beer: Inevitable IPA), Beer (Beer: Captain Ron IPA), Beer (Beer: Gliding Over All - Hazy IPA), Beer (Beer: Evil IPA), Beer (Beer: Megathrust Triple IPA), Beer (Beer: De La Rouge IPA), Beer (Beer: Charlie Foxtrot Fresh Hop IPA), Beer (Beer: Simcoe Slice IPA), Beer (Beer: B Heard Cold IPA), Beer (Beer: Worlds First - Regenerative IPA), Beer (Beer: Fish Have Feelings IPA), Beer (Beer: Rice Crispy IPA), Beer (Beer: Mandarina Queen), Beer (Beer: B Proud Hazy IPA), Beer (Beer: Mighty Pine Double IPA), Beer (Beer: Blackberry Ron IPA), Beer (Beer: Pacific Cooler Double IPA), Beer (Beer: Crossing Columbia IPA), Beer (Beer: Outshine - Cold IPA), Beer (Beer: Jet Ski Referee), Beer (Beer: Bloom Fresh Hop IPA), Beer (Beer: Berry Ron IPA), Beer (Beer: Sabro Squeeze IPA), Beer (Beer: Slow Sipper - Hazy IPA), Beer (Beer: Cape Sundew - Double IPA), Beer (Beer: Mosaic Oasis IPA), Beer (Beer: Captain Planet 2), Beer (Beer: Citra IPA), Beer (Beer: Tenth Life IPA), Beer (Beer: Native Land IPA), Beer (Beer: Subalpine IPA), Beer (Beer: High Fives Double IPA), Beer (Beer: BKIND Helles), Beer (Beer: Punta Arenas Chilean Helles Bock), Beer (Beer: Smoko - Rauch Helles), Beer (Beer: Rauch Bock), Beer (Beer: Bier de Garde), Beer (Beer: Lupulin Saloon Cowboy Beer), Beer (Beer: Sauvage Biere Brut), Beer (Beer: VHS Night Club), Beer (Beer: NZ Wheat), Beer (Beer: Rosé Sauvage Biere Brut), Beer (Beer: 5 Deep), Beer (Beer: Solo Jazz), Beer (Beer: The Duke - Ordinary Bitter), Beer (Beer: Roy Farms Fresh Hop), Beer (Beer: Oud Bruin), Beer (Beer: A Study of Dreams), Beer (Beer: Pete's Non Alcoholic), Beer (Beer: 10,000 Battle Axes), Beer (Beer: Spezial), Beer (Beer: Batch 1000 Barley Wine), Beer (Beer: 3 Deep), Beer (Beer: Brut Bier), Beer (Beer: Double OG - Strong), Beer (Beer: Patio Sesh (Brad's Brew)), Beer (Beer: Pink Yoshi), Beer (Beer: Don's N/A - Non-Alcoholic), Beer (Beer: 4 Deep), Beer (Beer: Fremontii), Beer (Beer: Table Beer), Beer (Beer: 2 Deep), Beer (Beer: Timber Cruiser - Farmhouse Ale), Beer (Beer: 6 Deep), Beer (Beer: Washington Gold Pils), Beer (Beer: Blueberry Dojo), Beer (Beer: Thin Air), Beer (Beer: High Plains Drifter), Beer (Beer: Ozzie), Beer (Beer: Sijk Pils - Dry Hopped Pilsner), Beer (Beer: Coastal PILS), Beer (Beer: The Butler - Dark Farmhouse 1), Beer (Beer: Pilsner), Beer (Beer: 10° Pils), Beer (Beer: We Dream Alone), Beer (Beer: DDH Pilsner), Beer (Beer: King of the Mountain Pilsner), Beer (Beer: Cervisia Mediterranean Style Pilsner), Beer (Beer: Classic Light Lager), Beer (Beer: Edelstoff), Beer (Beer: Fresh Hop Kellerbier), Beer (Beer: Dam Hippie! - Italian-Style Pilsner), Beer (Beer: Bay Drifter ABC Pilsner (PCC)), Beer (Beer: Dry-Hopped Pils), Beer (Beer: Tidal Pils - German-Style Pilsener), Beer (Beer: Coastal Coffee), Beer (Beer: 7otality - Pilsner), Beer (Beer: Yakima Select - Washington Pilsner), Beer (Beer: Beer of Choice Dry Hopped Pilsner), Beer (Beer: Juice Box Hero), Beer (Beer: Montego Pale Lager), Beer (Beer: American Lager), Beer (Beer: King of the Mountain Pale Lager), Beer (Beer: Dunkel), Beer (Beer: Unidos Mexican Style Lager), Beer (Beer: Schwarzbier), Beer (Beer: Forestalgia American Lager), Beer (Beer: Forager Festbier), Beer (Beer: Hook's Stash - American Lager), Beer (Beer: Export Fest), Beer (Beer: Cucumber Lager), Beer (Beer: Old Bavarian), Beer (Beer: Cucumber Helles), Beer (Beer: Horizon Lines Common Lager), Beer (Beer: Helles Lager), Beer (Beer: Gold Goose), Beer (Beer: 3rd Order Dopplebock), Beer (Beer: Rauch Bock Hell - Smoked Lager), Beer (Beer: Flannel Blizzard Canadian Lager), Beer (Beer: Das Boot - Helles Lager), Beer (Beer: Oktoberfest Bier), Beer (Beer: Oktoberfest), Beer (Beer: Tateyama Japanese Lager), Beer (Beer: Color of Sleep), Beer (Beer: Guiding Star Belgian-Style Lager), Beer (Beer: ULa - Ungespundet/Kellerbier Lager), Beer (Beer: Tateyama Japanese Lager with House Mixed Culture), Beer (Beer: Patagonia Provisions Kernza Lager), Beer (Beer: Rauch Spezial - Lager), Beer (Beer: Sea to Sea - Pale Export Lager), Beer (Beer: MTN CRSP Pale Lager), Beer (Beer: Beer of Choice - Gose), Beer (Beer: Cranberry Gose), Beer (Beer: Baya Gose - Strawberry Raspberry Gose), Beer (Beer: Westy Altbier), Beer (Beer: Earth to Beer Amber Ale), Beer (Beer: Alt Bier), Beer (Beer: Big Iron Altbier), Beer (Beer: Head of Security Brindle Sour), Beer (Beer: B'ham Brown Ale), Beer (Beer: Floraison Saison), Beer (Beer: Frances Farmer Saison), Beer (Beer: 7 Deep - Brett Saison), Beer (Beer: Jeune Saison), Beer (Beer: Raspberry Dojo), Beer (Beer: Strawberry Dojo), Beer (Beer: Vielle Saison), Beer (Beer: Peach Dojo)</t>
  </si>
  <si>
    <t>Other Grains, Pastas and Cereals: Basmati Rice - Brown, Jowar, Kodo/Kodon Millet, Wheat; Oils &amp; Oleoresins: Coconut Oil, Extra Virgin Coconut Oil,; Condiments and Sweeteners: Cardamom,; Other: Alphonso mango, Amla, Amla Powder, Bajra flour/atta, Barley flour, Barley Whole, Bay leaves/Tejpatta, Beaten Rice, Black Gram Spilt White, black gram/urd (Vigna sp.), Brown gram/Gram/Chana (Cicer arietinum), Cashew Whole, Chana Dal, Chia, chickpea/kabuli chana(garbanzos), Chilli Whole, Chitra Kidney Beans / Rajma (Phaseolus vulgaris), Coriander Powder, Fennel/ Saunf, foxtail millet, Garlic Powder, Green Cardamom, Green gram whole (Moong sabut), Green peas, Groundnut/ Peanut, Groundnut/Peanut, Jaggery, Jaggery Powder, Jowar Flour, Lentil, Little Millet, mango powder/ aamchur, Red Chilli Powder, Sattu, Split Pigeon Pea/ Arhar/ Red Gram, Sugar (Brown/Natural), Suji/Semolina/ Cream of Wheat, Wheat Flour, Wheat Porridge/ Dalia, Wheatgrass powder, Sugar</t>
  </si>
  <si>
    <t>Other Grains, Pastas and Cereals: Quinoa (Black quinoa, Red quinoa, White quinoa)</t>
  </si>
  <si>
    <t>Other Grains, Pastas and Cereals: Quinoa (Pearled Royal White Quinoa)</t>
  </si>
  <si>
    <t>Other Grains, Pastas and Cereals: Quinoa (White quinoa)</t>
  </si>
  <si>
    <t>Processed  Items: Red Royal Quinoa Flake*, White Royal Quinoa Flake*; Other Grains, Pastas and Cereals: Quinoa (White Royal Quinoa*), Quinoa (Red Royal Quinoa*), Quinoa (Pearled Royal White Quinoa*), Quinoa (Pearled Royal Red Quinoa*); Dry/Baking Goods: Flours and Meals (Royal Quinoa Flour*)</t>
  </si>
  <si>
    <t>Processed  Items: Coffee (Coffee parchment - Café pergamino), Fermentend and / or washed dry Grain Cocoa - Cacao grano seco Fermentado Y/o Lavado, Oils (Cardamom Oil - Aceite de cardamomo), Peanuts (Peanut - cacahuate, maní - Mani grano)</t>
  </si>
  <si>
    <t>Fruits/Vegetables: Fermented and / or Washed Dry Grain Cocoa - Cacao grano seco Fermentado y/o Lavado</t>
  </si>
  <si>
    <t>Other: Grains (Wheat), Seeds</t>
  </si>
  <si>
    <t>Other Grains, Pastas and Cereals: Barley (Pearl barley), Flax seed, Millet (Hulled millet); Nuts/Seeds: Sesame, Sunflower Kernel, Sunflower seed; Fruits/Vegetables: Beans (Lentil), Beans (Light speckled kidney bean (cranberry bean)), Beans (Mung bean), Beans (Adzuki bean), Beans (Black kidney bean (black bean; black turtle bean)), Beans (Red kidney bean), Beans (White kidney bean (navy bean)), Vegetables (Chickpea), Vegetables (Pea (green pea))</t>
  </si>
  <si>
    <t>Other Grains, Pastas and Cereals: Barley (Pearl barley), Millet (Hulled millet), Sesame, Sunflower Kernel, Sunflower seed; Nuts/Seeds: Flax seed; Fruits/Vegetables: Beans (Lentil), Beans (Light speckled kidney bean (cranberry bean)), Beans (Mung bean), Beans (Adzuki bean), Beans (Black kidney bean (black bean, black turtle bean)), Beans (Red kidney bean), Beans (White kidney bean (navy bean)), Chickpea, Pea (green pea)</t>
  </si>
  <si>
    <t>Other: Beurre de cacao, Cacao marchand, Curcuma sec, Drêche de Gingembre, Essence de Bigaradier, Essence de cedrat, Essence de Mandarine zeste, Essence de Pomelo, Gingembre sec, Graine de poivre, Graine de poivre sauvage, Huile essentielle de Curcuma, Huile essentielle de feuille de Curcuma, Huile essentielle de Géranium, Huile essentielle de Gingembre papillon ou Hedychium coronarium, Huile essentielle de Longoza (Graine et Feuille), Huile essentielle de Romarin, Huile végétale de Cacao, Huile végétale de Calophyllum, Huile végétale de Mandarine Pépin, Huile végétale de Pomelo, Huiles essentielles de Baie rose feuille, Huiles essentielles de Baie rose graine, Huiles essentielles de Bigaradier feuille, Huiles essentielles de Canarium, Huiles essentielles de Cannelle écorce, Huiles essentielles de Cannelles feuilles, Huiles essentielles de Cedrat ou Citrus medica, Huiles essentielles de Cosmos, Huiles essentielles de Curcuma, Huiles essentielles de feuille de Curry, Huiles essentielles de feuilles de Bay ex Pimento, Huiles essentielles de fleur de Bigaradier, Huiles essentielles de Girofles, Huiles essentielles de Lemon Grass, Huiles essentielles de Mandarine feuille, Huiles essentielles de Mandarine fruit, Huiles essentielles de Mandarine zeste, Huiles essentielles de Niaouli, Huiles essentielles de Palma rosa, Huiles essentielles de Patchouli, Huiles essentielles de Poivre noir, Huiles essentielles de poivre sauvage, Huiles essentielles de Poivre vert, Huiles essentielles de Pomelo zeste, Huiles essentielles de Raventsara aromatica, Huiles essentielles de Ravintsara, Huiles essentielles de Tagète, Huiles essentielles de Vetiver, Huiles essentielles de Ylang-Ylang, Huiles essentielles d'Eucalyptus citriodora, Hydrolat de gingembre, Masse de chocolat, Nibs de cacao, Nibs de cacao torrefié, Pépin de Pomelo, Pépins de Mandarine, Poivre sauvage, Tourteau de cacao, Tourteau de cacao torréfié, Ylang ylang</t>
  </si>
  <si>
    <t>Other: Almond Hulls (Almond Hulls), Barley (Barley), Corn (Corn), Cottonseed (Cottonseed), Feed (Dairy Feed), Feed (Grain Pellet), Feed (Mixed Commodity), Feed (Poultry Feed), Feed (Protein Pellet), Feed (Swine Feed), Feed (Zinpro Pellet), Flax Seed (Flax Seed Meal), Grains (Canola Meal), Grains (Dried Distillers Grains), Grains (Flaked Quinoa), Grains (Millrun Meal), Grains (Mixed Grain Screenings), Livestock Feed Processing (Client Profile Products only) (Custom organic blends), Millet (Millet), Molasses (Cane Molasses), Oats (Oats), Peas (Peas), Rye (Rye), Soybean Oil (Soybean Oil), Soybeans (Soy Hull Pellets), Soybeans (Soybean Meal), Sunflower Seed (Meal), Wheat (Wheat), Wheat (Wheat Straw)</t>
  </si>
  <si>
    <t>Other: Almonds, Banana Chips, Sweetened (Whole, Diagonal, Quarters, and Broken Cuts), Banana Peppers, Blue Cheese Crumbles, Brown Rice, Canned Mango Slices in Natural Juice, Capers, Cashew Nut Kernels, Chopped Tomatoes - Cipriani Food Venezia 1931 - Pomod’oro, Coconut Butter Concentrate / Creamed Coconut Concentrate, Coconut Chips, Toasted and Unsweetened, Coconut Chips, Unsweetened, Coconut Fair Trade Unsweetened Shredded, Coconut Medium, Coconut, Desiccated (Fine, Macaroon, Medium, Extra Fine, Flakes, and Shred), Coconut, Macaroon, Coffee- Miscela Caffee 100% Arabica, Condiment Cipriani Food Venezia 1931 - Pesto Al Basilico, Dried Apple Dice, Dried Apricot Diced, Dried Figs Paste, Durum Wheat Semolina Pasta - Cipriani Food Venezia 1931, Egg Pasta - Cipriani Food (Tagliardi &amp; Pappardelle), Egg Pasta - Cipriani Food (Tagliarelle), Egg Pasta - Cipriani Food (Tagliolini), Egg Pasta with Spinach, Extra Virgin Olive Oil, Extra Virgin Olive Oil, Extra Virgin Olive Oil - Cipriani Food Venezia 1931, Farro, Emmer Semi-Pearled, Feta Cheese, Frozen blueberries, Grains, Ancient 10 Minute, Grains, Barley 10 Minute, Kalamata Pitted Olives in Vinegar, Parmigiano Reggiano Cheese Shavings, Parmigiano Reggiano DOP Cheese, Parmigiano Reggiano DOP Portioned Cheese, Pepperoncini, PGI Balsamic Vinegar of Modena, Pickled Florina Peppers, Pitted Amfissa Olives, Pumpkin Seeds, Pumpkin Seeds, GWS (Grown without Shell), Quinoa, Red, Quinoa, Tricolor, Quinoa, White, RBD Coconut Oil (Bulk), Red Pepper Strips Roasted, Seeds - Chia Seed Black, Organic, Shelled Brazil Nuts (broken, chipped, medium, midget), Tomato with Basil Sauce - Sansovina, White Quinoa Grains, Whole Amfissa Olives, Whole Durum Wheat Semolina Pasta, Whole Greek Mix Olives, Whole Kalamata Olives in Vinegar</t>
  </si>
  <si>
    <t>Other: Brown &amp; Red Rice with Chia &amp; Kale, Brown Basmati Rice, Jasmine Rice, Quinoa &amp; Brown Rice with Garlic, Quinoa, Brown &amp; Red Rice with Flaxseed, Seven Whole Grains, Spanish Style Rice with Quinoa, Red Bell Peppers &amp; Corn</t>
  </si>
  <si>
    <t>Other Grains, Pastas and Cereals: Rice (Long grain parboiled rice), Rice (Rice basmati brown), Rice (Rice Basmati parboiled), Rice (Rice Basmati white), Rice (Rice Broken Basmati Brown), Rice (Rice Broken Basmati White), Rice (Rice Broken Long grain Brown), Rice (Rice Broken Long grain White), Rice (Rice long grain brown), Rice (Rice long grain white), Rice (Rice Super Karnal Basmati White), Rice (Rice Super Kernel Basmati Brown), Rice (Super Basmati Brown Rice), Rice (Wheat), Rice (White super basmati rice); Other: Paddy basmati, Paddy Long Grain</t>
  </si>
  <si>
    <t>Processed  Items: CANOLA EXPELLER, SUNFLOWER EXPELLER; Other Grains, Pastas and Cereals: CANOLA SEED, CORN, POPCORN, SUNFLOWER, Wheat; Oils &amp; Oleoresins: Essential Oils (CANOLA OIL), Essential Oils (SUNFLOWER OIL), Essential Oils (SOYBEAN OIL); Nuts/Seeds: FLAX; Fruits/Vegetables: Beans (PEA), Beans (CHICKPEA), Beans (BEAN), Beans (SOYBEAN); Dry/Baking Goods: Flours and Meals (SOY MEAL)</t>
  </si>
  <si>
    <t>Other: 411497 Oats &amp; Honey Granola, 411498 Maple Pecan Granola, 411499 Grain Free Granola Dark Chocolate, 411528 Acai Bowl Granola With Mixed Berries, 411529 Honey Lemon Ginger Granola, 411571 Raisin Almond Granola, Ancient Grain Granola, Apple Streusel Granola, Baobab Coconut Granola, Blueberry Flax Granola, Blueberry Flax Granola, Blueberry Flax Granola, Blueberry Flax Granola, Blueberry Flax Granola, Blueberry Flax Granola, Chia, Flax, Quinoa Granola, Chia, Flax, Quinoa Granola, Cocoa Chia Granola, Coconut &amp; Dark Chocolate Chips Granola, Coconut &amp; Dark Chocolate Chips Granola, Coconut Almond Granola, Coconut Almond Granola, Coconut Almond Granola, Coconut Almond Granola, Coconut Baobab Granola, Dark Chocolate &amp; Red Berries Granola, French Vanilla Almond Granola, French Vanilla Almond Granola, French Vanilla Almond Granola, French Vanilla Almond Granola, French Vanilla Granola, Fruit &amp; Nut Granola, Fruit and Nut Granola, Fruit and Nut Granola, Granola Cluster, Honey Almond Granola, Honey Almond Granola, Maple Almond Butter Granola, Oat and Honey Granola, Oats &amp; Honey Granola, Oats &amp; Honey Granola, Oats &amp; Honey Granola, Oats and Honey Granola, Original Grain Free Granola, Original with Chocolate Chips Grain Free Granola, Pumpkin Flax Granola, Raisin Bran Cereal, Raisin Bran Cereal, Raisin Bran Clusters Cereal, Raisin Granola, Strawberries, Vanilla &amp; Hemp Granola, Vanilla Almond Granola, Vanilla Almond Granola, Vanilla Bean Granola</t>
  </si>
  <si>
    <t>Other: Clover Seed, Organic Field Peas, Organic Hairy Vetch Seed, Organic Japanese Buckwheat, Organic Oat Flour, Organic Pea Flour, Organic Raw Rolled Oats, Organic Raw Rolled Quick Oats, Organic Raw Steel Cut Oats, Organic Rye Berries, Organic Soybeans, Organic Spelt Flour, Organic Stone Ground Rye Flour, Organic Stone Ground Whole Wheat Flour, Organic Wheat Berries, Organic Yellow Split Peas</t>
  </si>
  <si>
    <t>Processed  Items: Custom Pasteurization, Custom Roasting (Dry &amp; Oil) of Nuts,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Whey Powder; Other Grains, Pastas and Cereals: Oats, Rice; Oils &amp; Oleoresins: Oils; Nuts/Seeds: Almonds, Almonds, Almonds, Almonds, Almonds, Almonds, Almonds, Almonds, Almonds, Almonds, Brazil Nut, Cashew Nuts, Cashew Nuts, Cashew Nuts, Cashew Nuts, Cashew Nuts, Cashew Nuts, Cashew Nuts, Cashew Nuts, Chia Seed, Flax Seed, Flax Seed, Flax Seed, Golden, Hazelnut, Lentils, Black, Lentils, Brown, Lentils, French, Lentils, Golden, Lentils, Green, Lentils, Medley, Lentils, Red, Macadamia, Nuts, Nuts, Nuts, Nuts, Nuts, Nuts, Nuts, Nuts, Nuts, Nuts, Peanuts, Peanuts, Peanuts, Peanuts, Pecans, Pecans, Pine Nuts, Pine Nuts, Sesame Seeds, Soybeans, Roasted Salted, Split Peas, Green, Sunflower Seeds, Walnuts, Walnuts; Fruits/Vegetables: Beans, Beans, Beans, Beans, Beans, Beans; Dry/Baking Goods: Flours and Meals; Chocolate Goods: Dark Chocolate, Dark Chocolate, Dark Chocolate, Dark Chocolate, Dark Chocolate, Dark Chocolate; Bread/Bakery/Snacks: Snack Mixes, Snack Mixes, Snack Mixes, Snack Mixes, Snack Mixes, Snack Mixes, Snack Mixes, Snack Mixes, Snack Mixes, Snack Mixes, Snack Mixes, Snack Mixes</t>
  </si>
  <si>
    <t>Animal Feed: Livestock Feed (All Purpose Ruminant, Beef Mineral Supplement, Dairy Calf Replacer, Dairy Cattle Protein, ENC ORG Beef Premix, ENC ORG Sheep Premix, Expell Soya Meal - Imported, Feed Pro, Horse/Pony, Min Pro Maximise Low Salt, MinPro 250, MinPro 500, MinPro Grow, MinPro Sustain, NOP - FeedPro, Ruminant, All Purpose, Dairy Goat, Lamb Fattener, Lamb Sheep, Ruminant - NOP, Sheep Mineral Supplement), Livestock Feed (Grain Gradings, Lamb Fattener - 100% Organic, Lamb Feed, MinPro Boost, Post Harvest Husks/Hulls, Soya Meal, Sunflower Meal)</t>
  </si>
  <si>
    <t>Other: Acai (Powder), Almonds, Ashwagandha (Powder, and Extract), Beans (Black, Red, White, Kidney, Pinto, Navy, Black-Eyed), Beans (Chickpeas), Beans (Mung), Brazil Nuts, Broker (Client Profile Products only), Buckwheat, Buckwheat (Groats), Cacao Butter, Cacao Nibs, Cacao Powder, Chia (Milled), Chia (Seeds: Black, White), Cocoa Products (Cocoa Nibs), Cocoa Products (Cocoa Powder), Coconut (Flour), Coconut (Sugar), Coconut Oil, Flax Seed (Brown, Golden), Goji Berries, Grains (Amaranth, Teff), Hemp Seed (Whole, Hulled, Toasted), Lentils, Maca Powder, Millet (Whole, Hulled), Nut Butter (Almond), Peas (Whole, Split), Quinoa (White, Red, Black), Raisins, Sesame Seed (Whole, Hulled), Walnuts</t>
  </si>
  <si>
    <t>Other: Amarant (Amaranthus), Cañihua, Cañihua, Flour, Cañihua, Grains, Chia, Powder, Chia, Seeds, Cocoa Powder, Cocoa Products, Maca, Panela, Quinoa, Quinoa Flour</t>
  </si>
  <si>
    <t>Other Grains, Pastas and Cereals: Cereal (Corn); Health Products: Herbs (Marigold Meal); Dry/Baking Goods: Flours and Meals (Corn Flour); Beverage Related Products: Tea (Instant Black tea , Instant Green tea); Other: Beans (Standardized Marigold Meal)</t>
  </si>
  <si>
    <t>Other Grains, Pastas and Cereals: Wheat</t>
  </si>
  <si>
    <t>Other Grains, Pastas and Cereals: Dried Oat Protein, Whole Grain Brown Rice Concentrate; Nuts/Seeds: Hemp Protein; Beverage Related Products: Non-Dairy Milk; Other: Pumpkin Seed Protein, Rice Protein, Sacha Inchi Protein</t>
  </si>
  <si>
    <t>Processed  Items: Cápsulas con Harina de Cúrcuma Orgánica y Pimienta Orgánica / Capsules with Organic Turmeric Flour and Organic Pepper, Dehydrated Foods (Fermented and / or Washed Dry Grain Cocoa - Cacao grano seco Fermentado y/o Lavado;
 Bananas - Bananas/ Plátanos - Plátano / Green Plantain;
100% cup chocolate - Chocolate 100% para taza - Lingotes de chocolate de mesa orgánico), Powders (Tumeric powder - Curcuma en polvo - Harina de cúrcuma orgánica con pimienta negra orgánica;
 Tumeric powder - Curcuma en polvo - Harina de cúrcuma orgánica;
 Tumeric powder - Curcuma en polvo - Cápsulas de cúrcuma orgánica con pimienta negra orgánica;
 Banana / Plantain flour - Harina de plátano); Fruits/Vegetables: Plátano/ Banana, Cacao en Grano Seco/ Dry Cocoa Beans</t>
  </si>
  <si>
    <t>Processed  Items: Cereal (Bulgur), Dehydrated Foods (Dried Mulberry, Dried Prunes/Plums, Sour cherry - dried), Dried tomato; Other Grains, Pastas and Cereals: Wheat (Wheat); Nuts/Seeds: Almonds (Almond), Hazelnut (Hazelnut (with shell)), Seeds (Poppy Seed), Walnuts (Walnut); Health Products: Herbs (Anise Seed (grounded, powder), Blue Poppy Seed , Cistus (grounded,powder), Coriander (grounded ,powder), Cumin Seed (grounded, powder), Fennel Seed (grounded, powder), Laurel leaves or Bay leaves (grounded, powder, crushed, rubbed), Nigella Seed (Blackcumin) , Oregano (grounded, powder, crushed, rubbed), Rosemary (crushed,grounded,powder,rubbed), Sage leaves (rubbed, grounded, powder, crushed), Savory (grounded,powder), Sumac (grounded,powder), Thyme leaves (cut&amp;sift, grounded, powder, crushed, rubbed)); Fruits/Vegetables: Dehydrated Foods (Dried Apricots, Dried Figs, Raisins); Fiber Textiles: Flax Seed; Dry/Baking Goods: Flours and Meals (Rice Flour); Other: Beans (Chickpea Flour), Beans / Dry Beans, Brown (red shelled) lentils, Chickpea, Green lentils, Red footbal lentils-Red split lentils, Yellow lentils, Seeds (Sesame)</t>
  </si>
  <si>
    <t>Other: Adzuki Beans, Agave Syrup (Blue, Light), Alfalfa (Leaf Cut &amp; Sifted), Alfalfa Seeds, Allspice (Allspice, ground), Allspice (Allspice, Whole), Allulose Powder, Allulose Syrup, Almond Butter (Creamy, No Salt), Almond Butter (Crunchy, No Salt), Almond Flour (Almond Meal Flour, Blanched), Almond Flour (Almond Meal Flour, Roasted), Almonds, Almonds (California), Almonds (Greek Yogurt Covered), Almonds (Honey Glazed), Almonds (Italian, Truly Raw), Almonds (Milk Chocolate Toffee), Almonds (Roasted), Almonds (Roasted, Chopped), Almonds (Tamari), Almonds (Zesty Italian), Amaranth, Amaranth Flour (Unifine, Gluten Free), Anise (Anise Seed, Whole), Anise Seeds (Hyssop), Apple Cider Vinegar, Apple Powder, Apples (Ambrosia), Apples (Cosmic Crisp), Apples (HoneyCrisp), Apples (Mountain Rose), Apples (Mutsu), Apples (Orin ), Apples (Red Delicious ), Apples (Rubinette), Apples (Splendour), Apples (Swiss Gourmet), Applesauce, Applesauce (Blueberry), Applesauce (Cinnamon), Apricot, Arrowroot (Powder), Artichoke, Ashwagandha (Ashwaganda Root Powder), Ashwagandha (Root, Cut &amp; Sifted), Asparagus, Astragalus (Root Powder), Avocado, Avocado Oil (Cold Pressed, Refined), Avocado Oil (Extra Virgin), Baking Cocoa (Cocoa Wafers, Bitter Sweet), Balsamic Vinegar, Balsamic Vinegar (4 Star), Banana, Banana Chips, Baobab Powder, Barley (Black Nile ), Barley (hulled), Barley (Pearl), Barley (Purple), Barley (Rolled Flakes), Barley Flour, Barley Flour (Black Barley), Barley Grass Juice Powder, Basil (Cut &amp; Sifted), Basil Seeds (Emily), Bay Leaf (Whole), Beans (Fava), Beans (Pink), Beans (Small Red), Beans Seeds (Hyacinth Bean ), Beans Seeds (Jacob's Cattle), Beans Seeds (Kidney), Beans Seeds (Orca Bush), Beans Seeds (Snow Cap), Beef Back Ribs (Ribs), Beef Cuts (Cubes), Beef Cuts (Special Cuts), Beef Kidneys (Piedmontese, Grass-Fed, Frozen), Beef Roast, Beef Steak, Beef Suet (Piedmontese, Grass-Fed, Frozen), Beeswax (Granules, White ), Beeswax (Granules, Yellow), Beet (Beetroot Powder), Beets, Beets (Gold), Beets (Red), Bell Pepper (Green), Bell Pepper (Orange), Bell Pepper (Red), Black Bean Flour, Black Beans, Black Beans (Black Beans, Instant), Black Pepper (Ground), Black Pepper (Whole), Blackberry Leaves, Bladderwrack (Bladderwrack Powder), Blended Oil (Olive and Canola), Blueberries, Bok Choy, Bran Cereal (Oat), Brazil Nuts, Bread Flour (Heritage Unbleached), Bread Flour (Whole Wheat), Bread Mix (Whole Wheat), Broccoli, Broccoli Seeds, Broccolini, Brown Mustard (Stoneground), Brown Rice Cereal (Crispies), Buckwheat (Groats), Buckwheat (Kasha), Buckwheat Flour (Unifine), Buckwheat Grits, Buckwheat Seeds (Kiss-Me-Over-The-Garden-Gate ), Bulgar, Burdock Root (Cut &amp; Sifted), Buttermilk Powder, Buttermilk Powder (non-instant), Cabbage (Green), Cabbage (Red), Cacao Nibs, Cacao Nibs (Dark Chocolate Covered), Cacao Nibs (Raw), Cacao Powder, Calendula (Petals), Calendula Seeds (Orange King), Calendula Seeds (Pacific Apricot Beauty), Calendula Seeds (Sun Orange), Camelina, Camu Camu (Powder), Candy (Mini Milk Chocloate Peanut Butter Cups), Candy (Rainbow Candy Coated Chocolates), Candy Bar (Carob Bar - Koala Krunch), Candy Bar (Carob Bar - Sharkbar Almond), Candy Bar (Carob Bar - Sharkbar Banana Creme), Candy Bar (Carob Bar - Sharkbar Caramel Corn), Candy Bar (Carob Bar - Sharkbar Original), Candy Bar (Carob Bar - Sharkbar Outback Mint), Candy Bar (Carob Bar - Sharkbar Raspberry), Candy Bar (Carob Bar - Sharkbar Unsweetened), Candy Bar (Carob Bar - Sharkbar Unsweetened Almond), Cane Sugar, Cane Sugar - Powdered, Cannellini Beans, Canola Oil, Cantaloupe, Caraway Seeds (Sprouting Seed), Cardamom (Ground), Cardamom (Seeds Whole), Carob Bars (Candy Bar - Coconut Almond Sea Salt), Carob Bars (Candy Bar - Hazelnut Crunch), Carob Bars (Candy Bar - Mint Lime &amp; Sea Salt), Carob Bars (Candy Bar - Mint Unsweetened), Carob Bars (Candy Bar - Peanut Butter Quinoa Crunch ), Carob Bars (Carob Original Candy Bar), Carob Bars (Cups Sampler (Mint, PB, PBJ)), Carob Bars (Dark Delights Mini Bite Coffee), Carob Bars (Dark Delights Mini Bites), Carob Bars (Dark Delights Unsweetened Coffee), Carob Bars (Dark Delights Unsweetened Mint), Carob Bars (Dark Delights Unsweetened Plain), Carob Bars (Dark Unsweetened Almond Butter Cups (Dark Delights Carob Cup)), Carob Bars (Mint Cups), Carob Bars (Mint Mini Bites), Carob Bars (PB &amp; J Cups), Carob Bars (Peanut &amp; Caramel Carob Turtle), Carob Bars (Peanut Butter Cups), Carob Bars (Peanut Butter Mini Bites), Carob Bars (Pecan &amp; Caramel Carob Turtle), Carob Bars (Truffley Treat - Mint, Lime &amp; Sea Salt ), Carob Bars (Truffley Treats - Coconut Almond &amp; Sea Salt), Carob Bars (TruffleyTreats - Peanut Butter Crisp), Carob Chips, Carob Chips (Carob Baking Chips (Communal Uprising Formulation)), Carob Chips (Carob Covered Almonds), Carob Chips (Carob Covered Cashews), Carob Chips (Carob Covered Peanuts), Carob Chips (Carob Covered Raisins), Carob Chips (Cool Mint Baking Chips), Carob Chips (Mint), Carob Chips (Naturally Sweet Baking Chips), Carob Chips (Naturally Sweet Melting Carob Pieces), Carob Chips (Pure Unsweetened Baking Chips), Carob Chips (Semi Sweet), Carob Chips (Unsweetened), Carob Powder, Carob Powder, Carob Powder (Pure Carob Powder, Roasted), Carrot Powder (Carrot Juice Powder), Carrots, Carrots (Purple), Carrots (Rainbow), Cashews, Cashews (Roasted, Large White Pieces, Salted), Cashews (Small Pieces), Castor Oil, Catnip (Cut &amp; Sifted), Cauliflower, Cayenne (Ground), Celery, Celery (Seeds Whole), Chamomile (Flowers, Whole), Cherry Powder (Acerola), Chia Seeds ( Whole, White), Chia Seeds (Black), Chicory (Chicory Root Powder, Roasted, Organic), Chili Pepper (Ancho Chile, Ground), Chili Pepper (Chili Powder, Hatch Green), Chili Pepper (Crushed), Chili Pepper (Ground), Chili Pepper (Guajillo, Ground), Chili Pepper (Powder, Hot), Chili Pepper (Roasted, Ground), Chipotle (Ground), Chocolate Covered Almonds (Dark), Chocolate Covered Coconut (Dark Chocolate Chews), Chocolate Covered Ginger (Dark Chocolate Ginger), Cilantro (Flakes), Cilantro Seeds (Leisure), Cinnamon (2.75 Inch Sticks), Cinnamon (Chips), Cinnamon (Fine Cut), Cinnamon (Ground), Cinnamon (Ground, Cassia), Cinnamon (Ground, Ceylon), Citrus (Sweet Limes), Cloves (Ground), Cloves (Whole), Cocoa Butter (Wafers), Cocoa Liquor (Wafers), Cocoa Powder, Cocoa Powder (Fair Trade), Cocoa Powder (Red Alkalized), Coconut, Coconut (Chipped, Shredded), Coconut (Fine Shredded Macaroon, Smiles), Coconut Aminos, Coconut Chips, Coconut Cream ( 20-22% Fat, No Guar), Coconut Cream (Classic Coconut Cream No Guar), Coconut Cream (Coconut Whipping Cream), Coconut Cream (Creamed Coconut Semi-Solid), Coconut Flour, Coconut Milk (17-19% Fat, No Guar), Coconut Milk (Caramelized Coconut Topping), Coconut Milk (Classic Coconut Milk), Coconut Milk (Classic Coconut Milk No Guar), Coconut Milk (Evaporated Coconut Milk), Coconut Milk (Lite Coconut Milk), Coconut Milk (Sweetened Condensed Coconut Milk), Coconut Milk (Sweetened Condensed Coconut Milk - Rich Dark), Coconut Milk Powder, Coconut Oil, Coconut Oil (MCT Oil - C8 &amp; C10 Blend), Coconut Oil (Raw), Coconut Powder (Coconut Cream Powder), Coconut Sugar (Crystals), Coconut Sugar (Extra Fine), Coconut Syrup (Light), Coconut Vinegar, Coconut Water (King), Coffee (Cornerstone Dark Roast), Coffee (Ground Breakfast Blend, Light Roast), Coffee (Ground Cold Brew, Dark Roast), Coffee (Ground Water Processed Decaf, Light Roast), Coffee (Private Reserve Medium Roast), Coffee (Whole Bean Breakfast Blend, Light Roast), Coffee (Whole Bean Espresso, Dark Roast), Cookie Dough (Carob Chip Cookie Dough), Cookie Dough (Chocolate Chip Cookie Dough), Cookie Dough (Molasses Crinkle Cookie Dough), Cookie Dough (Oatmeal Raisin Cookie Dough), Coriander (Whole), Corn, Corn Flour (Corn), Corn Seeds (Anasazi Sweet Corn), Corn Seeds (Cherokee Long Ear Popcorn Seed), Corn Seeds (Cochiti Pueblo Popcorn Seed), Corn Seeds (Dakota Black Popcorn), Corn Seeds (Double Standard Sweet Corn), Corn Seeds (Early Pink Popcorn), Corn Seeds (Glass Gem Popcorn), Corn Seeds (Japanese White Popcorn), Corn Seeds (Mandan Bride Flour Corn Seeds), Corn Seeds (Top Hat Sweet Corn), Corn Starch, Cornmeal, Cosmos Seeds (Sea Shells), Couscous, Cranberry, Cranberry Beans, Cranberry Powder, Cucumber Seeds (Double Yield Pickling), Cucumber Seeds (Muncher Burpless), Cucumber Seeds (Tendergreen Burpless), Cucumber Seeds (Wautoma Pickling/Slicing), Cumin (Seed, Ground), Cumin (Whole), Curry (Powder, Madras), Curry (Powder, Mild), Dandelion (Leaf Cut &amp; Sifted), Dandelion (Root Cut &amp; Sifted), Dark Chocolate Chips, Dark Chocolate Chips (Bitter Sweet, Coconut Sugar), Dark Chocolate Chips (Mini, Sweet  ), Dark Chocolate Chips (Semi Sweet With Yacon Syrup and Monk Fruit), Dark Chocolate Chips (Semi Sweet, Bitter Sweet, Mini Semi Sweet, and Mini Bitter Sweet), Dark Chocolate Chips (Semi Sweet, Coconut Sugar), Dark Chocolate Chips (Special Dark With Coconut Sugar), Dark Chocolate Chips (Sweet ), Dark Chocolate Chips (Vegan Milk Chocolate Chips), Date Powder (Date Sugar), Date Syrup, Dates (Bahri), Dates (Coconut Rolled with Almond, Pitted), Dates (Coconut Rolled, Pitted), Dehydrated Potatoes (Instant Mashed), Dijon Mustard, Dill (Cut &amp; Sifted), Dill Seeds (Whole), Distilled Vinegar (White), Dragon Fruit, Dried Apples, Dried Apples (Apples Slices), Dried Apricots, Dried Bananas (Slices), Dried Blueberries, Dried Blueberries (Sweetened), Dried Cherries, Dried Cherries (Bing, Sun Dried), Dried Cherries (Tart, Sweetened), Dried Cherries (With Apple Juice), Dried Coconut, Dried Cranberries, Dried Currants (Zante Raisins), Dried Dates (Chopped), Dried Dates (Dayri), Dried Dates (Deglet Noor), Dried Dates (Halawi), Dried Elderberry (Whole), Dried Fig (Black Mission), Dried Fig (White Turkish), Dried Fruit Mix (Tropical Mix), Dried Goji Berries, Dried Goji Berries (Dark Chocolate Covered), Dried Goldenberries, Dried Jackfruit, Dried Lemon (Slices), Dried Mangos, Dried Mangos (Strips), Dried Mulberries, Dried Orange (Chips &amp; Slices), Dried Papaya, Dried Peaches, Dried Pears, Dried Persimmons (Slices), Dried Pineapple, Dried Pineapple (Chunks), Dried Prunes, Dried Prunes (Pitted (Imported)), Dried Raisins (Golden Sun Muscat), Dried Raisins (Thompson Select), Dried Raisins (Thompson Select, Oiled), Dried Tomatoes (Sun Dried, Double Diced), Dried Tomatoes (Sun Dried, Halves), Durum Whole Wheat Flour, Echinacea angustifolia (Herb Cut &amp; Sifted), Echinacea purpurea (Root Cut &amp; Sifted), Eggplant, Einkorn, Elbow Pasta (Whole Wheat), Emmer, Emmer Flour, Emmer Flour, Fava Beans, Fennel, Fennel (Fennel Seed, Whole), Fennel (Ground), Fenugreek (Whole), Figs (Black Mission), Figs (Conadria), Flageolet Beans, Flax (golden), Flax Seeds, Flaxseed Oil, Flowers (Miss Jekyll Mix Love-in-a-Mist Seed), Freeze Dried Banana (Diced), Freeze Dried Cranberry (Diced), Freeze Dried Pineapple, Freeze Dried Raspberry, Freeze Dried Strawberry (Diced), Freeze Dried Strawberry (Sliced), Freeze Dried Strawberry (Whole), Frozen Apricots, Frozen Banana (Slices), Frozen Beets (Red, Diced), Frozen Blackberry, Frozen Blueberry, Frozen Broccoli (Florets), Frozen Carrots (Diced), Frozen Celery (Diced), Frozen Chard, Frozen Cherry (Dark Sweet Cherries, Pitted), Frozen Corn, Frozen Cranberry, Frozen French Fries (Crinkle Cut), Frozen Green Beans, Frozen Kale, Frozen Mango (Diced), Frozen Mango (Pieces), Frozen Mango (Sliced), Frozen Marionberry, Frozen Onions (Diced), Frozen Peach (Sliced IQF), Frozen Peas (Garden Green Peas), Frozen Pineapple, Frozen Potato (Southern Style Hashbrown), Frozen Raspberry, Frozen Squash (Butternut, Diced), Frozen Strawberry, Frozen Strawberry (Sliced), Frozen Strawberry (Whole), Frozen Strawberry (Whole &amp; Pieces), Frozen Sweet Potato (Diced), Frozen Vegetable Blend (Frozen Mixed Vegetables), Fruit Snack (Fruit Bites, Mango &amp; Chili), Fruit Snack (Fruit Bites, Mango &amp; Coconut), Fruit Snack (Fruit Bites, Pineapple &amp; Passion), Fruit Snack (Mango Bites), Fruit Spread (Apricot), Fruit Spread (Blackberry), Fruit Spread (Blueberry), Fruit Spread (Raspberry), Fruit Spread (Strawberry), Galangal, Garbanzo Bean Flour (Unifine, Gluten Free), Garbanzo Beans, Garbanzo Beans (Black Chickpeas), Garlic, Garlic (Granules), Garlic (Minced), Garlic (Powder), Garlic (Roasted, Granules), Garlic (Roasted, Minced), Garlic (Roasted, Powder), Garlic Seeds (Chesnok Hardneck), Garlic Seeds (Inchelium Softneck), Garlic Seeds (Killarney Red Hardneck), Garlic Seeds (Nootka Rose), Garlic Seeds (Romanian Red Hardneck), Ginger, Ginger (Ginger Root Cut &amp; Sifted), Ginger (Root Powder), Ginger (crystalized) (Chunks), Glycerin (Vegetable Glycerin, Food Grade), Gotu Kola (Cut and Sifted), Granola (Blueberry Flax), Granola (Flax Plus Pumpkin Raisin), Granola (Flax Plus Vanilla Almond), Granola (French Vanilla Almond), Granola (Grain free), Granola (Honey Nut ), Granola (Maple Quinoa), Grape (Cotton Candy ), Grape (Flame Seedless), Grape (Green Seedless), Grape (Thomcord), Grapefruit, Grapefruit (Juice Grade), Grapefruit Powder, Great Northern Beans, Green Beans, Green Tea (Genmaicha), Green Tea (Hojicha), Green Tea (Hojicha Latte Mix), Green Tea (Kukicha), Green Tea (Matcha Latte Mix), Green Tea (Matcha, Ceremonial Grad), Green Tea (Sencha Asamushi), Greens Powder (Greens Powder and Vitamin Blend), Ground Beef, Ground Lamb, Hazelnuts, Hemp Seeds (Hemp Hearts), Hibiscus (Hibiscus Flower Cut &amp; Sifted), Honey (Berry/Wildflower), Honey (Clover), Horseradish, Infused Oil (Pure Lemon ), Inulin Powder, Jalapeno (Green, Ground), Juniper Berry (Juniper Berries, Whole), Kale (Green), Kale (Lacinato), Kamut, Kamut Flour (Kamut), Kamut Flour (Khorasan Flour Ultra-Unifine), Kelp (granules), Kelp (Powdered), Khorasan, Kidney Beans, Kidney Beans (Dark Red), Kiwi, Kiwi (Golden), Lavender (Whole), Lecithin (Sunflower Lecithin Liquid), Lecithin (Sunflower Lecithin Powder), Leek, Lemon Balm (Leaf Cut &amp; Sifted), Lemon Peel (Granules), Lemon Powder, Lemongrass (Fine Cut), Lemons, Lemons (Juice Grade), Lemons (Meyer), Lentil Flour, Lentils, Lentils (Black Beluga), Lentils (French Green), Lentils (Harvest Gold), Lentils (Red Split), Lentils (Spanish Brown), Licorice (Root, Cut &amp; Sifted), Lima Beans (Large), Lima Beans (Small), Lime Oil, Limes, Livestock Feed - Barley, Livestock Feed - Cornmeal (Coarse Ground Corn Animal Feed), Livestock Feed - Milo, Livestock Feed - Sorghum, Livestock Feed - Wheat (Bran), Livestock Pellets - Alfalfa, Lucuma Powder, Maca (Powder, Gelatinized), Maca (Root Powder), Macadamia Nuts, Macadamia Nuts (Double Dipped), Macadamia Nuts (Raw Whole, Salted), Macadamia Nuts (Raw Whole, Unsalted), Macaroni and Cheese, Malted Barley (Dry), Mandarin, Mandarin (Satsuma), Mango, Maple Syrup, Maple Syrup (Chunks), Marigold Seeds (Crackerjack), Marshmallow (Marshmallow Root, Cut &amp; Sifted), Masa (White Corn Masa Flour), Masa (Yellow Corn Masa Flour), Melon Seeds (Bidwell Casaba Melon), Melon Seeds (Burrell's Jumbo Muskmelon), Melon Seeds (Golden Midget Watermelon), Melon Seeds (Green Nutmeg Melon Seed), Melon Seeds (Honeydew), Melon Seeds (Kharbooza Kajari), Melon Seeds (Mountain Sweet Watermelon), Melon Seeds (Petit Gris de Rennes), Melons (Honeydew), Milk Chocolate Chips, Milk Thistle (Milk Thistle Seed Whole), Millet (Hulled), Millet Flour (Unifine, Gluten Free), Misc (Adapt'n Thrive Adaptogen Blend), Misc (PlantPWR Protein Blend Unsweetened), Misc Baking Mixes (Brownie Mix), Misc Baking Mixes (Buckwheat Pancake Mix), Misc Baking Mixes (Buttermilk Pancake Mix), Misc Baking Mixes (Carob Brownie Mix), Misc Baking Mixes (Carob Brownie Mix Gluten Free), Misc Baking Mixes (Carob Brownie Mix Whole Wheat ), Misc Baking Mixes (Carob Cake Mix Gluten Free), Misc Baking Mixes (Carob Cookie Mix Gluten Free Salted Oatmeal Chip), Misc Baking Mixes (Carob Cookie Mix Whole Wheat), Misc Baking Mixes (Multi-Grain Pancake Mix), Misc Baking Mixes (Whole Wheat Muffin), Misc Cereal ( 9 Grain Mix), Misc Cereal (Farina), Misc Cereal (Good Morning Crunch), Misc Fruit Powder (Noni Fruit Powder), Misc Pickles (Homestyle Dill), Misc Pickles (Homestyle Honey Sweet Dill), Misc Pickles (Pauls's Dill Pickles), Misc. (Irish Moss), Misc. Chocolate Covered (Dehydrated Bananas, Covered in Bitter Sweet Chocolate, Sweetened With Coconut Sugar), Misc. Chocolate Covered (Dehydrated Golden Berries, Covered in Semi Sweet Chocolate, Sweetened With Coconut Sugar), Misc. Chocolate Covered (Dehydrated Mango, Covered in Bitter Sweet Chocolate, Sweetened with Coconut Sugar ), Misc. Chocolate Covered (Dehydrated Pineapple, Covered in Bitter Sweet Chocolate, Sweetened with Coconut Sugar), Misc. Sauce (Chipotle Enchilada Sauce), Misc. Sauce (Enchilada Green Sauce, Mild), Misc. Sauce (Enchilada Red Sauce, Hot), Misc. Sauce (Enchilada Sauce, Medium), Misc. Sauce (Enchillada Red Sauce, Mild), Misc. Sauce (Maggie's Kitchen Taco Sauce, Green Chili), Misc. Sauce (Maggie's Kitchen Taco Sauce, Mango Habanero), Misc. Sauce (Maggie's Kitchen Taco Sauce, Red Jalapeno), Misc. Sauce (Maggie's Kitchen Taco Sauce, Smoked Jalapeno), Mix (Canadian Steak Rub), Mix (Curry Blend), Mix (Herb, Rotisserie Rub), Mix (Herbs De Provence), Mix (Italian Blend), Mix (Montreal Chicken Seasoning), Mix (Taco Seasoning), Mix (Vegetable Seasoning), Molasses (Blackstrap), Molasses (Old-Fashioned), Monk Fruit Extract (Erythritol 1:1 White Blend), Monk Fruit Extract (Powder), Monk Fruit Extract (Stevia, Erythritol 1:1 Blend), Monk Fruit Juice Concentrate, Monterey Jack Cheese (Mild Monterey Jack), Moringa Leaf (Powder), Mozzarella Cheese (Mild Mozzarella), Mung Beans, Mushrooms (Crimini), Mushrooms (Portobello), Mustard (Mustard Seed Powder, Yellow, Bold), Mustard (Whole, Brown), Mustard (Whole, Yellow), Navy Beans, Nettle (Leaf Cut &amp; Sifted), Nonfat Milk Powder (A2/A2), Nonfat Milk Powder (Non-instant), Nutmeg (Ground), Nutmeg (Whole), Oat Flour, Oat Flour (Oat), Oat Grass Powder, Oats (Groats), Oats (Quick Rolled), Oats (Regular Rolled), Oats (Scottish), Oats (Steel-cut), Oats (Steel-cut, GF), Oatstraw (Green Flowering Tops Cut &amp; Sifted), Olive Oil (Extra Virgin), Onion (Granules), Onion (Minced), Onion (Powder), Onion (Red), Onion (Toasted, Granules), Onion (Walla Walla Sweet), Onion (Yellow), Orange (Blood), Orange (Navel), Orange (Valencia), Orange Peel (Fine Cut), Oregano (Leaf, Cut &amp; Sifted), Palm Kernel Stearin, Palm Oil (Red), Papaya, Paprika, Paprika (Smoked), Parmesan Cheese (Mild Parmesan), Parsley (Italian Parsley), Parsley (Parsley Flakes ), Parsnip, Pasta (Chees-y-Mexi), Pasta (Curry Pasta Salad Mix), Pasta (Curvy Mac Azuroni Einkorn ), Pasta (Elbow Macaroni Azuroni Khorasan ), Pasta (Fusilli Azuroni Einkorn ), Pasta (Italian Pasta Salad Mix), Pasta (Linguini Semolina), Pasta (Medium Shells Azuroni Einkorn ), Pasta (Medium Shells Azuroni Khorasan Pasta), Pasta (Orzo Azuroni Khorasan ), Pasta (Penne Azuroni Khorasan ), Pasta (Radiatori Azuroni Khorasan ), Pasta (Rainbow Veggie), Pasta (Semolina), Pasta (Southwestern Pasta Salad Mix), Pastry Flour (Heritage Unbleached), Pea Flour (Green Split Pea), Pea Flour (Yellow Split Pea), Pea Protein, Peanut Butter (Creamy, No Salt), Peanut Butter (Creamy, Salted), Peanut Butter (Crunchy, No salt), Peanut Butter (Crunchy, Salted), Peanuts (Dry Roasted Valencia), Peanuts (Valencia), Pears (Bartlett, Red), Peas (Black Eyed), Peas (Sugar Snap), Pecans (Fancy Halves), Pecans (Fancy Pieces), Pecans (Halves), Pecans (Large Pieces, Raw), Pecans (Raw Halves), Pecans (Raw Pieces), Pepper Seeds (Cayenne Long-Thin), Pepper Seeds (Doux D'Espagne), Pepper Seeds (Early Jalapeno), Pepper Seeds (Emerald Giant), Pepper Seeds (Etiuda Orange), Pepper Seeds (Golden Treasure), Pepper Seeds (Gourmet Orange Bell), Pepper Seeds (King of the North), Pepper Seeds (Ruby King), Peppermint (Peppermint Leaves Cut &amp; Sifted), Peppermint Oil, Peppers (Habanero), Peppers (Jalapeno), Peppers (Mini Sweet), Peppers (Poblano), Peppers (Serrano), Persimmon (Fuyu), Persimmon (Halchiya), Pineapple, Pinenuts, Pinto Bean Flour, Pinto Beans, Pistachios (Raw, No Shell), Pistachios (Roasted &amp; Salted, In-Shell), Pistachios (Roasted &amp; Salted, No Shell), Plum (Black), Pluots, Polenta, Pomegranate, Popcorn (Dakota Black), Popcorn (Multi-colored), Popcorn (Mushroom Popcorn), Popcorn (White), Popcorn (Yellow), Poppy Seeds, Poppy Seeds (Magenta Beauty), Potato Starch, Potatoes (Baby Red), Potatoes (Baby Yellow), Potatoes (Fingerling), Potatoes (Purple), Potatoes (Red), Potatoes (Russet), Potatoes (Yellow), Potatoes (Yukon Gold), Psyllium husk (Powder), Psyllium husk (Psyllium husk, Whole), Pumpkin Seed Flour, Pumpkin Seeds, Pumpkin Seeds (Dry Roasted Salted), Pumpkin Seeds (Lightly Salted, Unhulled), Pumpkin Seeds (Naked, Hulless), Pumpkin Seeds (Raw, Hull-less Heirloom Styrian), Pumpkin Seeds (Roasted), Pumpkin Seeds (Roasted, Salted, Hull-less Heirloom Styrian ), Pumpkin Seeds (Styrian Pumpkin (Hulless Seeded)), Quinoa (Black), Quinoa (Flakes), Quinoa (Red), Quinoa (Tri-Color), Quinoa (White), Quinoa Flour, Radicchio, Radish, Radish Seeds, Raspberry Leaf (Cut &amp; Sifted), Red Clover (Red Clover Cut &amp; Sifted ), Red Clover Seeds, Red Wine Vinegar, Relish (Dill Pickle), Relish (Jalapeno, Hot), Relish (Jalapeno, Medium ), Relish (Pickled Beets), Relish (Pickled Jalapenos), Relish (Sweet Pickle), Rhubarb, Rice (California Sush), Rice (Thai Jasmine Brown Rice), Rice (Thai Jasmine White Rice), Rice (Wild Rice), Rice (Wild Rice, Pieces), Rice (Basmati) (Brown, Imported), Rice (Basmati) (Heirloom Basmati Brown), Rice (Basmati) (Heirloom Basmati White), Rice (Basmati) (White, Imported), Rice (Brown) (Gluten free long grain), Rice (Brown) (Long grain), Rice (Brown) (Medium grain), Rice (Brown) (Sweet ), Rice (White) (Basmati), Rice (White) (Gluten free long grain), Rice (White) (Long grain), Rice (White) (Medium grain), Rice Bran Oil, Rice Flour (Gluten Free (White)), Rice Flour (Gluten Freen (Brown)), Rooibos Tea, Rose Hip (Cut &amp; Sifted), Rose Hip (Powder), Rosemary (Cut &amp; Sifted), Rosemary (Ground), Rosemary (Leaves, Whole), Rutabaga, Rye, Rye (Creamy Flakes), Rye Flour, Sacha Inchi Seeds (Sacha Inchi Protein Powder), Safflower Oil, Sage (Ground), Salsa (Hot), Salsa (Medium), Salsa (Mild), Salsa (Tomatillo), Sarsaparilla (Root, Cut and Sifted), Seasoning Blend (Italian Pasta Dinner), Seasoning Blend (Southwest Pasta Blend), Seasoning Blend (Southwestern Pasta Dinner), Seasoning Mixes (Chees-y-Mexi Pasta), Seasoning Mixes (Classic 3-Bean Chili), Seasoning Mixes (Classic Mac'n'Cheese), Seasoning Mixes (Curry Pasta Salad), Seasoning Mixes (Italian Pasta Dinner), Seasoning Mixes (Italian Pasta Salad), Seasoning Mixes (Mac'n'Cheese), Seasoning Mixes (Quick Bean Soup), Seasoning Mixes (Savory 4-Bean Chili), Seasoning Mixes (Southwestern Pasta Dinner), Seasoning Mixes (Southwestern Pasta Salad), Seed (Garden Huckleberry), Seed Blend (Sprouting Seed Mix), Semolina Flour, Semolina Pasta (Cascarecce Azuroni Gourmet Pasta), Semolina Pasta (Cavitappi, Semolina Pasta), Semolina Pasta (Curvy Mac Azuroni Gourmet Pasta), Semolina Pasta (Ditalini Azuroni Gourmet Pasta), Semolina Pasta (Elbow Macaroni Azuroni Gourmet Pasta), Semolina Pasta (Fregola Azuroni Gourmet Pasta), Semolina Pasta (Fusilli), Semolina Pasta (Large Ridged Mac Azuroni Gourmet Pasta), Semolina Pasta (Lasagna), Semolina Pasta (Lumache, Semolina Pasta), Semolina Pasta (Medium Shells), Semolina Pasta (Orzo), Semolina Pasta (Orzo Azuroni Gourmet Pasta), Semolina Pasta (Penne), Semolina Pasta (Radiatori Azuroni Gourmet Pasta), Semolina Pasta (Rigatoni Azuroni Gourmet Pasta), Semolina Pasta (Rotini, Tri Color), Semolina Pasta (Sea Shells), Semolina Pasta (Small Elbows), Sesame Oil (Toasted), Sesame Seeds (Black), Sesame Seeds (Brown), Sesame Seeds (Natural), Sesame Seeds (White), Shea Butter (Refined), Shea Butter (Refined White), Shiitake, Shortening (Palm), Skullcap (Cut &amp; Sifted), Sorghum, Sorghum Flour, Sorghum Syrup (Pure Sweet), Soup (Alphabet Soup Mix), Soup (Classic 3-bean Chili Mix), Soup (Quick Bean Soup Mix), Soup (Savory 4-Bean Chili Soup Mix), Soup Mixes (Alphabet), Soybeans, Soybeans (Black), Spearmint, Spearmint (Leaf Cut &amp; Sifted), Spelt, Spelt Flour, Spinach, Spirals Pasta (Rainbow), Spirulina, Split Pea (Green), Sprouted Grain Blend (Sprouted Bean Mix), Squash (Kabocha), Squash (Yellow Sunburst), Squash Seeds (Australian Butter ), Squash Seeds (Crown), Squash Seeds (Early Straightneck), Squash Seeds (Honey Boat Delicata), Squash Seeds (Pattypan Yellow Bush Summer ), Squash Seeds (Sweet Meat ), Squash Seeds (Sweet REBA Acorn), Squash Seeds (Waltham's Butternut Squash Seed), Star Anise (Cracked), Star Anise (Whole), Stevia (Stevia, Cut and Sifted), Sugar (Maple), Sunchoke, Sunflower Oil, Sunflower Seed Kernel, Sunflower Seed Kernel (Raw, Domestic), Sunflower Seeds (Mammoth Russian), Sunflower Seeds (Skyscraper), Sunflower Seeds (Sunflower Seeds, Roasted &amp; Salted), Sunflower Seeds (Sunflower Seeds, Roasted, No Salt), Sweet Potatoes, Sweet Potatoes (Japanese), Tahini Butter (Creamy, No Salt), Tangerine, Tapioca Flour (Cassava Flour), Tapioca Granules, Tapioca Pearls, Tapioca Starch, Tigernut Flour, Tomatillos, Tomato Powder, Tomato Sauce (Basil Tomato Sauce ), Tomato Sauce (Kids' Tomato Sauce), Tomato Sauce (Mushroom Tomato Sauce ), Tomato Sauce (Roasted Garlic Tomato Sauce), Tomato Seeds (Amish Paste), Tomato Seeds (Brandywine), Tomato Seeds (Dad's Sunset), Tomato Seeds (Martino's Roma), Tomato Seeds (Sugar Mama), Tomato Seeds (Sunrise Bumblebee Cherry), Tomato Seeds (Yellow Brandywine), Tomatoes (Beefsteak), Tomatoes (Cherry), Tomatoes (Roma), Trail Mix (Chocolate Sunshine), Trail Mix (Cranberry Harvest), Trail Mix (Deluxe), Trail Mix (Raw Intensity), Trail Mix (Supreme Fruit and Nut), Trail Mix (Tropical Sunshine), Triticale, Triticale (Flakes), Triticale Flour, Turmeric, Turmeric (Turmeric Root Fine Cut &amp; Sifted), Turmeric Powder, Turnips, Vanilla Bean, Vanilla Extract, Various Fresh Vegetables (Radish, Red ), Various Lamb Cuts (Cubes), Various Lamb Cuts (Roast), Various Lamb Cuts (Special Cuts), Various Lamb Cuts (Steaks), Vegetable Seeds, Vinegar Powder (Apple Cider Vinegar Powder), Walnuts (Baker's Pieces), Walnuts (Red Walnuts, Halves and Pieces), Watermelon Seeds (Royal Golden Watermelon), Watermelon Seeds (Sugar Baby), Watermelons, Wheat, Wheat (Durum), Wheat (Flakes), Wheat (Starch), Wheat (Hard Red Winter), Wheat (Hard White Winter), Wheat (Soft White), Wheat Bran (Dark), Wheat Bran (Light), Wheat Flour (Einkorn), Wheat Flour (Hard Red Whole Wheat), Wheat Flour (Hard White Whole Wheat), Wheat Flour (Khorasan Flour (Unifine)), Wheat Flour (Soft White), Wheat Flour (Unbleached), Wheat Gluten (Gluten), Wheat Gluten Flour (Vital), Wheatgrass Powder, White Beans, White Chocolate Chips, White Chocolate Chips (Mini), White Flour (Small White Bean), White Flour (Unbleached), White Wine Vinegar, Whole Milk Powder, Whole Milk Powder (A2/A2), Whole Wheat Flour (Pastry), Whole Wheat Pasta (Penne), Whole Wheat Pasta (Rotini), Whole Wheat Pasta (Spaghetti), Wormwood (Herb), Yams, Yellow Mustard, Yerba Mate (Green Leaf Cut &amp; Sifted), Zinnia Seeds (Purple Giant), Zucchini, Zucchini Seeds (Costata Romanesco), Zucchini Seeds (Dark Star)</t>
  </si>
  <si>
    <t>Other Grains, Pastas and Cereals: Pasta (Busiata Pasta (Formulation Only)), Pasta (Casarecce Pasta (Formulation Only)), Pasta (Cavatelli Calabresi Pasta (Formulation Only)), Pasta (Fileja Calabresi Pasta (Formulation Only)), Pasta (Fusilli Pasta (Formulation Only)), Pasta (Paccheri Pasta (Formulation Only)), Pasta (Rigatini Pasta (Formulation Only)), Pasta (Rigatoni Pasta (Formulation Only)), Pasta (Tagliatelle Pasta (Formulation Only)); Oils &amp; Oleoresins: Oils (Extra Virgin Olive Oil Green Gold (Formulation Only)); Condiments and Sweeteners: Jam (Fig Jam (Formulation Only)), Jam (Mulberry Jam (Formulation Only)), Jam (Strawberry &amp; Pomegranate Jam (Formulation Only)), Jam (Clementine Jam (Formulation Only)), Mixed Condiments (Fig and Chili Paste (Formulation Only)), Tomato Sauce with Basil (Formulation Only); Alcohol: Wine (Catarratto (Formulation Only)), Wine (Chardonnay (Formulation Only)), Wine (Grillo (Formulation Only)), Wine (Madre Manzoni Bianco (Formulation Only)), Wine (Nero d'Avola (Formulation Only)), Wine (Pinot Grigio (Formulation Only)), Wine (Pinot Grigio Ramato (Formulation Only)), Wine (TesiRare BiancoGrigio (Formulation Only)), Wine (TesiRare GrigioRamato (Formulation Only)), Wine (Vigna di Mariù Bianco (Formulation Only)), Wine (Vigna di Mariù Rosso (Formulation Only)), Wine (Zibibbo (Formulation Only)); Other: Pitted Green Olives (Formulation Only)</t>
  </si>
  <si>
    <t>Other: Ancient Grains Granola, Coconut Crunch Granola, Coconut Ginger Granola, Dark Chocolate Pecan Granola, Gluten Free Granola, Gluten Free Just Oats, Maple Cranberry Granola, Maple Pecan Granola, Maple Spice Granola, Original Granola</t>
  </si>
  <si>
    <t>Other: Grain Drying, Cleaning &amp; Storage, Yellow corn, Soybeans, Soft red winter wheat, Triticale, Roasted Soybeans</t>
  </si>
  <si>
    <t>Processed  Items: Dehydrated Foods (Goji berries, dried); Other Grains, Pastas and Cereals: Flax seed, Flaxseed protein powder, Hemp protein powder, Hempseed, Hempseed kernels, Hempseed kernels, powder, Sesame, Sunflower kernels, Sunflower kernels, kibbled, Sunflower kernels, roasted, Sunflower kernels, sprouted, roasted, Wheat (Buckwheat), Wheat (Buckwheat kernels), Wheat (Buckwheat kernels, roasted), Wheat (Buckwheat kernels, sprouted, roasted); Nuts/Seeds: Peanuts (Peanut kernels), Peanuts (Peanut kernels), Pine Nuts, Pine Nuts (Pinenut kernels), Pinenut, Pinenut kernels, Pumkin seeds, grown without shell, kibbled, Pumkin seeds, grown without shell, roasted, Pumkin seeds, grown without shell, sprouted, roasted, Pumpkin kernels, shine skin, Pumpkin kernels, shine skin, kibbled, Pumpkin kernels, shine skin, roasted, Pumpkin kernels, shine skin, sprouted, roasted, Pumpkin seeds, grown without shell, Pumpkin seeds, shine skin, Pumpkin seeds, shine skin, roasted, Seeds (*Buckwheat kernels), Seeds (*Hempseed), Seeds (*Hempseed kernels), Seeds (*Pumpkin seeds shine skin), Seeds (*Pumpkin kernels shine skin), Seeds (*Pumpkin seeds grown without shell), Seeds (*Sesame), Seeds (*Sunflower seed), Seeds (*Sunflower kernels), Seeds (*Watermelon seed), Seeds (*Watermelon seed kernels), Seeds (*Buckwheat kernels powder), Seeds (*Buckwheat kernels roasted), Seeds (*Hempseed kernels powder), Seeds (*Pumpkin seeds shine skin roasted), Seeds (*Pumpkin kernels shine skin kibbled), Seeds (*Pumpkin kernels shine skin powder), Seeds (*Pumpkin kernels shine skin roasted), Seeds (*Pumkin seeds grown without shell kibbled), Seeds (*Pumkin seeds grown without shell powder), Seeds (*Pumkin seeds grown without shell roasted), Seeds (*Sunflower seed roasted), Seeds (*Sunflower kernels kibbled), Seeds (*Sunflower kernels powder), Seeds (*Sunflower kernels roasted), Seeds (*Flaxseed protein powder), Seeds (*Hempseed protein powder), Seeds (*Pumpkin protein powder), Seeds (*Sunflower protein powder), Seeds (*Watermelon seed protein powder), Seeds (Flax seeds), Sunflower seed, Sunflower seed, roasted, Watermelon seed, Watermelon seed kernels; Fruits/Vegetables: Berries (Goji berries dried), Peanuts (Groundnut kernels (peanut kernels)), Peanuts (Blanched peanut (blanched peanut kernels)), Peanuts (Blanched peanut splits (splits blanched peanut)), Peanuts (Peanut inshell (groundnut kernels inshell)), Peanuts (Roasted peanut inshell (roasted groundnut kernels inshell)); Dry/Baking Goods: Flours and Meals (Buckwheat kernels, powder), Flours and Meals (Pumkin kernel protein powder), Flours and Meals (Pumkin seeds, grown without shell, powder), Flours and Meals (Pumpkin kernels, shine skin, powder), Flours and Meals (Sunflower kernels, powder), Flours and Meals (Sunflower protein powder), Flours and Meals (Watermelon seed protein powder)</t>
  </si>
  <si>
    <t>Other Grains, Pastas and Cereals: Hulled millet, Millet; Fruits/Vegetables: Beans (Adzuki beans), Beans (Black kidney beans), Beans (Black soybeans), Beans (Black soybean with green kernel), Beans (Light speckled kidney beans), Beans (Mung beans), Beans (Red kidney beans), Beans (Soybean), Beans (White kidney beans), Beans (Hulled mung bean (Peeled mung bean)); Animal Feed: Livestock Feed (Soybean cake/meal/expeller), Livestock Feed (Sunflower seeds cake/meal/expeller), Livestock Feed (Rapeseed cake/meal/expeller)</t>
  </si>
  <si>
    <t>Other: Acai (Acai Pure), Agave Syrup (Blue Light), Agave Syrup (Raw Blue), Almond Milk, Amaranth, Amaranth Flour, Barley (Berries), Barley (Flakes), Barley Flour (Hulled, Hulled 10%), Black Beans, Blended Grains (6 Grain Cracked Mix), Blended Tempeh, Bread Flour (Hard Red Winter), Bread Flour (Wheat), Bread Flour (Whole Wheat Stone Ground, Fine ), Brokering (of all listed goods), Brown Rice Syrup (Brown, 42DE (Clarified)), Brown Sugar (Light, Dark), Buckwheat (Groats), Buckwheat Flour (Dark), Buckwheat Flour (Light), Cane Sugar (10001-10007), Cane Sugar (Evaporated), Cane Sugar (Fine Granulated), Cane Sugar - Powdered (Compound Sugar), Canned Tomato Paste, Canned Tomatoes (crushed in puree), Canned Tomatoes (diced), Canned Tomatoes (whole) (Peeled), Canola Oil, Caraway Seeds (Whole), Cardamom (Green (Pods)), Chia Seeds (Black), Chocolate (Chocolate Drops), Chocolate - Dark (Agostoni (88115)), Chocolate - Dark (Agostoni (88116)), Chocolate - Dark (Agostoni Chunks (88174)), Chocolate - Dark (Agostoni with Coconut Sugar (86116)), Chocolate - Dark (Chips (88160)), Chocolate - Milk (Agostini (88125)), Chocolate - Milk (Agostoni Fairtrade (88129)), Chocolate - White ( Agostoni (88136)), Chocolate - White (Agostoni (88179)), Cinnamon, Cocoa Liquor (Agostoni), Cocoa Powder (Agostoni Dutch 84656), Cocoa Powder (Dutched), Coconut (Desiccated Medium), Coconut Chips (Toasted, Regular), Coconut Cream, Coconut Flour, Coconut Sugar (22000), Coriander (Ground), Corn (Blue, Whole), Corn (Yellow Corn Whole), Corn (Yellow, Whole), Corn Flour (Yellow), Cornmeal (Blue Hulled), Cornmeal (Cornmeal), Cornmeal (Old Fashioned), Dried Apricots (Diced), Dried Cranberries (Dried Cranberries Apple Juice Infused, Sliced), Dried Raisins (Raisins), Dried Raisins (Thompson Select, Seedless), Durum Flour (Extra Fancy Durum Patent Flour), Durum Flour (Semolina), Farro, Flax Seeds (Brown, Cracked Brown), Flax Seeds (Whole Brown Flax Seeds), Frozen Apples (IQF Diced Granny Smith), Frozen Avocado (Avocado IQF Diced), Frozen Banana (Bananas IQF Sliced), Frozen Blackberry (IQF Whole), Frozen Blueberry (Cultivated), Frozen Cherry (Cherries IQF Whole Dark Sweet), Frozen Cherry (Cherries IQF Whole RPT), Frozen Corn (Sweet), Frozen Mango (Mango IQF Chunks), Frozen Peach (Peaches IQF Sliced), Frozen Raspberry (Red Raspberries IQF Whole), Frozen Spinach (Spinach IQF Chopped), Frozen Strawberry (Strawberries IQF Whole), Garbanzo Bean Flour, Garbanzo Beans, Garlic (Granulated, Powder), Grain Blend (7 Grain &amp; Seed Blend), Honey, Ketchup, Khorasan (Berries), Malt Extract (Barley Extract (OLME102)), Malt Extract (Malt Extract Liquid), Millet (Hulled), Millet Flour, Molasses (Dark), Oat Flour (Gluten Free), Oats (Groat Steel Cut, Groats Stabilized), Olive Oil (Extra Virgin), Onion (Powder, Granulated, Chopped), Pastry Flour (White), Pastry Flour (Whole Wheat ), Peanut Butter (Crunchy), Peanut Butter (Smooth), Peanut Butter (Teddie's All Natural Creamy), Pecans (bulk), Pecans (Fancy Pecan Pieces Large), Pineapple (Pineapple IQF Chunks), Pinto Beans, Plain Tofu (Vacuum Pack), Popcorn (Yellow), Poppy Seed (Blue), Pumpkin Seeds (Grade AA), Pumpkin Seeds (Kernel), Quinoa (Flakes), Quinoa (Royal White), Rice Flour (Brown ), Rice Flour (White Rice), Rice syrup, Rolled Oats (Thick, Regular, Steel Cut, Gluten Free), Rye (Berries), Rye (Chops / Cracked Berries), Rye (Flakes), Rye (Rye Berries), Rye Flour (Dark Whole, Graham Whole), Rye Flour (Whole, Stone Ground, Light), Semolina Flour (White), Sesame Seed Hulled (Black), Sesame Seeds, Sesame Seeds (Hulled), Sesame Seeds (Natural), Shortening (Palm Fruit), Sorghum Flour, Soy Sauce (Tamari, W/F), Spelt, Spelt (Berries NY 10%), Spelt Flour (White), Spelt Flour (Whole), Spelt Flour (Whole NY, White NY), Storage and Distribution, Sucanat, Sunflower Oil (Hi-Oleic), Sunflower Seeds (Hulled), Sunflower Seeds (Sunflower Kernels), Wheat (Berries, Hard Red), Wheat (Flakes), Wheat (Hard Red Winter), Wheat Berries (Cracked), Wheat Berries (Hard Wheat Berries), Wheat Berries (Whole White Wheat Berries), Wheat Bran (Coarse, Fine), Wheat Bran (Red), Wheat Flour (All Purpose Meadow), Wheat Flour (Durum Semolina), Wheat Flour (Heirloom Type 65), Wheat Flour (High Mountain Hi Gluten Wheat Flour), Wheat Flour (Malted Wheat Type 85), Wheat Flour (MT Marcy, MT Marcy with Germ), Wheat Flour (Spring Wheat Flour), Wheat Flour (Super Sprout), Wheat Flour (Unbleached Unenriched Malted All Purpose Flour), Wheat Flour (White Wheat Whole Wheat Flour), White Flour (All Purpose, Unbleached, Unenriched), White Flour (Artisan Flour), White Flour (Classic Bakers Flour), White Flour (Green Market), White Flour (Green Market Whole Wheat ), White Flour (Hi-Extraction), White Flour (Hi-Gluten ), White Flour (Khorasan), White Flour (Sutton), White Flour (Tipo "00"), White Flour (Type 65), White Flour (Victoria), White Flour (Winter), White Flour (Winter Wheat), Whole Wheat Flour, Whole Wheat Flour (Stone Ground)</t>
  </si>
  <si>
    <t>Other: Bread Flour (14% - 25 lb), Bread Flour (50 lb), Bread Flour (Simply Milled - 50 lb), Bread Flour (with Germ - 50 lb), Brokering (of all listed goods), Cane Sugar (Wholesome - 50 lb), Flax Seeds (Brown Flax Seed - 50 lb), Grain Blend (7 Grain - 50 lb), Poppy Seeds (50 lb), Rolled Oats (#5 - 50 lb), Rye (KA - 40 lb), Rye (Medium Rye - 20 lb), Sesame Seeds (50 lb), Spelt (25 lb), Spelt (Whole - 25 lb), Storage and Distribution, Sunflower Seeds (50 lb), Wheat Gluten Flour (High Gluten 50 lb), White Flour (All Purpose Flour - 25 lb), White Flour (KA Artisian Select - 50 lb), Whole Wheat Flour (50 lb)</t>
  </si>
  <si>
    <t>Other: Barley (Cracked Barley), Barley Flour, Blended Grains (7 Grain Cereal), Brokering (of all listed goods), Cane Sugar (Evaporated), Canola Oil, Chia Seeds (Black), Dough Conditioner (S 500 Green Organic), Dough Conditioner (Softase 704), Dried Raisins (OIl Treated), Dried Raisins (Thompson Seedless), Emmer Flour (Emmer Wheat Flour), Flax (Whole Brown), Honey (Clover Honey), Millet (Hulled), Molasses (Unsulphured Blackstrap), Oat Flour, Poppy Seeds, Rye Flour (Dark Northern), Spelt Flour, Storage and Distribution, Wheat Flour (Artisan Bakers Craft Wheat Flour), Wheat Flour (Hard Red Spring), Whole Wheat Flour</t>
  </si>
  <si>
    <t>Other: Almonds, Apples (Dried), Barley (Flakes, Hulled, Pearled, Flour, Grain), Beans (Adzuki Beans), Beans (Black Beans (Turtle, Orca)), Beans (Cannelini Beans), Beans (Cranberry Beans), Beans (European Soldier), Beans (Fava), Beans (Garbanzo Beans (Whole, Split)), Beans (Great Northern), Beans (Kidney Beans), Beans (Lima, Christmas Lima), Beans (Mung Beans), Beans (Mung Dal), Beans (Navy Beans), Beans (Pinto Beans), Beans (Red Chili), Beans (Soy Beans (Black, Clear Hylium)), Blueberries (Dried), Cocoa Products (Nibs), Dried Fruits (Apricot), Dried Fruits (Cherries), Dried Fruits (Coconut Chips, Macaroon, Toasted), Dried Fruits (Cranberries), Dried Fruits (Currants), Dried Fruits (Date Sugar), Dried Fruits (Goji Berries), Dried Fruits (Golden Berries), Dried Fruits (Honey Dates), Dried Fruits (Mango Slices), Dried Fruits (Medjool Dates), Dried Fruits (Mulberries), Dried Fruits (Peach Slices), Dried Fruits (Pineapple Rings), Dried Fruits (Raisins - Non-Oiled, Oiled, Paste, Sultana), Figs (Dried) (Calimyrna, Mission), Grains (Amaranth Grain), Grains (Buckwheat (Grits, Groats, Seeds, Flour, Kasha)), Grains (Couscous), Grains (Kamut Flour), Grains (Millet Flour, Hulled), Grains (Millet, hulled), Grains (Popcorn - Blue, Multicolor, Yellow, White), Grains (Quinoa Red), Grains (Quinoa White), Grains (Wheat - Berries, Bran, Flour, Germ), Lentils (Red, Green, Black, French, Brown), Macadamias, Nuts (Brazil Nuts), Nuts (Cashews - Butter, Flour, Paste), Nuts (Cashews - Dry Roasted &amp; Salted, Dry Roasted, Oil Roasted &amp; Salted, Oil Roasted), Nuts (Hazelnuts - Roasted), Nuts (Walnuts), Oats (Bran, Groats, Quick, Rolled, Steel Cut), Peas (Black Eyed Peas), Peas (Green Peas), Peas (Green Split, Yellow Split), Rice (Basmati Brown, Basmati White, Jasmine, Wild), Rye (Seed, Flakes, Flour), Seeds (Chia Seeds), Seeds (Flax Seeds Brown), Seeds (Flax Seeds Golden), Seeds (Mustard Seed), Seeds (Poppy Seeds), Seeds (Pumpkin Seeds), Seeds (Sesame Seeds), Seeds (Sunflower Kernels), Spelt (Seed, Flour), Spices (Black Cumin Seed), Spices (Ground Mustard), Tomatoes (Dried), Wheat Flour (All Purpose, Semolina, Whole White Wheat)</t>
  </si>
  <si>
    <t>Other: PATHUM THANI RICE MILLED/PATHUM THANI RICE MILLED 15%*, RICE BERRY BROKEN RICE*, RICE BERRY SEMI-MILLED*, RICE BLEND*, RICE BRAN HOM MALI *, THAI CARGO BLACK RICE/RICEBERRY*, THAI CARGO HOM MALI BROKEN RICE*, THAI CARGO HOM MALI RICE 15%/THAI HOM MALI BROWN RICE 15%*, THAI CARGO HOM MALI RICE/THAI HOM MALI BROWN RICE*, THAI CARGO RED BROKEN RICE*, THAI CARGO RED RICE/THAI CARGO RED HOM MALI RICE*, THAI HOM MALI BROKEN RICE*, THAI HOM MALI GREEN COLORS RICE/THAI HOM MALI YOUNG RICE*, THAI HOM MALI SEMI-MILLED*, THAI LONG GRAIN CARGO RICE-CHAINAT RICE*, THAI LONG GRAIN FRAGRANT RICE HOM MALI/ THAI HOM MALI RICE MILLED*, THAI LONG GRIAN WHITE RICE-CHAINAT RICE*, THAI STICKY RICE-RD6*</t>
  </si>
  <si>
    <t>Other: Baobab oil, Baobab pulp powder, Crushed baobab fruit (pulp), Desert Date Cake, Desert Date oil, Desert Date seeds, Dried leaves of Kinkeliba, Dried Moringa Leaves, Graines de Baobab, Graines de Néré, Moringa leaf powder, Nere oil, Nere powder, Oilcake of Baobab, Solom oil, Solom Powder (Black tamarind powder), Tourteau de Néré</t>
  </si>
  <si>
    <t>Other Grains, Pastas and Cereals: Chickpeas, Millet, Non-sticky millet, Rice, Sticky millet, Sticky millet hulled, Wheat (Buckwheat), Wheat (Buckwheat kernel); Nuts/Seeds: Flax seed, Hemp seed, Hemp seed hulled, Pumpkin seed grown without shell, Pumpkin seed shine skin, Pumpkin seed shine skin kernels, Pumpkin seeds kernels, Sesame, Sunflower seed, Sunflower seed kernel; Fruits/Vegetables: Beans (Adzuki bean), Beans (Black bean (Also called: Black soybean)), Beans (Black beans with green kernel (Also called: Black soybeans with green kernel)), Beans (Black kidney bean), Beans (Cowpea), Beans (Lentil), Beans (Red kidney bean), Beans (Soybean), Beans (White kidney bean), Vegetables (Pea)</t>
  </si>
  <si>
    <t>Other: Corn (Ground), Corn (Rolled), Feed (14% All Purpose Organic), Feed (16 % Layer Crumble 0209-20, 0209-40), Feed (16 % Layer Pellet 0208-20, 0208-40), Feed (16% Swine Grower), Feed (17% Hi-Energy Layer Crumble), Feed (17% Hi-Energy Layer Pellet), Feed (17% Hi-Energy Poultry Pellet), Feed (17% Layer Pak Pellet), Feed (17% Soy Free Layer), Feed (18% Poultry Mini-Pellet), Feed (18% Starter Grower 0210-20, 0210-40), Feed (20% Boiler/Grower), Feed (20% Boiler/Grower - No Soy), Feed (20% Chick Crumble), Feed (22% Protein Salt Pak ORDW), Feed (25% Gamebird Crumble), Feed (25.5% Protein Salt Pak), Feed (27% Gamebird Crumble), Feed (3 Way Scratch), Feed (Agolin Naturu), Feed (Alfalfa Pellets), Feed (Almond Hulls (Bulk)), Feed (Beef Finisher 12%), Feed (Beef Hi Pak OPHP), Feed (Beef Maker 14%), Feed (Beef Pak Hi Mag), Feed (Beef Pak Hoof and More), Feed (Beef Pak Supreme), Feed (Beef Super Pak), Feed (Black Oil Sunflower Seeds), Feed (Calf 18%), Feed (Calf Mix 16% OHM16), Feed (Canola Meal), Feed (Cattle Plus DE Pak), Feed (Custom Livestock Feed Blends), Feed (Dairy Buffer Mineral), Feed (Dairy Mix 12% O12), Feed (Dairy Mix 12% OD12), Feed (Dairy Mix 12% ODM12), Feed (Dairy Mix 13% ODM13), Feed (Dairy Mix 14% OD14), Feed (Dairy Mix 14% ODM14), Feed (Dairy Mix 15% ODM15), Feed (Dairy Mix ODJW), Feed (Dairy Mix w/MOS ODMC), Feed (Delight Treat Pak (with nonorganic insects)), Feed (Dry Cow Pak), Feed (Flax Seed), Feed (Heifer Mineral), Feed (Heifer Mix ORH), Feed (Heifer Pak Mineral), Feed (Hi Mag Super Pak), Feed (Lactating Buffer Pak w/SQM), Feed (Liquid Molasses), Feed (North Coast Dry Cow), Feed (North Coast Repro Pack), Feed (Otey Swine Grower TOMO), Feed (PCS Organic Mineral), Feed (Pete's Valley Organic Mineral), Feed (Power Pak), Feed (Power Super Pak OPP), Feed (Pullet PreLayer), Feed (Range Mineral), Feed (Sonoma Layer Pellet OP18S), Feed (Soybean Meal), Grain Processing (Client Profile Products only) (Grain rolling &amp; grinding), Wheat (Whole)</t>
  </si>
  <si>
    <t>Other: Brown Mustard (Real Jewish Mustard), Brown Mustard (Spicy), Brown Mustard (Spicy Brown Mustard), Brown Mustard (Stone Ground Mustard), Cleaning (Mustard Seed Cleaning), Cocktail Sauce, Dijon Mustard, Dijon Mustard (Classic Dijon Mustard), Dressing Mix (Whipped Dressing), Evaporated Cane Juice (Sugar), Honey Mustard, Ketchup, Mayonnaise, Misc. Sauce (Buffalo Wing), Misc. Sauce (Chick’N Dippin’ Sauce), Misc. Sauce (Hot Sauce), Misc. Sauce (Taco Sauce), Misc. Sauce (Tartar Sauce), Soy Sauce, Whole Grain Mustard, Worcestershire Sauce, Yellow Mustard, Yellow Mustard (Bulk), Yellow Mustard (Classic), Yellow Mustard (Classic Yellow Mustard), Yellow Mustard (Yellow Coney Mustard)</t>
  </si>
  <si>
    <t>Trees/Whole Plant Products/Flowers: Seeds (MILLET); Processed  Items: CANOLA EXPELLER, SUNFLOWER EXPELLER; Other Grains, Pastas and Cereals: Barley, CANOLA SEED, CORN, Rice (WHITE RICE), Rice (BROWN RICE), SUNFLOWER, Wheat, Wheat (BUCKWHEAT); Oils &amp; Oleoresins: Oils (CANOLA OIL), Oils (SUNFLOWER OIL), Oils (SOYBEAN OIL); Nuts/Seeds: FLAX; Fruits/Vegetables: Beans (SOYBEAN); Dry/Baking Goods: Flours and Meals (SOY MEAL)</t>
  </si>
  <si>
    <t>Other: Beans (Garbanzo), Cornmeal (Various), Flour (Organic Skagit 1109 T-85 Flour), Flour (Various), Flour (Whole Wheat) (Various), Grains (Various), Milling, Rice Flour (White)</t>
  </si>
  <si>
    <t>Processed  Items: Dried Pomegranate Skin; Oils &amp; Oleoresins: Oils (Pomegranate Seed Oil); Health Products: Herbs (Dried Pomegranate Grains, Pomegranate Grains, Pomegranate seed, Pomegranate Seed Flour); Fruits/Vegetables: Frozen pomegranate grain, Pomegranate Sour, Pomegranates; Beverage Related Products: Juice (Frozen Pomegrenate Juice)</t>
  </si>
  <si>
    <t>Other: Lightly Salted Rice Cakes, Lightly Salted Rice Cakes, Lightly Salted Rice Cakes, Lightly Salted Rice Cakes, Multigrain Rice Cakes, Multigrain Rice Cakes, Multigrain Rice Cakes, Multigrain Rice Cakes, Salt Free Rice Cakes, Salt Free Rice Cakes, Salt Free Rice Cakes, Whole Grain Rice Cakes</t>
  </si>
  <si>
    <t>Other: #Custom packaging, distribution, and private labeling of food products., *Baby Gourmet Mushies: Banana Berry with Greek Yogurt, *Beetberry with Coconut Cream, *Fruity Greens, * Baby Gourmet Melties Blueberry, *Sweet Potato, *&amp; Coconut Cream, *Baby Gourmet Melties Fruity Greens and Coconut Cream., Cosmic Carrot Chews: Sour Cherry Berry Blast, Apple Cinnamon Asteroid, Orange Mango Moonbeam, Good&amp;Gatherbaby: Organic freeze-dried mixed berry yogurt bites, Organic freeze-dried strawberry &amp; banana yogurt bites, Organic freeze-dried Variety Pack (Strawberry &amp; banana, and Mixed berry)., Happybaby Organic Creamies: Apple, spinach, pea &amp; kiwi, Apple, sweet potato, &amp; kiwi, Strawberry, butternut squash, &amp; banana, Strawberry, raspberry &amp; carrot., Happybaby Organic Freeze-Dried Greek Yogis: Blueberry &amp; purple carrot, Strawberry banana., Happybaby Organic Freeze-Dried Yogis: Banana &amp; mango, Mixed Berry, Strawberry, Yogis Variety Pack (4Pack)-Mixed Berry and Strawberry., HappyTot Multi-Grain Cookies: Strawberry, Vanilla;, Once Upon a Farm: Organic &amp; Dairy-Free Coconut Melts Mango Ba-nilla, Organic &amp; Dairy-Free Coconut Melts Mixed Berry, Organic &amp; Dairy-Free Coconut Melts Strawberry Banana; Organic Smoothie Melts Blueberry Burst, Organic Smoothie Melts Tropical Greens;, Parent's Choice Fruit &amp; Veggie Bites: Coconut, Blueberry, &amp; Banana;, Snack products: Organic Birthday Cake Heavenly Hunks Minis, Organic Oatmeal Dark Chocolate Heavenly Hunks Minis., Trader Joe's Red Quinoa, Trader Joe's Tricolor Quinoa, Trader Joe's White Quinoa., Tricolor Quinoa, Whole Grain Quinoa</t>
  </si>
  <si>
    <t>Other: Baby Food - Fruit &amp; Grain Blends (Oatmeal + Sprouted Quinoa Super Morning Bowl - Apples &amp; Blueberries), Baby Food - Fruit &amp; Grain Blends (Oatmeal + Sprouted Quinoa Super Morning Bowl - Bananas &amp; Strawberries), Baby Food - Fruit &amp; Veg Blends (Autumn Pumpkin, Pear &amp; Beef Stew), Baby Food - Fruit &amp; Veg Blends (Chicken Veggie Minestrone), Baby Food - Fruit &amp; Veg Blends (Fruity Chicken &amp; Brown Rice), Baby Food - Fruit &amp; Veg Blends (Hearty Veggie &amp; Turkey), Baby Food - Fruit &amp; Veg Blends (Pumpkin &amp; Tomato Paella), Baby Food - Fruit &amp; Veg Blends (Sweet Potato Apple &amp; Chicken), Baby Food - Fruit &amp; Veg Blends (Veggie Beef &amp; Barley), Baby Food - Meat &amp; Vegetable (Veggie Beef Lasagna), Baby Food - Meat &amp; Vegetable (Veggie Chicken Pasta), Baby Food - Pasta (Pasta Bowl - Turkey Bolognese), Baby Food - Pasta (Veggie Beef Bolognese &amp; Pasta), Baby Food - Pasta (Veggie Bowl - Mac &amp; Cheese with Lentil Pasta &amp; Veggie Sauce), Baby Food - Pasta (Veggies Bowl - Cheese &amp; Spinach Ravioli), Baby Food - Pasta (Veggies Bowl - Squash Ravioli), Baby Food - Vegetables (Black Bean Chicken &amp; Quinoa), Baby Food - Vegetables (Sweet Potato &amp; Coconut Curry), Meal (Protein Bowl Garden Pesto), Meal (Protein Bowl Harvest Herb), Misc. (Baja Black Beans), Misc. (Coconut Curry Chickpeas), Misc. (Refried Beans with Vegan Chorizo), Misc. (Refried Pinto Beans), Misc. (Smoky BBQ Pinto Beans), Misc. (Three Bean Vegan Chili), Mix (Liquid Hope (Pea Protein) ), Mix (Liquid Hope (Peptide) ), Mix (Nourish (Pea Protein) ), Mix (Nourish (Peptide)), Quinoa (Quinoa - Southwestern), Quinoa (Quinoa with Chickpeas &amp; Garlic), Quinoa (Quinoa with Sea Salt), Rice (Brown Jasmine), Rice (White Jasmine), Toddler Meals (Apple, Raisin &amp; Cinnamon Oatmeal Bowl), Toddler Meals (Baby Burrito Bowl), Toddler Meals (Beef &amp; Quinoa Fiesta), Toddler Meals (Butternut Mac &amp; Cheese), Toddler Meals (Chickpea Mac &amp; Cheese), Toddler Meals (Chickpea Pasta Marinara), Toddler Meals (Pasta &amp; Veggie Sauce), Toddler Meals (Quinoa Burrito Bowl), Toddler Meals (Quinoa Veggie Bowl), Toddler Meals (Sweet Potato &amp; Black Beans Veggie Hash Bowl), Toddler Meals (Veggie Power Bowl), Toddler Meals (Wild Rice Risotto)</t>
  </si>
  <si>
    <t>Other: Baby Food - Fruit &amp; Grain Blends (Morning Bowl Oats, Barley &amp; Quinoa with Banana and Summer Berries), Baby Food - Fruit &amp; Grain Blends (Morning Bowl Oats, Quinoa &amp; Farro with Tropical Fruits), Baby Food - Fruit &amp; Veg Blends (Beet Carrot Blueberry with Coconut Milk), Baby Food - Fruit &amp; Veg Blends (Broccoli Pear), Baby Food - Fruit &amp; Veg Blends (Butternut Carrot &amp; Apple with Beef Broth), Baby Food - Fruit &amp; Veg Blends (Compleat Pediatric Chicken Garden Blends), Baby Food - Fruit &amp; Veg Blends (Compleat Pediatric Plant-Based Blends), Baby Food - Fruit &amp; Veg Blends (Green Bean Pumpkin with Shiitake Mushroom), Baby Food - Fruit &amp; Veg Blends (Homestyle Vegetables and Pear with Chicken Broth), Baby Food - Fruit &amp; Veg Blends (Kale Sweet Potato Apple with Sunflower Butter), Baby Food - Fruit &amp; Veg Blends (Pea Spinach Pear with Quinoa), Baby Food - Fruit &amp; Veg Blends (Spinach Apple Sweet Potato), Baby Food - Fruit &amp; Veg Blends (Sweet Potato Mango), Baby Food - Fruit &amp; Veg Blends (White Bean Pumpkin Apple with Sunflower Seed Butter and Cinnamon), Baby Food - Fruits (Butternut Squash White Bean), Baby Food - Fruits (Pumpkin Apple Red Lentil with Cinnamon), Baby Food - Meat &amp; Vegetable (Butternut Squash Chicken Broth with Thyme), Baby Food - Meat &amp; Vegetable (Carrot Beef Broth with Rosemary), Baby Food - Meat &amp; Vegetable (Creamy Vegetables &amp; Chicken), Baby Food - Meat &amp; Vegetable (Garden Vegetables Brown Rice with Turkey), Baby Food - Meat &amp; Vegetable (Harvest Vegetables Apricot &amp; Chicken), Baby Food - Meat &amp; Vegetable (Root Vegetables Apple with Beef), Baby Food - Vegetable &amp; Grain Blends (Carrot Chickpea with Ginger), Baby Food - Vegetable &amp; Grain Blends (Sweet Pea Carrot Corn and White Bean), Baby Food - Vegetables (Black Bean Sweet Potato with Avocado Oil), Baby Food - Vegetables (Carrot Pumpkin), Baby Food - Vegetables (Pea Basil), Baby Food - Vegetables (Sweet Potato Pinto Bean with Cumin), Blends (Butternut Chickpea Quinoa &amp; Date), Blends (Sweet Potato White Bean &amp; Cinnamon), Puree Blends (Compleat Chicken Garden Blends), Puree Blends (Compleat Plant-Based Blends)</t>
  </si>
  <si>
    <t>Other Grains, Pastas and Cereals: Oats - Midds, Sownaked Whole Gluten Free, Sownaked Whole-Low Pro Gluten Free (USCOEA - Certified in accordance with the terms of the US-Canada Organic Equivalency Arrangement)</t>
  </si>
  <si>
    <t>Other: Amaranth Flour, Amaranth Flour (SimplySafe® - Fine), Buckwheat (Flour), Buckwheat (Gluten Free Flour), Buckwheat (Hulled Groats), Buckwheat (SimplySafe® Flour), Buckwheat (SimplySafe® Hulled Groats), Chia (Black Whole Seed), Flax (Brown Ground), Flax (Brown Whole Seeds), Flax (SimplySafe® Brown Whole Seeds), Flour (Brown Rice Medium Grain Sprouted Flour), Flour (Chickpea Flour Fine), Flour (SimplySafe® Sorghum Flour Fine), Flour (Sorghum White Flour Fine), Grains (Amaranth Flake), Grains (Amaranth Whole), Millet (Hulled), Millet (Hulled Flour), Millet (SimplySafe® Hulled Flour Fine), Oats (SimplySafe® Sownaked Flake), Oats (SimplySafe® Sownaked Flour ), Oats (SimplySafe® Sownaked Flour - Low Pro), Oats (SimplySafe® Sownaked Flour Cbg30170), Oats (SimplySafe® Sownaked Flour Gf Cbg3020o), Oats (SimplySafe® Sownaked Whole), Oats (SimplySafe® Sprouted Sownaked Flake), Oats (SimplySafe® Sprouted Sownaked Flour), Oats (SimplySafe® Whole Grain Flour), Oats (SimplySafe® Whole Grain Oat Flake), Oats (Sprouted Sownaked Whole), Poppy Seed, Pumpkin Seed (SimplySafe®), Quinoa (Flake), Quinoa (SimplySafe® White Flour), Quinoa (White Flour), Quinoa (Whole ), Rice (Brown Long Grain Flour Fine), Rice (Brown Medium Grain Flour), Rice (Brown Short Grain Flour - Toll), Rice (SimplySafe® Brown Long Grain Flour Fine), Rice (SimplySafe® White Long Grain Flour), Rice (SimplySafe® White Medium Grain Flour), Rice (White Long Grain Flour), Rice (White Long Grain Flour - Toll), Rice (White Medium Grain Flour), Rice (White Medium Grain Flour Fine), Seeds (5 Grain Blend), Sesame (Natural Black Seed), Sesame (Natural Seed), Sunflower Seed, Sunflower Seed (SimplySafe®)</t>
  </si>
  <si>
    <t>Other: 5 Grain Organic Gluten Free Blend, 7 Grain &amp; Seed Organic Blend, Amaranth Organic Flake, Amaranth Organic Flour, Amaranth Organic Sprouted Flour, Amaranth Organic Whole, Buckwheat Organic Flour, Buckwheat Organic Hulled Groats, Buckwheat Organic Hulled Groats SimplySafe®, Chia Organic Black Whole Seed, Chia Organic Black Whole Seed SimplySafe®, Chickpea Organic Flour, DKB Organic 21 WG Pre-Blend W Blue Corn, FGTU Blend No Sesame, Flax Organic Brown Ground, Flax Organic Brown Whole, Flax Organic Brown Whole SimplySafe®, Flax Organic Golden Ground, Flax Organic Golden Whole, Millet Organic Hulled, Millet Organic Hulled Flour, Millet Organic Hulled SimplySafe®, Millet Organic Sprouted Flour, Oat Organic Purity Protocol Flour, OG 21 WG Topping Blend, OG Powerseed Topping Blend, Org Good Seed Topping, Organic 21 Grain Topping NS, Organic 21 Whole Grain Pre-Blend (91851), Organic Multigrain Preblend No Sugar #91544, Organic Pumpkinickel Dry Mix, Organic Quinoa Power Grains Dry Mix, Organic Seed &amp; Garlic Blend Heat Treated, Organic Sour Dough Dry Mix, Poppy Organic Seed, Potato Organic Flour, Pumpkin Organic Seed, Pumpkin Organic Seed SimplySafe, Quinoa Organic Flake, Quinoa Organic Sprouted Flour, Quinoa Organic White Flour, Quinoa Organic Whole, Rice Organic Brown Long Grain Flour, Rice Organic White Long Grain Flour, Rice Organic White Long Grain Flour SimplySafe®, Rye Organic AFI Flour, Seeduction Mix Organic Blend, Sesame Organic Hulled, Sesame Organic Natural, Sesame Organic Natural Black, Sesame Organic Natural Black SimplySafe®, Sorghum Organic White Flour, Sorghum Organic White Sprouted Flour, Sprouted Organic Gluten Free Flour Blend, Sunflower Organic Seed, Sunflower Organic Seed SimplySafe®, Teff Organic Brown Flour, Teff Organic Ivory Flour</t>
  </si>
  <si>
    <t>Other: Bread (9-Grain Sourdough 24oz), Bread (California Sourdough 24oz), Bread (Farm Bread 21oz), Bread (Honey Whole Wheat), Bread (Pure Rye), Bread (Say Cheese Sourdough 16oz)</t>
  </si>
  <si>
    <t>Seasonings: Basil, Basil, Bay Leaf, Bay Leaf, Black Sesame Seed, Cardamom, Cardamom, Cloves, Cloves, Coriander Powder, Coriander Seed, Coriander Seed, Dill, Dill, Fennel, Fennel, Fenugreek, Fenugreek, Marjoram, Marjoram, Parsley, Parsley, Rosemary, Rosemary, Sage, Sage, Thyme, Thyme, Tumeric Powder, Tumeric Powder, White Pepper, White Pepper; Processed  Items: Agave Syrup, Almond Flour, Almond Meal, Amaranth, Amaranth, Banana Paste, Chickpea Flour, Cinnamon, Coconut Aminos, Coconut Butter, Coconut Butter, Coconut Cream, Coconut Cream, Coconut Flour, Coconut Flour, Coconut Milk, Coconut Toasted Sweet Salty, Coconut Toasted Sweet Salty, Corn (Maize) Starch, Corn (Maize) Starch, Date Powder, Date Powder, Date Syrup, Date Syrup, Defatted Cashew Protein Powder, Defatted Cashew Protein Powder, Dehydrated Foods (Apricot Kernels), Dehydrated Foods (Apricot Kernels), Dehydrated Foods (Banana Chips), Dehydrated Foods (Banana Chips), Dehydrated Foods (Beet Juice Powder), Dehydrated Foods (Beet Juice Powder), Dehydrated Foods (Cheese Powder Blend), Dehydrated Foods (Coconut), Dehydrated Foods (Coconut), Dehydrated Foods (Coconut Milk Powder), Dehydrated Foods (Coconut Smiles), Dehydrated Foods (Coconut Smiles), Dehydrated Foods (Currants), Dehydrated Foods (Currants), Dehydrated Foods (Dates), Dehydrated Foods (Dates), Dehydrated Foods (Desiccated Coconut), Dehydrated Foods (Dried Apples), Dehydrated Foods (Dried Apples), Dehydrated Foods (Dried Apricots), Dehydrated Foods (Dried Apricots), Dehydrated Foods (Dried Bananas), Dehydrated Foods (Dried Bananas), Dehydrated Foods (Dried Blueberries), Dehydrated Foods (Dried Cherries), Dehydrated Foods (Dried Cherries), Dehydrated Foods (Dried Cranberries), Dehydrated Foods (Dried Dragon Fruit), Dehydrated Foods (Dried Dragon Fruit), Dehydrated Foods (Dried Figs), Dehydrated Foods (Dried Figs), Dehydrated Foods (Dried Goldenberries), Dehydrated Foods (Dried Goldenberries), Dehydrated Foods (Dried Mango), Dehydrated Foods (Dried Mulberries), Dehydrated Foods (Dried Mulberries), Dehydrated Foods (Dried Papaya), Dehydrated Foods (Dried Pears), Dehydrated Foods (Dried Pineapple), Dehydrated Foods (Dried Pineapple), Dehydrated Foods (Dried Strawberries), Dehydrated Foods (Dried Tart Cherry), Dehydrated Foods (Freeze Dried Bananas), Dehydrated Foods (Freeze Dried Bananas), Dehydrated Foods (Freeze Dried Orange Powder), Dehydrated Foods (Goji Berries), Dehydrated Foods (Jackfruit), Dehydrated Foods (Jackfruit), Dehydrated Foods (Lentils), Dehydrated Foods (Lime Powder), Dehydrated Foods (Raisins), Dehydrated Foods (Raisins), Dehydrated Foods (Sundried Tomatoes), Dehydrated Foods (Vanilla Powder), Fig Paste, Fig Paste, Flax Seed Flour, Flax Seed Flour, Ginger, Golden Flax Seed Flour, Pea Protein, Pea Protein, Pecan Meal, Psyllium Husk and Husk Powder, Psyllium Husk and Husk Powder, Psyllium Seed and Seed Powder, Psyllium Seed and Seed Powder, Puffed Amaranth, Puffed Amaranth, Pumpkin Protein Powder, Ready to Eat Foods (Almond Butter), Ready to Eat Foods (Cashew Butter), Ready to Eat Foods (Cashew Butter), Ready to Eat Foods (Date Paste), Ready to Eat Foods (Hazelnut Butter/Paste), Ready to Eat Foods (Hazelnut Butter/Paste), Ready to Eat Foods (Macadamia Nut Butter), Ready to Eat Foods (Prunes), Ready to Eat Foods (Prunes), Ready to Eat Foods (Sesame- Tahini), Ready to Eat Foods (Sesame- Tahini), Sunflower Lecithin, Tapioca Starch, Tapioca Syrup, Yacon Syrup, Yacon Syrup; Preservatives/Extracts/Flavors: Dark Chocolate Flavor, Extracts (Bourbon Vanilla Extract), Extracts (Peppermint Extract), Extracts (Vanilla Extract); Other Grains, Pastas and Cereals: Buckwheat, Buckwheat, Millet, Oats (Rolled Oats (regular, thick, gluten-free)), Oats (Rolled Oats (regular, thick, gluten-free)), Quinoa (Quinoa), Quinoa (Quinoa), Quinoa (Quinoa - Black), Quinoa (Quinoa - Puffed), Quinoa (Quinoa - Puffed), Quinoa (Quinoa - White), Quinoa (Quinoa - White), Quinoa (Quinoa -Tricolor), Quinoa (Quinoa -Tricolor), Rice (Brown Rice), Rice (Brown Rice), Rice (Brown Rice Syrup), Rice (Long Grain Brown Rice), Rice (Puffed Brown Rice), Rice (Puffed Brown Rice), Rice (Rice), Rice (Rice), Sorghum (Sorghum), Sorghum (Sorghum), Sorghum (Sorghum Flour); Oils &amp; Oleoresins: Oils (Canola Oil), Oils (Coconut Oil Refined), Oils (Lemon Oil), Oils (Lemon Oil), Oils (Olive Oil Virgin &amp; Extra Virgin), Oils (RBD Olive Oil), Oils (Sunflower Oil RBDW- High Oleic), Oils (Virgin Coconut Oil); Nuts/Seeds: Almonds (Almonds), Almonds (Almonds), Black Oil Sunflower Seeds, Brazil Nut (Brazil Nuts), Caraway Seeds, Caraway Seeds, Cashew Nuts (Cashews), Cashew Nuts (Cashews), Chia Seeds, Chia Seeds, Flax Seeds, Flax Seeds, Golden Flax Seed, Hazelnut (Hazelnuts), Hazelnut (Hazelnuts), Hemp Seeds, Hemp Seeds, Macadamia (Macadamia Nuts), Macadamia (Macadamia Nuts), Peanuts (Peanut Butter), Peanuts (Peanuts), Pecans (Pecans), Pine Nuts (Pine Nuts), Pine Nuts (Pine Nuts), Pistachios (Pistachio Butter), Pistachios (Pistachios), Poppy Seeds, Pumpkin Seeds, Pumpkin Seeds, Sesame Seeds, Sesame Seeds, Sunflower Butter, Sunflower Seeds, Sunflower Seeds, Toasted Sesame Seeds, Walnuts (Walnuts); Fruits/Vegetables: Beans (Adzuki Beans), Beans (Adzuki Beans), Beans (Black Beans), Beans (Chickpeas), Berries (Freeze Dried Blackberries), Berries (Freeze Dried Blackberries), Freeze Dried Blueberries, Freeze Dried Raspberries, Freeze Dried Raspberries, Freeze Dried Strawberries, Freeze Dried Strawberries, Tigernut; Dry/Baking Goods: Flours and Meals (Cassava Flour), Flours and Meals (Cassava Flour), Flours and Meals (Oat Flour), Flours and Meals (Oat Flour), Flours and Meals (Quinoa Flour), Sugar (Coconut Sugar), Sugar (Sugar), Sugar (Sugar Cane Golden); Condiments and Sweeteners: Honey (Honey), Syrups (Maple Organic Syrup Dark Grade A); Chocolate Goods: Cacao (Beans, Butter, Liquor, Nibs, Nibs Fine, Powder), Cacao(Beans, Butter, Liquor, Nibs, Nibs Fine, Powder), Chocolate Nibs (Cacoa Nibs - Sweet), Cocoa Organic Powder, Cocoa Organic Powder, Dark Chocolate (Dark Chocolate Chips); Beverage Related Products: Coffee (Instant Coffee), Juice (Lemon Juice), Juice (Lemon Juice); Other: Brokering of Food Products, Exporting Food Products, Importing Food Products, Labeling of Food Products, Trading of Food Products</t>
  </si>
  <si>
    <t>Other: Baby Food - Fruit &amp; Grain Blends (Apple Blueberry Crisp), Baby Food - Fruit &amp; Grain Blends (Apple Raspberry Avocado &amp; Oat), Baby Food - Fruit &amp; Grain Blends (Banana Cinnamon &amp;  Whole Grains), Baby Food - Fruit &amp; Grain Blends (Banana Pumpkin Cinnamon Oatmeal), Baby Food - Fruit &amp; Grain Blends (Mango Yogurt &amp; Rolled Oats), Baby Food - Fruit &amp; Grain Blends (Multigrain), Baby Food - Fruit &amp; Grain Blends (Pumpkin Apple Quinoa), Baby Food - Fruit &amp; Grain Blends (Stage 2 Apple, Pumpkin &amp; Granola), Baby Food - Fruit &amp; Grain Blends (Stage 2 Banana &amp; Granola), Baby Food - Fruit &amp; Grain Blends (Stage 3 Apple, Blueberries + Rolled Oats), Baby Food - Fruit &amp; Grain Blends (Stage 3 Banana, Pumpkin + Rolled Oats), Baby Food - Fruit &amp; Grain Blends (Stage 3 Mango, Yogurt + Rolled Oats), Baby Food - Fruit &amp; Grain Blends (Whole Grain), Baby Food - Fruit &amp; Veg Blends (Apple, Pea &amp; Kiwi), Baby Food - Fruit &amp; Veg Blends (Jar Variety Pack (Apple, Pear, Carrots, Pumpkin)), Baby Food - Fruit &amp; Veg Blends (Jar Variety Pack (Apple, Pear, Carrots, Sweet Potato)  ), Baby Food - Fruit &amp; Veg Blends (Jar Variety Pack (Mango &amp; Carrot. Pear Mango &amp; Strawberry, Apple Raspberry &amp; Avocado, Apple Pea &amp; Kiwi)), Baby Food - Fruit &amp; Veg Blends (Mango &amp; Carrot), Baby Food - Fruit &amp; Veg Blends (Stage 2 Banana, Blueberry &amp; Avaocado), Baby Food - Fruit &amp; Veg Blends (Stage 2 Banana, Cherry &amp; Beet), Baby Food - Fruit &amp; Veg Blends (Stage 2 Pear, Pumpkin &amp; Cranberry), Baby Food - Fruit &amp; Veg Blends (Stage 2 Prune &amp; Pear), Baby Food - Fruit &amp; Veg Blends (Sweet Potato Coconut Mash), Baby Food - Fruits (Pear, Mango &amp; Strawberry), Baby Food - Fruits (Stage 1 Just Pears), Baby Food - Fruits (Stage 1Just Apples), Baby Food - Fruits (Stage 2 Bananas), Baby Food - Vegetable &amp; Grain Blends (Carrots &amp; Ancient Grains), Baby Food - Vegetables (Stage 1 Just Carrots), Baby Food - Vegetables (Stage 1 Just Sweet Potatoes), Blends (Fruit &amp; Yogurt with Prebiotics - Banana Berry), Blends (Fruit &amp; Yogurt with Prebiotics - Banana Orange), Processing (Baby Food), Prune Puree (Stage 1), Pumpkin Puree (Stage 1 Just Pumpkin)</t>
  </si>
  <si>
    <t>Trees/Whole Plant Products/Flowers: Alfalfa, Milk thistle, Plant Fibers (Flax stalk), Seeds (Rapeseed), Sorghum, Sorghum (Sorghum kernel); Preservatives/Extracts/Flavors: Flours and Meals (Barley flour), Flours and Meals (Glutinous rice flour (Also called：Tangyuan powder)), Flours and Meals (Oat flour), Flours and Meals (Rice flour), Flours and Meals (Rice hull flour), Flours and Meals (Wheat flour), Powders (Adzuki bean powder), Powders (soybean powder), Powders (Mung bean powder), Powders (Beet root powder); Other Grains, Pastas and Cereals: Barley, Barley (Barley kernel), Barley (Pearl barley (also called: coix)), Black Sesame, Broom corn millet, Cicer arietinum (Chickpea), Coix seed kernel, Corn, Corn cobs, Corn flour, Corn grits, Glutinous corn, Hulled millet, Millet, Oats, Oats (Oat kernel), Oats (Oatmeal), Pea, Proso millet, Quinoa (Quinoa), Quinoa (Quinoa kernel), Rice (Red Paddy), Rice (Red rice), Rice, Rice (Rice bran), Rice (Rice hull), Rice (Mix rice/Babao rice (10%Rice, 10%Glutinous rice, 10%Black rice, 10%Buckwheat kernel, 10%Brown rice, 10%Oat kernel, 10%Coix seed kernel, 10%Sticky Millet (Hulled sticky millet), 10%Sorghum kernel, 5%Adzuki bean, 5%Mung bean)), Rice (Paddy), Rice (Glutinous Paddy), Rice (Glutinous rice), Rice (Brown rice), Rice (Broken rice), Rice (Black Paddy), Rice (Black rice), Sticky millet (Also called: Hulled sticky Millet), Waxy corn, Wheat, Wheat (Wheat kernel), Wheat (Buckwheat); Oils &amp; Oleoresins: Oils (Corn oil (crude oil)), Oils (Rapeseed oil), Oils (Rice bran oil), Oils (Soybean oil), Oils (Sunflower oil); Nuts/Seeds: Seeds (Borage seeds), Seeds (Coix seed), Seeds (Cucumber seed), Seeds (Evening primrose seed), Seeds (Flax Seed), Seeds (Hemp seed), Seeds (Hulled hemp seed), Seeds (Perilla seed), Seeds (Safflowers seeds), Seeds (Sesame), Seeds (Sunflower seeds kernel), Seeds (Sunflowers seeds), Seeds (Watermelon seed); Fruits/Vegetables: Beans (Black Kidney bean), Beans (Black soybean), Beans (Black soybean（Black soybean with green kernel）), Beans (Broad bean), Beans (cowpea (black eye bean)), Beans (Edamame), Beans (Green soybean（Green bean with green kernel)), Beans (Hulled mung bean), Beans (Light red speckled bean（Also called：Pinto bean)), Beans (Light speckled kidney bean(also called: pinto bean)), Beans (Mung bean), Beans (Pinto bean), Beans (Red adzuki bean), Beans (Red kidney bean (also called:dark red kidney bean)), Beans (Soybean), Beans (White kidney bean), Beans (Adzuki bean), Beet root, Lentil, Potato; Animal Feed: Livestock Feed (Rapeseed seed meal), Livestock Feed (Soybean meal (soybean cake)), Livestock Feed (Squashed corn), Livestock Feed (Sunflower seed meal), Livestock Feed (Wheat bran)</t>
  </si>
  <si>
    <t>Trees/Whole Plant Products/Flowers: Rapeseed; Preservatives/Extracts/Flavors: Flours and Meals (Black rice flour), Flours and Meals (Glutinous rice flour (Also called: Tangyuan powder)), Flours and Meals (Rice flour), Flours and Meals (Rice hull flour), Flours and Meals (Barley flour), Flours and Meals (Corn flour), Flours and Meals (Hulled millet flour), Flours and Meals (Oat flour), Flours and Meals (Sorghum flour), Flours and Meals (Sticky millet flour (Also called: Hulled sticky millet flour)), Flours and Meals (Wheat flour), Herbs (Milk thistle), Powders (Beet root powder), Powders (Buckwheat hull powder), Powders (Buckwheat powder), Powders (soybean powder), Powders (Mung bean powder); Other Grains, Pastas and Cereals: Barley (Pearl barley (also called: coix)), Barley (Barley kernel), Black Sesame, Broom corn millet, Buckwheat, Buckwheat kernel, Cicer arietinum (Chickpea), Coix seed kernel, Corn grits, Hulled millet, Millet, Oatmeal, Oats (Oat kernel), Proso millet, Rice (Black Paddy), Rice (Black rice), Rice (Broken rice), Rice (Brown rice), Rice (Glutinous Paddy), Rice (Glutinous rice), Rice (Paddy), Rice (Red Paddy), Rice (Red rice), Rice (Rice), Rice (Rice bran), Rice (Rice hull), Rice (Mix rice/Babao rice (10% Rice, 10% Glutinous rice, 10% Black rice, 10% Buckwheat kernel, 10% Brown rice, 10% Oat kernel, 10% Coix seed kernel, 10% Sticky millet (Hulled sticky millet), 10% Sorghum kernel, 5% Adzuki bean, 5% Mung bean)), Sesame, Sorghum, Sorghum (Sorghum kernel), Sticky millet (Also called: Hulled sticky millet), Tartarian buckwheat, Wheat (Wheat kernel); Oils &amp; Oleoresins: Oils (Rice bran oil), Oils (Corn oil (crude oil)), Oils (Flax Seed oil), Oils (Peanuts kernel oil), Oils (Pumpkin seed oil), Oils (Rapeseed oil), Oils (Soybean oil), Oils (Sunflower oil); Nuts/Seeds: Cucumber seed, Evening primrose seed, Flowers (Safflowers (Safflowers seed)), Flowers (Sunflowers seeds), Flowers (Sunflower seeds kernel), Hemp seed, Hulled hemp seed, Peanuts, Peanuts (Peanut kernel), Perilla seed, Seeds (Borage seeds); Fruits/Vegetables: Beans (Red kidney bean), Beans (Hulled mung bean), Beans (Light red speckled bean (Also called: Pinto bean)), Beans (Light speckled kidney bean (also called: pinto bean)), Beans (Black soybean), Beans (Broad bean), Beans (Red adzuki bean), Beans (Adzuki bean powder), Seeds (Watermelon seed), Vegetables (Garlic), Vegetables (Pumpkin seed shine skin kernel (Also called: Pumpkin kernel)), Vegetables (Pea), Vegetables (Pumpkin seeds gws), Vegetables (Pumpkin seeds shine skin), Vegetables (Sweet potato (sweet potato)), Vegetables (Turnip), Vegetables (Chili (Chili, PAPRIKA)), Vegetables (Pepper); Animal Feed: Livestock Feed (Buckwheat hull), Livestock Feed (Flax seed meal), Livestock Feed (Oat bran), Livestock Feed (Peanut cake meal), Livestock Feed (Pumpkin seed cake meal), Livestock Feed (Rapeseed seed meal), Livestock Feed (Soybean meal (soybean cake)), Livestock Feed (Squashed corn), Livestock Feed (Sunflower seed meal), Livestock Feed (Wheat bran)</t>
  </si>
  <si>
    <t>Other: Carrot powder noodles, Dired noodle, Low-gluten cake flour, Pickled chinese cabbage, Soybean flour noodles, Spinach powder noodles, Tenuous noodles, Tomatoes Hanging noodles, Wheat bran, wheat flour, Wholewheat Hanging noodles</t>
  </si>
  <si>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</si>
  <si>
    <t>Other Grains, Pastas and Cereals: Pasta (KOYO Organic Fine Udon Noodles 细乌冬面, KOYO Organic Round Udon Noodles 圆乌冬面, KOYO Organic Soba Noodles 荞麦面, KOYO Organic Udon Noodles 乌冬面, KOYO Organic Wide Udon Noodles 宽乌冬面, ORGANIC PLANET Soba Noodles 荞麦面, ORGANIC PLANET Wholewheat Lomein Noodles 全麦捞面, ORGANIC PLANET Wholewheat Udon Noodles 全麦乌冬面)</t>
  </si>
  <si>
    <t>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Lemongrass Ginger Ramen made with Organic Noodles, KOYO Shiitake Mushroom Ramen made with Organic Noodles, KOYO Tofu Miso Ramen made with Organic Noodles, KOYO Tofu Miso Reduced Sodium Ramen made with Organic Noodles, KOYO Wakame Seaweed Ramen made with Organic Noodles)</t>
  </si>
  <si>
    <t>Processed  Items: Dehydrated Foods (Black Cohosh/Cimicifuga racemosa (whole,slice,cut), Dehydrated Carrot ((flakes, minced, chopped,), American ginseng (whole,slice,cut), Apple powder, Apple(Diced, slice, strip), Astragalus (whole, slice, cut), Atractylodes/Largehead Atractylodes (whole,cut, broken), Black Garlic (clove,granules,powder), Black Garlic (paste,sauce), Chaga/ chaga mushroom (Whole,cut, broken), Chicory root (cut, slice), Codonopsis/Tangshen Root (whole,cut, broke), Cordyceps militaris (whole,slice,cut), Dehydrated Beetroot (Slice/Flakes/Diced/Cut), Dehydrated Garlic (flakes/granule/ground/minced/chopped), Dong Quai/ Angelica (whole,cut, broken), Evening Primrose Seed /Oenothera Biennis Seed (whole, cut), Goji berry (whole,cut), Hericium Erinaceus/ Lion's Mane (whole,cut), Lavander flower, Lemon (whole,slice,cut), Licorice root (whole, slice,cut), Maca Slice, Maitake((whole/cut/granule)/Grifola frondosa, Milk thistle (whole,slice,cut), Nuo Mi Xiang Leaf (whole,slice,cut), Ophiopogon Root (whole,cut), Papaya leaf (whole, slice,cut), Pear (Slice, strips,whole, cut), Peppermint/Herba Menthae (whole, cut, broken), Pineapple (whole,cut,broken), Plantago asiatica herb (whole,cut, broken), Pleuropterus multiflorus / Fo-Ti root (whole, slice, cut), Polygonatum root (whole, slice, cut), Red Sage /Danshen Root (whole,cut, broken), Reishi/Ganoderma Sinensis/Lucidum/Amboinense (whole,slice,cut), Rhodiola rosea (whole,slice,cut), Safflower (whole,cut), Shiitake (whole,slice,cut), Shiitake powder, Shorthorned epimedium (whole/slice/granule), Sichuan Pepper (whole,cut), Skullcap (whole, slice, cut), Spinach chopped, Stevia leaf (whole,cut), Strawberry (Cuts/ Slice/whole), Sweet potato (whole,slice,cut), Tribulus Fruit (whole, slice, cut), White Peony (Root whole,cut, broken)), Orange peel/Reticulatae/Tangerine Peel, Orange peel/Reticulatae/Tangerine Peel powder, Papaya (Whole,slice,cut), Pea protein, Poria /Poria cocos/（whole,slice,cuts）, Pumpkin Seed Protein, Rice Protein powder, Soybean Protein powder, Flaxseed (whole,cut), Flaxseed protein, Hemp Protein, Mung Bean protein, Oat Protein powder, Powders (Chlorella Powder, Spirulina powder); Preservatives/Extracts/Flavors: Extracts (Angelica extract, Astragalus extract, Baical Skullcap Extract , Bamboo extract, Barley Grass/Germinatus extract, Black Currant extract, Chaga extract, Echinacea Herb/Root extract, Eleutherococcus senticosus extract , Ginger extract, Ginkgo Biloba Extract, Ginseng extract, Gotu Kola Herb Extract /Centella Asiatica Extract, Gynostemma Herb Extract, Hericium Erinaceus/ Lion's Mane extract, Konjac extract, Maca extract, Magnolia Bark Extract, Maitake /Grifola frondosa extract, Marigold flower extract, Marshmallow extract, Milk Thistle extract, Monk Fruit extract, Mulberry Leaf(Mori Folium) Extract, Oat extract, Oat grass extract, Papaya leaf extract, Peppermint/Herba Menthae extract, Poria /Poria cocos extract , Red Rice Extract, Reishi/Ganoderma Extract , Rosemary extract , Schizandra extract, Shiitake extract, Shorthorned epimedium leaf extract, Stevia extract, Turmeric extract, White Ginseng Extract); Other Grains, Pastas and Cereals: Cereal (Coix seed kernels (whole, cut)), Pasta (Konjac gum); Oils &amp; Oleoresins: Oils (Rosemary oil, Sunflower oil); Nuts/Seeds: Seeds (Borage seeds (whole,cut), Hulled/shelled hemp seed(hemp kernel/hearts), Pumpkin seed/ kernel, Sunflower seed, Whole hemp seed); Health Products: Herbs (Alfalfa leaf (whole,cut), Annual Wormwood Herb/ Artemisia annua (Whole,cut), Barley Grass/Germinatus (whole,cuts), Bupleurum Root/Thorowax (whole,slice,cut), Burdock root (Whole,slice,cut), Chamomile flower (whole,cut), Chamomile powder, Chili (whole,slice,cut), Chrysanthemum Flower (cut, slice), Cinnamon (whole, slice,cut, crushed), Cinnamon Cassia Bark/ Bud (whole,slice,cut), Congograss (Imperata cylindrica), Couch grass root (whole,slice,cut), Dandelion leaf, Dandelion root (whole,cut)), Dried marigold flower (whole,cut), Echinacea Herb/root (whole,slice,cut), Eleutherococcus senticosus root(Siberia Ginseng) (whole,cut, broken), Eucalyptus leaves dried (whole, cut), Fennel seeds (whole,slice,cut), Galangal root (whole, slice,cut), Ginkgo leaf (whole,slice,cut), Gotu Kola Herb (whole,cut), Grape Seed (whole), Gynostemma Herb (whole, cut), Hawthorn (whole,slice,cut), Honeysuckle flower/Flos Lonicerae (whole, slice, dried), Horseradish (whole,slice,flake,cut), Horsetail (Whole, cut), Jasmine (whole,cut), Kudzu root (whole/slice/ cut), Lily/Lancelesf Lily Bulb (whole, slice,cut), Linden flower (whole, slice, cut), Lotus seed/Semen Nelumbinis (whole,slice,cut), Marshmallow (whole,slice,cut), Moringa leaf (whole,slice,cut, granule), Nettle Root/Leaf (whole,slice,cut), Nutmeg (whole,cut), Oregano leaf (whole,cut), Red Ginseng (entire roots/ silces/legs /mixed tails/cuts), Rehmannia Root/Radix (whole, slice, cut), Rosemaryleaf (whole, slice,cut), Schisandra (whole,cut), Star anise (whole,cut, broken), Turmeric (whole, sliced,cut), Valerian root (whole,slice,cut), Yellow dock (whole,cut)); Fruits/Vegetables: Berries (Sweet Blackberry leaf（Whole/Cut）/Rubus Suatrssimus S.L), Dehydrated Foods (Blueberry (whole,slice,cut), Monk fruit (whole, cut), Rosehips(whole,cuts), Sea Buckthorn Fruit / Hippophae rhamnoides (whole,cut)), Jujube Fruit / Ziziphus Jujuba (whole,cut, broken), Yam Root (whole,slice,cut), Powders (Black Cohosh/Cimicifuga racemosa powder, Dehydrated Carrot powder, Lotus seed/Semen Nelumbinis powder, Alfalfa leaf powder, American ginseng powder, Angelica powder, Annual Wormwood Herb/ Artemisia annua powder, Atractylodes/Largehead Atractylodes powder, Baical Skullcap Powder, Barley Grass/Germinatus powder, Bitter melon/Momordica charantia Linn.powder, Black Currant Juice powder, Black Currant powder, Black fungus/Auricularia auricula/Wood Ear powder, Black Garlic powder, Blueberry powder, Borage seed powder, Bupleurum Root/Thorowax powder, Burdock root powder, Chaga / Chaga mushroom powder, Chamomile Flower powder, Chicory root powder, Chili powder, Chrysanthemum Flower powder, Cinnamon Cassia Bark/ Bud powder, Cinnamon powder, Codonopsis/Tangshen Root powder, Coix seed kernels powder, Cordyceps powder, Dandelion Leaf / Root powder, Dehydrated Beetroot powder, Dong Quai/ Angelica powder, Dried marigold flower powder, Echinacea Herb/root powder, Eleutherococcus senticosus root (Siberia Ginseng) powder, Evening Primrose Seed /Oenothera Biennis Seed powder, Evening Primrose Seed Powder, Fennel seed powder, Flaxseed powder, Galangal root powder, Garlic powder, Ginger extract powder, Ginger powder, Ginkgo Biloba Powder, Ginkgo leaf powder, Goji berry powder, Gotu Kola Herb powder, Gotu Kola Herb/Centella Asiatica Powder, Grape seed extract powder, Gynostemma Herb powder, Hawthorn powder, Hericium Erinaceus/ Lion's Mane powder, Honeysuckle flower/Flos Lonicerae powder, Horseradish powder, Horsetail powder, Jasmin powder, Jujube Fruit / Ziziphus Jujuba powder, Konjac powder, Kudzu root powder, Lavander flower powder, Lemon powder, Licorice root extract powder, Licorice root powder, Lily/Lancelesf Lily Bulb powder, Linden Flower powder, Maca powder/tablets, Magnolia Bark Powder, Maitake /Grifola frondosa powder, Marshmallow powder, Milk thistle powder, Monk Fruit powder, Moringa leaf powder, Mulberry leaf powder, Mulberry Leaf(Mori Folium) powder, Nettle Root/Leaf powder, Nuo Mi Xiang Leaf /herb powder, Nutmeg powder, Oat grass powder, Oat powder, Ophiopogon Root powder, Oregano leaf powder, Papaya leaf powder, Papaya powder, Pear powder, Peppermint/Herba Menthae powder, Pineapple powder, Plantago asiatica herb powder, Pleuropterus multiflorus / Fo-Ti root powder, Polygonatum root powder, Poria /Poria cocos powder, Red ginseng powder, Red Sage /Danshen Root powder, Red Yeast Rice, Red yeast rice extract powder, Rehmannia Root/Radix powder, Reishi/Ganoderma Sinensis/Lucidum/Amboinense powder, Rhodiola Rosea powder, Rhubarb powder, Rosehip extract powder, Rosehip powder, Rosemary powder, Safflower powder, Schisandra powder, Sea Buckthorn Fruit / Hippophae rhamnoides powder, Shorthorned epimedium leaf powder, Sichuan Pepper powder, Skullcap powder, Spinach powder, Star anise powder, Stevia leaf powder, Strawberry powder, Sunflower powder, Sweet Blackberry leaf/Rubus Suatrssimus S.L powder, Sweet potato powder, Tribulus Fruit powder, Turmeric powder, Valerian Root powder, Wheat Grass/Triticum Aestivum L. juice powder, Wheat Grass/Triticum Aestivum L. powder, White Peony Root powder, Yam root powder, Yellow dock powder), Vegetables (Bitter melon/Momordica charantia Linn. (whole,slice,cut), Rhubarb (whole,cut,broken)); Fiber Textiles: Oat fiber; Dry/Baking Goods: Flours and Meals (Konjac flour (Amorphophallus konjac), Oat starch); Condiments and Sweeteners: Sweeteners (Maltodextrin); Beverage Related Products: Juice (Goji Juice); Other: Beans (Mung bean, Soybean (whole, cut, broken), Soybean powder), Bee pollen, Beeswax (3rd party production), Black fungus/Auricularia auricula/Wood (whole,cut), Honey, Mung bean (whole,cut), Peas（Whole, Broken or Flaked Cereals and Grains), Propolis, royal jelly, Sunflower cake</t>
  </si>
  <si>
    <t>Other: Beverage Powder (Cacao + Antioxidant Blend), Beverage Powder (Cacao + Longevity Blend), Beverage Powder (Golden Latte/Turmeric Latte), Beverage Powder (Matcha Latte), Beverage Powder (Organic Creamer - Caramel Sweet Cream), Beverage Powder (Organic Creamer - Classic Sweet Cream), Beverage Powder (Organic Creamer - Harvest Oats: Plant Based Pure &amp; Simple), Beverage Powder (Organic Creamer - Mocha Sweet Cream), Beverage Powder (SuperFood+ Adaptogen Blend), Beverage Powder (SuperFood+ Berry Blend ), Beverage Powder (SuperFood+ Greens Blend), Beverage Powder (SuperFood+ Sea Veggie Blend), Beverage Powder (SuperFood+ Tri-Seed Blend), Blending (Client Profile Products only) (Blending and Mixing), Cacao (60% Cacao Wafers, Sweetened with Coconut Palm Sugar), Cacao (70% Cacao Wafers, Sweetened with Coconut Palm Sugar), Cacao (Wafers, unsweetened), Cacao Butter, Cacao Butter (Wafers, unsweetened), Cacao Nibs, Cacao Nibs (Sweetened Cacao Nibs), Cacao Powder, Chia (Seeds), Cinnamon (Ceylon Cinnamon Powder), Coconut (Coconut Flour), Dietary Supplement (Whole Psyllium Husk), Dried Fruits (Mulberries), Flax Seed (Ground), Flour (Grain Free Flour Blend), Fruit Powder (Acai Powder), Ginger (Ginger Powder), Goji Berries, Goji Berries (Goji Berries), Goldenberries, Hemp Powder (Hemp Protein Powder), Hemp Seed, Herbs (Lavender Flowers), Labeling (Client Profile Products only), Lucuma Powder, Maca Powder, Maca Powder ((For Israel Export Only)), Maca Powder (Gelatinized), Powder (Ashwagandha), Powder (Baobab), Powder (Camu Camu), Powder (Cauliflower Flour), Powder (Chia Seed Powder), Powder (Dandelion Root), Powder (Essential Superfood Blend, Cacao &amp; Greens), Powder (Essential Superfood Blend, Vanilla &amp; Greens), Powder (Ginger), Powder (Goji Berry Powder), Powder (Gunpowder Green), Powder (Maqui), Powder (Maqui Berry), Powder (Matcha), Powder (Moringa), Powder (Pomegranate Powder), Powder (Psyllium Husk), Quinoa (Whole Grain), Repacking (Client Profile Products only) (Repacking Beverage), Repacking (Client Profile Products only) (Repacking Nut and Snack Products), Seeds (Chia), Spices (Everyday Seasoning), Spices (Seaweed Salt), Spices (Seaweed Seasoning), Superfood (Acai Powder), Superfood (Amla Powder), Superfood (Ashwagandha Root Powder), Superfood (Chia Seeds), Superfood (Goji Berries), Superfood (Golden Flax Seeds, Whole), Superfood (Maca Powder), Tea (Black Tea Bags, Decaffinated), Tea (Chai Tea Bags), Tea (Chamomile Tea Bags), Tea (Elderberry Tea Bags), Tea (English Breakfast Tea Bags), Tea (Green Iced Tea Pitcher Bags), Tea (Green Tea Bags), Tea (Green Tea Bags, Decaffinated), Tea (Gunpowder Green Tea Bags), Tea (Hibiscus Iced Tea Pitcher Bags), Tea (Hibiscus Tea Bags), Tea (Nettle Leaf Tea Bags), Tea (Nettle Leaf Tea,  Loose Leaf), Tea (Oolong Tea Bags), Tea (Peppermint Tea Bags), Tea (Pu'erhTea Bags), Tea (Rooibos Tea Bags), Tea (Sencha Green Tea, Loose Leaf), Tea (Spearmint Tea Bags), Tea (Traditional Black Iced Tea Pitcher Bags), Tea (Traditional Black Iced Tea Pitcher Bags, Decaffeinated), Tea (Turmeric Ginger Tea Bags), Tea (White Tea Bags), Turmeric (Turmeric Powder), Wheat Grass Powder</t>
  </si>
  <si>
    <t>Dry/Baking Goods: Flours and Meals (Baking Blend Flour), Flours and Meals (Baking Blend II Flour), Flours and Meals (Clark's Cream Flour), Flours and Meals (Einkorn Flour), Flours and Meals (Field Blend Flour), Flours and Meals (Glenn Wheat Flour), Flours and Meals (Red Fife Flour), Flours and Meals (Spelt Flour), Flours and Meals (White Sonora Flour); Animal Feed: Grain Screenings (Animal Feed Only); Other: Field Blend Wheat</t>
  </si>
  <si>
    <t>Other Grains, Pastas and Cereals: Barley (Barley), Other Other Grains, Pastas and Cereals - Corn, Other Other Grains, Pastas and Cereals - Field Peas, Other Other Grains, Pastas and Cereals - Soybeans, Sorghum (Sorghum), Wheat (Wheat)</t>
  </si>
  <si>
    <t>Other Grains, Pastas and Cereals: Quinoa (Quinua beneficiada =  440.000,00 kg); Nuts/Seeds: Brazil Nut (Nueces del Brasil beneficiada y sellada al vacío. = 320,000.00 kg.)</t>
  </si>
  <si>
    <t>Other: Bulk Food Merchandising of 100% Organic and Organic Products, Distribution of 100% Organic and Organic Products in Original Packaging, Roasting, Grinding, Mixing, Packaging, and Labeling of Beans &amp; Grains, Confections, Dried Fruit, Mixes, Nut Butters, and Nuts</t>
  </si>
  <si>
    <t>Other: Rice (Broken Grain), Rice (Brown (medium grain)), Rice (Brown Sweet Rice), Rice (Short Grain Brown), Rice (Short Grain Sushi), Rice (Short Grain White), Rice (White (medium grain)), Rice (White Sweet Rice), Rice Flour (Brown Rice Flour), Rice Flour (White Rice Flour)</t>
  </si>
  <si>
    <t>Other: Broker (Client Profile Products only) (Rice), Rice (Brewers/Rejects - Brown &amp; White (Milled)), Rice (Broken, Brown &amp; White (Milled)), Rice (Calrojo Red Bran (Aromatic)), Rice (Basmati) (Indian), Rice (Brown) (Brown Rice &amp; Sweet Brown Rice 50/50 Blend), Rice (Calmati-California Basmati or Aromatic) (Brown &amp; White (Milled)), Rice (Calmochi-Sweet or Mochi) (Brown &amp; White (Milled)), Rice (Calrose) (Medium Grain - Brown &amp; White (Milled)), Rice (Jasmine) (Brown &amp; White (Milled)), Rice (Long Grain) (Brown &amp; White (Milled)), Rice (Long Grain) (Indian Brown, White &amp; Lightly Milled), Rice (Parboiled) (Short Grain), Rice (Short Grain) (Brown &amp; White (Milled)), Rice (Short Grain) (Lightly Milled ), Rice (Wild), Rice Blends (Brown &amp; Wild Rice Mix), Rice Flour (Brown &amp; White (Milled))</t>
  </si>
  <si>
    <t>Other: Alfalfa, Alfalfa Milled, Alfalfa Pellets, Barley Grass, Barley Grass Pellets, Broccoli Pellets, Chard, Chard Pellets, Hemp, Hemp Pellets, Kale, Kale Pellets, Oat Grass, Oat Grass Pellets, Spinach, Spinach Pellets, Wheat (Grain), Wheat Grass, Wheat Grass Pellets</t>
  </si>
  <si>
    <t>Other: Bread (Ultra Raisin Bread with Cinnamon Swirl), Cookies (Coconut Bites), Flatbread (Corn Tortillas), Flatbread (Tortillas, Flour (56 oz)), Flatbread (Tortillas, Truly Grain/Multi Grain), Food Bar (Aussie Bites), Food Bar (Blueberry Mini Bars), Food Bar (Oat Bites), Food Bar (Paleo Bars), Food Bar (Paleo Bites), Food Bar (Simply Grain Bites), Food Bar (Sunrise Energy Bar)</t>
  </si>
  <si>
    <t>Processed  Items: Powders (Chocolate Peanut Butter Powder, Peanut Butter Powder, Vegan PBfit Plus Chocolate), Powders (Chocolate Peanut Butter Powder, Peanut Butter Powder, Vegan PBfit Plus Chocolate); Other Grains, Pastas and Cereals: Oats (Overnight, Overnight Peanut Butter, Protein, Quick, Rolled), Quinoa (Quinoa); Oils &amp; Oleoresins: Oils (Liquid Coconut Oil, Extra Virgin Coconut Oil, Virgin Coconut Oil), Oils (Avocado Oil, Coconut Aminos, Coconut MCT Oil, Coconut Oil Naturally Refined, Extra Virgin Coconut Oil, Refined Coconut Oil, Coconut Oil, Virgin Coconut Oil); Nuts/Seeds: Seeds (Super Seeds, Chia Seeds,); Health Products: Powders (Acai Powder, Cacao Powder, Chlorella Powder, Goldenberry Powder, Ground Flaxseed, Maca Powder, Moringa Powder, Mushroom Powder (Chaga, Cordyceps), Spirulina Powder, Turmeric Powder,), Powders (Antioxidant Fruit &amp; Fiber, Cacao Powder, Goji Powder, Plant Protein, Plant Protein Natural Unflavored, Greens Blend, Reds Blend, Superfood Powder, Superfood Blend with Protein International Blend, Superfood Blend with Protein, Superfruit Powder, Based Superfood Protein Meal Vanilla Kiss, Organic &amp; Raw Sprouted Ground Flax Seed, Organic &amp; Raw Triomega Superfood, Vegan Complete Protein); Dry/Baking Goods: Flours and Meals (Coconut Flour, Coconut Gluten-Free Flour), Flours and Meals (Coconut Flour, Oat Flour Blend, Peanut Flour), Sugar (Coconut Palm Sugar, Coconut Sugar,); Condiments and Sweeteners: Honey (Honey), Sweeteners (Monk Fruit Eyrthritol Blend), Syrups (Agave Nectar, Blue Agave), Vinegar (Coconut Sap Vinegar, Coconut Vinegar); Beverage Related Products: Non-Dairy Milk (Oatsome Oat Milk Original, Oatsome Oat Milk Chocolate), Powders (Plant Based Superfood (Vanilla, Chocolate)), Powders (Energy Green Coffee &amp; Maca, Keto Creamer)</t>
  </si>
  <si>
    <t>Processed  Items: Cashew Nuts (CASHEW NUTS), COCONUT AMINOS (COCO AMINOS), Dried Mango (Mango Deshidratado), ASHWAGANDHA ROOT POWDER (ASHWAGANDHA EN POLVO), Syrups (COCONUT SYRUP / JARABE DE COCO ORGANICO, DATE SYRUP / JARABE DE DATIL, TAPIOCA SYRUP (JARABE DE TAPIOCA)); Other Grains, Pastas and Cereals: Quinoa (Black Quinoa (Quinua Negra), Quinoa Crisp (Quinua Crispy), Quinua Tricolor (Quinua Tricolor), Red Quinoa (Quinua Roja), White Quinoa (Quinua Blanca)); Nuts/Seeds: Brazil Nut (Brazil nuts), Seeds (Chia Seeds (Semillas De Chia)); Fruits/Vegetables: Powders (BLUE AGAVE POWDER / POLVO DE AGAVE AZUL); Dry/Baking Goods: Flours and Meals (BLUE AGAVE INULIN POWDER / INULINA DE AGAVE AZUL EN POLVO, PREMIUM &amp; STANDARD AGAVE FRUCTANS / INULINA DE AGAVE AZUL EN POLVO); Condiments and Sweeteners: Honey (HONEY / MIEL, HONEY POWDER / MIEL EN POLVO), Sweeteners (BLUE AGAVE SYRUP / JARABE DE AGAVE AZUL, RAW BLUE AGAVE SYRUP / JARABE RAW DE AGAVE AZUL); Chocolate Goods: RAW CACAO NIBS (TROZOS DE CACAO); Other: Beans (Ground Chia (Chia Molida))</t>
  </si>
  <si>
    <t>Other Grains, Pastas and Cereals: Rice (Basmati paddy), Rice (Basmati paddy (hbc 19)), Rice (Basmati paddy (pb1)), Rice (Basmati paddy (pusa 1121)), Rice (Basmati paddy (type 3)), Rice (Basmati rice - brown), Rice (Basmati rice - white), Rice (Basmati rice - white (pusa 1121)), Rice (Basmati rice - white (type 3)), Rice (Non-basmati rice), Rice (Organic white traditional basmati rice), Rice (Paddy sona masuri), Rice (Paddy traditional basmati), Rice (Parboiled basmati rice), Rice (Sona masuri rice)</t>
  </si>
  <si>
    <t>Other: Packing:
Raw Cotton
Soyabean
Maize grain, Storage:
Raw Cotton
Soyabean
Maize grain</t>
  </si>
  <si>
    <t>Other: Mini Pretzel, Mini Pretzel, Mini Pretzel (Mini Pretzels), Mini Pretzel (Mini Twist), Mini Pretzel (Oat Bran Pretzels), Mini Pretzel (Pretzel Minis), Mini Pretzel (Spelt Pretzels), Mini Pretzel (Twist), Mini Pretzel (Twists), Mini Pretzel (Unsalted Mini Pretzels), Mini Pretzel (Unsalted Oat Bran Pretzels), Mini Pretzel (Unsalted Spelt Pretzels), Salted Pretzel Sticks, Salted Pretzel Sticks, Salted Pretzel Sticks (Honey Wheat Sticks), Spelt Pretzel, Spelt Pretzel (Ancient Grain Pretzel), Spelt Pretzel (Ancient Grain Pretzels), Spelt Pretzel (Spelt Pretzels), Spelt Pretzel (Unsalted Spelt Pretzels), Thin Pretzel Stick, Thin Pretzel Stick (Thin Stick Pretzels), Various, Various (Mini Pretzel), Various (Mini Pretzel (Unsalted)), Various (No Salt Sourdough Hard Pretzels), Various (Oat Bran ), Various (Oat Bran Pretzels), Various (Oat Bran Stick), Various (Oat Bran Sticks), Various (Oat Bran Stix), Various (Party Sticks), Various (Pretzel Sticks), Various (Rods), Various (Sourdough Hard), Various (Spelt Pretzels), Various (Unsalted Oat Bran Pretzels), Various (Unsalted Spelt Pretzels), Wheat Pretzel (Honey Wheat Sticks), Wheat Pretzel (Honey Wheat Stix)</t>
  </si>
  <si>
    <t>Other: Cleaning and Dehulling Organic Grains, Hard Red Spring Wheat, Glenn, Hard Red Spring Wheat, Lang, Hard Red Winter Wheat, Viking, Purchasing and Storing Organic Grains, Rye, Rymin, Soft Red Winter Wheat, Soft White Winter Wheat</t>
  </si>
  <si>
    <t>Other: Beans (Black Beans), Beans (Black Soybean with Green Kernel), Beans (Mung Beans), Beans (Pinto Beans), Beans (Red Beans), Beans (Red Kidney Beans), Beans (Soy Beans), Beans (White Kidney Beans), Chestnuts (Roasted), Chestnuts (Roasted (Shelled)), Dietary Supplement (Astragalus Root (Slice)), Dietary Supplement (Bitter Melon (Slice)), Dietary Supplement (Black Fungus), Dietary Supplement (Cassia Seed), Dietary Supplement (Chrysanthemum Flower), Dietary Supplement (Codonopsis), Dietary Supplement (Coix Seed), Dietary Supplement (Dong Quai Root (Slice)), Dietary Supplement (Gorgon Fruit), Dietary Supplement (Gynostemma), Dietary Supplement (Honeysuckle Flower), Dietary Supplement (Jasmine Flower), Dietary Supplement (Kudzu Root), Dietary Supplement (Licorice (Slice)), Dietary Supplement (Lily), Dietary Supplement (Lotus Seed), Dietary Supplement (Mulberry Fruit), Dietary Supplement (Ophiopogon Root), Dietary Supplement (Peppermint), Dietary Supplement (Poria), Dietary Supplement (Rose), Dietary Supplement (Schizandra berry), Dietary Supplement (Shiitake Mushroom), Dietary Supplement (Wild Yam Root (Slice)), Grains (Black Rice), Grains (Black Sesame Seed (Raw)), Grains (Corn Flour), Grains (Extraordinary Black Rice), Grains (Glutinous Millet), Grains (Hulled Buckwheat), Grains (Instant Millet Flakes), Grains (Instant White Sorghum Flakes), Grains (Millet), Grains (Oats), Grains (Pearl Barley), Grains (Puffed Red Sorghum), Grains (Puffed White Sorghum), Grains (Rolled Oats), Grains (Sorghum), Grains (Soy Bean Flour), Grains (White Sesame (Raw)), Hawthorn (Coolberry - Freeze Dried Pitted &amp; Sliced Hawthorn Berry), Hawthorn (Dried Pitted Hawthorn Berry), Hawthorn (Freeze Dried Pitted Hawthorn Berry), Hawthorn (Hawthorn Berry Snack Chips), Hawthorn (Hawthorn Berry Snack Sticks), Oils (Flaxseed Oil), Oils (Safflower Oil), Oils (Sunflower Seed Oil), Pasta (Bean Thread Vermicelli), Pasta (Black Rice Ramen), Pasta (Brown Rice Ramen), Pasta (Buckwheat Angel Hair Pasta), Pasta (Buckwheat Capellini), Pasta (Buckwheat Linguine), Pasta (Buckwheat Macaroni), Pasta (Buckwheat Penne), Pasta (Buckwheat Ramen), Pasta (Buckwheat Rotini), Pasta (Buckwheat Shell), Pasta (FENSI Vermicelli), Pasta (Instant Buckwheat Ramen), Pasta (Instant Millet &amp; Brown Rice Ramen), Pasta (Instant Pho), Pasta (Konjac Capellini), Pasta (Konjac Oat Fettuccine), Pasta (Millet and Brown Rice Angel Hair Pasta), Pasta (Millet and Brown Rice Ramen), Pasta (Millet Macaroni), Pasta (Millet Pasta Capellini), Pasta (Millet Pasta Linguine), Pasta (Millet Penne), Pasta (Millet Ramen), Pasta (Millet Rotelle), Pasta (Millet Rotini), Pasta (Millet Shell), Pasta (Pea and Buckwheat Spaghetti), Pasta (Pea and Millet Spagetti), Pasta (Purple Sweet Potato and Buckwheat Ramen), Pasta (Purple Sweet Potato and Buckwheat Spaghetti), Pasta (Purple Sweet Potato and Millet Ramen), Pasta (Purple Sweet Potato and Millet Spaghetti), Pasta (Sorghum Capellini), Pasta (Sorghum Linguine), Pasta (Sorghum Macaroni), Pasta (Sorghum Penne), Pasta (Sorghum Ramen), Pasta (Sorghum Rotini), Pasta (Sweet Potato and Buckwheat Angel Hair), Pasta (Sweet Potato and Millet Angel Hair), Pasta (Sweet Potato and Purple Sweet Potato Vermicelli), Pasta (Traditional Ramen), Soy Products (Dried Soybean Curd Sticks (Center Cut)), Sweet Potatoes (Sweet Potato Sticks)</t>
  </si>
  <si>
    <t>Other: 22 Grain &amp; Seeds Bread, Bread, 100% Whole Grain, Bread, 22 Grain &amp; Seeds, Bread, Ancient Grain, Bread, Country White, Bread, Quinoa Multigrain Bread, Bread, Rustic White, Bread, Thin Sliced 100% Whole Wheat, Bread, Thin Sliced 22 Grain &amp; Seeds, Bread, Thin Sliced Rustic White, Bread, Thin Sliced Sweet Baby Grains</t>
  </si>
  <si>
    <t>Other: 22 Grains &amp; Seed Bread, 22 Grains &amp; Seed Bread, Thin Sliced 22 Grains &amp; Seeds Bread, Thin Sliced 22 Grains &amp; Seeds Bread</t>
  </si>
  <si>
    <t>Other: 22 Grains &amp; Seeds Bread, 22 Grains &amp; Seeds Bread Thin Sliced</t>
  </si>
  <si>
    <t>Other: 22 Grain and Seed, 22 Grain and Seed Thin Sliced</t>
  </si>
  <si>
    <t>Other: Bread, 22 Grains and Seeds 27oz, Bread, Thin Sliced 22 Grains and Seeds 20oz</t>
  </si>
  <si>
    <t>Seasonings: Coriander, Cumin, Cumin dehydrated, Cumin Powder, Cumin seed, Red Chilli; Processed  Items: Almond flour white, Almond Oil, Apricot kernel oil, Apricots dried, Mulberries dried, Mushroom dried, plums dried, pomegranate dried, Sea buckthorn pulp, Walnut Oil; Other Grains, Pastas and Cereals: Rice (Rice Basmati), Rice (Rice basmati brown), Rice (Rice basmati super white); Nuts/Seeds: Almond kernels, Almonds (Almonds), Pine Nut kernels, Walnut Kernels, Walnuts (Walnuts); Health Products: Mint; Fruits/Vegetables: Apples, Apricot Kernels, Apricots, Cherries, Figs, Figs, Glycyrrhiza glabra (Licorice), Grapes black, Grapes green, Maize (Corn), Mulberry, Mulberry leaves, Mushrooms, Plums, Pomegranate, Russian wild olive (leaves), Russian wild olives (berries), Sea buckthorn; Condiments and Sweeteners: Sugar Brown; Other: Alfalfa, Anchusa tinctoria (Alkanut) roots, Carum bulbocastanum, Doiscorea deltoidea, Epehdra procera, Ferula foetida, Hyssopus officinalis, Juniperus communis, Liquorice, Podophyllum Bistorta, Pomegranate flower, Ptychotis ajowan, Sea buckthorn leaves, Sisymbrium irio, Valerian</t>
  </si>
  <si>
    <t>Processed  Items: Banana dehydrated, Hemp Protein powder, Kiwi (Actinidia chinensis) - dried, Maca dried, Pea Protein, Peas, Protein, Pumpkin kernel Protein powder, Pumpkin Protein powder, Rice Bran Oil, Rice Protein, Sunflower Protein, Sunflower Protein Powder, Cereal (Black quinoa flakes, Buckwheat groats, Corn Chop (Corn Ballast), Dehydrated precooked black quinoa, Dehydrated precooked red quinoa, Dehydrated precooked tricolor quinoa, Dehydrated precooked white quinoa, Hommali rice bran, Puffed Corn, Puffed Soybean, Pumpkin seed Shineskin Kernel, Quinoa Flakes, Red quinoa flakes, Red quinoa pop, Rice bran, Rice bran meal, White quinoa flakes, White quinoa pop), Dehydrated Foods (Alfalfa, Goji Berry, Dried, Goji Berry, Powder, Goji powder, Pineapple dehydrated), Powders (Chlorella powder, Spirulina powder), Purees (Sea Buckthorn Puree); Preservatives/Extracts/Flavors: Extracts (Chaga mushroom powder extract, Ginger extract, Monk fruit extract (Monk fruit sweetener), Pomegranate seed extract, Reishi (Ganoderma lucidum)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 dried,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(Hemp Cake (Hemp meal), Perilla Seed, Watermelon seed, Watermelon Seed Kernels); Fruits/Vegetables: Berries (Goji berries, Mulberry Leaf, Sea Buckthorn), Chinese date (Fructus Jujube), Potato, Sweet potato (Iponomea batata), Dehydrated Foods (Dried Banana), Powders (Barley Grass Powder, Beet root powder, Black Maca Powder, Black Quinoa Powder, Camu Camu powder, Carob powder, Chia powder, Fennel seed powder/Extract powder, Ginger Powder, Goji Berry Juice, Lucuma powder, Maca powder, Pomegranate powder, Quinua Powder, Red Quinoa Powder, Reishi (Ganoderma lucidum) powder, Sea Buckthorn Juice powder, Sunflower Lecithin Powder, Tea powder, Tumeric powder, White Quinoa powder, Yacon powder); Dry/Baking Goods: Flours and Meals (Amaranth flour (Amaranth powder),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Cocoa powder mixed with cane sugar / Drinking chocolate), Chocolate (Dried Banano Covered with Organic Chocolate 55% Cocoa Sweetened with Agave Powder); Beverage Related Products: Coffee (Roasted Coffee),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White Kidney Bean), Chick pea, Chlorella tablets, Cowpea, Lentils, Pea, Seeds (Black chia, Quinoa Tricolor Powder, Sesame, Sesame Cake, Sesame Meal, White chia)</t>
  </si>
  <si>
    <t>Other Grains, Pastas and Cereals: Pasta  andina coliflor  =  20.000,00 kg, Pasta amaranto =  100.000,00 kg, Pasta amaranto quinua =  80.000,00 kg, Pasta andina  =  200.000,00 kg, Pasta andina con amaranto =  50.000,00  kg, Pasta andina con cúrcuma =  300.000,00 kg, Pasta andina vege =  90.000,00 kg, Pasta kristal =  30.000,00 kg, Pasta kristal vege =  30.000,00 kg, Pasta lenteja andina =   50.000,00 kg, Pasta lenteja andina con remolacha =  30.000,00 kg, Pasta lenteja quinua  =  25.000,00 kg, Pasta mungo arroz y quinua =  20.000,00 kg, Pasta sorgo =  30.000,00 kg, Pasta sorgo quinua =  10.000,00 kg, Pasta super grain =  10.000,00 kg, Pasta trigrano =  100.000,00 kg, Pasta trigrano tricolor =  100.000,00 kg</t>
  </si>
  <si>
    <t>Preservatives/Extracts/Flavors: Concentrates (Apple Compote, Apple Juice, Apple Juice Concentrate,Apricot Juıce,Black Mullbery Juice, Blueberry Juice,Cherry Compote,Concentrate Apple, Concentrate Sour Cherry, Mulberry Juice,Orange Juice, Peach Juice, Plum Composte,Pomegranate Juice, Pomegranate Juice Concentrate,Red Mix Juice,Sour Cherry Juice), Concentrates (Pomegranate Peel); Oils &amp; Oleoresins: Oils (Sage Oil,Thyme Oil), Oils (Oregano Oil,Rosemary Oil, Sage Oil,Savory,Sunflower Oil,Thyme Oil,Vitex Agnus Castus Oil And Water); Dry/Baking Goods: Flours and Meals (Hazelnut Flour,Oat Meal, Soybean Meal), Flours and Meals (Chickpeas Flour,Rice Flour, Corn Flour); Other: Almond,Anise, Apricot Kernel,Barley Meal,Barley,Black Cumin Seed,Blackberry,Brown Lentıl,Bulgur,Carob Powder,Carob Seed,Carob, Celery ,Chaste Tree,Cherry Seed,Cherry Tomato, Cistus,Corıander,Corn Cin, Cornel Cherry, Cranberry, Cumin Seed,Diced Dried Fig, Diced Dried Plum, Diced Prune, Dried Apple, Dried Banana,Dried Bean,Dried Blackberry, Dried Blueberries, Dried Cherries,Dried Fig,  Dried Mandarin, Dried Orange,Dried Peach, Dried Pear,  Dried Pomegranate, Dried Quince,Dried Raspberry,Dried Tomatoes,Feed Peas,Fennel Seed,Fennel,Flaxseed,Green Lentil,Iqf Aprıcot,Iqf Sour Cherry,Iqf Tomato, Lemon, Lentil, Mullberry, Onion,Orange,Pomegranate Seed,Poppyseed, Prune,Prune Paste,Raspberry, Red Lentil, ,Sesame Seed,Spinach,Sultana Raisin,Sumac,Thompson Raisin,Yellow Lentil,Zucchini, Almond,Anise,Apple Vinegar,Apple,Apricot Kernel,Apricot Kernel(without shell), Apricot, Aspir,Barley Meal,Barley,Bay,Bean,Black Cumin,Blanched Broken Hazelnut Kernel,Blanched Hazelnut,Broad Bean,Broken Hazelnut Kernel,Brown Lentıl,Bulgur,Cabbage,Carrot,Cherry Seed,Cherry,Chestnut,Chickpea,Chopped Hazelnut,Clover,Corn Cin, Corn, Cucumber, Diced Dried Apple, Diced Dried Apricot, Diced Dried Fig, Diced Dried Plum, Dried Plum, Dried Plum Paste,Diced Dried Tomatoe, Diced Plum, Dried Apricot,Dried Apricot Paste, Dried Bean, Dried Fig, Dried Fruit Seed, Dried Herbs, Dried Mullberry,Dried Plum, Dried Plum Paste, Dried Sour Cherry Paste, Dried Sour Cherry,Dried Spices,Dried Tomatoes,Fig,Flax,Garlic,Grape,Grape Leaf,Grape Seed,Grape Vinegar,Green Bean,Green Lentil,,Hazelnut Paste,Hazelnut Puree, Iqf Apple Diced Sliced, Iqf Apple,Iqf Aprıcot, Iqf Beans, Iqf Broccolı, Iqf Cherry(pitted,half), Iqf Cherry, Iqf Chıckpeas,Iqf Corn,Iqf Lentıls, Iqf Orange, Iqf Plum, Iqf Pomegaranate,Iqf Sour Cherry, Iqf Spinach, Iqf Strawberry, Iqf Sweetcherries,Linen,Macar Vetch, Mandarin,Meadow Grass,Medlar, Melon, Oat Meal, Oat, Olive, Onion,Orange,Patatoes, Pea,Peach, Pear, Pepper,Pistachio,Plum, Pomegranate, Poppy(capsule,grain), Blue,Poppy, Potatoe, Prune,Prune Paste,Pumpkin,Raisin, Red Lentil, Root Drıed, Rosehip,Rosemary, Rye,Safflower,Sage Leaves,Sesame,Sillage Corn,Sour Cherry,Sourcherry Seed,Soy,Soybean,Strawberry,Sugar Beet,,Sunflower Seed,Thyme,Tomatoes,Triticale,Turnip,Vetch, Walnut,Watermelon,Wheat</t>
  </si>
  <si>
    <t>Other: Agave Products, Agave Products, Agave Syrup, Agave Syrup, Baby Food, Beetroot Dried, Beetroot Juice Concentrate, Blueberries, Brown Rice Flour, Cane Sugar, Coconut Syrup, Dehydrated Products, Erythritol, Fructose Syrup, Ginseng, Powder, Health Food, Hibiscus flowers, Honey, Maltodextrin, Oligofructose (Fructooligosaccharid), Potato Starch, Rice, Rice Drinks, Rice Flour, Rice Full Grain Cereals, Rice Protein, Roselle ( Hibiscus Sabdariffa ), Schnaps, Spirituous Liquor, Starch, Stevia, Sugar, Syrup, Tapioca, Tapioca, Syrup, Tequila, Wheat, Wheat Flour</t>
  </si>
  <si>
    <t>Other: Livestock Feed - Alfalfa (Alfalfa Cube), Livestock Pellets - Alfalfa, Livestock Pellets - Alfalfa (Alfalfa/Grass Pellet Mix), Misc Pet food (All In One Seed Mix), Misc Pet food (Napoleon's Seed Mix), Misc Pet food (Parrot Food (pellets for all size hookbills, small hookbills, and mini hookbills)), Misc Pet food (Pellets for Parrots), Mixed Feed Grains (Bulk Grain Mix Pellet)</t>
  </si>
  <si>
    <t>Other Grains, Pastas and Cereals: Cereal (Kiwicha / Granos de kiwicha / Kiwicha grains), Quinoa (Quinua blanca / Granos de quinua blanca / White quinoa / White quinoa grains, Quinua negra / Granos de quinua negra / Black quinoa / Black quinoa grains, Quinua roja / Granos de quinua roja / Red quinoa / Red quinoa grains, Quinua tricolor / Granos de quinua tricolor / Tricolor quinoa / Tricolor quinoa grains); Chocolate Goods: Baking Chips and Bars (Organic roasted cocoa bean covered with organic dark chocolate 70% cocoa / Grano de cacao tostado ecológico cubierto de chocolate negro ecológico 70% cacao / Organic roasted cacao bean covered with organic dark chocolate 70% cacao), Cacao en polvo alcalinizado marron oscuro orgánico 10-12% / Organic drak brown alkalized cocoa powder 10-12%/ Organic dark brown alkalized cacao powder 10-12%, Cacao en polvo alcalinizado negro orgánico 10-12% / Organic black alkalized cocoa powder 10-12%/ Organic black alkalized cacao powder 10-12%, Cacao en polvo alcalinizado orgánico 10-12% / Organic alkalized cocoa powder 10-12%/ Organic alkalized cacao powder 10-12%, Cacao en polvo alcalinizado orgánico 20-22% / Organic alkalized cocoa powder 20-22%/ Organic alkalized cacao powder 20-22%, Torta de cacao alcalinizado orgánico 10-12% / Organic alkalized cocoa cake 10-12% / Organic alkalized cacao cake 10-12%, Torta de cacao alcalinizado orgánico 20-22% / Organic alkalized cocoa cake 20-22% / Organic alkalized cacao cake 20-22%, Torta de cacao natural orgánico 10-12% / Organic natural cocoa cake 10-12%/ Organic natural cacao cake 10-12%, Torta de cacao natural orgánico 20-22% / Organic natural cocoa cake 20-22%/ Organic natural cacao cake 20-22%, Cacao en polvo natural orgánico 10-12% / Organic natural cocoa powder 10-12%/ Organic natural cacao powder 10-12%, Cacao en polvo natural orgánico 20-22% / Organic natural cocoa powder 20-22%/ Organic natural cacao powder 20-22%, Cacao en polvo orgánico 10-12% / Organic cocoa powder 10-12%/ Organic cacao powder 10-12%, Cáscara de cacao orgánico / Organic cocoa shell / Organic cacao shell, Chunks de cacao / Organic cocoa liquor chunks / Organic cacao liquor chunks, Grano de cacao orgánico / Organic cocoa bean / Organic cacao bean, Manteca de cacao orgánica / Organic cocoa butter / Organic cacao butter, Nibs de cacao crudo orgánico / Organic raw cocoa nibs / Organic raw cacao nibs, Nibs de cacao tostado orgánico / Organic roasted cocoa nibs / Organic roasted cacao nibs; Other: Seeds (Chía blanca / Semillas de chia blanca / White chia / White chia seeds, Chía negra / Semillas de chía negra / Black chía / Black chía seeds)</t>
  </si>
  <si>
    <t>Processed  Items: Lavender water (Lavandula angustifolia), Rose water; Other Grains, Pastas and Cereals: Oats (Oat), Wheat (Wheat); Oils &amp; Oleoresins: Essential Oils (Juniper needle oil, Lavender oil, Rose oil); Nuts/Seeds: Walnuts (Walnuts); Fruits/Vegetables: Rose hip-fruits; Animal Feed: Livestock Feed (Hay); Other: Peas - dried (Pisum sativum)</t>
  </si>
  <si>
    <t>Processed  Items: blended products (Sprouted Multi Grain Flour,
Sprouted Flour Mix*, Sprouted Seeds*), plant-based burger patty mix (Southwestern Chili Flavor,
Sweet &amp; Sour Flavor,
Thyme Flavor,); Dry/Baking Goods: Organic Sprouted Cereals, organic sprouted flours, and organic sprouted powders: Sprouted Barley Flour, Fermented Barley powder, Sprouted amaranth powder, sprouted broccoli powder, sprouted buckwheat powder, sprouted kamut powder, sprouted lentil powder, sprouted mung bean powder, sprouted pumpkin seed powder, sprouted quinoa powder, sprouted brown rice powder, sprouted spelt powder, sprouted wheat powder, sprouted pea powder, sprouted alfalfa powder, sprouted barley powder, sprouted brown flax powder, sprouted garbanzo bean powder, sprouted golden flax powder, sprouted oat powder, sprouted oat powder, sprouted rye powder, sprouted triticale powder, sprouted soybean powder, sprouted chia power, sprouted chia powder, sprouted sunflower seed powder.; Bread/Bakery/Snacks: Flours and Meals (Select Sprouted Flour Mix Products); Baby Food: Retail Single Ingredient Products Sprouted barley flour, sprouted flax flour, sprouted quinoa baby cereal, sprouted brown rice baby cereal, sprouted wheat baby cereal, Quinoa lentils and peach baby cereal, buckwheat kale and black currant baby cereal, buckwheat brown rice sweet potato and goji berry baby cereal, buckwheat beet and apple baby cereal, sprouted buckwheat baby cereal, sprouted oat baby cereal, sprouted brown rice flour, sprouted wheat flour, brown rice lentils and carrots baby cereal, oat wheat pea kale and raspberry baby cereal, oat spinach blueberry baby cereal</t>
  </si>
  <si>
    <t>Processed  Items: Dehydrated Foods (Roasted buckwheat kernels); Preservatives/Extracts/Flavors: Extracts (Textured soybean protein), Herbs (Flax seed), Herbs (Perilla seed); Other Grains, Pastas and Cereals: Barley (Job's tear kernel (also called: coix seed kernel; pearl barley)), Buckwheat, Buckwheat kernel (hulled buckwheat, buckwheat groats), Hulled broomcorn millet (also called: hulled sticky millet), Hulled millet, Maize/corn, Millet, Oats, Oats (Oat kernel), Rice (Black rice), Rice (Steamed black rice), Rice (Steamed brown rice), Sorghum, Sorghum (Sorghum kernel (sorghum kernel rice)); Nuts/Seeds: Sesame (black/white sesame), Sunflower kernel (also called: sunflower seed kernel), Sunflower seed; Fruits/Vegetables: Beans (Green soybean), Beans (Lentil), Beans (Light speckled kidney beans (cranberry bean/pinto bean/light red speckled bean)), Beans (Mung bean), Beans (Purple speckled kidney beans (purple flower kidney bean)), Beans (Red kidney beans (british red/dark red kidney beans), Beans (Soybean), Beans (White kidney beans (navy bean, medium white kidney beans)), Beans (Hulled split mung bean (mung bean without skin)), Beans (Adzuki bean), Beans (Black kidney beans (black beans, black turtle beans)), Beans (Black soybean), Beans (Black soybeans with green kernel), Vegetables (Chick peas), Vegetables (Cowpea); Dry/Baking Goods: Flours and Meals (Buckwheat flour (buckwheat power)); Other: Hemp seed, Hulled hempseed (hemp seed kernel)</t>
  </si>
  <si>
    <t>Other: Ajwain, Ajowan, Trachyspermum ammi, Ajwain, Ajowan, Trachyspermum ammi, Amla, Amla, Phyllanthus emblica, Amla, Amla, Phyllanthus emblica, Ardushi, Ardushi, Justicia adhatoda, Ardushi, Ardushi, Justicia adhatoda, Arrow root, Arrow root, Maranta arundinacea, Arrow root, Arrow root, Maranta arundinacea, Ashwagandha, Ashwagandha, Withania somnifera, Ashwagandha, Ashwagandha, Withania somnifera., Bacopa, Bacopa, Bacopa monnieri, Bacopa, Bacopa, Bacopa monnieri, Banana, Banane, Musa acuminata, Banana, Banane, Musa acuminata, Bird eye chili, Piment langue d'oiseau, Capsicum frutescens, Bird eye chili, Piment langue d'oiseau, Capsicum frutescens., Black pepper, Poivre noir, Piper nigrum, Black pepper, Poivre noir, Piper nigrum., Brown mustard, Moutarde brune, Brassica juncea, Brown mustard, Moutarde brune, Brassica juncea, Cardamom, Cardamome, Elettaria cardamomum, Cardamom, Cardamome, Elettaria cardamomum., Centella asiatica, Centella asiatica, Centella asiatica, Centella asiatica, Centella asiatica, Centella asiatica, Chia seeds, Chai graines, Salvia hispanica, Chili, Piment, Capsicum annuum, Chili, Piment, Capsicum annuum., Cinnamon, Cannelle, Cinnamomum zeylanicum, Cinnamon, Cannelle, Cinnamomum zeylanicum., Clove, Girofle, Syzygium aromaticum, Clove, Girofle, Syzygium aromaticum., Cocoa powder, Cacao poudre, Theobroma cacao, Cocoa powder, Cacao poudre, Theobroma cacao, Cumin, Cumin, Cuminum cyminum, Cumin, Cumin, Cuminum cyminum, Curry leaves, Curry feuilles, Murraya koenigii, Curry leaves, Curry feuilles, Murraya koenigii, Dragon fruit, Fruit du dragon, Selenicereus undatus, Dragon fruit, Fruit du dragon, Selenicereus undatus, Fennel, Fenouil, Foeniculum vulgare, Fennel, Fenouil, Foeniculum vulgare, Fenugreek, Fenugrec, Trigonella foenum-graecum, Fenugreek, Fenugrec, Trigonella foenum-graecum, Giloy, Giloy, Tinospora cordifolia, Giloy, Giloy, Tinospora cordifolia, Ginger, Gingembre, Zingiber officinale, Ginger, Gingembre, Zingiber officinale., Hibiscus, Hibiscus, Hibiscus sabdariffa, Hibiscus, Hibiscus, Hibiscus sabdariffa., Lemongrass, Citronnelle, Cymbopogon citratus, Lemongrass, Citronnelle, Cymbopogon citratus., Long pepper, Poivre long, Piper longum, Long pepper, Poivre long, Piper longum, Mango, Mangue, Mangifera indica, Mango, Mangue, Mangifera indica., Moringa, Moringa, Moringa oleifera, Moringa, Moringa, Moringa oleifera., Neem leaves, Neem feuilles, Azadirachta indica, Neem leaves, Neem feuilles, Azadirachta indica, Nutmeg, Muscade, Myristica fragrans, Nutmeg, Muscade, Myristica fragrans, Papaya, Papaye, Carica papaya, Papaya, Papaye, Carica papaya, Pineapple, Ananas, Ananas comosus, Pineapple, Ananas, Ananas comosus., Psyllium, Psyllium, Plantago ovata, Psyllium, Psyllium, Plantago ovata, Sesame, Sésame, Sesamum indicum, Sesame, Sésame, Sesamum indicum., Shatavari, Shatavari, Asparagus racemosus, Shatavari, Shatavari, Asparagus racemosus, Tulsi, Tulsi, Tulsi, Tulsi, Turmeric, Curcuma, Curcuma longa, Turmeric, Curcuma, Curcuma longa., Vanilla, Vanille, Vanilla planifolia, Vanilla, Vanille, Vanilla planifolia., Yellow mustard, Moutarde jaune, Sinapis alba, Yellow mustard, Moutarde jaune, Sinapis alba</t>
  </si>
  <si>
    <t>Preservatives/Extracts/Flavors: Concentrates (Dark Sweet Cherry Juice (Nfc), Frozen Apple Puree,Frozen Apricot Puree,Frozen Fig Puree,Frozen Peach Puree,Frozen Pear Puree,Frozen Plum Puree,Frozen Pomegranate Puree,Frozen Sour Cherries Puree,Frozen Strawberry Puree,Frozen Sweet Cherries Puree,Natural Apple Aroma,Natural Aprıcot Aroma,Natural Black Carrot Aroma,Natural Dark Sweet Cherry Aroma, Natural Pomegranate Aroma,Natural Red Grape Aroma,Natural Sour Cherry Aroma,Natural Strawberry Aroma,Natural White Grape Aroma, Onion, Strawberry Puree (Ss), Strawberry Puree Concentrate,Iqf Frozen Orange Puree), Concentrates (Apple Juice Concentrate, Pomegranate Juıce Concentrate); Other Grains, Pastas and Cereals: Barley, Barley, Oats, Wheat, Wheat; Nuts/Seeds: Pistachios; Other: Apricot Kernel Without Shell, Apricot Kernel, Apricot,  Cherry, Chickpea, Clover, Dried Apricot, Dried Fig, Dried Mulberry, Dried Tomatoes, Eggplant, Grape, Green Lentils, Iqf Frozen Apple, Iqf Frozen Apricot,  Iqf Frozen Chickpeas, Iqf Frozen Corn, Iqf Frozen Lentils ,Iqf Frozen Orange, Iqf Frozen Plum, Iqf Frozen Pomegranates, Iqf Frozen Sour Cherries, Iqf Frozen Strawberry, Iqf Frozen Sweet Cherries, Iqf Frozen Tomatoes, Pepper, Plum, Poppy Seed, Raisin, Sunflowers, Iqf Onion, Plum kernel, Grape kernel, Sour cherry kernel, Iqf Grape, Iqf Pepper Capia, Iqf Green Fig, Iqf Black Fig, Chickpea, Green Lentils, Iqf Frozen Beans, Iqf Frozen Broccoli, Poppy Seed</t>
  </si>
  <si>
    <t>Other Grains, Pastas and Cereals: Buckwheat, Corn germ*, Millet, Oats (Oats*), Rice (Polished rice long grain), Rice (Polished rice short grain), Rice (Red rice), Rice (Arboral rice), Rice (Black rice), Rice (Brown rice long grain), Rice (Brown rice short grain), Rye, Sesame, Sorghum, Wheat (Wheat*); Oils &amp; Oleoresins: Oils (Crude soybean oil*); Nuts/Seeds: Nuts (Brown linseed); Fruits/Vegetables: Beans (Adzuki beans*), Beans (Black beans*), Beans (Black eyed peas*), Beans (Carioca beans*), Beans (Lentil), Beans (Lupini beans*), Beans (Red beans*), Beans (Soybeans*), Chickpea, Peeled and split soybeans*, Vegetables (Corn*), Vegetables (Corn kernels*); Dry/Baking Goods: Cassava starch (also know as: Tapioca Starch; Tapioca Starch Native)*, Flours and Meals (Common wheat flour*), Flours and Meals (Special wheat flour*), Flours and Meals (Tapioca*), Flours and Meals (Whole Cornflour*), Flours and Meals (Whole rice flour.), Flours and Meals (Black beans flour*), Flours and Meals (Carioca beans flour*), Flours and Meals (Cassava flour all purpose (also known as: cassava flour ap60)*), Flours and Meals (Cornflour (also known as: fuba; italian fuba)*), Flours and Meals (Extrafine cassava flour (also known as: cassava flour extrafine; cassava flour ef50)*), Flours and Meals (Flocked cassava flour*), Flours and Meals (Medium cassava flour*), Flours and Meals (Rice flour), Flours and Meals (Rye flour), Flours and Meals (Sour cassava starch*), Flours and Meals (Soybeans flour*), Flours and Meals (Toasted cassava flour (also known as: cassava four toasted; cassava flour t20)*), Flours and Meals (Whole rye flour), Flours and Meals (Flaked corn flour (also called: biju corn flour)), Sugar (Demerara Sugar), Sugar (Brown sugar), Traditional Sour Cassava Starch*; Bread/Bakery/Snacks: Popcorn (Popcorn*); Beverage Related Products: Mixed Drinks (Molasses smoothie); Animal Feed: Livestock Feed (Rye bran), Livestock Feed (Soybean meal*), Livestock Feed (Wheat bran*); Other: Sunflower</t>
  </si>
  <si>
    <t>Other Grains, Pastas and Cereals: Barley, Corn, Millet, Wheat; Oils &amp; Oleoresins: Oils (High-Oleic Sunflower oil unrefined), Oils (High-Oleic Sunflower oil refined); Animal Feed: Sunflower cake, Sunflower cake crushed; Other: Peas, Potato, Rapeseed, Soybean, Sunflower</t>
  </si>
  <si>
    <t>Other: Selected Chia Grains, Selected Hemp Grains ( Heart), Selected Linen Grains, Selected Sesame Grains</t>
  </si>
  <si>
    <t>Processed  Items: Barley Grass (extract, powder); Beet Root (extract, powder); Cinnamon (extract, powder); Elderberry (extract, powder); Erythritol &amp; Monk Fruit Extract Blends; Fennel (extract, powder); Fenugreek Extract; Milk Thistle (extract, powder); Pomegranate (extract, powder); Raspberry (extract, powder); Rosemary Extract; Soybean Lecithin (powder); Strawberry (extract, powder); Sunflower Lecithin (powder); Apple Cider Vinegar/Powder; Blueberry (extract, powder); Enzymatic Rice Powder/Rice Milk Powder; Erythritol; Goji berries (powder, juice); Hydrolyzed Rice Protein; Pea Protein (dry); Pea Protein Peptide; Pumpkin Seed Protein; Resistant Dextrin; Spirulina Extract (Phycocyanin) with Maltodextrin added; Sunflower Seed Protein; AD Apple (diced, slice, strip, powder); Erythritol &amp; Stevia Extract &amp; Monk fruit Extract Blends; Erythritol &amp; Stevia Extract Blends; Pumpkin Seed/Pumpkin (powder, juice powder, extract); Aloe Vera (powder, gel powder); Broccoli (whole, cut, powder, juice powder, extract); Celery (granule, cut, powder, juice powder, extract); Cranberry (fruit powder, juice powder, extract); Green Tea (powder, extract); Jerusalem Artichoke Inulin; Matcha (whole, cut, powder, extract); Mulberry Fruit/Leaf (whole, cut, powder, extract); Olive Leaf (whole, cut, powder, extract); Peppermint (whole, cut, powder, extract); Wheat Grass/Triticum Aestivum L. (powder, juice powder, extract); Mango powder, Dragon Fruit Powder, Bitter Melon Extract/Powder, Rice Protein Peptide, Goji Berries (Dried); Blueberry (powder, juice powder, extract); Acai Berry (powder, juice powder, extract); Dragon (fruit powder); Hawthorn Fruit/Leaves (whole, juice powder, slice); Bilberry (powder, juice powder, extract); Hawthorn Fruit/Leaves (powder, extract); Bitter Apricot Seed/Prunus Armeniaca/Armeniacae Semen Amarum (whole, cut, powder); Lemon (powder, balm powder, extract); Mulberry (powder, juice powder, extract); Monk Fruit/Siraitia Grosvenorii (powder, extract); Schisandra Fruit (crude drug, cut, powder, extract); Immature Bitter Orange (powder, extract); Mulberry/Morus Alba L (extract, powder); Momordica Grosvenori Fruit/Siraitia; Grosvenorii/Momordica Grosvenorii (Monk Fruit)/Siraitiae Fructus (whole, slice, cut, powder); Mung bean (bean, dehulled, protein, starch); Black sesame; White sesame; Coconut milk powder; Banana powder; Green Banana powder, Herbs (Horsetail/Equisetum Arvense L. (powder, extract); Epimedium Leaf &amp; Herb/Epimedium Brevicornu/Epimedii Folium &amp; Herba (whole, slice, cut, powder); Coix Seed/Coix Lacryma-jobi/Coix Semen (whole, cut, powder); Zanthoxylum Bungeanum Fruit/Zanthoxylum Bungeanum/Zanthoxyli Pericarpium (whole, cut, powder); White Peony Root/Paeonia Lactiflora/Paeoniae Radix Alba (whole, slice, cut, powder); Tribulus Terrestris/Tribulus Terrestris/Tribuli Fructus (whole, cut, powder); Astragalus Root (whole, powder, slice, granule, extract); Ginkgo Leaf (crude drug, cut, powder, extract); Epimedium (whole, cut, powder, extract); Eleuthero Root/Siberian Ginseng (crude drug, cut, powder, extract); Echinacea Purpurea/Root (crude drug, cut, powder, extract); Dandelion Leaf/Root/Root Roasted (granule, powder, cut, extract); Chrysanthemum (crude drug, cut, powder, extract); Chlorella (powder, cut, extract)
Chaga Mushroom (crude drug, cut, powder, extract); Bupleurum Root/Bupleurum Chinense/Bupleuri Radix (whole, slice, cut, powder); Baical Skullcap Root &amp; Leaf/Scutellaria Baicalensis/Scutellariae Radix/Folium (whole, slice, cut, powder); Astragalus Root/Astragalus Membranaceus; Angelica Sinensis/Angelica Sinensis Root (whole, slice, cut, powder); Red Ginseng (extract, dried)/Red Ginseng tails (dried); Lily Bulb/Lilium Lancifolium/Lilii Bulbus (whole, cut, powder); Reishi/Ganoderma Lucidum (spores oil, spore powder shell-broken or not shell-broken); Reishi/Ganoderma Lucidum (dried, extract, powder); Maitake/Grifola Frondosa (extract, powder, dried, mycelium extract, mycelium powder); Coriolus Versicolor (dried, extract, powder); Cordyceps Sinensis Mycelium (extract, powder); Cordyceps Militaris (dried, extract, powder); Coprinus Comatus/Shaggy Mane (dried, extract, powder); Dried Dates (red, pitted red, black, pitted black)/Ziziphus Jujuba/Jujubae Fructus (whole, slice, cut, powder); Dong Quai Root (whole, slice, cut, powder, extract); Ginger (cut, slice, chopped, powder, TBC, juice powder, extract powder); Milk Thistle Seed &amp; Herb (whole, cut, powder, extract); Honeysuckle (crude drug, cut, powder, extract)
Barley Grass (powder, juice powder, extract); Hemp (Heart Powder, Heart Protein Flake, Hulled Seed, Protein Powder, Seed Flour, Seed Powder, Whole Seed); Oat Grass (powder, juice powder, extract); Sea Buckthorn (powder, juice powder, extract, protein, oil); Stevia Extract/Steviol Glycosides 20-99% (RA, SG, RD, RM, STV); Ashwagandha (powder, TBC); Turmeric Root (slice, cut, powder, extract); Star Anise/Fructus Anisi Stellati (crude drug, cut, powder, extract); Slippery Elm (powder); Black Fungus/Auricularia Auricula (dried, extract, powder); Agaricus Blazei (dried, extract, powder); Agaricus Bisporus (dried, extract, powder); Nettle/Urtica Dioica (extract, powder); Hemp Heart Oil; 
Chlorella (powder, tablets); Shiitake/Lentinus Edodes (dried, extract, powder); Pleurotus Eryngii (dried, extract, powder); Oyster mushroom (Pleurotus ostreatus) extract/powder/dried; Marshmallow/Althaea Officinalis (extract, powder, slice, granule); Lion's Mane/Hericium Erinaceus (dried, extract, powder); Tremella Fuciformis/Snow Fungus (dried, extract, powder); Spirulina Extract (Phycocyanin) without use of maltodextrin; Spirulina (powder, tablets); Rose Flower/Rosa Rugosa/Rosae Rugosae Flos (whole, cut, powder); Rhubarb Root/Rheum Palmatum (extract, powder, slice, granule); Rhodiola Rosea (extract powder); Pueraria Root/Pueraria Lobata (extract, powder, slice, granule); Pueraria Lobata Root/Pueraria Lobata/Puerariae Lobatae Radix (whole, slice, cut, powder); Polygoni Multiflori Root (Fo-Ti)/Tuber Fleeceflower (Reynoutria Multiflora)/Polygonum Multiflorum/Polygoni Multiflori Radix (whole, slice, cut, powder); Polygonati root/Polygonaturm Sibiricum sib. (extract, powder, slice, granule); 
Aloe Vera (extract); Rose hip fruits extract/Rugosa rose; Rose hip fruits powder/slice/granule//Rugosa rose), Seabucktorn Puree, Seabuckthorn Juice Concentrate, Seabuckthorn Seed Oil, Coconut Water Powder, Blackcurrant Powder, Blackcurrant Juice Powder, Poria/Poria cocos (whole, slice, cut, powder), Sunflower Lecithin (fluid); Soybean Lecithin (fluid), Vegetables (Pumpkin Seed Cake; Pea (fiber, starch, protein wet); Alfalfa/Medicago Sativa (powder, juice powder, extract); Beet Root (crude drug, granule, cut, powder, juice powder, extract); Carrot (powder, slice, dice, juice powder, extract); Burdock Root (whole, cut, powder, extract); Kale (powder, juice powder, extract); Konjac (powder, flour); Bamboo Extract/Fargesia Qinlingensis Yi et J.X. Shao; Jerusalem Artichoke/Helianthus Tuberosus (extract, powder, slice, granule); Dehydrated Spinach (flake, powder); Dehydrated Pumpkin (flake, cut, dice, granule, mince, powder); Celery (powder, slice, dice, juice powder); Sweet Potato (cut, powder, extract); Dehydrated Garlic (flake, slice, granule, mince, chopped, powder); Pumpkin Seed Kernel); Other Grains, Pastas and Cereals: Brown Rice Protein; Rice Protein; Beverage Related Products: Tea (Green Tea/Green Tea Powder/Matcha; Black Tea)</t>
  </si>
  <si>
    <t>Other: A02-0107 or A02-0112 - Whole Oat Flour, A02-0754 - Graham Flour, A04-0780 - Rolled Oats, A06-0875 - High-Oleic Sunflower Oil, A06-1956 - Soybean Oil, A06-1956 - Sunflower Oil, A08-1334 - Honey NGP, A08-1957 - Cane Sugar, A10-1216 - Soy Lecithin, A14-0173 FN-80110 Peanut Type Flavor, A14-0267 - Blueberry Type Flavor, A14-0719 - Graham Cookie Flavor Nat #8540, A14-2246 - Vanilla Flavor Nat MET0010947, A16-0304 - Cinnamon, A17-1217 - Non fat Milk Powder, A18-0163 - Peanut Butter, Apple &amp; Cinnamon Fruit &amp; Grain Cereal Bars, Apple Cereal Bars, Apple Fruit &amp; Grain Cereal Bars, Blueberry Cereal Bars, Blueberry Soft Baked Breakfast Bars, Breakfast Cookies - Blueberry, Breakfast Cookies - Blueberry Chia Quinoa, Breakfast Cookies - Cinnamon, Breakfast Cookies - Oat, Cheddar Chicks Cheese Crackers, Cheddar Square Crackers, Chewy Granola Bars 2 varieties Chocolate Chip Chewy Granola Bar + Vanilla Chip Chewy Granola Bar (21507), Chocolate Chip Chewy Granola Bar, Chocolate Chip Chewy Granola Bar #56717, Fruit &amp; Grain Apple Cinnamon Cereal Bars, Fruit &amp; Grain Bars Value Pack, Fruit &amp; Grain Blueberry Cereal Bars, Fruit &amp; Grain Mixed Berry Cereal Bars, Fruit &amp; Grain Strawberry Cereal Bars, Honey Bear Graham Cookies, Mini Cheese Sandwich Crackers #97238, Mini Peanut Butter Sandwich Crackers #97237, Mini Sandwich Crackers - Peanut Butter, Mixed Berry Fruit &amp; Grain Cereal Bars, Oats &amp; Honey Crunchy Bars, Peanut Butter Chocolate Chip Chewy Granola Bar, Strawberry Cereal Bars, Strawberry Fruit &amp; Grain Cereal Bars, Vanilla Chip Chewy Granola Bar</t>
  </si>
  <si>
    <t>Other: Belize Bixby Bar, Bittersweet Baking Chips, Cacao Nibs, Creme Brulee White Chocolate Bar, Espresso Dark Chocolate Bar, Guatemalan Bixby Bar, Haitian Bixby Bar, Maine Grains Oat Milk Chocolate Bar, Maine Sea Salt Dark Chocolate Bar, Maine Sea Salt Milk Chocolate Bar, North Spore Drinking Chocolate with Functional Mushrooms, North Spore Functionals Mushroom Chocolate, Nutty For Me Bixby Bar, Nutty for Me Bixby Bites, Nutty For You Bixby Bar, Nutty for You Bixby Bites, Organic Classico Bean to Bar, Project Puffin Bar, Semisweet Baking Chips, Split Rock Bourbon Bar</t>
  </si>
  <si>
    <t>Other: #Processing, milling, labeling and private labeling of fermented and distilled alcoholic beverages -, Bourbon (Einkorn, Four Grain Whiskey, High Rye, Peoria, Wheated), Bourbon Whiskey, Gin, Vodka (Wheat, Red Fife), Whiskey (Peoria, Rye, White Wheat, Straight Wheat)</t>
  </si>
  <si>
    <t>Other: Seeds: Seeds: Hyssop, Giant Yellow; Nodding Onion; Walking Onion; Common Milkweed; Fireweed; Pyrethrum, Dalmatian; Coreopsis, Early Sunrise; Coreopsis, Lanceleaf; Coreopsis, Dyer's, Cosmos; Joe Pye Weed; Blanketflower; Geranium, Spotted Crane's Bill; Sunflower, Soraya; Heliopsis, Summer Sun; Lobelia, Cardinal; Maltese Cross; Beebalm, Spotted; Scarlet Peony Poppy; Phacelia; Madder; Rudbeckia; New England Aster; New York Aster; Wheat, Sirvinta; Emmer, Black Winter; Yarrow; Anise Hyssop; Korean Mint; Chives; Marshmallow; Dill; Arnica, Meadow; Wormwood, Absinthe; Astragalus;Calendula; Moldavian Balm; Echincea purpurea; Boneset; St. Johnswort; Hyssop; Elecampane; Lavender, Krajova (Czech); Motherwort; Lovage; Horehound, white; Chamomile, German; Lemon Balm; Beebalm, Lemon; Wild Bergamot; Sweet Cicily; Catnip; Tulsi, Vana; Tulsi, Kapoor;Tulsi, Krishna; Tulsi, Rama; Selfheal; Mountain mint; Sage; Summer Savory; Mad-dog Scullcap; Goldenrod; Comfrey, Mexican Tarragon; Feverfew; Dandelion; Thyme; Thyme, German Winter; Coltsfoot; Stinging Nettle; Valerian; Mullein; Vervain, Blue; Highbush Cranberry; Welsh Onion; Garlic; Orach, Diane's Purple; Lutz Wnter Keeper; Good King Henry; Pepper, Hot, Ho Chi Minh; Pepper, Paprika, Boldog; Pepper, Hot, Jaluv an Attitude; Pepper, Hot, Fish; Pepper, Hot, Pippin's Golden Honey; Pepper, Hot, Aji Colorado; Primal Beauty; Lettuce, Diane's; Dry Bean; Tomato, Rose de Berne; Tomato, Pink Brandywine; Tomato, Goldie</t>
  </si>
  <si>
    <t>Other: Buffalo Type Breader 14199-4, Buffalo Type Predust &amp; Batter 14198-5, Organic Breader 16407, Southwest Type Batter &amp; Breader 14244, Southwest Type Marinade 14243-1, Whole Grain Breader 14370, Whole Grain Predust &amp; Batter 14369</t>
  </si>
  <si>
    <t>Other: Grain Blend (Pea Blend 112221A), Seasoning Blend (010224A Maple Dijon Type Seasoning), Seasoning Blend (010824C Sweet Onion Seasoning), Seasoning Blend (010924E Fiery Hot Seasoning), Seasoning Blend (011525H Blazin’ Hot Cheddar Seasoning),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(061324K Sea Salt and Cracked Pepper Seasoning), Seasoning Blend (061724D Elote Seasoning), Seasoning Blend (062424B Vegan Cheesy Cauliflower Seasoning), Seasoning Blend (062724J Spanish Style Rice Seasoning),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Organic Sweet and Spicy Vegan Ranch Seasoning), Seasoning Blend (080624N Vegan Garden Ranch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(120516D Seasoning Wasabi Type ), Seasoning Blend (120823B Spicy Korean Barbecue Seasoning), Seasoning Blend (121323C Barbecue Seasoning), Seasoning Blend (121323E Sea Salt and Cracked Pepper Seasoning), Seasoning Blend (121523G Organic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012120B), Seasoning Blend (Barbecue Seasoning 091316B ), Seasoning Blend (Barbecue Seasoning 091819E),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(Everything Bagel Seasoning 093019E), Seasoning Blend (Garden Salsa Seasoning 081022C), Seasoning Blend (Green Chile Seasoning 022515-B), Seasoning Blend (Habanero Seasoning 110421B),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061522C), Seasoning Blend (Jalapeno Cornbread Seasoning 081022N), Seasoning Blend (Jalapeno Lime Seasoning 022823B), Seasoning Blend (Jalapeno Lime Seasoning 041316B), Seasoning Blend (Jalapeno Lime Seasoning 120915-A), Seasoning Blend (Korean BBQ Seasoning 050322E),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(Nacho Seasoning 112216C), Seasoning Blend (Non Dairy Cheddar Seasoning 101216B), Seasoning Blend (Peach Mango Seasoning 111721A),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(Roasted Onion &amp; Garlic Seasoning 042315-B), Seasoning Blend (Rosemary Seasoning 072115-C), Seasoning Blend (Salsa Seasoning 020723C),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(Smoke Flavor 062222G), Seasoning Blend (Sour Cream &amp; Onion Seasoning 091819D), Seasoning Blend (Sour Cream &amp; Onion Seasoning 123114-B), Seasoning Blend (Spicy Blend 011022C), Seasoning Blend (Spicy Blend 101316H), Seasoning Blend (Spicy Mac and Cheese Seasoning 051122B), Seasoning Blend (Sriracha Seasoning 100715A), Seasoning Blend (Strawberry Beet Seasoning 060523C), Seasoning Blend (Strawberry Beet Seasoning 081420B), Seasoning Blend (Sweet &amp; Salty Seasoning 062017F),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011822B), Seasoning Blend (Umami Blend 050322F), Seasoning Blend (Vegan Cheddar Seasoning 021523C), Seasoning Blend (Vegan Cheddar Seasoning 080921L), Seasoning Blend (Vegan Chorizo Seasoning 011416-A), Seasoning Blend (Vegan Chorizo Seasoning 100313-A), Seasoning Blend (Vegan Nacho Seasoning 082819G), Seasoning Blend (Vegan Nacho Seasoning 092019H), Seasoning Blend (Vegan Nacho Seasoning 100719B), Seasoning Blend (Vegan Nacho Seasoning 101520B), Seasoning Blend (Vegan Nacho Seasoning 120715-F), Seasoning Blend (Vegan Peppermint Chocolate Seasoning 030223D), Seasoning Blend (Vegan Ranch Seasoning 012120C), Seasoning Blend (Vegan Ranch Seasoning 022622A ), Seasoning Blend (Vegan Ranch Seasoning 110718C), Seasoning Blend (Vegan Ranch Seasoning 113021C),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(012419 Jalapeno Pineapple Seasoning), Seasoning Mixes (020824B Teriyaki Seasoning), Seasoning Mixes (021224H Cheesy Spinach and Cauliflower Seasoning), Seasoning Mixes (041323A Teriyaki Seasoning), Seasoning Mixes (080823A Tomato and Basil Seasoning), Seasoning Mixes (090523B Chile Lime Seasoning), Seasoning Mixes (091323G Pina Colada Type Seasoning), Seasoning Mixes (091423D Vegan White Cheddar Seasoning), Seasoning Mixes (092523F Vegan Buffalo Ranch Seasoning), Seasoning Mixes (101623B Strawberry Basil Seasoning), Seasoning Mixes (101723A Mixed Berry and Sweet Pea Seasoning), Seasoning Mixes (111720D Spicy Turmeric Seasoning), Seasoning Mixes (112519B Vegan Sour Cream and Onion Seasoning), Seasoning Mixes (121323F Garlic and Herb Seasoning), Seasoning Mixes (122723B Korean Barbecue Seasoning), Seasoning Mixes (122723C Teriyaki Seasoning), Seasoning Mixes (122723E Sriracha Seasoning), Seasoning Mixes (Aged White Cheddar Seasoning 010320A), Seasoning Mixes (Aged White Cheddar Seasoning 032219F), Seasoning Mixes (Aged White Cheddar Seasoning 041819C), Seasoning Mixes (Apple Broccoli Seasoning 052523G), Seasoning Mixes (Barbecue Seasoning 012821C), Seasoning Mixes (Barbecue Seasoning 040620B), Seasoning Mixes (Barbecue Seasoning 091820B), Seasoning Mixes (Barbecue Seasoning 111119E ), Seasoning Mixes (Barbecue Seasoning 112420G), Seasoning Mixes (Beach Barbecue Seasoning 021319A), Seasoning Mixes (Berbere Seasoning 111218D), Seasoning Mixes (Blueberry and Sweet Potato Seasoning 030321B), Seasoning Mixes (Blueberry and Sweet Potato Seasoning 122920E), Seasoning Mixes (Breakfast Sausage Seasoning (for Apple) 010820B), Seasoning Mixes (Breakfast Sausage Seasoning (for Apple) 012919B), Seasoning Mixes (Breakfast Sausage Seasoning 112718B), Seasoning Mixes (Broccoli Spinach Kale Seasoning 072720K),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Seasoning 052522B),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010322C), Seasoning Mixes (Dill Pickle Seasoning 061418J), Seasoning Mixes (Dill Pickle Seasoning 080718B), Seasoning Mixes (Flaming Hot Seasoning 010318B), Seasoning Mixes (Flaming Hot Seasoning 030420E), Seasoning Mixes (Flaming Hot Sriracha Seasoning 031121B), Seasoning Mixes (Fuego Seasoning 101619C), Seasoning Mixes (Garden Vegetable Seasoning 102120J), Seasoning Mixes (Garlic and Onion Seasoning 032423G), Seasoning Mixes (Gingerbread Cookie Seasoning 030420C), Seasoning Mixes (GM Spicy Seasoning 071221B), Seasoning Mixes (Grapefruit Seasoning 101119C), Seasoning Mixes (Himalayan Salt &amp; Apple Cider Vinegar Seasoning 113017B), Seasoning Mixes (Himalayan Salt and Apple Cider Vinegar Seasoning 043018C), Seasoning Mixes (Himalayan Salt and Apple Cider Vinegar Seasoning 072518A),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(Kool Ranch Seasoning 012821H), Seasoning Mixes (Korean Barbecue Seasoning 012419C), Seasoning Mixes (Korean Barbecue Seasoning 021720M), Seasoning Mixes (Korean Barbecue Seasoning 041519G), Seasoning Mixes (Korean Barbecue Seasoning 042520A), Seasoning Mixes (Korean Barbecue Seasoning 112918B),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(Montreal Style Steak Seasoning 121520G), Seasoning Mixes (Mushroom Seasoning 020221V), Seasoning Mixes (Nacho Seasoning 103018A), Seasoning Mixes (Non Dairy Cheddar Parmesan Type Seasoning 120419A), Seasoning Mixes (Non Dairy Cheddar Seasoning 102919F), Seasoning Mixes (Non Dairy Orange Cheddar Seasoning 101619F ), Seasoning Mixes (Non Dairy Sour Cream and Onion Seasoning 082719A), Seasoning Mixes (Non Dairy White Cheddar Seasoning 101619D), Seasoning Mixes (Non-Dairy Buffalo Ranch Seasoning 011619A), Seasoning Mixes (Non-Dairy Cheddar Seasoning 052616D), Seasoning Mixes (Non-Dairy Ranch Seasoning 100217A), Seasoning Mixes (Original Seasoning 012821F), Seasoning Mixes (Parmesan and Roasted Garlic Seasoning 040219C), Seasoning Mixes (Pepperoncini Seasoning 050416A), Seasoning Mixes (Pizza Seasoning 111020E),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(Roasted Red Bell Seasoning 062620E), Seasoning Mixes (Rotisserie Chicken Rub 032019C), Seasoning Mixes (Salsa Verde Seasoning 110922G), Seasoning Mixes (Savory Vegetable Seasoning 070822C), Seasoning Mixes (SB-OTWBK Seasoning 011422E), Seasoning Mixes (Sea Salt and Lime Seasoning 120621G), Seasoning Mixes (Sea Salt and Pea Fiber Blend 092019L), Seasoning Mixes (Sea Salt and Vinegar Seasoning 010720A), Seasoning Mixes (Sea Salt and Vinegar Seasoning 021021B), Seasoning Mixes (Sea Salt and Vinegar Seasoning 050123F), Seasoning Mixes (Sea Salt and Vinegar Seasoning 081319A), Seasoning Mixes (Sea Salt and Vinegar Seasoning 090919A), Seasoning Mixes (Sea Salt and Vinegar Seasoning 092821E), Seasoning Mixes (Sea Salt Blend 050323A), Seasoning Mixes (Sour Cream and Onion Seasoning 050123C), Seasoning Mixes (Sour Cream and Onion Seasoning 052819B), Seasoning Mixes (Sour Cream and Onion Seasoning 052819D), Seasoning Mixes (Southwest Type Marinade Seasoning 010722B), Seasoning Mixes (Spice Loaded Nacho Seasoning 041822H), Seasoning Mixes (Spicy Loaded Nacho Seasoning 070822G ), Seasoning Mixes (Spicy Sweet Pepper Seasoning 112618B), Seasoning Mixes (Sriracha Seasoning 040620C), Seasoning Mixes (Sriracha Seasoning 090320E), Seasoning Mixes (Sriracha Seasoning 122117A), Seasoning Mixes (Sweet and Spicy Chile Seasoning 061920D), Seasoning Mixes (Sweet and Spicy Chili Seasoning - Made with Organic 091824H), Seasoning Mixes (Sweet and Spicy Ranch Seasoning 022820A), Seasoning Mixes (Sweet Dijon Seasoning 020822C), Seasoning Mixes (Sweet Dijon Seasoning 101518D), Seasoning Mixes (Sweet Potato and Pumpkin Spice Seasoning 052821B),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Broccoli Cheddar Type Seasoning 122920F), Seasoning Mixes (Vegan Cheddar and Broccoli Seasoning 052121E), Seasoning Mixes (Vegan Cheddar and Broccoli Seasoning 071221E), Seasoning Mixes (Vegan Cheddar Seasoning 011020D), Seasoning Mixes (Vegan Cheddar Seasoning 080320B), Seasoning Mixes (Vegan Cheddar Seasoning 081821L), Seasoning Mixes (Vegan Cheddar Seasoning 091018B), Seasoning Mixes (Vegan Cheddar Seasoning 112117B), Seasoning Mixes (Vegan Elote Seasoning 072721B), Seasoning Mixes (Vegan Homestyle Ranch Seasoning 122920G), Seasoning Mixes (Vegan Nacho Seasoning 012320D), Seasoning Mixes (Vegan Nacho Seasoning 031620C ), Seasoning Mixes (Vegan Nacho Seasoning 050420C), Seasoning Mixes (Vegan Nacho Seasoning 061920C), Seasoning Mixes (Vegan Nacho Seasoning 080621D), Seasoning Mixes (Vegan Nacho Seasoning 091120B), Seasoning Mixes (Vegan Nacho Seasoning 110519H ), Seasoning Mixes (Vegan Pizza Seasoning 011623D), Seasoning Mixes (Vegan Ranch Seasoning 030420A), Seasoning Mixes (Vegan Ranch Seasoning 080621E), Seasoning Mixes (Vegan Ranch Seasoning 091216C), Seasoning Mixes (Vegan Ranch Seasoning 092019J), Seasoning Mixes (Vegan Salted Caramel Seasoning 081821D), Seasoning Mixes (Vegan Sour Cream and Onion Seasoning 040620D), Seasoning Mixes (Vegan Sour Cream and Onion Seasoning 042020F), Seasoning Mixes (Vegan Sour Cream and Onion Seasoning 091720C), Seasoning Mixes (Vegan Sriracha Ranch Seasoning 110822B), Seasoning Mixes (Vegan White Cheddar Jalapeno Seasoning 092019M), Seasoning Mixes (Vegan White Cheddar Seasoning 021622G), Seasoning Mixes (Vegan White Cheddar Seasoning 032919E), Seasoning Mixes (Vegan White Cheddar Seasoning 042020E), Seasoning Mixes (Vegan White Cheddar Seasoning 091918D), Seasoning Mixes (Vegan Zesty Ranch Seasoning 111021C), Seasoning Mixes (Wasabi and Pickled Ginger Seasoning 031518B), Seasoning Mixes (Wasabi Type Seasoning 081021H), Seasoning Mixes (Watermelon Hibiscus Seasoning 101019A), Seasoning Mixes (White Cheddar Seasoning 052621A), Seasoning Mixes (White Cheddar Seasoning 062017B), Seasoning Mixes (White Cheddar Seasoning 110217E), Seasoning Mixes (White Cheddar Seasoning 110518A), Seasoning Mixes (White Cheddar Seasoning 111219B), Seasoning Mixes (White Chocolate and Matcha Seasoning 030620B), Seasoning Mixes (White Chocolate Strawberry Seasoning 051221D), Seasoning Mixes (Zesty Nacho Seasoning 012821G)</t>
  </si>
  <si>
    <t>Other: Ancient Grain Minestrone - 77403 (Frozen), Black Bean Soup - 76056, Black Bean Soup (Frozen) - 78656, Butternut Squash Soup - 90850, Chicken &amp; Vegetable Soup - 47072, Chicken Noodle Soup - 39041, Chicken Noodle Soup - 76041, Chicken Noodle Soup - 78641, Chicken Noodle Soup - 85141, Chicken Noodle Soup - 85541, Chicken Tortilla Soup - 76064, Chicken Tortilla Soup - 85564, Coconut Lentil Soup - 76012, Coconut Lentil Soup - 78612 (Frozen), Gazpacho - 85531, Kale &amp; Sweet Potato Soup - 78692 (Frozen), Lentil and Chickpea Soup - 78625 (Frozen), Minestrone Soup - 76050, Savory Harvest Bisque - 76062, Savory Harvest Bisque - 78662 (Frozen), Spicy Red Lentil Chili - 85560, Spicy Red Lentil Chili #85706, Tomato Bisque - 39094, Tomato Bisque - 76094, Tomato Bisque - 78694 (Frozen), Vegetarian Chili - 78618 (Frozen)</t>
  </si>
  <si>
    <t>Other Grains, Pastas and Cereals: Oats (Instant Oats, Kiln Dried Hulled Oats, Rolled Oats, Quick Oats); Other: Exporting certified organic grain, Processing and packaging of certified organic grain</t>
  </si>
  <si>
    <t>Other: Grain [Rolled Oats, Quick Oats, Instant Oats, Steel Cut Oats and Stabilised Oat groats.]</t>
  </si>
  <si>
    <t>Other: Grain [Instant Oats, Oat Flour, Oat Bran, Stabilised Oat Groats, Steel Cut Oats, Rolled Oats, Quick Oats, Instant Oats, Oat Bran, Oat Powder, Oat Bran Powder, Barley Flour, Barley Bran, Rye Flour, Rye Bran, Spelt Flour, Spelt Bran, Triticale Flour, Triticale Bran, Wheat Flour, Wheat Bran &amp; Organic Bran Powder]</t>
  </si>
  <si>
    <t>Other Grains, Pastas and Cereals: Rice (Red rice/gao lut huu co Ecoba Huyet Rong), Rice (Black rice/gao lut huu co Ecoba Huyen Me), Rice (Brown japonica rice), Rice (Brown jasmine rice/gao lut huu co Ecoba Kim Me), Rice (Jasmine rice/gao huu co Ecoba Ngoc Me), Rice (Long Grain Brown Rice,), Rice (Long Grain white Rice), Rice (Long grain white rice - broken), Rice (Organic Japonica rice / Gao huu co Ecoba Sakura), Rice (Organic ST25 Rice/Gao Huu Co Ecoba Viet Me)</t>
  </si>
  <si>
    <t>Preservatives/Extracts/Flavors: Spices (Ginger, Turmeric); Other Grains, Pastas and Cereals: Quinoa; Oils &amp; Oleoresins: Oils (Crude palm oil); Nuts/Seeds: Chestnuts</t>
  </si>
  <si>
    <t>Other: Trading, Importing, Exporting, Brokering, and Merchandising of Blue Agave Inulin Powder*, Hemp Seeds (hulled), Pumpkin Seed Kernels, Strawberries (IQF), Sunflower Seed Kernels, Trading, Importing, Exporting, Brokering, and Merchandising of Chia Seed Black*, Citrus (dried), Dandelion Leaf &amp; Root Liquid Extract, Grains (whole, flakes, flours, screenings), Hemp Hearts, Liquid Extracts, Oils, Oil seeds, Powders (Ashwaganda, Collagen, Fruit, Inulin, Protein, Root, Spirulina, Stevia, Vitamin, Whey), Vegetables* (dehydrated, frozen)</t>
  </si>
  <si>
    <t>Other Grains, Pastas and Cereals: Flours and Meals (Whole Grains or Seeds: Spelt Berries), Flours and Meals (Whole Grains or Seeds: Rye Berries), Flours and Meals (Whole Grains or Seeds: Cracked Rye), Flours and Meals (Whole Grains or Seeds: Einka® &amp; Lentils), Flours and Meals (Whole Grains or Seeds: Potlatch Pilaf), Flours and Meals (Whole Grains or Seeds: Ancient Grain Blend), Flours and Meals (Flour: Spelt), Flours and Meals (Flour: Rye), Flours and Meals (Flour: Pasayten Hard White Wheat), Flours and Meals (Flour: Einka® Einkorn), Flours and Meals (Flour: Farro Pasta Flour), Flours and Meals (Flour: Methow Hard Red Wheat), Flours and Meals (Flour: Emmer), Flours and Meals (Flour: Sonora), Wheat (Whole Grains or Seeds: Methow Cracked Hard Red Wheat), Wheat (Whole Grains or Seeds: Pasayten Hard White Wheat Berries), Wheat (Whole Grains or Seeds: Split Emmer), Wheat (Whole Grains or Seeds: Sonora Wheat Berries), Wheat (Whole Grains or Seeds: Emmer Farro), Wheat (Whole Grains or Seeds: Einkorn Berries), Wheat (Whole Grains or Seeds: Emmer), Wheat (Whole Grains or Seeds: Methow Hard Red Wheat Berries), Wheat (Whole Grains or Seeds: Einka® Einkorn); Dry/Baking Goods: Baking Mixes (Baking Ingredients: Emmer Pancake &amp; Waffle Mix), Baking Mixes (Baking Ingredients: Einkorn Pancake &amp; Baking Mix); Bread/Bakery/Snacks: Cereal (Prepared Goods: Farro Porridge), Cereal (Prepared Goods: Old World Cereal); Animal Feed: Livestock Feed (Grain: Scratch)</t>
  </si>
  <si>
    <t>Other Grains, Pastas and Cereals: Soybean splits/culls, Soybean Seed: BG31A,BG34A,BG28A,BG39A. Food Grade Soybeans:BG31a,BG34a,BG28a,BG39a,W294; Other: Cleaning,bagging &amp; storage of Soybeans</t>
  </si>
  <si>
    <t>Processed  Items: Grain cleaning, Oats (Seed Cleaning and Bagging); Animal Feed: Blended complete feeds (Poultry (chicken),
Chicken Starter 22%,
Chicken Grower 20%,
Broiler Finisher 18%,
Non-soy Grower,
Non-soy Layer,
Poultry Layer 16%,
Premium Poultry Layer,
Scratch Grains,
Poultry (Duck),
Duck Starter 24%,
Duck Grower 21%,
Duck Finisher 18%
Wild Game Bird Feed,
Non-soy Wild Game Bird Feed 26%,
Non-soy Wild Game Bird Feed 28%,
Poultry (turkey),
Turkey Starter 28%,
Turkey Grower 24%
Turkey Finisher 19%,
Dairy Goat Feed,
Lamb Feed 16%,
Dairy Cow Feed,
Gestating Sow,
Lactating Sow,
Pig Grower 18%,
Pig Finisher,
Non-Soy Pig Grower,
Pig Starter,
Custom Rabbit Feed,
Calf Starter), blended feed components (Alfalfa Hay,
Canola Oil,
Field Peas,
Grass Hay,
Sesame Meal,
Soybeans,
Barley,
Corn (shelled ground),
Flaxseed,
Molasses,
Soybeans roasted,
Wheat Mids,
Canola Meal,
Expelled Soybean Meal,
Flaxseed Oil,
Oats,
Soy Oil,
Wheat)</t>
  </si>
  <si>
    <t>Other: 6 Grain Hot Cereal with Flax Seed (Right Stuff), 7 Grain Pancake and Waffle Mix, Amaranth Flour, Amaranth Grain, Brown Rice Farina Hot Cereal (Creamy Rice), Buckwheat Flour, Buckwheat Groats, Buckwheat Pancake and Waffle Mix, Buttermilk Pancake and Waffle Mix, Chia Seeds, Coconut Flour, Coconut Sugar, Corn Flour, Corn Grits (Polenta), Corn Meal, Creamy Buckwheat Hot Cereal, Dark Rye Flour, Farro, Flax Seed (Brown), Flax Seed (Golden), Gluten Free Brown Rice Flour, Gluten Free Classic Oatmeal Cup, Gluten Free Cranberry Orange Oatmeal Cup, Gluten Free Flax Seed Meal (Brown), Gluten Free Flax Seed Meal (Golden), Gluten Free Fruit and Seed Oatmeal Cup, Gluten Free Protein Oats, Gluten Free Quick Rolled Oats, Gluten Free Regular Rolled Oats, Gluten Free Steel Cut Oats, Gluten Free Thick Rolled Oats, Gluten Free White Rice Flour, Graham Flour, Hard Red Spring Wheat Berries, Kamut Berries, Kamut Cereal, Kamut Flour, Masa Harina, Medium Grain Brown Rice, Multi-grain Pancake &amp; Waffle Mix, Oat Bran Hot Cereal, Oat Groats, Pumpkin Seeds, Quick Cooking Steel Cut Oats, Quick Rolled Oats, Quinoa Flour, Quinoa Grain, Red Quinoa Grain, Regular Rolled Oats, Rye Berries, Scottish Oatmeal, Soft White Wheat Berries, Spelt Berries, Spelt Farina, Spelt Flour, Steel Cut Oats, Thick Rolled Oats, Tri-color Quinoa Grain, Unbleached All Purpose White Flour, Whole Wheat Farina Hot Cereal, Whole Wheat Flour, Whole Wheat Flour, Whole Wheat Pastry Flour</t>
  </si>
  <si>
    <t>Other: 12 Count Macaroni &amp; Cheese Variety Pack (Shells &amp; Real Aged Cheddar, Shells &amp; White Cheddar, Classic Cheddar), 15 ct Variety Pack (Chocolate Chip / Chocolate Brownie), 15 ct Variety Pack (Crunchy Peanut Butter / White Chocolate Macadamia Nut), 18 Count Variety Pack (Chocolate Chip/Chocolate Brownie), 18 Count Variety Pack (Crunchy Peanut Butter/White Chocolate Macadamia), 18pk Variety Pack (S'Mores, Chocolate Chip, Iced Oatmeal Cookie), 24 Count Variety Pack (Chocolate Chip/Crunchy Peanut Butter), 24pk Variety Pack (Chocolate Chip, Iced Oatmeal Cookie), 3 Awesome Sauces, 30pk Variety Pack (Chocolate Brownie, Chocolate Chip, Iced Oatmeal Cookie), 36pk Variety Pack (Chocolate Brownie, Chocolate Chip, Iced Oatmeal Cookie), 6pk Variety Pack (LemonZest, Blueberry Bliss), Bunnies &amp; Pumpkins: Chocolate and Honey Graham Crackers, Bunny Snack Pack (Cheddar Bunnies, Bunny Grahams Friends), Bunny Snacks Variety Pack (Cheddar Bunnies, Birthday Cake Bunny Grahams), Bunny Snacks Variety Pack (Friends Bunny Grahams, Cheddar Bunnies, Cheddar Squares), Butcher's Brine &amp; Rub Kit, Cheddar Bunnies, Chocolate Brownie Energy Bar, Chocolate Brownie Energy Snack, Chocolate Chip Baked Whole Grain Energy Snack, Chocolate Chip Banana Bread, Baked Whole Grain Energy Snack, Chocolate Chip Cookie Bites, Chocolate Chip Energy Bar, Cinnamon Roll, Baked Whole Grain Energy Snack, Cookies 'N Creme, Baked Whole Grain Energy Snack, Crunchy Peanut Butter Energy Bar, Friends Bunny Grahams, Iced Oatmeal Baked Whole Grain Cookie Energy Snack, Macaroni &amp; Classic Cheddar, Shells &amp; White Cheddar, Sweet &amp; Salty Snack Variety Pack, Vegan Mac Macaroni and Cheddar Flavor, White Chocolate Macadamia Nut Energy Bar</t>
  </si>
  <si>
    <t>Other Grains, Pastas and Cereals: Pasta (100% Organic Pasta Farfalle with Durum Wheat Semolina - PASTA TOSCANA), Pasta (100% Organic Pasta Fusilli with Durum Wheat Semolina - PASTA TOSCANA), Pasta (100% Organic Pasta Penne Rigate with Durum Wheat Semolina - PASTA TOSCANA), Pasta (100% Organic Pasta Rigatoni with Durum Wheat Semolina - PASTA TOSCANA), Pasta (100% Organic Pasta Spaghetti with Durum Wheat Semolina - PASTA TOSCANA), Pasta (Organic Egg Pasta Pappardelle with Durum Wheat Semolina - PASTA TOSCANA), Pasta (Organic Pasta Cappellini with Durum Wheat Semolina - PASTA TOSCANA), Pasta (Organic Pasta Farfalle with Durum Wheat Semolina - PASTA TOSCANA), Pasta (Organic Pasta Fusilli with Durum Wheat Semolina - PASTA TOSCANA), Pasta (Organic Pasta Linguine with Durum Wheat Semolina - PASTA TOSCANA), Pasta (Organic Pasta Penne Rigate with Durum Wheat Semolina - PASTA TOSCANA), Pasta (Organic Pasta Rigatoni with Durum Wheat Semolina - PASTA TOSCANA), Pasta (Organic Pasta Spaghetti with Durum Wheat Semolina - PASTA TOSCANA); Oils &amp; Oleoresins: Oils (Organic Italian Unfiltered Extra Virgin Olive Oil), Oils (Organic Mediterranean Extra Virgin Olive Oil), Oils (Organic Mediterranean Selection 100% Tunisian Organic Extra Virgin Olive Oil), Oils (Organic Mediterranean Selection Extra Virgin Olive Oil), Oils (Organic PDO Val di Mazara Extra virgin Olive oil), Oils (Organic PGI Sicilia Extra virgin Olive oil), Oils (Organic Selection 100% Italian Extra Virgin Olive Oil); Condiments and Sweeteners: Jam (Organic Sicilian Blood Orange Marmalade), Jam (Organic Sicilian Lemon Marmalade), Jam (Organic Sicilian Orange Marmalade)</t>
  </si>
  <si>
    <t>Other: Aneth graines - Dill seeds, Bleuet pétales - Blue cornflower petals, Calendula fleurs - Calendula flowers, Huile essentielle de menthe douce - Spearmint oil, Huile essentielle de menthe poivrée - Pepperrmint oil, Huile essentielle de myrrhe - Commiphora myrrha oil, Huile essentielle de romarin - Rosmarinus officinalis oil, Huile essentielle de rose - Rose oil, Huile essentielle de sauge officinale - Sage officinalis oil, Huile essentielle de tea tree - Tea tree oil, Huile essentielle d'encens - Boswellia carterii gum oil, Huile essentielle d'eucalyptus - Eucalyptus oil, Iris racine - Orris root, Olivier feuilles - Olive leaves, Ortie feuilles - Nettle leaves, Romarin feuilles - Rosemary leaves</t>
  </si>
  <si>
    <t>Other Grains, Pastas and Cereals: Pasta (SRBB Organic Pasta Cavatappi 12/16oz), Pasta (SRBB Organic Pasta Fusilli 12/16oz), Pasta (SRBB Organic Pasta Orecchiette 12/16oz), Pasta (SRBB Organic Pasta Pappardelle 12/16oz), Pasta (SRBB Organic Pasta Pennoni 12/16oz), Pasta (SRBB Organic Pasta Rigatoni 12/16oz); Oils &amp; Oleoresins: Oils (Botticelli Organic Cooking Extra Virgin Olive Oil 50.7 FL Oz.), Oils (Botticelli Organic Cooking Extra Virgin Olive Oil 50.7 oz TIN), Oils (Botticelli Organic Cooking Extra Virgin Olive Oil 6/16.9oz), Oils (Italian extra oil virgin oil 16.9 fl oz), Oils (Olive oil extra virgin oil 25.3 fl oz), Oils (Olive oil extra virgin oil 33.8 fl oz.); Fruits/Vegetables: Vegetables (Organic Peeled Tomatoes); Condiments and Sweeteners: Vinegar (Botticelli Organic Balsamic Vinegar 6/16.9oz); Beverage Related Products: Coffee (Botticelli Organic Drip Coffee All Day Blend 6/10oz), Coffee (Botticelli Organic Drip Coffee Evening Blend 6/10oz), Coffee (Botticelli Organic Drip Coffee Morning Blend 6/10oz), Coffee (Botticelli Organic Espresso 6/8.8oz), Coffee (Ground coffee All day blend for K-cups), Coffee (Ground coffee Espresso pods), Coffee (Ground coffee Evening blend for K-cups), Coffee (Ground coffee Morning blend for K-cups)</t>
  </si>
  <si>
    <t>Other: Agave Syrup (Blue), Agave Syrup (Raw Blue), Almond Butter, Apple Cider Vinegar, Apple Juice, Balsamic Vinegar (Glaze), Balsamic Vinegar (of Modena), Beet Juice, Broth (Chicken Broth, Fat Free), Broth (Chicken Broth, Fat Free Low Sodium), Broth (Vegetable Broth, Fat Free), Broth (Vegetable Broth, Fat Free Low Sodium), Brown Mustard (Spicy Brown Mustard), Brown Sugar (Turbinado ), Cane Sugar, Canned Beans (Black beans), Canned Beans (Black beans- No salt added), Canned Beans (Black eyed peas), Canned Beans (Black eyed peas- No salt added), Canned Beans (Cannellini beans), Canned Beans (Cannellini beans- No salt added), Canned Beans (Chili beans), Canned Beans (Chili beans- No salt added), Canned Beans (Dark Red Kidney beans), Canned Beans (Dark Red Kidney beans- No salt added), Canned Beans (Garbanzo beans), Canned Beans (Garbanzo beans- No salt added), Canned Beans (Great Northern Beans), Canned Beans (Great Northern Beans- No salt added), Canned Beans (Pinto beans), Canned Beans (Pinto beans- No salt added), Canned Beans (Salad beans), Canned Beans (Salad beans- No salt added), Canned Green Lentils, Canned Green Lentils (No Salt), Canned Hearts of Palm (Slices (cans and jars)), Canned Hearts of Palm (Spaghetti), Canned Hearts of Palm (Spears (cans and jars)), Canned Pumpkin, Canned Tomatoes (diced) (Diced Tomatoes 28 oz.), Canned Tomatoes (diced) (Whole Peeled Tomatoes 28 oz.), Cashew Butter, Cassava Chips, Cherry Juice (Tart Cherry Juice), Chia Seeds, Cocoa Powder, Coconut Milk (Coconut Milk Drink), Coconut Oil (Refined and Unrefined), Coconut Sugar, Coconut Water, Deli Mustard (Deli Mustard), Dijon Mustard (Dijon Mustard), Granola (Coconut Almond Chia), Granola (Dark Chocolate &amp; Berries), Granola (French Vanilla Almond), Granola (Island Pistachio), Granola (Pumpkin Flax), Honey (Acacia), Honey (Clover), Honey (Creamed Raw), Honey (Lychee), Honey (Sunflower), Honey (Wildflower), Juice Blend (Peach Apricot Juice), Juice Blend (Super Green Juice), Ketchup, Maple Syrup (Grade A Dark), Maple Syrup (Grade A Very Dark), Mini Pretzel (Round), Oatmeal (Apple Walnut Instant), Oatmeal (Flax Seed Instant), Oatmeal (Maple Pecan Instant), Oatmeal (Oatmeal Variety), Oatmeal (Original Instant), Olive Oil (Extra Virgen), Olives Various (Green Olive pitted), Olives Various (Green Olive rings), Olives Various (Kalamata halves), Olives Various (Kalamata Olives pitted), Pasta (Brown Rice &amp; Cauliflower Fusilli ), Pasta (Red Lentil Penne), Pasta (Rice &amp; Corn Fusilli ), Pasta (Rice &amp; Corn Penne), Pasta (Rice &amp; Corn Spaghetti), Pasta (Tri-color Farfalle), Pasta (Tri-color Fusilli), Pasta (Tri-color Penne), Pasta Sauce (Classic Marinara Fat Free Low Sodium), Pasta Sauce (Classic Marinara Low Fat), Pasta Sauce (Roasted Garlic Low Fat), Pasta Sauce (Tomato Basil Fat Free Low Sodium), Pasta Sauce (Tomato Basil Low Fat), Pineapple Juice, Plantain Chips, Pomegranate Juice, Quinoa, Red Wine Vinegar, Red Wine Vinegar (with the Mother), Rice (Basmati) (Brown), Rice (Basmati) (White), Rice (Brown) (Long Grain), Rice (White) (Long Grain), Roasted Coffee Beans (Breakfast Blend), Roasted Coffee Beans (Decaffeinated), Roasted Coffee Beans (French Roast), Roasted Coffee Beans (House Blend), Roasted Coffee Beans (Ultimate Roast), Salsa (Hot), Salsa (Medium ), Salsa (Mild), Salsa (Roasted Garlic), Salted Pretzel Sticks, Semolina Pasta (Cavatappi), Semolina Pasta (Medium Shells), Semolina Pasta (Orecchiette), Semolina Pasta (Penne Rigate), Semolina Pasta (Spaghetti), Spelt Pretzel, Stevia Powder, Tortilla Chips (Beet), Tortilla Chips (Blue corn (salted and unssalted)), Tortilla Chips (Cauliflower), Tortilla Chips (Mini Yellow corn), Tortilla Chips (Multigrain ), Tortilla Chips (Pumpkin), Tortilla Chips (Roasted Red Pepper), Tortilla Chips (Salsa Verde), Tortilla Chips (Sesame Blue corn), Tortilla Chips (Sweet potato), Tortilla Chips (White corn), Tortilla Chips (Yellow corn), Unsalted Pretzel Rounds (Mini), Vanilla Bean, Vanilla Extract, Various (Corn Cakes Dark Chocolate), Various (Corn Cakes Milk Chocolate), Various (Oat bran sticks), Various (Rice Cakes Dark Chocolate), Various (Rice cakes lightly salted), Various (Rice Cakes Milk Chocolate), Various (Rice cakes no salt), Various (Sourdough Hard), Watermelon Juice, Wheat Pretzel (Honey wheat sticks), White Wine Vinegar, White Wine Vinegar (with the Mother), Whole Grain Mustard (No Salt Whole Grain Mustard), Whole Wheat Pasta (Capellini), Whole Wheat Pasta (Farfalle), Whole Wheat Pasta (Fusilli), Whole Wheat Pasta (Linguine), Whole Wheat Pasta (Medium Shells), Yellow Mustard (Yellow Mustard)</t>
  </si>
  <si>
    <t>Other: Adzuki Beans, 2 lbs, 25 lbs, 50 lbs, Bulk, Bean Mix, 2 lbs, 5 lbs, Black Beans, 2 lbs, 25 lbs, 50 lbs, Bulk, Brown Flax Seed, 2 lbs, 25 lbs, 50 lbs, Bulk, Cornmeal, 2 lbs, 25 lbs, 50 lbs, Bulk, Dark Buckwheat Flour, 2 lbs, 25 lbs, 50 lbs, Bulk, Einkorn Berries, 2 lbs, 25 lbs, 50 lbs, Bulk, Einkorn Flour, 2 lbs, 25 lbs, 50 lbs, Bulk, Emmer Flour, 2 lbs, 25 lbs, 50 lbs, Bulk, French Lentils, 2 lbs, 25 lbs, 50 lbs, Bulk, Garbanzo Beans, 2 lbs, 25 lbs, 50 lbs, Bulk, Green Lentils, 2 lbs, 25 lbs, 50 lbs, Bulk, Green Split Peas, 2 lbs, 25 lbs, 50 lbs, Bulk, Hard Red Wheat, 2 lbs, 25 lbs, 50 lbs, Bulk, Hemp, Bulk, Hulled Barley, 2 lbs, 25 lbs, 50 lbs, Bulk, Hulled Buckwheat, 2 lbs, 25 lbs, 50 lbs, Bulk, Hulled Sunflower Seed, 2 lbs, 25 lbs, 50 lbs, Bulk, Navy Beans, 2 lbs, 25 lbs, 50 lbs, Bulk, Pinto Beans, 2 lbs, 25 lbs, 50 lbs, Bulk, Processing, Handling, and Packaging Grains, Red Kidney Beans, 2 lbs, 25 lbs, 50 lbs, Bulk, Red Split Lentils, 2 lbs, 25 lbs, 50 lbs, Bulk, Rolled Oats, 2 lbs, 25 lbs, 50 lbs, Bulk, Rye Berries, 2 lbs, 25 lbs, 50 lbs, Bulk, Rye Flour, 2 lbs, 25 lbs, 50 lbs, Bulk, Soft White Wheat Pastry Flour, 2 lbs, 25 lbs, 50 lbs, Bulk, Soft White Wheat, 2 lbs, 25 lbs, 50 lbs, Bulk, Spelt Berries, 2 lbs, 25 lbs, 50 lbs, Bulk, Spelt Flour, 2 lbs, 25 lbs, 50 lbs, Bulk, Steel Cut Oats, 2 lbs, 25 lbs, 50 lbs, Bulk, White Kidney Beans, 2 lbs, 25 lbs, 50 lbs, Bulk, Yellow Popcorn, 2 lbs, 25 lbs, 50 lbs, Bulk</t>
  </si>
  <si>
    <t>Other: #Import, processing, packaging, labeling, sales and distribution of flours, sprouted grains, and whole grains., High extraction flour: All Purpose High Extraction Flour, Breadtopia Select Bread Flour, Breck High Extraction Flour, Durum High Extraction Flour, Einkorn High Extraction Flour, Emmer High Extraction Flour, Hard White Spring High Extraction Flour, Kamut® High Extraction Flour, Khorasan High Extraction Flour, Red Fife High Extraction Wheat Flour, Rouge de Bordeaux High Extraction Flour, Rye High Extraction Flour, Soft White Wheat High Extraction Flour, Spelt High Extraction Flour, Sprouted Hard Red Spring High Extraction Flour, Sprouted Rye High Extraction Flour, Sprouted Spelt High Extraction Flour, Turkey Red High Extraction Flour, White Sonora High Extraction Flour, Yecora Rojo High Extraction Flour, Refined flour: All Purpose Flour, Diastatic Barley Malt Powder, High Protein Bread Flour, Tipo 00 Strong White Flour, White Kamut® Flour, Sprouted grain: Hard Red Berries, Rye Berries, Spelt Berries, Whole grain flour: Breck Whole Grain Flour, Durum Whole Grain Flour, Einkorn Whole Grain Flour, Emmer Whole Grain Flour, Hard White Spring Whole Grain Flour, Kamut® Whole Grain Flour, Khorasan Whole Grain Flour, Red Fife Whole Grain Flour, Rouge de Bordeaux Whole Grain Flour, Rye Whole Grain Flour, Soft White Whole Grain Flour, Spelt Whole Grain Flour, Sprouted Hard Red Spring Whole Grain Flour, Sprouted Rye Whole Grain Flour, Sprouted Spelt Whole Grain Flour, Stone Ground Whole Grain Bread Flour, Turkey Red Whole Grain Flour, White Sonora Whole Grain Flour, Whole Wheat All Purpose Flour, Yecora Rojo Whole Grain Flour, Whole grain: Black Chia Seeds, Bloody Butcher Corn, Breck Wheat Berries, Buckwheat Groats, Durum Berries, Einkorn Wheat Berries, Emmer Wheat Berries, Golden Flax Seeds, Hard Red Spring Wheat Berries, Hard Red Winter Wheat Berries ,Hard White Spring Wheat Berries, Kamut® Wheat Berries, Kernza Perennial Grain, Khorasan Berries, Pima Club Wheat Berries, Red Fife Berries, Rouge de Bordeaux, Rye Berries, Soft White Winter Wheat Berries, Spelt Berries, Turkey Red Winter Wheat Berries, White Quinoa, White Sonora Berries, Whole Oat Groats, Yecora Rojo Wheat Berries, Yellow Dent Corn</t>
  </si>
  <si>
    <t>Other Grains, Pastas and Cereals: Buckwheat; Fruits/Vegetables: Corn, Oats; Other: Soybeans, Yellow Corn</t>
  </si>
  <si>
    <t>Other: 69003.01 7 Grain Mix Agostoni White Chocolate Chunks Apple Cider Vinegar Powder 2101 B1301 Spray-Dried Natural Beef Stock sku#15012 Basil Beet Juice Concentrate Blackstrap Molasses (pasteurized) C1301 Spray-Dried Natural Chicken Broth sku#15002 Cane Sugar Cane Sugar (10007) Canola Oil CFC #530 Chia Seed Corn (Processed) Corn Starch - Novation 9230 CS3000 Soy Lecithin Dark Brown Sugar Flour]Corn Flour]Degermintated Yellow Garlic Garlic Roasted Gem of the West Vital Wheat Gluten Golden Granulated Raw Cane Sugar Golden Granulated Raw Cane Sugar Medium Invert Syrup High Oleic Sunflower Oil Honey Light Brown Sugar Medium Invert MicroGARD CS1-50 CO Millet Molasses Molasses (Blackstrap Molasses) Oat Fiber Oats (Processed) Oats Fiber Oregano Peppercorns - White Potato Flour Fine Potato Starch Powdered Sugar Psyllium Seed Husk Powder RBD Expeller Organic Oleic Sunflower Oil Regular Rolled Oats Rice Syrup Snowdrift Pastry Untreated Sprouted Flour Sucanat SweetRight 42DE Brown Rice Syrup Syrups ] Malt Extract 10000 Vinegar ] Apple Cider Vinegar 50GR Wheat Processed White Distilled Vinegar White Pepper Wildflower Honey</t>
  </si>
  <si>
    <t>Other: #Cleaning and bagging of dry grains and seeds., Food-grade Beans, Food-grade Corn, Popcorn, Whole Wheat Flour</t>
  </si>
  <si>
    <t>Other: Bread (Artisan Bread), Bread (Sandwich Loaf Bread), Bread (Sourdough Bread), Bread (Specialty Loaf Bread), Bread Flour (HRS Bread Flour - sifted), Bread Flour (HRS Bread Flour - whole), Buckwheat, Buckwheat (Buckwheat Hulls), Buckwheat (Buckwheat Soba), Buckwheat Flour, Buckwheat Flour (Buckwheat Soba Flour), Corn (Blue Corn), Corn (Broom Corn), Corn (Henry Moore Yellow Kernels), Corn (Popcorn), Corn (Red Corn), Corn (White Corn Kernels), Corn (White Popcorn), Corn Flour (Henry Moore Yellow Corn Flour), Cornmeal (Blue Grits/Cornmeal), Cornmeal (Henry Moore Yellow Bolted Grits), Cornmeal (Henry Moore Yellow Cornmeal), Cornmeal (Henry Moore Yellow Creamy Grits), Cornmeal (Popcorn Cornmeal), Cornmeal (Red Corn Grits), Cornmeal (Red Cornmeal), Cornmeal (White Corn Grits), Cornmeal (White Cornmeal), Einkorn (Flour- sifted), Einkorn (Flour- whole), Livestock Feed - Chicken Blend (Scratch Grain), Livestock Feed - Wheat Midds (Raw Wheat Bran), Misc Baking Mixes (Hush Puppy Mix), Mixed Grain Cereal (GRAINOLA), Oat Flour, Oatmeal (Coarse Oatmeal), Oatmeal (Fine Oatmeal), Oats (Hulless Oats), Oats (Hulless Oats Groats), Oats (Rolled Oats), Pastry Flour (SRW Pastry Flour - sifted), Pastry Flour (SRW Pastry Flour - whole), Popcorn (Maple Popcorn), Popcorn (Plain Air Popped Popcorn: Unseasoned), Popcorn (Popcakes), Processing (Oil Extraction), Soybean Oil, Sunflower Oil, Various Baked Goods (Pizza Crust), Wheat (Creamy Wheat), Wheat (Rolled Wheat), Wheat Berries (Soft Red Winter ), Wheat Flour (All Purpose Wheat Flour), Wheat Flour (High Extraction All Purpose Flour), Wheat Flour (HRS Clear Flour), Wheat Flour (HRS Middlings), Wheat Flour (HRS Wheat), Wheat Flour (HRW Wheat), Wheat Flour (HRW Wheat Flour - sifted), Wheat Flour (HRW Wheat Flour - whole), Wheat Flour (SRW Clear Flour), Wheat Flour (SRW Middlings), Wheat Flour (SRW Wheat), Wheat Pretzel</t>
  </si>
  <si>
    <t>Other: Granola (Ancient Grain Granola - Original), Granola (Ancient Grain Granola - Original Salty Sweet), Granola (Blueberry Hemp Ancient Grain Granola), Granola (Chocolate Sea Salt Probiotic Ancient Grain Granola), Granola (Grain Free Almond Cashew Granola), Granola (Grain Free Coconut Granola), Granola (Pumpkin Cinnamon Ancient Grain Granola), Granola (Vanilla Chocolate Chip Ancient Grain Granola), Snack Bars (Jammy Sammy Apple, Kale + Oatmeal), Snack Bars (Jammy Sammy Blueberry + Oatmeal ), Snack Bars (Jammy Sammy Peanut Butter + Grape), Snack Bars (Jammy Sammy Peanut Butter + Strawberry ), Snack Bars (Mighty Morning Bar Apple + Cinnamon ), Snack Bars (Mighty Morning Bar Blueberry + Lemon), Snack Bars (Mighty Protein - Almond Butter), Snack Bars (Mighty Snack Bars Blueberry), Snack Bars (Mighty Snack Bars Blueberry (rice starch filling)), Snack Bars (Mighty Snack Bars Pumpkin + Banana), Snack Bars (Mighty Snack Bars Strawberry), Snack Bars (Mighty Snack Bars Strawberry (rice starch filling)), Snack Bars (Whole Grain Bar, Chocolate Brownie), Snack Bars (Whole Grain Bar, Chocolate Chip), Snack Bars (Whole Grain Bar, Iced Oatmeal), Snack Bars (Whole Grain Bar, Variety Pack (Iced Oatmeal, Chocolate Brownie, Chocolate Chip))</t>
  </si>
  <si>
    <t>Other: Agave Inulin, Agave Syrup, Agave, Sweet Powder, Almond Butter/Paste, Almond Flour, Almonds, Dry Roasted, Almonds, Oil Roasted, Amaranth, Apples, Evaporated, Apricots, Dried, Arrowroot Flour, Barley, Barley, Pearled, Bean, Garbanzo Flour, Beans, Adzuki, Beans, Baby Lima, Beans, Black, Beans, Black Eye, Beans, Cannellini, Beans, Chili, Beans, Fava, Beans, Garbanzo, Beans, Great Northern, Beans, Kidney Dark Red, Beans, Kidney Light Red, Beans, Navy, Beans, Pink, Beans, Pinto, Beans, Small Red, Buckwheat, Buckwheat, Buckwheat Farina, Buckwheat Fines, Buckwheat Flour, Buckwheat Kasha, Buckwheat, Groats, Cane Sugar, Canola Oil, Refined, Cara Club Pastry Flour, Carrots, IQF, Cashew Butter, Cashew Paste, Cashews, Cassava/Tapioca Flour, Cocoa Butter, Cocoa Dutch Process, Coconut Chips, Coconut Cream-Aseptic, Coconut Flour, Coconut Flour, Coconut Oil, MCT, Coconut Oil, MCT, Coconut Oil, RBD, Coconut Oil, RBD, Coconut Oil, Virgin, Coconut Oil, Virgin, Coconut Oil, Virgin, Coconut Sugar, Coconut Sugar, Corn Starch, Dates, Desiccated Coconut, Dry Roasted Peanut Splits Organic, Edison All-Purpose Flour, Edison Whole Grain Flour, European All-Purpose Flour, Expresso Artisan Bread Flour, Expresso Whole Grain Bread Flour, Extra Virgin Olive Oil, Extra Virgin Olive Oil, Figs, Dried, Flax, Golden, Garbanzo Flour, Garlic &amp; Herb with Sea Salt &amp; Lemon 31194, Golden Rooibos Masala Chai Blend, Hazelnut Butter, IQF Chili Peppers, IQF Jalapeno Peppers, JD Club Pastry Flour, Koto Buckwheat Specialty Flour, Lentil Flour, Green, Lentils, Black Beluga, Lentils, French Green, Lentils, Green, Lentils, Laird, Lentils, Red, Matcha Masala Chai, Metropolitan Market All-Purpose Flour, Metropolitan Market Bread Flour, Metropolitan Market Pastry Flour, Milk Powder, Nonfat, Millet Flour, Molasses, Oats, Flakes, Oats, Flour, Oats, Rolled, OG All Purpose Meat Seasoning 31172, OG Butcher's Master Brine 31252, OG Cracked Pepper &amp; Lemon Seasoning 30203, OG Santa Maria Seasoning 31257, OG Steak Rub 31174, OG The Blend 30943, Onions, IQF, Diced, Oregon Fog Masala Chai Blend, Paleo Flour, Pea Protein, Peanut Flour, Peanut Paste Organic, Peas, Black Eyed, Peas, Green Split, Peas, Green Whole, Peas, Yellow Split, Peas, Yellow Whole, Pecans, Poppy Seeds, Potato Flakes, Potato Flour, Potato Starch, Potatoes, IQF, Diced, Peeled, Psyllium Husks, Pumpkin Seeds, Quinoa, Quinoa Flour, Raisins, Flames, Raisins, Thompsons, Red Lentil Flour, Rice Protein, Rice Syrup Clarified 42 DE, Rice Syrup Clarified 62 DE, Rice, Brown, Rice, Brown, Flour, Rice, Brown, Pregelatinized, Roasted Garbanzo Bean Flour, Rooibos Masala Chai Blend, Rouge de Bordeaux Specialty Flour, Safflower Oil, High Oleic, Salted Butter, Sesame Oil, Sesame Seed, Black, Sesame Seed, Hulled, Sesame Seed, Natural, Sesame Seed, Toasted, Skagit 1109 Specialty Flour, Soy Lecithin, Soybean Meal, Soybean Oil, Crude, Soybean Oil, Refined, Soybeans, Spelt, Sucanat, Sunflower Lecithin, Sunflower Oil, High Oleic, Sunflower Seeds, Sweet Potato Powder, Sweetener, Sweetener Stevia &amp; Monk Fruit, Tapioca Starch, Tapioca Syrup, Teff Grain, Toasted Sesame Oil, Traditional Masala Chai Blend, Vinegar, Apple Cider, Vinegar, White Distilled, Vital Wheat Gluten, Vital Wheat Gluten, Walnut Light, Halves and Pieces, Wheat Flour, Whole Grain Buckwheat Flour, Yellow Pea Flour</t>
  </si>
  <si>
    <t>Other Grains, Pastas and Cereals: Oil Seeds &amp; Grains (Soybeans, Soybean Meal &amp; Corn.)</t>
  </si>
  <si>
    <t>Other: #Processing and handling of baking ingredients., MWO Mold Inhibitor #4114, Natural Spelt Mold Inhibitor #4252, AOT Tortilla #7297, MWO Tortilla #7298, Hanover Rye Flavor #9835., Organic Shelf Extender #4102, #4103 ODC 2(A), WW1 #4104, O.M.I. #4105, Organic K Blend #4106, Organic Ag Flour #4107, Organic Topper #4108, Organic Gluten Replacer #4109, O.M.I.V. Free #4115, Organic Strengthener #4117, London Grains #6517, Organic 8 Grain &amp; Seeds Blend #6549, Organic Grains Plus #6653, OCT Softener #7101, Canadian Grains #8004, O7 Blend #8005, Organic G &amp; S #8024, 03 Grains #8025, Turano Organic Blend #8026, Organic 21 Blend #8027, Organic 6 Grain &amp; Seed #8028, OGC 7 #8031, Organic 11 Seed &amp; Grain #8039, Organic Seeds Plus #8041;</t>
  </si>
  <si>
    <t>Other: Bread (100% Stoneground Whole Wheat), Bread (All-Nations Whole Grain Sourdough ), Bread (Awesome Oatmeal), Bread (Banana), Bread (Beautiful Buns), Bread (Beautiful Hot Dog Buns), Bread (Blessed Bagel), Bread (Blueberry Bread), Bread (Blueberry Swirl Rolls), Bread (Caramel Swirl Rolls), Bread (Cherry Swirl Rolls), Bread (Chocolate Chip Cake ), Bread (Cinna-Bites), Bread (Cinnamon (Date Honey) Sprouted Sourdough), Bread (Cinnamon Bagels), Bread (Cinnamon Rolls), Bread (Cinnamon Sourdough), Bread (Cinnamon Swirl ), Bread (Cranberry Bread ), Bread (Cranberry Bread (Sourdough)), Bread (Crumbs), Bread (Crunchy Garlic Croutons ), Bread (Elegant English Muffins), Bread (French Bread), Bread (Healthy White Sandwich), Bread (Hoagie Rolls), Bread (Multi Whole Grain w/ Flax), Bread (Oat Sourdough), Bread (Pumpkin), Bread (Rustic Sourdough), Bread (Sourdough Bagels), Bread (Sourdough English Muffins), Bread (Sprouted Oatmeal Sourdough), Bread (Sprouted Sourdough), Bread (Sprouted Sourdough Bagels), Bread (Sprouted Sourdough English Muffins), Bread (Sprouted Spelt Sourdough), Bread (Traditional Challah), Bread (Turmeric Sourdough), Bread (Whole Grain Sourdough), Bread (Whole Wheat Bagels), Bread (Whole Wheat Challah), Bread (Whole Wheat Sprouted Sourdough), Bread (World's Best Rye), Bread (World's Best Rye Sourdough), Bread (Zucchini Bread), Cakes (Apple), Cakes (Date Honey Cake), Cereal (Grapenuts), Cookies (Chocolate Brownie Cookies – Sweetened With Maple Syrup), Cookies (Chocolate Chip), Cookies (Chocolate Chip Cookies – Sweetened With Maple Syrup), Cookies (Gingerbread Cookies), Cookies (Oatmeal Chocolate Chip Cookies – Sweetened With Maple Syrup), Cookies (Oatmeal Cranberry Cookies), Cookies (Oatmeal Cranberry Cookies – Sweetened With Maple Syrup), Cookies (Oatmeal Raisin Cookies – Sweetened With Maple Syrup), Cookies (Snickerdoodles), Cookies (Soft &amp; Chewy Oatmeal), Cookies (The Ultimate Coconut Cookies), Cookies (Vanilla Wafer Cookies - Sweetened with Maple Syrup), Croissants (Chocolate Croissants), Croissants (Croissant), Flatbread (Chili &amp; Herb Sourdough Tortillas), Flatbread (Chili &amp; Herb Sprouted Sourdough Tortillas), Flatbread (Chili &amp; Herb Tortillas), Flatbread (Sourdough Tortillas), Flatbread (Sprouted Sourdough Tortillas), Flatbread (Terrific Tortillas), Flatbread (Whole Wheat Sourdough Tortillas), Flatbread (Whole Wheat Tortillas), Food Bar (Real Food Protein Bar - Chocolate Lover's), Food Bar (Real Food Protein Bar - Cinnamon Raisin), Food Bar (Real Food Protein Bar - Simply Coconut), Granola (Heavenly Banana), Granola (Heavenly Chocolate), Granola (Heavenly Cookie Crunch), Granola (Heavenly Pumpkin), Granola (Heavenly Spice), Noodles (High Fiber Whole Wheat Sourdough Noodles), Noodles (Semolina Sourdough Noodles), Noodles (Spelt Sourdough Noodles), Noodles (Sprouted Sourdough Noodles), Pie (Beautiful Blueberry Pie), Pie (Blue Ribbon Apple Pie ), Pie (Cherry Pie), Pie (Perfect Pumpkin Pie), Pie (Perfect Pumpkin Pie (Maple Syrup)), Pie (Scrumptious Sweet Potato Pie), Pie (SF Blue Ribbon Apple Pie), Pie (Sweet Potato Pie (No Current Production)), Pizza (Cheese Pizza), Pizza (Mushroom Pizza), Pizza (Sourdough Cheese Pizza), Pizza (Sourdough Mushroom Pizza), Pizza (Spinach Pizza), Pizza Dough (Pizza Crust ), Pizza Dough (Whole Wheat Pizza Crust ), Pizza Sauce (Pizza Sauce), Spread (Heavenly Dairy Free Butter), Spread (Heavenly Dairy Free Mozzarella)</t>
  </si>
  <si>
    <t>Other: Basmati Rice, Basmati Rice, Black Rice, BROWN JASMINE RICE, Brown Thai Jasmine Rice, COOKED BLACK GLUTINUOUS RICE, COOKED BLACK JASMINE RICE, COOKED BROWN JASMINE RICE, Cooked Brown Jasmine Rice Golden Star Brand, COOKED GLUTINUOUS RICE, COOKED JASMINE RICE, COOKED JASMINE RICE AND RED RICE, Cooked Jasmine Rice and Red Rice Golden Star Brand, Cooked Jasmine Rice Golden Star Brand, COOKED RED RICE, Cooked Red Rice Golden Star Brand, COOKED RICE BERRY, Cooked Rice Berry Golden Star Brand, Cooked Thai Hom Mali Brown Rice, Cooked Thai Hom Mali Rice, Cooked Thai Jasmine Brown Rice, Cooked Thai Jasmine Rice, JASMINE RICE, LONG GRAIN WHITE RICE, MILLED BROWN JASMINE RICE, MILLED JASMINE RICE, Organic Ready to eat 9 grains rice (Jasberry), Ready to eat Brown Jasmine Rice, READY TO EAT COCONUT RICE, Ready To Eat Hommali Brown Rice with Red Quinoa (Nutriris Easy Brand), Ready To Eat Hommali Rice with Red Quinoa (Nutriris Easy Brand), Ready to eat Jasmine Rice, READY TO EAT RICE, Ready to eat Riceberry Rice, Ready To Eat Riceberry Rice with White Quinoa (Nutriris Easy Brand), Ready To Eat Superfood Rice Green Curry (Jasberry ), Red Rice, Riceberry Rice, THAI HOM MALI BROWN RICE, Thai Hom Mali Cargo Rice with CO2, THAI HOM MALI RICE, Thai Hom Mali Rice with CO2, THAI JASMINE BROWN RICE, THAI JASMINE RICE, Thai Jasmine Rice</t>
  </si>
  <si>
    <t>Other Grains, Pastas and Cereals: CORN, Quinoa, SUNFLOWER, Wheat; Nuts/Seeds: CHIA (Salvia hispanica L), FLAX, SESAME; Fruits/Vegetables: Beans (CHICKPEA), Beans (BEAN)</t>
  </si>
  <si>
    <t>Other Grains, Pastas and Cereals: Hay, Straw</t>
  </si>
  <si>
    <t>Other: 6 Grain Whiskey</t>
  </si>
  <si>
    <t>Other Grains, Pastas and Cereals: POPCORN; Fruits/Vegetables: Beans (SOYBEAN)</t>
  </si>
  <si>
    <t>Trees/Whole Plant Products/Flowers: Seeds (MILLET); Other Grains, Pastas and Cereals: POPCORN, Quinoa, SUNFLOWER, Wheat, Wheat (BUCKWHEAT); Nuts/Seeds: AMARANTHUS, CHIA (Salvia hispanica L), FLAX, LINEN, SESAME; Fruits/Vegetables: Beans (PEA), Beans (CHICKPEA), Beans (LENTIL), Beans (BEAN)</t>
  </si>
  <si>
    <t>Other Grains, Pastas and Cereals: Rice (Chainat rice (Paddy), Chainat rice (white/brown/broken rice), Hommali rice (Paddy), Hommali rice (white/brown/broken rice), Local varieties (Paddy), RD 15 rice (Paddy), RD 6 rice (Paddy), RD15 rice (white/brown/broken rice), RD6 rice (white/brown/broken rice), Riceberry rice (Paddy), Riceberry rice (white/brown/broken rice))</t>
  </si>
  <si>
    <t>Other: Grain Cleaning &amp; Drying, Grain Storage</t>
  </si>
  <si>
    <t>Other: Arugula Seeds, Arugula Seeds (Rocket), Arugula Seeds (Selvatica), Arugula Seeds (Selvatica), Assorted Seed (Organic Garden Culinary Herb Garden), Assorted Seed (Organic Garden Space Saver Salad Garden), Assorted Seed (Organic Garden Vegetable Starter Garden), Basil Seeds, Basil Seeds (Aton), Basil Seeds (Genovese), Basil Seeds (Greek Miniature), Basil Seeds (Obsession), Basil Seeds (Sweet), Beans Seeds (Garden Bean Big Kahuna), Beans Seeds (Garden Bean Burpee's Stringless Green Pod), Beans Seeds (Garden Bean Burpee's Tenderpod), Beans Seeds (Garden Bean Bush Blue Lake 274), Beans Seeds (Garden Bean Bush Blue Lake 47), Beans Seeds (Garden Bean Kentucky Wonder), Beans Seeds (Garden Bean Provider), Beans Seeds (Garden Bean Royalty Purple Pod), Beans Seeds (Golden Wax Improved), Beans Seeds (Green Beans), Beet Seeds, Beet Seeds (Detroit Dark Red, Medium Top), Beet Seeds (Early Wonder), Beet Seeds (Seed Tape - Early Wonder), Broccoli Seeds, Broccoli Seeds (De Cicco), Broccoli Seeds (Raab), Broccoli Seeds (Raab Rapini), Brussels Sprouts Seeds, Cabbage Seeds, Cabbage Seeds (All Seasons), Calendula Seeds, Cantaloupe Seeds, Cantaloupe Seeds (Hearts of Gold), Cantaloupe Seeds (Honey Rock), Carrot Seeds, Carrot Seeds (Danvers 126), Carrot Seeds (Danvers 126), Carrot Seeds (Kaleidoscope Blend), Carrot Seeds (Nantes Half Long), Carrot Seeds (Scarlet Nantes), Carrot Seeds (Short 'n Sweet), Catnip Seeds, Cauliflower Seeds, Chard Seeds, Chard Seeds (Swiss), Chard Seeds (Swiss Chard Fordhook Giant), Chard Seeds (Swiss Chard Ruby Red), Chicory Seeds, Chives Seeds, Chives Seeds (Garlic), Cilantro Seeds, Cilantro Seeds (Coriander), Collards Seeds, Coriander Seeds, Corn Seeds, Corn Seeds (Corn Salad), Cover Crop Seeds (Winter Rye &amp; Austrian Winter Pea), Cress Seeds, Cucumber Seeds, Cucumber Seeds (Bush Champion), Cucumber Seeds (Double Yield), Cucumber Seeds (Garden Sweet Burpless Hybrid), Cucumber Seeds (Marketmore 76), Cucumber Seeds (Muncher), Cucumber Seeds (Pick-a-Bushel Hybrid), Cucumber Seeds (Picklebush), Dill Seeds, Dill Seeds (Mammoth), Eggplant Seeds, Eggplant Seeds (Burpee's Black Beauty), Endive Seeds, Escarole Seeds, Gourd Seeds, Kale Seeds, Kohlrabi Seeds, Lavender Seeds, Lettuce Seeds, Lettuce Seeds (Black Seeded Simpson), Lettuce Seeds (Buttercrunch), Lettuce Seeds (Gourmet Blend), Lettuce Seeds (Gourmet Blend), Lettuce Seeds (Lettuce Seeds - Burpee Bibb), Lettuce Seeds (Little Gem), Lettuce Seeds (Seed Tape - Buttercrunch), Lettuce Seeds (Seed Tape - Gourmet Blend), Lettuce Seeds (Silvia), Marjoram Seeds, Melon Seeds (Cantaloupe), Melon Seeds (Honeydew), Mesclun Seeds, Mesclun Seeds (Classic Mix), Mesclun Seeds (Seed Tape - Classic Mix), Mustard Seeds, Mustard Seeds (Red Giant), Okra Seeds, Okra Seeds (Burgundy), Okra Seeds (Clemson Spineless), Onion Seeds, Onion Seeds (Bunching Onion Evergreen Long White), Oregano Seeds, Oregano Seeds (Greek), Pak Choi, Parsley Seeds, Parsley Seeds (Gigante D'Italia), Parsley Seeds (Green Pearl), Parsley Seeds (Italian Dark Green), Parsley Seeds (Plain or Single Italian), Pea Seeds, Pea Seeds (Blue Bantam), Pea Seeds (Burpeeana Early), Pea Seeds (Cascadia Peas), Pea Seeds (Easy Peasy), Pea Seeds (Garden Bean Provider), Pea Seeds (Garden Sweet), Pea Seeds (Oregon Sugar Pod II), Pea Seeds (Progress #9), Pea Seeds (Sugar Daddy), Pea Seeds (Super Snappy), Pepper Seeds, Pepper Seeds (Hot Pepper), Pepper Seeds (Hot Pepper Greek Pepperoncini), Pepper Seeds (Hot Pepper Jalapeño Early), Pepper Seeds (Hot Pepper Poinsettia), Pepper Seeds (Hot Pepper Yellow Cayenne), Pepper Seeds (Sweet Pepper California Wonder), Pepper Seeds (Sweet Pepper Carnival Blend), Pepper Seeds (Sweet Pepper Orange Sun), Potato Seeds, Pumpkin Seeds, Pumpkin Seeds (Jack-O’-Lantern), Pumpkin Seeds (Small Sugar), Radish Seeds, Radish Seeds (Cherry Belle), Radish Seeds (China Rose), Radish Seeds (French Breakfast), Radish Seeds (German Giant), Radish Seeds (Salad Rose), Radish Seeds (Seed Tape - Cherry Belle), Rye Grain Seeds (Cover Crop Winter Rye), Sage Seeds, Seed Blend (Space Saver Salad Garden), Spinach Seeds, Spinach Seeds (Bloomsdale Long Standing), Spinach Seeds (Palco Hybrid), Spinach Seeds (Seed Tape - Bloomsdale Long Standing), Squash Seeds, Squash Seeds (Summer Squash - Early Summer Crookneck), Squash Seeds (Summer Squash Dark Green Zucchini), Squash Seeds (Summer Squash Early Prolific Straightneck), Squash Seeds (Summer Squash Early Summer Crookneck), Squash Seeds (Summer Squash Fordhook Zucchini), Squash Seeds (Winter Squash Waltham Butternut), Sunflower Seeds, Sunflower Seeds (Jerusalem Gold Hybrid), Sunflower Seeds (Mammoth), Sunflower Seeds (Ornamental Mix), Tomatillo Seeds, Tomatillo Seeds (Green), Tomatillo Seeds (Purple), Tomato Seeds, Tomato Seeds (Baxter’s Bush Cherry), Tomato Seeds (Black Krim), Tomato Seeds (Brandywine Pink), Tomato Seeds (Brandywine Red), Tomato Seeds (Burpee’s Long-Keeper), Tomato Seeds (Chadwick Cherry), Tomato Seeds (Delicious), Tomato Seeds (Fourth of July Hybrid), Tomato Seeds (Queen of Hearts Hybrid), Tomato Seeds (Roma), Tomato Seeds (Rutgers), Tomato Seeds (San Marzano), Tomato Seeds (Steakhouse Hybrid), Tomato Seeds (Sweetie), Tomato Seeds (Yellow Pear), Turnip Seeds, Turnip Seeds (Golden Globe), Various Seeds (Wheatgrass), Watermelon Seeds, Watermelon Seeds (Allsweet), Watermelon Seeds (Bush Sugar Baby), Watermelon Seeds (Carolina Cross #183), Watermelon Seeds (Jubilee), Watermelon Seeds (Orange Tendersweet), Watermelon Seeds (Sugar Baby), Zucchini Seeds</t>
  </si>
  <si>
    <t>Other Grains, Pastas and Cereals: Barley (Barley), Corn, Corn Screenings, Rice (Rice), Soybean Meal, Soybeans, Spelt, Wheat (Wheat); Dairy: Milk (Raw Cow Milk); Animal Feed: Livestock Feed (Hay); Other: Brokering Organic Grains and Screenings, Brokering Organic Hay and Forages, Labeling Milk, Packaging Milk</t>
  </si>
  <si>
    <t>Other: Dietary Supplement (Aceto Fermented Amla Berry Powder (Non-retail)), Dietary Supplement (Aceto Fermented Andrographis Panculata (Non-retail)), Dietary Supplement (Aceto Fermented Apple (Non-retail)), Dietary Supplement (Aceto Fermented Aronia (Non-retail)), Dietary Supplement (Aceto Fermented Ashwagandha (Non-retail)), Dietary Supplement (Aceto Fermented Ashwagandha Powder (Non-Retail)), Dietary Supplement (Aceto Fermented Astragulas (Non-Retail)), Dietary Supplement (Aceto Fermented Avocado Whole Plant (Non-retail)), Dietary Supplement (Aceto Fermented Bacopa Leaf (Non-retail)), Dietary Supplement (Aceto Fermented Bearberry (Uva Ursi) Leaf (Non-retail)), Dietary Supplement (Aceto Fermented Bitter Herb Blend (Non-retail)), Dietary Supplement (Aceto Fermented Black Berry (Non-retail)), Dietary Supplement (Aceto Fermented Black Cohosh (Non-retail)), Dietary Supplement (Aceto Fermented Black Tea Leaf (Non-Retail)), Dietary Supplement (Aceto Fermented Black Turmeric (Non-retail)), Dietary Supplement (Aceto Fermented Blue Turmeric (Non-retail)), Dietary Supplement (Aceto Fermented Brain Blend (Non-retail)), Dietary Supplement (Aceto Fermented Bupleurum (Non-Retail)), Dietary Supplement (Aceto Fermented Burdock Root (Non-Retail)), Dietary Supplement (Aceto Fermented Cacao (Non-retail)), Dietary Supplement (Aceto Fermented Chaste Tree Berry Powder (Non-retail)), Dietary Supplement (Aceto Fermented Cherimoya (Non-retail)), Dietary Supplement (Aceto Fermented Cinnamon Blend (Non-retail)), Dietary Supplement (Aceto Fermented Clove (Non-retail)), Dietary Supplement (Aceto Fermented Coffee (Non-retail)), Dietary Supplement (Aceto Fermented Coffee Blend (Non-retail)), Dietary Supplement (Aceto Fermented Dandelion (Non-Retail)), Dietary Supplement (Aceto Fermented Dragonfruit (Non-retail)), Dietary Supplement (Aceto Fermented Echinacea Root (Non-retail)), Dietary Supplement (Aceto Fermented Elderberry Powder (Non-retail)), Dietary Supplement (Aceto Fermented Feijoa (Non-retail)), Dietary Supplement (Aceto Fermented Fenugreek (Non-retail)), Dietary Supplement (Aceto Fermented Fig (Non-retail)), Dietary Supplement (Aceto Fermented Ginger (Non-Retail)), Dietary Supplement (Aceto Fermented Ginko (Non-retail)), Dietary Supplement (Aceto Fermented Goji (Non-retail)), Dietary Supplement (Aceto Fermented Green Tea (Non-Retail)), Dietary Supplement (Aceto Fermented Green Turmeric (Non-retail)), Dietary Supplement (Aceto Fermented Greens Blend (Non-retail)), Dietary Supplement (Aceto Fermented Guava (Non-retail)), Dietary Supplement (Aceto Fermented Hawthorn (Non-retail)), Dietary Supplement (Aceto Fermented Heating Herb Blend (Non-retail)), Dietary Supplement (Aceto Fermented Herbal Blend (Non-retail)), Dietary Supplement (Aceto Fermented Holy Basil Powder (Non-retail)), Dietary Supplement (Aceto Fermented Juniper Berry (Non-retail)), Dietary Supplement (Aceto Fermented Kelp Whole Plant (Non-Retail)), Dietary Supplement (Aceto Fermented Keto Blend (Non-retail)), Dietary Supplement (Aceto Fermented Keylime (Non-retail)), Dietary Supplement (Aceto Fermented Lemon (Non-retail)), Dietary Supplement (Aceto Fermented Licorice Root (Non-retail)), Dietary Supplement (Aceto Fermented Mango (Non-retail)), Dietary Supplement (Aceto Fermented Master Blend (Non-retail)), Dietary Supplement (Aceto Fermented Milk Thistle Seed (Non-Retail)), Dietary Supplement (Aceto Fermented Moringa (Non-retail)), Dietary Supplement (Aceto Fermented Mushroom Blend (Non-retail)), Dietary Supplement (Aceto Fermented Noni (Non-retail)), Dietary Supplement (Aceto Fermented Oregano Leaf (Non-retail)), Dietary Supplement (Aceto Fermented Oregano Powder (Non-retail)), Dietary Supplement (Aceto Fermented Papaya (Non-retail)), Dietary Supplement (Aceto Fermented Passionfruit (Non-retail)), Dietary Supplement (Aceto Fermented Pine Needles (Non-retail)), Dietary Supplement (Aceto Fermented Plantain (Non-retail)), Dietary Supplement (Aceto Fermented Plum (Non-retail)), Dietary Supplement (Aceto Fermented Pomegranate (Non-retail)), Dietary Supplement (Aceto Fermented Rhodiola Powder (Non-retail)), Dietary Supplement (Aceto Fermented Rosemary Leaf Powder (Non-retail)), Dietary Supplement (Aceto Fermented Sage Leaf Powder (Non-retail)), Dietary Supplement (Aceto Fermented SBO Gut Blend (Non-Retail)), Dietary Supplement (Aceto Fermented SBO Men's Blend (Non-Retail)), Dietary Supplement (Aceto Fermented SBO Women's Blend (Non-Retail)), Dietary Supplement (Aceto Fermented Schisandra (Non-retail)), Dietary Supplement (Aceto Fermented Sleep Blend (Non-retail)), Dietary Supplement (Aceto Fermented Soursop (Non-retail)), Dietary Supplement (Aceto Fermented Spearmint (Non-retail)), Dietary Supplement (Aceto Fermented Stress Blend (Non-retail)), Dietary Supplement (Aceto Fermented Thyme (Non-retail)), Dietary Supplement (Aceto Fermented Turmeric Powder (Non-retail)), Dietary Supplement (Aceto Fermented White Mulberry (Non-retail)), Dietary Supplement (Aceto Fermented Yerba Mate (Non-Retail)), Dietary Supplement (Ashwaganda), Dietary Supplement (Ashwaganda - Once Daily Caplets), Dietary Supplement (Ashwagandha), Dietary Supplement (Ashwagandha - Once Daily), Dietary Supplement (Ashwagandha - Once Daily - Caplet ), Dietary Supplement (Ashwagandha - Once Daily - Caplet - 60 ct), Dietary Supplement (Ashwagandha - Once Daily Caplets), Dietary Supplement (Ashwagandha Capsules), Dietary Supplement (Ashwagandha-Once Daily Caplets), Dietary Supplement (Beef Liver +), Dietary Supplement (Beef Liver Pure Capsules), Dietary Supplement (Brain Boost Capsules), Dietary Supplement (Candida Balance), Dietary Supplement (CBD Hemp Brain Boost Caplet), Dietary Supplement (CBD Hemp Caplets 10mg), Dietary Supplement (CBD Hemp Caplets 20mg), Dietary Supplement (CBD Hemp Caplets 40mg), Dietary Supplement (CBD Hemp Cinnamon Oil 10mg), Dietary Supplement (CBD Hemp Cinnamon Oil 20mg), Dietary Supplement (CBD Hemp Cinnamon Oil 40mg), Dietary Supplement (CBD Hemp Golden Chai 10 mg), Dietary Supplement (CBD Hemp Golden Chai 20 mg), Dietary Supplement (CBD Hemp Golden Chai 40 mg), Dietary Supplement (CBD Hemp Oil 10mg ), Dietary Supplement (CBD Hemp Oil 20mg ), Dietary Supplement (CBD Hemp Oil 40mg ), Dietary Supplement (CBD Hemp Relief and Comfort Caplet), Dietary Supplement (CBD Hemp Sound Sleep Caplet), Dietary Supplement (CBD Hemp Stress &amp; Tension Caplet), Dietary Supplement (Collagen Peptides - Vanilla), Dietary Supplement (Cordyceps), Dietary Supplement (Cordyceps Capsules), Dietary Supplement (Elderberry), Dietary Supplement (Elderberry - Once Daily), Dietary Supplement (Elderberry - Once Daily - Caplet ), Dietary Supplement (Elderberry - Once Daily - Caplet - 60 ct), Dietary Supplement (Elderberry - Once Daily Caplets), Dietary Supplement (Elderberry + C Caplets), Dietary Supplement (Extra Strength Probiotics), Dietary Supplement (Extra Strength Probiotics (refrigerated)), Dietary Supplement (First Cut CBD Powder), Dietary Supplement (Focused Brain), Dietary Supplement (Gut Recovery Probiotics), Dietary Supplement (Gut Recovery Probiotics (shelf stable)), Dietary Supplement (Gut Restore Probiotics (refrigerated)), Dietary Supplement (Hemp Fermented Caplets), Dietary Supplement (Hemp Oil Cinnamon-30mg Hemp Extract), Dietary Supplement (Holy Basil), Dietary Supplement (Immune Defense - Once Daily), Dietary Supplement (Immune Defense - Once Daily Caplets), Dietary Supplement (Immune Defense - Once Daily Capsules), Dietary Supplement (Immune Defense Blend Caplets), Dietary Supplement (Iron), Dietary Supplement (Iron -  Once Daily - Caplet ), Dietary Supplement (Iron - Once Daily), Dietary Supplement (Iron - Once Daily - Caplet), Dietary Supplement (Iron - Once Daily Caplets), Dietary Supplement (Iron-Once Daily Caplets), Dietary Supplement (Joint &amp; Mobility Capsules), Dietary Supplement (Keto CBD MCT Oil), Dietary Supplement (Leaky Gut), Dietary Supplement (Leaky Gut Support), Dietary Supplement (Lion's Mane), Dietary Supplement (Lion's Mane - Once Daily), Dietary Supplement (Lion's Mane Capsules), Dietary Supplement (Lion's Mane Mushroom), Dietary Supplement (Lion's Mane Mushroom - Once Daily), Dietary Supplement (Lion's Mane Mushroom - Once Daily Caplets), Dietary Supplement (Lion's Mane Mushroom-Once Daily Caplets), Dietary Supplement (Lion's Mane Myceliated Ginkgo &amp; Bacopa (Non-Retail)), Dietary Supplement (Liver Cleanse), Dietary Supplement (Menopause Support Probiotics), Dietary Supplement (Menopause Support Probiotics (refrigerated)), Dietary Supplement (Men's 50+ Multi), Dietary Supplement (Men's Multi), Dietary Supplement (Men's Multi - Once Daily), Dietary Supplement (Men's Multi - Once Daily Caplets), Dietary Supplement (Men's Multi 50+), Dietary Supplement (Men's Multi 50+ - Once Daily), Dietary Supplement (Men's Multi 50+ - Once Daily Caplets), Dietary Supplement (Men's Mushroom - Once Daily), Dietary Supplement (Metabolism Support Probiotics), Dietary Supplement (Metabolism Support Probiotics (shelf stable)), Dietary Supplement (Multi - Men’s 50+ - Caplet), Dietary Supplement (Multi - Men’s 50+ - Once Daily - Caplet - 120 ct), Dietary Supplement (Multi - Men's), Dietary Supplement (Multi - Men's - Caplet ), Dietary Supplement (Multi - Men's - Caplet - 120 ct), Dietary Supplement (Multi - Men's - Caplet - 60 ct), Dietary Supplement (Multi - Men's 50+ - Caplet - 60 ct), Dietary Supplement (Multi - Prenatal), Dietary Supplement (Multi - Prenatal - Caplet ), Dietary Supplement (Multi - Women’s 50+ - Caplet), Dietary Supplement (Multi - Women's), Dietary Supplement (Multi - Women's - Caplet ), Dietary Supplement (Multi Mushroom), Dietary Supplement (Multi Mushroom - Once Daily), Dietary Supplement (Multi Mushroom - Once Daily - Caplet ), Dietary Supplement (Multi Mushroom - Once Daily Caplets), Dietary Supplement (Multi Mushroom Capsules), Dietary Supplement (Multi Organ +), Dietary Supplement (Multi Organ Pure), Dietary Supplement (Multi Shroom 7 Capsules), Dietary Supplement (Multi-Mushroom - Once Daily Caplets), Dietary Supplement (Multi-Mushroom-Once Daily Caplets), Dietary Supplement (Multivitamin 90 Count), Dietary Supplement (Mushroom Blend Caplet), Dietary Supplement (Myceliated Grain: Agaricus blazei on Brown Rice (Non-retail)), Dietary Supplement (Myceliated Grain: Agaricus blazei on Purple Corn (Non-retail)), Dietary Supplement (Myceliated Grain: Agaricus blazei on Yellow Corn (Non-Retail)), Dietary Supplement (Myceliated Grain: Cordyceps militaris on Brown Rice (Non-retail)), Dietary Supplement (Myceliated Grain: Cordyceps militaris on Purple Corn (Non-retail)), Dietary Supplement (Myceliated Grain: Cordyceps militaris on Yellow Corn (Non-retail)), Dietary Supplement (Myceliated Grain: Cordyceps sinensis on Brown Rice (Non-retail)), Dietary Supplement (Myceliated Grain: Cordyceps sinensis on Purple Corn (Non-retail)), Dietary Supplement (Myceliated Grain: Cordyceps sinensis on Yellow Corn (Non-retail)), Dietary Supplement (Myceliated Grain: Flammulina velutipes on Brown Rice (Non-Retail)), Dietary Supplement (Myceliated Grain: Flammulina velutipes on Purple Corn (Non-Retail)), Dietary Supplement (Myceliated Grain: Flammulina velutipes on Yellow Corn (Non-Retail)), Dietary Supplement (Myceliated Grain: Ganoderma lucidum on Brown Rice (Non-Retail)), Dietary Supplement (Myceliated Grain: Ganoderma lucidum on Purple Corn (Non-Retail)), Dietary Supplement (Myceliated Grain: Ganoderma lucidum on Yellow Corn (Non-Retail)), Dietary Supplement (Myceliated Grain: Grifola frondosa on Brown Rice (Non-Retail)), Dietary Supplement (Myceliated Grain: Grifola frondosa on Purple Corn (Non-Retail)), Dietary Supplement (Myceliated Grain: Grifola frondosa on Yellow Corn (Non-Retail)), Dietary Supplement (Myceliated Grain: Hericium erinaceus on Brown Rice (Non-Retail)), Dietary Supplement (Myceliated Grain: Hericium erinaceus on Purple Corn (Non-retail)), Dietary Supplement (Myceliated Grain: Hericium erinaceus on Yellow Corn (Non-Retail)), Dietary Supplement (Myceliated Grain: Inonotus obliquus on Brown Rice (Non-Retail)), Dietary Supplement (Myceliated Grain: Inonotus obliquus on Purple Corn (Non-retail)), Dietary Supplement (Myceliated Grain: Inonotus obliquus on Yellow Corn (Non-retail)), Dietary Supplement (Myceliated Grain: Lentinula Edodes on Brown Rice (Non-Retail)), Dietary Supplement (Myceliated Grain: Lentinula Edodes on Purple Corn (Non-retail)), Dietary Supplement (Myceliated Grain: Lentinula Edodes on Yellow Corn (Non-retail)), Dietary Supplement (Myceliated Grain: Lepiota procera on Brown Rice (Non-Retail)), Dietary Supplement (Myceliated Grain: Lepiota procera on Purple Corn (Non-Retail)), Dietary Supplement (Myceliated Grain: Lepiota procera on Yellow Corn (Non-Retail)), Dietary Supplement (Myceliated Grain: Phellinus linteus on Brown Rice (Non-Retail)), Dietary Supplement (Myceliated Grain: Phellinus linteus on Purple Corn (Non-Retail)), Dietary Supplement (Myceliated Grain: Phellinus linteus on Yellow Corn (Non-Retail)), Dietary Supplement (Myceliated Grain: Pleurotus ostreatus on Brown Rice (Non-Retail)), Dietary Supplement (Myceliated Grain: Pleurotus ostreatus on Purple Corn (Non-Retail)), Dietary Supplement (Myceliated Grain: Pleurotus ostreatus on Yellow Corn (Non-Retail)), Dietary Supplement (Myceliated Grain: Pleurotus tuber-regium on Brown Rice (Non-Retail)), Dietary Supplement (Myceliated Grain: Pleurotus tuber-regium on Purple Corn (Non-Retail)), Dietary Supplement (Myceliated Grain: Pleurotus tuber-regium on Yellow Corn (Non-Retail)), Dietary Supplement (Myceliated Grain: Trametes versicolor on Brown Rice (Non-Retail)), Dietary Supplement (Myceliated Grain: Trametes versicolor on Purple Corn (Non-retail)), Dietary Supplement (Myceliated Grain: Trametes versicolor on Yellow Corn (Non-Retail)), Dietary Supplement (Myceliated Grain: Tremella fuciformis on Brown Rice (Non-Retail)), Dietary Supplement (Myceliated Grain: Tremella fuciformis on Purple Corn (Non-Retail)), Dietary Supplement (Myceliated Grain: Tremella fuciformis on Yellow Corn (Non-Retail)), Dietary Supplement (Myceliated Holy Basil (Non-retail)), Dietary Supplement (Myceliated Turmeric Root (Non-retail)), Dietary Supplement (Nikken Brain Booster (Non-retail)), Dietary Supplement (Nikken Clarity (Non-Retail)), Dietary Supplement (Nikken Immunity (Non-Retail)), Dietary Supplement (Once Daily Men's Multi), Dietary Supplement (Once Daily Multi Prenatal), Dietary Supplement (Once Daily Probiotics), Dietary Supplement (Once Daily Probiotics (refrigerated)), Dietary Supplement (Once Daily Probiotics (shelf stable)), Dietary Supplement (Once Daily Women's Multi), Dietary Supplement (Plant Protein - Chocolate), Dietary Supplement (Plant Protein - Chocolate - 16 serving), Dietary Supplement (Plant Protein - Vanilla), Dietary Supplement (Plant Protein - Vanilla - 16 serving), Dietary Supplement (Plant Protein Chocolate), Dietary Supplement (Plant Protein Vanilla), Dietary Supplement (Prenatal), Dietary Supplement (Prenatal - Caplet - 120 ct), Dietary Supplement (Prenatal - Once Daily), Dietary Supplement (Prenatal - Once Daily Caplets), Dietary Supplement (Prenatal Once Daily 30 Count), Dietary Supplement (Probiotic - Once Daily), Dietary Supplement (Probiotic - Once Daily - Caplet - 60 ct), Dietary Supplement (Probiotic - Women's - Once Daily), Dietary Supplement (Probiotic - Women's - Once Daily - Caplet ), Dietary Supplement (Probiotic - Women's - Once Daily - Caplet - 60 ct), Dietary Supplement (Probiotics - Once Daily ), Dietary Supplement (Probiotics - Once Daily - Caplet ), Dietary Supplement (Probiotics - Once Daily Caplet ), Dietary Supplement (Probiotics - Once Daily Caplets), Dietary Supplement (Probiotics-Once Daily Caplets), Dietary Supplement (Proiotics 25B), Dietary Supplement (Proiotics 50B), Dietary Supplement (Prostate Capsules), Dietary Supplement (Rapid Immune Capsules), Dietary Supplement (Reishi), Dietary Supplement (Reishi Capsules), Dietary Supplement (Reishi Myceliated Beet Root (Non-Retail)), Dietary Supplement (Reishi Myceliated Blackberry (Non-Retail)), Dietary Supplement (Reishi Myceliated Milk Thistle (Non-Retail)), Dietary Supplement (Reishi Myceliated Mulberry (Non-Retail)), Dietary Supplement (Respiratory Health Capsules), Dietary Supplement (Skin &amp; Beauty Capsules), Dietary Supplement (Stress Relief Capsules), Dietary Supplement (Superfruits Capsules), Dietary Supplement (Supergreens - Alkalize &amp; Detox), Dietary Supplement (Supergreens - Collagen), Dietary Supplement (Supergreens - Dragonfruit), Dietary Supplement (Supergreens - Energizer), Dietary Supplement (SuperGreens - Mint), Dietary Supplement (Supergreens - Multivitamin), Dietary Supplement (SuperGreens - Unflavored), Dietary Supplement (SuperGreens - Watermelon), Dietary Supplement (Supergreens Tablets), Dietary Supplement (Superveggies Capsules), Dietary Supplement (Turkey Tail), Dietary Supplement (Turkey Tail Myceliated Turmeric Root (Non-retail)), Dietary Supplement (Turmeric), Dietary Supplement (Turmeric - Once Daily), Dietary Supplement (Turmeric - Once Daily - Caplet ), Dietary Supplement (Turmeric - Once Daily - Caplet - 60 ct), Dietary Supplement (Turmeric - Once Daily Caplets), Dietary Supplement (Turmeric Capsules), Dietary Supplement (Turmeric-Once Daily Caplets), Dietary Supplement (Uniwell Mushroom Blend (Non-retail)), Dietary Supplement (Urinary Tract Support), Dietary Supplement (Vitamic C - Once Daily - Caplet - 60 ct), Dietary Supplement (Vitamin B - Once Daily Caplets), Dietary Supplement (Vitamin B Complete), Dietary Supplement (Vitamin B Complex), Dietary Supplement (Vitamin B Complex - Once Daily), Dietary Supplement (Vitamin B Complex - Once Daily - Caplet), Dietary Supplement (Vitamin B Complex - Once Daily - Caplet - 60 ct), Dietary Supplement (Vitamin C - Once Daily), Dietary Supplement (Vitamin C - Once Daily - Caplet), Dietary Supplement (Vitamin C - Once Daily - Caplet - 90 ct), Dietary Supplement (Vitamin C - Once Daily Caplets), Dietary Supplement (Vitamin C Complex), Dietary Supplement (Vitamin C Complex - Once Daily), Dietary Supplement (Vitamin C Complex - Once Daily Caplets), Dietary Supplement (Vitamin C Complex Caplets), Dietary Supplement (Vitamin D - Once Daily), Dietary Supplement (Vitamin D - Once Daily - Caplet), Dietary Supplement (Vitamin D - Once Daily - Caplet - 90 ct), Dietary Supplement (Vitamin D3), Dietary Supplement (Vitamin D3 - Once Daily), Dietary Supplement (Vitamin D3 - Once Daily - Caplet ), Dietary Supplement (Vitamin D3 - Once Daily Caplets), Dietary Supplement (Vitamin D3 + K2 Caplets), Dietary Supplement (Vitamin D3-Once Daily), Dietary Supplement (Women’s 50+ - Caplet - 120 ct), Dietary Supplement (Women’s Extra Strength Probiotics (refrigerated)), Dietary Supplement (Women’s Once Daily Probiotics (refrigerated)), Dietary Supplement (Women's - Caplet - 120 ct), Dietary Supplement (Women's 50+), Dietary Supplement (Women's 50+ Multi), Dietary Supplement (Women's 50+ Once Daily Probiotics), Dietary Supplement (Women's 50+-Caplet - 60 ct), Dietary Supplement (Women's Extra Strength Probiotics), Dietary Supplement (Women's Extra Strength Probiotics (shelf stable)), Dietary Supplement (Women's Hormone Balance), Dietary Supplement (Women's Hormones), Dietary Supplement (Women's Multi), Dietary Supplement (Women's Multi - Once Daily), Dietary Supplement (Women's Multi - Once Daily Caplets), Dietary Supplement (Women's Multi 50+ ), Dietary Supplement (Women's Multi 50+ - Once Daily), Dietary Supplement (Women's Multi 50+ - Once Daily Caplets), Dietary Supplement (Women's Multi 50+ Caplet), Dietary Supplement (Women's Multi Caplets), Dietary Supplement (Women's Once Daily Probiotics), Dietary Supplement (Women's Once Daily Probiotics (shelf stable)), Dietary Supplement (Women's Probiotic - Once Daily), Dietary Supplement (Women's Probiotics - Once Daily), Dietary Supplement (Women's Probiotics - Once Daily Caplets), Dietary Supplement (Women's Probiotics-Once Daily Caplets), Dietary Supplement (Youth Fountain Antioxidants), Dietary Supplement (Zinc), Dietary Supplement (Zinc - Once Daily), Dietary Supplement (Zinc - Once Daily - Caplet), Dietary Supplement (Zinc - Once Daily - Caplet - 90 ct), Dietary Supplement (Zinc - Once Daily Caplets), Dietary Supplement (Zinc Caplets), Essential Oil (Ache Away), Essential Oil (Ancient Fortress), Essential Oil (Frankincense Trinity), Essential Oil (Ginger), Essential Oil (Holy Basil), Essential Oil (Hormones for Women), Essential Oil (Lavender), Essential Oil (Lemon), Essential Oil (Oregano), Essential Oil (Peppermint), Essential Oil (Tea Tree), Essential Oil (Turmeric), Herbal Extract (Tinctures) (Herbal Cider Vinegar), Pet Care (Liver + Probiotics), Pet Care (Mushroom Powder Lion's Mane + Probiotics), Pet Care (Mushroom Powder Multi-Shroom + Probiotics), Pet Care (Mushroom Powder Reishi + Probiotics), Pet Care (Mushroom Powder Turkey Tail + Probiotics), Protein Supplement (Plant Protein - Chocolate), Protein Supplement (Plant Protein - Vanilla), Protein Supplement (Plant Protein Chocolate), Protein Supplement (Plant Protein Vanilla), Protein Supplement (PLANT PROTEIN+Berry-Vegan Superfood Protein Powder), Protein Supplement (PLANT PROTEIN+Chocolate-Vegan Superfood Protein Powder), Protein Supplement (PLANT PROTEIN+Vanilla-Vegan Superfood Protein Powder)</t>
  </si>
  <si>
    <t>Other: Aloe Vera, Amarant Grains, Beeswax Of Certified Organic Origin, Carnauba Wax, Chia (Salvia Hispanica), Guar Gum, Maca, Psyllium Powder, Quinoa</t>
  </si>
  <si>
    <t>Other: Apple Cider Vinegar, Balsamic Vinegar, Black Chia, Chia Oil, Date Powder, Defatted Chia, Distilled Vinegar 100 Grain, Distilled White Vinegar, Fig Paste, Ground Chia Seeds, Orange Extract, Pumpkin Seeds, Red Wine Vinegar, Rice Vinegar, Rosemary Antioxidant Extract, Sunflower Seeds, White Chia, White Chia LM, Whole Chia Seeds, Xia Powder 125, Xia Powder 435</t>
  </si>
  <si>
    <t>Other: Custom Grain and Seed Conditioning, Bulk Packaging, and Labeling of Buckwheat, Corn, Dry Beans, Small Grains, Soybeans, and Screenings</t>
  </si>
  <si>
    <t>Other Grains, Pastas and Cereals: Grains (Cracked Wheat, Hard Red Spring Wheat, Hard Red Winter Wheat, Hard White Wheat, Hulled Barley, Hulled Millet, Soft White Wheat, Whole Yellow Corn)</t>
  </si>
  <si>
    <t>Other: Coffee (Organic whole grain coffee (100% organic), Ground organic coffee (100% organic), Roasted and ground coffee in capsules (100% organic), Espresso Coffee Beans (100% organic))</t>
  </si>
  <si>
    <t>Beverage Related Products: Coffee (Café montanhas do espirito santo especial organic ground), Coffee (Café montanhas do espirito santo especial organic grains), Coffee (Café montanhas cold brew organic ground)</t>
  </si>
  <si>
    <t>Beverage Related Products: Coffee (Café M espírito santo especial org exepcinal 85+ grãos), Coffee (Café M espirito santo special org capsules), Coffee (Coffee M espirito santo special org grains), Coffee (Coffee M espirito santo special org ground), Coffee (Coffee mountains espresso special org grains)</t>
  </si>
  <si>
    <t>Other: Blue Corn Taco Shells, Blue Corn Taco Shells, Blue Corn Taco Shells, Blue Corn Tortilla Chips, Cheddar Clouds White Cheddar Cheese Puffs, Cheddar Lightning Bolts Snacks, Creamy Dill, Crispy Fried Onions, Honey Mustard, Ketchup, Kettle Cooked Potato Chips Sea Salt, Organic Potato Chips Sour Cream and Onion, Organic Potato Chips Tamari Soy Sauce Flavor, Potato Chips - White Truffle, Potato Chips Sea Salt, Potato Chips Sea Salt, Potato Chips Sea Salt and Vinegar, Potato Chips Sea Salt and Vinegar, Potato Chips White Truffle, Potato Sticks (Shoestring), Rice Chips BBQ, Rice Chips Fiery Hot, Rice Chips Fiesta Lime, Rice Chips Sea Salt, Rice Chips Sesame Seaweed, Salt and Pepper Potato Chips, Sea Salt &amp; Cider Vinegar, Sea Salt Potato Chips, Seed Chips - Ancient Grain Multigrain, Seed Chips - Chia Seed Multigrain, Smokey BBQ, Stone Ground Yellow Corn Taco Shells, Strips, Salted, The Original, Tortilla Chips - Salted, Veggie Sticks, White Triangle Tortilla Chips, Salted, White Triangle Tortilla Chips, Salted, White Triangle Tortilla Chips, Salted, White Triangle Tortilla Chips, Unsalted, White Truffle Potato Chips, White Truffle Potato Chips, Yellow Corn Taco Shells, Yellow Corn Taco Shells, Yellow Corn Taco Shells, Yellow Triangle Thick Tortilla Chips, Yellow Triangle Tortilla Chips</t>
  </si>
  <si>
    <t>Other: Canola Oil, Canola Oil (Expeller), Coconut (Aminos), Edamame (IQF, In Shell ), Edamame (IQF, Shelled), Frozen Fruits (Diced Butternut Squash), Garlic (Dehydrated), Ginger (Frozen Puree), Ginger Juice (Frozen), Grains (Pearled Barley), IQF Bell Peppers, IQF Broccoli, IQF Garlic, IQF Garlic (includes Puree), IQF Onions, IQF Vegetables (Basil), IQF Vegetables (Carrot), IQF Vegetables (Cauliflower), IQF Vegetables (Chili), IQF Vegetables (Green Bean), IQF Vegetables (Green Onion), IQF Vegetables (Green Peas), IQF Vegetables (Kale), IQF Vegetables (Potato), IQF Vegetables (Rice), IQF Vegetables (Spinach), IQF Vegetables (Sweet Corn), IQF Zucchini (Green, Yellow), Olive Oil (Extra Virgin), Vegetables (Frozen) (Basil), Vegetables (Frozen) (Celery), Vegetables (Frozen) (Chopped Spinach), Vegetables (Frozen) (Cilantro), Vegetables (Frozen) (Corn), Vegetables (Frozen) (Diced Carrots), Vegetables (Frozen) (Diced Carrots), Vegetables (Frozen) (Diced Onion), Vegetables (Frozen) (Diced Zucchini), Vegetables (Frozen) (Green Onion), Vegetables (Frozen) (Parsley), Vegetables (Frozen) (Peas), Vegetables (Frozen) (Peas), Vegetables (Frozen) (Sweet Corn)</t>
  </si>
  <si>
    <t>Other: Cereal (Brown Crisp Rice - Gluten Free - OGFBCR-113), Cereal (Bumped brown long grain rice), Cereal (Bumped Brown Rice), Cereal (Corn Flakes), Cereal (Corn Flakes With Salt - Gluten Free OGFCF-108), Cereal (Crisp Rice), Cereal (Crisp Rice - Gluten Free - OGFCR-113), Cereal (Crisp Rice - Gluten Free - OGFCR-180), Cereal (Crisp Rice - OCR-164), Cereal (Crisp Sorghum - Gluten Free - OGFCS-158), Cereal (Crispy Brown Rice), Cereal (Densified White Rice - ODWR-165), Cereal (Gluten Free Crisp Rice 192), Cereal (Multigrain Flakes - OSORQAF-184), Cereal (Plain Brown Crisp Rice - Gluten Free - OGFBCR-128), Cereal (Puffed Amaranth), Cereal (Rice Corn Flakes- Gluten Free - OGFCR-112), Cereal (Sorghum Flakes - Gluten Free - OGFSF-168), Cereal (Toasted Millet), Cereal (Trio Puffed Rice), Cereal (Wheat Flakes - OWF-159), Cereal (Whole Wheat Flakes - OWWF-157), Processing (Client Profile Products only) (Cereal Cooking &amp; Packaging), Quinoa (Bumped Quinoa), Quinoa (Crisp Quinoa QUIN-021), Quinoa (Crisp Quinoa - Gluten Free - OGFCQ-136), Quinoa (Crisp Quinoa - Red - ORCQ-123), Quinoa (Gluten Free Quinoa Crisps), Quinoa (Quinoa Bran), Quinoa Flour, Rice (Medium Grain Brown Rice (Non-retail)), Rice Flour (Long Grain Brown), Rice Flour (Long Grain White), Rice Flour (Medium Grain Brown), Rice Flour (Medium Grain Brown (Non-retail)), Rice Flour (Medium Grain White), Rice Flour (Medium Grain White (Non-retail)), Rice Flour (Sweet), Rice Flour (Brown) (Pre-Gel Brown Rice Flour)</t>
  </si>
  <si>
    <t>Other: Grains (Malting Barley), Malt (Admiral Pils - Milled), Malt (Admiral Pils: Pilsner Style Malted Barley), Malt (Admiral's Hearth), Malt (Admiral's Hearth - Milled), Malt (California Spirit), Malt (California Spirit - Milled), Malt (Feldblume: Malted Barley), Malt (Gallagher's Best: Malted Barley), Malt (It's the Chit!), Malt (Kilnsmith), Malt (Kilnsmith - Milled), Malt (Maiden Voyage - Milled), Malt (Maiden Voyage: Pale Style Malted Barley), Malt (Maizzen Red - Malted Floriani Corn), Malt (Malted Rye), Malt (Midway), Malt (Midway - Milled), Malt (Pacific Victor), Malt (Pacific Victor - Milled), Malt (Sierra Nevada Estate Malt), Malt (Sprouted Rye), Malt (Sprouted Wheat), Malt (Yolo Gold Malted Wheat - Milled), Malt (Yolo Gold: Malted Wheat)</t>
  </si>
  <si>
    <t>Other Grains, Pastas and Cereals: Other Other Grains, Pastas and Cereals - 4550400331-Org NGM GF 5-Grain Puff Blend, Other Other Grains, Pastas and Cereals - 4817660331 ORrg NGM GF 3-Grain Blend, Rice (20664992 - Bulk Puffed Rice-Org-200 lb TT), Wheat (20664705 - ARHD MLS Organic Puffed Kamut 12/6 OZ), Wheat (4233380531-NP-Org Khorasan Wheat Puffs Cereal US 12/6 Oz), Wheat (4233380532 - NP - Organic Khorasan Wheat Puffs Cereal CAN 12/6 Oz), Wheat (4274890311 ORG NGM Puffed Sorghum US Tote), Wheat (4411940331 - NP Organic Khorasan Wheat Puffs Cereal 200lb), Wheat (4510660311 ORG White Quinoa &amp; Millet Puffed US TOTE), Wheat (4909280311 ORG NGM Buckwheat Puffed US Tote)</t>
  </si>
  <si>
    <t>Trees/Whole Plant Products/Flowers: Seeds (MILLET); Processed  Items: CANOLA EXPELLER, SOYBEAN EXPELLER, SUNFLOWER EXPELLER; Other Grains, Pastas and Cereals: Barley, CANOLA SEED, CORN, POPCORN, SUNFLOWER, Wheat, Wheat (BUCKWHEAT); Oils &amp; Oleoresins: Essential Oils (CANOLA OIL), Essential Oils (SUNFLOWER OIL), Essential Oils (SOYBEAN OIL); Nuts/Seeds: FLAX; Fruits/Vegetables: Beans (PEA), Beans (SOYBEAN); Dry/Baking Goods: Flours and Meals (SOY MEAL)</t>
  </si>
  <si>
    <t>Other: Barley (Cracked Barley ), Barley (Cracked Purple Karma), Barley (Cracked Streaker Barley), Barley (Hulless), Barley (Hulless Purple Karma Barley ), Barley (Purple Karma Barley Flakes), Barley (Purple Karma Berries), Barley (Streaker Barley Flakes), Barley (White), Barley Flour, Barley Flour (Purple Karma), Barley Flour (Streaker Barley Flakes), Barley Flour (White Barley), Beans (Great Northern Beans), Beans (Mayocoba Beans), Blend (7 Grain Cereal), Bread Flour (Sifted Bread Flour), Buckwheat (Buckwheat Groats), Buckwheat (Buckwheat Kasha Roasted), Buckwheat (Groats), Buckwheat (Whole Buckwheat), Buckwheat Flour, Buckwheat Flour (Kasha Flour), Corn (Red Floriani Corn Kernels), Corn (Red Floriani Cornmeal), Corn Flour (Red Floriani Corn Flour), Corn Grits (Otto Filé), Cornmeal (Blue Cornmeal), Cornmeal (Otto Filé ), Cornmeal (Yellow Cornmeal), Durum (Durum Wheat Berries), Durum Flour (Durum Flour), Emmer (Cracked), Emmer (Emmer (Farro) Wheat Berries), Emmer (Emmer Flakes), Emmer Flour (Emmer Wheat Flour), Flax Seeds (Brown), Flax Seeds (Golden), Garbanzo Beans, Lentils (French Green Lentils), Lentils (Green Lentils), Livestock Feed - Scratch (Chicken Scratch), Millet (White Proso Millet), Milling (Grain Milling), Misc Cereal (Ancient Grain Cereal), Oat Flour, Oats (Flakes), Oats (Groats), Oats (Groats - Scottish Oats), Oats (Hulless Streaker Rolled Oats), Pasta (Amarillo Elbow Pasta), Pasta (Emmer Penne Pasta), Pasta (Spelt Fusilli Pasta), Pastry Flour (Soft White Wheat Pastry Flour), Polenta (Floriani Red Flint Polenta Integrale), Polenta (Red Floriani Polenta), Popcorn Kernels (Blue Corn Kernels), Porridge (Three Sisters Porridge), Rye, Rye (Cracked), Rye (Dark Northern Rye Flour ), Rye (Rye Flakes ), Rye Flour (Dark Northern Rye Flour), Rye Grain Seeds (Dark Northern Rye Berries), Small Red Beans, Spelt (Spelt (Farro) Wheat Berries), Spelt (Spelt Wheat Flakes), Spelt Flour (Spelt Wheat Flour), Storage, Wheat (Chicken Scratch ), Wheat (Cracked Wheat), Wheat (Edison Hard White Spring Wheat Berries), Wheat (Hard Red Spring Wheat Berries), Wheat (Soft White), Wheat (Soft White Wheat Flakes), Wheat (Sonora Soft White Wheat), Wheat Berries (Amarillo Hard White Spring Wheat), Wheat Berries (Hard Red Wheat Berries), Wheat Berries (Kamut® Khorasan Wheat Berries), Wheat Berries (Soft White Wheat Berries), Wheat Flour (All-Purpose Low-Gluten Wheat Flour), Wheat Flour (Amarillo Hard White Spring Wheat Flour), Wheat Flour (Edison Hard White Spring Wheat Flour), Wheat Flour (Hard Red Spring), Wheat Flour (Hard White Spring Wheat Berries), Wheat Flour (Hard White Spring Wheat Flour), Wheat Flour (Hard White Wheat Multi-Purpose Flour), Wheat Flour (Kamut® Khorasan Wheat Flour), Wheat Flour (Patwin White Winter), Wheat Flour (Sifted Edison Hard White Wheat Flour), Wheat Flour (Sifted Hard Red Spring Wheat Flour), Wheat Flour (Sonora Soft White Wheat Flour), Wheat Flour (Sonora Soft White Winter Wheat Flour), Wheat Flour (Summit Hard Red Winter Whole Wheat Flour), Whole Wheat Flour (Desert King HAD Whole Wheat Flour ), Whole Wheat Flour (Iraqi Durum, Extra Fine), Whole Wheat Flour (Senatore Cappelli, Extra Fine)</t>
  </si>
  <si>
    <t>Other: Amaranth Cooked/ Gelatinized Powder, Amaranth Flakes, Amaranth Grains, Black quinoa cooked /gelatinized powder, Black Quinoa Flakes, Black Quinoa Grains, Black Quinoa Puffed Grain, Black quinoa raw powder, Black quinoa sprouted, Cacao butter wafers, Cacao Natural Butter Wafers, Cacao Natural nibs 1-2mm, Cacao Natural nibs 2-4mm, Cacao Natural Paste Bar, Cacao Natural Powder, Cacao Natutal nibs whit coconut, Cacao Natutal nibs whit panela, Cacao Nibs, Cacao raw paste bar, Cacao raw powder 20-26%, Cacao Selected Beans, Canihua Cooked/Gelatinized Powder, Canihua Flakes, Canihua Grains, Chia grains, Chia seeds, Chocolate Couverture - 55% Cacao, Chocolate Couverture - 60% Cacao, Chocolate Couverture - 70% Cacao, Chocolate Couverture - 75% Cacao, Coffee Beans, Dehydrated Banana Strips, Dehydrated black maca powder, DEHYDRATED GOLDEN BERRY, Dehydrated Green Banana Powder, Dehydrated lucuma powder, Dehydrated Mango in Cheeks, Dehydrated mango in circles, Dehydrated mango pieces, Dehydrated mango slices, Dehydrated Mango Strips, Dehydrated red maca powder, Dehydrated red maca powder, Dehydrated yacon in pieces, Dehydrated yacon powder, Dehydrated Yellow Maca powder, Dried banana bits, Dried Banana cheeks, Dried Banana Slices, Dried Banana with Chocolate Couverture, Dried Black Maca powder, Dried Camu Camu Powder, Dried Fruit Mix (banano, goldenberries and yacon), Dried Fruit Mix (Pineapple, banano and mango), Dried Fruit Mix (Pineapple, banano, mango and goldenberries), Dried Ginger Powder, Dried Goldenberries with Chocolate Couverture, Dried Green Banana Powder, Dried Lucuma Powder, Dried Maca Powder, Dried Mango Chunks, Dried Mango Powder, Dried Mango with Chocolate Couverture, Dried Mesquite Powder, dried pineapple bits, Dried Pineapple Cheeks, Dried Pineapple chunks, Dried pineapple powder, Dried Pineapple Slices, Dried Red Maca Powder, Dried Ripe Banana Powder, Dried Yacon in pieces, Dried Yellow Maca powder, Ginger Flakes, Ginger slices, Gold/green coffee, Golden berries, Goldenberry Chunks, Goldenberry Crunch, Goldenberry Green Raw Chunks, Goldenberry Green Raw Powder, Goldenberry Green Raw Whole, Goldenberry Raw Chunks, Goldenberry Raw Powder, Goldenberry Raw Whole, Goldenberry Whole, Green Banana Raw Bits, Green Banana Raw Slices, Maca, Maca Cooked/Gelatinized Powder, Maca Dried Chunks, Maca Raw Powder, Mango Raw Bits, Organic amarenth grains, Organic white quinoa grains, Panela Powder, Parchment coffee, Pineapple Raw Slices, Quinoa Flakes, Raw chocolate coated goldenberries, Red Maca Cooked/Gelatinized Powder, Red quinoa cooked /gelatinized powder, Red Quinoa Flakes, Red Quinoa Grains, Red Quinoa Puffed Grain, Red quinoa raw powder, Red quinoa sprouted, Ripe Banana Raw Bits 2%, Ripe banana raw slices, Tricolor quinoa coooked/ gelatinized powder, Tricolor quinoa flakes, Tricolor quinoa raw powder, Tricolor quinoa sprouted, Tricoloured Quinoa Grains, Turmeric slices, White quinoa cooked /gelatinized powder, White Quinoa Flakes, White Quinoa Grains, White Quinoa Puffed Grain, White quinoa raw powder, Yacon Syrup</t>
  </si>
  <si>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</si>
  <si>
    <t>Other: Custom Grain and Seed Conditioning of Barley, Beans (edible dry), Buckwheat, Corn, Lentils, Oats, Peas, Rye, Soybeans, Sunflowers, Vetch, Wheat, and Screenings</t>
  </si>
  <si>
    <t>Other: #987 Ancient Grain Blend #1, #988 Ancient Grain Delayed #2, #989 Ancient Grain Topping/Enrobe #3, Agave, Agave Syrup, All Winter Flour, Almond Blanched Paste, Almond Oil Roast with Salt, Almond Whole, Amaranth, Amaranth Flour, Apple Cider Vinegar, Apple Rings, Apricot Dried, Arrowroot Powder, Banana Chips, Barley Flakes, Barley Flour, Bean, Black, Bean, Garbanzo, Bean, Lentil Red, Bean, Navy, Beans, Kidney Dark Red, BellaSOFT Organic 1500 Plus, Bellasponge Dough Conditioner, Black Strap Molasses, Blueberries, Brazil Nuts, Brown Coarse Rice Flour, Brown Rice Flour, Brown Rice Meal, Brown Rice Syrup, Cacao Nibs, Canola Oil, Canola Oil, Cashew Oil Roast, Cashew Pieces, Cashew W320, Chia Seed Black, Cinnamon, Ground, Clarified Brown Rice Syrup, Coconut Chip, Coconut Flakes, Coconut Flour, Coconut Macaroon, Coconut Medium, Coconut Oil RBD, Coconut Sugar, Columbine Flour, Corn Cones, Corn Starch, Cracked 6-Grain Mix, Cracked Wheat Medium, Cranberries, Dried, Crude High Oleic Sunflower Oi, Cultured Buttermilk, Dark Brown Sugar, Date, Pitted Deglet Noor, Desiccated Coconut, Diced Apricots, Dough Conditioner, Dough Conditioner 1500, Dried Egg Whites, Dutch Cocoa Powder, Egg Whites, Extra Fresh 2000-SX, Extra Fresh 2000-SX-A, Extra Fresh 2000-SXW, Extra Virgin Olive Oil, Extra Virgin Olive Oil, Fancy Buckwheat Flour, Filbert/Hazelnut Natural Kernel, Fine Brown Rice Flour Blend, Flax Meal Brown, Flaxseed, Brown, Flaxseed, Yellow, Gluten Free Extra Fresh 2000-RSX, Gluten Free Oat Fiber, Gluten Replacer 2000, Goji Berries, Green Lentils, HARI2005 Whole Grain Mix, Hemp Seeds, Hulled, Hi Oleic Sunflower Oil with Rosemary Extract, High Oleic Sunflower Oil, High Oleic Sunflower Oil, Light Brown Sugar, Long Brown Rice, Low Fat Soy Flour, Macadamia Kernels, Mango Cheeks/Slices, Mango Strips, Maple Syrup, Millet Flour, Mold Inhibitor WCE-14, Mold Inhibitor WCE-14, Mold Inhibitor WCE-14W, Mung Beans, Oat Fiber, Oat Flour, Oats Thick Rolled, Organic Fine Oat Crush, Organic Potato Starch, Pac-Gel 70, Palm Shortening, Pastry Snowdrift, Peanut Butter, Peanut Butter Natural Smooth No Salt, Peanuts Splits Dry Roasted, Pecan Jr Mammoth Halves, Pine Nut Pasteurized, Pineapple Rings, Pistachios, Poppy Seed, Potato Starch, Pumpkin Seed Kernels, Quick Rolled Oats, Quinoa, Black, Quinoa, Flakes, Quinoa, Red, Quinoa, White, Raisin, RBD Coconut Oil, Red Flaky Wheat Bran, Red Wheat Bran, Rice Flour Mold Inhibitor RCE-14, Rolled Oats, Safflower Oil, Semolina, Sesame Seed, Sesame Seed Black, Snackmeal, Soy Lecithin, Soybean Oil, Steel Cut Cracked Wheat, Sugar, Sugar, Sugar, Sunflower Oil with Rosemary Extract, Sunflower Seed Kernels, Tapioca Starch, Tapioca Starch, Tapioca Syrup, Tapioca Syrup, Tricolor Quinoa, Untreated Unbleached Unenriched White Flour, Vital Wheat Gluten, Walnuts, Wheat Germ, Whey Protein Concentrate 40%, White Distilled Vinegar, White Rice Flour Fine, Whole Grain Cornmeal, Whole Oat Flour, Whole Wheat Flour, Whole Wheat Flour, Yellow Corn Flour</t>
  </si>
  <si>
    <t>Other: Blend (140288 Hydrated 21 Grains and Seeds), Dough Conditioner (138811 Toufayan TJ Flat Bread Blend), Dough Conditioner (139071 Pristine Extra), Dough Conditioner (139895 Ultra Fresh Classic 110 with Organic Flour), Dough Conditioner (141105 GEM 200), Dough Conditioner (141715 Verdad Powder AC17), Dough Conditioner (143029 Pristine 2300), Dough Conditioner (144025 Ultra Fresh Premium 235), Dough Conditioner (144052 Ultra Fresh Classic 195), Misc (143833 SMART Ice 10007), Misc (144134 Organic Origin Powder AC17), Tortilla Flour (142542 TK Tortilla Base made with Organic Flour)</t>
  </si>
  <si>
    <t>Other: Chick Starter Grower, 20% Crumble, Custom Broiler Finisher-1, Custom Broiler Finisher-2, Custom Broiler Grower-1, Custom Broiler Grower-2, Custom Broiler Starter, Custom Hatchery Broiler Feed, Custom Poultry Finisher, Custom Poultry Grower, Custom Poultry Starter, Custom Turkey Finisher, Custom Turkey Grower, Custom Turkey Prestarter, Custom Turkey Starter, Flush Pellet Feed, FP FINISHER 1 BOR PLUS, FP FINISHER 2 BOR PLUS, Ground Corn, Layer Feed, 16% Crumble, Layer Feed, 16% Pellet, Scratch Grain, Soybean Meal</t>
  </si>
  <si>
    <t>Animal Feed: Livestock Feed (Grain: Nutrena NatureSmart Layer Complete 16% Crumble), Livestock Feed (Grain: Country Life Layer 16% Crumble), Livestock Feed (Grain: Nutrena NatureSmart Chick Starter / Grower 20%), Livestock Feed (Grain: Nutrena NatureSmart Scratch), Livestock Feed (Grain: Nutrena NatureSmart Layer Complete 16% Pellet)</t>
  </si>
  <si>
    <t>Bread/Bakery/Snacks: Bread (Flax Seed Bread), Bread (Rye and Spelt Bread), Bread (Sunflower Seed Bread), Bread (Three Grain Bread), Bread (Whole Rye Bread)</t>
  </si>
  <si>
    <t>Other Grains, Pastas and Cereals: Rice (SHORT GRAIN BROWN RICE), Rice (SHORT GRAIN WHITE RICE), Rice (LONG GRAIN BROWN RICE), Rice (LONG GRAIN WHITE RICE); Dry/Baking Goods: Flours and Meals (WHITE RICE FLOUR), Flours and Meals (BROWN RICE FLOUR), Flours and Meals (CHICKPEA FLOUR)</t>
  </si>
  <si>
    <t>Seasonings: Seasoning Blends (700001 - ORG Peach Seasoning), Seasoning Blends (700045 - ORG Turmeric Seasoning), Seasoning Blends (700047 - ORG Vanilla Seasoning), Seasoning Blends (700048 - ORG Honey Sesame Seasoning), Seasoning Blends (700049 - ORG Maple Seasoning), Seasoning Blends (700050 - ORG Sea Salt &amp; Black Pepper Seasoning), Seasoning Blends (700064 - ORG Carrot Pumpkin Seasoning), Seasoning Blends (700072 - ORG California Ham Spice), Seasoning Blends (700085 - ORG Roasted Garlic Seasoning), Seasoning Blends (700208 - ORG Jalapeno Seasoning), Seasoning Blends (700256 - ORG Vegan BBQ Seasoning), Seasoning Blends (700256-ORG Vegan BBQ Seasoning), Seasoning Blends (700265 - ORG Lemon Pepper Rub), Seasoning Blends (700277 - ORG Italian Spice Pack), Seasoning Blends (700340-ORG Montreal Seasoning), Seasoning Blends (706002-ORG Sweet Chili Seasoning), Seasoning Blends (710001-ORG LPQ Turkey Breast Seasoning), Seasoning Blends (710115 - ORG Low Sodium Salt &amp; Pepper Blend), Seasoning Blends (710132-ORG Santa Maria Seasoning), Seasoning Blends (710134-ORG BBQ Seasoning), Seasoning Blends (710154-ORG Turkey Spice Pack), Seasoning Blends (711033-ORG LPQ Chicken Leg Blend), Seasoning Blends (714142 - ORG Multigrain (No Sesame)), Seasoning Blends (714150 - ORG Turmeric Seasoning), Seasoning Blends (715005-ORG Fajita Seasoning), Seasoning Blends (715006-ORG Smoky BBQ Seasoning), Seasoning Blends (715008-ORG Vegan Cheddar Seasoning), Seasoning Blends (715016-ORG Smoky BBQ Seasoning), Seasoning Blends (721004-ORG Churro Seasoning), Seasoning Blends (721018-ORG Homestyle Spice Pack), Seasoning Blends (722020-ORG Vegan White Cheddar Seasoning), Seasoning Blends (722022-ORG Sea Salt &amp; ACV Seasoning), Seasoning Blends (722109-ORG Jalapeno Seasoning), Seasoning Blends (725019-ORG Sweet Chili Seasoning), Seasoning Blends (725028-ORG BBQ Seasoning), Seasoning Blends (725036-ORG BBQ Seasoning), Seasoning Blends (725559-ORG Savory Seasoning), Seasoning Blends (725560 - ORG Garlic Pepper Blend), Seasoning Blends (725570 - ORG Pork Seasoning), Seasoning Blends (741002 - ORG Chili Lime Verde Seasoning), Seasoning Blends (760106 - ORG BBQ Seasoning), Seasoning Blends (760120 - ORG BBQ Seasoning), Seasoning Blends (760130 - ORG Red Salsa Seasoning), Seasoning Blends (760141 - ORG Cinnamon Nutmeg Blend), Seasoning Blends (760200 - ORG Italian Spice Pack), Seasoning Blends (760201 - ORG Homestyle Spice Pack), Seasoning Blends (800013 - ORG Yellow Cheddar Seasoning), Seasoning Blends (800021 - ORG Elote Seasoning), Seasoning Blends (800022 - ORG Nacho Seasoning), Seasoning Blends (800122-ORG Creamy Dill Pickle Seasoning), Seasoning Blends (800130 - ORG Sour Cream &amp; Onion Seasoning), Seasoning Blends (800143 - ORG Pickling Spice), Seasoning Blends (800163 - ORG DM Marinade), Seasoning Blends (800164 - ORG White Cheddar Seasoning), Seasoning Blends (800173-ORG Jalapeno Seasoning), Seasoning Blends (800218 - ORG Cherry Chocolate Seasoning), Seasoning Blends (800219 - ORG Milk Chocolate Seasoning), Seasoning Blends (800221 - ORG Spinach &amp; Cheese Seasoning), Seasoning Blends (810012-ORG Buttermilk &amp; Chive Type Seasoning), Seasoning Blends (860050-ORG Buffalo Seasoning), Seasoning Blends (860104 - ORG Sour Cream &amp; Onion Seasoning), Seasoning Blends (860160 - ORG White Cheddar Seasoning), Seasoning Blends (860160-ORG White Cheddar Seasoning), Seasoning Blends (74100-Chili Lime Verde Seasoning), Seasoning Blends (7550050-ORG Garlic &amp; Onion Seasoning), Seasoning Blends (754005-ORG Southwest Verde Seasoning); Preservatives/Extracts/Flavors: Tocobiol (15204-14); Other Grains, Pastas and Cereals: 725017-ORG Organic Multigrain Blend, 754002 - ORG Multigrain Mix, 760140 - ORG Multigrain Blend, 860122 - ORG Multigrain Blend; Condiments and Sweeteners: Sugar (700104 - ORG Cane Sugar)</t>
  </si>
  <si>
    <t>Other: Cover Crop Mix: Oats, Saia Oats, Triticale, Rye, Barley, Stooling Rye, Forage Rye, Forage Oats, Buckwheat, Chicory, Serradella, Lupines, Vetch, Medics, Clovers, Lucerne, Sunn Hemp, Peas, Cowpeas, Dolichos beans, Faba Beans, Forage Peas, White Mustard, Bladrammenas, Canola, Radish, Forage Radish, Japanese Radish, Turnip, Brown Mustard, Rape, Rocket, Sorghum, Babala, Teff, Forage Sorghum, Rye Grass, Pearl Millet, Spinach , Mint, Corn, Evans Delight, Grapes (Early Sweet (R)), IFG 68-175 (Sweet Celebration TM), IFG TEN (Sweet Globe TM), Lucern, Organic Flame Medium Raisins, Organic Flame Medium Raisins (with Organic Sunflower oil), Organic Jumbo Raisins, Organic Jumbo Raisins (with Organic Sunflower oil), Organic Pecan nuts, Organic Sultana Medium Raisins, Organic Sultana Medium Raisins (with Organic Sunflower oil), Organic Thompson Medium Raisins, Organic Thompson Medium Raisins (with Organic Sunflower oil), Pumpkin, Sheegene 13 (Timco TM), Sheegene 20 (Allison TM), SugraThirteen (Midnight Beauty (R)), Unprocessed Organic Thompson Raisins</t>
  </si>
  <si>
    <t>Other: Acai (Acai Pure in Cubes (21552)), Acai Juice (12% with Citric Acid (12663)), Acerola Powder (Freeze Dried (23956)), Acerola Puree ((11675)), Adzuki Beans ((13677)), Agave Distillate (Tequila 100% Agave Azul Tequilana Weber (13350)), Agave Syrup ((26201, 26651)), Agave Syrup (100% Agave Azul Tequilana Weber (13350)), Agave Syrup (100% Agave Salminana (13350)), Agave Syrup (Jarabe of Organic Agave (26651)), Agave Syrup (Salmeana Light Premium (12779)), Allspice (Ground (12399)), Almond Butter (Natural (11255)), Almond Extract (Natural Liq. (12883)), Almonds ((17483)), Aloe Vera Powder (1:20 06-1210 (11345)), Amaranth (Puffed (31290)), Apple Cider Vinegar ((25263, 17842)), Apple Cider Vinegar (50 Grain (11476)), Apple Cider Vinegar (FVC ORG APL CIDER VNGR 60GR 55GL K (11476)), Apple Juice (NFC (11514)), Apple Juice Concentrate ((11578)), Apple Juice Concentrate ((12441, 12558)), Apple Juice Concentrate ((12558)), Apple Pulp (Puree Concentrate (12558)), Apple Puree (Pulp (12441)), Apple Puree (Single Strength (11514)), Apricot Puree ((12234)), Avocado (Pulp (12741)), Avocado Oil ((18520-C)), Avocado Oil ((27286)), Avocado Oil ((27578)), Avocado Oil (RBDW (18520-M)), Balsamic Vinegar ((11885)), Balsamic Vinegar (Balsamic Vinegar of Modena), Banana Puree ((12430, 21129)), Banana Puree (Natural Seedless Aseptic (12000)), Barley Flour ((12585)), Barley Grass Juice Powder (50143 (30919)), Barley Grass Powder ((20460)), Basil (IQF (12227)), Bay Leaf ((11975)), Bay Leaf ((12618)), Bean Puree (Garbanzo Bean Puree Frozen (12192)), Beet Juice (Beet Juice &amp; Concentrate (12562)), Beet Puree (Pomace &amp; Puree (12562)), Beets (Gold, Red (12586)), Bell Pepper (Green, Red, Yellow - IQF, Puree, Blanched, Roasted, Cut, Reduce Moisture, Freeze - Dried (32233)), Black Beans ((19384)), Black Pepper ((13634)), Black Pepper (Fine Cut Black Peppercorn (12399)), Black Pepper (Powder (20460)), Black Tea ((20373)), Blackberry Juice Concentrate (Cultivated (12835)), Blackberry Puree ((12234)), Blackberry Puree ((12669)), Blended Flour (Base Blend (non-retail) (12678)), Blended Syrup (Tapioca Malt Blend (11678)), Bloody Mary Mix (Customer Blend 6002012 (Bloody Mary Spicy Blend) (12618)), Blueberries ((12669)), Blueberry Juice Concentrate ((12663)), Blueberry Puree ((12234)), Blueberry Puree ((12669)), Blueberry Puree (Aseptic (11985)), Blueberry Puree (Frozen (11985)), Blueberry Puree (NFC (11858)), Blueberry Puree (Single Strength (11514)), Brazil Nuts ((11199, 11876)), Bread Flour (Essentials (26452)), Bread Flour (OE (12844)), Broccoli Puree (Frozen (12192)), Brown Rice Syrup ((19255)), Brown Rice Syrup ((28-64 DE) (Recipe 02) (26536)), Brown Rice Syrup ((28DE-60DE) (12233)), Brown Rice Syrup ((42DE) (30729)), Brown Rice Syrup ((60DE) (30729)), Brown Rice Syrup Solids ((19255)), Buckwheat Flour (Blend (non-retail) (12678)), Buckwheat Flour (Fancy (30795)), Buckwheat Flour (Supreme (30195)), Butter Powder ((27742)), Butterfly Pea Flowers (Powder (24834)), Buttermilk Powder (FWD Buttermilk Blend (27742)), Butternut Squash Puree (Aseptic (12409)), Butternut Squash Puree (Frozen (12234, 11158)), Cacao Nibs ((11091)), Cacao Nibs (Raw (11876)), Cacao Nibs (Raw (11876)), Cacao Powder (10-12% (11091)), Cacao Powder (10-12% Peru (13151)), Cacao Powder (20-22% Dominican Republic (13151)), Cacao Powder (20-22% Peru (13151)), Cacao Powder (Natural 10-12% Fat Content (11876)), Cane Sugar ((27619, 32117, 22242)), Cane Sugar ((27991, 26398, 12437, 27584, 12486, 28830)), Cane Sugar (Demerara (31905)), Cane Sugar (Fair Trade (12382)), Cane Sugar (Golden Granulated Raw (11410)), Canned Corn (Sweet (12625)), Cannellini Beans ((11675)), Cannellini Beans ((13677)), Canola Oil ((18520-C)), Canola Oil ((18520-M)), Canola Oil (Simply Senza, Expeller Pressed (13126)), Capers ((11885)), Cardamom (Decorticated Ground (12679, 12618)), Cardamom (Ground (12399)), Carrot Juice (Aseptic Single Strength (30364)), Carrot Juice Concentrate (Bulk Single Strength (12562)), Carrot Juice Concentrate (Purple (12558)), Carrot Puree ((12562, 11158, 12234)), Carrot Puree (Aseptic, Coarse (30364)), Carrot Puree (Aseptic, Purple (30364)), Carrot Puree (Bulk (30364)), Carrot Puree (Frozen (12562, 11158)), Carrot Puree (Purple (12562)), Carrot Puree (Yellow (12562)), Carrots (Diced (11158)), Cashew Butter ((12592)), Cashew Kernel ((12592)), Cashews (Fair Trade Org Cashew Large White Pieces (P03824) (12592)), Cashews (Fair Trade Organic Cashew Kernels Large Pieces (P007847) (12592)), Cashews (Fair Trade Organic Cashew Kernels Large Pieces (P187577) (12592)), Cashews (Pasteurized Organic Cashew Large Pieces (P086990) (12592)), Cashews (Raw Organic Large Pieces  (P187577) (12592)), Cayenne ((12618)), Cherry (Tart (12537)), Cherry Juice (68 Brix Dark Sweet (11858)), Cherry Juice (Dark Sweet NFC (11858)), Cherry Juice (Sour Cherry Juice NFC Cloudy (12558)), Cherry Juice (Sour Tart Cherry Juice NFC (12558)), Cherry Juice Concentrate (Sour (Tart) (11578)), Cherry Puree ((11985)), Cherry Puree (Frozen Aseptic Cherry Dark Sweet Puree Single Strength (11985)), Cherry Puree (Frozen Cherry Dark Sweet Puree Single Strength (11985)), Chia Seed Flour ((11234)), Chia Seeds ((27619)), Chia Seeds (Black (12399)), Chia Seeds (Black, White (12161)), Chia Seeds (salvia Hispanica L (19384)), Chickpea Flour (Garbanzo (26809)), Chickpeas ((11675, 11520)), Chickpeas (Pallet (11520)), Chickpeas (Pouch (11520)), Chives ((12618)), Cilantro ((12399)), Cilantro (IQF (12227)), Cilantro (IQF Fine Cut (12676)), Cinnamon ((12618)), Cinnamon (Ground (12399, 12679)), Cinnamon (Ground 94392 (11975)), Cloves (Ground (12399, 12618)), Cocoa Butter (Deodorized (12776)), Cocoa Powder (Alkalized (13216)), Cocoa Powder (Alkalized High Fat (12776)), Coconut ((22980)), Coconut (Coconut Chips (13515)), Coconut (Fine, Medium, Chips (12161)), Coconut Aminos ((12160, 13515)), Coconut Cream (24% 20 kg BIB (22980)), Coconut Cream (24% 200 kg drums (22980)), Coconut Flakes ((11437)), Coconut Flakes (Fine (13515)), Coconut Flakes (Medium (13515)), Coconut Flour ((11091)), Coconut Flour ((13515)), Coconut Milk (18% Bulk - 20 kg BIB (22980)), Coconut Milk Powder ((24922)), Coconut Nectar (Amber (12161)), Coconut Oil, Coconut Oil ((13331)), Coconut Oil ((24700)), Coconut Oil (Blend (17811)), Coconut Oil (Extra Virgin (12161)), Coconut Oil (Extra Virgin (18520-M)), Coconut Oil (MCT), Coconut Oil (MCT (27803, 12161)), Coconut Oil (MTC P157245), Coconut Oil (RBD), Coconut Oil (RBD - 5gl pail (22980)), Coconut Oil (RBD (12161)), Coconut Oil (RBD (17811)), Coconut Oil (Virgin - 190 kg Drum (22980)), Coconut Oil (Virgin - 5 gallon pail (22980)), Coconut Oil (Virgin (11973)), Coconut Oil (Virgin (17811)), Coconut Sugar ((11876, 13515, 12537)), Coconut Sugar ((12161)), Coconut Water ((22980)), Coffee (Kaffee (12529)), Concord Grape Juice (NFC (11858)), Concord Grape Juice Concentrate (68 Brix (26308)), Concord Grape Juice Concentrate (Kosher (11578)), Coriander (Ground (12399)), Coriander (Seeds (12679)), Corn ((20711)), Corn Puree (Supersweet Frozen (12192)), Corn Starch ((19255)), Corn Starch (MAISITA (21.050) (25367)), Cranberry Juice Concentrate ((11513)), Cucumber Juice ((26817)), Cucumber Puree ((13077)), Cumin (Black Cumin (Kalonji) (14377)), Cumin (Ground (12399)), Curry (Powder (12399)), Date Paste ((19130, 11397)), Date Paste (California Date Butter (19130)), Date Sugar (Powder (12399)), Date Syrup ((11888)), Dextrose (MicroGARD 200 CO (Pareve), Cultured Dextrose Powder (13216)), Dijon Mustard (#166 (11874)), Dijon Mustard (No Turmeric #11 (11874)), Dill (Air Dried Dill #1 Steam-Treated 211 - F01685 (25110)), Dill (Weed (12618)), Distilled Vinegar ((12716)), Dried Apples (Diced (Non Retail) (12308)), Dried Apples (Low Moisture Apple Dice 1/4 (12671)), Dried Apricots (Pitted (12272)), Dried Blueberries (Unsweetened (26384)), Dried Carrots (Carrot, Air Dried (11387)), Dried Cranberries (Apple Juice Infused (12161)), Dried Cranberries (Apple Juice Infused (Sliced, Whole), Bulk and Retail (11513)), Dried Cranberries (Sweetened (12161)), Dried Garlic ((Dehydrated) - Granulated, Minced, Powdered (23387)), Dried Mangos (Dehydrated Mango (27447)), Dried Mangos (Dried Mango (27447)), Dried Mangos (Sliced, Strips, Pieces or Diced (30271)), Dried Raisins ((19130)), Dried Raisins (Oiled &amp; Unoiled (Bulk) (11311)), Eggplant (Blanched, IQF, Puree, Blanched, Cut (32233)), Elderberry (Powder (11825)), Elderberry (Powder (20460)), Elderberry Juice (NFC (24121)), Elderberry Juice Concentrate (65 Brix (11578)), Emmer ((12585)), Flax Flour ((11234)), Flax Seeds, Flax Seeds ((11199, 19384)), Flax Seeds (Brown (12537)), Flax Seeds (Brown, Golden (11675)), Flax Seeds (Golden (11199)), Flax Seeds (Milled - Golden (12537)), Flax Seeds (Milled - Premium Gold (12565)), Flax Seeds (Traditional Brown (12560)), Freeze Dried Strawberry (Pieces (28287)), Frozen Apples (Diced and Sliced (11418)), Frozen Banana (IQF Sliced (18578)), Frozen Beans (IQF Black (12138)), Frozen Beans (IQF Garbanzo (12138)), Frozen Beans (IQF Green Lentils (12138)), Frozen Beans (IQF Pinto (12138)), Frozen Beans (IQF Red Kidney (12138)), Frozen Beans (IQF Red Lentils (12138)), Frozen Beans (IQF White Kidney (12138)), Frozen Beans (Navy (12138)), Frozen Beets (Red (Diced) (12166)), Frozen Blackberry ((15883)), Frozen Blackberry (IQF Whole (18578)), Frozen Blackberry (Whole (12166)), Frozen Blueberry ((12669)), Frozen Blueberry (Cultivated (18578)), Frozen Blueberry (IQF (11890, 15883)), Frozen Blueberry (IQF (12166)), Frozen Blueberry (Wild (18578)), Frozen Broccoli (Cuts, Florets, Stalk (12166)), Frozen Broccoli (IQF (11288)), Frozen Broccoli (IQF (12228, 12219, 28941)), Frozen Broccoli (IQF Florets (13227)), Frozen Brown Rice (IQF (12138)), Frozen Carrots (Diced (12579)), Frozen Carrots (Diced, Sliced, Sticks (12166)), Frozen Carrots (IQF (21384)), Frozen Carrots (IQF (28941)), Frozen Carrots (IQF Diced (28941)), Frozen Carrots (IQF Diced (31740)), Frozen Carrots (IQF Diced (32563)), Frozen Carrots (IQF Sliced (13227)), Frozen Cauliflower (Florets (12166)), Frozen Cauliflower (IQF Florets (12135)), Frozen Cauliflower (IQF Florets (13227, 12219)), Frozen Celery ((Diced) Bulk Supplier (12166)), Frozen Celery (Diced (12166)), Frozen Celery (IQF (12229, 21384)), Frozen Celery (IQF 3/8” Diced (12216)), Frozen Cherry (IQF Dark Sweet (12094)), Frozen Cherry (IQF Dark Tart Pitted (12094)), Frozen Cherry (IQF Red Tart Pitted (11303)), Frozen Corn ((12579)), Frozen Corn (IQF Sweet Cut (12166)), Frozen Corn (Super Sweet (12579)), Frozen Cranberry ((11358)), Frozen Cranberry ((15883)), Frozen Cranberry ((whole) Bulk Sno Pac, Bulk supplier (12166)), Frozen Cranberry (Bulk and Retail (11513)), Frozen Cranberry (Whole (11116)), Frozen Cucumbers (IQF Diced (32233)), Frozen Garlic (IQF, Diced, Sliced, Whole (26232)), Frozen Green Beans ((11158)), Frozen Green Beans (Cut (12579)), Frozen Green Beans (Cut, Whole (12166)), Frozen Green Beans (IQF Diced (31740)), Frozen Kale (Chopped (12166)), Frozen Kale (IQF (12228)), Frozen Kale (IQF Fines, Chopped (11532)), Frozen Mango ((12669)), Frozen Mango (IQF Chunks (18578)), Frozen Mango (IQF Chunks (32504)), Frozen Mango (IQF Diced (13227)), Frozen Onions ((30071)), Frozen Onions ((32490)), Frozen Onions ((Diced) Bulk Supplier (12166)), Frozen Onions (Diced (12166)), Frozen Onions (Diced (32563)), Frozen Onions (Grilled (30071)), Frozen Onions (IQF (12003)), Frozen Onions (IQF (12135)), Frozen Onions (IQF (28941)), Frozen Onions (IQF Diced &amp; Strips (11402)), Frozen Onions (IQF Diced (28941)), Frozen Onions (IQF Diced (31740)), Frozen Onions (IQF Green Onion Cross-Cut 104.1 (12676)), Frozen Onions (IQF Green Onions (12135)), Frozen Onions (IQF Yellow Roasted (11532)), Frozen Onions (Roasted (30071)), Frozen Onions (Spring (26475)), Frozen Peach ((12669)), Frozen Peach (IQF Freestone Peaches 3/8th Diced (13552)), Frozen Pear (IQF (Diced 1/2", Diced 3/8") (12369)), Frozen Peas ((11158)), Frozen Peas (Green (12166)), Frozen Peas (IQF (12579)), Frozen Peppers (IQF (28941)), Frozen Peppers (IQF Bell Pepper (12135)), Frozen Peppers (IQF Bell Peppers - Green or Red Peppers, Roasted (Diced, Strips, Sliced, Cups, &amp; Halves) (11434)), Frozen Peppers (IQF Bell Peppers Green, Yellow, &amp; Red - Strips, Sliced, Cups, &amp; Halves (11434)), Frozen Peppers (IQF Diced), Frozen Peppers (IQF Diced (31740)), Frozen Peppers (IQF Diced Green Chili FG31008 (11532)), Frozen Peppers (IQF Habanero (11532)), Frozen Peppers (IQF Jalapeno (11532)), Frozen Peppers (IQF Poblano Peppers (Diced, Strips, Sliced, Cups, &amp; Halves) (11434)), Frozen Peppers (IQF Red Jalapeno Diced - Hot (11532)), Frozen Peppers (IQF Roasted Red Bell Peppers Diced, Strips (11532)), Frozen Peppers (IQF Roasted Red Peppers Diced (31740)), Frozen Peppers (IQF Serrano Green Whole (11532)), Frozen Pineapple (IQF Chunks), Frozen Pineapple (IQF Chunks (18578, 13227)), Frozen Pineapple (IQF Tidbits (29441)), Frozen Potato (Diced White (32563)), Frozen Potato (Diced, Shredded Hashbrowns, Potato Fusion (12166)), Frozen Potato (IQF Peeled Organic Red Potato Dice (11402)), Frozen Potato (IQF Peeled Organic Russet Potato Dice (11402)), Frozen Potato (IQF Skin-On Red Potato Dice (11402)), Frozen Raspberry (IQF (15883)), Frozen Raspberry (IQF Crumble, Puree, Seeds (29443)), Frozen Raspberry (IQF Crumbles (12669)), Frozen Raspberry (IQF Whole (18578)), Frozen Spinach (Chopped (32563)), Frozen Spinach (IQF (11532, 12588)), Frozen Spinach (IQF (12135)), Frozen Spinach (IQF (12228)), Frozen Spinach (IQF (28941)), Frozen Spinach (IQF (28941)), Frozen Spinach (IQF Cut (12166)), Frozen Spinach (IQF Diced (28941)), Frozen Spinach (IQF Diced (31740)), Frozen Spinach (IQF Whole, Chopped (30244)), Frozen Squash (Butternut Squash (Diced) (12166)), Frozen Squash (IQF (12228)), Frozen Squash (IQF Butternut Squash (Diced) (11158)), Frozen Strawberry (IQF Sliced (18578)), Frozen Strawberry (IQF Whole (18578)), Frozen Strawberry (Sort Outs (12669)), Frozen Sweet Potato (Diced (11158)), Frozen Sweet Potato (Diced (11593)), Frozen Sweet Potato (Diced (12166)), Frozen Tomatoes (IQF (11288)), Garlic (Chopped (26232)), Garlic (Powder (12399)), Garlic Puree ((26232)), Garlic Puree (Frozen (11532)), Ginger ((12618)), Ginger (Powder (12399)), Ginger Juice (Aseptic (31291)), Ginger Juice (Frozen Pasteurized (12663)), Ginger Juice (Frozen Pasteurized (31291)), Ginger Juice (Frozen Unpasteurized (31291)), Ginger Juice (NFC (11578)), Ginger Juice (P1222062 (19491)), Ginger Juice (Peruvian, Unpasteurized, Frozen (28940)), Ginger Puree, Ginger Puree ((26232)), Ginger Puree (P200656 (19491)), Glucose Syrup ((31905)), Grape Juice Concentrate (Red/White (12441)), Grape Juice Concentrate (White (11578)), Grape Juice Concentrate (White (12558)), Grape Puree (NFC Concord (11858)), Grapefruit Juice (NFC (11675)), Grapefruit Juice Concentrate (Red (11578)), Green Bean Puree (Frozen (12192)), Green Coffee Beans (Extract 15% (26268)), Green Tea ((20373)), Guava Puree (50026A (11548)), Hazelnuts ((11199)), Hazelnuts (Paste &amp; Puree (32415)), Hazelnuts (Roasted Kernels (32415)), Hemp Protein Powder (23% (13597)), Hemp Protein Powder (23% (13597)), Hemp Seeds (Hulled (12537)), Hemp Seeds (Hulled (25426)), Hemp Seeds (Hulled, Protein Powder (11091)), Herbal Supplement (INAVEA Essential W (28883)), Honey ((21363)), Honey ((28830)), Honey (Light Amber Wildflower Non-retail (12417)), Honey (Non-retail (12417)), Honeydew Pulp (Puree (13241)), Instant Coffee (Coffee Arabica Freeze Dried (Instant) (12253)), Instant Coffee (Spray-dried, Freeze-dried, Agglomerated), Inulin (Inulin 90% (From Jerusalem Artichoke) (20460)), Inulin (Liquid 100% Agave Azul Tequilana Weber (13350)), Inulin (Liquid 100% Agave Salminana (13350)), Inulin Powder (100% Agave Azul Tequilana Weber (13350)), Inulin Powder (100% Agave Salminana (13350)), Kale (Air Dried Kale Steam-Treated Powder 1425-F01694 (25110)), Kale (Pomace &amp; Puree (12562)), Kale Juice ((26817)), Kelp (Ascophyllum Nodosum (Kelp Meal) (18702)), Kelp (Laminarie Digitata (18702)), Kidney Beans (Dark Red (11675)), Kidney Beans (Dark Red (13677)), Kiwi Puree ((11985, 12663)), Lavender (Lavandin (12679)), Lecithin (Sunflower Lecithin Liquid (29795)), Lecithin (Sunflower Lecithin Powder (19223)), Leek (IQF, Puree, Blanched, Cut (32233)), Lemon Juice (NFC (11578, 12344)), Lemon Juice (NFC (11675, 28671)), Lemon Juice (NFC (28671)), Lemon Juice (NFC/Concentrate (12024)), Lemon Juice Concentrate ((11675)), Lemon Juice Concentrate (Clear (12558)), Lemon Juice Concentrate (Cloudy (12558)), Lentils (Eston Lentil (12551, 11988)), Lentils (Green (11988)), Lentils (Green (13677)), Lentils (Laird (11988)), Lime Juice (Frozen Pasteurized Persian NFC (13238)), Lime Juice (NFC (11578)), Lime Juice (NFC (11675)), Lime Juice (NFC/Concentrate (12024)), Lime Juice Concentrate ((13238)), Macadamia Nuts ((11199)), Macadamia Nuts (Kernels (11274)), Malt Extract (Liquid (11678)), Malt Extract Powder (10001 (27310)), Maltodextrin ((19255)), Maltodextrin (P202685 Maltodextrin Rice (26536)), Maltose Syrup ((31905)), Mango Powder ((24834)), Mango Puree ((11675)), Mango Puree ((27447)), Mango Puree (Aseptic (12183)), Mango Puree (Aseptic (27447)), Mango Puree (Aseptic (Nonretail) (11394)), Maple Syrup ((11319)), Maple Syrup (Maple Syrup Grade A Very Dark Color Strong Taste (13078)), MCT Oil (Powder (50%-60%-70%) (12869)), Millet Flour (Gluten Free (12678)), Misc Powders (Psyllium (14377)), Misc. Colors ("Fruit &amp; Veg Red" 15337 (13342)), Misc. Grain Powder (CereSweet 50 (12560)), Molasses (Blackstrap), Molasses (International (11678)), Mung Beans ((13677)), Noni Powder ((20460)), Nutmeg (Ground (12399)), Oat Flour (Gluten Free (26406)), Oat Milk ((25506)), Oats (Whole Oat Groats (23224)), Olive Oil ((11836)), Olive Oil (Extra Virgin (18520-M)), Olive Oil (Extra Virgin (27578, 18520-C)), Olive Oil (Extra Virgin (Bulk and Retail) (27578)), Olive Oil (Extra Virgin (in Bulk) (11836)), Onion ((12618)), Onion (Green Onions (IQF, Puree, Roasted, Cut) (32233)), Onion (Red, White, Yellow - IQF, Puree, Blanched, Roasted, Cut, Reduce Moisture (32233)), Orange Juice (Blood Orange NFC (11578)), Orange Juice (NFC (11675)), Orange Juice (P008640 (19491)), Orange Juice Concentrate ((11578)), Orange Juice Concentrate ((11675, 12558, 12441)), Oregano ((13634)), Oregano (Mediterranean (12399)), Paprika ((12399)), Parmesan Cheese (Grated (12243)), Parmesan Cheese (Shredded (12243)), Parsley ((11617)), Parsley (Air Dried Curly Parsley Steam-Treated Flakes 754 - F01774 (25110)), Parsley (Flakes (12399, 11975)), Parsley (IQF (12227)), Passion Fruit Juice (NFC (11675)), Passion Fruit Juice (NFC (11675, 11578)), Pea Protein ((12420)), Pea Protein ((12869)), Pea Protein (80% (31366)), Pea Protein (Wet (17786)), Pea Puree ((11858)), Peach Juice Concentrate ((11578, 12234)), Peach Puree ((12234)), Peach Puree ((12558)), Peach Puree (Pulp (12441)), Peanut Butter (Natural, Crunchy (17502)), Peanuts (Roasted #GMSO (13060)), Pear Juice Concentrate ((12558)), Pear Juice Concentrate ((12558, 12441)), Pear Puree ((12234)), Pecans (Dry Roasted (Bulk) (31978)), Pecans (Fancy Blend (Bulk) (31978)), Pepper Puree ((Frozen Puree) Roasted Chili (11532)), Pepper Puree (Red Bell Pepper Frozen Puree (11532)), Pineapple Juice (P007812 (19491)), Pineapple Juice Concentrate ((11578)), Pineapple Puree (Aseptic (11985)), Pineapple Puree (Aseptic (12430)), Pistachios (Pistachio Kernels Dry Roasted No Salt (14614)), Pomegranate Juice Concentrate ((11578, 12663)), Pomegranate Powder ((11825)), Poppy Seeds ((12161)), Poppy Seeds ((12537)), Prickly Pear Puree ((11675)), Prune Juice (NFC (31746)), Psyllium husk (Powder 95% (11091)), Pumpkin Juice Concentrate ((13077)), Pumpkin Kernel ((12161)), Pumpkin Kernel (Shineskin, Dried (16291)), Pumpkin Puree ((12234)), Pumpkin Puree (Aseptic (12409)), Quinoa (Flakes (12161)), Quinoa (IQF Red (12138)), Quinoa (Red, White, Black, Tri (12161)), Quinoa (Tri-color (12537)), Quinoa (White (19384)), Quinoa (White (28398)), Quinoa Flour (Coarse (12678)), Raisin Juice Concentrate ((11888)), Raisin Puree ((19130)), Raspberry Juice Concentrate ((12835)), Raspberry Juice Concentrate (Red (11578)), Raspberry Powder ((20460)), Raspberry Powder (Freeze Dried Raspberry Sliced F01956 (12676)), Raspberry Puree ((12669)), Raspberry Puree (NFC Red (11858)), Raspberry Puree (Single Strength (11514)), Release Agent (Bio DIVISION 75 (27728)), Release Agent (Bio Release (28) (27728)), Release Agent (Bio Release 250 (27728)), Rice (White) (Long Grain Parboiled (12138)), Rice (Wild) ((12138)), Rice Bran (Stabilized Rice Bran (29218)), Rice Flour (Brown (12678)), Rice Flour (Long Grain Brown (12678)), Rice Flour (Long Grain White (12678)), Rice Flour (Medium Grain White (12678)), Rice Maltodextrin ((10 DE, 18DE) (12233)), Rice syrup (Solids (28DE, 42DE) (12233)), Rolled Oats ((12161)), Rolled Oats ((23224)), Rolled Oats (Gluten Free (26406)), Romano Cheese (Grated &amp; Shredded (12243)), Rosemary (Ground (12399)), Rye ((12585)), Safflower Oil (High Oleic (18520-M)), Sage (Rubbed (12399)), Seasoning Blend (Chili Powder Blend (11975)), Seed Protein Powder (Pumpkin Protein Powder 60% (11091)), Seed Protein Powder (Watermelon (29245)), Sesame Oil ((27578)), Sesame Seeds ((19384)), Sesame Seeds (Toasted Natural (12697)), Small Red Beans ((13677)), Sorghum (Flakes Gluten Free OGFSF 168 (11260)), Sorghum Flour ((12678)), Soy Lecithin (Soya Lecithin Liquid (29795)), Soybean Oil ((18520-C)), Soybean Oil ((18520-M)), Spelt ((12585)), Spinach ((12618)), Spinach ((13634)), Spirulina (Powder (11825)), Spirulina Extract ((30729)), Squash Puree (Winter Squash/Pumpkin (11158)), Stevia Extract (SteviaSweet 95-60 (12753)), Strawberry Flavor (Essence SID48513D), Strawberry Juice Concentrate ((11578, 11985)), Strawberry Juice Concentrate ((12558)), Strawberry Juice Concentrate ((12558, 12441)), Strawberry Puree ((11388, 12669)), Strawberry Puree ((12558)), Strawberry Puree (Aseptic (11985)), Strawberry Puree (Frozen), Strawberry Puree (Pasteurized Frozen (17119)), Sunflower Butter ((31013)), Sunflower Butter ((bulk, non-retail) (12070)), Sunflower Kernel ((12161)), Sunflower Oil ((18520-C)), Sunflower Oil ((18520-M)), Sunflower Oil (HO RBDW (27578)), Sunflower Seeds ((12537, 12225)), Sweet Dairy Whey Powder (DairyPro Sweet Whey Powder (11978)), Sweet Potato Puree ((12234, 12409)), Sweet Potato Puree ((12562)), Sweet Potato Puree (Frozen (11158)), Sweet Potato Puree (Frozen (12192)), Sweet Potato Puree (Purple Frozen (12192)), Sweetener Blend (Isomalto-oligosaccharide (IMO) Powder (7003P-B) (16516)), Sweetener Blend (Isomalto-oligosaccharide (IMO) - (4001T-B) (16516)), Tamari Soy Sauce (Gluten Free (12360)), Tamari Soy Sauce (Gluten Free (18369)), Tamari Soy Sauce (Gluten Free (from Taiwan) (12360)), Tamarind (Paste (12399)), Tangerine Juice Concentrate ((11578)), Tapioca Maltodextrin ((10DE, 18DE) (12233)), Tapioca Starch ((12161)), Tapioca Starch ((19255)), Tapioca Starch ((19339)), Tapioca Starch ((19339, 31905)), Tapioca Syrup ((11678, 19255)), Tapioca Syrup ((28DE, 42DE, 60DE) (12233)), Tapioca Syrup (28 to 64 DE (26536)), Tapioca Syrup (42 DE (31905)), Tapioca Syrup (42DE BriesSweet (27310)), Tapioca Syrup (Solids (28DE, 42DE) (12233)), Thyme ((12399)), Thyme (Leafs (12399)), Tomato Paste ((11895, 11875)), Tomato Puree (Ground Tomatoes in Puree (11875)), Tomatoes (Diced Tomatoes in Juice (11895)), Turmeric (Ground (12399)), Turmeric (P200657 Puree (19491)), Turmeric Juice (P133036 (19491)), Turmeric Powder ((11825)), Turmeric Powder ((14377)), Vanilla Extract (93.4020 Pure Vanilla Extract (12883)), Vanilla Extract (Pure (21341)), Vanilla Powder ((11091)), Walnuts (Halves and Pieces (Wholesale) (11467)), Watermelon Flavor (Essence SID48065D), Watermelon Juice ((13241)), Watermelon Juice Concentrate ((12341)), Watermelon Puree ((13241)), Wheat Flour (Khorasan Kamut® Brand (11872)), White Vinegar (Distilled (11476)), Whole Wheat Flour (Khorasan Kamut® Brand (11872)), Yeast Extract (BIOREAL Yeast Autolysate Flakes with Rice AF (25185)), Yellow Mustard (Powder (12399)), Zucchini (Diced (15883)), Zucchini (IQF, Blanched, Roasted, Cut, Reduce Moisture (32233))</t>
  </si>
  <si>
    <t>Other: Corn (Yellow), Corn Flour (Blue Corn), Corn Flour (Blue Corn Meal), Dehydrated Potatoes (Potato Flour), Misc Baking Mixes (Whole Grain Pancake Mix), Rye Flour (Cracked Rye), Rye Flour (Dark Rye Flour), Rye Flour (Light Rye Flour), Rye Flour (Medium Rye Flour), Rye Flour (Rye Berries), Sprouted Flour (Whole Wheat), Wheat (Cracked), Wheat (Hard White Wheat Berries), Wheat (Khorasan), Wheat Berries (Hard Red), Wheat Berries (Hard White), Wheat Berries (Soft White), Wheat Bran, Wheat Flour (All-Purpose Flour), Wheat Flour (Bread Flour), Wheat Flour (Kernza), Wheat Screenings, Whole Wheat Flour (Course Ground), Whole Wheat Flour (Hard Red), Whole Wheat Flour (Hard White Whole Wheat), Whole Wheat Flour (Ultra Fine Grind), Whole Wheat Flour (Whole Grain All-Purpose), Whole Wheat Flour (Whole Wheat Flour), Whole Wheat Flour (Whole Wheat Flour in 10 lb. bag), Whole Wheat Flour (Whole Wheat Flour in 2 lb. bag), Whole Wheat Flour (Whole Wheat Flour in 5 lb. bag)</t>
  </si>
  <si>
    <t>Other: #Processing, pelleting, and handling of organic whole grains for feed and seed, single-ingredient products, custom mixes, complete livestock feeds (large animals), and poultry rations; Grain Bank storage of organic commodities., *Layer Rations (each as 'Brown', *'Economy', *and 'Omega', *or 'No-Soy'): P140, *P160, *P180, *Poultry Rations: 18% Poultry Grower, *20% Poultry, *22% Poultry, Complete Livestock Feeds (Large Animals): Calf 14%, Calf 14% No Soy, Calf 16%, Calf 16% No Soy, Calf Pellet 16%, Calf 18%, Calf 18% Pellet, Calf 12%, Dairy 12% No Soy, Dairy 12%, Dairy 14%, Dairy 16% No Soy, Dairy 16%, Dairy 18% No Soy, Dairy 18%, Dairy Top Dress, Goat 14% No Soy, Goat 14%, Goat Sheep 14%, Goat/Sheep 16%, Goat 16%, Goat Pellet 16%, Goat 18%, Goat Pellet 18%, 14% Hog Finisher, 14% Hog Gestation, 14% Hog Lactation, 14% Hog Finisher No Soy, 16% Hog Grower Pellet, 16% Hog Grower, 16% Hog Gestation, 16% Hog Lactation, 16% Hog Grower No Soy, 18% Hog Starter No Soy, 18% Hog Starter, 18% Hog Pellets, 20% Hog Starter, 20% Hog No-Soy, Horse 14%, Mature Horse 12%, Layer Rations (each as 'Brown', 'Economy', and 'Omega', or 'No-Soy': P100, P105, P110, P115, P120, P125, P130, P135, P140, P145, P150, P155, P160, P165, P170 Peak, P175, P180, P185, P190, P195, P200, P220, P20 Limited Intake, P22 Limited Intake, P24 Limited Intake, Peak Layer Ration, Organic 16% Chicken Layer (Corn/Soy Meal Free), Organic 18% Chicken Layer (Soy Meal Free), Liquid Single-Ingredient Products: Molasses, Soy Oil, Organic 16% Chicken Layer (Corn/Soy Meal Free), Organic 18% Chicken Layer (Soy Meal Free), 18% Chick Grower (Corn/Soy Meal Free), 18% Chicken Layer (Corn/Soy Meal Free), 21% Chicken Starter (Corn/Soy Meal Free), Organic Flax Seed Ground, Organic Layer No-Soy Omega Ration with Essential Oil, Organic Chick Start No-Soy Ration with Essential Oil, Organic Layer Ration, Organic Livestock Supplements: Easy-Pro Blending Pellets, Poultry Rations: 16% Pullet Developer, 18% Chick Grower (Corn/Soy Meal Free), 18% Poultry Grower, 18% Poultry Grower Pellets, 18% Chicken Layer (Corn/Soy Meal Free), 18% Poultry Grower No Soy, 18% No Soy Poultry Pellets, 20% Poultry, 20% Poultry Pellet, 20% Poultry No-Soy, 20% No-Soy Poultry Pellets, 22% Poultry, 22% Poultry Pellets, 22% No-Soy Poultry, 22% No-Soy Poultry Pellets, 21% Chicken Starter (Corn/Soy Meal Free), Storage of Organic Commodities: Corn, Soy Meal, Flax, Wheat, Barley, Turkey and Duck Feeds: Duck 18% Grower, Duck 22% Starter, Duck Layer, 18% Turkey, 20% Turkey, 22% Turkey, 24% Turkey, 24% Turkey Pellet, 24% Turkey No Soy, 26% Turkey Pellet, 26% Turkey, Whole Grains or Single Ingredient Products: Alfalfa meal, Barley, Barley seed, Corn, Flax Meal, Flax Seed, Feed Oats, Seed Oats, Peas, Soybeans, Expelled Soybean Meal, Sunflower Meal, Wheat, Alfalfa Pellets, Scratch Grain, Rye Seed, Sugar</t>
  </si>
  <si>
    <t>Other Grains, Pastas and Cereals: Rice, Rice (RICE HUSK), Rice (BROWN RICE); Nuts/Seeds: FLAX</t>
  </si>
  <si>
    <t>Other: Vinification/wine making</t>
  </si>
  <si>
    <t>Other Grains, Pastas and Cereals: Oats, Organic Buckwheat, Organic Peas, Organic Rye, Organic Triticale, Wheat; Fruits/Vegetables: Organic Corn; Other: Custom Brokering Organic Grain Seed, Custom Distribution Organic Grain Seed, Custom Grain Drying, Custom Storage Organic Grain Seed</t>
  </si>
  <si>
    <t>Processed  Items: Custom grain cleaning&amp;storage</t>
  </si>
  <si>
    <t>Other: Ancient Grains Hommus with Toppings, Balsamic Caramelized Onion Hommus with Toppings, Chipotle Hummus, Classic Hommus, Classic Hummus, Classic Hummus, Everything Hommus with Toppings, Garlic Hommus, Garlic Hommus, Garlic Hommus with Toppings, Garlic Hummus, Garlic Hummus, Garlic Hummus, Grecian Golden Hour Hommus with Toppings, Harvest Vegetable Hommus, Hot Chili Hommus with Toppings, Hot Honey Hommus with Toppings, Hummus, Lemon Hommus, Lemon Hommus with Toppings, Mediterranean Hommus with Toppings, Original Hommus, Original Hommus, Original Hummus, Original Hummus, Original Hummus, Pesto Hommus with Toppings, Pine Nut Hummus, Pumpkin Hommus, Red Pepper Hommus, Red Pepper Hummus, Reserve Hommus Harissa w/ Topping, Reserve Hommus Herby Tomato w/ Topping, Reserve Hommus Lebanese Za'atar &amp; Tahini w/ Topping, Reserve Hommus Mediterranean Pine Nut w/ Topping, Reserve Hommus Olive Tapenade w/ Topping, Reserve Hommus Roasted Red Pepper w/ Topping, Roasted Garlic Topped Hummus, Roasted Red Pepper Hommus, Roasted Red Pepper Hommus, Roasted Red Pepper Hommus with Toppings, Roasted Red Pepper Hummus, Roasted Red Pepper Hummus, Roasted Red Pepper Hummus, Roasted Red Pepper Hummus, Roasted Red Pepper Hummus, Roasted Red Pepper Topped Hummus, Sicilian Lemon Hommus, Simplicity Traditional Hummus, Smoky Chipotle Hommus, Spicy Chipotle Topped Hummus, Sweet Chili Garlic Hommus w/ Topping, Traditional Hummus, Traditional Hummus</t>
  </si>
  <si>
    <t>Other: Buchu Betulina Hydrosol, Buchu Betulina Leaf, Buchu Betulina Oil, Buchu Betulina Plant, Buchu Crenulata Hydrosol, Buchu Crenulata Leaf, Buchu Crenulata Oil, Buchu Crenulata Plant, Cape Chamomile Hydrosol, Cape Chamomile Leaves, Cape Chamomile Oil, Cape Chamomile Plant, Cape May Hydrosol, Cape May Leaf, Cape May Oil, Cape May Plant, Cape Mountain Sage Hydrosol, Cape Mountain Sage Leaf, Cape Mountain Sage Oil, Cape Mountain Sage Plant, Cape Snowbush Hydrosol, Cape Snowbush Leaf, Cape Snowbush Oil, Green Rooibos, Honeybush, Lemongrass Hydrosol, Lemongrass Leaf, Lemongrass Oil, Lemongrass Plant, Rooibos, Rooibos Dust, Rooibos Granules, Rooibos Sticks, Rose Geranium Hydrosol, Rose Geranium Leaf, Rose Geranium Oil, Rose Geranium Plant</t>
  </si>
  <si>
    <t>Processed  Items: 22% fat coconut cream, coconut aminos, Coconut chips, Coconut chips (unroasted), Coconut chips long cut, Coconut chips roasted, Coconut Flour, Coconut milk 17%, coconut Milk 17% fat Without additive, Coconut milk 17-19% Fat without additives, Coconut Milk 18% Fat (Without Additives), Coconut milk 20-22% fat- without additives, Coconut Milk 24% Fat, Coconut Milk 5-7% Fat (Without Additives), Coconut milk 6% fat, Coconut Milk 7-9% fat (Without Additives), Coconut Milk 9%, coconut milk powder, Coconut oil cake/Coconut sticks, Coconut Water, Creamed Coconut, Defatted desiccated coconut, Dehydrated Foods (Mango powder), Dehydrated Foods (Papaya chunks dehydrated), Dehydrated Foods (Pineapple powder), Dehydrated Foods (Sweetened and Salted Desiccated Coconut Chips), Dehydrated Foods (Chocolate Flavored Coconut Chips), Dehydrated Foods (Banana Powder), Dehydrated Foods (Dehydrated banana coins), Dehydrated Foods (Dehydrated Banana Dices), Dehydrated Foods (Dehydrated Banana Half), Dehydrated Foods (Dehydrated Full Banana), Dehydrated Foods (Dehydrated Jackfruit), Dehydrated Foods (Dehydrated mango), Dehydrated Foods (Dehydrated Papaya Dices), Dehydrated Foods (Dehydrated papaya spears), Dehydrated Foods (Dehydrated pineapple), Dehydrated Foods (Dehydrated ripened jackfruit), Dehydrated Foods (Jack Fruit Powder), Dehydrated Foods (Jack fruit seeds powder), Dehydrated Foods (Lemongrass Powder), Desiccated coconut - chips, Desiccated coconut - ﬁne, Desiccated coconut - medium, Desiccated coconut coarse grade, Desiccated coconut ﬁne toasted, Desiccated coconut ﬂakes, Desiccated coconut half toasted chips, Desiccated Coconut Smiles, Desiccated coconut threads, Desiccated coconut toasted chips, Desiccated coconut toasted coarse, Desiccated coconut toasted ﬂakes, Desiccated coconut toasted medium, Desiccated coconut toasted thread, Ginger Flavored Coconut Chips, Manioc powder, MCT oil powder, Oil Cake / Coconut Sticks, Powders (Moringa seed powder), Ready to Eat Foods (Pineapple chunks in pineapple juice), Ready to Eat Foods (Mango Chunks in Mango Juice); Preservatives/Extracts/Flavors: Curry leaves dried, Dehydrated Foods (Moringa Leaves Dried), Extracts (Ginger extract), Extracts (Black Tea Extract (single ingredient)), Extracts (curry leaf extract), Extracts (Green Tea Extract), Extracts (Curcumin Extract), Green Tea Aroma, Nutmeg Butter, Powders (Nutmeg Powder), Powders (Curry leaves powder), Powders (Black tea extract powder), Powders (Cinnamon Extract Powder), Powders (Cinnamon powder/ground), Powders (Ginger Extract Powder), Powders (Ginger Powder), Powders (Celery powder), Powders (Moringa Leaves Extract Powder), Powders (Moringa leaves powder), Powders (Mace powder), Spices (Pepper black), Spices (Pepper black oil), Spices (Pepper green), Spices (Pepper green powder), Spices (Pepper red), Spices (Pepper white), Spices (Turmeric Powder), Spices (Vanilla Beans), Spices (Vanilla Powder), Spices (Nutmeg (Myristica fragrans)), Spices (Cinnamon), Spices (Cinnamon quilling), Spices (Cinnamon quills), Spices (Cinnamon Sticks), Spices (Cloves), Spices (Cloves Powder/Ground), Spices (Cloves whole), Spices (Black Pepper Powder), Spices (Cardamom), Spices (Cardamom powder/ground), Spices (Dried ginger), Spices (Dried turmeric), Spices (Nutmeg with shell), Spices (Nutmeg without shell), Spices (White Pepper Powder), Spices (Mace), Spices (Mace Broken); Other Grains, Pastas and Cereals: Sesame White; Oils &amp; Oleoresins: Essential Oils (Cinnamon bark oil), Essential Oils (Cinnamon Leaf Oil), Essential Oils (Citronella oil), Essential Oils (Clove Bud Oil), Essential Oils (Clove leaf oil), Essential Oils (Clove stem oil), Essential Oils (Cardamom oil), Essential Oils (Distilled Lime Oil), Essential Oils (Ginger oil), Essential Oils (Lemon Oil), Essential Oils (Lemongrass oil), Essential Oils (Mace oil), Essential Oils (Peppermint Oil (Mentha piperita)), Essential Oils (Sandalwood oil), Essential Oils (Turmeric Oil), Essential Oils (Nutmeg oil), Essential Oils (Vetiver Oil), Essential Oils (White Pepper Oil), Essential Oils (Cold Pressed Stone Squeezed Sesame Oil), Essential Oils (Cold Pressed Sesame Oil), Essential Oils (Coconut MCT Oil 60/40), Oils (Sesame Oil), Oils (RBD Coconut Oil), Oils (Virgin coconut oil), Oils (White coconut oil), Oils (Extra Virgin coconut Oil (Extra Live Virgin Coconut Oil-Centrifuge Method)), Oils (Fractionated Virgin Coconut Oil), Oils (Coconut MCT C10), Oils (Coconut MCT C12), Oils (Coconut MCT C6), Oils (Coconut MCT C8), Oils (Coconut MCT Oil), Oleoresins (Clove bud oleoresin), Oleoresins (Cinnamon Oleoresin), Oleoresins (Ginger Oleoresin), Oleoresins (Cardamom Oleoresin), Oleoresins (Clove stem oleoresin), Oleoresins (White Pepper Oleoresin), Oleoresins (Nutmeg Oleoresin), Oleoresins (Sandlewood oleoresins), Oleoresins (Mace Oleoresin), Oleoresins (Lemongrass Oleoresin); Nuts/Seeds: Celery Seed dried; Health Products: Fennel Powder, Fennel Powder; Fruits/Vegetables: Gotukola dehydrated, Gotukola powder, Green papaya powder; Condiments and Sweeteners: Coconut Butter, Coconut butter (Creamed coconut), Sweeteners (Coconut sugar (Coconut palm sugar / Coconut sap sugar)), Sweeteners (Coconut treacle), Syrups (Coconut Syrup (single-ingredient)), Vinegar (Coconut vinegar); Beverage Related Products: King coconut water, Tea (Black Tea Aroma)</t>
  </si>
  <si>
    <t>Processed  Items: Cereal (Bulghur), Cistus (grounded, powder), Dried Tomato, Dehydrated Foods (Dried Mulberry , Dried Prune, Sour cherry - dried), Rice (Rice Flour); Other Grains, Pastas and Cereals: Wheat (Wheat); Nuts/Seeds: Almonds (Almond), Hazelnut (Hazelnut (with shell)), Seeds (Poppy Seed, White Poppy Seed), Walnuts (Walnut); Health Products: Herbs (Anise Seed (grounded,powder), Blue Poppy Seed , Coriander (grounded ,powder), Cumin Seed (grounded, powder), Cumin Seed (grounded,powder), , Fennel Seed (grounded, powder), Laurel leaves or Bay leaves (grounded, powder, crushed, rubbed), Nigella Seed (Blackcumin) , Oregano (grounded, powder, crushed, rubbed), Oregano (grounded,powder,crushed,rubbed), Rosemary (crushed,grounded,powder,rubbed), Sage (Salvia officinalis) - Leaves (rubbed,grounded,powder,crushed),, Sage leaves (rubbed, grounded, powder, crushed), Savory (grounded,powder), Thyme leaves (cut&amp;sift, grounded, powder, crushed, rubbed)); Fruits/Vegetables: Dehydrated Foods (Apricot - dried, Dried Apricots, Dried Figs, Raisin-Dried, Raisins); Other: Beans (Beans / Dry Beans), Brown (red shelled) lentils, Chickpea Flour, Chickpeas, Flax Seed, Green lentils, Red footbal lentils-Red split lentils, Sumac (grounded,powder), Yellow lentils, Seeds (Sesame)</t>
  </si>
  <si>
    <t>Other Grains, Pastas and Cereals: Steel cut cracked rye, rolled oats; Nuts/Seeds: Berries (Rye, spelt, hard red spring wheat, warthog wheat, turkey red wheat), Seeds (Sunflower Seeds); Dry/Baking Goods: Flours and Meals (Flours: red fife, whole spelt, sifted durum, dark rye, barley, all purpose, artisan old country type 85 malted, whole dark rye, whole khorasan, artisan bakers craft wheat, beehive malted unbleached all-purpose, sifted artisan, whole wheat kernel bread, old country type 100 malted wheat, turkey red whole wheat, type 00 normal, frederick cake, high protein, black emmer, whole spelt, buckwheat, Hi Protein Fine whole wheat, organic pastry, artisan bakers craft plus wheat, white spelt, buckwheat, hi mountain hi gluten wheat, silky smooth pastry, type 70 pastry, Italian style Pizza), Flours and Meals (Golden Yellow corn meal, bloody butcher polenta/grits, fine bloody butcher corn meal, buckwheat groats); Condiments and Sweeteners: Juice (Evaporated Cane Juice); Other: Warehouse Storage &amp; Distribution Contract Service Provider</t>
  </si>
  <si>
    <t>Other Grains, Pastas and Cereals: Cereal (Steel Cut Cracked 6 Grain Cereal, Steel Cut Cracked 12 Grain Cereal), Cereal (Steel Cut Cracked 6 Grain Cereal Mix, Yellow Corn Grits), Durum (Durum Berries), Oats (Steel Cut Oats); Nuts/Seeds: Seeds (Golden Flax Seed, Sunflower Seed); Fruits/Vegetables: Vegetables (Whole Yellow Corn); Dry/Baking Goods: Baking Mixes (Alvarado Street Bakery Multi-grain Mix, Amaranth, Ancient Grain Mix,), Baking Mixes (6 Grain Flour Blend Mix 03, 8 Grain and Seed Mix, 22 Grain Seed Topping Mix, Franz Supper Seed Topping Mix, Honey Whole Wheat Soaker, Oat Seed Topping, Rice Nine Mix, Seed Blend #5, Seeded Bread Soaker, Seeded Bread Topping, Special Steel Cut Cracked 9 Grain Mix, Super Seed Mix, Toppings &amp; Soaker Mix for Sprouting, Organic Ancient Grain and Seed Blend, Whole Grain and Seed Mix, Seeded Mix), Baking Mixes (8 Grain and Seed Mix, Hulled Barley, Hulled Millet, Quinoa, Rye Berries, Spelt Berries, Sprouting Barley, Steel Cut Cracked Rye, Steel Cut Cracked Spelt, Triticale), Flours and Meals (Whole Wheat Flour, Whole Wheat Special Flour, Acme Whole Wheat Hi-Pro Flour, Barley Flour, Buckwheat Flour, Corn Meal &amp; Brown Rice Flour, Medium Yellow Cornmeal, Millet Flour, Oat Flour, Old World Bread Flour, Sprouted Medium Wheat Flour, Sprouted Whole Wheat Flour, Stone Ground Spelt Flour, Stone Ground Rye Flour, Stone Ground California Whole Wheat Flour, Type 110 Wheat Flour, Type 80 Durum Flour, Type 80 Khorasan Flour, White Medium Rye Flour, White Rice Flour, Whole Dark Rye Flour, Whole Emmer Flour, Whole Khorasan Flour, Whole Spelt Flour, Whole Wheat All-Purpose Flour, Whole Wheat Durum Flour, Whole Wheat Hard White Flour, Whole Wheat Hi-Pro Coarse Flour, Whole Wheat Hi-Pro Fine Flour, Whole Wheat Hi-Pro Medium Flour, Whole Wheat Medium Flour Las Tortilla Grind, Whole Wheat Pastry Flour, Yellow Corn Fine Flour, Kenter Canyon Farms Type 110 Durum Flour, Kenter Canyon Farms Type 110 Emmer Flour, California Wheat Medium Flour), Flours and Meals (El Dorado Stone Ground Whole Wheat Flour, Hi-Five Flour Blend, Sprouted 100% Whole Wheat Special Flour, Whole Einkhorn Flour), Flours and Meals (Steel Cut Cracked Yellow Corn), Seeds (Brown Flax Seed, Pumpkin Seeds, Sesame Seeds, Hulled Sesame Seeds, Sunflower Seeds), Wheat (Buckwheat Groats), Wheat (Einkorn Berries, Esperia Wheat Berries, Hard Red California Wheat Berries, Hard Red Spring Wheat Berries, Hard Red Winter Wheat Berries, Hard White Wheat Berries, Khorasan Wheat Berries, Rye Flakes, Soft White Wheat Berries, Steel Cut Cracked Khorasan, Steel Cut Cracked Wheat), Wheat (Einkhorn, Steel Cut Cracked Sprouted Wheat)</t>
  </si>
  <si>
    <t>Other Grains, Pastas and Cereals: Cereal (Germade, Wheat Farina); Dry/Baking Goods: Baking Mixes (Farina Da LaPosta Artisan Pizza Flour, Multigrain Mix, Pizza Germania, Pepples Organic Donut Blend), Baking Mixes (Great White Bread Mix, Great White Sponge Mix, Muffin Mix, Passione Pizza Mix, S-500 Green Organic, Whole Wheat Bread Mix, Whole Wheat Sponge Mix, 6 Grain Pancake and Waffle Mix, Buttermilk Pancake and Waffle Mix, Buttermilk Whole Wheat Pancake and Waffle Mix, VUSD Muffin Mix), Flours and Meals (Hard White Sprouted Wheat, Intens Fresh 6-40-O, Liberte Tradition T65, Sprouted Durum, Sprouted Einkhorn, Sprouted Emmer, Sprouted Hard Red Wheat, Sprouted Khorasan, Sprouted Oats, Sprouted Rye, Sprouted Spelt, Sprouted Triticale, Sprouted Whole Wheat Berries), Flours and Meals (75/25 Durum Blend, El Dorado Unbleached Wheat Flour, Extra Fancy Durum Flour, Unbleached Type 85 Spelt Flour, Unbleached Pastry Flour, Unbleached Type 70 Pastry Flour, Unbleached Wheat Flour with Germ, Unbleached White Spelt Flour, Artisan Bakers Craft Wheat Flour PLUS Malted Barley Flour, Artisan Bakers Craft PLUS Wheat Flour, Beehive Unbleached Malted All Purpose Flour, Hi Gluten Wheat Flour, High Mountain Hi Gluten Wheat Flour, Rize Up Blend, Type 00 Normal Flour, Type 00 Reinforced Unbleached Wheat Flour, Type 70 Malted Wheat Flour, Type 70 Pizza Flour, Type 85 Malted Wheat Flour, Type 85 Wheat Flour, King Arthur PQ Blend Flour, Farivita Pizza Flour, Great Northern Plus 100% Organic Wheat Flour), Flours and Meals (Unbleached Enriched Pastry Flour, S-500), Wheat (Clean Raw Wheat Germ, Crushed Wheat, Extra Fine Bran, Millrun, Red Flaky Wheat Bran, Type 65 Turkey Red)</t>
  </si>
  <si>
    <t>Dry/Baking Goods: Baking Mixes (6 Grain Pancake &amp; Waffle Mix, Buttermilk Pancake &amp; Waffle Mix, Whole Wheat Buttermilk Pancake &amp; Waffle Mix, Buttermilk Pancake &amp; Waffle Mix, Whole Wheat Buttermilk Pancake &amp; Waffle Mix), Baking Mixes (Protein 6 Grain Pancake &amp; Waffle Mix), Baking Mixes (Protein 6 Grain Pancake &amp; Waffle Mix), Flours and Meals (All Purpose Flour, Artisan Bakers Craft Wheat Flour, Bread Flour, Dusting Wheat Flour, Extra Fancy Durum Flour, Type 00 Normal Pizza Flour, Unbleached Pastry Flour, Whole Wheat Flour, Whole Wheat Pastry Flour, Beehive Unbleached Malted All Purpose Flour, Whole Wheat Flour, Whole Wheat Pastry Flour), Flours and Meals (Enriched Unbleached Flour, Unbleached All Purpose Flour, Unbleached Best Coast Flour, Unbleached Enriched Bread Flour); Animal Feed: Livestock Feed (Mill Run)</t>
  </si>
  <si>
    <t>Other: Baking Mix (Mold Inhibitor WCE 14), Baking Mix (Softase 704), Beans (Garbanzo Beans), Coconut (Coconut Chips), Dairy (Buttermilk Blend), Distributing (Client Profile Products only) (Distribution of previously packed items by certified vendors), Dried Fruits (Cranberries), Dried Fruits (Raisins - Select), Flour (Artisan Bakers Craft), Flour (Artisan Bakers Craft Plus), Flour (Barley Flour), Flour (Beehive Unbleached AP Malted), Flour (Bred Mate 2500), Flour (Buckwheat Flour), Flour (California Whole Wheat Medium), Flour (Extra Fancy Durum), Flour (Garbanzo Bean), Flour (Gluten Free Hulled Millet Flour Fine), Flour (Gluten Free Long Grain Brown Rice Flour Fine), Flour (Gluten Free White Sorguhum Flour Fine), Flour (Hard White Whole Wheat), Flour (High Mountain ), Flour (Liberté Tradition T65), Flour (Long Grain White Rice Flour Fine), Flour (Malted Barley), Flour (Medium White Rye), Flour (Pumpernickel Rye), Flour (Rize Up Blend), Flour (S 500 Green), Flour (Semolina), Flour (Stone Ground California Whole Wheat), Flour (Stone Ground Rye), Flour (Stone Ground Spelt), Flour (Type 00 Normal), Flour (Type 00 Reinforced), Flour (Type 110 Wheat), Flour (Type 70 Malted), Flour (Type 70 Pastry), Flour (Type 80 Khorasan Flour), Flour (Type 80 Wheat), Flour (Type 85), Flour (Type 85 Malted ), Flour (Type 85 Spelt), Flour (Unbleached Pastry), Flour (Vital Wheat Gluten), Flour (White Spelt), Flour (Whole Dark Rye), Flour (Whole Khorasan), Flour (Whole Oat Flour), Flour (Whole Spelt), Flour (Whole Wheat Durum), Flour (Whole Wheat Hi Pro Fine), Flour (Whole Wheat Hi Pro Fine (ACME)), Flour (Whole Wheat Hi Pro Medium ), Flour (Whole Wheat Pastry), Flour (Whole Wheat Special), Flour (Yellow Corn Flour Fine), Grains (Buckwheat Groats), Grains (California Wheat Berries), Grains (Corn Grits (Polenta)), Grains (Crushed Wheat), Grains (Durum Berries), Grains (Golden / White Quinoa), Grains (Hard Red Spring Berries), Grains (Hard Red Sprouted Wheat), Grains (Hard Red Winter Berries), Grains (Hard White Wheat Berries), Grains (Hulled Barley), Grains (Hulled Millet), Grains (Khorasan), Grains (Regular Rolled Oats #5), Grains (Rye Berries), Grains (Rye Flakes), Grains (Soft White Wheat Berries), Grains (Spelt Berries), Grains (Steel Cut Cracked 6 Grain), Grains (Steel Cut Cracked 9 Grain), Grains (Steel Cut Cracked Rye), Grains (Steel Cut Cracked Wheat), Grains (Wheat Bran ), Grains (Whole Corn ), Grains (Whole Oat Groats), Milk (Dry) (Non Fat Powder Low Heat), Nuts (Walnuts), Oats (Baby), Oats (Gluten Free Regular Rolled Oats #5), Oats (Gluten Free Thick Cut Old Fashioned Rolled Oats #3), Oats (Quick), Oats (Steel Cut Oat Groats), Oats (Thick Cut Rolled Oats #3), Oils (Canola), Oils (Extra Virgin Olive Oil), Oils (Sunflower), Packaging (Client Profile Products only), Powder (Instant Yeast), Seed (Fennel), Seed (Flax Meal Brown), Seed (Flax Meal Golden), Seed (Flax Seed - Brown), Seed (Flax Seed Golden), Seed (Oasis Seed Mix), Seed (Poppy Seed ), Seed (Pumpkin Kernels), Seed (Sesame - Natural Brown ), Seed (Sesame Hulled White ), Seed (Sunflower Kernals - Import), Seed (Sunflower Seed - Domestic ), Seeds (Sesame Black), Seeds (Super Seed Mix), Spices (Cinnamon), Spices (Garlic Minced), Spices (Onion Minced), Sweetener (Bittersweet Wafer 66%), Sweetener (Blackstrap Molasses), Sweetener (Blue Agave), Sweetener (Cane Sugar), Sweetener (Coconut), Sweetener (Dark Brown Sugar), Sweetener (Honey), Sweetener (Light Brown Sugar), Sweetener (Maple Syrup), Sweetener (Powdered Sugar), Tomatoes (Whole Peeled), Tomatoes (Crushed) (Rustic Crush), Vinegar (120 Grain White Distilled)</t>
  </si>
  <si>
    <t>Other: Brown Teff Seed, Cowpea Seed, White Teff Seed</t>
  </si>
  <si>
    <t>Other: Brokering of Organic Grains (yellow corn, white corn, wheat, soybeans)</t>
  </si>
  <si>
    <t>Other: Storage &amp; Loading of Organic Grain, Storage &amp; Loading of Organic Grain</t>
  </si>
  <si>
    <t>Other: Storage of Organic Grains, Storage of Organic Grains, Wheat, Wheat, White Corn, White Corn, Yellow Corn, Yellow Corn</t>
  </si>
  <si>
    <t>Other: Animal Feed (Dairy Cow Feed - Grains, Meals), Animal Feed (Soy Bean Meal), Transloading (Client Profile Products only)</t>
  </si>
  <si>
    <t>Other: Beans (Adzuki Beans), Beans (Ayocote), Beans (Ayocote Negro), Beans (Black Eyed Peas), Beans (Black Lentils), Beans (Black Turtle Beans), Beans (Brown Lentils), Beans (Corona), Beans (Cranberry), Beans (Dun Pea), Beans (Fava), Beans (Flor de Mayo), Beans (French Green Lentils), Beans (Garbanzo), Beans (Green Peas), Beans (Kidney), Beans (Mung), Beans (Oaxacan Black), Beans (Peruviana), Beans (Pinto), Beans (Red Lentils), Beans (Red Silk), Beans (Speckeled Pea), Beans (Yellow Pea), Flour (Amaranth), Flour (Buckwheat), Flour (Corn), Flour (Einkorn (Wheat)), Flour (Favita), Flour (Garbanzo Bean), Flour (Khorasan (Wheat)), Flour (Kidney Bean), Flour (Millet), Flour (Oat), Flour (Quinoa), Flour (Rye), Flour (Sonora Wheat), Flour (Sorghum), Flour (Spelt), Flour (Teff), Flour (Triticale), Flour (Winter Wheat), Grains (Amaranth), Grains (Barley), Grains (Barley (Black, Purple Karma)), Grains (Buckwheat), Grains (Bulgar), Grains (Einkorn), Grains (Emmer Farro), Grains (Ethiopian Blue Tinge Farro), Grains (Foxtail Millet), Grains (Hard Red Winter Wheat), Grains (Kamut), Grains (Khorasan), Grains (Nude Oats), Grains (Purple Corn), Grains (Quinoa), Grains (Rye), Grains (Sonora Wheat), Grains (Spelt), Grains (Teff), Grains (Triticale), Grains (White Sorghum), Herbs &amp; Spices (Ajowan), Herbs &amp; Spices (Asclepias tuberosa), Herbs &amp; Spices (Avena sativa), Herbs &amp; Spices (Bergamot), Herbs &amp; Spices (Camelina), Herbs &amp; Spices (Catnip), Herbs &amp; Spices (Celery Leaf), Herbs &amp; Spices (Celery Seed), Herbs &amp; Spices (Cilantro), Herbs &amp; Spices (Coriander), Herbs &amp; Spices (Cumin), Herbs &amp; Spices (Dill Pollen), Herbs &amp; Spices (Dill Seed), Herbs &amp; Spices (Epazote), Herbs &amp; Spices (Fennel Pollen), Herbs &amp; Spices (Fennel Seed), Herbs &amp; Spices (Fenugreek), Herbs &amp; Spices (Grindelia), Herbs &amp; Spices (Grindelia camporum), Herbs &amp; Spices (Horehound), Herbs &amp; Spices (Khella), Herbs &amp; Spices (Lemon Verbena), Herbs &amp; Spices (Lovage), Herbs &amp; Spices (Marjoram), Herbs &amp; Spices (Mexican Tarragon), Herbs &amp; Spices (Mint), Herbs &amp; Spices (Mugwort), Herbs &amp; Spices (Mustard (Black)), Herbs &amp; Spices (Mustard (White)), Herbs &amp; Spices (Nepeta cataria), Herbs &amp; Spices (Oregano), Herbs &amp; Spices (Parsley Leaf), Herbs &amp; Spices (Parsley Seed), Herbs &amp; Spices (Sage), Herbs &amp; Spices (Salvia apiana), Herbs &amp; Spices (Turmeric), Herbs &amp; Spices (Yarrow), Seed (Anise), Seed (Basil), Seed (Brown Flax), Seed (Chia), Seed (Poppy), Seed (Pumpkin), Seed (Seed Crops), Seed (Sesame (Black)), Seeds (Sunflower)</t>
  </si>
  <si>
    <t>Processed  Items: Dehydrated Foods (Fermented and / or Washed Dry Grain Cocoa - Cacao grano seco Fermentado y/o Lavado)</t>
  </si>
  <si>
    <t>Processed  Items: Banana dehydrated, Camu Camu Powder, Hemp Protein Powder, Kiwi (Actinidia chinensis) - dried, Maca dried, Pea Protein, Peas, Protein, Pumpkin Kernel Protein Powder, Pumpkin Protein Powder, Reishi (Ganoderma lucidum), Powder / Extract, Rice Bran Oil, Rice Protein, Sea Buckthorn Juice Powder, Sunflower Protein, Sunflower Protein Powder, White Quinoa Powder, Cereal (Black quinoa flakes, Black Quinoa Powder, Buckwheat Groats, Corn Chop (Corn Ballast), Dehydrated precooked black quinoa, Dehydrated precooked red quinoa, Dehydrated precooked tricolor quinoa, Dehydrated precooked white quinoa, Hommali rice bran, Lucuma Powder, Puffed Corn, Puffed Soybean, Pumpkin seed Shineskin Kernel, Quinoa Flakes, Red quinoa flakes, Red quinoa pop, Red Quinoa Powder, Rice bran, Rice bran meal, White quinoa flakes, White quinoa pop), Dehydrated Foods (Alfalfa, Goji Berry, Dried, Goji Berry, Powder, Goji powder, Pineapple dehydrated), Powders (Spirulina powder), Purees (Sea Buckthorn Puree); Preservatives/Extracts/Flavors: Extracts (Chaga Mushroom Powder Extract, Fennel Seed Powder/Extract Powder, Ginger Extract, Pomegranate Seed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(Barley Grass Powder, Ginger Powder, Hemp Cake (Hemp meal), Monk Fruit Extract (Monk Fruit Sweetener), Perilla Seed, Watermelon seed, Watermelon Seed Kernels, Yacon Powder); Fruits/Vegetables: Berries (Goji berries, Mulberry Leaf, Sea Buckthorn), Black Maca Powder, Chinese date (Fructus Jujube), Maca Powder, Potato, Sweet potato (Iponomea batata), Dehydrated Foods (Dried Banana), Powders (Beet root powder, Carob powder, Chia powder, Pomegranate powder, Quinua Powder, Tea powder, Tumeric powder); Dry/Baking Goods: Flours and Meals (Amaranth powder, flour,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Chocolate (Dried Banano Covered with Organic Chocolate 55% Cocoa Sweetened with Agave Powder); Beverage Related Products: Coffee (Roasted Coffee), Juice (Goji Berry, Juice),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Sunflower Lecithin Powder, White Kidney Bean), Chick Pea, Chlorella Tablets, Chlorella, Powder, Cowpea, Lentils, Pea, Seeds (Black chia, Quinoa Tricolor Powder, Sesame, Sesame Cake, Sesame Meal, White chia)</t>
  </si>
  <si>
    <t>Other: Alfalfa, Alfalfa (Pellets), Almond Hulls Livestock Feed, Amaranth, Apple Cider Vinegar, Barley, Barley (Barley (flaked, ground, pearled, whole)), Barley (Barley Straw), Barley (Pearled), Barley Flour, Black Beans, Blend (Canola &amp; Soybean Oil Blend), Brown Rice Syrup, Buckwheat, Buckwheat Flour, Canola Meal, Canola Meal, Canola Oil, Chia Seeds, Cocoa Powder (Alkalized), Coconut Flour, Coconut Oil, Corn, Corn (Blue), Corn (Ground), Corn (Red), Corn (White), Corn (Yellow), Corn Flour, Cottonseed, Dehydrated Potatoes ((dehydrated, ground, flour)), Dried Coconut (Desiccated (Fine, Medium, Chips, Shreds)), Dried Raisins, Einkorn, Fava Beans, Flax (brown), Flax (golden), Flax seed Meal, Flaxseed Oil, Grain Pellet (Pea), Hemp Seeds, Hemp Seeds (Hempseed Cakes), Kamut (Flakes), Kelp Livestock Feed (Kelp Meal), Kidney Beans (White Kidney Beans), Lentils, Lentils (Whole), Livestock Feed - Hominy, Livestock Feed - Oats, Livestock Feed - Wheat Midds, Livestock Feed - Wheat Midds (Wheat Midds/Middling Pellets), Millet (White Dehulled Millet), Millet (White Proso Millet), Millfeed (Millrun/Millfeed), Millfeed (Millrun/Millfeed Pellets), Milo (Red Milo), Milo (White Milo), Molasses (Spray Dried), Oats, Oats (Groats), Oats (Oats (flour, groats, steam rolled, whole)), Pea Flour, Pea Starch, Peas ((Whole, Yellow, Green)), Popcorn Kernels, Quinoa (Flakes), Rice (Brown) (Long Grain, Flour), Rice (White) (Long Grain, Flour), Rye, Rye (Berries), Rye Flour, Safflower, Safflower Oil, Screenings, Screenings (Corn), Screenings (Mixed Grains - Grain Screenings: Wheat, Rye, Buckwheat, Oat, Flax, Lentils, Millet Pea, Barley), Screenings Livestock Feed (Pea Screenings), Sesame Meal, Sesame Meal (Sesame Cake / Sesame Meal), Soybean Hulls, Soybean Hulls (Pellets), Soybean Meal, Soybean Oil, Soybeans, Soybeans (Splits), Spelt, Spelt (Flakes), Sunflower Meal, Sunflower Oil, Sunflower Seed Kernel (Raw), Sunflower Seeds (Black Oil Sunflower ), Sunflower Seeds (Raw, In Shell), Tapioca Starch, Triticale, Triticale (Flakes), Wheat, Wheat (Hard Red Winter), Wheat (Hard Red) (Hard Red Spring Wheat), Wheat (Hard White Winter), Wheat (Soft White), Wheat Bran, Wheat Bran (Red Wheat Bran), Wheat Flour, Wheat Screenings</t>
  </si>
  <si>
    <t>Other Grains, Pastas and Cereals: Rice (Hommali Rice Products (AlphaMeta)), Rice (Instant Hommali Rice Products), Rice (Instant Riceberry Products); Dry/Baking Goods: Flours and Meals (Instant Hommali Rice Porridge/ Congee), Flours and Meals (Instant Riceberry Porridge/ Congee), Flours and Meals (Riceberry Powder Products), Flours and Meals (Riceberry Powder Products (Enertri (Riceberry-beverage) / NutriFood-Riceberry)), Flours and Meals (Riceberry Powder Products (Riceberry Blend))</t>
  </si>
  <si>
    <t>Other Grains, Pastas and Cereals: Rice brown; Oils &amp; Oleoresins: Colza Oil, Palm oil, Soy oil, Sunflower Oil; Nuts/Seeds: Hazelnuts, Peanuts, Pistachios, Walnuts; Fruits/Vegetables: Avocados, Bananas, Beans, Berries, Berries, Papayas; Beverage Related Products: Coffee green; Animal Feed: Coffee cake, Rice Cake, Rice, Guaya, Teff and Yellow corn cake, Rice, Yellow corn and Buckwheat cake, Rice, Yellow corn and lentils cake, Soybean cake/cake of soy; Other: Buckwheat, Chickpeas, Coffee roasted, Lentils, Rice, Sesame, Soybeans, Sunflower seed, Vanilla, Yellow corn and Chia seeds</t>
  </si>
  <si>
    <t>Other Grains, Pastas and Cereals: Pasta (Bucatini), Pasta (Casarecce), Pasta (Cavatelli), Pasta (Conchiglie), Pasta (Farfalle), Pasta (Oricchiette), Pasta (Orzo), Pasta (Penne Rigat), Pasta (Rigatoni), Pasta (Spaguetti), Pasta (Trottole), Pasta (Whole Wheat Fusilli), Pasta (Whole Wheat Linguini), Pasta (Whole Wheat Penne Rig), Pasta (Whole Wheat Spaguetti)</t>
  </si>
  <si>
    <t>Other Grains, Pastas and Cereals: Yellow corn, Soybeans; Other: Importing</t>
  </si>
  <si>
    <t>Processed  Items: Coconut chips, Dehydrated Foods (Desiccated coconut - fine), Dehydrated Foods (Dried Moringa leave tea cut), Dehydrated Foods (Moringa fine cut), Dehydrated Foods (Moringa Leaves Dried), Dehydrated Foods (Moringa leaves powder); Preservatives/Extracts/Flavors: Concentrates (Coconut milk 17%), Concentrates (Coconut milk 22%), Herbs (Cumin Powder), Herbs (Cumin seed), Herbs (Curry assortment set no. 10), Herbs (Curry four set), Herbs (Curry leave Tea Cut), Herbs (Fennel Powder), Herbs (Fennel seed), Herbs (Fenugreek seed), Powders (Red Rice Flour), Spices (Ruby blend wine spice mixture), Spices (six spice white gift box), Spices (Soup spice mixture), Spices (Soup spice mixture (Recipe 2)), Spices (Spice Mix (Arrabiata Spice Mixture)), Spices (Stew Spice mixture), Spices (tea spice mixture), Spices (Turmeric fine cut), Spices (Turmeric Powder), Spices (Turmeric tea cut), Spices (Vanilla coarse cut), Spices (Vanilla cut), Spices (Vanilla fine cut), Spices (Vanilla pods), Spices (Vanilla Powder), Spices (Vanilla Tea), Spices (Vanilla tea cut), Spices (Wine Spice Mixture), Spices (Yellow Rice Spice Mixture 01), Spices (Common spice set), Spices (Common spice set for Xmas), Spices (Cookies Spice Mixture), Spices (Coriander Powder), Spices (Coriander seeds), Spices (Fish spice mixture), Spices (Four spice mixture/four spice curry mixture), Spices (Four Spice Wooden Gift Box), Spices (Garcinia Coarse Cut), Spices (Garcinia Fine cut), Spices (Garcinia paste), Spices (Garcinia Tea Cut), Spices (Gift common spice box), Spices (Ginger (Zingiber officinale) Powder), Spices (Ginger coarse cut), Spices (Ginger fine cut), Spices (Ginger OP Cut), Spices (Ginger pieces dried), Spices (Ginger tea cut), Spices (Gluwine spice mixture/punch wine spice), Spices (Goraka), Spices (Barbeque Mixture), Spices (Black Pepper Broken), Spices (Black Pepper Coarse Cut), Spices (Black pepper fine cut), Spices (Black pepper tea cut), Spices (bread spice mixture), Spices (Bread Spice Mixture (Recipe 2)), Spices (Cake spice mixture), Spices (Cardamom), Spices (Cardamom coarse cut), Spices (Cardamom fine cu), Spices (Cardamom powder/ground), Spices (Cardamom tea cut), Spices (Chicken Spice Mixture), Spices (Chilli Flakes), Spices (Chillies), Spices (Chillies powder/ground), Spices (Chillies whole), Spices (Christmas spice set), Spices (Cinnamon coarse cut), Spices (Cinnamon fine cut), Spices (Cinnamon pieces), Spices (Cinnamon powder/ground), Spices (Cinnamon Quillings No.01), Spices (Cinnamon Tea Cut), Spices (Clove coarse cut), Spices (Clove fine cut), Spices (Clove Tea Cut), Spices (Cloves Powder/Ground), Spices (Cloves whole), Spices (Green Chili (Raw)), Spices (Lemon grass), Spices (Lemon peel coarse cut), Spices (Lemon peel fine cut), Spices (Lemongrass - Fresh), Spices (Lemongrass coarse cut), Spices (Lemongrass cut), Spices (Lemongrass fine cut), Spices (Lemongrass Powder), Spices (Lemongrass tea cut), Spices (Mace powder), Spices (Mace whole), Spices (Meat Spice Mixture), Spices (Mustard Powder), Spices (Mustard seeds), Spices (Mutton spice Mixture), Spices (Nutmeg coarse cut), Spices (Nutmeg Fine Cut), Spices (Nutmeg Powder), Spices (Nutmeg Tea Cut), Spices (Nutmeg with shell), Spices (Nutmeg without shell), Spices (Pepper black), Spices (Pepper black powder), Spices (Pepper cake blend), Spices (Pepper white), Spices (Pepper white powder), Spices (Pickling Spice), Spices (Red Chili (Raw)); Other Grains, Pastas and Cereals: Green beans (mung), Kurakkan Flour (Finger millet), Kurakkan Seeds (Finger millet), Rice (Red Rice organic), Rice (Rice polish), Sesame, Sesame white; Oils &amp; Oleoresins: Oils (Coconut Oil), Oils (Virgin Coconut Oil), Oils (Coconut oil (RBD)); Fruits/Vegetables: Citrus (Lime Peel Coarse Cut), Citrus (Lime peel fine cut), Citrus (Orange peel), Citrus (Orange peel coarse cut), Citrus (Orange peel fine cut), Citrus (Orange peel tea cut), Citrus (Orange tea); Dry/Baking Goods: Flours and Meals (Coconut Flour), Powders (Curry Leaves), Powders (Curry leaves coarse cut), Powders (Curry Leaves Fine Cut), Powders (Curry leaves powder), Powders (Curry Mix Garam Masala), Powders (Curry powder hot (Recipe 3)), Powders (Curry powder medium (Recipe 02)), Powders (Curry powder sweet (Recipe 03)); Condiments and Sweeteners: Jam (Coconut Jam), Syrups (Coconut treacle); Beverage Related Products: Chai tea, Cinnamon tea, Lemongrass tea, Tea (Green Tea)</t>
  </si>
  <si>
    <t>Other: Handling of organic whole grains for feed and seed, 'Grain Bank' Storage of Organic Commodities, 'Organic':, Storage of Organic Commodities: Corn, Soy Meal, Flax, Wheat, Barley, Whole Grains or Single Ingredient Products: Alfalfa meal, Barley, Barley seed, Corn, Flax Meal, Flax Seed, Feed Oats, Seed Oats, Peas, Soybeans, Expelled Soybean Meal, Wheat, Alfalfa Pellets, Scratch Grain, Rye Seed</t>
  </si>
  <si>
    <t>Other Grains, Pastas and Cereals: Basmati Paddy,Non-basmati Paddy, Basmati Rice,Broken Rice,Non Basmati Brown Rice,Non Basmati Rice,Non Basmati White Rice,Parboiled Basmati Rice,Parboiled brown rice,Parboiled White Rice</t>
  </si>
  <si>
    <t>Other: 6 Grain Flour, 7 Grain &amp; Seed Mix, Barley Berries, Barley Flour, Bran / animal feed, Buckwheat Berries, Corn Berries, Cracked Grain/ animal feed, Cracked Rye, Cracked Wheat, Dark Whole Rye Flour, Flax Seed, Green Market White Flour, Green Market Whole Flour, Hard Red Spring Wheat Berries, Hard Red Winter Wheat, Hulled Sesame Seed, Meadow All Purpose White Flour, Meadow White with Germ Flour, Millet Flour, Millet Seed, Mt Marcy White Bread Flour, Mt Marcy White Bread Flour with Germ, Old Fashion Cornmeal, Pumpkin Seed, Red Bran, Rye Berries, Soft White Winter Wheat, Spelt Berries, Steel Cut Oats, Stone Ground Whole Spelt Flour, Stone Ground Whole Wheat Bread Flour, Sunflower Seed, Vermont Berries, Vermont White Flour, Vermont Whole Flour, Waste flour/ animal feed, White Pastry Flour, White Pastry Flour with Germ, White Rye Flour, White Spelt Flour, Whole Buckwheat Flour, Whole Corn Flour, Whole Grain / animal feed, Whole Spelt Flour, Whole Wheat Bead Flour, Whole Wheat Pastry Flour</t>
  </si>
  <si>
    <t>Other Grains, Pastas and Cereals: Black sesame seed (black sesame）, Buckwheat, Corn, Flax seed, Millet, Rape seed, Rice (Paddy), Rice (Glutinous rice), Sorghum, White sesame seed (sesame, white sesame); Nuts/Seeds: Sunflower seed; Fruits/Vegetables: Beans (Adzuki bean), Beans (Black kidney bean), Beans (Black soybean), Beans (Green soybean (green bean with green kernel)), Beans (Mung bean), Beans (Pinto bean (light speckled kidney beans)), Beans (Red kidney bean), Beans (Soybean), Beans (White kidney bean), Vegetables (Pumpkin seed), Vegetables (Pumpkin seed GWS), Vegetables (Pumpkin seed shine skin), Vegetables (Pea); Other: Hemp seed</t>
  </si>
  <si>
    <t>Other Grains, Pastas and Cereals: Wheat (Wheat flour); Animal Feed: Livestock Feed (Wheat bran)</t>
  </si>
  <si>
    <t>Trees/Whole Plant Products/Flowers: Flowers (Linden flowers), Seeds (Watermelon seed), Seeds (Watermelon seed kernels); Processed  Items: Supplements (Malt dextrin); Preservatives/Extracts/Flavors: Extracts (Starch sugar (maltose, maltodextrin, glucose, glucose, syrup)), Extracts (Beet root juicepowder/extract powder), Extracts (Kale juicepowder/extract powder), Extracts (Rice protein peptide), Extracts (Concentrated soybean protein), Ganoderma lucidum (dried/powder/extract), Hericium erinaceus (dried/powder/extract), Powders (Hemp seed protein powder), Powders (Kale powder /cut/chopped), Powders (Rice protein powder), Powders (Soybean Lecithin powder), Powders (Sunflower Lecithin powder), Powders (Soybean Powder), Powders (Spirulina powder), Powders (Spirulina powder/tablets), Powders (Pumpkin protein powder), Powders (Pure black soybean powder (Black soy milk powder, Black bean powder)), Powders (Pure soybean powder (Soybean milk powder, Soy milk powder)), Powders (Beet root powder/chopped), Powders (Black Sesame powder), Powders (Black Soybean Powder made with organic black soybean), Powders (Chlorella powder), Powders (Chlorella powder/tablets), Powders (Sunflower Protein Powder), Powders (Sweet soybean powder (Soybean milk powder, Soy milk powder)), Powders (White Sesame powder), Powders (Goji Berry Powder), Powders (Brown Rice Protein Powder), Powders (Enzymatic Oat Powder), Powders (Enzymatic Rice Powder/Rice Milk Powder), Powders (Pea Protein Powder), Soybean lecithin crude, Sunflower Lecithin (fluid), Sunflower lecithin crude; Other Grains, Pastas and Cereals: Barley, Barley (Barley grass), Barley (Barley kernel (Also called: Barley groats)), Barley (Barleygrass sprouts), Barley (Barley grass), Chickpeas, Corn, Corn starch, Hemp seed, Hulled/shelled hempseed (Also called: Hemp kernel/hearts), Lentil, Non-sticky millet (Also called: Hulled millet; Millet), Noodles (Vermicelli), Oats, Oats (Oat grass), Oats (Oat kernel), Pea, Pea fiber, Pea protein, Pea starch, Pumpkin kernels (Also called: pumpkin kernel SS), Rapeseed (Also called: Canola), Rice, Rice (Brown rice protein), Rice (Glutinous paddy), Rice (Glutinous rice), Rice (Paddy), Rice (Black Paddy), Rice (Black rice), Rice (Broken rice), Rice (Brown rice), Rice (Rice flour), Rice (Rice protein), Rice (Hydrolyzed rice protein), Sorghum, Sticky hulled millet (Also called: Glutinous millet), Sticky millet (Also called: Rhubarb rice), Wheat, Wheat (Wheat straw), Wheat (Buckwheat), Wheat (Buckwheat husk), Wheat (Buckwheat kernel (Also called: Hulled buckwheat)), Wheat (Black wheat); Oils &amp; Oleoresins: Oils (Raw flax oil), Oils (Black Sesame oil), Oils (Blend Oil), Oils (Borage Seed Oil), Oils (Corn oil), Oils (Evening primrose oil), Oils (Flaxseed oil), Oils (Formula Oil), Oils (Hemp oil (Also called: Hemp seed oil)), Oils (High lignan flaxseed oil), Oils (High oleic sunflower oil), Oils (Oilmega 3.6.9 Oil Blend), Oils (Peanut oil), Oils (Perilla oil), Oils (Pomegranate seed oil), Oils (Pumpkin Seed Oil), Oils (Rapeseed oil), Oils (Rice bran oil), Oils (Safflower Seed Oil), Oils (Sea Buckthorn Oil), Oils (Sesame Oil), Oils (Soybean oil), Oils (Sunflower oil), Oils (Walnut oil), Oils (White Sesame oil); Nuts/Seeds: Black Roasted sesame seeds, Black sesame seed, Flaxseed, Pine Nuts (Pinenut kernel), Pumpkin seed, Pumpkin seed grown without shell (Also called: pumpkin kernel GWS), Pumpkin seed SS, Seeds (White Roasted sesame seeds), Seeds (Coix seed proteinI), Seeds (Pumpkin seed protein), Seeds (Sunflower seed protein), Sunflower seed, Walnuts, Walnuts (Walnut kernels); Health Products: Supplements (Phycocyanin); Fruits/Vegetables: Beans (Adzuki bean), Beans (Black Soybean (Also called: Black bean with green kernel, Black Soybean with green kernel)), Beans (Black turtle bean (Also called: Black kidney beans)), Beans (Broad beans (Also called: fava beans)), Beans (Green blue bean), Beans (Hulled split mung bean (Also called: Mung bean without skin)), Beans (Mung bean), Beans (Pinto bean (Also called: Light speckled kidney bean)), Beans (Purple kidney bean), Beans (Red Kidney Bean (Also called: dark red kidney beans)), Beans (Soybean), Beans (White kidney bean), Beans (Mung bean fiber), Beans (Mung bean starch), Beans (Mung bean protein), Beans (Dark red kidney bean (Also called: red kidney bean)), Beans (Speckled kidney bean), Berries (Goji Berry (Lycium chinense) (dry)), Black Jujube (Diospyros lotus L) (dry), Chinese date (Also called: Fructus Jujube), Goji berry, Jujube (Ziziphus jujuba Mill.) (dry), Jujube diced/circle/tablet/powder), Seedless Jujube (dry), Vegetables (Sweet potato), Vegetables (Broccoli), Vegetables (Alfalfa), Vegetables (Alfalfa grass), Vegetables (Alfalfa sprouts); Dry/Baking Goods: Flours and Meals (Buckwheat flour), Flours and Meals (Glutinous rice flour), Flours and Meals (Hemp flour), Flours and Meals (Soybean Lecithin (fluid)), Flours and Meals (Wheat flour), Sugar (White granulated sugar); Condiments and Sweeteners: Black Sesame paste, Sweeteners (Erythritol), Syrups (High fructose syrup), Syrups (Rice malt syrup), Syrups (Rice syrup), Syrups (Rice syrup solid), Syrups (Brown Rice Syrup), White Sesame paste; Beverage Related Products: Juice (Goji Berry Clear Juice), Juice (Goji Berry Concentrated Juice), Juice (Goji Berry Juice), Tea (Buckwheat tea); Animal Feed: Livestock Feed (Beet pellet meal), Livestock Feed (Blended feed pellets), Livestock Feed (Corn bran meal), Livestock Feed (Corn flake), Livestock Feed (Corn germ cake/meal), Livestock Feed (Corn gluten meal), Livestock Feed (Corn meal), Livestock Feed (Crack corn), Livestock Feed (Flax meal (Also called: Flax expeller; Flax cake)), Livestock Feed (Flaxseed cake/meal), Livestock Feed (Hemp meal (Also called: Hempseed meal)), Livestock Feed (Hemp seed cake/meal/expeller), Livestock Feed (Peanut expeller), Livestock Feed (Peanut meal (Also called: Peanut expeller; Peanut cake)), Livestock Feed (Puffed corn), Livestock Feed (Puffed soybean (Also called: Puffed soybean meal)), Livestock Feed (Pumpkin seed cake), Livestock Feed (Rapeseed cake/meal (Also called: Canola meal/cake)), Livestock Feed (Rice bran), Livestock Feed (Rice bran meal), Livestock Feed (Rice bran meal/expeller), Livestock Feed (Soybean bran), Livestock Feed (Soybean cake/meal/expeller (also called: Soya expeller)), Livestock Feed (Soybean expeller), Livestock Feed (Soybean hulled), Livestock Feed (Squashed corn), Livestock Feed (Sunflower expeller), Livestock Feed (Sunflower seed cake/meal/expeller), Livestock Feed (Wheat bran), Livestock Feed (Wheat gluten)</t>
  </si>
  <si>
    <t>Other Grains, Pastas and Cereals: Rice (Brown rice), Rice; Animal Feed: Livestock Feed (Rice bran)</t>
  </si>
  <si>
    <t>Other Grains, Pastas and Cereals: Corn; Fruits/Vegetables: Beans (*Puffed soybean (Also called: puffed soybean meal)), Vegetables (Corn flake); Animal Feed: Livestock Feed (Corn meal)</t>
  </si>
  <si>
    <t>Other Grains, Pastas and Cereals: Pasta (Adzuki bean Fettuccine, Adzuki bean fusilli, Adzuki bean Instant noodle, Adzuki bean lasagne, Adzuki bean pasta, Adzuki bean penne, Adzuki bean spaghetti, Adzuki bean tagliatelle, Black bean Fettuccine, Black bean fusiili, Black bean Instant noodle, Black bean lasagne, Black bean Noodle, Black bean pasta, Black bean penne, Black bean Spaghetti, Black bean tagliatelle, Black rice fusilli, Black rice noodle, Black rice penne, Brown rice fusilli, Brown rice noodle, Brown rice penne, Buckwheat fusilli, Buckwheat noodle, Buckwheat penne, Chick peas fusilli, Chick peas noodle, Chick peas penne, Edamame fettuccine, Edamame fusilli, Edamame instant noodle, Edamame noodle, Edamame pasta, Edamame penne, Edamame spaghetti, Edamame taliatelle, Green lentil fettuccine, Green lentil fusilli, Green lentil noodle, Green lentil penne, Green lentil spaghetti, Green Soybean &amp; Mung bean Fettuccine, Green soybean fettuccine, Green soybean fusilli, Green soybean Instant noodle, Green soybean lasagne, Green Soybean Noodle, Green soybean pasta, Green soybean penne, Green Soybean Spaghetti, Green soybean tagliatelle, Millet fusilli, Millet noodle, Millet penne, Mung bean Fettuccine, Mung bean fusilli, Mung bean Instant noodle, Mung bean Noodle, Mung bean penne, Mung bean Spaghetti, Quinoa fusilli, Quinoa noodle, Quinoa penne, Red lentil fusilli, Red lentil noodle, Red lentil penne, Rice fusilli, Rice noodle, Rice penne, Sorghum fusilli, Sorghum noodle, Sorghum penne, Soybean &amp; adzuki bean spaghetti, Soybean fettuccine, Soybean fusilli, Soybean Instant noodle, Soybean lasagne, Soybean Noodle, Soybean pasta, Soybean penne, Soybean Spaghetti, Soybean tagliatelle, Whole Hemp seed fusilli, Whole Hemp seed noodle, Whole Hemp seed penne); Oils &amp; Oleoresins: Oils (Black bean oil, Green soybean oil, Soybean oil); Condiments and Sweeteners: Seasoning Blends (Soybean Chicken, Soybean Fish, Soybean Sausage, Soybean Shrimp)</t>
  </si>
  <si>
    <t>Other Grains, Pastas and Cereals: Buckwheat (kernels, whole grain), Flours and Meals (Buckwheat Flour), Millet (husked &amp; whole grain, glutinous &amp; non-glutinous); Nuts/Seeds: Sunflower (whole seed, kernel); Other: Beans (Adzuki Beans, Mungbeans, Red Kidney Beans)</t>
  </si>
  <si>
    <t>Processed  Items: Dehydrated Foods (Dried adamame bean), Dehydrated Foods (Dehydration(AD,FD) Onions(Powder,Dices,Cubes,Slice,Strips,Rings,flake)), Dehydrated Foods (Dehydration(AD,FD) Carrots(Powder,Dices,Cubes,Slice,Strips,Rings,flakes)), Dehydrated Foods (Dehydration(AD,FD)Garlic(Powder,Dices,Cubes,Slice,Strips,Rings,flake)), Dehydrated Foods (Dehydration(AD,FD)kale(Powder,Dices,Cubes,Slice,Strips,Rings,flake)), Dehydrated Foods (Dehydration(AD,FD) Cauliflower(Powder,Dices,Cubes,Slice,Strips,Rings,flake)), Dehydrated Foods (Dehydration(AD,FD) Broccoli(Powder,Dices,Cubes,Slice,Strips,Rings,flake)), Dehydrated Foods (Dehydration(AD,FD) Potato(Flour,Powder,Dices,Cubes,Slice,Strips,Rings,flake)), Dehydrated Foods (Dehydration(AD,FD) Spring Onions/Chives(Powder,Dices,Cubes,Slice,Strips,Rings,flake)), Dehydrated Foods (Dehydration(AD,FD) (Red/Green/yellow) Bell Pepper(Powder,Slice,Dice,Strips,Puree,flake)), Dehydrated Foods (Dehydration(AD,FD) (White/Green) Asparagus(Powder,Dices,Cubes,Slice,Strips,Rings,flake)), Dehydrated Foods (Dehydration(AD,FD) Green Pea), Dehydrated Foods (Dehydration(AD,FD) Sweet Potato(flour,Powder,Dices,Cubes,Slice,Strips,Rings,flake)), Dehydrated Foods (Dehydration(AD,FD) Chilli(Powder,Dices,Cubes,Slice,Strips,Rings,flake)), Dehydrated Foods (Dehydration(AD,FD) Leek(Powder,Dices,Cubes,Slice,Strips,Rings,flake)), Dehydrated Foods (Dehydration(AD,FD) Spinach(Slice,Dice,Strips,Puree,flake)), Dehydrated Foods (Dehydration(AD,FD) horseradish(Powder,Dices,Cubes,Slice,Strips,Rings)), Dehydrated Foods (Dehydration(AD,FD) red beet root(Powder,Slice,Dice,Strips,Puree,flake)), Dehydrated Foods (Dehydration(AD,FD) zucchini (Powder,Slice,Dice,Strips,Puree,flake)), Dehydrated Foods (Dehydration(AD,FD) taro (Powder,Dices,Cubes,Slice,Strips,Rings,flake)), Dehydrated Foods (Dehydration(AD,FD) tomato (Powder,Dices,Cubes,Slice,Strips,Rings,flake)), Dehydrated Foods (tomato seeds), Dehydrated Foods (Dehydration(AD,FD) edamame (Powder,Dices,Cubes,Slice,Strips,Rings,flake)), Dehydrated Foods (Dehydration(AD,FD) jalapeno (Powder,Dices,Cubes,Slice,Strips,Rings,flake)), Dehydrated Foods (Dehydration(AD,FD) rape (Powder,Slice,Dice,Strips,Puree,flake)), Dehydrated Foods (Dehydration(AD,FD) pumpkin (Powder,Slice,Dice,Strips,Puree,flake)); Other Grains, Pastas and Cereals: Buckwheat, Buckwheat kernel(whole hulled chinese buckwheat), Buckwheat shell, Flaxseed, Hulled glutinous millet, Millet, Roasted buckwheat kernel(roasted hulled buckwheat), Sorghum (Hulled sorghum); Fruits/Vegetables: Beans (Adzuki beans), Beans (Lentil bean), Beans (Light speckled kidney bean), Beans (Mung beans), Beans (Soybean), Beans (Special red kidney bean), Beans (White kidney bean), Beans (Hulled mung bean);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</si>
  <si>
    <t>Other Grains, Pastas and Cereals: Buckwheat, Buckwheat kernel(whole hulled Chinese buckwheat), Buckwheat shell, Hulled glutinous millet, Millet, Roasted buckwheat kernel(roasted hulled buckwheat), Sorghum (Hulled sorghum); Fruits/Vegetables: Beans (Lentil bean), Beans (Light speckled kidney bean), Beans (Mung beans), Beans (Soybean), Beans (Special red kidney bean), Beans (White kidney bean), Beans (Hulled mung bean), Vegetables (Adzuki beans);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</si>
  <si>
    <t>Other Grains, Pastas and Cereals: Barley, Flaxseed, Oats, Rapeseed; Oils &amp; Oleoresins: Oils (Crude flaxseed oil), Oils (Crude rapeseed oil), Oils (Crude soybean oil), Oils (Crude sunflower oil); Nuts/Seeds: Sunflower seed; Fruits/Vegetables: Beans (Soybean); Animal Feed: Flaxseed cake/meal, Rapeseed cake/meal, Soybean cake/meal, Sunflower cake/meal</t>
  </si>
  <si>
    <t>Other Grains, Pastas and Cereals: Barley (Whole Grains or Seeds: Barley), Flours and Meals (Whole Grains or Seeds: Corn), Flours and Meals (Whole Grains or Seeds: Buckwheat), Flours and Meals (Whole Grains or Seeds: Rye), Oats (Whole Grains or Seeds: Oats), Wheat (Whole Grains or Seeds: Wheat); Fruits/Vegetables: Dehydrated Foods (Dried: Peas), Dehydrated Foods (Dried: Fava Beans), Pulp (Pulp and Fiber: Raspberries); Animal Feed: Livestock Feed (Grain: Meal), Livestock Feed (Grain: Mill Run)</t>
  </si>
  <si>
    <t>Other Grains, Pastas and Cereals: Corn, Soybeans, Wheat, Oats, Buckwheat, Milo, Hay, Grain; Eggs: Eggs</t>
  </si>
  <si>
    <t>Other: Canola Livestock Feed, Dried Distillers Grains, Kelp Livestock Feed, Kelp Livestock Feed (Meal), Livestock Feed (Goat Blend , Custom Blend), Livestock Feed (Horse Blend, Custom Blend), Livestock Feed (Kountry Buffet 14% Texture), Livestock Feed (Rabbit Blend, Custom Blend), Livestock Feed - Alfalfa (Pellets), Livestock Feed - Barley ((Whole, Rolled, Ground)), Livestock Feed - Beef Blend (Custom Feed), Livestock Feed - Calf Blend (Calf 18% Texture), Livestock Feed - Calf Blend (Custom Feed), Livestock Feed - Corn ((Whole, Rolled, Ground, Cracked)), Livestock Feed - Dairy Blend (16-8 Mineral for Lactating Dairy Cattle), Livestock Feed - Dairy Blend (Custom Feed), Livestock Feed - Dairy Blend (Dry Cow Vit/Mineral for Non-Lactating Dairy Cattle), Livestock Feed - Flax Meal, Livestock Feed - Oats, Livestock Feed - Peas, Livestock Feed - Poultry Blend (2-Grain Scratch for Poultry), Livestock Feed - Poultry Blend (Custom Feed), Livestock Feed - Poultry Blend (Egg Layer Ration Pellet), Livestock Feed - Poultry Blend (Fryer Ration), Livestock Feed - Poultry Blend (Hatch to Hen), Livestock Feed - Rabbit Blend (Rabbit 17), Livestock Feed - Sheep Blend (Custom Feed), Livestock Feed - Soybean Meal, Livestock Feed - Swine Blend (Custom Feed), Livestock Feed - Swine Blend (Hog 16 Pellet), Livestock Feed - Wheat ((Whole, Rolled, Ground)), Livestock Feed - Wheat Midds, Molasses Livestock Feed, Screenings Livestock Feed (Wheat), Soybean Oil Livestock Feed</t>
  </si>
  <si>
    <t>Processed  Items: Processed Items-Other - Artichoke Hearts, Processed Items-Other - Butternut Squash, Processed Items-Other - Capers in Sea Salt, Processed Items-Other - Puttanesca, Processed Items-Other - Red Datterini Tomatoes in Water, Processed Items-Other - Tomato Pulp, Processed Items-Other - Tomato Puree, Processed Items-Other - Tomato Sauce Arrabbiata, Processed Items-Other - Tomato Sauce with Basil, Processed Items-Other - Tomato Sauce with Vegetables, Processed Items-Other - Whole Peeled Tomatoes in Water, Processed Items-Other - Yellow Datterini Tomatoes in Water; Other Grains, Pastas and Cereals: Pasta (Bucatini), Pasta (Bucatini Lunghi), Pasta (Caserecce), Pasta (Chitarra), Pasta (Fettucine), Pasta (Food Service - Bucatini), Pasta (Food Service - Chitarra), Pasta (Food Service - Fettuccine), Pasta (Food Service - Linguine), Pasta (Food Service - Mezzi Rigatoni), Pasta (Food Service - Nodi Marini), Pasta (Food Service - Paccheri), Pasta (Food Service - Penne Rigate), Pasta (Food Service - Rigatoni), Pasta (Food Service - Spaghetti), Pasta (Food Service - Whole Wheat Mezzi Rigatoni), Pasta (Food Service - Whole Wheat Penne Rigate), Pasta (Food Service - Whole Wheat Spaghetti), Pasta (Fregola Sarda Tostata), Pasta (Fusilli), Pasta (Gnochetti Napoletani), Pasta (Linguine), Pasta (Manfredi Lunghi), Pasta (Mezzi Rigatoni), Pasta (Nodi Marini), Pasta (Orecchiette), Pasta (Paccheri), Pasta (Pappardelle), Pasta (Penne Rigate), Pasta (Rigatoni), Pasta (Spaghetti), Pasta (Spaghettoni), Pasta (Taccole), Pasta (Whole Wheat Mezzi Rigatoni), Pasta (Whole Wheat Penne Rigate), Pasta (Whole Wheat Spaghetti), Pasta (Ziti Rigati); Oils &amp; Oleoresins: Oils (Barocco Bottle Luxury Collections), Oils (Coratina Extra Virgin Olive Oil), Oils (Coratina Grand Cru Extra Virgin Olive Oil), Oils (Coratina Monocultivar Extra Virgin Olive Oil), Oils (Flavoured Basil EVOO), Oils (Flavoured Chili Pepper EVOO), Oils (Flavoured Lemon EVOO), Oils (Latta Iconica Siciliana), Oils (Ogliarola Extra Virgin Olive Oil), Oils (Ogliarola Grand Cru Extra Virgin Olive Oil), Oils (Ogliarola Monocultivar Extra Virgin Olive Oil), Oils (Peranzana Extra Virgin Olive Oil), Oils (Peranzana Grand Cru Extra Virgin Olive Oil), Oils (Peranzana Monocultivar Extra Virgin Olive Oil); Condiments and Sweeteners: Ketchup (Tomato Ketchup Classic), Other Condiments and Sweeteners - Apple Condiment, Other Condiments and Sweeteners - Artichoke Bruschetta, Other Condiments and Sweeteners - Basil Pesto with Garlic, Other Condiments and Sweeteners - Broccoli Pesto with Anchovies, Other Condiments and Sweeteners - Grape Must, Other Condiments and Sweeteners - Kale Pesto with Garlic, Other Condiments and Sweeteners - Pitted Olives in Peranzana EVOO, Other Condiments and Sweeteners - Sliced Chili Peppers in EVOO, Other Condiments and Sweeteners - Sun-Dried Tomatoes in EVOO, Vinegar (Balsamic Glaze Traditional Modena), Vinegar (Balsamic of Medena IGP Gold Demeter), Vinegar (Balsamic Red Series Modena IGP), Vinegar (Balsamic Vinegar of Modena IGP Silver Series), Vinegar (Traditional Balsamic of Medena Biologico Afinato 12yr), Vinegar (Traditional Balsamic of Modena DOP Extravecchio 25yr Demeter), Vinegar (White Wine Vinegar Dressing); Beverage Related Products: Cola (Aranciata Bio - Blood Orange Sparkling Soft Drink)</t>
  </si>
  <si>
    <t>Processed  Items: Processed Items-Other - Tomato and Basil Sauce, Processed Items-Other - Tomato Puree; Other Grains, Pastas and Cereals: Pasta (Bucaneve Pasta), Pasta (Canule Pasta), Pasta (Datteri baresi Pasta), Pasta (Fregola Pasta), Pasta (Katie's Pasta Bucatini), Pasta (Katie's Pasta Fiori), Pasta (Maccheroni Greci Pasta), Pasta (Maccheroni Pugliesi Amy Riolo Senatori Cappelli), Pasta (Mezzi paccheri a stella Pasta), Pasta (Orecchiette Pasta), Pasta (Reginelle a Mano Pasta), Pasta (Rigatoncini quadri Pasta), Pasta (Rose Pasta), Pasta (Rustichine Pasta), Pasta (Sampietrini Pasta), Pasta (Spaghettoni Pasta), Pasta (Spirolini Pasta), Pasta (Spugnole Pasta), Pasta (Stelline Pasta), Pasta (Trofie Pasta), Pasta (Trottole Pasta); Oils &amp; Oleoresins: Oils (EVOO in White Paper)</t>
  </si>
  <si>
    <t>Other: Caramelized Grains, Chocolate 65%, Chocolate 70%, Chocolate 85%, Chocolate 70% with sea salt, Chocolate-covered beans 70%, Cocoa Pulp Juice, Chocolate 100%, Cocoa Nibs</t>
  </si>
  <si>
    <t>Preservatives/Extracts/Flavors: Herbs; Other Grains, Pastas and Cereals: Small Grains; Fruits/Vegetables: Vegetable Seed; Other: Drying of Organic Products</t>
  </si>
  <si>
    <t>Other Grains, Pastas and Cereals: Rice (Gao Long Chau 66/Long Chau 66 rice), Rice (Gao Lut Nau/Brown Rice), Rice (Gao tach mau/Sortexed Rice), Rice (Gao tam thom/Broken rice), Rice (Paddy)</t>
  </si>
  <si>
    <t>Other Grains, Pastas and Cereals: Barley, Barley, Corn, Corn, Ground, Oats, Oats, Rye, Rye, Ground, Wheat, Wheat; Animal Feed: Custom Drying and Processing, Livestock Feed, Livestock Feed, Livestock Feed, Livestock Feed, Livestock Feed, Livestock Feed, Livestock Feed, Livestock Feed, Livestock Feed, Livestock Feed, Livestock Feed, Livestock Feed, Livestock Feed, Livestock Feed, Livestock Feed, Livestock Feed; Other: Roasted Soybeans, Roasted Soybeans, Ground</t>
  </si>
  <si>
    <t>Other Grains, Pastas and Cereals: Flax, Peas, Wheat; Animal Feed: Livestock Feed (Alflafa Pellets, Broiler Feed, Calf Feed, Pig Feed, Turkey Feed, Layer Feed)</t>
  </si>
  <si>
    <t>Other: #Receiving, storage, and shipping of organic products, Butter (salted, unsalted), Cheese (cheddar, sharp cheddar), Eggs: Nest run eggs, finished good egg products, Grains: Rice, Meat Products: Beef (Meatballs-Fully Cooked), Chicken (Ground Chicken Breast Trim), Turkey (Turkey Breast Trim, Mechanically Separated Turkey),, Vegetable powder: celery, Vegetables: Bell peppers (IQF), carrots (frozen), cauliflower (frozen), paprika, peppers (IQF)</t>
  </si>
  <si>
    <t>Other Grains, Pastas and Cereals: Quinoa (Quinoa)</t>
  </si>
  <si>
    <t>Processed  Items: Amaranth Grains, Amaranth instant powder, Amaranth Powder, Black maca powder, Black Quinoa Grains, Black quinoa powder, Brazil Nut, Cacao Butter (Kibbled), Cacao Nibs, Cacao Paste, Cacao Powder, Chia seeds, Fresh Ginger, Fresh Turmeric, Ginger Powder, Lucuma Powder, Maca Gelatinized Powder, Maca Powder, Organic bicolor quinoa, Organic quinoa crisp, Quinoa, Quinoa Flakes, Quinoa Instant Powder, Quinoa Tricolor Mix, Quinoa Tricolor Mix -Savor Brands, LLC, Red maca powder, Red Quinoa Grains, Red quinoa powder, Sterilized ginger powder, Sterilized turmeric powder, White quinoa in grain, White quinoa powder, Yacon Syrup</t>
  </si>
  <si>
    <t>Other Grains, Pastas and Cereals: 100% organic - Barley, Beans, Buckwheat, Canola, Chickpeas, Corn, Flax, Lentils, Mustard, Peas (Green and Yellow), Spelt, Wheat (Durum, Spring, Winter)
All products meet US-European Union Organic Equivalency Arrangement;  &amp; US-Canada Organic Equivalency Arrangement; &amp; US-Japan Organic Equivalency Agreement; US-Taiwan Organic Arrangement; &amp; US-Republic of Korea Organic Equivalency Arrangement; &amp; US-Switzerland Organic Equivalency Arrangement;</t>
  </si>
  <si>
    <t>Other Grains, Pastas and Cereals: Kidney Beans (Light Red &amp; Dark Red), Wheat (Spring Wheat); Fruits/Vegetables: Chickpeas, Lentils; Other: Peas (Marrowfat and Yellow)</t>
  </si>
  <si>
    <t>Processed  Items: Butter (Manteca de cacao / Cocoa butter = 100.000,00 Kg), Butter (Manteca de cacao cruda/ Raw cocoa butter =  100.000,00 	Kg.), Butter (Manteca de Semilla de Copoazú / Copoazu seed butter = 9.549,12 Kg), Butter (Manteca de Semilla de Murumuru /Murumuru seed butter = 792,01 Kg), Cáscara de Castaña Amazónica molida / Cáscara de Nuez de Brasil molida / Brazil nut shell milled =  190.000,00 Kg, Coffee (Café cubierto con chocolate oscuro 55% cacao / Coffee with dark chocolate covered 55% Cocoa = 1.000,00 Kg), Coffee (Café cubierto con chocolate oscuro 70% cacao / Coffee with dark chocolate covered 70% Cocoa = 1.000,00 Kg), Coffee (Café cubierto con chocolate oscuro 80% cacao / Coffee with dark chocolate covered 80% Cocoa = 10.000,00 Kg), Cream (Crema de coco / Coconut cream = 10.000,00 Kg), Cream (Crema de Castaña Amazónica (Nuez de Brasil) con sabor a chocolate / Brazil nut cream with chocolate ﬂavor = 2.000,00 Kg), Cream (Crema de Castaña Amazónica (Nuez de Brasil) y Cashew / Brazil nut and Cashew cream = 3.000,00 Kg), Dehydrated Foods (Arándanos Azules deshidratados cubiertos con Chocolate Oscuro (55% cacao) / Dehydrated Blueberries covered with dark chocolate (55% cacao) = 6.000,00 Kg), Dehydrated Foods (Arándanos Azules deshidratados cubiertos con Chocolate Oscuro (70% cacao) / Dehydrated Blueberries covered with Dark Chocolate (70% cacao) = 6.000,00 Kg), Flours and Meals (Harina de sacha inchi / Sacha Inchi flour =  1.125,36  Kg.), Flours and Meals (Harina de Yacón / Yacon flour = 10.000,00 Kg), Flours and Meals (Harina de Almendra / Almond flour = 4.500,00 Kg), Flours and Meals (Harina de Arroz blanco / White rice flour = 3.000,00 Kg), Goma de tara / Tara gum =  5.000,00 	Kg., Grano de cacao cubierto con chocolate oscuro 55% cacao / Cacao beans with dark chocolate covered 55% Cocoa = 10.000,00 Kg, Grano de cacao cubierto con chocolate oscuro 65% cacao / Cacao beans with dark chocolate covered 65% Cacao = 10.000,00 Kg, Grano de cacao cubierto con chocolate oscuro 70% cacao / Cacao beans with dark chocolate covered 70% Cocoa = 10.000,00 Kg, Grano de cacao cubierto con chocolate oscuro 80% cacao / Cocoa beans with dark chocolate covered 80% Cocoa = 800,00 Kg, Jam (Mermelada de aguaymanto / Dried goldenberry jam = 6.000,00 Kg), Kiwicha cubierta con chocolate oscuro 55% cacao / Amaranth with dark chocolate covered 55% cocoa = 10.000,00 Kg, Kiwicha cubierta con chocolate oscuro 65% cacao / Amaranth with dark chocolate covered 65% cocoa = 10.000,00 Kg, Kiwicha cubierta con chocolate oscuro 70% cacao / Amaranth with dark chocolate covered 70% cocoa = 10.000,00 Kg, Kiwicha cubierta con chocolate oscuro 80% cacao / Amaranth with dark chocolate covered 80% cocoa = 6.000,00 Kg, Maca Gelatinizada / Gelatinized Maca = 6.000,00 Kg, Nibs de cacao cubierto con chocolate oscuro 55% cacao / Cocoa nibs with dark chocolate covered 55% Cocoa = 10.000,00 kg, Nibs de Cacao cubierto con chocolate oscuro 65% cacao / Cocoa nibs with dark chocolate covered 65% Cocoa = 10.000,00 Kg, Nibs de Cacao cubierto con chocolate oscuro 70% cacao / Cocoa nibs with dark chocolate covered 70% Cocoa = 10.000,00 Kg, Nibs de Cacao cubierto con chocolate oscuro 80% cacao / Cocoa nibs covered with dark chocolate 80% Cocoa = 6.000,00 Kg, Nuts (Mix de polvos: Castaña Amazónica (Nuez de Brasil) y Sacha Inchi / Powder mix: Brazil nut and sacha inchi = 4.00000 Kg), Powders (Polvo de Kiwicha / Amaranth powder = 1.000,00 Kg), Powders (Polvo de Maca /Amarilla /Roja/ Negra /mezcla Gelatinizado / Gelatinized Maca yellow/red/black/blend powder = 4.000,00 Kg), Powders (Polvo de Maca amarilla/ roja/negra/ polvo- Maca deshidratada en polvo / Maca powder yellow/red/ black/ blend powder = 4.000,00 Kg), Powders (Quinua en polvo / Quinoa powder = 10.000,00 Kg), Powders (Polvo de Garbanzo / Chickpea Powder = 10.000,00 Kg), Powders (Polvo de coco / Coconut powder =  20.000,00 Kg), Powders (Polvo de lúcuma / Lucuma powder = 4.000,00 Kg), Powders (Mix de Polvos: Camu Camu / Aguaymanto / Lúcuma / Algarrobo 
Powder mix: Camu Camu powder, Goldenberry powder, Lucuma powder, Mesquite Powder = 2.000,00 Kg), Powders (Mix de Polvos: Lúcuma /Cacao / Maca // Powder Mix: Lucuma /Cocoa/ Maca = 6.000,00 Kg), Powders (Polvo de Algarrobo Orgánico / Mesquite powder = 100,00 Kg), Powders (Polvo de cacao / Cocoa powder =  145.200,00 Kg), Powders (Polvo de camu camu / Camu camu powder = 2.000,00 Kg), Powders (Polvo de Castaña Amazónica / Polvo de Nuez de Brasil / Brazil Nut powder =  28.500,00 Kg), Powders (Polvo de Maca Gelatinizado / Gelatinized Maca powder = 4.000,00 Kg), Powders (Polvo de sacha inchi gelatinizado / Gelatinized Sacha Inchi powder = 4.220,10 Kg), Powders (Polvo instantáneo de quinua / Quinoa instant powder = 1.000,00 Kg), Powders (Mix de polvos: Castaña Amazónica (Nuez de Brasil) y coco / Powder mix: Brazil nut and coconut = 4.000,00 Kg), Quinoa (Quinua cubierta con chocolate oscuro 55% cacao / Quinoa with Dark chocolate covered 55% Cocoa = 10.000,00 Kg), Quinoa (Quinua cubierta con chocolate oscuro 65% cacao / Quinoa with Dark chocolate covered 65% Cocoa = 10.000,00 Kg), Quinoa (Quinua cubierta con chocolate oscuro 70% cacao / Quinoa with Dark chocolate covered 70% Cocoa = 10.000,00 Kg), Quinoa (Quinua cubierta con chocolate oscuro 80% cacao / Quinoa with Dark chocolate covered 80% Cocoa = 10.000,00 Kg), Sacha inchi cubierto con chocolate oscuro 55% cacao / Sacha inchi with dark chocolate covered 55% Cocoa = 10.000,00 Kg, Sacha Inchi cubierto con chocolate oscuro 65% cacao / Sacha inchi with dark chocolate covered 65% Cocoa = 10.000,00 Kg, Sacha Inchi cubierto con chocolate oscuro 70% cacao / Sacha inchi with dark chocolate covered 70% Cocoa = 10.000,00 Kg, Sacha Inchi cubierto con chocolate oscuro 80% cacao / Sacha inchi with dark chocolate covered 80% Cocoa = 6.000,00 Kg, Sacha inchi tostado con panela / Sacha inchi toasted with raw sugar cane = 2.000,00 Kg, Sweeteners (Cranberries entero deshidratadas y azucaradas /Whole sweetened dried cranberries =  10.000,00 	Kg.); Other Grains, Pastas and Cereals: Cacao en grano/ Cocoa grain =  250.000,00 Kg., Garbanzos / Chickpeas 	=  10.000,00 	Kg., Grano de cacao tostado orgánico / Organic roasted cocoa bean =  250.000,00 	Kg., Grano de cacao tostado/ Roasted cacao grain = 240.000,00 Kg, Kiwicha / Amaranth =  12.000,00 	Kg, Kiwicha extruida / Popped Amaranth = 12.000,00 Kg, Pasta (Pasta Añejada de Castaña Amazónica (Nuez de Brasil) y Cashew / Brazil nut and Cashew aged paste = 10.000,00 Kg), Powders (Goma de tara en polvo / Tara gum powder =  5.000,00 Kg.), Rice (Arroz / Rice = 1.000,00 Kg); Oils &amp; Oleoresins: Oils (Aceite de Almendra / Almond oil =  4.600,00 Kg.), Oils (Aceite de Aguaje / Buriti oil =  150,00  Kg.), Oils (Aceite de Castaña Amazónica (Nuez de Brasil) con Albahaca / Brazil nut oil with basil =  6.000,00  Kg.), Oils (Aceite de Castaña con Café / Brazil nut oil with coffee = 2.400,00 Kg), Oils (Aceite de coco / Coconut oil =  12.000,00  Kg.), Oils (Aceite de coco = 12.000,00  Kg.), Oils (Aceite de palta=  2.000,00  Kg.), Oils (Aceite de sacha inchi / Sacha inchi oil =  2.110,05  Kg.), Oils (Aceite de Semilla Chía / Chia seed oil =  14.000,00 Kg.), Oils (Aceite de semilla de Aguaymanto / Goldenberry seed oil  = 2.000,00 Kg), Oils (Aceite de semilla de maracuyá / Passion fruit seed oil = 12.000,00 Kg), Oils (Aceite de Castaña con Ají / Brazil nut oil with chilli = 6.000,00 Kg), Oils (Aceite de coco con albahaca / Coconut oil with basil = 2.400,00 Kg), Oils (Aceite de coco con ají / Coconut oil with chilli = 2.400,00 Kg); Nuts/Seeds: Almonds (Almendra tostada cubierta con chocolate oscuro 55% cacao / Almond toasted with dark chocolate covered 55% Cocoa = 2.000,00 Kg), Almonds (Almendra tostada cubierta con chocolate oscuro 65% cacao / Almond toasted with dark chocolate covered 65% Cocoa = 2.000,00 Kg), Almonds (Almendra tostada cubierta con chocolate oscuro 70% cacao / Almond toasted with dark chocolate covered 70% Cocoa = 2.000,00 Kg), Almonds (Almendra tostada cubierta con chocolate oscuro 80% cacao / Almond toasted with dark chocolate covered 80% Cocoa = 6.000,00 Kg), Almonds (Almendra / Almond = 10.000,00 Kg), Almonds (Almendra tostada /  Toasted almond = 5.000,00 Kg), Brazil Nut (Castaña Amazónica con Aguaymanto deshidratado / Brazil nut with dried goldenberry = 10.000,00 Kg), Brazil Nut (Castaña Amazónica cubierta con Chocolate oscuro 80% Cacao / Brazil nut with dark chocolate covered 80% Cocoa = 10.000,00 Kg), Brazil Nut (Castaña Amazónica cubierta con Chocolate oscuro 55% Cacao / Brazil nut with dark chocolate covered 55% Cocoa 	
 = 6.000,00 Kg), Brazil Nut (Castaña Amazónica Tostada con ají / Brazil nut toasted with chilli = 10.000,00 Kg), Brazil Nut (Castaña Amazónica tostada con ﬁnas hierbas / Brazil nut toasted with herbs = 10.000,00 Kg), Brazil Nut (Castaña Amazónica tostada con panela / Brazil nut toasted with raw sugar cane = 6.000,00 Kg), Brazil Nut (Castaña Amazónica en cáscara / Nuez de Brasil en cáscara / Brazil nut shell =  200.000,00 Kg.), Brazil Nut (Castaña Entera Larga /mediana/enana/ diminuta/astillada
Castaña Amazónica Entera Larga / mediana/enana/diminuta /astillada
Nuez de Brasil Entera Larga / mediana/enana/ diminuta/astillada
Brazil nut Whole Large/medium/midget/tiny /chipped =  351.217,82 	Kg.), Brazil Nut (Castaña Amazónica Partida / Nuez de Brasil Partida / Brazil nut in pieces =  45.028,00 Kg), Brazil Nut (Castaña Amazónica Tostada / Nuez de Brasil Tostada / Toasted Brazil nut = 12.000,00 Kg), Brazil Nut (Castaña Amazónica tostada con sal / Nuez de Brasil tostada con sal / Toasted Brazil nut with salt = 40.000,00 Kg), Brazil Nut (Coco de Castaña Amazónica / Coco de Nuez de Brasil / Brazil Nut coconut = 10.000,00 Kg), Cashew Nuts (Nueces de anacardo deshidratado Tostado en Pedazos / Toasted Cashew pieces = 1.200,00 Kg), Cashew Nuts (Nueces del Marañón deshidratadas Entera / Cashew Deshidratado Entero / Dehydrated cashew = 2.000,00 Kg), Cashew Nuts (Nueces del Marañón deshidratadas Tostado Entera/ Cashew Deshidratado Tostado Entero / Toasted Dehydrated cashew = 2.000,00Kg), Cashew Nuts (Nueces del Marañón deshidratadas en trozos/ Cashew Deshidratado / Pieces Dehydrated cashew = 2.000,00 Kg), Cashew Nuts (Nueces del Marañón deshidratado / Cashew deshidratado / Dried Cashew = 5.000,00 Kg), Cashew Nuts (Nueces del Marañón deshidratado partido / Cashew deshidratado Partido Orgánico / Split Raw Cashew = 2.000,00), Cashew Nuts (Nueces del marañon deshidratado picadillo / Cashew Crudo Picadillo Orgánico / Raw Cashew Minced = 2.000,00 Kg), Cashew Nuts (Nueces del marañon tostado / Nueces de Cashew Deshidratado Tostado / Toasted dried cashew = 4.000,00 Kg), Cashew Nuts (Pasta de Castaña Amazónica con sal / Pasta de Nuez de Brasil con sal / Brazil nut with salt paste = 4.000,00 Kg.), Cashew Nuts (Cashew tostado cubierto con chocolate oscuro 55% cacao / Cashew toasted with dark chocolate covered 55% Cocoa = 10.000,00 Kg), Cashew Nuts (Cashew tostado cubierto con chocolate oscuro 65% cacao / Cashew toasted with dark chocolate covered 65% Cocoa), Cashew Nuts (Cashew tostado cubierto con chocolate oscuro 70% cacao / Cashew toasted with dark chocolate covered 70% Cocoa = 10.000,00 Kg), Cashew Nuts (Cashew tostado cubierto con chocolate oscuro 80% cacao / Cashew toasted with dark chocolate covered 80% Cocoa = 3.000,00 Kg), Cashew Nuts (Castaña Amazónica cubierta con Chocolate oscuro 70% Cacao / Brazil nut with dark chocolate covered 70% Cocoa = 10.000,00 Kg), Mix de Nueces: Castaña, Almendra, Cashew tostado y Sacha Inchi tostado cubierto con Chocolate oscuro (55% Cacao) / Nut Mix: Brazil nut, Almond, Roasted Cashew and Roasted Sacha inchi with dark chocolate covered (55% cocoa) = 2.000,00 kg, Mix de Nueces: Castaña, Almendra, Cashew tostado y Sacha Inchi tostado cubierto con Chocolate oscuro (70% Cacao) / Nut Mix: Brazil nut, Almond, Roasted Cashew and Roasted Sacha inchi with dark chocolate covered 70% cocoa = 2.000,00 Kg, Nuts (Mix de polvos: lúcuma y cacao / Powder mix: Lucuma and Cocoa = 4.000,00 Kg), Pecans (Pecana Entera / Pecans in shell 3.000,00 Kg), Powders (Polvo de cacao 10-12% / Cocoa powder 10-12% = 99.999,00 Kg), Powders (Polvo de cacao 22-24% / Cocoa powder 22-24% = 200.000,00 Kg); Fruits/Vegetables: Berries (Arándano azul deshidratado / Blueberry dried = 2.000,00 Kg), Dehydrated Foods (Plátano deshidratado / Dehydrated Banano = 2.000,00 Kg), Dehydrated Foods (Plátano Deshidratado en Trozos / Dried Banano bites  = 2.000,00 kg), Dehydrated Foods (Aguaymanto deshidratado cubierto con chocolate oscuro 55% cacao / Dried goldenberry with dark chocolate covered 55% Cocoa = 2.000,00 Kg), Dehydrated Foods (Aguaymanto deshidratado cubierto con chocolate oscuro 65% cacao / Dried goldenberry with dark chocolate covered 65% Cocoa = 2.000,00 Kg), Dehydrated Foods (Aguaymanto deshidratado cubierto con chocolate oscuro 70% cacao / Dried goldenberry with dark chocolate covered 70% Cocoa = 2.000,00 Kg), Dehydrated Foods (Arándanos deshidratados /Cranberries (dried) = 2.000,00 Kg.), Dehydrated Foods (Coco deshidratado en cubos / Coconut dehydrated in cubes = 10.000,00 Kg), Dehydrated Foods (Coco deshidratado en rebanadas / Sliced dehydrated coconut =  10.000,00 Kg.), Dehydrated Foods (Coco rallado deshidratado / Shredded dehydrated coconut = 10.000,00 Kg), Dehydrated Foods (Mango deshidratado cubierto con Chocolate oscuro 55% Cacao / Dried Mango with Dark Chocolate covered 55% cocoa = 6.000,00 Kg), Dehydrated Foods (Mango deshidratado cubierto con Chocolate oscuro 70% Cacao / Dried Mango with Dark Chocolate covered 70% cocoa = 6.000,00 Kg), Dehydrated Foods (Mix de Mango y Plátano deshidratado / Mix: Dried Mango and Dried Banana = 2.000,00 Kg), Dehydrated Foods (Mix Tropical: Mango, Plátano, Piña y Coco Deshidratado cubierto con chocolate oscuro 55% cacao / Tropical Mix: Dried Mango, Dried Banana, Dried Pineapple and Dried Coconut with dark chocolate covered 55% Cocoa = 6.000,00 Kg), Dehydrated Foods (Mix Tropical: Mango, Plátano, Piña y Coco Deshidratado cubierto con chocolate oscuro 70% cacao / Tropical Mix: Dried Mango, Dried Banana, Dried Pineapple and Dried Coconut with dark chocolate covered 70% cocoa = 10.000,00 Kg), Dehydrated Foods (Piña deshidratada cubierta con Chocolate oscuro 55% cacao / Dried Pineapple Dark Chocolate covered 55% Cocoa = 6.000,00 Kg), Dehydrated Foods (Plátano deshidratado cubierto con Chocolate oscuro 55% cacao / Dried Banana Dark Chocolate covered 55% Cocoa = 6.000,00 Kg), Dehydrated Foods (Plátano deshidratado cubierto con Chocolate oscuro 70% cacao / Dried Banana Dark Chocolate covered 70% Cocoa = 4.000,00 Kg), Dehydrated Foods (Aguaymanto Deshidratado cubierto con chocolate oscuro al 80% Cacao / Dried goldenberry with dark chocolate covered 80 % Cocoa = 6.000,00Kg), Dehydrated Foods (Piña Deshidratada / Dried Pineapple = 6.000,00), Dehydrated Foods (Plátano dulce deshidratado en trozos / Dried sweet Banana Bites = 20.000,00 Kg), Dehydrated Foods (Arándano rojo deshidratado cubierto con chocolate oscuro 55% cacao / Dried Cranberry with dark chocolate covered 55% Cocoa = 1.000,00 Kg), Dehydrated Foods (Arándano rojo deshidratado cubierto con chocolate oscuro 65% cacao / Dried Cranberry with dark chocolate covered 65% Cocoa = 2.000,00 Kg), Dehydrated Foods (Arándano rojo deshidratado cubierto con chocolate oscuro 70% cacao / Dried Cranberry with dark chocolate covered 70% Cocoa = 2.000,00 Kg), Dehydrated Foods (Arándano rojo deshidratado cubierto con chocolate oscuro 80% cacao / Dried Cranberry with dark chocolate covered 80% Cocoa = 6.000,00 Kg), Dehydrated Foods (Arándanos Azules deshidratados cubierto con Chocolate Oscuro 65% cacao / Dried Blueberry with dark chocolate covered 65% Cocoa = 6.000,00Kg), Dehydrated Foods (Arándanos Azules deshidratados cubierto con Chocolate Oscuro 80% cacao / Dried Blueberry with dark chocolate covered 80% Cocoa = 1.000,00Kg), Dehydrated Foods (Café cubierto con chocolate oscuro 65% cacao / Coffee with dark chocolate covered 65% Cocoa = 1.000,00 Kg), Dehydrated Foods (Piña deshidratada cubierta con Chocolate oscuro 70% cacao / Dried Pineapple Dark Chocolate covered 70% Cocoa = 6.000,00 Kg), Dehydrated Foods (Aguaymanto deshidratado / Dried goldenberry = 20.000,00 Kg), Dehydrated Foods (Arándano deshidratado / Dried blueberry  = 2.500,00 Kg), Dehydrated Foods (Mango Deshidratado en Trozos / Dried Mango bites = 40.000,00 Kg), Fruit and Vegetable Snacks (Aguaymanto partido deshidratado / Dehydrated split goldenberry = 2.000 Kg.), Fruit and Vegetable Snacks (Coco cubierto con chocolate oscuro 55% cacao / Coconut with dark chocolate covered 55% Cocoa = 10.000,00 Kg), Fruit and Vegetable Snacks (Coco cubierto con chocolate oscuro 70% cacao / Coconut with dark chocolate covered 70% Cocoa = 10.000,00 Kg), Fruit and Vegetable Snacks (Coco cubierto con chocolate oscuro 80% cacao / Coconut with dark chocolate covered 80% Cocoa = 10.000,00 Kg), Mixed Fruit (Mix de Frutas: Banano y Mango / Banano &amp; Mango Dried Fruit Mix = 6.000,00 Kg), Powders (Aguaymanto en polvo / Golden Berry Powder = 1.000,00 Kg), Pulp (Pulpa Congelada de copoazú / Copoazu frozen pulp = 11.136,00 Kg); Dry/Baking Goods: Baking Mixes (Premezcla para preparar Keke de Chocolate / Premix for cake Chocolate = 4.000,00 Kg), Baking Mixes (Premezcla para preparar Keke de Coco / Premix for cake Coco = 800,00 Kg); Condiments and Sweeteners: Dehydrated Foods (Albahaca deshidratada / Dehydrated Basil = 15,40 Kg), Panela / Cane Sugar raw = 2.000,00 Kg, Powders (Ají amarillo seco en polvo/ Dried yellow chilli powder =200 Kg), Powders (Ají limo seco en polvo / Dried Limo chilli powder = 200 Kg.), Powders (Polvo de Ají Amarillo Orgánico / Yellow chilli powder = 1.000,00 Kg), Powders (Ají Panca en polvo / Dried panca chilli powder  = 200 Kg), Sugar (Azúcar de Coco / Coconut Sugar =  10.000,00 Kg.), Sugar (Azúcar blanca/ Azúcar cristal /Cristal Cane Sugar =  14.000,00 Kg.), Sugar (Azúcar de Coco / Coconut Sugar = 10.000,00 Kg); Chocolate Goods: Chocolate (Barra de chocolate (70% cacao) con aguaymanto deshidratado / Goldenberry with chocolate 70% Cocoa = 10.000,00 Kg), Chocolate (Barra de Chocolate con Coco (70% Cacao) / Dark Chocolate bar (70% Cocoa) with coconut = 10.000,00 Kg), Chocolate (Chocolate oscuro (56% cacao) endulzado con Panela / Dark chocolate (56% cocoa) sweetened with panela = 6.000,00 Kg), Chocolate (Chocolate oscuro (60% cacao) endulzado con azúcar de Coco/ Dark chocolate (60% Cacao) sweetened with Coconut Sugar = 6.000,00 Kg), Chocolate (Chocolate oscuro (73% cacao) endulzado con azúcar de Coco/ Dark chocolate (73% Cacao) sweetened with Coconut Sugar = 6.000,00 Kg), Chocolate (Chocolate Oscuro 55% Cacao / Dark Chocolate 55% Cocoa = 50.000,00 Kg), Chocolate (Chocolate Oscuro 65% Cacao / Dark Chocolate 65% Cocoa = 50.000,00 Kg), Chocolate (Chocolate Oscuro 70% Cacao / Dark Chocolate 70% Cocoa = 50.000,00 Kg), Chocolate (Chocolate Oscuro 80% Cacao / Dark Chocolate 80% Cocoao = 50.000,00 Kg), Chocolate (Chocolate Oscuro (90% Cacao) / Dark Chocolate (90% Cacao) = 10.000,00 Kg), Chocolate (Chocolate para Taza (100% cacao) / Chocolate for cup (100% cacao) = 6.000,00 Kg), Chocolate (Barra de chocolate (55% cacao) con almendra tostada / Almond toasted with chocolate 55% Cocoa = 2.000,00 Kg), Chocolate (Barra de chocolate (55% cacao) con castaña amazónica / Brazil nut with chocolate 55% Cocoa = 6.000,00 Kg), Chocolate (Barra de chocolate (80% cacao) con aguaymanto deshidratado /Goldenberry with chocolate 80% Cocoa), Chocolate (Barra de chocolate (70% cacao) con cashew tostado / Cashew toasted with chocolate 70% Cocoa = 10.000,00 Kg), Chocolate (Barra de chocolate (80% cacao) con cashew tostado / Cashew toasted with chocolate 80% Cocoa = 10.000,00 Kg), Chocolate (Barra de chocolate (70% cacao) con castaña amazónica / Brazil nut with chocolate 70% Cocoa = 10.000,00 Kg), Chocolate (Barra de chocolate (70% cacao) con Kiwicha / Amaranth with chocolate 70% Cocoa = 10.000,Kg), Chocolate (Barra de chocolate (80% cacao) con Kiwicha / Amaranth with chocolate 80% Cocoa = 10.000,00 Kg), Chocolate (Barra de chocolate (70% cacao) con Nibs de cacao / Cocoa nibs with chocolate 70% Cocoa = 10.000,00 Kg), Chocolate (Barra de chocolate (80% cacao) con Nibs de cacao / Cocoa nibs with chocolate 80% Cocoa = 10.000,00 Kg), Chocolate (Barra de chocolate (70% cacao) con Quinua popeada / Quinoa pop with chocolate 70% Cocoa = 10.000,00 Kg), Chocolate (Barra de chocolate (80% cacao) con Quinua popeada / Quinoa pop with chocolate 80% Cocoa = 10.000,00 Kg), Chocolate (Barra de chocolate (70% cacao) con Sacha inchi / Sacha Inchi with chocolate 70% Cocoa = 10.000,00 Kg), Chocolate (Barra de chocolate (80% cacao) con Sacha inchi / Sacha Inchi with chocolate 80% Cocoa = 10.000,00 Kg), Chocolate (Barra de chocolate (70% cacao) con café / Coffee with chocolate 70% Cocoa = 10.000,00 Kg), Chocolate (Barra de chocolate (80% cacao) con café / Coffee with chocolate 80% Cocoa = 10.000,00 Kg), Chocolate (Barra de chocolate (80% cacao) con castaña amazónica / Brazil nut with chocolate 80% Cocoa), Chocolate (Barra de chocolate (80% cacao) con coco / Coconut with chocolate 80% Cocoa = 4.000,00 Kg), Chocolate (Barra de chocolate (56% cacao) endulzado con Panela con kiwicha / Amaranth with chocolate 56% cocoa sweetened with Panela = 10.000,00Kg), Chocolate (Barra de chocolate (55% cacao) con cashew tostado / Cashew toasted with chocolate 55% Cocoa = 2.000,00 Kg), Chocolate (Barra de chocolate (55% cacao) con pecana / Pecan with chocolate 55% Cocoa = 6.000,00 Kg), Chocolate (Chocolate Oscuro 40% Cacao / Dark Chocolate 40% Cocoa = 6.000,00 Kg); Beverage Related Products: Agua de coco / Coconut water = 6.000,00 Kg, Coffee (Café Tostado Molido / Ground roasted coffee =  20.000,00 Kg.), Coffee (Café Tostado Molido / Ground roasted coffee =  20.000,00 Kg.), Coffee (Café verde / Green coffee = 40.000,00 Kg), Milk (Leche de coco / Coconut milk = 10.000,00 Kg); Alcohol: Liqueurs (Licor de cacao / Cacao liquor =  220.000,00  Kg); Other: Cáscara de Cacao/ Cocoa Shell = 20.000,00 Kg, Cáscara de Castaña Amazónica molida / Cáscara de Nuez de Brasil molida / Brazil nut shell milled = 190.000,00 Kg., Corteza de Uña de gato / Cat's claw bark = 6.000,00 Kg, Cream (Crema de castaña amazónica y cacao / Amazonian chestnut and cocoa cream = 6.000,00 Kg), Cream (Crema untable de castaña amazónica / Amazonian chestnut spread = 3.000,00 Kg), Herbs (Romero / Rosmery = 5.00 Kg), Herbs (Albahaca en Polvo Orgánico / Basil powder = 1,23 Kg), Herbs (Albahaca Fresca Orgánico / Fresh basil = 22,00 Kg), Herbs (Romero deshidratado / Rosemary dehydrated = 3,50 kg), Nibs de cacao / Cacao nibs =  200.000,00 Kg, Quinoa (Quinua en grano / Quinoa grains = 12.000,00 Kg), Quinoa (Quinua Extruida/ Extruded Quinoa = 5.000,00 Kg), Sacha Inchi en grano / Sacha inchi grain = 4.689,00 Kg, Sacha inchi tostado / Toasted Sacha inchi = 2.578,95 Kg, Sacha inchi tostado con ají / Sacha inchi toasted with chilli = 4.595,22 Kg, Sacha inchi tostado con sal / Toasted Sacha inchi with salt = 2.578,95 Kg, Seeds (Semillas de Murumuru / Murumuru seeds = 2.400,02), Seeds (Semilla de Aguaymanto / Goldenberry seed = 1.000,00 Kg), Seeds (Semilla de Chía / Chia seed = 50.000,00 Kg), Seeds (Grano de Copoazú / Copoazu grain =  27.283,20 	Kg), Snack Mixes (Snack Natural de Sacha Inchi / Sacha inchi natural snack = 2.578,95 Kg), Torta de aceite de coco / Coconut oil cake = 20.000,00 Kg, Torta de castaña / Chestnut cake = 30.000,00Kg</t>
  </si>
  <si>
    <t>Other Grains, Pastas and Cereals: Quinoa (Black quinoa, Quinoa Mix, Red quinoa, White quinoa)</t>
  </si>
  <si>
    <t>Other Grains, Pastas and Cereals: Seeds (100% Organic: Chía                                                                                                                                                    
The product below is “Certified in accordance with the terms of the U.S.-Canada Organic Equivalency Arrangement". 
Organic: Chía)</t>
  </si>
  <si>
    <t>Processed  Items: Dehydrated Foods (Organic: Goji berries), Fruit and Vegetable Snacks (Organic: Plantain chips (fried plantain), Medjool date); Preservatives/Extracts/Flavors: Powders (Organic: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Other Grains, Pastas and Cereals: Organic: Pearly white quinoa, Organic: Puffed quinoa; Nuts/Seeds: Organic: Hemp hearts; Dry/Baking Goods: Sugar (Organic: Coconut sugar); Condiments and Sweeteners: Syrups (Organic: Agave syrup); Chocolate Goods: Organic: Coarse ground cocoa, cocoa Nibs, cocoa powder; Beverage Related Products: Coffee (Organic: Soluble (instant) coffee 
The products below are “Certified in accordance with the terms of the U.S.-Canada Organic Equivalency Arrangement" :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coconut sugar, Plantain chips (fried plantain), Medjool date), Agave syrup, Goji berries, Puffed quinoa, Pearly white quinoa, Coarse ground cocoa, cocoa Nibs, cocoa powder, Hemp hearts)</t>
  </si>
  <si>
    <t>Other Grains, Pastas and Cereals: 10" Low-Fat Skinny White Tortilla (non-retail), 10" White Tortilla (non-retail), 10" Whole Wheat Tortilla (non-retail)</t>
  </si>
  <si>
    <t>Seasonings: Other Seasonings - Peppermint leaf C/S, Other Seasonings - Spearmint leaf C/S; Processed  Items: Dehydrated Foods (Black beans), Dehydrated Foods (Dark Red Kidney beans), Dehydrated Foods (Dried Apricots), Dehydrated Foods (French Green lentils), Dehydrated Foods (Garbanzo beans), Dehydrated Foods (Green lentils), Dehydrated Foods (Navy beans), Dehydrated Foods (Pinto beans), Dehydrated Foods (Thompson Seedless Raisins), Processed Items-Other - Vegetable broth low sodium; Other Grains, Pastas and Cereals: Barley (Hulled Barley), Barley (Pearled barley), Oats (Quick oats), Oats (Regular rolled oats), Other Other Grains, Pastas and Cereals - Buckwheat groats, Other Other Grains, Pastas and Cereals - Corn grits, Other Other Grains, Pastas and Cereals - Course Bulgar Wheat, Other Other Grains, Pastas and Cereals - Hulled Millet, Other Other Grains, Pastas and Cereals - Polenta, Other Other Grains, Pastas and Cereals - Steel Cut Cracked Rye, Other Other Grains, Pastas and Cereals - Yellow Corn meal, Pasta (Spelt pasta), Pasta (Whole Wheat couscous), Quinoa (Quinoa white), Rice (Long Grain brown rice); Oils &amp; Oleoresins: Oils (Coconut oil), Oils (Olive oil), Oils (Sunflower oil); Nuts/Seeds: Other Nuts/Seeds - Brown Flax seed, Other Nuts/Seeds - Hulled Sesame seed, Other Nuts/Seeds - Natural Sesame seed, Other Nuts/Seeds - Pumpkin seeds, Other Nuts/Seeds - Shredded Coconut, Other Nuts/Seeds - Sunflower seeds hulled; Dry/Baking Goods: Flours and Meals (Dark Rye flour), Flours and Meals (White Spelt flour), Flours and Meals (Whole Spelt flour), Flours and Meals (Whole Wheat pastry flour), Other Dry/Baking Goods - Tapioca starch, Powders (Carob powder), Sugar (Cane sugar); Condiments and Sweeteners: Other Condiments and Sweeteners - Gluten-free Tamari sauce, Syrups (Agave syrup raw), Vinegar (Apple Cider vinegar), Vinegar (Balsamic vinegar); Bread/Bakery/Snacks: Popcorn (Yellow popcorn); Beverage Related Products: Juice (Apple Cider unfiltered), Juice (Mango nectar), Non-Dairy Milk (Coconut milk unsweetened), Non-Dairy Milk (Soymilk unsweetened), Other Beverage Related Products - Carob pieces - tea cut, Other Beverage Related Products - Yerba Mate, Tea (Black tea bags), Tea (Chai tea blend), Tea (Chamomile tea bags), Tea (Earl Grey tea bags), Tea (Green Sencha tea bags), Tea (Lemon tea bags), Tea (Peppermint tea), Tea (Rooibos tea bags)</t>
  </si>
  <si>
    <t>Other Grains, Pastas and Cereals: Quinoa (Black Quinoa, Quinoa Bicolor, Quinoa Flake , Quinoa Tricolor, Red quinoa, White quinoa); Oils &amp; Oleoresins: Oleoresins (Brazil nut oil); Nuts/Seeds: Brazil Nut (Brazil nut - fresh, Brazil nut kernels (Broken), Brazil nut kernels (Chipped), Brazil nut kernels (Large, Brazil nut kernels (Medium), Brazil nut kernels (Midget), Brazil nut kernels (Tiny); Dry/Baking Goods: Flours and Meals (Brazil nut flour); Other: Seeds (Black chia, White chia)</t>
  </si>
  <si>
    <t>Other Grains, Pastas and Cereals: CANOLA SEED, CORN, Rice, SUNFLOWER; Fruits/Vegetables: Beans (SOYBEAN); Dry/Baking Goods: Sugar (CANE SUGAR)</t>
  </si>
  <si>
    <t>Other Grains, Pastas and Cereals: Amaranth, Cereal, Quinoa; Dry/Baking Goods: Flours and Meals; Bread/Bakery/Snacks: Cereal</t>
  </si>
  <si>
    <t>Processed  Items: Cereal (Black Quinoa Royal, Instant Black quinoa, Instant Quinoa Mix (Red, white, black), Instant Red quinoa, Instant White quinoa, Precooked quinoa flakes, Puffed Quinoa, Quinoa Flakes, Quinoa Mix grain (Red, white, black), Red Quinoa Royal, White Quinoa Royal); Other Grains, Pastas and Cereals: Quinoa (Black quinoa, Quinoa textured food, Red quinoa, White quinoa); Dry/Baking Goods: Flours and Meals (Instant Quinoa Flour, Quinoa Flour)</t>
  </si>
  <si>
    <t>Processed  Items: Passata Di Pomodoro/ Tomato Sauce; Preservatives/Extracts/Flavors: Spices (ALLORO (Bay Leaves)), Spices (ORIGANO (Oregano)), Spices (PEPERONCINO (Hot Chili Peppers)), Spices (ROSMARINO (Rosemary)); Other Grains, Pastas and Cereals: Pasta (Calamarata), Pasta (Candele), Pasta (Durum Wheat Semolina Pasta), Pasta (FETTUCCE), Pasta (Fettuccine Nest), Pasta (Fettuccine Spinach Nest), Pasta (Fusilli Gigante), Pasta (Fusilli Napoletani Lunghi), Pasta (Linguine), Pasta (Mafaldine Lunghe), Pasta (Orecchiette Pugliesi), Pasta (Organic Chickpeas Pasta), Pasta (Organic Green Peas Pasta), Pasta (Organic Red Lentil Pasta), Pasta (Paccheri), Pasta (Pappardelle 5 Sapore), Pasta (Pappardelle Nest), Pasta (Penne Gigante), Pasta (PENNE RIGATE), Pasta (Riccetti), Pasta (Rigatoni), Pasta (SPAGHETTI), Pasta (Spaghetti Chitarra), Pasta (Spaghettoni), Pasta (Strozzapretti), Pasta (Tagliatelle Rigate), Pasta (Tagliolini Al Limone), Pasta (Tagliolini Al Tartufo); Fruits/Vegetables: Vegetables (Pomodori Pelati/ Peeled Tomatoes), Vegetables (Tomatoes Itlaian Organic); Dry/Baking Goods: Flours and Meals (Wheat flour - TIPO 00); Condiments and Sweeteners: Vinegar (Balsamic Vinegar of Medona); Beverage Related Products: BLOOD ORANGE DRINK, CHINOTTO ORGANIC, Cola (COLA ORGANIC), GASSOSA ORGANIC, LEMON ORGANIC, MANDARIN &amp; LEMON DRINK, ORGANGE DRINK, POMEGRATINE DRINK, Tea (Lemon Tea Drink), Tea (Peach Tea Drink)</t>
  </si>
  <si>
    <t>Other Grains, Pastas and Cereals: Amaranth, cape gooseberry, chia seeds, maca, quinoa</t>
  </si>
  <si>
    <t>Other Grains, Pastas and Cereals: Rice; Nuts/Seeds: Bean, Beans, Corn, Peanuts, Sorghum, Soybean, Sunflower; Fruits/Vegetables: Chickpea, Cucumber, Pumpkin, Tomato, Vegetables; Condiments and Sweeteners: Basil, Bay, Cabbage, Cedron, Cinnamon, Coriander, Cumin, Dill, Epazote, Fennel, Ginger, Holyleaf, Jamaica, Lavender, Marjoram, Melissa, Mint, Mustard, Oregano, Parsley, Pepper, Pepper, Rosemary, Sage, Sesame, Tarragon, Thyme, Turmeric; Beverage Related Products: Tea</t>
  </si>
  <si>
    <t>Other Grains, Pastas and Cereals: Pasta (Italian Dry)</t>
  </si>
  <si>
    <t>Other: Ajwain, Almond, Aloevera Juice, Amchur, Amla Juice, Amla Powder, Arhar Dal/Toor Dal/Piegen Pea, Bajra Flour/Atta, Barley Whole, Basmati Rice, Bay Leaf/Bay Leaves/Tejpatta, Black Gram/Urd (Vigna sp.), Brown Gram/Gram/Chana(Cicer Arietinum), Cashew Whole, Castor Oil, Chana Dal, Chia Seed, Chickpea /Kabuli Chana, Chitra Kidney Beans/Rajma, Cinnamon, Coriander Powder, Coriander Whole, Cowpea/Lobia, Cumin Powder, Cumin Whole, Dehydrated Garlic Powder, Dehydrated Ginger Powder, Fennel/Saunf/Fennel Bold, Fenugreek, Flaxseed, Garam Masala, Gluten Free Dalia, Gram Flour/ Besan, Green Gram Whole (Moong Sabut)/Moong Whole/Mung Bean Whole, Green Gram/Moong Dhuli/Moong Dal Mogar/Yellow Mung Dal Mogar, Green Tea, Groundnut/Peanut, Groundnut/Peanut Oil, Indian Organic Brown Basmati Rice, Jaggery, Jaggery Powder, Jowar Flour, Kalonji, Lentil, Maize/Corn Flour, Masoor Dal, Mix Dal, Mixed Grain Porridge(Multi Grain Dalia), Moong Dal-Split, Multi Grain Atta, Mustard Black Seed, Mustard Oil, Pearl Millet/Bajra, Psyllium Husk/Isabgol, Quinoa, Ragi Flour, Ragi/Finger Millet Grain, Raisin, Red Chilli Flakes, Red Chilli Powder, Red Chilli Whole, Red Kidney Beans/Rajma (Phaseolus Vulgaris), Red Lentil, Rice Flour, Sesame Oil, Sesame Seeds, Sorghum/Jowar Whole, Sugar, Sugar (Brown/Natural), Suji/Semolina, Sunflower Seed Oil, Turmeric Powder, Urad Dal Split, Urad Dhuli, Virgin Coconut Oil, Walnut, Wheat, Wheat Flour, Wheat Porridge/Dalia, Yellow Mustard</t>
  </si>
  <si>
    <t>Other Grains, Pastas and Cereals: Custom Grain and Seed Cleaning, Conditioning, Packaging</t>
  </si>
  <si>
    <t>Animal Feed: Barley (Grain: Ground Barley), Barley (Grain: Whole Barley), Livestock Feed (Grain: Canola Meal (bulk)), Livestock Feed (Grain: Flax meal), Livestock Feed (Grain: Corn (bulk)), Livestock Feed (Grain: Ground Corn Flour (bulk)), Livestock Feed (Roughage: Alfalfa Pellet), Livestock Feed (Grain: Chick Starter), Livestock Feed (Grain: Pig Feed), Livestock Feed (Grain: Chick Grower), Livestock Feed (Grain: Layer Crumble), Livestock Feed (Grain: Chick Starter Pellet), Livestock Feed (Grain: Layer Pellet), Livestock Feed (Grain: Seed Screenings), Livestock Feed (Grain: Custom Dairy Mix), Livestock Feed (Grain: Sky Valley ORG Layer 6599 Crumble), Livestock Feed (Grain: Broiler), Livestock Feed (Grain: Scratch &amp; Peck Layer Pellet), Livestock Feed (Grain: Sky Valley ORG Layer 6599 Pellet), Livestock Feed (Grain: Calf Starter Pellet), Livestock Feed (Grain: Hominy (bulk)), Livestock Feed (Grain: Millrun), Livestock Feed (Grain: Sunflower Meal (bulk)), Livestock Feed (Grain: Peas), Oats (Grain: Ground Oats), Seeds (Grain: Okara (bulk)), Seeds (Grain: Soybean Meal (bulk)), Seeds (Grain: Soy Hulls (bulk)), Wheat (Grain: Wheat)</t>
  </si>
  <si>
    <t>Other: Graines de Soja</t>
  </si>
  <si>
    <t>Other Grains, Pastas and Cereals: Productos procesados, transformados, manipulados / Cantidad certificada:
 Grano entero de Chía = 73.801,64 kg.
Grano entero de Kiwicha = 3.280,20 kg.
Grano entero de Quinua = 58.739,24 kg.
Grano entero de Avena = 6.306,30 kg.
Grano entero de Trigo Centeno = 3.731,25 kg.
Grano entero de Lenteja = 975,10 kg.
Grano entero de Arveja = 10.467,40 kg.
Grano entero de Frejol = 17.210,51 kg.
Grano entero de Tarwi = 3.982,02 kg.
Grano entero de Garbanzo = 746,25 kg.
Grano entero de Haba = 3.393,20 kg.
Grano entero de Maíz = 19.230,75 kg.
Vaina Seca de Tara = 30.128,60 kg.
Tuna fresca = 81.540,25 kg.
Lúcuma fresca = 6.013,98 kg.
Palto fresca 47.666,25 kg.
Pulpa de Lúcuma seca = 5.412,58 kg.
Hojuela de Kiwicha = 3.267,08 kg.
Hojuela de Quinua = 58.504,28 kg.
Hojuela de Avena = 6.281,07 kg.
Harina de Kiwicha = 3.263,80 kg.
Harina de Quinua = 58.445,54 kg.
Harina de Quinua Mix = 58.445,54 kg.
Harina de Trigo Centeno = 3.712,59 kg.
Harina de Arveja = 10.415,06 kg.
Harina de tarwi = 3.962,11 kg.
Harina de Garbanzo = 742,52 kg.
Harina de Haba = 3.376,23 kg.
Harina de Maíz = 19.134,60 kg.
Harina de siete Semillas = 22.846,59 kg.
Harina de Lúcuma = 5.401,76 kg.
Polvo de Tara = 15.064,30 kg.
Aceite de Chía = 66.421,47 kg.
Aceite de Kiwicha = 2.952,18 kg.
Aceite de Quinua = 52.865,32 kg.
Aceite de Tuna = 407,70 kg.
Aceite de Palto = 42.899,63 kg.
Mucílago de Tara = 10.545,01 kg.
Expandido de Kiwicha = 3.214,60 kg.
Expandido de Quinua = 55.802,00 kg.
Grano entero de quinua. (C.A. WARMI TARPUY) = 27.000,00 kg.
Grano entero de chia. (C.A. WARMI TARPUY) = 10.000,00 kg.
Grano entero de frejol. (C.A. WARMI TARPUY) = 5.000,00 kg.
Grano entero de kiwicha. (C.A. WARMI TARPUY) = 4.000,00 kg.</t>
  </si>
  <si>
    <t>Other Grains, Pastas and Cereals: Beans, Lentils, Sunflower, Wheat; Fruits/Vegetables: Native color potato, Tara</t>
  </si>
  <si>
    <t>Other: Guarana in grains</t>
  </si>
  <si>
    <t>Processed  Items: Coffee (Coffee parchment - Café pergamino), Dehydrated Foods (Fermented and / or Washed Dry Grain Cocoa - Cacao grano seco Fermentado y/o Lavado)</t>
  </si>
  <si>
    <t>Other: Grain Cleaning, Screening Storage, Storage/Drying of Bean, Grain</t>
  </si>
  <si>
    <t>Other: Grain &amp; Bean Storage, Grain/Bean Handling</t>
  </si>
  <si>
    <t>Other: Black Beans, Screenings: Soybean, Soft white wheat, Black bean Splits culls, Soybeans, Soft White Wheat, Grain Drying, Cleaning &amp; Bagging, Storage, Shipping, Bean Storage</t>
  </si>
  <si>
    <t>Processed  Items: Cereal (Amaranth flakes // Hojuelas de kiwicha, Amaranth flour // Harina de Kiwicha, Amaranth pop // Kiwicha pop, Black Quinoa unsaponified // Quinua negra perlada, Black Quinoa unsaponified // Quinua negra trillada, Canihua flakes // Hojuelas de cañihua, Canihua flour // Harina de Cañihua , Cañihua pop, Crunchy quinoa // Quinua crocante, Precoocked Quinoa grains // Quinua en grano precocida, Quinoa flakes // Hojuelas de Quinua, Quinoa flour // Harina de Quinua, Quinoa flour gelatinized // Harina de quinua gelatinizada, Quinoa pop // Quinua pop, Red Quinoa unsaponified // Quinua roja perlada, Red Quinoa unsaponified // Quinua roja trillada, White Quinoa unsaponified // Quinua blanca perlada, White Quinoa unsaponified // Quinua blanca trillada), Golden berry (Physalis peruviana) - dried // Aguaymanto deshidratado, Lucuma chuncks dried // Lúcuma seca en trozos, Lucuma powder // Lúcuma en polvo, Maca dehydrated chunks // Maca deshidratada en trozos, Maca flour // Harina de Maca, Maca flour gelatinized // Harina de Maca gelatinizada; Other Grains, Pastas and Cereals: Cereal (Amaranth grains // Kiwicha en grano, Canihua grains // Cañihua en grano), Quinoa (Quinoa Mix // Quinua tricolor trillada); Nuts/Seeds: Seeds (Chia seeds // Semillas de Chia); Health Products: Herbs (Gninger dehydrated flakes // Kion deshidratado en hojuelas, Turmeric powder // Cúrcuma polvo); Dry/Baking Goods: Flours and Meals (Amaranth flour gelatinized // Harina de kiwicha gelatinizada); Chocolate Goods: Cacao nibs // Nibs de cacao, Cocoa bean // Cacao en grano; Beverage Related Products: Coffee (Coffee - green beans // Café en grano, Coffee - roasted // Café tostado)</t>
  </si>
  <si>
    <t>Other: Agave Syrup ((Nonretail)), Alfalfa ((Nonretail)), Aloe Vera ((Nonretail)), Apples ((Various, Nonretail)), Artichokes ((Nonretail)), Asparagus ((Nonretail)), Avocados ((Nonretail)), Beans ((Various, Nonretail)), Beans ((Various, Nonretail)), Beets ((Nonretail)), Beets ((Nonretail)), Berries ((Various, Nonretail)), Broccoli ((Nonretail)), Cabbage (Green, Red (Nonretail)), Carrots ((Nonretail)), Carrots ((Nonretail)), Celery ((Nonretail)), Celery Hearts ((Nonretail)), Chard ((Nonretail)), Chard ((Nonretail)), Cherimoyas, Cherries ((Various, Nonretail)), Citrus ((Various, Nonretail)), Coconut ((Nonretail)), Collards ((Nonretail)), Corn ((Nonretail)), Cranberries ((Nonretail)), Cucumbers ((Various, Retail and Nonretail)), Dandelion ((Nonretail)), Dates ((Nonretail)), Dried Fruits ((Nonretail)), Dried Vegetables ((Nonretail)), Edamame ((Nonretail)), Eggplant ((Nonretail)), Endive ((Nonretail)), Escarole ((Nonretail)), Escarole ((Nonretail)), Fennel ((Nonretail)), Fennel ((Nonretail)), Figs ((Nonretail)), Flowers (Edible (Various, Nonretail)), Fresh Fruit (Stonefruit (Various, Nonretail)), Fresh Fruit (Tropical (Various, Nonretail)), Fresh Herbs ((Various, Nonretail)), Fresh Produce (Cole Crops (Various, Nonretail)), Fresh Produce (Sunchokes (Nonretail)), Frisee ((Nonretail)), Frozen Fruits ((Various, Nonretail)), Galangal ((Nonretail)), Garlic ((Nonretail)), Gift Baskets ((Retail)), Ginger ((Nonretail)), Grains ((Various, Nonretail)), Grapes ((Nonretail)), Herbs &amp; Spices (Single-Ingredient and Spice Blends (Various, Nonretail)), Horseradish ((Nonretail)), Jicama ((Nonretail)), Kale ((Nonretail)), Leeks ((Nonretail)), Lemons ((Nonretail)), Lentils ((Various, Nonretail)), Lettuces ((Various, Nonretail)), Lettuces ((Various, Nonretail)), Melons ((Various, Nonretail)), Microgreens ((Various, Nonretail)), Mixed Vegetables ((Various, Nonretail)), Mushrooms ((Various, Nonretail)), Nuts ((Nonretail)), Okra ((Nonretail)), Onions ((Various, Nonretail)), Parsnips ((Nonretail)), Pears ((Nonretail)), Peas ((Various, Nonretail)), Peppers ((Various, Retail and Nonretail)), Persimmons ((Nonretail)), Pine Nuts ((Nonretail)), Pomegranates ((Nonretail)), Potatoes ((Various, Nonretail)), Radicchio ((Nonretail)), Radishes ((Various, Nonretail)), Raisins ((Nonretail)), Rhubarb ((Nonretail)), Romaine ((Nonretail)), Romaine Hearts ((Nonretail)), Rutabaga ((Nonretail)), Safflower ((Nonretail)), Shallots ((Nonretail)), Sorrel ((Nonretail)), Sprouts ((Various, Nonretail)), Squash ((Various, Nonretail)), Tofu ((Retail and Nonretail)), Tomatillos ((Nonretail)), Tomatoes ((Various, Retail and Nonretail)), Turmeric ((Nonretail)), Turnip ((Nonretail)), Vegetables (Purslane (Nonretail)), Vegetables (Sunchoke (Nonretail)), Watercress ((Nonretail)), Wheatgrass ((Nonretail)), Yams ((Nonretail))</t>
  </si>
  <si>
    <t>Other: Rice (Broken) (Long, Medium, &amp; Short Grain Brown - No Current Production), Rice (Long Grain) (Brown- No Current Production), Rice (Long Grain) (White - No Current Production), Rice (Medium Grain) (Brown - No Current Production), Rice (Medium Grain) (White - No Current Production), Rice (Short Grain) (Brown - No Current Production), Rice (Short Grain) (White - No Current Production)</t>
  </si>
  <si>
    <t>Other Grains, Pastas and Cereals: HARINA DE QUINUA = 10.000,00 Kg, Kruslie (musli crocante)
Cereal Crocante para Desayuno , muesli  cualquier otro nombre  para esta  composición = 5.000,00 Kg, MINI BOLITAS
Pepitas, Aritos, Bolitas = 6.000,00 Kg, Musli Andino
Andean Muesli, Muesli Kids, Cereal Para Desayuno, Andean Quino  (y cualquier denominacion de cereal para desayuno) = 25.000,00 Kg, NUGGET DE QUINUA = 1.000,00 Kg, PASTA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AMARANTO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900.000,00 Kg, PASTA ANDINA BICOLOR
Pasta Andina Remolacha,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CON AMARANTO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60.000,00 Kg, PASTA ANDINA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ANDINA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ANDINA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de arroz, quinua y coliflor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24.000,00 Kg, Pasta de mungo, arroz, y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 Kg, Pasta de sorgo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Kristal (larga y corta)
Larga: Spaghetti, Spaghetinni, Fetuccini, Linguini, Bucattini (y cualquier modelo o traducción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KRISTAL CURCUMA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ESPINACA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15.000,00 Kg, PASTA KRISTAL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 Kg, Pasta lenteja -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lenteja Andina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LENTEJA ANDINA CON REMOLACHA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80.000,00 Kg, Pasta Sorgo con quinua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PASTA TRIGRANO CON CURCUMA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ESPINACA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CON REMOLACHA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PASTA TRIGRANO TRICOLOR
Pasta Trigrano con espinaca, Pasta Trigrano con Remolacha, Pasta Trigrano con Cúrcuma.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POPQUINS CLASSIC = 10.000,00 Kg, QUINITOS DE OREGANO
Oregano curls, Rulitos de oregano, Origan Snack, Origan Grignotines (y cualquier denominación de snack de oregano) = 3.000,00 Kg, QUINOA  FLAKES = 1.500,00 Kg, QUINOA  PUFF = 1.500,00 Kg, Quinoa Rissotto Cremoso (Sin Apio) = 500,00 Kg, Quinoa Taboule Salad (sin apio) = 500,00 Kg, Quínua Real en Grano (100% quinoa) = 10.000,00 Kg, SNACK CON COCOA
Quinito Chocolate, Bolita Chocolate, Crunchie chocolate, Snack Cocolate, Grignotines Chocolate, cocoa minicrispy   (y cualquier denominación de snack dulce con cocoa) = 13.000,00 Kg, Snack Dulce con Canela
Crunchie Cinnaon, Snack con Canela, Pop con canela, Grignotines Cinnamon, cinnamom  minicrispy  (y cualquier denominación de snack dulce con canela) = 4.000,00 Kg, SNACK DULCE CON COCO 
Quinito coco, Bolita Coco, Crunchie Coco, Grignotines coco (y cualquier denominación de snack dulce con coco) = 1.000,00 Kg, SNACK DULCE
Crunchie Original, Crunchie Lightly Frosted, Pop Andino, Quinito Dulce, Grignotines, minicrispys (y cualquier denominacion de snack dulce) = 5.000,00 Kg, SNACK NEUTRO
Chui, Bolita, Pepita, Hojuela (y cualquier forma o modelo de snack neutro) = 5.000,00 Kg, SNACK SALADO DE CEBOLLA 
Snack aux Oignons, Onion Snack, Zwibel Snack, Grignotines aux Oignons (y cualquier denominación de snack salado con cebolla) = 1.000,00 Kg, SNACK SALADO DE ORÈGANO
Snack a L’origan, Origan Snack, Origan Grignotines (y cualquier denominación de snack salado con oregano) = 2.500,00 Kg, SNACK SALADO PICANTE 
Snack au Chilli, Snack Chilli, Chilli Crunchies, Chilli Grignotines (y cualquier denominación de snack picante) = 2.500,00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Supergrain Pasta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20.000,00 Kg, Tomate Quinoa noodle soup = 100,00 Kg, VEGE PASTA ANDINA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100.000,00 Kg, VEGE PASTA KRISTAL (larga y corta)
Larga: Spaghetti, Spaghetinni, Fetuccini, Linguini, Bucattini (y cualquier modelo o traduccion de pasta larga)
Corta: Fusilli, Rotini, Penne, Penne Rigate, Rigattoni, Macarrón, Macaroni, Shells, Minishells, Orzo, Risoni, Cabello de ángel, Fideo, Capellini, Alfabeto, Animales, Anelli, Anillos,  Anellini, Codito, Elbow, Tubetti, Rotelline  (y cualquier modelo o traducción de pasta corta) = 50.000,00 Kg, Vegetarian Quinoa noodle soup = 5.000,00 Kg, Vegetarian Quinoa soup	= 5.000,00 Kg</t>
  </si>
  <si>
    <t>Other: Quinoa, Quinoa Flour, Sorted Grain</t>
  </si>
  <si>
    <t>Other: Personal care items, Luxe toner by LuxeBeauty, LuxeBeauty Organic Herbal Lymphatic Support Blend, LuxeBeauty Bliss Body Serum Lymphatic Support, Organic Bliss Essential Oil Lymphatic Support Blend,  Organic COSCO Castile Soap, Pure and Natural Pet Fragrance Free Hypoallergenic Organic shampoo, Pure and Natural Pet 2-IN-1 Grain Free Organic Shampoo &amp; Conditioner, Pure and Natural Pet Itch Relief Organic Shampoo,  Organic Dental Solutions Canine Tooth Gel, Pure and Natural Pet Organic Ear Wash, Pure and Natural Pet Organic Dental Solutions Plaque &amp; Tartar Fighting Gel, LuxeBeauty Organic Astaxanthin Dietary Supplement, Pure and Natural Pet Organic Dental Solutions Plaque &amp; Tartar Control Breath Spray Clean Mint</t>
  </si>
  <si>
    <t>Other Grains, Pastas and Cereals: Brown Flax, Einkorn berries, Emmer berries, Kamut berries, Rye berries, Soft white wheat berries, Soybeans, Golden Flax, Hard red wheat berries, Hard white wheat berries; Dry/Baking Goods: Flours and Meals (All Purpose Einkorn, Golden Pastry, Golden Spelt, Golden White Spelt, Rye, Whole Einkorn, Whole Spelt, Whole corn meal); Bread/Bakery/Snacks: Bread (Sourdough, Light wheat, Sprouted Wheat sourdough), Bread Baking, Popcorn; Other: Packing &amp; Labeling Grains</t>
  </si>
  <si>
    <t>Other: 7 Grain Cereal (070213 070513), Adzuki Beans (061108), Alfalfa Seeds (050514 051207), Almonds (Sliced Natural 030375), Almonds (Whole 030300 030800), Amaranth (Amaranth Flakes 080560), Amaranth (Puffed, 011808), Amaranth Seeds (050121 050521), Banana Chips (Sweetened 040280 040880), Barley (Hulled 070110 071110), Barley Flour (090517), Black Turtle Beans (060114 061113), Blackeyed Peas (060196 060596), Blend (Vegan Parmesan 338808), Blueberries, Brazil Nuts (Whole 030323 030823), Brown Rice Cereal (Puffed Brown Rice 011805), Buckwheat (Brown Roasted (Kasha) 081219 080519), Buckwheat (Hulled, White 080525 081625), Buckwheat (Whole (Unhulled, For Sprouting) 080521 080121), Buckwheat Flour (090520), Cane Sugar (Granulated Sugar 210532), Cashews (Large Pieces 030346 032546), Cashews (Whole 320's 030345 032577), Chia Seeds (050104, 050504, 052504), Chocolate (Choco Bites), Cinnamon (Ground 10073-PC1), Coconut Milk Powder (230201 231001), Corn (Whole, Yellow 070512), Corn Flour (Yellow 090118 090518), Corn Grits (070520), Cornmeal (Blue 080126 080526), Cornmeal (Yellow 080534), Couscous (Semolina 080565 081265), Cranberry Beans (060181 060581), Cumin (Seed, Ground 10054-PC1), Currant (Zante Currants), Curry (Red Curry Seasoning 330824), Dark Chocolate Chips (270540, 271240), Date Coconut Roll (041287), Date Coconut Roll-Almond (041285), Dates (Deglet Noor, Pitted 041205), Dates (Halawi, Whole 041291), Dates (Khadrawi, Whole 041292), Dates (Medjool 040184), Dried Apples (Dices 040537 040837), Dried Apricots (Turkish 040113 045513), Dried Cherries (Tart, Sugar Sweetened 040834), Dried Coconut (Chips 040365 040865), Dried Coconut (Medium) (040575), Dried Cranberries (Juice Sweetened 040102 040502), Dried Cranberries (Sugar Sweetened 040165 040565), Dried Elderberry (480811), Dried Goji Berries (040875 040275 041075), Dried Mangos, Dried Papaya (Papaya Spears 040589, 041289), Dried Pineapple (Pineapple Slices 040242, 040412, 040842), Dried Prunes (Pitted 041226 045316), Dried Raisins (Thompson 130140 130344), Dried Raisins (Thompson Jumbo 040127 040527), Dried Tomatoes (Sundried Tomatoes 351222 350322 352222), Drink Mix (Vegan Golden Milk 231225), Einkorn (Berries 070115 070515), Fenugreek Seeds (050379, 051279), Figs (Black Mission 041216 045516), Figs (Golden 041278), Figs (Turkish 040543), Flax Seeds (Brown 050517 050117), Flax Seeds (Golden: 050118, 051518, 052518), Garbanzo Beans ((Chick Peas) 060127 065527), Garlic (Granules 10050-PC1), Garlic (Minced 10398-PC1), Garlic (Powder 10349-PC1), Ginger (Root Powder 10250-PC1), Granola (Health Nut 010176 010376 012576), Granola (Hemp Hearts 100727859), Granola (Morning Manna 010156), Great Northern Beans (060130 060530), Hazelnuts (Whole 030855 030355 032568), Hemp Seeds (Hulled 050380 051080), Kamut (Khorasan Wheat 080513), Kamut (Puffed, 011806), Kidney Beans (Dark Red 061133 061633), Kidney Beans (Light Red 060139 060539), Lentils (French Green 060176 060576), Lentils (Green 060146 060546), Lentils (Red 060149 060549), Lima Beans (Baby 060157 060557), Millet (Hulled 070620 071116), Millet Flour (090521), Misc (Sour Gummy Mix), Misc Powders (Carob Powder, Roasted 270204, 272404), Mixed Nuts (Deluxe 030385 030885), Mung Beans (060155 061155), Mung Beans (Mung Dal), Mung Beans (Mung Dal 060555), Navy Beans (061167), Nutmeg (Ground 10358-PC1), Oat Bran (080142 080544 080842), Oat Flour (090504), Oat Milk (231035, 230235), Oats (Groats, Steel Cut 070139 070547 072539), Oats (Groats, Whole 070182 070582 080159), Oats (Quick Rolled 080055 080056 080556), Oats (Regular Rolled 080552), Oats (Thick Rolled 080558), Onion (Chopped 10557-PC5), Onion (Granules 10051-PC1), Onion (Minced 10052-PC1), Onion (Powder 10348-PC1), Other Beverages (Plant Milk Powder), Paprika (10365-PC1), Paprika (Smoked 10484-PC1), Parsley (Flakes 10553-PC1 10553-PC5 ), Pasta (Fusilli Pasta Kamut 100203, 100803, 101103), Pasta (Fusilli Pasta, Spelt 100204, 100804, 101104), Peanuts (Halves, Dry Roasted, No Salt 030565 031065), Peas (Green Whole 060193 060593), Pecans (Halves 030204 030804), Pinto Beans (060183 061183), Popcorn Kernels (Tri-Color), Popcorn Kernels (Yellow 070160 070560 073206), Potato Flakes (300104, 300404), Pumpkin Seeds (Pepitas 050592 051086 052786), Quinoa (Puffed, 011809), Quinoa (Tri-Color Quinoa 070145 070545), Quinoa (White 081606 080562), Red Beans (Small 060089 060189 060589), Refried Black Beans (Instant 061064 068756), Refried Pinto Beans (Instant 061068 061070), Rice (Sweet Brown 070114 070514), Rice (Basmati) (Brown 070164 070564), Rice (Basmati) (Brown 072564), Rice (Basmati) (White 070565 072565), Rice (Basmati) (White 072565), Rice (Black) (Forbidden Rice 071610 070510), Rice (Brown) (Long Grain 070183 070583), Rice (Brown) (Short Grain 070181 070581), Rice (Jasmine) (Brown 070105 070505), Rice (Jasmine) (White 070101 070501), Rice (White) (Arborio 070103, 070503, 072503), Rice (White) (Long 072547), Rice (Wild) (071256), Rice Flour (Brown 090508), Rye (Berries 070167 070567), Rye Flour (Dark 090510), Seasoning Blend (Not Chicken Seasoning 330202, 331002, 331609), Seed Blend (Zestful Sprouting Mix 050367 051667), Sesame Seed Hulled (050540 050666), Sesame Seeds (Natural 050530 050664), Soup Mixes (Bean 060108 060508), Soup Mixes (French Lentil 171109), Soup Mixes (Red Lentil Curry 171124), Soy Flour (Full Fat 090516), Soybeans (Clear Hylum 061097 061197), Soynuts (Dry Roasted, No Salt 370561 371261), Soynuts (With Salt 370560 ), Spelt (Berries 070192 070592), Split Pea (Green 060074 061167), Split Pea (Yellow 060174 060574), Sprouting Broccoli (050394 050899), Sprouting Daikon Radish (050569 051269), Sprouting Red Clover (050534 051281), Stevia Powder (White Extract 210043 210143), Sunflower Seeds (Black Oil, Raw, Unhulled For Sprouting 050171), Sunflower Seeds (Hulled Raw 050573 121610), Turmeric Powder (10248-PC1), Walnuts (Halves and Pieces 030390 031090), Wheat (Cream of 080270 080570), Wheat (Puffed, 011807), Wheat Berries (Hard Red 070068 070566), Wheat Berries (Hard White 070585), Wheat Berries (Soft White 070572), Wheat Bran (080524), Whole Wheat Flour (Pastry 090039), Whole Wheat Flour (Stone Ground 090132), Yeast (Yeast Flakes 230315, 230815)</t>
  </si>
  <si>
    <t>Other Grains, Pastas and Cereals: Beans (Black, Navy, Pinto, Light Red Kidney, Dark Red Kidney, Cranberry, Garbanzo, Tri Blend, Small red, Pink, Great northern, White kidney); Other: Cleaning &amp; Bagging Edible Beans</t>
  </si>
  <si>
    <t>Other: Apple Cider, Apples, Beans, Blueberries, Cherries (Sweet), Cherries (Tart), Cucumbers, Grains, Pears, Peppers, Squash (Summer), Tomatoes</t>
  </si>
  <si>
    <t>Animal Feed: Livestock Feed (Roughage: Alfalfa Hay), Livestock Feed (Roughage: Compressed Alfalfa Hay), Livestock Feed (Grain: Corn)</t>
  </si>
  <si>
    <t>Other: Almond, Arhar Dal /Toor, Bajra (Pearl Millet), Bajra Flour, Barley (Jau), Basil Leaves, Basmati Rice-White/White Basmati Rice, Bay Leaf, Bengal Gram (Chana) Flour, Black Cardamom, Black Gram ( Urad)( Vigna sp.), Black Pepper, BLACK SESAME/ Sesame seeds, Brown Gram/Gram/Chana (CicerArietinum) / Brown Chana (Black Chickpea)/ Kala Chana, Brown Rice, Cashew Kernels 240, Cashew Kernels Whole 210, Cashew Kernels Whole 320, Cashew nut (In shell), Cashew Whole, Chana Dal, Chia Seeds, Chicory, Chitra Kidney beans / Rajma(Phaseolus Vulgaris), Cinnamon bark, Cinnamon Powder, Clove Powder, Cloves, Coconut, coconut dried, Coconut Oil, Coffee Beans, Coffee beans-Arabica, Coffee beans-Robusta, Coffee Powder, Coriander Powder, Coriander Seed/Whole, Corn Daliya/Corn Porridge, cowpea, CTC Tea, Cumin Powder, Cumin Seeds, Cumin/Caraway (Shahi Jeera), Curry leaf/leaves, Dehydrated Curry Leaves Powder, Desiccated coconut, Dried Mango Powder (Amchur), Dried Thyme, Drumstick, Durum Wheat, Fennel ( Saunf), Fenugreek Seed (Methi seed), Flaxseed Or Linseed Oil, Foxtail Milltet, Garam Masala, Ginger Paste, Ginger Powder, Gokshura (Tribulus Terrestris), Green Cardamom, Green Coffee bean Extract powder, Green Gram (Moong), Green Gram split Yellow / Moong Dal- Yellow, Green Tea, Ground Nut /Peanut, Ground Nut /Peanut Oil ( Edible grade), Groundnut Kernel, Hibiscus, Horse Gram (Kulthi), Jaggery, Jaggery Cubes, Jaggery Powder, Jowar Flour, kabuli Chana, Kalonji/Nigella, Khandsari Sugar (Natural), Kodo/Kodon Milet, Kokum/Garcinia, Lokwan Wheat, Mace (Jaipatri, Jaifal), Maida ( All purpose flour), Maize, Maize Flour, Maize Starch, Masoor Split Dal, Mazie (Corn) Flakes, Mixed Millet Flour, Multigrain Atta, Mustard, Mustard - Black, Mustard Oil (Refined), Non-Basmati Paddy, Nutmeg (Jaiphal), Oats (flakes), Olive Oil, Oregano, Organic Saffron, Peanut butter, Peas Dried (Sukhi matar) (White Pea), Pimento Or Allspice, Poppy Seeds, Quinoa, Ragi (Finger Millet Grain), Ragi Flour, Raisins (Dried grapes/ Kishmish), Red Chilli, Red Chilli (Whole), Red Chilli Powder, Red Kidney Beans, Red Rice Flour, Rice Poha, Rice/Paddy (Chawal), Rice-sona Masuri/ Sona Masuri White Rice, Roasted Bengal Gram Flour, Sesame oil (Till/Gingelly oil ), Sharbati Wheat, Sorghum, Sorghum Flour, Split Pigeon Pea/Arhar/Red Gram, Star Anise, Sugar(Brown/Natural), Suji/Semolina/Cream of Wheat), Sun Flower Seed Oil, Sunflower Seeds-of seed quality, Tamarind Dry (Imli), Tulsi leaves dry, TURMERIC POWDER, Turmeric Whole-fresh, Turmeric Whole-fresh (Haldi), URAD DAL-WHOLE (WHITE ), Urad Dhuli/Urad Mogar/ Black Gram Split Dehusked/ Black Gram Split White, Vanilla Beans, Vanilla Powder, Virgin Olive oil, Walnut Kernels, Wheat, Wheat Flour, Wheat Porridge / Daliya, White pepper, White pepper Powder, White Sesame, YELLOW MUSTARD</t>
  </si>
  <si>
    <t>Processed  Items: Cat's claw bark, Gelatinized black maca encapsulated, Gelatinized maca mix encapsulated, Gelatinized red maca encapsulated, Mix maca coco, Mix maca yacon, Yellow maca gelatinized powder, Yellow maca powder; Nuts/Seeds: Black Quinoa Grains, Chia Seed, Organic Tricolor Quinoa Grains, Red Quinoa Grains, White Quinoa Grains; Fruits/Vegetables: Avocado, Fresh Maca, Ginger Fresh; Condiments and Sweeteners: Coco sugar; Chocolate Goods: Mix maca cacao (chocomaca), Mix maca cocoa mesquite, Organic cacao beans; Other: Amaranth Grains, Amaranth Powder, Black maca gelatinized powder, Black maca gelatinized premium powder, Black maca powder, Black maca premium powder, Black maca root chips, Cacao Tea Bag Cut Roasted Organic, Camu Camu Whole Fruit Powder, Canihua Grains, Cat's claw powder, Dry maca, Dry maca black, Dry maca red, Gelatinized maca powder premium, Ginger Powder, Ginger slices, Goldenberry dehydrated, Goldenberry powder, Guanabana leaves powder, Lucuma Powder, Maca Black Root Organic PE, Maca Black Root Organic PE 10:1, Maca Coffee Powder, Maca flake, Maca flakes covered with chocolate 70% coconut sugar, Maca Gelatinized Powder, Maca mix gelatinized organic, Maca mix powder 20:1, Maca mix raw organic, Maca Powder, Maca powder 0.6, Maca powder premium, Maca Red Root Organic PE, Maca Red Root Organic PE 10:1, Maca root chips, Maca Root Instant Roasted Powder Organic, Maca Root Organic PE, Maca root organic PE 10:1, Maca root organic PE 20:1, Maca root organic PE 4:1, Maca root organic PE 6:1, Maca root tea bag cut roasted organic, Mesquite Powder, Natural sacha inchi snack roasted, Organic Black Maca Chip, Organic cacao butter, Organic cacao nibs, Organic Cacao Paste, Organic cacao powder, Organic Golden Berry Syrup, Organic Premium Maca Chip, Organic Premium Maca Slices, Organic Roasted Maca Chip, Organic Roasted Sacha Inchi Almonds, Organic sacha inchi oil, Purple corn whole powder, Quinoa Powder, Quinoa powder gelatinized, Red maca gelatinized powder, Red maca gelatinized premium powder, Red maca powder, Red maca premium powder, Red maca root chips, Sacha Inchi Powder, Salty sacha inchi snack roasted, Spicy sacha inchi snack roasted, Sweet potato powder, Turmeric capsules, Turmeric Powder, Turmeric slices, Yacon root chips, Yacon root powder, Yacon Syrup</t>
  </si>
  <si>
    <t>Other Grains, Pastas and Cereals: Cereal (Cream of the West 7-Grain Hot Cereal, Gruff Ancient Grain Grits, Roasted Wheat Hot Cereal)</t>
  </si>
  <si>
    <t>Other: Acai Pomegranate, Fruit Smoothie, Jalapeno Red Frozen Puree, Ginger Frozen Puree, Garlic Frozen Puree, Salted Carmel Latte, Curlz-Broccoli, Curlz-Cocomelon Sweet Potato &amp; Cinnamon, Curlz-Cocomelon White Cheddar,  Curlz-White Cheddar, Fruit &amp; Veggie Bites-Apple Apricot Carrot, Fruit &amp; Veggie Bites-Apple Strawberry Beet,  Grain Free Puffs-Carrot &amp; Beet, Grain Free Puffs-Cheddar &amp; Cauliflower Spinach, Grain Free Puffs-Pumpkin &amp; Cinnamon, Grain Free Puffs-Tomato &amp; Herb, Meltable Puffs-Strawberry Basil, Meltable Puffs Apple &amp; Broccoli, Meltable Puffs Berry &amp; Sweet Pea, Mighty Puffs-Beet &amp; Strawberry, Mighty Puffs-Carrot &amp; Broccoli, Purple Carrot &amp; Blueberry Rice-Free Puffs, Strawberry &amp; Beet Rice-Free Puffs, Sweet Potato &amp; Carrot Rice-Free Puffs, Tropical Blossom Honey, Soy Sauce, Salad Mustard, Rice Vinegar, Agave, Buttery Buffalo Sauce, Hickory Brown Sugar BBQ Sauce, Honey Hot BBQ Sauce, Japanese Cooking Sauce &amp; Glaze, Light Agave, Mild BBQ Sauce, Frozen Egg Yolk, Dried Egg Yolk, Soybean Oil, Black Pepper, Granulated Garlic, Granulated Onion, Cloves, Parsley, Celery Ground, Cinnamon, Ginger Root, Yellow Mustard Seed, Paprika, Mixed Tocopherols, Sesame Oil, Garlic Oil, Cucumber Flavor, Parmesan Cheese Flavor, Butter Flavor, Natural Honey Flavor, Tomato Paste, Mild BBQ Sauce, Mild/Original BBQ Sauce</t>
  </si>
  <si>
    <t>Dairy: Milk</t>
  </si>
  <si>
    <t>Other: Brandy, Byproduct (Grapefruit), Byproduct (Lemon), Byproduct (Lime), Byproduct (Orange), Cane Alcohol (Sugar Cane Ethanol), Grain Alcohol (Corn Ethanol), Grain Alcohol (Grain Neutral Spirit 151), Grain Alcohol (Grain Neutral Spirit 190 Proof), Grain Alcohol (Wheat Ethanol), Misc. Liqueurs (Grapefruit Liqueur), Misc. Liqueurs (Lemon Cello Liqueur), Misc. Liqueurs (Lime Liqueur), Misc. Liqueurs (Orange Liqueur), Vodka</t>
  </si>
  <si>
    <t>Other: 26-2270-NAD Non-Dairy Frozen Dessert Base, 34-6327 UHT-A High Protein Beverage Stabilizer, 41-2446-KRO Yogurt Stabilizer, Baking Products - Classic Pancake &amp; Waffle Mix, Baking Products - Confetti Pancake &amp; Waffle Mix, Boxed Pasta &amp; Cheese - Deluxe Shells &amp; Vegan Cheddar Style, Boxed Pasta &amp; Cheese - Red Lentil Spirals White Cheddar, Boxed Pasta &amp; Cheese - Shells &amp; Real Aged Cheddar Macaroni &amp; Cheese, Boxed Pasta &amp; Cheese - Shells &amp; White Cheddar Macaroni &amp; Cheese, Boxed Pasta &amp; Cheese - Vegan Mac Macaroni &amp; Cheddar Flavor, Boxed Pasta &amp; Cheese - Vegan Mac Red Lentil Spirals &amp; Sweet Potato Pumpkin, Boxed Pasta &amp; Cheese - Vegan Mac Rice Pasta &amp; Cheddar Flavor, Boxed Pasta &amp; Cheese - Vegan Mac Shells &amp; Sweet Potato Pumpkin, Branded - Aged Cheddar &amp; Shells, Branded - Deluxe Mac &amp; Cheese, Branded - Deluxe Mac &amp; Cheese, Branded - Deluxe Shells &amp; Aged Cheddar, Branded - Deluxe Shells &amp; Cheese, Branded - Deluxe Shells &amp; Cheese, Branded - Deluxe Shells &amp; White Cheddar, Branded - GF Vegan Mac &amp; Cheese, Branded - Gluten Free Macaroni and Cheese, Branded - Gluten Free Macaroni and Plant-Based Cheese, Branded - Macaroni and Cheese, Branded - Macaroni and Cheese, Branded - Macaroni and Cheese, Branded - Macaroni and Cheese, Branded - Organic Macaroni and Cheese, Branded - Shells &amp; White Cheddar, Branded - Shells &amp; White Cheddar, Branded - Shells &amp; White Cheddar, Branded - Shells &amp; Yellow Cheddar, Branded - Shells and Plant-Based Cheese, Branded - Vegan Mac &amp; Cheese, Cereal - Cinnamon Crunch Cereal, Cereal - Cinnamon Crunch Cereal, Cereal - Graham Crunch Cereal, Cereal - Multi Grain Squares Cereal, Microwavable Cup - Deluxe Rich &amp; Creamy Shells &amp; Cheese, Microwavable Cup - Grass Fed Real Aged Cheddar Macaroni &amp; Cheese, Microwavable Cup - Real Aged Cheddar Macaroni &amp; Cheese, Microwavable Cup - Real Aged Cheddar Macaroni &amp; Cheese, Microwavable Cup - White Cheddar Macaroni &amp; Cheese, Microwavable Cup - White Cheddar Pasta &amp; Cheese, Microwavable Cups - Disney Moana Pasta &amp; Cheddar, Microwavable Cups - Disney Pasta &amp; Cheddar, Microwavable Cups - Marvel Spidey Pasta &amp; Cheddar, Microwavable Cups - Mickey and Friends Pasta &amp; Cheddar, Microwavable Cups - Super! Mac Pasta &amp; Classic Cheddar, Microwavable Cups - Super! Mac Pasta &amp; Real Aged Cheddar, Microwavable Cups - Yummy Bunnies &amp; Cheddar Pasta &amp; Cheese</t>
  </si>
  <si>
    <t>Other: American Cheese (Fiesta Premium Pasteurized Prepared Cheese (bulk)), American Cheese (Fiesta Premium Pasteurized Prepared Cheese (retail)), American Cheese (Pasteurized Processed Slices), American Cheese (Pasteurized Processed White Slices), American Cheese (Premium Pasteurized Prepared Cheese (bulk)), American Cheese (Premium Pasteurized Prepared Cheese (retail)), American Cheese (White Premium Pasteurized Prepared Cheese), Asparagus, Baby Swiss Cheese, Baby Swiss Cheese (Sliced), Baby Swiss Cheese (Trim), Beans, Bedding Straw, Beets, Blue Cheese, Broccoli, Brokering, Brokering (Beets), Brokering (Collard Greens), Brokering (Cucumbers), Brokering (Eggplant), Brokering (Kale), Brokering (Livestock Feed), Brokering (Produce - Apples), Brokering (Produce - Apricots), Brokering (Produce - Broccoli), Brokering (Produce - Brussel Sprouts), Brokering (Produce - Cabbage), Brokering (Produce - Cauliflower), Brokering (Produce - Cherries), Brokering (Produce - Melons), Brokering (Produce - Napa Cabbage), Brokering (Produce - Nectarines), Brokering (Produce - Peaches), Brokering (Produce - Peppers), Brokering (Produce - Pluots), Brokering (Produce - Red Potato), Brokering (Produce - Russet Potato), Brokering (Produce - Yellow Potato), Brokering (Produce - Zucchini), Brokering (Raw Farm Milk ), Brokering (Squash), Brussels Sprouts, Buttermilk, Buttermilk Cultured (Low Fat), Buttermilk Powder, Butterscotch Flavor, Cabbage, Canola Oil Livestock Feed, Chard, Cheddar - Medium (Sliced), Cheddar Cheese, Cheddar Cheese (Cheddar Mild), Cheddar Cheese (Cheddar Sharp), Cheddar Cheese (Cheese Sticks), Cheddar Cheese (Finely Shredded Mild), Cheddar Cheese (Finely Shredded Sharp), Cheddar Cheese (GrassFed Raw Cheddar), Cheddar Cheese (GrassMilk Raw Mild Cheddar), Cheddar Cheese (GrassMilk Raw Sharp Cheddar), Cheddar Cheese (Mild Shreds), Cheddar Cheese (Mild Slices), Cheddar Cheese (Raw), Cheddar Cheese (Raw Mild Cheddar), Cheddar Cheese (Raw Sharp Cheddar), Cheddar Cheese (Raw Sharp Cheddar Slices), Cheddar Cheese (Sharp Shreds Thick Cut), Cheddar Cheese (Smoky Cheddar), Cheddar Cheese (Smoky Cheddar Slices), Cheddar Cheese (Smoky Cheddar Trim), Cheddar Cheese (Spicy Cheddar), Cheddar Cheese (Spicy Cheddar Shreds), Cheddar Cheese (Spicy Cheddar Slices), Cheddar Cheese (Spicy Cheddar Trim), Cherry Flavor, Chicken Eggs (Brown), Chicken Eggs (Brown), Chocolate Low Fat (1%) Milk, Chocolate Low Fat (1%) Milk (Aseptic), Chocolate Reduced Fat (2%) Milk, Clarified butter (Anhydrous milk fat), Clarified butter (Ghee), Colby Cheese, Colby Cheese (Sliced), Colby Jack Cheese, Collard Greens, Condensed Cream (Standardized), Condensed Milk (Condensed Skim Milk), Condensed Milk (Condensed Whole Milk), Condensed Milk (Standardized), Corn (Sweet Corn), Corn Flour Livestock Feed (Whole Grain Yellow), Cottage Cheese Low Fat (2%), Cottage Cheese Regular (4%), Cow Milk (Bulk Raw Farm Grassfed), Cow Milk (Bulk Raw Farm Milk), Cow Milk (Raw Farm Milk (Brokering)), Cream (GrassFed), Cream (Heavy), Cream Cheese, Cream Cheese (Spread), Cucumber, Dried Distillers Grains (and Solids), Eggnog (Reduced Fat), Eggplant, Fat Free Milk, Fat Free Milk, Fat Free Milk (Grassmilk), Fat Free Milk (Powder), Feed Milling Pellets, Feed Milling Pellets (Clover), Fennel, Feta Cheese, Feta Cheese (Crumbles), Flavored Milk (French Vanilla Lactose Free Creamer), Flavored Milk (Sweet Cream Lactose Free Creamer), Frozen Eggs, Frozen Eggs (Frozen Whole Eggs), Half and Half, Half and Half, Half and Half, Half and Half (GrassMilk), Italian Blend Cheese, Italian Blend Cheese (3 Cheese Shreds), Italian Blend Cheese (Thick Cut Shreds), Kale, Lactose Free Chocolate Low Fat (1%) Milk, Lactose Free Half &amp; Half, Lactose Free Low Fat (1%) Milk, Lactose Free Milk (Fat Free), Lactose Free Milk (Standardized), Lactose Free Reduced Fat (2%) Milk, Lactose Free Whole Milk, Lactose Powder, Liquid Egg Whites, Liquid Egg Yolks (Frozen, Sugared), Liquid Whole Eggs (Fresh), Livestock Broker (Cattle (Dairy &amp; Beef)), Livestock Broker (Poultry (Turkey)), Livestock Broker (Swine), Livestock Feed (Agolin), Livestock Feed (Garbanzo beans), Livestock Feed - Alfalfa, Livestock Feed - Alfalfa (Pelleted), Livestock Feed - Barley, Livestock Feed - Barley (Flour), Livestock Feed - Canola Meal, Livestock Feed - Corn, Livestock Feed - Cornmeal, Livestock Feed - Cotton Seed, Livestock Feed - Flax, Livestock Feed - Flax (Oil), Livestock Feed - Flax Meal, Livestock Feed - Flax Seed, Livestock Feed - Hay Blend, Livestock Feed - Hominy, Livestock Feed - Lentils, Livestock Feed - Millet, Livestock Feed - Mix (Dry Edible Beans), Livestock Feed - Oats, Livestock Feed - Oats (Mill Byproduct), Livestock Feed - Oats (Pelleted Mill Byproduct), Livestock Feed - Peas, Livestock Feed - Rye, Livestock Feed - Sesame Meal, Livestock Feed - Sorghum, Livestock Feed - Soy Hulls, Livestock Feed - Soybean Meal, Livestock Feed - Soybeans, Livestock Feed - Soybeans (Roasted Whole), Livestock Feed - Soybeans (Roasted Whole), Livestock Feed - Sunflower Meal, Livestock Feed - Sunflower Seed, Livestock Feed - Triticale, Livestock Feed - Wheat, Livestock Feed - Wheat (Bran), Livestock Feed - Wheat (Flour), Livestock Feed - Wheat Midds, Livestock Holding (Cattle (Dairy &amp; Beef)), Livestock Holding (Poultry (Turkey)), Livestock Holding (Swine), Livestock Transportation (Cattle (Dairy &amp; Beef)), Livestock Transportation (Poultry (Turkey)), Livestock Transportation (Swine), Low Fat (1%) Milk, Low Fat (1%) Milk, Low Fat (1%) Milk (Aseptic), Low Fat (1%) Milk (Grassmilk), Mexican Blend Cheese (Shred), Mexican Blend Cheese (Thick Cut Shreds), Mixed Feed Grains, Molasses Livestock Feed, Molasses Livestock Feed (Dried), Monterey Jack Cheese (Finely Shredded), Monterey Jack Cheese (Monterey Jack), Monterey Jack Cheese (Raw ), Monterey Jack Cheese (Raw Jack Style Semisoft ), Mozzarella Cheese, Mozzarella Cheese (Finely Shredded), Mozzarella Cheese (Italian Herb), Mozzarella Cheese (Italian Herb Shreds), Mozzarella Cheese (Shreds), Muenster Cheese, Muenster Cheese (Sliced), Muenster Cheese (Trim), Neufchatel Cheese, Neufchatel Cheese (Spread), Nonfat Milk Powder, Nonfat Milk Powder (GrassFed), Nonfat Milk Powder (Pasteurized, Grade A, Low Heat), Oat Flour, Oats, Okara Livestock Feed, Omega 3 Reduced Fat Milk (Family First 2% DHA Milk - CA), Omega 3 Reduced Fat Milk (Family First 2% DHA Milk - NAT), Omega 3 Whole Milk (Family First Whole DHA Milk - CA), Omega 3 Whole Milk (Family First Whole DHA Milk - NAT), Onion, Other Beverages (40% Liquid Oat Base), Other Beverages (Oat Beverage - Simple), Parmesan Cheese, Parmesan Cheese (Grated), Parmesan Cheese (Shredded), Peas, Pepper Jack Cheese, Peppers, Plant Based Creamer (Oat Creamer - Caramel), Plant Based Creamer (Oat Creamer - Vanilla), Plant Based Creamer (Oat Creamer- Cinnamon Spice), Plant Based Creamer (Oat Creamer- Oatmeal Cookie), Potatoes, Protein Drink Mix (Bourbon Vanilla Whey Protein), Protein Drink Mix (Dark Chocolate Whey Protein), Protein Drink Mix (Lactose Free Bourbon Vanilla Whey Protein), Protein Drink Mix (Lactose Free Chocolate Whey Protein), Protein Drink Mix (Lactose Free Plain Unsweetened Whey Protein), Protein Drink Mix (Plain Unsweetened Whey Protein), Provolone Cheese, Provolone Cheese (Bulk Loaves), Provolone Cheese (Sliced), Provolone Cheese (Slices), Radish, Reduced Fat (2%) Milk, Reduced Fat (2%) Milk, Reduced Fat (2%) Milk (GrassFed), Reduced Fat (2%) Milk (Grassmilk), Regular Sour Cream, Ricotta Cheese, Rutabaga, Salted butter, Salted butter, Screenings Livestock Feed (Barley), Screenings Livestock Feed (Bean Screenings), Screenings Livestock Feed (Corn), Screenings Livestock Feed (Flax), Screenings Livestock Feed (Mixed Grain), Screenings Livestock Feed (Oats), Screenings Livestock Feed (Pea), Screenings Livestock Feed (Pelleted Mixed Grain), Screenings Livestock Feed (Wheat), Shallots, Sharp Cheddar Cheese (Thick Cut Shreds), Soybean Oil Livestock Feed, Squash, Standardized Cream, Standardized Milk, String Cheese (Mozzarella), String Cheese (Stringles), String Cheese (Stringles Organic Low Moisture Part-Skim Mozzarella Cheese), Sugar Beet Livestock Feed, Sugar Cane (Livestock Feed), Sweet Dairy Whey, Sweet Dairy Whey (Condensed), Sweet Potatoes, Trans-loading (Milk), Turnips, Unsalted butter, Unsalted butter, Unsalted butter (DNGD Butter), Whey (Condensed Whey), Whey (Whey Permeate), Whey (Whey Protein Concentrate 80% Agglomerated), Whey (Whey Protein Concentrate 80% Powder), Whey (Whey Protein Concentrate 80% Powder, Lactose Free), Whey (Whey Protein Concentrate 80% Powder, Lactose Free, Agglomerated), Whey (Whey Protein Hydrolysate), Whey (Whey Protein Isolate 90%), Whipping Cream, Whipping Cream, Whipping Cream (Grassmilk), Whipping Cream (Ultra Pasteurized), Whole Milk, Whole Milk, Whole Milk (GrassFed), Whole Milk Powder</t>
  </si>
  <si>
    <t>Processed  Items: Brown rice protein powder, Mung bean protein (dry), Pea hydrolyzed protein, Pea protein (dry), Pea protein peptide, Rice protein powder, Dehydrated Foods (Goji berry (Lycium barbarum) - dried), Dehydrated Foods (Agaricus bisporus - dried, Agrocybe (Agrocybe aegerita, Agrocybe cylindracea) - dried, Cordyceps militaris - dried, Ganoderma lucidum - dried, Lion's mane mushroom (Hericium erinaceus) - dried, Shiitake (Lentinus edodes) - dried), Pumpkin protein powder, Rice protein peptide, Pea protein (wet), Mung bean protein (wet), Hemp protein powder; Preservatives/Extracts/Flavors: Extracts (Ginseng extract), Extracts (Agaricus bisporus extract, Agrocybe cylindracea Agrocybe chaxinggu (extract), Astragalus root extract, Barley grass extract, Cinnamon extract, Cordyceps militaris extract, Cordyceps sinensis extract, Cranberry extract, Dandelion (Taraxacum officinale) extract, Fiveleaf gynostemma herb extract, Ganoderma lucidum extract, Holy thistle (Milk thistle; Silybum marianum) extract, Lion's mane mushroom (Hericium erinaceus) extract, Monk fruit extract, Oat grass extract, Shiitake (Lentinus Edodes) extract, Turmeric root extract, Valerian root extract , Wheat grass extract); Other Grains, Pastas and Cereals: Wheat (Buckwheat); Oils &amp; Oleoresins: Essential Oils (Evening primrose oil), Oils (Pumpkin seed oil), Oils (Hemp heart oil, Hemp seed oil); Nuts/Seeds: Seeds (Hulled hemp seed, Pumpkin seeds); Health Products: Herbs (Astragalus root dried, Dandelion (Taraxacum officinale) cut, Fiveleaf gynostemma herb whole, Ginseng sliced, Red ginseng - dried); Fruits/Vegetables: Powders (Aloe Vera freeze-dried powder, Goji berry (Lycium barbarum) powder), Powders (Agaricus Bisporus powder, Agrocybe cylindracea Agrocybe chaxinggu (powder), Astragalus root powder, Barley grass juice powder, Barley grass powder, Broccoli powder, Chlorella powder , Chlorella tablets, Cinnamon powder, Cordyceps militaris powder, Cordyceps sinensis powder, Cranberry juice powder, Cranberry powder, Dandelion (Taraxacum officinale) powder, Fiveleaf gynostemma herb powder, Ganoderma lucidum - broken spore powder, Ganoderma lucidum powder, Ginseng powder, Holy thistle (Milk thistle; Silybum marianum) powder, Kale powder, Lion's mane mushroom (Hericium erinaceus) - powder, Monk fruit powder, Oat grass juice powder, Oat grass powder, Pomegranate fruit powder, Pomegranate juice powder, Pomegranate powder, Pumpkin heart powder, Pumpkin seed powder, Shiitake (Lentinus Edodes) powder, Spirulina chlorella powder, Spirulina chlorella tablets, Spirulina powder, Spirulina tablets, Turmeric root powder, Valerian root powder, Wheat grass juice powder, Wheat grass powder), Powders (The below-mentioned powders, extract powders and juice powders can be produced to mixed powder, tablet, mixed tablet, capsule and mixed capsule (Organic status of capsule and organic mixed capsule products can only be NOP organic or EU organic depending on capsules shell used).), Vegetables (Kale slice/flakes); Dry/Baking Goods: Flours and Meals (Hemp flour, Inulin, Potato starch); Condiments and Sweeteners: Sweeteners (Erythritol, Erythritol powder, L-Arabinose L, Maltodextrin, Steviol Glycosides), Sweeteners (Allulose (powder)); Animal Feed: Livestock Feed (Hemp cake); Other: Empty pullulan capsules</t>
  </si>
  <si>
    <t>Other: Almonds (Natural, Blanched: Whole, Diced, Flour, Slices (Bulk/Non-retail)), Barley (Barley, Pearled (Bulk/Non-retail)), Beans ((Bulk/Non-retail)), Beans ((Bulk/Non-retail)), Beans (Adzuki  (Bulk/Non-retail)), Beans (Adzuki (Bulk/Non-retail)), Beans (Alubia  (Bulk/Non-retail)), Beans (Anasazi  (Bulk/Non-retail)), Beans (Autumn Blend  (Bulk/Non-retail)), Beans (Black Bean (Bulk/Non-retail)), Beans (Black Bean (Bulk/Non-retail)), Beans (Black Turtle (Bulk/Non-retail)), Beans (Black Valentine (Bulk/Non-retail)), Beans (Blackeye (Beans or Peas Bulk/Non-retail)), Beans (Calypso/Orca (Bulk/Non-retail)), Beans (Cannelini/White Kidney (Bulk/Non-retail)), Beans (Cannelini/White Kidney (Bulk/Non-retail)), Beans (Chickpea (Garbanzo) Beans - Split, Whole, Roasted (Bulk/Non-retail)), Beans (Chickpeas), Beans (Chickpeas/Garbanzo Beans, Broken, Split, Whole  (Bulk/Non-retail)), Beans (Cowpea (Bulk/Non-retail)), Beans (Cranberry (Bulk/Non-retail)), Beans (Cranberry Beans (Bulk/Non-retail)), Beans (European Soldier (Bulk/Non-retail)), Beans (Fava (Bulk/Non-retail)), Beans (Fava (Bulk/Non-retail)), Beans (Flageolet (Bulk/Non-retail)), Beans (French (Bulk/Non-retail)), Beans (Garbanzo Bean Flour Blend ), Beans (Great Northern/White (Bulk/Non-retail)), Beans (Great Northern/White (Bulk/Non-retail)), Beans (Jacobs Cattle (Bulk/Non-retail)), Beans (Kidney, Black, Dark Red, Borlotti (speckled), Light Red, Red, White (Bulk/Non-retail)), Beans (Kindey, Dark, Dark Red, Light Red (Bulk/Non-retail)), Beans (Light Right (Bulk/Non-retail)), Beans (Lima, Christmas, Baby (Bulk/Non-retail)), Beans (Mung (Bulk/Non-retail)), Beans (Mung (Bulk/Non-retail)), Beans (Navy (Bulk/Non-retail)), Beans (Oink (Bulk/Non-retail)), Beans (Pink (Bulk/Non-retail)), Beans (Pinto (Bulk/Non-retail)), Beans (Pinto (Bulk/Non-retail)), Beans (Red (Bulk/Non-retail)), Beans (Red, Small (Bulk/Non-retail)), Beans (Salad Blend (Bulk/Non-retail)), Beans (Tri-color Blend (Bulk/Non-retail)), Beans (White (Bulk/Non-retail)), Beans (Yellow Eyed (Bulk/Non-retail)), Buckwheat ((Bulk/Nonretail)), Buckwheat ((Bulk/Nonretail)), Buckwheat (Flour, Groats (Bulk/Nonretail)), Cashews ((Bulk/Nonretail)), Cheese (Colored Cheddar Blend), Cheese (Parmesan Cheese Powder), Cheese (White Cheddar Powder), Chia (Black, Black White Mixed (Bulk/Non-retail)), Chia (Black, White (Bulk/Non-retail)), Chili (Chipotle Ground (Bulk/Nonretail)), Coconut (Flour, Flakes (Bulk/Non-retail)), Coconut Oil (RBD Coconut Oil), Coconut Oil (Virgin (Bulk/nonretail)), Corn (Blue,Yellow Popcorn (Bulk/Non-retail)), Corn (Blue,Yellow, White (Bulk/Non-retail)), Corn (Corn Flour), Corn (Popcorn: Yellow, Tri-colored, White (Bulk/Non-retail)), Cumin Seed ((Bulk/Nonretail)), Extracts (Pure Vanilla Extract), Flax Seed (Brown, Golden, Yellow (Bulk/Non-retail)), Flax Seed (Flaxseed, Brown, Brown Meal, Golden, Meal, Raw, Yellow (Bulk/Non-retail)), Flour (Banana (Bulk/Nonretail)), Garlic Powder ((Bulk/Nonretail)), Grains (Amaranth (Bulk/Nonretail)), Grains (Amaranth, Flakes, Flour  (Bulk/Nonretail)), Grains (Canola (Bulk/Non-retail)), Grains (Sorghum (also called Milo)), Grains (Sorghum (also called Milo)), Grains (White Milo), Green Lentils (Green Lentils), Lentils (Black Beluga, Brown, Eston, French Green, Green,  Green Flour, Red, Red Split, Red Broken (Bulk/Non-retail)), Lentils (Red, Green Brown, Eston, French Green, Green, Green Flour, Laird, Red, Reds Split, Red Football, Yellow, Yellow Split (Bulk/Non-retail)), Lucuma Powder ((Bulk/Non-Retail)), Maca Powder (Black, HP, Red, Yellow (Bulk/Non-retail)), Maca Powder (Gelatinized - Black, Red, Yellow (Bulk/Non-retail)), Macadamias ((Bulk/Nonretail)), Millet (Hulled (Bulk/Nonretail)), Millet (Hulled (Bulk/Nonretail)), Molasses ( (Bulk/Non-retail)), Mushroom Powder (Chaga, Cordyceps Militaris, Lions Main, Maitake, Red Reishi, Shiitake, Turkey Tail  (Bulk/Nonretail)), Nettles (Nettle - Leaf, Root, Whole, Cuts - Powder &amp; Extract Powder), Oats (Oat Bran), Oats (Raw, Rolled, Flour), Oats (Thick (Bulk/Nonretail)), Oils (Flaxseed (Bulk/Nonretail)), Oils (Flaxseed (Bulk/Nonretail)), Oils (Rapeseed (Bulk/nonretail)), Oils (Rapeseed (Bulk/nonretail)), Oils (Safflower (Bulk/Nonretail)), Paprika (Smoked (Bulk/Nonretail)), Pasta (Bulk/Non-retail), Peas (Australian Winter Peas), Peas (Pea Protein (non-retail)), Peas (Peas - Green Split, Green Whole, Pidgeon, Yellow Split, Yellow Whole (Bulk/Non-retail)), Peas (Winter Peas), Pecans ((Bulk/Nonretail)), Pecans ((Bulk/Non-retail)), Powder (Mung Bean Flour (Bulk/Nonretail)), Powder (Tapioca Starch (Bulk/Nonretail)), Pumpkin Seed ((Bulk/Non-Retail)), Quinoa (Black, Mixed, Red, White, Royal, Tri-colored (Bulk/Non-retail)), Quinoa (Black, Mixed, Red, White, Royal, Tri-colored (Bulk/Non-retail)), Quinoa (Flour, Flake, Pipoca (puffed)), Quinoa (Mixed White and Red (Bulk/Non-retail)), Quinoa (Red, Black, White, Gold, Tricolored, Royal, Mixed, Flakes (Bulk/Non-retail)), Quinoa (White Quinoa Flour), Quinoa Flour (Red, Black, White (Bulk/Non-retail)), Rice (Brown Long Grain (Bulk, Nonretail)), Rice (Brown Medium Grain (Bulk, Nonretail)), Rice (Brown Short Grain (Bulk, Nonretail)), Rice (Jasmine (Bulk, Nonretail)), Rice (Red (Bulk/Nonretail)), Rice (White Long Grain (Bulk, Nonretail)), Rice (White Medium Grain (Bulk, Nonretail)), Rice (White Short Grain (Bulk, Nonretail)), Rice Flour ( (Bulk/Non-retail)), Rye ((Bulk/Nonretail)), Rye ((Bulk/Non-retail)), Rye (Rye Berries (Bulk/Non-retail)), Safflower ((Bulk/Nonretail)), Sesame Seed (Black (Bulk/Nonretail)), Sesame Seed (Black, Brown, Hulled, Natural (Bulk/Non-retail)), Sesame Seed (Sesame Seed, Black, Hulled, White (Bulk/Non-retail)), Soybean Oil ((Bulk/Nonretail)), Soybeans ((Bulk/Non-retail)), Soybeans (Black, Clear Hilum (Bulk/Non-retail)), Soybeans (Black, Clear Hilum (Bulk/Non-retail)), Spelt ((Bulk/Non-Retail)), Spices (Black Pepper (Bulk/Nonretail)), Spirulina (Powder (Bulk/Nonretail)), Split Peas (Green (Bulk/Non-retail)), Sugar (Brown (Bulk/Non-retail)), Sugar (Cane (Bulk/Non-retail)), Sugar (Coconut Sugar (Bulk/Non-retail)), Sugar (Powdered Raw Cane (Bulk/Non-retail)), Sunflower Oil ((Bulk/Nonretail)), Sunflower Oil (Refined, High Oleic, Black (Bulk/Nonretail)), Sunflower Seed (Hulled Kernel, Meats (Bulk/Nonretail)), Sunflower Seed (Seed, Meal, Meats, Tamari Flavored Seeds), Tahini ((Bulk/Nonretail)), Tapioca (Cassava (Tapioca) Flour (Bulk/Non-retail)), Vanilla Bean (Ground Vanilla Beans (Bulk/Nonretail)), Vanilla Bean (Whole (Bulk/Nonretail)), Walnuts ((Bulk/Nonretail)), Wheat ((Bulk/Nonretail)), Wheat ((Bulk/Non-retail)), Wheat (Hard Red Winter), Wheat (Hard Spring), Wheat (Khorasan Wheat Berries )</t>
  </si>
  <si>
    <t>Other: Frozen blueberries, Smoked Jalapeno "Chipotle", Wild Blueberry Syrup</t>
  </si>
  <si>
    <t>Processed  Items: Camu-camu powder / Polvo de camu camu, Dehydrated Goldenberries / Aguaymanto deshidratado, Dehydrated yacon flakes / Hojuelas de yacon, Dried mango / Mango deshidratado, Gelatinized Maca powder / Polvo de maca gelatinizada, Lucuma powder / Polvo de Lucuma, Maca powder / Polvo de maca, Mesquite powder / Polvo de algarrobo, Sacha inchi powder / Polvo de algarrobo, Yacon powder / Polvo de yacon, Cereal (Purple corn powder / Maíz morado en polvo, Quinoa flakes / Hojuelas de quinua, Quinoa pop / Quinua pop, Quinoa powder / Quinua en polvo), Dehydrated Foods (Banana powder / Polvo de platana, Dried banana sclices / Platano deshidratado en rodajas, Dried pineapple / Pina deshidratada); Other Grains, Pastas and Cereals: Cereal (Purple corn fresh / Maíz morado), Quinoa (Black quinoa / Quinua negra, Red quinoa / Quinua roja, White quinoa / Quinua blanca); Oils &amp; Oleoresins: Oils (Sacha inchi oil / Aceite de sacha inchi); Health Products: Herbs (Dehydrated ginger / Kion (Jengibre) deshidratado, Ginger powder / Polvo de kion (Jengibre), Turmeric powder / Polvo de curcuma); Fruits/Vegetables: Berries (Goldenberry fresh / Aguaymanto fresco); Dry/Baking Goods: Flours and Meals (Sweet potato powder / Polvo de camote); Condiments and Sweeteners: Sweeteners (Yacon syrup / Jarabe de yacon); Chocolate Goods: Cocoa butter / Manteca de cacao, Cocoa grain / Grano de cacao, Cocoa nibs / Nibs de cacao, Cocoa nibs sweetened with yacon / Cacao nibs endulzado con yacón, Cocoa powder / Polvo de cacao; Beverage Related Products: Coffee (Green coffee / Café verde)</t>
  </si>
  <si>
    <t>Other: Oils (Canola Oil, non-retail), Powder (Yeast Extract Powder Type S, non-retail), Rice Flour (Long Grain White Rice Flour, non-retail), Spice Blends (Chile Lime Seasoning (Prepackaged , previously certified )), Spices (Basil, non-retail), Spices (Black Pepper, non-retail), Spices (Cilantro, non-retail), Spices (Cinnamon (Cinnamon cassia), non-retail), Spices (Garlic, non-retail), Spices (Ginger, non-retail), Spices (Onion, non-retail), Spices (Oregano, non-retail), Spices (Paprika, non-retail), Spices (Parsley, non-retail), Spices (Red Chili Powder, non-retail), Spices (Rosemary, non-retail), Spices (Turmeric, non-retail), Sugar (Cane Sugar, non-retail), Tea (Green, non-retail), Trader (Client Profile Products only)</t>
  </si>
  <si>
    <t>Other Grains, Pastas and Cereals: Barley, Oats, Rye, Wheat Grass; Other: Alfalfa, Grain Bagging, Grain Processing</t>
  </si>
  <si>
    <t>Other: Brokering of Organic Grain &amp; Organic Grain Screenings, Organic Grain Cleaning, Storage of Organic Grains</t>
  </si>
  <si>
    <t>Other: Apples, Asparagus, Beans &amp; Grains, Mixed Vegetables and Produce, Pome &amp; Stone Fruits</t>
  </si>
  <si>
    <t>Other: 200 Ezekiel 4:9 Sprouted Grain 12", 201 Ezekiel 4:9 Sprouted Grain 6", 370 Sprouted Corn, 202 Ezekiel Tortilla w/ Flax Seed, 203 Ezekiel Tortilla Low Sodium, 101 7 Sprouted Grain, 120 Ezekial 4:9 Sprouted Grain Bread, 123 Ezekiel 4:9 Sprouted Grain Sesame Bread, 124 Ezekiel 4:9 Sprouted Grain Flax Bread, 126 Cinnamon Raisin Sprouted Grain Bread,131 Ezekiel 4:9 Cinnamon Raisin Sprouted Grain Bread, 141 Genesis 1:29 Sprouted Grain and Seed</t>
  </si>
  <si>
    <t>Processed  Items: Illipe Butter Oil, Organic Chia Oil, Organic Coconut Oil, Organic Palm Kernel Stearin Oil, Organic Dried Bananas, Organic Rapeseed (Canola) Oil, Organic Cocoa Powder, Organic Sunflower Linoleic Oil, Organic Palm Kernel Olein, Organic Panela, Organic Sunflower High Oleic Oil, DAABON Organic Oil Blend FO12, Organic Compound Chocolate, Organic Dark Compound Chocolate, Organic Palm Olein Oil, Organic RBD Palm Kernel Oil, Organic Soy Oil,, Organic Chia Flour, Organic Raw Sugar (Brazil, Paraguay), Organic Crude Palm Oil, Organic Crude Coconut Oil, Organic Brown Flaxseed, Organic Black Chia Seeds, Organic Long Grain White Rice, Organic Flaxseed Flour, Organic Raw Sugar (Colombia, Argentina, Mexico), Organic Freeze Dried Coffee, Organic Soy Lecithin, Processing, Packing and Storage of Organic Products</t>
  </si>
  <si>
    <t>Other Grains, Pastas and Cereals: Brown Rice, Non Basmati Rice, Wheat; Oils &amp; Oleoresins: Black Mustard Oil, Castor Oil (Edible grade), Coconut Oil, Groundnut/ Peanut Oil (Edible Grade), Sesame Oil / Gingelly Oil, Sunflower seed oil; Other: Chana Dal, Gram Flour/Besan, Moong Dal, Tur/Toor Dal, Turmeric Powder, Urad (phasleolus mungo) Black gram, Urad Dal / Split Black Gram, Wheat Flour</t>
  </si>
  <si>
    <t>Other: Amaranth Seed/Ram Dhana, Basmati Brown Rice, Basmati Brown Rice Pellets, Basmati Rice Pellets, Basmati White Rice, Basmati white Rice Pellets, Basmati White Rice Type 3, Bengal Gram, Bengal Gram (Chana) Flour, Black Gram/Urd (Vigna sp.), Broken Rice, Brown Rice Flour, Brown Traditional Basmati Rice, Chana Dal, Chickpea Pellet, Chickpea/Kabuli Chana (Garbanzos), Coriander Seed whole, Cumin whole, Fast Cooking Brown Rice, Fennel Seed, Fenugreek, Fenugreek Seed (Methi Seed), Flax Seed, Gram Flour/Besan, Green Gram Whole (Moong Sabut), Hasina Sona Masuri Brown Rice, Hasina Sona Masuri White Rice, Jowar Flour, Lentil, lentil Pellet, Maize (Corn), Maize/Corn Flour, Moong Dal Pellet, Mustard, Non Basmati Brown Rice Pallets, Non -Basmati White Rice Pallets, Non-Basmati Rice, Paddy Basmati, Paddy Non-Basmati, Paddy Sona Masuri, Parboiled Basmati Rice, Parboiled Rice, Pea Pulse (Pisum sativum), Pigeon Pea, Poha Flattened Rice, Poha/Chivda, Ragi/Finger Millet Grain, Red Kidney Beans/Rajma (Phaseolus vulgaris), Red Lentil, Red lentil Pellet, Red Rice, Rice Bran, Rice Pellets, Sona Masuri Rice, Sorghum, Split Green Gram/Moong (Vigna sp.), Split Lentil, Split Pigeon Pea/Arhar/Red Gram, Sunflower, Urad dal Pellet, Urad Dal/Split Black Gram, Wheat Porridge/Dalia, White Rice Flour, White Traditional Basmati Rice</t>
  </si>
  <si>
    <t>Other: Acai + Cherry Smoothie, Acai Puree, Lime Acidified, Acai Puree, Pellets, Acerola Puree, Acerola Puree, Pellets, Almond Date Sauce Made with Organic Spices, Pellets, Almond Flour, Almond Satay Brussels Sprouts + Carrot Harvest Bowl, Almond, Diced, Almond, Dry Roasted, Diced, Apple + Cinnamon Breakfast Bowl, Apple + Cinnamon Smoothie, Apple Cider Vinegar, Apple Cinnamon Sauce, Pellets, Apple Date Sauce, Pellets, Apple Vanilla Sauce, Pellets, Apples (Diced, Puree), Aseptic Mango, Puree, Asparagus, Avocado (Pulp, Puree), Avocado Lime Sauce, Pellets, Avocado, Diced, Banana + Almond Smoothie, Banana + Greens Smoothie, Banana, Sliced, Basil Cashew Sauce, Pellets, Basil Genovese, Black Bean + Cheeze Harvest Bowl, Black Beans, Black Garlic, Puree, Blueberries (Puree, Whole), Blueberry + Banana Pops, Blueberry + Cacao Smoothie, Blueberry + Hemp Smoothie, Broccoli + Buckwheat Stir Fry Harvest Bowl, Broccoli + Cheeze Harvest Bowl, Broccoli Rice, Broccoli, Florets, Brussels Sprouts, Brussels Sprouts + Tahini Harvest Bowl, Brussels Sprouts + Tahini Harvest Bowl, Buckwheat, Butternut Squash + Cauliflower Mac n' Cheeze Pasta, Butternut Squash + Chimichurri Harvest Bowl, Butternut Squash + Kale Shakshuka Harvest Bowl, Cacao (Nibs, Paste Drops, Powder), Cacao + Date Smoothie, Cacao Apple Sauce, Pellets, Cacao Blueberry Sauce, Pellets, Cacao Date Sauce, Pellets, Camu Camu Powder, Cardamom, Ground, Carrot + Cinnamon Smoothie, Carrots (Cut, Puree), Cashew Curry Sauce, Pellets, Cashew Peppermint Sauce, Pellets, Cauliflower (Florets, Puree), Cauliflower Basil Sauce Made With Organic Chickpea Puree, Pellets, Cauliflower Cashew Basil Sauce, Pellets, Cauliflower Cashew Basil Sauce, Pellets, Cauliflower Rice, Cauliflower Rice + Pesto Harvest Bowl, Celeriac, Diced, Celery, Diced, Chai Spiced Squash + Pecan Breakfast Bowl, Cheeze Sauce, Pellets, Cheezy Enchilada Sauce Made With Organic Tomato Paste, Cherries (Pitted, Puree, Whole), Cherries, Dark Tart (Pitted, Whole), Cherry + Raspberry Smoothie, Chia Seed, Black, Chickpea + Coconut Curry Harvest Bowl, Chickpea Puree, Chickpeas, Green, Chili Pepper, Crushed, Chlorella Powder, Chocolate Chip Cookie Dough Bites, Cilantro Brown Rice + Black Bean Grains, Cilantro, Diced, Cinnamon, Ground, Clove, Ground, Coconut Cashew Sauce, Pellets, Coconut Cream, Coconut Lime Sauce, Pellets, Coconut Passion Fruit Sauce, Pellets, Coconut Vanilla Sauce, Pellets, Coriander Seed, Ground, Corn, Purple, Creamy Tomato + Red Pepper Vodka Style Pasta, Creamy Tomato Sauce Made With Organic Tomatoes, Basil and Sweet Potato Pellets, Cumin Olive Oil Sauce, Pellets, Cumin, Ground, Curried Brown Rice + Green Chickpea Grains, Dark Chocolate Protein Smoothie, Date Sweetened Dark Chocolate Chips, Dates (Paste, Powder, Syrup), Dates, Oat Flour Dusted, Dragon Fruit + Lychee Smoothie, Dragon Fruit, Diced, Edamame, Shelled, Fig Puree, Fig Puree Sauce, Pellets, Flax Seeds, Brown, Fudgy Hazelnut Brownie Bites, Gado Gado Sauce Made with Organic Haznelnut Butter, Pellets, Garbanzo Beans (Chickpeas), Garlic (Diced, Powder, Puree), Ginger (Diced, Dry, Puree), Ginger + Greens Smoothie, Goji Berries, Great Northern Beans, Green Beans (Romano), Green Curry Sauce Made With Organic Coconut Cream, Pellets, Harissa Chickpea + Squash Tagine Harvest Bowl, Harissa Spice, Hazelnut, Roasted, Diced, Hemp Seeds, Herbed Squash + Asparagus Risotto Harvest Bowl, Jalapenos, Kabocha Sage Sauce Made With Organic Olive Oil, Pellets, Kale, Kitchari Cilantro Sauce, Pellets, Kitchari Spice, Kohlrabi, Leek, Diced, Lemon Apple Cider Vinegar Sauce, Pellets, Lemon Juice, Lemon, Peel, Lemongrass Puree, Lentil + Tomato Bolognese Harvest Bowl, Lentil Pasta, Yellow, Lentils (Green, Brown, Red), Lime Juice, Lychee Flax Sauce, Pellets, Lychee, Puree, Maca Powder, Macadamia Nuts Kernels, Mango (Chunk, Puree), Mango + Greens Smoothie, Mango + Papaya Smoothie, Mango + Passion Fruit Pops, Maple Syrup, Mesquite Sweet, Ground, Mild Curry Powder, Millet, Cooked, Mint + Cacao Smoothie, Miso Sesame Sauce, Pellets, Mixed Berry Protein Smoothie, Moringa Powder, Mulberries, Dried, Mulberry + Dragon Fruit Breakfast Bowl, Murasaki Sweet Potato, Puree, Mushroom Powder (Chaga, Maitake, Porcini, Reishi), Mushroom Powder (Lion's Mane), Mushrooms (Cremini, Portobello, Shiitake), Nigella Seed, Steamed, Nut Butters (Cashew, Hazelnut, Sunflower Seed), Nutmeg, Ground, Nutty Banana Bread Bites, Oat Flour, Oats (Rolled, Steel Cut), Oats, Rolled, Gluten Free, Olive Oil, Extra Virgin, Onion (Diced, Powder, Puree), Onion, Green, Diced, Onion, Red, Diced, Onion, Yellow, Orange, Zest, Oregano (Diced, Dry), Papaya, Diced, Paprika, Smoked, Parsley, Diced, Parsnip (Diced, Puree), Parsnip Potato Thyme Sauce Made With Organic Yellow Onion, Pellets, Passion Fruit, Seedless, Pea Protein, Pea Protein Powder, Peaches, Freestone, Diced, Peas, Green, Pecan, Shelled, Pepper (Black, Cayenne, White), Peppermint Cacao Truffle Bites, Peppermint Oil, Pineapple (Chunks, Puree), Psyllium Husk Powder, Pumpkin Seed, Pumpkin Spice Latte, Raisins, Sultana, Seedless, Raspberries (Crumble, Puree, Whole), Red Cabbage, Diced, Red Lentil + Cumin Harvest Bowl, Red Pepper (Diced, Puree, Strips), Rice (Brown, Wild), Sacha Inchi, Plant Based Protein, Powder, Sage, Dried, Savory, Ground, Sesame Fried Rice + Edamame Grains, Sesame Oil, Toasted, Sesame Seeds, White, Spearmint, Diced, Spinach (Diced, Puree), Spinach + Mushroom Grits Harvest Bowl, Spinach + Shiitake Grits Harvest Bowl, Spinach Cilantro Sauce, Pellets, Spinach Pesto Sauce Made With Organic Basil, Pellets, Squash, Butternut (Diced, Whole), Squash, Kabocha, Puree, Strawberries, (Diced, Puree, Whole), Strawberry + Cashew Smoothie, Strawberry + Dragon Fruit Pops, Strawberry + Goji Berry Breakfast Bowl, Strawberry + Peach Smoothie, Strawberry Cashew Sauce, Pellets, Strawberry Maple Sauce, Pellets, Sunflower, Kernels/Seeds, Sweet Potato (Diced, Puree, Tile Cut), Sweet Potato + Wild Rice Hash Harvest Bowl, Tagine Sauce Made With Organic Harissa Spice, Pellets, Tahini, Tahini Apple Cider Vinegar Sauce, Pellets, Tamari Sauce, Tamari Sesame Sauce Made with Organic Cauliflower Puree Pellets, Thyme, Ground, Tofu (Firm), Tomatillo, Tomato (Diced, Paste, Puree, Sun Dried), Tomato Basil + Portobello Bolognese Pasta, Tomato Basil Sauce, Pellets, Tomato Cheeze Sauce, Pellets, Turmeric Pasta, Sedani, Turmeric, Ground, Vanilla Bean Protein Smoothie, Vanilla Powder, Ground, Walnut Kernels, White Bean + Spinach Pesto Pasta, White Cheeze Sauce Made with Organic Olive Oil, Pellets, White Miso Paste, Za'atar Spice Blend, Zucchini + Gigante Bean Primavera Pasta, Zucchini RTE, Diced</t>
  </si>
  <si>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</si>
  <si>
    <t>Fruits/Vegetables: Fruits, Vegetables, Herbs; Dairy: Butter, Cheese, Ice Cream, Milk, Soymilk, Yogurt; Other: Bread, Chocolate, Crackers, Frozen Fruit, Grains, Humus, Bread, Pita, Wheat, Sprouts, Tofu, Wheat Grass</t>
  </si>
  <si>
    <t>Other: Animal Feed (Canola Meal), Animal Feed (Corn ), Animal Feed (Millrun), Animal Feed (Poultry Blend), Animal Feed (Rolled Grain Blend (Dairy)), Animal Feed (Soybean Meal)</t>
  </si>
  <si>
    <t>Trees/Whole Plant Products/Flowers: Roses; Other Grains, Pastas and Cereals: Ambe Mohar Rice,Barley Whole,Basmati Rice,Basmati Rice - Brown,Basmati Rice - White,Black Non-Basmati Rice,Brown Rice,Durum wheat,foxtail millet,Idli Rice,Indrayani rice,Jowar,Kodo/Kodon Millet,Little Millet,Maize (Corn),Pearl millet / Bajra,Pooni Rice,Ragi / Finger Millet Grain,Red Rice,Rice Sonamasuri,Rice Sonamasuri brown,Rice Sonamasuri Handpound,Sawan / Barnyard Millet,Wheat, Sorghum; Oils &amp; Oleoresins: Almond oil,Castor Oil (Edible grade),Coconut Oil,Extra Virgin Coconut Oil,Groundnut Oil,Groundnut/ Peanut Oil (Edible Grade),Sesame Oil / Gingelly Oil,sunflower oil: edible grade,Virgin Coconut Oil; Nuts/Seeds: amaranth seed/ ram dhana,Basil seeds,Black Mustard Seed,Cashew kernels (W240),Cashew kernels (W320),Cashew split,Cashew Whole,Fennel seeds,fenugreek seed (methi seed),Mustard seeds,Poppy seeds,Pumpkin seed,Seed mix,Sunflower Seed: Of seed quality, Walnuts; Fruits/Vegetables: Alphonso mango,Amla,Chillies whole,Drumstick,Green peas,Onion ,Red Chilli Whole,tamarind/imli (t.indica,Tomatoes - Fresh; Condiments and Sweeteners: Cardamom,cardamom large (black),Cardamom Powder,Green Cardamom, Jaggery,Jaggery cube ,Jaggery Powder,White cane sugar, Sugar, Sugar (Brown/Natural); Beverage Related Products: Green Tea; Other: Ajwain,Aloe vera Juice,Amla Candy,Amla Candy Chatpata,Amla Candy sweet,Amla Powder,Arhar Dal (Red gram / Pigeon Pea),Arhar dal (tur dal),Ashwagandha powder,Ashwagandha Root,Bajra flour/atta,Bajra Porridge (Dalia),Barley flour,Barley Porridge/ Dalia,Basil/Tulsi,Bay Leaf,Bay Leaf Powder,Beaten Rice,Beet Root Powder,Bengal gram (Chana) Flour,Bengal Gram Whole ,Black cumin,Black Cumin Powder,Black gram flour,Black Gram Spilt White,Black Gram White whole,black gram/urd (Vigna sp.),Black Pepper,Black Pepper Powder,Brahmi Powder,Brahmi/Bacopa monnier,Brown gram/Gram/Chana (Cicer arietinum),Brown rice flour,Buckwheat flour,Chana Dal,Chana Masala,Chat Masala,Chia,Chicken Curry Masala,chickpea/kabuli chana(garbanzos),Chilli Powder,Cinnamon,Cinnamon bark,Cinnamon powder,Clove,Clove Powder,Coconut (Dried),Coconut Desiccated,Coriander Powder,Coriander Seed / Whole,Cumin Powder,Cumin Whole,Desiccated coconut powder,Dried Curry Leaves,Dried Mango Slices,Fennel Powder,Fenugreek powder (Methi powder),Finger Millet flour,Garam Masala,Garlic,Garlic Flakes,Garlic Powder,Ginger Flakes,Ginger Powder,Gluten Free Daliya,Gram Flour/Besan,Green gram Flour,Green gram whole (Moong sabut),Groundnut/ Peanut (roasted),Groundnut/Peanut,Gulkand,Jowar Flour,Kabuli Chana,Kabuli Chana White Chickpea kalonji/nigella,Kasuri Methi,Lemon grass,Lemon grass root powder,Mace,Mace powder,Maida,Maize (Corn) Flake,Maize/Corn Flour,Malvani Masala,mango powder/ aamchur,Masoor Dal,Masoor Dall - split without shell,Matki / moth bean,Mix Dal,Moong Dal,Moong Dal Split,Moringa Leaves Dried,Moringa Powder,Moth Dal,Multi Grain Atta,Mumbai Pau Bhaji Masala,Mutton Curry Masala,neem leaf powder,Nutmeg Powder,Nutmeg whole,Oat Flour,Oats ( Flakes),Onion Flakes,Onion Powder,Pea-Dried,Peshawari Biryani masala,Pigeon Pea/ Arhar Whole ,Poha Flattened Rice,Ragi Flour,raisins/kismis,Rajma Masala,Rasam powder,Red Chilli Flakes ,Red Chilli Powder,Red Flattened Rice,red kidney beans/rajma (phaseolus vulgaris),Red Rice Flour,Rice flour,Rice Puffed,Roasted almonds,Roasted gram/Chana dal flour,Rosemary,Sabji Masala,Saffron,Sambar Mix/ Sambar Powder,Sattu,Sorghum Flour,Star Anise,Suji/Semolina/ Cream of Wheat ,Tamarind Powder ,Tandoori masala ,Tikka Masala ,Triphala Powder,Tulsi Powder,Turmeric Powder,Turmeric Whole Dried,Urad Dal / Split Black Gram ,Urad Dal flour,Wheat Flour,Wheat Grass Powder,Wheat Maida,White Pepper,White Pepper Powder, Almonds</t>
  </si>
  <si>
    <t>Other Grains, Pastas and Cereals: Pasta, Pasta, Pasta, Pasta, Pasta, Pasta, Pasta, Pasta, Pasta, Pasta, Pasta, Pasta, Pasta; Other: Grain Milling, Grain Processing</t>
  </si>
  <si>
    <t>Other: 4 Grain/Seed Blend (59999), Ancient Grains Blend (59031), Dakota Oat Blend (59043), Flax &amp; Chia Blend (59032), Great Seed Blend NS (59048), Hearty Grain Blend (59057), MBC Cracker Mix (59023), Milton's Multigrain Blend (59022), Super Blend NS (59028), Super Topping NS 200 (59049), Whole Spelt Flakes (50140)</t>
  </si>
  <si>
    <t>Other Grains, Pastas and Cereals: Admiral Perry Navy Beans, Black Turtle Beans, Merlot Small Red Beans, Oats (Hull-less Oats/Oat Groats), Oats (Stone Cut Oats), Open Pollinated Corn, Pearled Spelt / Farro Grande, Red Clover, Rolled Spelt, Rye, Wheat (Einkorn), Wheat (Spelt), Wheat (Spring Emmer), Wheat (Soft White Winter Wheat), Wheat (Winter Emmer), Wheat (Pearled Appalachian Wheat / Frumenty), Wheat (Pearled Einkorn / Farro Picolo), Wheat (Pearled Emmer / Farro Medio), Wheat (Hard Red Wheat Berries), Wheat (Hard Red Winter Wheat), Wheat (Hard Spring Wheat), Wheat (Hard White Winter Wheat); Dry/Baking Goods: Flours and Meals (Einkorn Berries), Flours and Meals (Einkorn Flakes/Rolled Einkorn), Flours and Meals (Emmer Berries), Flours and Meals (Emmer Flakes/Rolled Emmer), Flours and Meals (Polenta Integrale), Flours and Meals (Rolled Oats), Flours and Meals (Sifted Einkorn Flour), Flours and Meals (Sifted Glenn Bread Flour), Flours and Meals (Sifted Maxine Bread Flour), Flours and Meals (Spelt Berries), Flours and Meals (Whole Glenn Bread Flour), Flours and Meals (Whole Maxine Bread Flour), Flours and Meals (Cracked Emmer), Flours and Meals (Cracked Hard Spring Wheat), Flours and Meals (Cracked Hard Wheat), Flours and Meals (Cracked Rye), Flours and Meals (Cracked Soft Wheat), Flours and Meals (Stone Ground Buckwheat Flour), Flours and Meals (Stone Ground Cornmeal), Flours and Meals (Stone Ground Light Rye Flour), Flours and Meals (Stone Ground Polenta), Flours and Meals (Stone Ground Sifted Appalachian Bread Flour), Flours and Meals (Stone Ground Sifted Bread Flour), Flours and Meals (Stone Ground Sifted Pastry Flour), Flours and Meals (Stone Ground Sifted Spelt Flour), Flours and Meals (Stone Ground Unbleached Wheat Cake and Pastry Flour), Flours and Meals (Stone Ground Whole Appalachian Bread Flour), Flours and Meals (Stone Ground Whole Pastry Flour), Flours and Meals (Stone Ground Whole Rye Flour), Flours and Meals (Stone Ground Whole Spelt Flour), Flours and Meals (Stone Ground Whole Wheat Bread Flour), Flours and Meals (Whole Einkorn Flour)</t>
  </si>
  <si>
    <t>Processed  Items: Dehydrated Foods (Roasted buckwheat kernel), Dehydrated Foods (Roasted corn), Dehydrated Foods (Roasted soybean); Preservatives/Extracts/Flavors: Concentrates (Concentrated soybean protein), Evening primrose seed, Extracts (Texturedsoybean protein), Extracts (Wheat starch), Extracts (Pea fiber), Extracts (Pea protein), Extracts (Pea starch), Extracts (Potato starch), Extracts (Rice bran), Extracts (Rice protein), Extracts (Soybean protein drawing), Extracts (Soybean protein isolate), Flax seed, Powders (Soybean protein powder), Rapeseed; Other Grains, Pastas and Cereals: Barley (Barley), Black Sesame, Buckwheat, Buckwheat Kernel, Corn chop, Corn cobs, Corn(Also called maize), Cracked corn, Millet, Oats, Oats (Oat Kernel), Quinoa, Quinoa (Quinoa kernel), Rice, Rice (Glutinous Paddy), Rice (Glutinous rice), Rice (Brown Rice), Rice (Black Paddy), Rice (Black Rice), Rice (Paddy), Sesame,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Borage Seed, Pine Nuts (Pinenut kernel), Sunflower seed, Sunflowerseeds kernel, Walnuts, Walnuts (Walnut kernels), Watermelon seed; Fruits/Vegetables: Beans (Black Kidney Bean(Also called -Black turtle bean)), Beans (Black Soybean With Green Kernels), Beans (Black Soybean With Yellow Kernels(Also called - Black soybean)), Beans (Adzuki Bean(Also called- small red bean)), Beans (Double Green Bean(Also called -Green Soybean,Edamame Bean)), Beans (Green Mung Bean(Also called Mung Bean)), Beans (Mung Bean Hulled), Beans (Red Kidney Bean(Also called Dark Red Kidney Bean)), Beans (Soybean), Beans (Soybean Hulled), Beans (Soybean Hulls), Beans (Pinto Bean(Also called Light Speckled Kidney Bean)), Beans (White Kidney Bean), Berries (Goji berries), Vegetables (Alfalfa), Vegetables (Chickpea(Also called - Garbanzo)), Vegetables (Cowpea), Vegetables (Sweet potato), Vegetables (Pea), Vegetables (Perilla seeds), Vegetables (Lentil), Vegetables (Potato);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</si>
  <si>
    <t>Trees/Whole Plant Products/Flowers: Flowers (Linden flowers), Seeds (Watermelon Seed), Seeds (Watermelon Seed Kernels); Processed  Items: Dehydrated Foods (Roasted Buckwheat Kernel), Dehydrated Foods (Roasted Chestnuts), Dehydrated Foods (Roasted Peeled Chestnuts), Dehydrated Foods (Roasted ChestnutsShelled), Potato starch; Preservatives/Extracts/Flavors: Buckwheat Tea, Concentrates (Goji Berry Concentrate), Extracts (Goji Berry Polysaccaride), Extracts (Isomaltooligosaccharide powder), Extracts (Chaga Mushroom(crude drug/Cut/Powder/Extract)), Extracts (Pea Fiber), Extracts (Pea Protein), Extracts (Pea Starch), Extracts (Flaxseed Protein Powder), Extracts (Fructooligosaccharide Powder), Extracts (Garlic Extract), Extracts (Milk Thistle extract), Extracts (Ginkgo leaf Powder/Extract Powder), Extracts (Ginkgo leaf(Crude drug/Cut/Powder/Extract)), Extracts (Pumpkin kernel Protein Powder), Extracts (Rhubarb Root powder/slice/granule), Extracts (Rice Protein), Extracts (Sea buckthorn (powder, extract)), Extracts (Soybean Lecithin (Fluid)), Extracts (Soybean lecithin crude), Extracts (Soybean Lecithin (Powder)), Extracts (Soybean protein powder), Extracts (Soybean protein concentrate), Extracts (Spirulina powder), Extracts (Sunflower Lecithin Fluid), Extracts (Sunflower Lecithin Powder), Powders (AD broccoli diced/ powder), Powders (AD spinach chopped/powder), Powders (AD Sweet Potato Diced /Powder), Powders (Astragalus Powder/Extract Powder), Powders (Goji Berries Powder), Powders (Mulberry extract/Mulberry Powder), Powders (Ginger(sliced/flakes/grains powder)), Powders (Pomegranate Extract/Powder), Powders (Chlorella powder), Powders (Dandelion Leaf/Root/Root Roasted (Powder/Cut/Granule/Extract)), Powders (Eleuthero Root/Siberian Ginseng (Crude drug/Cut/Powder/Extract)), Powders (Hemp Protein Powder), Powders (Honeysuckle (Crude Drug/ Powder/Extract)), Powders (Horsetail powder/extract/Equisetum arvense L), Seasoning Blends (Organic soy sauce, black bean); Other Grains, Pastas and Cereals: Barley, Barley (Barley Kernel (Barley Groats)), Buckwheat, Buckwheat Kernel (Buckwheat groats), Corn, Corn Chop, Corn Starch, Cracked Corn, Glutinous Milled Rice, Hemp seed, Hemp seed kernel, Hulled Hempseed, Hulled Millet, Job’Tear (Coix Seed), Job’Tear Kernel (Coix Seed Kernel), Lentil, Millet, Noodles (Rice Flour), Oats, Oats (Oat Kernel), Pasta (Black Sesame Paste), Pasta (Sorghum Kernel (Sorghum Rice)), Pumpkin seed shine skin kernel(also called: Organic pumpkin kernel), Pumpkin Seeds(Pumpkin Seeds Shine Skin), Rice (Rice Bran), Rice (Rice Starch), Rice (Rice(Paddy Rice)), Rice (Broken Rice), Rice (Brown Rice), Rice (Black Rice), Rice (Glutinous Rice), Sesame(black/white sesame), Sorghum, Sticky hulled millet (glutinous millet), Sticky Millet, Sticky Millet Hulled, Wheat, Wheat (Wheat Straw), Wheat (Wheat Flour); Oils &amp; Oleoresins: Oils (Peanut Oil), Oils (Pumpkin seed Oil), Oils (Rapeseed lecithin Crude), Oils (Rapeseed Oil), Oils (Rice Bran Oil), Oils (Sesame Oil), Oils (Soybean Oil), Oils (Sunflower Oil), Oils (Flaxseed oil), Oils (Goji Berry Seeds Oil), Oils (Hemp Seed Oil); Nuts/Seeds: Chestnuts (Ringent Chestnut), Chestnuts (Smiling Chestnut), Chestnuts (Chestnut, in hull), Chestnuts, Flaxseed (Brown Flaxseed/Golden Flaxseed), Peanuts, Peanuts (Peanut Kernel (Hulled Peanut)), Peanuts (Pinenut Kernels), Seeds (Apricot), Sunflower Kernels, Sunflower Seeds, Sunflower Seeds Kernels, Walnuts, Walnuts (Walnut Kernels); Health Products: Mulberry leaf; Fruits/Vegetables: Alfalfa, Beans (Black Soybeans), Beans (Black soybean with green kernel), Beans (Black Kidney Bean (Black Turtle Bean)), Beans (Broad beans (Also called: Fava Beans)), Beans (Cowpea), Beans (Fava Bean), Beans (Green Blue Bean), Beans (Hulled Split Mung Bean (Mung Bean Without Skin)), Beans (Mung Bean Hulled), Beans (Pinto Bean (Speckled Kidney bean/Light Speckled Kidney bean)), Beans (Puffed Soybean), Beans (Purple Kidney Bean), Beans (Red Kidney Bean(also called:Dark Red Kidney Bean)), Beans (Soybean), Beans (White Kidney Bean), Beans (Adzuki Bean), Berries (Raisins), Berries (Goji Berries(dried)), Berries (Goji Berry Beverages), Burdock root (cut), Chilis red/green bell pepper, Chillies, Chinese Date, Herbs (Mung Bean), Schisandra Fruit(Crude drug/Cut/Powder/Extract), Vegetables (Sweet Potato), Vegetables (Pumpkin Kernel (Also called: Pumpkin kernel Shine Skin)), Vegetables (Pumpkin Seed), Vegetables (Pumpkin Seed Grown Without Shell (pumpkin Kernels GWS)), Vegetables (Potato), Vegetables (Pea), Vegetables (Garlic Powder), Vegetables (Corn Flour), Vegetables (Chickpeas); Dry/Baking Goods: Flours and Meals (Millet flour), Flours and Meals (Oat Flour), Flours and Meals (Brown Rice Flour), Flours and Meals (Buckwheat Flour), Flours and Meals (Flaxseed Meal), Flours and Meals (Hemp Flour), Flours and Meals (Hemp Meal); Condiments and Sweeteners: Crystalline allulose(D-psicose), Erythritol, Shoyu, Syrups (Resistant dextrin powder), Tamari (soy sauce); Beverage Related Products: Juice (Apple Juice), Juice (Goji Berry Juice); Animal Feed: Livestock Feed (Peanut Cake Meal), Livestock Feed (Puffed corn), Livestock Feed (Rapeseed meal (Also called: Rapeseed expeller; Rapeseed cake)), Livestock Feed (Rice Bran meal), Livestock Feed (Sesame Cake/meal/expeller), Livestock Feed (Sesame meal), Livestock Feed (Soybean Meal (Soybean Cake)), Livestock Feed (Sunflower protein Powder), Livestock Feed (Sunflower meal (Also called: Sunflower expeller; Sunflower cake)), Livestock Feed (Sunflower Seed Meal), Livestock Feed (Buckwheat Groats), Livestock Feed (Corn Gluten Meal), Livestock Feed (Flax seed cake), Livestock Feed (Hemp Cake/meal/expeller); Alcohol: Liqueurs (Corn Steep Liquor)</t>
  </si>
  <si>
    <t>Preservatives/Extracts/Flavors: Herbs (Alfalfa), Herbs (Perilla seeds), Herbs (Rapeseed); Other Grains, Pastas and Cereals: Barley, Barley (Pearl barley (Coix)), Black sesame, Buckwheat, Buckwheat kernel/ASIAN TASTE Buckwheat kernel, Corn / Maize, Corn cob, Cracked corn, Flax seed, Glutinous millet, Hulled millet, Millet, Oats (Oat kernel), Oats, Quinoa (Quinoa/ASIAN TASTE Quinoa), Rice, Rice (Glutinous paddy), Rice (Glutinous rice), Rice (Brown rice), Rice (Black paddy), Rice (Black rice), Rice (Paddy), Sesame, Sorghum (Sorghum/ASIAN TASTE Sorghum), Sorghum (Sorghum kernel), Squashed corn, Wheat, White sesame; Nuts/Seeds: Pine Nuts, Pine Nuts (Pinenut kernels),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(Soybean/ASIAN TASTE Soybean), Beans (Soybean dehulled), Beans (Green soybeans with green kernels), Beans (White kidney bean), Berries (Goji berries), Vegetables (Lentil), Vegetables (Sweet potato), Vegetables (Pea), Vegetables (Potato), Vegetables (Pumpkin seed), Vegetables (Pumpkin seed kernel), Vegetables (Chickpeas), Vegetables (Cowpea); Animal Feed: Copra cake, Flax cake, Flax meal, Rapeseed cake (Canola seed cake), Rapeseed meal (Canola seed meal), Rice bran, Rice bran cake, Rice bran meal, Sesame cake, Sesame meal, Soybean cake, Soybean meal, Sunflower cake, Sunflower meal, Wheat bran; Other: Hemp seed, Hempseed hulled</t>
  </si>
  <si>
    <t>Other Grains, Pastas and Cereals: Barley, Buckwheat, Millet, Oats, Quinoa, Sesame, Wheat; Nuts/Seeds: Flaxseed, Flaxseed (gold), Peanuts, Seeds (perillaseed), Seeds (Evening Primrose Seed), Seeds (Pumpkin seed), Seeds (Pumpkin seed kernel), Seeds (Pumpkin seed GWS), Sunflower seed, Sunflower seed kernel; Fruits/Vegetables: Beans (Black beans with green kernel), Beans (Mungbean), Beans (Pinto bean), Beans (Red kidney bean), Beans (White kidney bean), Vegetables (Sweet potato), Vegetables (Potato), Vegetables (Pea), Vegetables (Chickpea), Vegetables (Lentil)</t>
  </si>
  <si>
    <t>Processed  Items: Wheat protein (Also called: Vital gluten wheat); Preservatives/Extracts/Flavors: Herbs (Rapeseed); Other Grains, Pastas and Cereals: Corn, Wheat (Buckwheat Kernels (Also called:Hulled Buckwheat)); Oils &amp; Oleoresins: Oils (soybean crude oil (soya bean crude oil)); Nuts/Seeds: Seeds (Sunflower seeds), Sesame; Fruits/Vegetables: Beans (Soybean); Dry/Baking Goods: Flours and Meals (Buckwheat flour); Animal Feed: Livestock Feed (Soybean meal (Soya expeller meal/Soya expeller)), Livestock Feed (Soybean cake(Soya expeller cake)), Livestock Feed (Sunflower seed meal(Sunflower meal/Sunflower expeller meal)), Livestock Feed (Sunflower seed cake(Sunflower cake/Sunflower expeller cake)), Livestock Feed (Rape seed meal(Canola meal/Rapeseed expeller meal)), Livestock Feed (Rape seed cake(Canola cake/Rapeseed expeller cake)), Livestock Feed (Flax seed meal), Livestock Feed (Flax seed cake), Livestock Feed (Sesame meal), Livestock Feed (Sesame cake), Livestock Feed (White sesame cake), Livestock Feed (Black sesame cake), Livestock Feed (Rice bran meal), Livestock Feed (Pea protein), Livestock Feed (Soybean Crude Lecithin (Crude Soybean Lecithin)), Livestock Feed (Sunflower seed Crude Lecithin (Crude Sunflower Lecithin))</t>
  </si>
  <si>
    <t>Preservatives/Extracts/Flavors: Extracts (Rapeseed), Extracts (Wheat protein (Also called: Vital gluten wheat)); Other Grains, Pastas and Cereals: Buckwheat Kernels (Also called:Hulled Buckwheat), Corn, Sesame; Oils &amp; Oleoresins: Oils (Soybean crude oil (soya bean crude oil)); Nuts/Seeds: Seeds (Sunflower seeds); Fruits/Vegetables: Beans (Soybean); Dry/Baking Goods: Flours and Meals (Buckwheat flour); Animal Feed: Black sesame cake, Flax seed cake, Flax seed meal, Livestock Feed (Soybean meal(Soya expeller meal/Soya expeller)), Pea protein, Rape seed cake (Canola cake/Rapeseed expeller cake), Rape seed meal (Canola meal/Rapeseed expeller meal), Rice bran meal, Sesame cake, Sesame meal, Soybean Crude Lecithin (Crude Soybean Lecithin), Soybean cake (Soya expeller cake), Sunflower seed cake (Sunflower cake/Sunflower expeller cake), Sunflower seed meal (Sunflower meal/Sunflower expeller meal), Sunflower seed Crude Lecithin (Crude Sunflower Lecithin), White sesame cake</t>
  </si>
  <si>
    <t>Trees/Whole Plant Products/Flowers: Flowers (Lavender (lavandula angustifolia)); Processed  Items: Dehydrated Foods (Roasted pumpkin seeds), Dehydrated Foods (Roasted pumpkin kernels), Dehydrated Foods (Roasted soybeans), Dehydrated Foods (Roasted sunflower kernels); Preservatives/Extracts/Flavors: Concentrates (Tomato concentrate), Extracts (Wheat gluten), Extracts (Wheat starch), Extracts (Rice starch), Extracts (Pea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Herbs (Flax seeds), Herbs (Golden flax seeds), Herbs (Rape seeds (canola seeds)), Herbs (Rosted sesame); Other Grains, Pastas and Cereals: Barley, Buckwheat, Buckwheat groats, Buckwheat hulled (dehulled buckwheat), Buckwheat hulled grits, Buckwheat unhulled (buckwheat whole), Coix, Corn skin, Cracked corn, Maize (corn), Millet, Millet hulled (dehulled millet), Millet husk, Millet unhulled, Oats, Oats (Oat kernel), Powders (Rice powder (flour)), Quinoa, Rice (Rice), Rice (Rice grits), Rice (Glutinous rice), Rice (Glutinous rice grits), Rice (Hulled black rice), Rice (Hulled glutinous rice), Rice (Hulled rice), Rice (Black rice), Rice (Broken glutinous rice), Rice (Broken rice), Rice (Brown rice), Roasted buckwheat hulled, Roasted maize (corn), Rolled/crushed corn (also called corn flake or flaked corn), Sorghum, Sorghum (Hulled sorghum), Wheat; Oils &amp; Oleoresins: Oils (Sesame oil), Oils (Soybean oil), Oils (Sunflower oil), Oils (Refined flax oil), Oils (Refined Hemp oil), Oils (Refined Maize (Corn) oil), Oils (Refined perilla oil), Oils (Refined Pumpkin oil); Nuts/Seeds: Alfalfa seeds, Cracked sunflower kernels, Evening primrose seeds, Hulled sesame, Perilla seeds, Pine Nuts (Pine nut kernels), Pine Nuts, Sesame, Sunflower kernels, Sunflower seed, Sunflower shell; Fruits/Vegetables: Beans (Black kidney beans), Beans (Black soybean with green kernel), Beans (Black soybeans), Beans (Adzuki beans), Beans (Green soybean), Beans (Hulled adzuki beans), Beans (Hulled black soybean with green kernel), Beans (Hulled lentils), Beans (Hulled mungbeans (moong dal)), Beans (Hulled soybeans), Beans (Lentils), Beans (Mungbeans), Beans (Mungbean husk), Beans (Cracked soybean), Beans (Dry edamame), Beans (Edamame), Beans (Pinto beans (light speckled kidney beans)), Beans (Roasted edamame), Beans (Soybeans), Beans (Soybean hulls), Beans (White kidney beans), Beans (Hulled kidney beans), Beans (Dark red kidney beans), Berries (Goji), Berries (Goji berries dried), Chilli flakes, Powders (Goji berries powder), Vegetables (Potato), Vegetables (Pumpkin), Vegetables (Pumpkin kernels), Vegetables (Pumpkin seeds), Vegetables (Sweet potato), Vegetables (Tomato), Vegetables (Chickpea), Vegetables (Cowpea), Vegetables (Beet), Vegetables (Carrot), Vegetables (Chilli), Vegetables (Pea); Dry/Baking Goods: Flours and Meals (Brown rice flour), Flours and Meals (Glutinous rice flour), Flours and Meals (Rice bran (meal)), Flours and Meals (Oat flour), Powders (Pinto beans powder (flour)), Powders (Pumpkin powder (flour)), Powders (Sorghum powder (flour)), Powders (Soybean powder (flour)), Powders (Wheat powder (flour)), Powders (Maize (corn) powder (flour)), Powders (Dark red kidney beans powder (flour)), Powders (Millet powder (flour)), Powders (Mungbean powder (flour)), Powders (Adzuki bean powder (flour)), Powders (Black soybean with green kernel powder (flour)), Powders (Black kidney beans powder (flour)), Powders (Buckwheat powder (flour)), Powders (Chickpea powder (flour)), Powders (Chilli powder), Powders (Cowpea powder (flour)), Powders (Flax (seed) powder (flour)); Bread/Bakery/Snacks: Cereal Bars (Corn cob); Animal Feed: Livestock Feed (Soybean husk), Livestock Feed (Soybean meal (also called defatted soybean meal)), Livestock Feed (Soybean oil cake (soy oil cake)), Livestock Feed (Soymeal pellet), Livestock Feed (Sunflower meal), Livestock Feed (Wheat bran), Livestock Feed (Wheat pellet), Livestock Feed (Premix 3BW), Livestock Feed (Rawganic feed 01), Livestock Feed (Rawganic feed 02), Livestock Feed (Corn mix pellet 2), Livestock Feed (Soybean meal feed stuff), Livestock Feed (Basic stockfeed pellet), Livestock Feed (Sunflower seed cake (sunflower oil cake)), Livestock Feed (Mungbean husk (hulls)), Livestock Feed (Feed stuff (soybean meal)), Livestock Feed (Rape seeds oil (crude)), Livestock Feed (Rice husk powder), Livestock Feed (Premix BW), Livestock Feed (Maize (corn) oil (crude)), Livestock Feed (Pumpkin oil (crude)), Livestock Feed (Rape seed oil (also called: canola oil) crude), Livestock Feed (Flax seed cake), Livestock Feed (Flax seed meal), Livestock Feed (Hemp seed cake), Livestock Feed (Rape seed cake/meal), Livestock Feed (Hemp seed meal), Livestock Feed (Flax oil crude), Livestock Feed (Flax seed oil crude), Livestock Feed (Beet pulp pellets), Livestock Feed (Sunflower oil crude), Livestock Feed (Sunflower seed cake/meal), Livestock Feed (DDGS (distillers dried grains with solubles)), Livestock Feed (Refined rape seed oil (canola oil)), Livestock Feed (Animal feedstuff), Livestock Feed (Beet pulp pellet), Livestock Feed (Beet pulp), Livestock Feed (Buckwheat shell), Livestock Feed (Corn gluten (meal)), Livestock Feed (Corn mix powder), Livestock Feed (Corn chop), Livestock Feed (Grain free mix), Livestock Feed (Hemp oil (crude)), Livestock Feed (Millet bran),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(Grain free premix 1DH), Livestock Feed (Premix 2BW), Livestock Feed (Grain free premix 1BW), Livestock Feed (Puffed corn), Livestock Feed (Puffed (extruded/expanded) soybean), Livestock Feed (Puffed (extruded/expanded) soybean meal), Livestock Feed (Pumpkin (seed) cake(meal)), Livestock Feed (Pumpkin (seed) meal pellet), Livestock Feed (Rape (seed) cake(meal)), Livestock Feed (Sesame cake(meal)); Alcohol: Alcohol; Other: Hemp seeds, Hulled hemp seeds</t>
  </si>
  <si>
    <t>Trees/Whole Plant Products/Flowers: Flowers (Lavender (lavandula angustifolia)); Seasonings: Chilli flakes; Processed  Items: Dehydrated Foods (Roasted edamame), Dehydrated Foods (Roasted buckwheat hulled), Dehydrated Foods (Roasted maize (corn)), Dehydrated Foods (Roasted pumpkin seeds), Dehydrated Foods (Roasted pumpkin kernels), Dehydrated Foods (Roasted soybeans), Dehydrated Foods (Rosted sesame), Dehydrated Foods (Roasted sunflower kernels); Preservatives/Extracts/Flavors: Concentrates (Tomato concentrate), Extracts (Wheat gluten), Extracts (Wheat starch), Extracts (Rice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Extracts (Pea starch); Other Grains, Pastas and Cereals: Barley, Buckwheat, Buckwheat groats, Buckwheat hulled (dehulled buckwheat), Buckwheat hulled grits, Buckwheat unhulled (buckwheat whole), Coix, Cracked corn, Flax seeds, Golden flax seeds, Hulled sesame, Millet, Millet hulled (dehulled millet), Millet husk, Millet unhulled, Oats, Oats (Oat kernel), Quinoa, Rape seeds (canola seeds), Rice (Rice), Rice (Rice grits), Rice (Black rice), Rice (Broken glutinous rice), Rice (Broken rice), Rice (Brown rice), Rice (Glutinous rice), Rice (Glutinous rice grits), Rice (Hulled black rice), Rice (Hulled glutinous rice), Rice (Hulled rice), Sesame, Sorghum, Sorghum (Hulled sorghum), Wheat; Oils &amp; Oleoresins: Oils (Rape seed oil (also called: canola oil) crude), Oils (Refined flax oil), Oils (Refined hemp oil), Oils (Refined maize (corn) oil), Oils (Refined perilla oil), Oils (Refined pumpkin oil); Nuts/Seeds: Alfalfa seeds, Cracked sunflower kernels, Peanuts (Blanched peanuts (kernels)), Perilla seeds, Pine Nuts (Pine nut kernels), Pine Nuts, Sunflower kernels, Sunflower seed, Sunflower shell; Health Products: Herbs (Evening primrose seeds); Fruits/Vegetables: Beans (Soybean husk), Beans (Soybeans), Beans (Soybean hulls), Beans (White kidney beans), Beans (Hulled kidney beans), Beans (Dark red kidney beans), Beans (Adzuki beans), Beans (Black kidney beans), Beans (Black soybean with green kernel), Beans (Black soybeans), Beans (Green soybean), Beans (Hulled adzuki beans), Beans (Hulled black soybean with green kernel), Beans (Hulled lentils), Beans (Hulled mungbeans (moong dal)), Beans (Hulled soybeans), Beans (Lentils), Beans (Cracked soybean), Beans (Dry edamame), Beans (Edamame), Beans (Mungbeans), Beans (Mungbean husk), Beans (Pinto beans (light speckled kidney beans)), Berries (Goji berries dried), Berries (Goji), Corn skin, Vegetables (Pumpkin kernels), Vegetables (Pumpkin seeds), Vegetables (Sweet potato), Vegetables (Tomato), Vegetables (Carrot), Vegetables (Chilli), Vegetables (Chick pea), Vegetables (Beet), Vegetables (Rolled/crushed corn (also called corn flake or flaked corn)), Vegetables (Potato), Vegetables (Pumpkin), Vegetables (Pea), Vegetables (Maize (corn)); Dry/Baking Goods: Flours and Meals (Millet powder (flour)), Flours and Meals (Mungbean Powder (flour)), Flours and Meals (Oat flour), Flours and Meals (Pinto Beans powder (flour)), Flours and Meals (Pumpkin powder (flour)), Flours and Meals (Rice bran (meal)), Flours and Meals (Rice Powder (flour)), Flours and Meals (Sorghum Powder (flour)), Flours and Meals (Soybean powder (flour)), Flours and Meals (Wheat powder (flour)), Flours and Meals (Maize (corn) powder (flour)), Flours and Meals (Dark red kidney beans powder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(Flax (seed) powder (flour)), Flours and Meals (Glutinous rice flour), Powders (Goji berries powder), Powders (Chilli powder); Bread/Bakery/Snacks: Cereal Bars (Corn cob); Animal Feed: Livestock Feed (Animal feedstuff), Livestock Feed (Basic stockfeed pellet), Livestock Feed (Beet pulp), Livestock Feed (Beet pulp pellet), Livestock Feed (Buckwheat shell), Livestock Feed (Corn chop), Livestock Feed (Corn gluten (meal)), Livestock Feed (Corn mix pellet 2), Livestock Feed (Corn mix powder), Livestock Feed (Corn skin), Livestock Feed (DDGS (distillers dried grains with solubles)), Livestock Feed (Feed stuff (soybean meal)), Livestock Feed (Flax oil crude), Livestock Feed (Flax seed cake), Livestock Feed (Flax seed meal), Livestock Feed (Flax seed oil crude), Livestock Feed (Grain free mix), Livestock Feed (Grain free premix 1BW), Livestock Feed (Grain free premix 1DH), Livestock Feed (Hemp oil (crude)), Livestock Feed (Hemp seed cake), Livestock Feed (Hemp seed meal), Livestock Feed (Maize (corn) oil (crude)), Livestock Feed (Millet bran), Livestock Feed (Mungbean husk (hulls)),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(Rape seed cake/meal), Livestock Feed (Rape seeds oil (crude)), Livestock Feed (Rawganic feed 01), Livestock Feed (Rawganic feed 02),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(Sunflower oil crude), Livestock Feed (Sunflower seed cake (sunflower oil cake)), Livestock Feed (Sunflower seed cake/meal), Livestock Feed (Wheat bran), Livestock Feed (Wheat pellet); Alcohol: Alcohol; Other: Hemp seeds, Hulled hemp seeds</t>
  </si>
  <si>
    <t>Trees/Whole Plant Products/Flowers: Seeds (Watermelon kernel), Seeds (Watermelon seeds); Preservatives/Extracts/Flavors: Herbs (Rape seed); Other Grains, Pastas and Cereals: Barley, Barley (Pearl barley (also called: coix)), Buckwheat, Corn, Flax seed, Hulled buckwheat (buckwheat kernel), Hulled millet, Maize, Millet, Oats, Oats (Oat kernel), Rice, Sorghum, Wheat, Wheat (Wheat kernel); Nuts/Seeds: Sesame, Sunflower kernel, Sunflower seed; Fruits/Vegetables: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Beans (Broad bean (also called fava bean)), Beans (Green soybean (also called: green soybean with green kernel; green soybean with green inside)), Beans (Hulled mung bean), Beans (Lentil (also called: green lentil)), Beans (Light speckled kidney bean (also called: pinto bean)), Beans (Mung bean), Vegetables (Pea), Vegetables (Pumpkin kernel gws (pumpkin kernel grown without shell)), Vegetables (Pumpkin kernel ss (pumpkin kernel shine skin)), Vegetables (Pumpkin seed grown without shell (pumkin seed gws)), Vegetables (Pumpkin seed shine skin (pumpkin seed ss)), Vegetables (Pumpkin seed snow white), Vegetables (Chickpea); Other: Hemp seed, Hulled hemp seed</t>
  </si>
  <si>
    <t>Other Grains, Pastas and Cereals: Barley, Black soybean, Black soybean with green kernel, Chick pea, Coix, Corn chop, Corn cob, Corn skin, Cracked corn, Cracked soybean, Ddgs (distillers dried grains with solubles), Green soybean, Hulled black soybean with green kernel, Hulled sesame, Hulled soybeans, Maize(corn), Millet hulled (dehulled millet), Millet husk, Millet unhulled, Oats, Oats (Oat kernel), Pea, Pea protein, Pumpkin kernels, Quinoa, Rice, Rice (Rice grits), Rice (Black rice), Rice (Broken glutinous rice), Rice (Broken rice), Rice (Non-glutinous rice), Rice (Hulled black rice), Rice (Hulled glutinous rice), Rice (Hulled rice), Rice (Glutinous rice), Rice (Glutinous rice grits), Roasted maize(corn), Roasted soybeans, Rosted sesame, Sesame, Sorghum, Sorghum (Hulled sorghum), Soybeans, Wheat (Wheat gluten), Wheat (Wheat starch), Wheat, Wheat (Buckwheat groats), Wheat (Buckwheat hulled (dehulled buckwheat)), Wheat (Buckwheat hulled grits), Wheat (Buckwheat shell), Wheat (Buckwheat unhulled (buckwheat whole)); Oils &amp; Oleoresins: Oils (Refined flax oil), Oils (Refined hemp oil), Oils (Refined perilla oil (perilla oil)), Oils (Refined soybean oil), Oils (Refined sunflower oil), Oils (refined maize (corn) oil), Oils (Refined pumpkin oil), Oils (Refined rape seed oil (canola oil)), Oils (Refined sesame oil), Oils (Soybean crude lecithin); Nuts/Seeds: Alfalfa seeds, Cracked sunflower kernels, Evening primrose seeds, Flax seeds, Golden flax seeds, Hemp seeds, Hulled hemp seeds, Perilla seeds, Pine Nuts (Pine nut kernels), Pumpkin seeds, Rape seeds (canola seeds), Roasted pumpkin kernels, Roasted pumpkin seeds, Roasted sunflower kernels, Sunflower kernels, Sunflower seeds, Sunflower shell; Fruits/Vegetables: Beans (Adzuki beans), Beans (Black kidney beans), Beans (Hulled adzuki beans), Beans (Hulled mungbeans (moong dal)), Beans (Mungbeans), Beans (Pinto beans (light speckled kidney beans)), Beans (Dark red kidney beans), Beans (White kidney beans), Beet, Berries (Dried goji berry), Carrot, Chilli, Potato, Pumpkins, Sweet potato; Dry/Baking Goods: Corn starch, Flours and Meals (Flax (seed) powder(flour)), Flours and Meals (Glutinous rice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(Corn gluten (meal)), Flours and Meals (Millet powder (flour)), Flours and Meals (Mungbean powder (flour)), Flours and Meals (Oat flour), Flours and Meals (Pinto beans powder(flour)), Flours and Meals (Pumpkin powder(flour)), Flours and Meals (Dark red kidney beans powder (flour)), Flours and Meals (Rice powder (flour)), Flours and Meals (Sorghum powder (flour)), Flours and Meals (Soybean powder (flour)), Flours and Meals (Wheat powder (flour)), Flours and Meals (Maize(corn) powder (flour)), Millet bran, Powders (Goji berries, powder); Animal Feed: Livestock Feed (Animal feedstuff), Livestock Feed (Beet pulp pellet), Livestock Feed (Beet pulp), Livestock Feed (Corn mix powder), Livestock Feed (Puffed (extruded/expanded) soybean), Livestock Feed (Puffed (extruded/expanded) soybean meal), Livestock Feed (Flax (seed) cake), Livestock Feed (Flax (seed) meal), Livestock Feed (Flax oil (Crude)), Livestock Feed (Grain free mix/Grain free premix), Livestock Feed (Hemp seed cake), Livestock Feed (Hemp (seed) meal), Livestock Feed (Hemp oil (Crude)), Livestock Feed (Maize(Corn) oil (Crude)), Livestock Feed (Mungbean husk),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(Puffed corn), Livestock Feed (Pumpkin (seed) cake (meal)), Livestock Feed (Pumpkin (seed) meal pellet), Livestock Feed (Pumpkin oil (Crude)), Livestock Feed (Rape seed oil (Canola oil) (Crude）), Livestock Feed (Rape (seed) cake (meal)), Livestock Feed (Rice bran (meal)), Livestock Feed (Rolled/crushed corn (also called corn flake or flaked corn)), Livestock Feed (Sesame cake(meal)), Livestock Feed (Sesame oil (Crude)), Livestock Feed (Soybean husk), Livestock Feed (Soybean meal (also called defatted soybean meal or Soya bean expeller)), Livestock Feed (Soybean oil cake (Soy oil cake or soybean cake)), Livestock Feed (Soybean oil (Crude)), Livestock Feed (Soybean hulls), Livestock Feed (Soymeal pellet), Livestock Feed (Soybean meal feed stuff), Livestock Feed (Sunflower (seed) meal (cake)), Livestock Feed (Sunflower oil (Crude)), Livestock Feed (Wheat bran), Livestock Feed (Wheat pellet), Livestock Feed (Feed stuff (Also called: soybean meal)), Livestock Feed (Hulled soybean meal), Livestock Feed (Sunflower seed cake pellet)</t>
  </si>
  <si>
    <t>Processed  Items: Dehydrated Foods (Roasted buckwheat hulled); Preservatives/Extracts/Flavors: Extracts (Wheat gluten); Other Grains, Pastas and Cereals: Barley, Buckwheat, Buckwheat kernels (hulled buckwheat), Flax seed, Non-sticky millet (hulled millet, millet), Oats, Oats (Oat kernel), Sorghum, Sticky hulled millet (glutinous millet), Sticky millet, Wheat; Oils &amp; Oleoresins: Oils (Hemp oil(crude)); Nuts/Seeds: Pine Nuts (Pinenut kernel), Sunflower kernel, Sunflower seed, Watermelon seed; Fruits/Vegetables: Beans (Lentils), Beans (Light speckled kidney bean), Beans (Mung bean), Beans (Adzuki bean (also called: small red bean）), Beans (Black kidney bean), Beans (Black soybean black bean with yellow kernel), Beans (Black soybean (black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 pumpkin seeds shine skin)); Dry/Baking Goods: Flours and Meals (Buckwheat powder (flour)), Flours and Meals (Millet powder (flour)), Flours and Meals (Oat flour), Flours and Meals (Rice powder (flour)), Flours and Meals (Wheat powder (flour)); Other: Hemp seed</t>
  </si>
  <si>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</si>
  <si>
    <t>Preservatives/Extracts/Flavors: Extracts (Concentrated soybean protein), Extracts (Pea fiber), Extracts (Pea protein), Extracts (Pea starch), Extracts (Potato starch), Extracts (Rice bran), Extracts (Rice protein), Extracts (Soybean protein drawing), Extracts (Soybean protein isolate), Extracts (Textured soybean protein), Extracts (Wheat bran), Extracts (Wheat starch), Flours and Meals (Peeled Soybean Meal), Powders (Soybean protein powder); Other Grains, Pastas and Cereals: Barley, Buckwheat, Buckwheat groats (also called: broken hulled buckwheat), Buckwheat husk, Buckwheat kernel, Chickpea, Corn, Corn chop, Cracked corn, Millet, Non-sticky millet (also called: hulled millet; millet), Oats (Oat kernel), Rice (Paddy), Rice, Rice (Glutinous paddy), Rice (Glutinous rice), Rice (Black paddy), Rice (Black rice), Rice (Broken rice), Rice (Brown rice), Roasted buckwheat kernel, Roasted corn, Sorghum, Soybean hulls, Sticky hulled millet (also called: hulled sticky millet; glutinous millet; hulled broomcorn millet), Sticky millet (also called: broomcorn millet), Wheat; Oils &amp; Oleoresins: Oils (Flax oil), Oils (Rapeseed oil), Oils (Rice bran oil), Oils (Sesame oil), Oils (Soybean oil), Oils (Sunflower oil); Nuts/Seeds: Borage seeds, Evening primrose seed, Flax seed, Hemp seed, Hemp seed kernel (also called: hemp seed hulled), Perilla seeds, Pine Nuts (Pinenut kernel), Rapeseed, Sesame, Sunflower seeds kernel, Sunflowers seeds, Walnuts, Walnuts (Walnut kernels), Watermelon seed; Fruits/Vegetables: Alfalfa, Beans (Black kidney bean (also called: small black bean; black bean)), Beans (Black soybean), Beans (Black soybean with green kernel), Beans (Green soybean (green bean with green kernel）), Beans (Lentil), Beans (Mung bean), Beans (Mung bean hulled (also called: mung bean without skin)), Beans (Pinto bean (also called: light speckled kidney bean)), Beans (Adzuki bean), Beans (Red kidney bean (also called: dark red kidney bean)), Beans (Roasted soybean), Beans (Soybean hulled), Beans (White kidney bean), Berries (Goji berries), Vegetables (Soybean),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(Pea), Vegetables (Corn cobs), Vegetables (Cowpea), Vegetables (Sweet potato); Dry/Baking Goods: Flours and Meals (Brown rice flour), Flours and Meals (Buckwheat flour), Flours and Meals (Corn flour), Flours and Meals (Glutinous rice flour (tangyuan powder)), Flours and Meals (Oat flour), Flours and Meals (Rice flour), Flours and Meals (Soybean meal (also called: soybean expeller; soybean cake)), Flours and Meals (Wheat flour); Animal Feed: Livestock Feed (Mixed feed 2-1), Livestock Feed (Mixed feed 2-2), Livestock Feed (Mixed feed 2-15), Livestock Feed (Mixed feed 2-16), Livestock Feed (Mixed feed 2-3), Livestock Feed (Mixed feed 2-4), Livestock Feed (Mixed feed 2-5), Livestock Feed (Mixed feed 2-6), Livestock Feed (Mixed feed 2-7), Livestock Feed (Mixed feed 2-11), Livestock Feed (Blended feed pellets), Livestock Feed (Concentrated soybean protein), Livestock Feed (Corn germ cake), Livestock Feed (Corn gluten meal), Livestock Feed (Flax meal (also called: flax expeller; flax cake)), Livestock Feed (Mixed feed 1), Livestock Feed (Mixed feed 2), Livestock Feed (Puffed soybean), Livestock Feed (Rapeseed meal (also called: rapeseed expeller; rapeseed cake)), Livestock Feed (Rice bran meal), Livestock Feed (Sesame meal), Livestock Feed (Soybean crude lecithin (also called: crude soybean lecithin)), Livestock Feed (Soybean meal (also called: soybean expeller; soybean cake)), Livestock Feed (Soybean powder), Livestock Feed (Soybean protein powder), Livestock Feed (Squashed corn), Livestock Feed (Sunflower meal (also called: sunflower expeller; sunflower cake)), Livestock Feed (Wheat gluten meal)</t>
  </si>
  <si>
    <t>Other: Beetroot Dried, Corn Meal, Feed Materials, Flax Seed Oil, Flaxseed Cake, Flaxseed Oil, Flaxseed Products, Grain Maize, Hemp Oil, Hemp Seed Cake, Hemp Seed Flour, Mung(bean), Peas, Pumpkin Seed, Pumpkin Seed Oil, Rapeseed Cake, Rapeseed Oil, Rapeseed Oil, Sesame Oil, Sesame Oil, Sesame Seeds, Soy Bean, Soy Bean Cake, Soy Powder, SoyOil, SoyOil, Sunflower Oil, Sunflower Oil, Sunflower Seed Cake, Wheat Bran</t>
  </si>
  <si>
    <t>Processed  Items: Brown Udon Rice Noodles/Brown Pad Thai Rice Noodles/Brown Rice Noodles/ Ramen/Pasta/Miso Ramen; Buckwheat &amp; Brown Soba Rice Noodles/Buckwheat &amp; Brown Rice Noodles/Ramen/Pasta; Buckwheat Soba Noodles/Buckwheat Noodles/Ramen/Pasta/Miso Ramen; Forbidden Pad Thai Rice Noodles/Black Rice Noodles/Ramen/Pasta (Forbidden Rice Noodles/Ramen/Pasta); Millet &amp; Brown Rice Noodles/Ramen/Pasta; Mushroom &amp; Buckwheat (Buckwheat &amp; Shiitake) Noodles/Ramen/Pasta; Pumpkin, Ginger &amp; Brown Rice Noodles/Ramen/Pasta; Purple Sweet Potato &amp; Brown Rice (Purple Potato &amp; Brown Rice) Noodles/Ramen/Pasta; Sweet Potato &amp; Brown Rice  Noodles/Ramen/Pasta; Sweet Potato &amp; Buckwheat Noodles/Ramen/Pasta; Traditional Pho Rice Noodles/Traditional Pad Thai Rice Noodles/Thai Rice (White Rice Noodles/Ramen/Pasta), Noodles (Brown Rice &amp; Wakame Noodles/Ramen/Pasta, Jade Pearl Rice (Bamboo Rice) Noodles/Ramen/Pasta, Jade Pearl White Rice (Steamed Bamboo White Rice)); Other Grains, Pastas and Cereals: Rice (Forbidden Rice/Steamed Black Rice, Steamed Brown Rice, Steamed White Rice)</t>
  </si>
  <si>
    <t>Processed  Items: Dehydrated Foods (Dry edamame), Hemp seeds; Preservatives/Extracts/Flavors: Concentrates (Tomato concentrate), Extracts (Brown rice protein), Extracts (Flax seeds protein), Extracts (Hemp seeds protein), Extracts (Millet protein), Extracts (Mungbean protein), Extracts (Pea protein), Extracts (Pumpkin seeds protein), Extracts (Rice protein), Extracts (Soybean protein), Powders (Chilli powder), Spices (Chilli), Spices (Chilli flakes); Other Grains, Pastas and Cereals: Barley, Buckwheat, Buckwheat groats, Buckwheat unhulled (Buckwheat whole), Millet, Millet hulled (Dehulled millet), Millet unhulled, Oats, Oats (Oat kernel), Quinoa, Rice (Rice), Rice (Rice grits), Rice (Glutinous rice), Rice (Glutinous rice grits), Rice (Hulled black rice), Rice (Hulled glutinous rice), Rice (Hulled rice), Rice (Black rice), Rice (Broken glutinous rice), Rice (Broken rice), Rice (Brown rice), Rice (Roasted black rice), Roasted buckwheat hulled, Sorghum (Hulled Sorghum), Sorghum, Wheat; Oils &amp; Oleoresins: Oils (Flax oil), Oils (Hemp oil (Crude)), Oils (Maize (Corn) oil), Oils (Peanut oil), Oils (Pumpkin oil), Oils (Sesame oil), Oils (Soybean oil), Oils (Sunflower oil); Nuts/Seeds: Alfalfa seeds, Flax seeds, Hulled hemp seeds, Hulled sesame, Peanuts (Peanut kernels), Peanuts, Peanuts (Blanched peanuts (kernels)), Peanuts (Roasted cracked peanut kernels (Roasted broken peanut kernels)), Peanuts (Roasted peanut kernels), Pine Nuts (Pine nut kernels), Pine Nuts, Rape seeds (Also called: Canola seeds), Roasted pumpkin kernels, Seeds (Perilla seeds), Sesame, Sunflower kernels, Sunflower seeds; Health Products: Herbs (Evening primrose seeds), Herbs (Perilla); Fruits/Vegetables: Beans (Black kidney beans), Beans (Black soybean with green kernel), Beans (Black soybeans), Beans (Dark red kidney beans), Beans (Edamame), Beans (Green soybean), Beans (Hulled adzuki beans), Beans (Hulled black soybean with green kernel), Beans (Hulled kidney beans), Beans (Hulled lentils), Beans (Hulled mungbeans (Also called:Moong Dal)), Beans (Hulled soybeans), Beans (Lentils), Beans (Adzuki beans), Beans (Mungbeans), Beans (Pea), Beans (Pinto Beans (Also called: Light speckled kidney beans)), Beans (Soybeans), Beans (White Kidney Beans (navy beans), Berries (Goji berries), Berries (Goji), Berries (Goji berries; dried), Coix, Fresh wasabi leaves, Fresh wasabi roots, Vegetables (Carrot), Vegetables (Chick pea), Vegetables (Maize(Corn)), Vegetables (Roasted maize(corn)), Vegetables (Sweet potato), Vegetables (Tomato), Vegetables (Beet), Vegetables (Potato), Vegetables (Pumpkin kernels), Vegetables (Pumpkin seeds), Vegetables (Pumpkins); Dry/Baking Goods: Flours and Meals (Brown rice flour), Flours and Meals (Buckwheat powder (flour)), Flours and Meals (Chick pea powder(flour)), Flours and Meals (Glutinous rice flour), Flours and Meals (Maize (Corn) powder(flour)), Flours and Meals (Millet powder (flour)), Flours and Meals (Mungbean powder (flour)), Flours and Meals (Oat flour), Flours and Meals (Wheat gluten), Flours and Meals (Pumpkin powder(flour)), Flours and Meals (Rice powder (flour)), Flours and Meals (Soybean powder (flour)), Flours and Meals (Wheat powder (flour)), Powders (Rice starch), Powders (Pea starch), Powders (Potato starch), Powders (Corn starch), Wheat starch; Animal Feed: Livestock Feed (Corn gluten (meal)), Livestock Feed (DDGS (Distillers dried grains with solubles)), Livestock Feed (Buckwheat hulled (Dehulled buckwheat)), Livestock Feed (Buckwheat hulled grits), Livestock Feed (Cracked corn), Livestock Feed (Cracked soybean), Livestock Feed (Cracked sunflower kernels), Livestock Feed (Soybean cake), Livestock Feed (Animal feedstuff), Livestock Feed (Beet pulp), Livestock Feed (Beet pulp pellet), Livestock Feed (Corn germ cake), Livestock Feed (Corn germ meal), Livestock Feed (Corn mix pellet 2), Livestock Feed (Corn mix powder), Livestock Feed (feed stuff (soybean meal)), Livestock Feed (Flax (seed) cake), Livestock Feed (Flax meal), Livestock Feed (Grain free mix/Grain free premix), Livestock Feed (Hemp (seed) cake), Livestock Feed (Hemp meal), Livestock Feed (Millet bran), Livestock Feed (Millet husk), Livestock Feed (Mungbean husk), Livestock Feed (Oat bran), Livestock Feed (Peanut cake (meal)), Livestock Feed (Premix 2BW), Livestock Feed (Premix 3BW),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cake(meal)), Livestock Feed (Rape (seed) cake(meal)), Livestock Feed (Rice bran(meal)), Livestock Feed (Rice husk powder), Livestock Feed (Rolled/crushed corn (also called corn flake)), Livestock Feed (Sesame cake(meal)), Livestock Feed (Soybean hulls), Livestock Feed (Soybean husk), Livestock Feed (Soybean meal (also called Defatted soybean meal)), Livestock Feed (Soybean meal feed stuff), Livestock Feed (Soybean oil cake (Also called: Soy oil cake)), Livestock Feed (Soymeal pellet), Livestock Feed (Sunflower meal), Livestock Feed (Sunflower seed cake), Livestock Feed (Wheat bran); Alcohol: Alcohol</t>
  </si>
  <si>
    <t>Other Grains, Pastas and Cereals: Beans (Adzuki bean protein), Beans (Mungbean protein), Beans (Mungbean starch), Flowers (Sunflower seed protein), Rice (Rice protein), Rice (Brown rice protein), Rice (Rice starch), Seeds (Coix seed protein), Seeds (Flax seeds protein), Seeds (Hemp seeds protein), Sorghum (Sorghum protein), Vegetables (Soybean protein), Vegetables (Pea starch), Vegetables (Corn gluten), Vegetables (Corn starch), Vegetables (Millet protein), Vegetables (Pea protein), Vegetables (Pumpkin seeds protein), Vegetables (Black soybean protein), Wheat (Wheat gluten), Wheat (Wheat starch), Wheat (Wheat flour); Animal Feed: Livestock Feed (Wheat germ), Livestock Feed (Wheat bran)</t>
  </si>
  <si>
    <t>Animal Feed: DDGS (Distillers dried grains with solubles); Alcohol: Alcohol</t>
  </si>
  <si>
    <t>Other: Buckwheat Products, Millet, Dehulled, Millet, Husks</t>
  </si>
  <si>
    <t>Other: Millet, Dehulled, Millet, Husks</t>
  </si>
  <si>
    <t>Other Grains, Pastas and Cereals: Cereal (Maize (corn), Millet (hulled)), Wheat (Buckwheat); Other: Beans (Mung bean, Soybean)</t>
  </si>
  <si>
    <t>Processed  Items: Dehydrated Foods (Roasted buckwheat kernel); Other Grains, Pastas and Cereals: Buckwheat, Buckwheat kernel, Flax seed, Hulled millet, Millet, Sorghum (Sorghum kernel (hulled sorghum)), Wheat; Nuts/Seeds: Sunflower kernel, Sunflower seed; Fruits/Vegetables: Beans (Adzuki bean), Beans (Black kidney beans (black beans; black turtle beans)), Beans (Black soybean with green kernel), Beans (Hulled mung bean), Beans (Lentils), Beans (Light speckled kidney beans (cranberry bean)), Beans (Mung bean), Beans (Red kidney beans (british red/dark red kidney beans)), Beans (Soybean), Beans (White kidney beans (navy bean; medium white kidney beans), Vegetables (Chickpea), Vegetables (Corn); Dry/Baking Goods: Flours and Meals (Buckwheat flour (hulled buckwheat flour)); Other: Hemp seed</t>
  </si>
  <si>
    <t>Other Grains, Pastas and Cereals: Corn, Soybean, Wheat</t>
  </si>
  <si>
    <t>Preservatives/Extracts/Flavors: Extracts (Coix seed); Other Grains, Pastas and Cereals: Buckwheat hulled, Buckwheat hulled puffed, Buckwheat hulled roasted, Buckwheat husks, Buckwheat puffed, Coix seed hulled, Coix seed puffed, Corn, Corn puffed, Lentils, Millet, Millet flakes, Millet puffed, Oats (Oat puffed), Oats (Oat), Pasta (Cicer arietinum (Also called: Chickpea)), Peanuts (Peanut kernel), Peanuts (Peanuts), Peanuts (Diced peanut roasted), Rice (Glutinous rice flour), Rice (Rice black puffed), Rice (Rice black steamed), Rice (Rice brown puffed), Rice (Rice brown steamed), Rice (Rice red puffed), Rice (Rice red steamed), Rice (Rice steamed), Rice (Steamed Ten Grains rice), Rice (Glutinous rice), Rice (Steamed bamboo rice), Sorghum (Sorghum flakes), Sorghum (Sorghum puffed), Sorghum, Sticky millet（Also called: Glutinous millet）, Wheat; Oils &amp; Oleoresins: Oils (Soybean oil (Also called: Soya oil)); Nuts/Seeds: Peanuts (Peanut kernel salted roasted), Peanuts (Peanut roasted), Powders (Sesame seed powder roasted), Powders (Soybean powder (Also called: Soybean flour)), Seeds (Flax seeds), Seeds (Sesame seeds roasted), Seeds (Perilla seed), Seeds (Perilla seed hulled), Seeds (Sesame seeds), Seeds (Sunflower kernel), Seeds (Sunflower seeds); Fruits/Vegetables: Beans (Red kidney bean), Beans (Soybean), Beans (Soybean dehulled), Beans, Beans (Black soybean puffed), Beans (Soybean roasted), Beans (Mung beans), Beans (Light speckled kidney bean), Berries (Goji berries dried), Vegetables (Cowpea (Also called: Black eye bean)), Vegetables (Cucumbers seed), Vegetables (Pea), Vegetables (Pumpkin kernels shine skin), Vegetables (Pumpkin seeds grown without shell (GWS)), Vegetables (Pumpkin seeds shine skin); Dry/Baking Goods: Flours and Meals (Oatmeal), Flours and Meals (Black soybean flour puffed), Flours and Meals (Buckwheat flour), Flours and Meals (Buckwheat flour puffed), Flours and Meals (Coix seed flour puffed), Flours and Meals (Corn flour puffed), Flours and Meals (Corn grit steamed), Flours and Meals (Cornmeals steamed(Corm flour steamed)), Flours and Meals (Millet flour), Flours and Meals (Millet flour puffed), Flours and Meals (Mung bean flour), Flours and Meals (Oat flour), Flours and Meals (Oat flour puffed), Flours and Meals (Pea flour), Flours and Meals (Rice flour black puffed), Flours and Meals (Rice flour black steamed), Flours and Meals (Rice flour brown puffed), Flours and Meals (Rice flour brown steamed), Flours and Meals (Rice flour red puffed), Flours and Meals (Rice flour red steamed), Flours and Meals (Rice flour steamed), Flours and Meals (Sorghum flour), Flours and Meals (Sorghum flour puffed); Animal Feed: Livestock Feed (Extruded soybean meal), Livestock Feed (Flax meal (Also called: Flax cake)), Livestock Feed (Rape seed cake (Also called: Rape seed meal)), Livestock Feed (Soybean crude lecithin (Also called: Soya crude lecithin)), Livestock Feed (Soybean crude oil), Livestock Feed (Soybean meal (Also called: Soya meal; Soymeal; Soybean cake; Soya cake; Soybean expeller; Soya expeller)), Livestock Feed (Sunflower seed meal); Other: Hemp seed, Hemp seed hulled, Quinoa, Rapseed</t>
  </si>
  <si>
    <t>Processed  Items: Dehydrated Foods (Buckwheat hulled roasted); Preservatives/Extracts/Flavors: Extracts (Soybean crude lecithin (Also called: Soya crude lecithin)), Extracts (Soybean powder (Also called: Soybean flour)), Herbs (Rapseed), Powders (Sesame seed powder roasted), Seeds (Sesame seeds roasted), Seeds (Perilla seed), Seeds (Perilla seed hulled); Other Grains, Pastas and Cereals: Barley, Coix seed, Coix seed hulled, Corn, Corn puffed, Flours and Meals (Millet flour), Flours and Meals (Millet flour puffed), Millet, Millet flakes, Millet puffed, Oats, Oats (Oat puffed), Pasta (Cicer arietinum (Also called: Chickpea)), Quinoa, Rice (Rice black puffed), Rice, Rice (Rice brown puffed), Rice (Rice brown steamed), Rice (Rice flour black puffed), Rice (Rice flour black steamed), Rice (Rice flour brown puffed), Rice (Rice flour brown steamed), Rice (Rice flour red puffed), Rice (Rice flour red steamed), Rice (Rice flour steamed), Rice (Rice red puffed), Rice (Rice red steamed), Rice (Rice steamed), Rice (Steamed Ten Grains rice), Rice (Glutinous rice), Seeds (Flax seeds), Sorghum, Sorghum (Sorghum flakes), Sorghum (Sorghum puffed), Sticky millet（Also called: Glutinous millet）, Wheat, Wheat (Buckwheat), Wheat (Buckwheat hulled puffed), Wheat (Buckwheat husks), Wheat (Buckwheat puffed); Oils &amp; Oleoresins: Oils (Soybean crude oil), Oils (Soybean oil (Also called: Soya oil)); Nuts/Seeds: Cucumbers seed, Peanuts (Diced peanut,roasted), Peanuts (Peanut kernel), Peanuts (Peanut kernel salted roasted), Peanuts (Peanut roasted), Peanuts, Seeds (Sesame seeds), Sunflower kernel, Sunflower seeds; Fruits/Vegetables: Beans (8 Grain-bean dessert), Beans (Adzuki bean), Beans (Bean mix dessert), Beans (Black kidney bean), Beans (Black soybean), Beans (Black soybean puffed), Beans (Black soybean with green kernel), Beans (Lentils), Beans (Light speckled kidney bean), Beans (Mung beans), Beans (Red kidney bean), Beans (Soybean), Beans (Soybean dehulled), Beans (Soybean roasted), Beans (White kidney bean), Berries (Goji berries dried), Corn grit steamed, Vegetables (Cowpea (Also called: Black eye bean)), Vegetables (Pea), Vegetables (Pea flour), Vegetables (Pumpkin kernels shine skin), Vegetables (Pumpkin seeds grown without shell (GWS)), Vegetables (Pumpkin seeds shine skin); Dry/Baking Goods: Flours and Meals (Black soybean flour puffed), Flours and Meals (Buckwheat flour), Flours and Meals (Buckwheat flour puffed), Flours and Meals (Coix seed flour puffed), Flours and Meals (Corn flour puffed), Flours and Meals (Glutinous rice flour), Flours and Meals (Mung bean flour), Flours and Meals (Oat flour), Flours and Meals (Oat flour puffed), Flours and Meals (Oatmeal), Flours and Meals (Sorghum flour), Flours and Meals (Sorghum flour puffed); Animal Feed: Livestock Feed (Buckwheat hulled), Livestock Feed (Cornmeals steamed (Corn flour steamed)), Livestock Feed (Extruded soybean meal), Livestock Feed (Flax meal (Also called: Flax cake)), Livestock Feed (Rape seed cake (Also called: Rape seed meal)), Livestock Feed (Soybean meal (Also called: Soya meal; Soymeal; Soybean cake; Soya cake; Soybean expeller; Soya expeller)), Livestock Feed (Steamed bamboo rice), Livestock Feed (Sunflower seed meal); Other: Hemp seed, Hemp seed hulled</t>
  </si>
  <si>
    <t>Other Grains, Pastas and Cereals: Buckwheat (groats, hulled kernels, husk, powdered husk, roasted kernels, roasted flake, roasted flour, shell, whole grain), Corn, Millet (with husk, kernel), Sticky Millet (kernel, whole grain), Broomcorn Millet (hulled, whole grain), Sorghum (Sorghum (kernel, whole grain), Sticky Sorghum (kernel, whole grain)), Wheat (Wheat (flour, whole grain)); Nuts/Seeds: Barnyard Grass Seeds (kernel, whole seed), Sunflower Seeds (kernel, whole seed), Beans (Mung Beans (whole, split, flour), Soybeans (whole, flour), Adzuki Beans, Black Kidney Beans, Speckled Kidney Beans, White Kidney Beans), Spices (Perilla Seed)</t>
  </si>
  <si>
    <t>Processed  Items: Dehydrated Foods (Roasted buckwheat kernel); Other Grains, Pastas and Cereals: Broomcorn, Buckwheat, Hulled broomcorn millet, Hulled buckwheat kernel (groat), Millet, Millet kernel, Sorghum (Sticky hulled sorghum), Sorghum (Sticky sorghum), Sticky millet, Sticky millet kernel, Tartarian buckwheat; Nuts/Seeds: Perilla seed; Fruits/Vegetables: Beans (Adzuki bean), Beans (Hulled mungbean split (groats)), Beans (Lentils), Beans (Mungbean), Beans (Red kidney bean), Beans (Soybean), Vegetables (Pea)</t>
  </si>
  <si>
    <t>Trees/Whole Plant Products/Flowers: Flowers (Lavender (Lavandula angustifolia)); Other Grains, Pastas and Cereals: Barley, Black soybean, Black soybean protein, Black soybean with green kernel, Chick pea, Chilli flakes, Coix, Corn cob, Corn skin, Cowpea, Cracked corn, Cracked soybean, Dry edamame, Edamame, Flax seeds protein, Flours and Meals (Maize (corn) powder (flour)), Green soybean, Hulled black soybean with green kernel, Hulled lentils, Hulled sesame, Hulled soybeans, Lentils, Maize (corn), Millet, Millet hulled (dehulled millet), Millet husk, Millet protein, Millet unhulled, Mungbean husk, Mungbean Husk (hulls), Oats, Pea, Pea protein, Quinoa, Rice, Rice (Rice bran (meal)), Rice (Rice grits), Rice (Rice protein), Rice (Rice starch), Rice (Glutinous rice), Rice (Glutinous rice grits), Rice (Broken glutinous rice), Rice (Broken rice), Rice (Brown rice), Rice (Hulled rice), Rice (Hulled glutinous rice), Rice (Hulled black rice), Rice (Black rice), Roasted edamame, Roasted maize (corn), Roasted pumpkin kernels, Roasted soybeans, Rolled/crushed corn(also called corn flake or flaked corn), Rosted sesame, Sesame, Sorghum, Sorghum (Sorghum protein), Sorghum (Hulled sorghum), Soybean protein, Soybeans, Wheat, Wheat (Wheat gluten), Wheat (Wheat starch), Wheat (Buckwheat), Wheat (Buckwheat groats), Wheat (Buckwheat hulled (dehulled buckwheat)), Wheat (Buckwheat hulled grits), Wheat (Buckwheat shell), Wheat (Buckwheat unhulled (buckwheat whole)), Wheat (Roasted buckwheat hulled); Oils &amp; Oleoresins: Oils (Flax oil), Oils (Flax oil), Oils (Maize (corn) oil (crude)), Oils (Rape seed oil (also called: canola oil) crude), Oils (Rape seeds oil (crude)), Oils (Refined flax oil), Oils (Refined hemp oil), Oils (Refined maize (corn) oil), Oils (Refined perilla oil), Oils (Refined pumpkin oil), Oils (Refined rape seed oil (canola oil)); Nuts/Seeds: Coix seeds protein, Cracked sunflower kernels, Evening primrose seeds, Golden flax seeds, Hemp seeds, Herbs (Alfalfa seeds), Hulled hemp seeds, Perilla seeds, Pine Nuts (Pine nut kernels), Pine Nuts, Pumpkin seeds, Pumpkin seeds protein, Rape seeds (canola seeds), Roasted pumpkin seeds, Roasted sunflower kernels, Seeds (Flax seeds), Sunflower kernels, Sunflower seed, Sunflower seed cake (sunflower oil cake), Sunflower seeds protein, Sunflower shell; Fruits/Vegetables: Beans (Adzuki bean protein), Beans (Adzuki bean), Beans (Black kidney beans), Beans (Hulled adzuki beans), Beans (Hulled mungbeans (moong dal)), Beans (Hulled kidney beans), Beans (Mungbean), Beans (Mungbean protein), Beans (Pinto beans (light speckled kidney beans)), Beans (Dark red kidney beans), Beans (White kidney beans), Berries (Goji), Berries (Goji berries dried), Carrot, Chilli, Potato, Powders (Adzuki bean powder (flour)), Powders (Goji berries powder), Powders (Dark Red kidney beans powder (flour)), Pumpkin, Pumpkin kernels, Soybean hulls, Soybean husk, Sweet potato, Tomato, Tomato concentrate, Vegetables (Beet), Vegetables (Beet pulp), Vegetables (Beet pulp pellet); Dry/Baking Goods: Flours and Meals (Flax seed powder (flour)), Flours and Meals (Glutinous rice flour), Flours and Meals (Millet powder (flour)), Flours and Meals (Mungbean powder (flour)), Flours and Meals (Oat flour), Flours and Meals (Oat kernel), Flours and Meals (Pinto beans powder (flour)), Flours and Meals (Pumpkin powder (flour)), Flours and Meals (Rice powder (flour)), Flours and Meals (Sorghum powder (flour)), Flours and Meals (Soybean powder (flour)), Flours and Meals (Wheat powder (flour)), Flours and Meals (Black kidney beans powder (flour)), Flours and Meals (Black soybean with green kernel powder (flour)), Flours and Meals (Brown rice flour), Flours and Meals (Brown rice protein), Flours and Meals (Buckwheat powder (flour)), Flours and Meals (Chick pea powder (flour)), Powders (Chilli powder); Animal Feed: Livestock Feed (Animal feedstuff), Livestock Feed (Basic stockfeed pellet), Livestock Feed (Corn chop), Livestock Feed (Corn gluten (meal)), Livestock Feed (Corn mix pellet 2), Livestock Feed (Corn mix powder), Livestock Feed (DDGS (Distillers dried grains with solubles)), Livestock Feed (Feed stuff (soybean meal)), Livestock Feed (Flax seed cake (meal)), Livestock Feed (Grain free premix 1BW), Livestock Feed (Grain free premix 1DH), Livestock Feed (Hemp seed cake), Livestock Feed (Hemp seed meal), Livestock Feed (Hemp seeds protein), Livestock Feed (Millet bran),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(Rawganic feed 01), Livestock Feed (Rawganic feed 02), Livestock Feed (Rice husk powder),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(Wheat bran), Livestock Feed (Wheat pellet); Alcohol: Alcohol</t>
  </si>
  <si>
    <t>Other: Adzuki bean(small red bean/red small bean), Barley, Black eye bean, Black kidney bean（black turtle bean/black bean), Black soybean Black soybean with green kernel/black soybean with yellow kernel, broad bean(fava bean), Buckwheat, chickpea, Corn/Maize, Flax seed, Green soybean(green soybean with green inside/green soybean with yellow inside), Hemp seed, Hulled buckwheat/buckwheat kernel, Hulled hemp seed, Hulled millet, Hulled mung bean (split green mung bean/split mung bean), Lentil (green lentil), Light speckled kidney bean(pinto bean）, Millet, Mung bean（green mung bean）, Oat, Oat kernel, Paddy, Pea, Peanut, Pearl barley(coix), pumkin seed shine skin(pumpkin seed SS), pumpkin kernel SS (pumpkin kernel shine skin), pumpkin seed, Pumpkin seed GWS(pumpkin seed grwon without shell), pumpkin seed kernel/pumpkin kernel, pupmkin kernel GWS(pumpkin seeds kernel grown without shell/pumpkin kernel grwon without shell), Rape seed, Red kidney bean(Dark red kidney bean), Rice, Sesame, Sorghum, sunflower seed, sunflower seed kernel (sunflower kernel), Wheat, White kidney bean</t>
  </si>
  <si>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(Distillers dried grain with solubles (DDGS)),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</si>
  <si>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</si>
  <si>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powder/flour), Flours and Meals (Oat powder/flour), Flours and Meals (Sorghum powder/flour), Flours and Meals (Wheat powder/flour); Animal Feed: Livestock Feed (Rape seed cake), Livestock Feed (Soybean meal/cake), Livestock Feed (Sunflower meal)</t>
  </si>
  <si>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poweder/flour), Flours and Meals (Oat powder/flour), Flours and Meals (Sorghum powder/flour), Flours and Meals (Wheat powder/flour); Animal Feed: Livestock Feed (Rape seed cake), Livestock Feed (Soybean meal/cake), Livestock Feed (Sunflower meal)</t>
  </si>
  <si>
    <t>Other: Adzuki bean, Barley, Black bean/Black soybean with green kernel/Black soybean with yellow kernel, Black kidney bean(black bean, black turtle bean), black rice, brown rice, brown rice flour, Buckwheat, Buckwheat kernel, Chickpea, corn, Corn grits, Cowpea, Flax seed, Glutinous millet(sticky millet,hulled), Glutinous rice, Grain sorghum, Green soybean(Edamame), Hulled millet, Light speckled kidney bean(cranberry bean), Millet, Mung bean, Mung bean,hulled, Oat, Oat flour, Pea(green pea), Peanut, Peanut kernel, Perilla, Pumpkin kernel, Pumpkin seed, quinoa（red quinoa, white quinoa,black quinoa), Red kidney bean, Rice, Sesame, Soybean, Sunflower kernel, Sunflower seed, Wheat, Wheat bran, Wheat flour, White kidney bean(navy bean)</t>
  </si>
  <si>
    <t>Preservatives/Extracts/Flavors: Concentrates (Soybean protein concentrate*), Extracts (Soybean protein isolate*), Extracts (Textured soybean protein*), Extracts (Chick peas protein*), Extracts (Dextrose*), Extracts (Glucose syrup*), Extracts (Maltodextrin*), Extracts (Soybean dietary fiber*), Extracts (Soybean fluid lecithin*), Extracts (Kale juice powder/extract powde*), Extracts (Palm olein*), Extracts (Brown rice protein*), Extracts (Flax seed protein*), Extracts (Hemp protein powder*), Extracts (Hydrolyzed rice protein*), Extracts (Mung bean protein*), Extracts (Pea protein*), Extracts (Potato protein*), Extracts (Rice protein*), Extracts (Sunflower seed protein*), Extracts (Wheat gluten meal (Also called: Wheat protein powder)*), Extracts (Corn starch*), Extracts (Mung bean starch*), Extracts (Pea starch*), Extracts (Potato starch*), Extracts (Rice starch*), Extracts (Wheat starch*), Extracts (Alfalfa extract*), Herbs (Ginseng red*), Herbs (Green tea powder/tbc*), Herbs (Hawthorn leaves cut/powder/chopped/tbc*), Herbs (Hibiscus whole*), Herbs (Honeysuckle flower/whole/cut/powder/chopped/tbc*), Herbs (Licorice whole*), Herbs (Lily whole*), Herbs (Lotus leaf powder/chopped/tbc*), Herbs (Maca whole/powder*), Herbs (Peppermint leaf cut/powder/chopped/tbc*), Herbs (Peppermint whole*), Herbs (Chrysanthemum whole/powder/tbc*), Herbs (Cordyceps militaris whole/powder*), Herbs (Lavender whole/powder/tbc*), Herbs (Sweet wormwood/cut/chopped/slice/tbc*), Herbs (Alfalfa*), Powders (Soybean Protein powder*), Powders (Zucchini powder/chopped*), Powders (Leek powder/chopped*), Powders (Kale powder/cut/chopped*), Powders (Perilla leaf whole/powder/chopped tbc*), Powders (Perilla seed whole/powder*), Powders (Rehmannia root cut/powder/chopped/tbc*), Powders (Reishi mushroom whole/powder/slice*), Powders (Rhodiola rosea/cut/powder/chopped/tbc*), Powders (Rhubarb cut/powder/chopped/tbc*), Powders (Rose hips whole/cut/powder/chopped/tbc*), Powders (Roses bud/powder (Also called: Roses petal)*), Powders (Safflower petal powder*), Powders (Schisandra fruit whole/powder/tbc+), Powders (Shiitake mushroom whole/diced/slice/powder*), Powders (Stevia leaf cut/powder/chopped/tbc*), Powders (Tribulus terrestris fruit whole/powder/tbc*), Powders (Valerian root/cut/chopped/slice/tbc*), Powders (Maitake mushroom /whole/powder*), Powders (Marshmallow root whole/powder/chopped/tbc*), Powders (Milk thistle seed whole/powder/tbc*), Powders (Nettle cut/powder/chopped/tbc*), Powders (Taibai notoginseng root whole/powder/chopped/tbc*), Powders (Olive leaf whole/powder/tbc*), Powders (Jerusalem artichoke powder/slice/cut*), Powders (Banana powder/juice powder/extract*), Powders (Blackcurrant powder/juice powder/extract*), Powders (Agaricus blazei whole/powder*), Powders (Agaricus blazei murril extract powder*), Powders (Agaricus blazei extract powder*), Powders (Apricot kernel extract powder*), Powders (Astragalus extract powder*), Powders (Bamboo extract powder*), Powders (Barley powder/juice powder/extract powder*), Powders (Beet root juice powder/extract powder*), Powders (Bilberry powder/juice powder/extract powder*), Powders (Black pepper extract powder*), Powders (Blueberry powder/juice powder/extract powder*), Powders (Burdock root extract powder*), Powders (Cassia seed extract powder*), Powders (Celery juice powder/extract powder*), Powders (Chaga extract powder*), Powders (Chiili extract powder*), Powders (Chinese date juice powder/extract powder*), Powders (Chlorella extract powder*), Powders (Chrysanthemum extract powder*), Powders (Cordyceps militaris extract powder*), Powders (Cranberry powder/juice powder/extract powder*), Powders (Dandelion root extract powder*), Powders (Fennel seed extract powder*), Powders (Fenugreek seed extract powder*), Powders (Ginger powder/juice powder/extract powder*), Powders (Ginkgo leaf extract powder*), Powders (Goji powder/juice powder/extract powder*), Powders (Grape seed extract powder*), Powders (Green tea extract powder*), Powders (Hawthorn fruit/leaves extract powder*), Powders (Honeysuckle flower extract powder*), Powders (Juniper berry extract powder*), Powders (Lavender extract powder*), Powders (Leek juice powder/extract powder*), Powders (Lotus leaf extract powder*), Powders (Maca extract powder*), Powders (Maitake mushroom extract powder*), Powders (Marshmallow extract powder*), Powders (Milk thistle seed extract powder*), Powders (Mulberry berry extract powder*), Powders (Mulberry leaf extract powder*), Powders (Nettle extract powder*), Powders (Taibai notoginseng root extract powder*), Powders (Tart cherry powder/juice powder/extract powder*), Powders (Oat grass powder/juice powder/extract powder*), Powders (Olive leaf extract powder*), Powders (Passion flower powder/juice powder/extract powder*), Powders (Passion fruit powder/juice powder/extract powder*), Powders (Peppermint leaf extract powder*), Powders (Perilla leaf extract powder*), Powders (Perilla seed extract powder*), Powders (Pineapple fruit powder/juice powder/extract powder*), Powders (Plum powder/juice powder/extract powder*), Powders (Pomegranate powder/juice powder/extract powder*), Powders (Raspberry powder/juice powder/extract powder*), Powders (Rehmannia root extract powder*), Powders (Reishi mushroom extract powder*), Powders (Rhodiola rosea extract powder*), Powders (Rhubarb extract powder*), Powders (Rose hips extract powder*), Powders (Roses flower extract powder*), Powders (Safflower extract powder*), Powders (Schisandra fruit extract powder*), Powders (Sea buckthorn berry powder/juice powder/extract powder*), Powders (Shiitake mushroom extract powder*), Powders (Spinach powder/juice powder/extract powder*), Powders (Spirulina extract powder (Also called: Phycocyanin)*), Powders (Star anise fruit extract powder*), Powders (Stevia leaf extract powder*), Powders (Strawberry powder/juice powder/extract powder*), Powders (Tribulus terrestris fruit extract powder*), Powders (Valerian root extract powder*), Powders (Water melon powder/juice powder/peel extract powder*), Powders (Wheat grass powder/juice powder/extract powder*), Powders (Sweet wormwood extract powder*), Powders (Zucchini extract powder*), Spices (Black pepper whole/powder/grind/tbc*), Spices (Chiili powder/chopped/crushed*), Spices (Fenugreek seed whole/powder/tbc*); Other Grains, Pastas and Cereals: Barley (*), Barley (*), Barley (Pearl barley (Coix)*), Buckwheat husk*, Buckwheat kernel*, Buckwheat*, Corn grits*, Corn/Maize*, Flax seed*, Glutinous millet*, Hulled millet*, Millet*, Non-sticky millet*, Noodles (Wheat noodle*), Noodles (Beetroot millet noodles*), Noodles (Beetroot rice noodles*), Noodles (Black bean with green kernel millet noodles*), Noodles (Black bean with green kernel rice noodles*), Noodles (Black rice noodles*), Noodles (Black soybean millet noodles*), Noodles (Black soybean rice noodles*), Noodles (Broccoli millet noodles*), Noodles (Broccoli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(Yam root millet noodles*), Noodles (Yam root rice noodles*), Oats (Oat kernel*), Oats (Oats*), Quinoa (*), Rapeseed*, Rice (*), Rice (Brown rice*), Rice (Paddy*), Rice (Black paddy*), Rice (Black rice*), Rice (Glutinous paddy*), Rice (Glutinous rice*), Sorghum (*), Sorghum (Sorghum kernel*), Sticky millet hulled*, Sticky millet*, Wheat (*), Wheat (Black wheat*); Oils &amp; Oleoresins: Oils (Crude coconut oil*), Oils (Crude palm oil*), Oils (Flax oil*), Oils (Rapeseed oil*), Oils (Rice bran oil*), Oils (Sesame oil*), Oils (Soybean oil*), Oils (Sunflower oil*), Oils (Sunflower seed oil*), Oils (Corn germ oil*), Oils (Hemp oil*), Oils (Peanut oil*), Oils (Soybean crude oil*); Nuts/Seeds: Almonds (Apricot*), Grape seed whole/powder*, Peanuts (*), Peanuts (Peanut kernel*), Perilla seed*, Pine Nuts (Pinenut kernels*), Sesame*, Sunflower kernel*, Sunflower seed kernel*, Sunflower seed*, White sesame*; Health Products: Herbs (Bamboo powder/chopped*), Herbs (Chaga whole/powder*), Herbs (Dandelion root whole/cut/powder/chopped/tbc*), Herbs (Fennel seed whole/powder/tbc*); Fruits/Vegetables: Apple diced/ring*, Beans (Adzuki bean*), Beans (Black soybean*), Beans (Black soybean with yellow kernel*), Beans (Black soybeans with green kernel*), Beans (Black kidney bean*), Beans (Green soybeans with green kernels*), Beans (Lentil*), Beans (Mung bean*), Beans (Mung bean dehulled*), Beans (Pinto bean (Also called: Light red speckled bean)*), Beans (Red kidney bean*), Beans (Soybean*), Beans (Soybean dehulled*), Beans (White kidney bean*), Berries (Goji berries*), Berries (Goji berries black dried*), Berries (Bilberry powder/juice powder/extract powder*), Berries (Blackberry powder/juice powder/extract*), Berries (Blackberry*), Berries (Black goji berry*), Berries (Black goji berry powder/juice powder/extract*), Berries (Blueberry powder/juice powder/extract powder*), Berries (Cranberry powder/juice powder/extract powder*), Berries (Goji berry rice noodles*), Berries (Juniper berry extract powder*), Berries (Juniper berry whole/powder*), Berries (Mulberry berry extract powder*), Berries (Mulberry berry whole/powder*), Berries (Mulberry leaf extract powder*), Berries (Raspberry powder/juice powder/extract powder*), Berries (Sea buckthorn berry leaf /tbc*), Berries (Sea buckthorn berry powder/juice powder/extract powder*), Berries (Strawberry powder/juice powder/extract powder*), Forsythiae fruit cuts*, Forsythiae fruit whole*, Fo-ti root whole*, Gorgon fruit cut*, Hawthorn fruit cut/powder/chopped/tbc*, Peach powder/juice powder*, Plum granule*, Plum slice*, Star anise fruit whole/powder/tbc*, Stone Fruit (Chinese date whole/powder/slice/tbc*), Vegetables (Cowpea*), Vegetables (Black sesame*), Vegetables (Garlic pieces*), Vegetables (Ginger cut/slice/powder/chopped/tbc*), Vegetables (Ginkgo leaf whole/cut/powder/chopped/tbc*), Vegetables (Burdock root/powder/chopped/slice/tbc*), Vegetables (Carrot powder/flakes/dice/chopped*), Vegetables (Celery powder/chopped*), Vegetables (Chickpeas*), Vegetables (Beet*), Vegetables (Beet root powder/chopped*), Vegetables (Sweet potato*), Vegetables (Potato*), Vegetables (Pumpkin seed*), Vegetables (Pumpkin seed grown without shell*), Vegetables (Pumpkin seed kernel*), Vegetables (Pumpkin seed shine skin kernel*), Vegetables (Pea*), Water melon*; Dry/Baking Goods: Flours and Meals (Black rice flour*), Flours and Meals (Brown rice flour*), Flours and Meals (Buckwheat flour*), Flours and Meals (Corn flour*), Flours and Meals (Glutinous millet flour*), Flours and Meals (Glutinous rice flour*), Flours and Meals (Millet flour*), Flours and Meals (Oat flour*), Flours and Meals (Rice flour*), Flours and Meals (Sorghum flour*), Flours and Meals (Wheat flour*), Flours and Meals (Corn gluten meal*), Flours and Meals (Green soybeans with green kernels meal*), Flours and Meals (Pea gluten meal*), Flours and Meals (Wheat gluten meal (Also called: Wheat protein powder)*), Flours and Meals (Potato flour*), Powders (Alfalfa juice powder*), Powders (Alfalfa powder*), Powders (Apple powder/juice powder*), Powders (Apricot kernel powder*), Powders (Grape powder/juice powder*), Powders (Potato powder*), Powders (Water melon seed/powder*), Sugar (*); Animal Feed: Livestock Feed (Soybean hulls（soybean skin)), Livestock Feed (Blended feed*), Livestock Feed (Corn cob*), Livestock Feed (Corn germ cake*), Livestock Feed (Corn stalk*), Livestock Feed (Cracked corn*),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meal*), Livestock Feed (Squashed corn*), Livestock Feed (Sunflower cake*), Livestock Feed (Sunflower meal*), Livestock Feed (Wheat bran*), Livestock Feed (Beet pellet *), Livestock Feed (Dried distillers' grain (Also called: Distiller's dried grain with solubles; DDGS)*); Alcohol: Alcohol*; Other: Hemp seed hulled*, Hemp seed*</t>
  </si>
  <si>
    <t>Other Grains, Pastas and Cereals: Noodles (Beetroot millet noodles/pasta *), Noodles (Beetroot rice noodles/pasta *), Noodles (Black bean with green kernel millet noodles/pasta *), Noodles (Black bean with green kernel rice noodles/pasta *), Noodles (Black rice noodles/pasta *), Noodles (Black soybean millet noodles/pasta *), Noodles (Black soybean rice noodles/pasta *), Noodles (Brown rice noodles/pasta *), Noodles (Buckwheat noodles/pasta *), Noodles (Carrots millet noodles/pasta *), Noodles (Carrots rice noodles/pasta *), Noodles (Chickpea brown rice noodles/pasta), Noodles (Chickpea millet noodles/pasta), Noodles (Chickpea rice noodles/pasta), Noodles (Corn noodles/pasta *), Noodles (Goji berry millet noodles/pasta *), Noodles (Goji berry rice noodles/pasta *), Noodles (Kale millet noodles/pasta *), Noodles (Kale rice noodles/pasta *), Noodles (Lentil millet noodles/pasta *), Noodles (Lentil rice noodles/pasta *), Noodles (Millet noodles/pasta *), Noodles (Rice noodles/pasta *), Noodles (Soybean millet noodles/pasta *), Noodles (Soybean rice noodles/pasta *), Noodles (Spinach millet noodles/pasta *), Noodles (Spinach rice noodles/pasta *), Noodles (Rice and brown rice noodles/pasta *), Rice (Rice husk *), Rice (Rice *), Rice (Glutinous rice *), Rice (Broken rice *), Rice (Brown rice *), Rice (Black rice *); Dry/Baking Goods: Flours and Meals (Black bean with green kernel flour *), Flours and Meals (Black Rice flour *), Flours and Meals (Black soybean flour *), Flours and Meals (Brown rice flour *), Flours and Meals (Buckwheat flour *), Flours and Meals (Chickpea flour *), Flours and Meals (Corn flour *), Flours and Meals (Glutinous rice flour *), Flours and Meals (Green soybeans with green kernels flour *), Flours and Meals (Lentil flour *), Flours and Meals (Millet flour *), Flours and Meals (Rice bran *), Flours and Meals (Rice flour *), Flours and Meals (Soybean flour *)</t>
  </si>
  <si>
    <t>Other Grains, Pastas and Cereals: Corn, Paddy, Rape seed, Sesame, Silage corn, Sunflower kernel, Sunflower seed, Wheat; Oils &amp; Oleoresins: Oils (Crude corn oil), Oils (Crude rape seed oil), Oils (Crude sesame oil), Oils (Crude soybean oil), Oils (Crude sunflower oil), Oils (Rape seed oil), Oils (Refined corn oil), Oils (Refined rape seed oil), Oils (Refined sesame oil), Oils (Refined soybean oil), Oils (Refined sunflower oil); Fruits/Vegetables: Beans (Black kidney bean (black turtle bean)), Beans (Black soybean), Beans (Mung bean), Beans (Pinto bean (light speckled kidney bean)), Beans (Red kidney bean (dark red kidney bean)), Beans (Soybean), Beans (Adzuki bean), Vegetables (Beet); Dry/Baking Goods: Flours and Meals (Wheat flour); Animal Feed: Livestock Feed (Corn cob), Livestock Feed (Corn embryo cake), Livestock Feed (Fatty powder), Livestock Feed (Flaked corn), Livestock Feed (Peeled bean cake), Livestock Feed (Rape seed cake (meal)), Livestock Feed (Rumen soybean meal), Livestock Feed (Sesame cake (meal)), Livestock Feed (Soybean cake (meal)), Livestock Feed (Soybean skin), Livestock Feed (Sunflower cake (meal)), Livestock Feed (Wheat bran), Livestock Feed (Wheat straw)</t>
  </si>
  <si>
    <t>Other: Adzuki Bean, Adzuki Bean, Bamboo Rice, Steamed, Barley, Bean Family, Bean Flour, Beans, Beans, Beans, Roasted, Black Eyed Peas, Brown Rice Flour, Browntop Millet, Puffed / Popped, Buckwheat, Buckwheat Products, Buckwheat Puffed / Popped, Buckwheat, Cores, Buckwheat, Flour, Buckwheat, Roasted, Chickpeas, Chickpeas, Coix Seeds, Coix Seeds, Corn Meal, Cucumbers, Seeds, Dessert, Dried Soy Products, Flaxseed / Linseed, Flaxseed Meal, Goji Berry, Dried, Grains, Grains, Hemp Seed, Hemp Seed Cake, Kidney Beans, Lentil, Maize, Maize, Maize Flour, Maize Products, Millet, Millet, Millet, Flakes, Millet, Flour, Mung(bean), Mung(bean), Mung(bean) Flour, Oat, Oat, Oat Flour, Oat Products, Oat, Groats, Peanuts, Peanuts Kernels, Peanuts Kernels, Peanuts Kernels, Roasted, Peanuts, Roasted, Pearl Barley / Dehulled Barley, Peas, Peas, Peas, Flour, Perilla Seeds, Porridge, Pumpkin Seed, Quinoa, Rapeseed, Rapeseed Cake, Rice, Rice, Rice Dried, Rice Flour, Rice Parboiled, Rice Products, Sesame, Sesame Seeds, Sesame Seeds, Sesame, Dried, Sesame, Roasted, Sorghum, Sorghum, Sorghum, Dried, Soy Bean, Soy Bean, Soy Bean Cake, Soy Bean Cake, Soy Flour, SoyOil, Sunflower Seed Flour, Sunflower Seeds, Sweet Corn Powder, Sweet Potato, Dried, Sweet Potatoes, Wheat</t>
  </si>
  <si>
    <t>Trees/Whole Plant Products/Flowers: Seeds (Watermelon Seed Kernel); Preservatives/Extracts/Flavors: Extracts (Brown Rice protein), Extracts (Pea Protein), Extracts (Soybean lecithin Powder), Extracts (Concentrated Soybean Protein), Herbs (Flax Seed), Herbs (Rapeseed); Other Grains, Pastas and Cereals: Barley (Barley), Buckwheat Kernel, Corn, Hulled Millet (also called Non-sticky Millet), Millet, Oats, Sesame, Wheat (Wheat); Oils &amp; Oleoresins: Oils (Diacylglycerol oil), Oils (Soybean oil), Oils (Flaxseed Oil), Oils (Rapeseed Oil), Oils (Sesame Oil), Oils (Soybean Oil (Crude)), Oils (Sunflower Oil); Nuts/Seeds: Peanuts, Peanuts (Peanut Kernels), Pine Nuts (Pinenut Kernels), Sunflower Kernel, Walnuts (Walnut Kernels); Fruits/Vegetables: Beans (Adzuki Bean), Beans (Black Turtle Bean (black kidney beans)), Beans (Dehulled soybean (also called soybean hulled)), Beans (Lentil), Beans (Mung Bean), Beans (Peeled Mung Bean (also called Hulled Mung bean)), Beans (Pinto bean (light speckled kidney bean)), Beans (Red Kidney Bean (dark red kidney bean)), Beans (White Kidney Bean), Berries (Raisin), Berries (Soybean), Berries (Goji berries dried), Vegetables (Pumpkin Seed Kernel), Vegetables (Pumpkin Seed Kernel GWS); Dry/Baking Goods: Flours and Meals (Buckwheat Flour), Flours and Meals (Wheat Flour);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t>
  </si>
  <si>
    <t>Other Grains, Pastas and Cereals: Borage seeds, Corn, Flax seeds, Wheat; Nuts/Seeds: Sunflower seeds; Fruits/Vegetables: Beans (Black soybean), Beans (Soybean)</t>
  </si>
  <si>
    <t>Alcohol: Alcohol, Distilled Alcohol Beverages (Dried distillers' grain (Also called: Distiller's dried grain with solubles; DDGS))</t>
  </si>
  <si>
    <t>Other Grains, Pastas and Cereals: Corn, Rice (Paddy), Wheat; Nuts/Seeds: Sunflower seed; Fruits/Vegetables: Beans (Adzuki bean), Beans (Mung Bean), Beans (Pumpkin seed), Beet, Vegetables (Pea), Vegetables (Soybean)</t>
  </si>
  <si>
    <t>Processed  Items: Dehydrated Foods (Roasted buckwheat kernel), Dehydrated Foods (Roasted soybean); Preservatives/Extracts/Flavors: Extracts (Potato starch), Extracts (Soybean crude lecithin), Extracts (Soybean lecithin fluid), Extracts (Soybean lecithin granulated), Extracts (Soybean lecithin powder), Extracts (Chick peas protein), Extracts (Fava protein), Extracts (Mung bean protein), Extracts (Pea protein), Extracts (Pea protein (textured)), Extracts (Pea starch), Extracts (Soy protein isolated), Extracts (soybean protein), Extracts (Soybean protein concentrate), Extracts (Soybean protein textured), Powders (soybean powder); Pet Products: Pet Products (Blended feed pellets); Other Grains, Pastas and Cereals: Buckwheat, Buckwheat kernel (Hulled buckwheat; buckwheat groats), Coix seed kernel, Corn, Flours and Meals (Corn flour), Flours and Meals (Buckwheat flour), Flours and Meals (Millet flour), Flours and Meals (Oat flour), Flours and Meals (Brown rice flour), Flours and Meals (Wheat flour), millet (also called glutinous millet)", Millet (Hulled millet), Oats (Oat kernel), Oats (Oats), Rice (Black rice), Rice (Brown rice), Rice (Glutinous rice), Sorghum, Soybean, Sticky hulled; Oils &amp; Oleoresins: Oils (Hemp seed oil), Oils (Soybean crude oil), Oils (Soybean oil); Nuts/Seeds: Pine Nuts (Pinenut kernel), Seeds (Pumpkin seed), Seeds (Pumpkin seed kernel), Seeds (Pumpkin seed shine skin kernel), Seeds (Sunflower kernel), Seeds (Watermelon seed kernels), Seeds (Flax seed), Seeds (Hemp seed), Seeds (Hulled Hemp seed), Walnuts, Walnuts; Fruits/Vegetables: Beans (Adzuki beans), Beans (Black kidney bean), Beans (Black soybean), Beans (Black soybean with green kernels), Beans (Black soybean with yellow kernel), Beans (Hulled adzuki beans), Beans (Hulled mung bean), Beans (Hulled Mung bean), Beans (Lentil), Beans (Light speckled kidney bean (Speckled kidney bean)), Beans (Mung bean), Beans (Red kidney bean(Dark red kidney bean)), Beans (Soybean hulled), Beans (White kidney beans), Berries (Goji berry), Berries (Raisin), Stone Fruit (Jujube), Vegetables (Potato), Vegetables (Pumpkin seed grown without shell (Also called: Pumpkin kernels GWS)), Vegetables (Chick pea), Vegetables (Cowpea), Vegetables (Pea); Animal Feed: Flours and Meals (Corn gluten meal), Flours and Meals (Soybean meal (Soybean expeller; Soybean cake)), Livestock Feed (Sunflower seed cake/meal/expeller), Livestock Feed (Cracked corn), Livestock Feed (Cracked soybean), Livestock Feed (Flax cake), Livestock Feed (Flax meal), Livestock Feed (Pea fiber), Livestock Feed (Pumpkin seed cake/meal/expeller), Livestock Feed (Distiller's dried grain with solubles (DDGS)), Livestock Feed (Mixed feed 1), Livestock Feed (Mixed feed 2), Livestock Feed (Buckwheat husk)</t>
  </si>
  <si>
    <t>Processed  Items: Dehydrated Foods (Roasted buckwheat kernel); Preservatives/Extracts/Flavors: Concentrates (Soybean crude lecithin), Extracts (Soybean lecithin fluid), Extracts (Soybean lecithin granulated), Extracts (Pea protein), Extracts (Soybean protein concentrate), Extracts (soybean protein), Extracts (Chick pea protein), Extracts (Fava protein), Extracts (Pea protein textured), Extracts (Soybean protein textured), Extracts (Soy protein isolated), Powders (Soybean lecithin powder); Other Grains, Pastas and Cereals: Buckwheat, Buckwheat kernel (Hulled buckwheat; buckwheat groats), Corn, Flours and Meals (Buckwheat flour), Flours and Meals (Millet flour), Millet (Hulled millet); Oils &amp; Oleoresins: Oils (Soybean oil), Oils (crude oil); Nuts/Seeds: Seeds (Coix seed), Seeds (Flax seed), Seeds (Hemp seed), Seeds (Pumpkin seed kernel), Seeds (Pumpkin seed), Seeds (Pumpkin seed grown without shell (Also called: Pumpkin kernels GWS)), Seeds (Sunflower kernel), Walnuts (Walnut), Walnuts (Walnut kernels); Fruits/Vegetables: Beans (Adzuki beans), Beans (Black kidney bean), Beans (Black soybean), Beans (Black soybean with green kernels), Beans (Hulled mung bean), Beans (Hulled adzuki beans), Beans (Mung bean hulled (Also called: Mung Bean without Skin)), Beans (Hulled black soybean), Beans (Light speckled kidney bean (Speckled kidney bean)), Beans (Lentil), Beans (Mung bean), Beans (Mung bean protein), Beans (Red kidney bean(Dark red kidney bean)), Beans (Soybean), Beans (Soybean hulled), Beans (White kidney beans), Beans (Black soybean with yellow kernel), Berries (Raisin), Berries (Goji berries), Pine Nuts (Pine nut kernel), Stone Fruit (Jujube), Vegetables (Chick pea), Vegetables (Pea); Animal Feed: Animal Fibers (Pea fiber), Livestock Feed (Buckwheat husk), Livestock Feed (Blended feed pellets), Livestock Feed (Cracked soybean), Livestock Feed (Distiller's dried grain with solubles (DDGS)), Livestock Feed (Mixed feed 1), Livestock Feed (Mixed feed 2), Livestock Feed (Soybean meal (Soybean expeller;Soybean cake)), Livestock Feed (Sunflower meal (Sunflower expeller; Sunflower cake)), Seeds (Flaxseed cake/meal/expeller)</t>
  </si>
  <si>
    <t>Preservatives/Extracts/Flavors: Herbs (Flaxseed); Other Grains, Pastas and Cereals: Barley, Buckwheat kernel, Hulled millet, Hulled sticky millet (hulled glutinous millet), Millet, Millet (glutinous), Oats, Quinoa, Sorghum; Nuts/Seeds: Peanuts (Peanuts (Peanut in shell)), Peanuts (Peanuts (Peanut kernel)), Sesame seed (black sesame seed/white sesame seed), Sunflower kernel, Sunflower seed; Fruits/Vegetables: Beans (Adzuki bean), Beans (Black eye bean), Beans (Black kidney bean), Beans (Black soybean with green kernel), Beans (Black soybean with yellow kernel), Beans (Green soybean (Edamame)), Beans (Hulled mungbean), Beans (Light speckled kidney bean (pinto bean)), Beans (Mungbean), Beans (Red kidney bean), Beans (Soybean), Beans (White kidney bean), Perilla (perilla seed), Vegetables (Pumpkin kernel), Vegetables (Pumpkin seed), Vegetables (Pea), Vegetables (Chickpea)</t>
  </si>
  <si>
    <t>Preservatives/Extracts/Flavors: Herbs (Flaxseed); Other Grains, Pastas and Cereals: Barley, Buckwheat, Buckwheat kernel, Hulled millet, Millet, Millet (glutinous), Oats, Quinoa, Sorghum, Sticky millet (hulled glutinous millet); Nuts/Seeds: Oak Nuts (Sesame seed (black sesame seed/white sesame seed)), Peanuts (Peanuts (Peanut in shell)), Peanuts (Peanuts (Peanut kernel)), Sunflower kernel, Sunflower seed; Fruits/Vegetables: Beans (Adzuki bean), Beans (Black kidney bean), Beans (Black soybean with green kernel), Beans (Black soybean with yellow kernel), Beans (Green soybean (Edamame)), Beans (Hulled mungbean), Beans (Light speckled kidney bean (pinto bean)), Beans (Mungbean), Beans (Red kidney bean), Beans (Soybean), Beans (White kidney bean), Vegetables (Pea), Vegetables (Pumpkin kernel), Vegetables (Pumpkin seed), Vegetables (Chickpea)</t>
  </si>
  <si>
    <t>Preservatives/Extracts/Flavors: Flaxseed, Rapeseed; Other Grains, Pastas and Cereals: Barley, Black sesame, Buckwheat, Buckwheat kernel, Coix seed, Coix seed kernel, Corn, Millet, Oats (Oat), Oats (Oat kernel), Rice (Paddy), Rice (Rice), Rice (Glutinous paddy), Rice (Black paddy), Rice (Black rice), Sesame, Sorghum (Sorghum), Sorghum (Sorghum kernel), Sticky millet, White sesame; Oils &amp; Oleoresins: Oils (Crude flaxseed oil), Oils (Crude rapeseed oil), Oils (Crude soybean oil), Oils (Crude sunflower oil); Nuts/Seeds: Peanuts (Peanut), Peanuts (Peanut kernel), Safflowers seeds, Sunflower kernel (also called Sunflower seed kernel), Sunflower seeds, Sunflower Seeds (High Oil Sunflower Seeds); Fruits/Vegetables: Beans (Adzuki bean), Beans (Black bean (Also called: Black soybean)), Beans (Black kidney bean), Beans (Black soybean (Also called: Black soybean with yellow kernel; Black soybean with green kernel)), Beans (Mung bean), Beans (Red kidney bean), Beans (Soybean), Beans (White kidney bean), Cowpea, Vegetables (Garden peas), Vegetables (Pea), Vegetables (Chickpeas); Animal Feed: Flaxseed cake/meal, Rapeseed cake/meal, Soybean cake/meal, Sunflower cake/meal</t>
  </si>
  <si>
    <t>Other Grains, Pastas and Cereals: Black soybean, Corn, Corn cob, Rice (Paddy), Sesame, Soybean, Soybean hulls, Sunflower kernel, Wheat, Wheat (Wheat bran); Oils &amp; Oleoresins: Oils (Soybean oil); Nuts/Seeds: Rape seed, Sunflower seed; Fruits/Vegetables: Beans (Adzuki bean), Beans (Black kidney beans (black turtle bean)), Beans (Mung bean), Beans (Pinto bean (light speckled kidney bean)), Beans (Red kidney bean (dark red kidney bean)); Dry/Baking Goods: Flours and Meals (Rape seed cake/meal), Flours and Meals (Rumen soybean meal), Flours and Meals (Sesame cake/meal), Flours and Meals (Soybean cake/meal), Flours and Meals (Sunflower cake/meal), Powders (Fatty powder)</t>
  </si>
  <si>
    <t>Trees/Whole Plant Products/Flowers: Herbs (Flax stalk), Herbs (Hemp stalk); Other Grains, Pastas and Cereals: Rice (Black rice), Rice; Nuts/Seeds: Flowers (Sunflower seeds), Flowers (Sunflower seeds kernel), Seeds (Borage seed), Seeds (Evening primrose seed), Seeds (Flax seed), Seeds (Hemp seed), Vegetables (Pumpkin seed kernel,shine skin), Vegetables (Pumpkin seeds,grown without shell(gws)), Vegetables (Pumpkin seeds,shine skin); Fruits/Vegetables: Beans (Adzuki bean), Beans (Mung bean), Beans (Pea), Beans (Soybean), Vegetables (Sweet potato)</t>
  </si>
  <si>
    <t>Processed  Items: Cereal (Corn (cracked, squashed), Corn grits, Wheat bran), Dehydrated Foods (Minced Garlic/Chopped Garlic/Crushed Garlic), Dehydrated Foods (Auricularia Auricula (slice), Black Garlic, Chinese date (whole, slice), Dehydrated Garlic Flakes/Granules, Garlic pieces, Goji berries, Goji berries black dried, Lion's mane mushroom whole, Maitake mushroom whole, Mulberry berry whole, QF Broccoli (Florets, slice), QF Celery, QF Onion, QF Sweet Potato (slice, strips, diced), Reishi mushroom whole, Roasted Garlic), Pickled Garlic/Garlic in brine, Soybean protein isolate, Purees (Walnut pulp), Soybean protein powder, Wheat protein powder, Potato protein, Rice protein, Bamboo chopped, Brown rice protein, Chick peas protein, Flax seed protein, Hemp protein powder, Hydrolyzed rice protein, Mung bean protein, Pea protein; Preservatives/Extracts/Flavors: Extracts (Apple (Extract)), Extracts (Agaricus blazei murril (extract powder), American Ginseng (Extract), Angelica (Extract), Apricot kernels (extract powder), Auricularia Auricula (extract), Bamboo extract powder, Barley extract powder, Beet root extract powder, Bilberry extract powder, Black pepper extract powder, Burdock root extract powder, Cassia seed extract powder, Chaga mushroom extract powder, Chamomile Extract, Chili (extract), Chinese date extract powder, Chrysanthemum extract powder, Cordyceps Militaris (Extract), Dandelion root extract powder, Epimedium (Extract), Fenugreek seed extract powder, Ginkgo leaf extract powder, Ginseng Extract, Goji extract powder, Grape seed extract powder, Green tea extract powder, Green tea powder, Gynostemma (Extract), Hawthorn fruit extract powder, Honeysuckle flower extract powder, Instant Black Tea Powder, Instant Green Tea Powder, Jasmin Flower (Extract), Kale extract powder, Kiwi Fruit (Extract), Konjak/Konjac (Extract), Lavender extract powder, Licorice Extract, Lily/Bai He (Extract), Linden (Extract powder), Lion's mane mushroom extract powder, Lotus leaf extract powder, Lotus Seed Extract, Maca extract powder, Maitake mushroom (extract powder), Maitake mushroom extract powder, Marshmallow extract powder, Milk thistle seed extract powder, Monk Fruit/Siraitia Grosvenorii/Luo Han Guo Extract, Mulberry berry extract powder, Mulberry leaf extract powder, Nettle extract powder, Oat grass extract powder, Olive leaf extract powder, Osmanthus/Osmanthus Fragrans Extract, Papaya Fruit (Extract), Papaya Leaf (Powder, Extract), Passion flower extract powder, Pea (Extract), Peppermint leaf extract powder, Pomegranate extract powder, Poria Cocos/Tuckahoe/Juan Fu Ling Extract, Pueraria (Extract), Red Ginseng Extract, Rehmannia root extract powder, Rhodiola rosea extract powder, Rhubarb extract powder, Rose hips extract powder, Rosemary (Extract), Safflower extract powder, Sea buckthorn berry extract powder, Shiitake mushroom extract powder, Spinach (Extract), Star anise fruit extract powder, Stevia leaf extract powder, Sweet wormwood extract powder, Tomato (extract), Tribulus terrestris fruit extract powder, Valerian root extract powder, Wheat grass extract powder, Wild Yam Extract); Other Grains, Pastas and Cereals: Barley (Barley, Pearl barley (Coix)), Cereal (Corn cob, corn stalk, Corn/Maize, Glutinous millet, Millet, millet hulled, Non-sticky millet, Sticky millet, Sticky millet hulled), Oats (Oat, oat kernel), Pasta (Wheat noodle), Quinoa (Quinoa), Rice (Black paddy, Black rice, Brown rice, Glutinous paddy, Glutinous rice), Sorghum (Sorghum), Wheat (Black wheat, Buckwheat, Buckwheat husk, Buckwheat kernel, Wheat); Oils &amp; Oleoresins: Oils (Hemp oil, Peanut oil), Oils (Crude coconut oil, Crude flaxseed oil, Crude palm oil, Crude rapeseed oil, Crude Soybean oil, Crude sunflower (seeds) oil, Flax oil, Palm olein, Rapeseed oil, Rice bran oil, Sesame oil, Soybean oil , Sunflower (seed) oil, Walnut oil); Nuts/Seeds: Macadamia (Maca whole), Peanuts (Peanut kernel), Pine Nuts (Pinenut, pinenut kernels), Seeds (Flaxseed, Hemp seed, hemp seed hulled, Pumpkin seed grown without shell, Pumpkin seed kernel, Pumpkin seed shine skin kernel, Pumpkin seeds, Rapeseed, Sunflower kernel, Sunflower seed); Health Products: Herbs (Angelica, Astragalus (whole, cut, slice), Burdock root chopped/slice, Chamomile flower, Chili (slice/dice), Dandelion root (whole, cuts), Fennel seeds whole, Forsythiae fruit (whole, cuts), Fo-ti root whole, Ginger (chopped, cut, slice), Ginkgo leaf (whole, cuts), Ginseng-Tails (cut), Hawthorn fruit (cuts, chopped), Hibiscus whole, Jasmin Flower, Licorice Root (whole, cuts), Lily whole, Lotus leaf (chopped, tbc), Marshmallow root (whole, chopped, tbc), Milk thistle seed (whole/tbc), Nettle (cut/chopped/tbc), Olive leaf (whole/tbc), Peppermint leaf (cut, chopped), Perilla seeds, Red Ginseng (whole/slice/cut), Rehmannia root (chopped, cut, slice), Rhodiola rosea (cut, chopped), Star anise whole, Sweet wormwood (cut/chopped/slice/tbc), Szechuan Pepper (whole, cuts), Taibai notoginseng root (whole, chopped), Tribulus terrestris fruit (whole/tbc), Turmeric root (whole, cuts, slice), White Ginseng Root (entire roots/slices/legs/mixed tails/cut)); Fruits/Vegetables: Berries (Mulberry leaf (whole/chopped /tbc)), Dehydrated Foods (Gorgon fruit cut, Plum granule, Plum slice), Jerusalem artichoke (cut, slice), Potato, QF Sweet Corn (cob, kernel, cut), Rosehips (whole, cut), Sweet potato, Watermelon, Powders (Apple (Juice Powder), Apple (Powder), Broccoli (juice powder), Broccoli powder, Soybean fluid lecithin, Soybean powder lecithin, Sunflower fluid lecithin, Sunflower powder lecithin), Powders (AD Taro powder, Agaricus blazei (Powder), Alfalfa juice powder, Alfalfa powder, American Ginseng (Powder), Angelica (Powder), Apricot kernels (Powder), Astragalus powder, Auricularia Auricula (powder/granule), Bamboo powder, Barley grass juice powder, Barley grass powder, Beet root juice powder, Beet root powder, Bilberry juice powder, Bilberry powder, Black Garlic powder, Black pepper powder, Blackberry juice powder, Blackcurrant juice powder, Blueberry juice powder, Blueberry powder, Burdock root powder, Carrot powder, Chili (juice powder), Chili (Powder), Chinese date powder, Cordyceps Militaris (Powder), Dandelion root powder, Dehydrated Garlic Powder, Epimedium (Powder), Fennel seed powder, Fenugreek seed powder, Ginger powder, Ginkgo leaf powder, Ginseng (Powder), Ginseng-Tails Powder, Goji berry juice powder, Goji berry powder, Goji juice powder, Grape juice powder, Grape powder, Grape seed powder, Gynostemma (Powder), Hawthorn fruit powder, Honeysuckle flower powder, Jasmin Flower (Powder), Jerusalem artichoke powder, Kale powder, Kiwi Fruit (Juice Powder), Kiwi Fruit (Powder), Konjak/Konjac (Powder), Lavender powder, Licorice Powder, Licorice Root (Powder), Lily/Bai He (Powder), Linden (Powder), Lion's mane mushroom powder, Lotus leaf powder, Lotus Seed Powder, Maca powder, Maitake mushroom (Powder), Marshmallow root powder, Milk thistle seed powder, Monk Fruit/Siraitia Grosvenorii/Luo Han Guo Powder, Mulberry berry powder, Mulberry leaf powder, Nettle powder, Oat grass juice powder, Oat grass powder, Olive leaf powder, Papaya Fruit (Powder), Passion flower juice powder, Passion flower powder, Passion fruit powder, Pea (Powder), Peppermint leaf powder, Pomegranate juice powder, Pomegranate powder, Poria Cocos/Tuckahoe/Juan Fu Ling Powder, Potato powder, Pueraria (Powder), Raspberry extract powder, Raspberry juice powder, Red Ginseng Powder, Rehmannia root powder, Reishi mushroom powder, Rhodiola rosea powder, Rhubarb powder, Rose bud powder, Rose hips powder, Rosemary (Powder), Safflower petal powder, Sea buckthorn berry juice powder, Sea buckthorn berry powder, Spinach (Powder), Spinach juice powder, Star anise powder, Sweet Potato Powder, Szechuan Pepper (Powder), Taibai notoginseng root powder, Tomato (juice powder), Tomato (Powder), Tribulus terrestris fruit powder, Turmeric root (powder), Turmeric/Curcuma Longa (Powder), Wheat grass juice powder, Wheat grass powder, White Ginseng Root powder, Wild Yam Powder), Vegetables (Beetroot, Garlic, Grape seed whole, Kale chopped, Rhubarb (chopped, cuts)); Fiber Textiles: Pea (fibre); Dry/Baking Goods: Flours and Meals (Black rice flour, Brown rice flour, Buckwheat flour, Corn flour, Corn starch, Glutinous millet flour, Glutinous rice flour, Millet flour, Mung bean starch, Oat flour, Pea starch, Potato starch, Rice flour, Rice starch, Sorghum flour, Wheat Flour, Wheat starch); Condiments and Sweeteners: Seasoning Blends (Garlic Paste/Garlic Puree/Black Garlic Paste), Sweeteners (Allulose, Erythritol, Fructooligosaccharide, Galactooligosaccharide, Glucose (Dextrose), Glucose Syrup, High fructose corn syrup, Isomaltooligosaccharide, Isomaltooligosaccharide syrup, Maltodextrin, Resistant Dextrin Powder (Soluble Fiber Powder), Resistant Dextrin Syrup (Soluble Fiber Syrup)); Animal Feed: Livestock Feed (Alfalfa); Alcohol: Ethyl alcohol ([80%); Other: Beans (Adzuki bean, Black kidney bean, Black soybean, Black soybean with yellow kernel, Black soybeans with green kernel, Green soybeans with green kernels, Mung bean, mung bean dehulled, Pinto bean (Light red speckled bean), Puffed soybean, QF Green Soybean (Mukimame), Red kidney bean, Soybean, White kidney bean), Chickpeas, Chlorella extract powder, Corn germ cake, Corn gluten meal, Cowpea, Flaxseed cake/meal, Green soybeans with green kernels meal, Lentils, Mung bean meal, Pea gluten meal, Peanut cake, meal, Peas, Rapeseed cake, meal, Rice bran cake, Sesame cake, meal, Soybean cake, meal, Sunflower cake/meal, Seeds (Black sesame, Sesame, White sesame)</t>
  </si>
  <si>
    <t>Other Grains, Pastas and Cereals: Barley (Pearl barley (Coix)), Black soybeans with green kernel, Chickpeas, Glutinous millet, Millet, Oats (Oat kernel), Quinoa (Quinoa millet porridge), Rice (Eight-treasured rice porridge), Rice (Five color brown rice), Rice (Five red porridge rice), Sorghum (Sorghum kernel), Soybean, Wheat (Buckwheat kernel); Nuts/Seeds: Peanuts, Pumpkin seeds kernel, Sunflower seed kernel; Fruits/Vegetables: Beans (Adzuki bean), Beans (Black kidney bean), Beans (Mung bean), Beans (Red kidney bean), Beans (Speckled kidney beans), Beans (White kidney bean)</t>
  </si>
  <si>
    <t>Preservatives/Extracts/Flavors: Herbs (Rapeseed), Herbs (Flaxseed); Other Grains, Pastas and Cereals: Barley, Buckwheat, Oats; Nuts/Seeds: High oil sunflower seeds, Sunflower seeds; Fruits/Vegetables: Garden peas</t>
  </si>
  <si>
    <t>Trees/Whole Plant Products/Flowers: Alfalfa, Barley grass, Oat grass; Preservatives/Extracts/Flavors: Herbs (Rape seed), Herbs (Wheat grass); Other Grains, Pastas and Cereals: Barley, Barley (Pearl Barley (also called: Coix)), Buckwheat, Corn/maize, Flax seed, Hulled buckwheat (buckwheat kernel), Hulled millet, Millet, Oats, Oats (Oat kernel), Rice, Sorghum, Wheat (Wheat); Nuts/Seeds: Pine Nuts, Pine Nuts (Pine nut kernel), Sesame, Sunflower kernel (sunflower seed kernel), Sunflower seed, Watermelon kernel, Watermelon seeds; Fruits/Vegetables: Beans (Green soybean (also called: green soybean with green kernel/green soybean with green inside)), Beans (Hulled mung bean), Beans (Lentil (green lentil)), Beans (Light speckled kidney bean (also called: pinto bean)), Beans (Mung bean (green mung bean)), Beans (Pea), Beans (Red kidney bean (also called: dark red kidney bean)), Beans (Soybean), Beans (White kidney bean.), Beans (Adzuki bean (also called: small red bean/red small bean)), Beans (Black eye bean), Beans (Black kidney bean (black turtle bean/black bean)), Beans (Black soybean (also called: black soybean with green kernel/black soybean with green inside; black soybean with yellow kernel/black soybean with yellow inside)), Beans (Broad bean (also called fava bean)), Beans (Chick pea), Berries (Goji berry), Leafy Greens (Spinach), Vegetables (Sweet potato), Vegetables (Tomato), Vegetables (Beet root), Vegetables (Broccoli), Vegetables (Carrot), Vegetables (Cauliflower), Vegetables (Celery), Vegetables (Kale), Vegetables (Potato), Vegetables (Pumpkin), Vegetables (Purple sweet potato), Vegetables (Pumpkin kernel GWS (pumpkin kernel grown without shell)), Vegetables (Pumpkin kernel S.S (pumpkin kernel shine skin)), Vegetables (Pumpkin seed grown without shell (pumpkin seed GWS)), Vegetables (Pumpkin seed shine skin (pumpkin seed SS)), Vegetables (Pumpkin seed snow white); Animal Feed: Rape seed cake, Soybean meal/cake, Sunflower meal; Other: Hemp seed, Hulled hemp seed (hempseed kernel)</t>
  </si>
  <si>
    <t>Preservatives/Extracts/Flavors: Herbs (Rapeseed); Other Grains, Pastas and Cereals: Oats (Oat grass), Wheat, Wheat (Wheat straw); Nuts/Seeds: Seeds (Flax seed), Sunflower seed; Fruits/Vegetables: Beans (Mungbean), Beet, Vegetables (Pea)</t>
  </si>
  <si>
    <t>Other Grains, Pastas and Cereals: Corn, Lentil; Nuts/Seeds: Seeds (Evening primrose seed), Seeds (Hemp seed), Seeds (Perilla seed); Fruits/Vegetables: Beans (Soybean), Beans (Red kidney beans (british red/dark red kidney beans)), Beans (White kidney beans (navy bean,medium white kidney beans)), Beans (Black kidney beans (black beans, black turtle beans)), Beans (Light speckled kidney beans (cranberry bean))</t>
  </si>
  <si>
    <t>Other: Pizza Crust, Ancient Grain, Pizza Crust, Original</t>
  </si>
  <si>
    <t>Other: Services (Grain Storage)</t>
  </si>
  <si>
    <t>Other: Almonds (Dry Roasted, Salted, Unsalted and Oil Roasted), Almonds (Raw), Buckwheat (Flour), Cacao (Cacao Wafers - 70% Keto Sweet), Cashews (Diced, Bulk), Cashews (Dry Roasted, Salted &amp; Unsalted (non retail)), Cashews (Raw, Bulk), Cashews (Raw, Whole), Coconut (Coconut Chips Maple Vanilla Super Snacks), Coconut (Coconut Chips Toasted Cinnamon Super Snacks), Dried Fruits (Golden Berries), Dried Fruits (Prunes), Oats (Rolled &amp; Quick), Pumpkin Seed (Dry Roasted Unsalted (non retail)), Pumpkin Seed (Raw, Bulk), Pumpkin Seed (Raw, Kernels), Quinoa (Quinoa), Raisins (Thompson Raisins), Repacking (Client Profile Products only) (Dry fruits, Grains, Nuts, Rice, Flours, Legumes), Rice (Brown &amp; Short), Rice (Basmati) (Brown &amp; White), Rice (Wild) (Wild Rice), Roasting (Client Profile Products only) (Dry Roasting), Roasting (Client Profile Products only) (Oil Roasting), Seed (Sacha Inchi, Roasted &amp; Salted), Sesame Seed (White &amp; Natural)</t>
  </si>
  <si>
    <t>Animal Feed: Livestock Feed (Custom Livestock Feed Mixes), Livestock Feed (Organic Broiler Grower), Livestock Feed (Organic Calf Starter), Livestock Feed (Organic Goat Grower), Livestock Feed (Organic Layer Mash), Livestock Feed (Organic Scratch), Livestock Feed (Organic Swine Grower); Other: Black Beans, Canola Meal, Corn, Custom Cleaning Seeds, Custom Livestock Feeds, Einkorn Wheat, Grinding Livestock Feeds, Handling organic grain, hay, and straw, Labeling livestock feeds, including custom mixes, Mixing livestock feeds, including custom mixes, Oats, Packaging organic grain, hay, straw, and livestock feeds, including custom mixes, Red Fife Wheat, Roasted Soybeans, Soybean Meal, Soybeans, Storing organic grain, hay, and straw, Triticale</t>
  </si>
  <si>
    <t>Animal Feed: Livestock Feed (Alfalfa Meal), Livestock Feed (Alfalfa Pellets), Livestock Feed (Corn), Livestock Feed (Custom Organic Poultry Feed Mixes), Livestock Feed (Roasted Soybeans), Livestock Feed (Soybean Meal), Livestock Feed (Soybeans), Livestock Feed (Wheat Midds); Other: Brokering Organic Grains, Grinding Organic Grain and Custom Organic Livestock Feed Mixes, Mixing Custom Livestock Feed, Storing Organic Grain and Custom Organic Livestock Feed Mixes</t>
  </si>
  <si>
    <t>Other Grains, Pastas and Cereals: Barley (Barley (bulk)), Oats (Oats (bulk)), Rye (bulk), Wheat (Soft Wheat (bulk)), Wheat (Hard Wheat (bulk)); Dairy: Milk (Milk); Animal Feed: Forage (Corn (bulk)), Forage (Hay (bulk)), Forage (Soybeans (bulk))</t>
  </si>
  <si>
    <t>Other Grains, Pastas and Cereals: Corn, Soybean</t>
  </si>
  <si>
    <t>Other Grains, Pastas and Cereals: Alfalfa, Barley, Corn, Flax seeds, Oats, Rapeseed, Sesame, Soybean, Wheat, Wheat (Wheat bran), Wheat; Oils &amp; Oleoresins: Oils (Crude flaxseed oil), Oils (Crude rapeseed oil), Oils (Crude sunflower oil), Oils (Flaxseed oil), Oils (Rapeseed oil), Oils (Sesame oil), Oils (Soybean oil (soy oil)), Oils (Sunflower oil); Nuts/Seeds: Seeds (Sunflower seeds), Walnuts, Walnuts; Animal Feed: Livestock Feed (Flax cake), Livestock Feed (Flaxseed cake), Livestock Feed (Flaxseed meal), Livestock Feed (Rapeseed cake), Livestock Feed (Rapeseed meal), Livestock Feed (Sesame cake/meal), Livestock Feed (Soybean cake), Livestock Feed (Sunflower cake), Livestock Feed (Sunflower meal), Livestock Feed (Sunflower seed cake/meal), Livestock Feed (Wheat bran)</t>
  </si>
  <si>
    <t>Other: All Natural Jaggery Coconut Peanut Butter, All-Natural Peanut Butter, Amaranth, Brown Rice Cake (Salted), Chia seed, Corn (maize), Jaggery Powder, Millet, Multigrain Brown Rice Cakes (Lightly Salted), Multigrain Brown Rice Cakes (Unsalted), Oats (Seeds/Grain), Peanut Butter, Quinoa, Roasted Blanched Peanuts, Sorghum, Wholegrain Brown Rice Cakes - All Natural (Lightly Salted), Wholegrain Brown Rice Cakes - All Natural (Unsalted)</t>
  </si>
  <si>
    <t>Other: Dried daylily, frozen Mucosity corn, Quick-frozen chilled daylily</t>
  </si>
  <si>
    <t>Other: 100% Whole Wheat Bread, 100% Whole Wheat Bread, Thin Sliced, 21 Whole Grains and Seeds Bread, 21 Whole Grains and Seeds Bread, Thin Sliced, AMPED UP BLUEBERRY ALMOND BUTTER PROTEIN BAR 1.9oz, 7.6oz, 22.8oz, AMPED UP DOUBLE CHOCOLATE COCONUT PROTEIN BAR 1.9oz, 7.6oz, 22.8oz, Cocoa Brownie Blitz 1.75oz., Cocoa Brownie Blitz 12ct, Cocoa Brownie Blitz 4ct, Epic Everything Breakfast Bread, Good Seed Bread, Good Seed Bread, Thin Sliced Bread 20.5oz, Good Seed Bread, Thin Sliced Bread 24oz, OAT-RAGEIOUS/COCOA BROWNIE 20ct CLUB PACK, Oat-Rageous Honey Almond 1.75oz., Oat-Rageous Honey Almond 12ct, Oat-Rageous Honey Almond 20ct, Oat-Rageous Honey Almond 4ct, Oats and Blues 25oz, Powerseed Bread, Powerseed Bread, Thin Sliced 20.5 oz., Powerseed Bread, Thin Sliced 24 oz., Raisin the Roof Bread, Righteous Rye Bread, Sprouted Whole Grains Bread, Thin-Sliced, Trail Mix Crumble 1.75oz., Trail Mix Crumble 12ct, Trail Mix Crumble 4ct, White Bread Done Right, White Bread Done Right Bread, Thin-Sliced</t>
  </si>
  <si>
    <t>Other: Black Eyed Peas, 35 lbs, Black Oil Sunflower, 35 lbs, Blonde Barley, 35 lbs, Bloody Butcher Corn, 35 lbs, Einkorn Wheat, 35 lbs, Emmer Wheat, 35 lbs, Oats, 35 lbs, Okra, 35 lbs, Old Turkey Red Wheat, 35 lbs, Processing, Handling, and Packaging of Organic Grain Products, Purple Barley, 35 lbs, Red Heritage Sorghum, 35 lbs, Sesame, 35 lbs, Spelt, 35 lbs, Wheat, 35 lbs, White Heritage Wheat, 35 lbs., White Sonoran Wheat, 35 lbs</t>
  </si>
  <si>
    <t>Other: Brokering Soybean Meal, Organic Grains, and Hay, corn, Distributing Soybean Meal, Organic Grains, and Hay, hay, roasted soybeans, soybean meal, soyhulls</t>
  </si>
  <si>
    <t>Other Grains, Pastas and Cereals: Basmati Rice,; Oils &amp; Oleoresins: Coconut oil - Fractionated,Coconut oil (RBD), Coconut oil - LCT,Coconut oil - MCT ,Crude coconut oil,Extra Virgin Coconut Oil,Extra virgin unfiltered coconut oil,Liquid coconut oil, Virgin coconut oil,White coconut oil; Fruits/Vegetables: Jackfruit; Condiments and Sweeteners: Brown rice syrup 20 - 97 DE; Beverage Related Products: Black Tea; Other: Black Pepper Powder,Cassava flour ,Cinnamon quilling, Coconut Butter,Coconut chips,Coconut chips coated with coconut syrup,Coconut cream (22%), Coconut cream 18% fat UHT,Coconut Cream 24% Aseptic (Single),Coconut Cream 25% Fat,Coconut Cream 30% Fat,Coconut Cream 30% Fat (single) - Aseptic,Coconut Cream Light,Coconut Desiccated,Coconut flakes,Coconut Flour,Coconut Jam,Coconut milk 10%,Coconut Milk 18% Aseptic (Single),Coconut Milk 22%-24% fat (Single Ingredients) , Coconut Milk 9%,Coconut Milk Drink,Coconut Milk Light,Coconut Milk with Tetra Pack,Coconut Nectar , Coconut palm sap,Coconut Protein Powder, Coconut shredded,Coconut smile,Coconut spread ,Coconut Sugar, Coconut Syrup,Coconut treacle,Coconut vinegar, Coconut Water, Coconut water concentrate,Coconut water with Tetra Pack,Coconut Whipping Cream,Condensed coconut milk,Coriander Powder,Cumin Powder,Cumin seed,Defatted desiccated coconut,Dehydrated banana powder,Dehydrated Curry Leaves Powder,Dehydrated Moringa leaves,Dehydrated ripened jackfruit,Dehydrated Water Melon,Desiccated coconut - chips,Desiccated coconut coarse grade,Desiccated coconut toasted chips,Desiccated Toasted Chips Sweeten with Coconut Sugar,Fennel Powder,Fenugreek Powder,Fenugreek seed,Garcinia cambogia Powder,Garlic Powder,Golden coconut milk,King coconut water,Mango dehydrated,Molasses,Moringa leaves powder,Moringa Powder,Moringa tea bag cut,Nutmeg Powder,Tapioca starch,Turmeric Latte Mix,Turmeric Powder,Turmeric Whole Dried,Turmeric Whole Dried (Curcuma),UHT Coconut cream (22+-2%:Recipe A),UHT Coconut Milk (17+-2%:Recipe A), Neem Powder, Coconut Aminos ,,Coconut Cream, Aegle mamelos powder (bel/bael/aegle/mamelos), aloe vera powder, amla powder, anacardium occidentale l, annotto seed, annotto seed powder, arrowroot powder, ashwagandha powder, asparagus racemosus (shatavari) powder, bacopa monnieri powder, beetroot powder, betacarotene powder, biotin powder, calcium powder, centella asiatica powder, chana dal, chicory, chromium powder, cinnamomym zeylanicum blume (dalchini) - stem bark, cinnamon bark powder, clove, clove powder, coconut powder (coconut powder), comiphora whitii powder, copper powder, coriander, curcuma longa - turmeric, curcumin powder, curcuminoid powder, eclipta alba powder, elettaria cardmomum powder, eucalyptus powder, fennel seed, flax seed, folic acid / vitamin b9, ginger powder, green cardemom, green gram whole (moong dhuli),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/niacin powder, vitamin b5 powder, vitamin b6 powder, vitamin c powder, vitamin d powder, vitamin d2 powder, vitamin d3 powder, vitamin e powder, vitamin k powder, vitamin k2mk7 powder, withania somnifera ashwagandha powder, zinc powder., Coconut Chai Latte Mix ,Coconut Milk 18% Fat UHT with Guar Gum,Coconut Milk 24% Fat UHT with Guar Gum,Coconut Milk Powder,Coconut Protein Banana Smoothies with Coconut MCT,Coconut Protein Chocolate Smoothies with Coconut MCT,Coconut Protein Gotukola Smoothie with Coconut MCT,Coconut Protein Mango Smoothies with Coconut MCT,Coconut Protein Moringa Smoothie with Coconut MCT,Coconut Protein Pineapple Smoothies with Coconut MCT,Coconut Protein Slimming Smoothie with Coconut MCT,Coconut Protein Turmeric Smoothie with Coconut MCT,Coconut Protein Watermelon Smoothies with Coconut MCT,Coconut Slimming Latte Mix,Coconut Water Powder,Moringa Latte Mix,Virgin Coconut Oil Powder, Mct oil powder</t>
  </si>
  <si>
    <t>Bread/Bakery/Snacks: Bread (7 Grain Sprouted Wheat Bread), Bread (7 Grain Sprouted Wheat Bread - Breads For Life), Bread (7 Grain Sprouted Wheat Bread - Salt Free)</t>
  </si>
  <si>
    <t>Other: Beans (Black Turtle Beans), Beans (Garbanzo Beans), Beans (Kidney Beans), Corn (Rainbow Popcorn), Corn (Yellow Popcorn), Rice (Bamati Rice, Brown), Rice (Basmati Rice, White), Rice (Calrose Rice, Brown), Rice (Calrose Rice, White), Rice (Forbidden Rice), Rice (Jade Pearl Rice), Rice (Jasmine Rice, Brown), Rice (Jasmine Rice, White), Rice (Long Grain Brown ), Rice (Long Grain, White), Rice (Quick Cooking Brown Calrose Rice Rice), Rice (Red Rice), Rice (Sushi Rice), Rice (Tricolor Rice)</t>
  </si>
  <si>
    <t>Other: #Processing, handling, and distribution of legumes, grains, and milled flours and meals; Cleaning of grains and legumes; Dehulling of grains; Seed conditioning;, *Flours and Meals: barley flour, *buckwheat flour, *corn flour, *corn meal, *kernza flour, *pinto bean flour, *rye flour, *Emmer wheat flour, *wheat flour., *Legumes and Grains: beans (pinto), *barley, *buckwheat, *corn, *Emmer wheat, *kernza, *millet, *oats, *popcorn, *rye, *wheat.</t>
  </si>
  <si>
    <t>Other Grains, Pastas and Cereals: Wheat; Other: Rapeseed, Sunflower</t>
  </si>
  <si>
    <t>Other Grains, Pastas and Cereals: Pasta, Pasta, Pasta, Pasta, Pasta, Pasta, Pasta, Pasta, Pasta, Pasta, Pasta, Pasta, Pasta</t>
  </si>
  <si>
    <t>Processed  Items: Processed Items-Other - Cracked Corn, Processed Items-Other - Soybean Hulls, Processed Items-Other - Soybean Meal, Processed Items-Other - Sunflower Meal; Other Grains, Pastas and Cereals: Barley (Barley-Barley), Other Other Grains, Pastas and Cereals - Corn (White &amp; Yellow), Other Other Grains, Pastas and Cereals - Milo, Wheat (Wheat-Wheat); Oils &amp; Oleoresins: Oils (Oils-Soybean Oil); Fruits/Vegetables: Beans (Beans-Soybeans); Animal Feed: Livestock Feed (Livestock Feed-Mixed Feed for Livestock)</t>
  </si>
  <si>
    <t>Processed  Items: Processed Items-Other - Cracked Corn; Other Grains, Pastas and Cereals: Barley (Barley-Barley), Other Other Grains, Pastas and Cereals - Milo, Wheat (Wheat-Wheat); Fruits/Vegetables: Beans (Beans-Soybeans), Other Fruits/Vegetables - Corn (White &amp; Yellow)</t>
  </si>
  <si>
    <t>Other Grains, Pastas and Cereals: Wheat (Wheat-Wheat); Fruits/Vegetables: Beans (Beans-Soybeans), Beans (Beans-Soybeans), Other Fruits/Vegetables - Corn (White &amp; Yellow)</t>
  </si>
  <si>
    <t>Processed  Items: Processed Items-Other - Soybean Hulls, Processed Items-Other - Soybeans De-Hulled, Processed Items-Other - Sunflower Meal; Other Grains, Pastas and Cereals: Wheat (Wheat-Wheat); Fruits/Vegetables: Beans (Beans-Soybeans), Beans (Beans-Soybeans (Broken, Splits &amp; Pieces)), Other Fruits/Vegetables - Corn (White &amp; Yellow), Other Fruits/Vegetables - Cracked Corn</t>
  </si>
  <si>
    <t>Processed  Items: Processed Items-Other - Cracked Corn, Processed Items-Other - Soybean Hulls, Processed Items-Other - Soybean Meal, Processed Items-Other - Sunflower Meal; Other Grains, Pastas and Cereals: Barley (Barley-Barley), Other Other Grains, Pastas and Cereals - Milo, Wheat (Wheat-Wheat); Oils &amp; Oleoresins: Oils (Oils-Soybean Oil); Fruits/Vegetables: Other Fruits/Vegetables - Corn (White &amp; Yellow); Animal Feed: Livestock Feed (Livestock Feed-Mixed Livestock Feed)</t>
  </si>
  <si>
    <t>Processed  Items: Processed Items-Other - Corn (Broken, Split &amp; Pieces), Processed Items-Other - Cracked Corn, Processed Items-Other - Soybean Byproducts (Seed Cleaning), Processed Items-Other - Soybean Hulls, Processed Items-Other - Soybean Meal, Processed Items-Other - Soybeans (Broken, Split &amp; Pieces), Processed Items-Other - Soybeans (De-Hulled), Processed Items-Other - Soybeans (Roasted), Processed Items-Other - Wheat Byproducts (Seed Cleaning), Processed Items-Other - Wheat Hulls; Other Grains, Pastas and Cereals: Wheat (Wheat), Wheat (Wheat (Seed Cleaning)); Oils &amp; Oleoresins: Oils (Soybean Oil); Fruits/Vegetables: Beans (Soybeans), Beans (Soybeans (Seed Cleaning)), Other Fruits/Vegetables - Corn (White &amp; Yellow); Animal Feed: Livestock Feed (Feed Corn), Livestock Feed (Mixed Feed for Livestock), Livestock Feed (Sunflower Meal)</t>
  </si>
  <si>
    <t>Processed  Items: Processed Items-Other - Cracked Corn, Processed Items-Other - Soybean Hulls, Processed Items-Other - Soybean Meal; Other Grains, Pastas and Cereals: Other Other Grains, Pastas and Cereals - Milo, Wheat (Wheat-Wheat); Oils &amp; Oleoresins: Oils (Oils-Soybean Oil); Fruits/Vegetables: Beans (Beans-Soybeans), Other Fruits/Vegetables - Corn (White &amp; Yellow)</t>
  </si>
  <si>
    <t>Processed  Items: Processed Items-Other - Soybean Hulls, Processed Items-Other - Soybeans (Roasted), Processed Items-Other - Wheat Byproducts (Seed Cleaning); Other Grains, Pastas and Cereals: Wheat (Wheat-Wheat), Wheat (Wheat-Wheat (Seed Cleaning)), Wheat (Wheat-Wheat Hulls); Fruits/Vegetables: Beans (Beans-Soybean Byproducts (Seed Cleaning)), Beans (Beans-Soybeans), Beans (Beans-Soybeans (Seed Cleaning)), Other Fruits/Vegetables - Corn (White &amp; Yellow)</t>
  </si>
  <si>
    <t>Other Grains, Pastas and Cereals: Cereal (Rye (whole and ground)), Soybeans, Wheat (Spelt (whole and ground)), Wheat (Wheat (whole and ground)); Dry/Baking Goods: Flours and Meals (Corn Flour), Flours and Meals (Rye Flour), Flours and Meals (Spelt Flour), Flours and Meals (Wheat Flour); Other: Bagging grains, Blending / Mixing, Bourbon Blend, Cleaning grains and seeds, Corn (whole and ground), Custom cleaning of organic beans, grains and seeds, Dehulling grains, Drying, Grinding grains, Labeling bagged grains, Rye Whiskey Blend</t>
  </si>
  <si>
    <t>Trees/Whole Plant Products/Flowers: Flowers (Trees and Ornamentals: Cosmos), Flowers (Trees and Ornamentals: Ornamental Grass), Flowers (Trees and Ornamentals: Zinnia), Flowers (Trees and Ornamentals: Snapdragon), Flowers (Trees and Ornamentals: Didiscus), Flowers (Trees and Ornamentals: Poppies), Flowers (Trees and Ornamentals: Rudbeckia), Flowers (Trees and Ornamentals: Marigold), Flowers (Trees and Ornamentals: Salvia), Flowers (Trees and Ornamentals: Eryngium), Flowers (Trees and Ornamentals: Nigella), Flowers (Trees and Ornamentals: Phacelia), Flowers (Trees and Ornamentals: Amaranth), Flowers (Trees and Ornamentals: Sunflowers), Flowers (Trees and Ornamentals: Aster), Flowers (Trees and Ornamentals: Strawflower), Flowers (Trees and Ornamentals: Statice), Flowers (Trees and Ornamentals: Scabiosa), Flowers (Trees and Ornamentals: Cerinthe), Flowers (Trees and Ornamentals: Calendula), Flowers (Trees and Ornamentals: Ageratum), Flowers (Trees and Ornamentals: Bachelor's Buttons), Flowers (Trees and Ornamentals: Echinachea), Flowers (Trees and Ornamentals: Bells of Ireland), Flowers (Trees and Ornamentals: Sweet Pea), Flowers (Trees and Ornamentals: Nicotiana), Flowers (Trees and Ornamentals: Larkspur), Flowers (Trees and Ornamentals: Nasturtiums), Flowers (Trees and Ornamentals: Borage), Flowers (Trees and Ornamentals: Sweet Annie), Flowers (Trees and Ornamentals: Atriplex); Other: Seeds (Vegetables: Shallots), Seeds (Herbs: Feverfew), Seeds (Vegetables: Winter Squash), Seeds (Vegetables: Summer Squash), Seeds (Vegetables: Carrots), Seeds (Vegetables: Radishes), Seeds (Fruit: Watermelons), Seeds (Herbs: Catnip), Seeds (Vegetables: Seed Blend - Sassy Salad Mix), Seeds (Vegetables: Mache), Seeds (Vegetables: Seed Blend - Braising Greens), Seeds (Vegetables: Asian Greens), Seeds (Vegetables: Seed Blend - Happy-Go-Lettuce), Seeds (Vegetables: Scallion), Seeds (Vegetables: Celery), Seeds (Vegetables: Arugula), Seeds (Vegetables: Parsnip), Seeds (Vegetables: Swiss Chard), Seeds (Vegetables: Broccoli), Seeds (Vegetables: Gai Lan), Seeds (Vegetables: Turnips), Seeds (Vegetables: Pumpkins), Seeds (Grains: Quinoa), Seeds (Vegetables: Peppers), Seeds (Fruit: Mixed Melons), Seeds (Herbs: Basil), Seeds (Vegetables: Tomatillos), Seeds (Vegetables: Fennel), Seeds (Vegetables: Spinach), Seeds (Vegetables: Beans), Seeds (Vegetables: Seed Blend - Bean Scene), Seeds (Vegetables: Cucumbers), Seeds (Herbs: Chives), Seeds (Vegetables: Cauliflower), Seeds (Vegetables: Chinese Cabbage), Seeds (Vegetables: Cabbage), Seeds (Vegetables: Peas), Seeds (Vegetables: Mixed Gourds), Seeds (Vegetables: Leeks), Seeds (Vegetables: Kohlrabi), Seeds (Herbs: Cilantro), Seeds (Vegetables: Corn), Seeds (Vegetables: Kale), Seeds (Vegetables: Seed Blend - Kale Club), Seeds (Herbs: Dill), Seeds (Vegetables: Collards), Seeds (Vegetables: Beets), Seeds (Vegetables: Brussel Sprouts), Seeds (Grains: Amaranth), Seeds (Grains: Millet), Seeds (Vegetables: Rutabaga), Seeds (Vegetables: Celeriac), Seeds (Vegetables: Eggplants), Seeds (Vegetables: Radicchio), Seeds (Vegetables: Mustard), Seeds (Vegetables: Tomatoes), Seeds (Herbs: Parsley), Seeds (Vegetables: Chicory), Seeds (Vegetables: Lettuce)</t>
  </si>
  <si>
    <t>Other: Breads and Other Baked Goods (Organic 14 Grain Bread, Organic Black Forest Bread, Organic Country Bread, Organic Vegan Brioche Bread, 
Organic Multigrain Bread, Organic Millet Flax Bread,)</t>
  </si>
  <si>
    <t>Processed  Items: SOYBEAN EXPELLER; Other Grains, Pastas and Cereals: CORN, Sorghum, SUNFLOWER, Wheat; Nuts/Seeds: CHIA (Salvia hispanica L); Fruits/Vegetables: Beans (CHICKPEA), Beans (BEAN), Beans (SOYBEAN), Citrus (LEMON); Dry/Baking Goods: Sugar (SUGAR CANE)</t>
  </si>
  <si>
    <t>Other: Agave Syrup (Agave Syrup, and Agave Syrup Blue), Beans (Pinto Beans), Brazil Nuts, Cacao Butter, Cacao Nibs, Cacao Nibs, Cacao Nibs (Cacao Nibs (non-retail)), Cacao Powder, Chia (Black Chia Seeds), Coconut (Coconut Water), Coconut (Raw Coconut Sugar), Coconut (Shredded), Dates (Paste), Flax Seed (Brown), Flax Seed (Golden), Fruit Juice (Maqui Berry (Aristotelia Chilensis) Juice Concentrate), Fruit Powder (Acai Berry Freeze Dried Powder), Fruit Powder (Elderberry Powder), Fruit Powder (Goji Berry Powder), Fruit Powder (Maqui Berry Freeze Dried Powder), Fruits (Golden Berries, Gooseberry, Aguaymanto-Dehydrated), Goji Berries, Grains (Gelatinized Quinoa), Grains (Quinoa), Grass Powder (Wheat Grass Powder), Green Lentils, Hemp Powder (Hemp Protein Powder), Herbs (Camu Camu Powder), Herbs (Lucuma Powder), Herbs (Sacha Inchi Powder), Honey (Wildflower, Raw), Lentils, Maca (Maca Gelatinized), Maca Powder (Maca Powder), Nuts (Almonds), Nuts (Cashew Kernel), Nuts (Hazelnuts), Nuts (Macadamia), Nuts (Pistachios), Nuts (Walnuts), Oats (Rolled), Oils (Extra Virgin Olive Oil), Oils (Specialty) (Sacha Inchi Oil), Peanuts, Pecans, Powder (Acai), Powder (Ashwagandha), Powder (Barley Grass Powder), Powder (Beet), Powder (Beet Powder), Powder (Black Pepper Powder), Powder (Cacao), Powder (Cacao Nibs), Powder (Chaga Mushroom), Powder (Chlorella), Powder (Detox Blend), Powder (Energy Blend), Powder (Focus Blend), Powder (Ginger Powder), Powder (Greens Blend), Powder (Immunity Blend), Powder (Kale Powder), Powder (Lion's Mane Mushroom), Powder (Maca), Powder (Matcha), Powder (Mind Blend), Powder (Moringa), Powder (Moringa Detox), Powder (Moringa Protein), Powder (Pea Protein), Powder (Recovery Blend), Powder (Reishi Mushroom), Powder (Rhodiola powder), Powder (Rice Protein), Powder (Spirulina), Powder (Turmeric), Pumpkin Seed (Protein Powder), Pumpkin Seed (Pumpkin Kernel), Quinoa Flour, Rice (Brown) (Long Grain), Rice (Brown) (Short Grain), Seeds (Black Chia), Seeds (Hemp), Seeds (White Chia Seeds), Sesame Seed (Sesame Seeds, and Sesame Seeds Hulled), Spirulina (Spirulina powder), Sugar (Cane Sugar), Sunflower Seed, Sweetener (Algarroba (Mesquite) Powder), Tea (Matcha Green Tea Powder), Turmeric (Raw Turmeric Powder)</t>
  </si>
  <si>
    <t>Other: Cheese (Cheddar Concentrate 12244D (non-retail)), Cheese (Cheddar Concentrate 12269D (non-retail)), Cheese (Parmesan Cheese Base (non-retail)), Cheese (Romano Cheese Concentrate (non-retail)), Grains (White Sorghum Whole Grain (1lb, 50lb non-retail)), Milk Products (Cream Concentrate 1556P (non-retail)), Milk Products (Sour Cream Concentrate (non-retail))</t>
  </si>
  <si>
    <t>Processed  Items: Seeds (Arroz - Arroz - Black Rice;
Arroz - Arroz - Brown Rice;
Arroz - Arroz – Paddy;
Arroz - Arroz - Red Rice;
Arroz - Arroz - Rice broken;
Azuki Beans - - Azuki Beans;
Barley - Cebada – Barley;
Barley - Cebada - Barley Flour;
Beans - Frijol, Habichuelas, judías - Balck Beans;
Beans - Frijol, Habichuelas, judías – Beans;
Beans - Frijol, Habichuelas, judías - Beans White;
Beans - Frijol, Habichuelas, judías - Black Eye/ Eyed Bean;
Beans - Frijol, Habichuelas, judías - Canelli Beans;
Beans - Frijol, Habichuelas, judías - greate northern beans;
Beans - Frijol, Habichuelas, judías - green bean;
Beans - Frijol, Habichuelas, judías - Lima Beans;
Beans - Frijol, Habichuelas, judías - Navy Beans;
Beans - Frijol, Habichuelas, judías - Pinto Beans;
Beans - Frijol, Habichuelas, judías - Red Beans;
Beans - Frijol, Habichuelas, judías - white bean;
Beet - Remolacha, Beterraga - beet powder;
Blueberry - Arandanos - Blueberries-Wild Frozen;
Broccoli (Brassica oleracea.) - Brocoli (Brassica oleracea.) - Broccoli Powder;
Carob flour - Algarrobo (Carob) en polvo - Carob Powder;
Carob, fresh, chilled, frozen or dried, whether or not ground - Algarrobas, frescas, refrigeradas, congeladas o secas, incluso pulverizadas - Kibbled carob Carob, fresh, chilled, frozen or dried, whether or not ground - Algarrobas, frescas, refrigeradas, congeladas o secas, incluso pulverizadas - Locust Bean Gum (E410);
Carrots - Zanahoria - Carrots;
Cashew - Marañon - Cashew;
Chia Seeds - Semillas de chía - chia seeds / chia seed flour;
Chickpeas - Garbanzos - Brown Chickpea;
Chickpeas - Garbanzos - chickpea/s , chickpea flour;
Chickpeas - Garbanzos - Chickpeas;
Flax seed - Lino semilla - Brown / yellow flaxseed/seedsM;
Flax seed - Lino semilla - Brown Flaxseeds;
Flax seed - Lino semilla - Flax seed-s, meal, oil,;
Flax seed - Lino semilla - golden flax seed;
Millet seeds - - Millet;
Millet seeds - - yellow millet;), Spices (Flours, Starches and Flakes - - Yellow pea Flour;
Fruits and Vegetables - Compotes and Purées - - Pear Puree;
Fruits and Vegetables - Compotes and Purées - - Raspberry Puree;
Fruits and Vegetables - Extracts and Concentrates - - Cranberry Juice Concentrate;
Fruits and Vegetables - Extracts and Concentrates - - Red Grape Concentrate;
Garlic - Ajos - Garlic;
Garlic - Ajos - garlic powder;
Grapefruit Concentrate - Concentrado de pomelo - toronjas - Grapefruit Concentrate;
Grapes dried - - Raisins;
Grapes dried - - Raisins (Sultanas, Golden);
Grapes fresh - Uvas - Grapes;
Green peas - Guisantes - green pea;
Green peas - Guisantes - Green split peas;
Guava - Guayaba - guavas / guava puree;
Guava - Guayaba - Guava puree;
Hazelnut shelled - Avellana sin cáscara - Hazelnuts in shell;
Hazelnuts - Avellanas - hazelnut;
Hazelnuts - Avellanas - hazelnut meal;
Hazelnuts in shell - Avellanas con cáscara - Hazelnuts in shell;
Honey - Miel de abeja - Honey;
Juices - Fruits and Vegetables - - Pineapple Juice;
Kidney beans - Judías (porotos, alubias, frijoles, frejoles) comunes - Kidney bean;
Lemon Juice - Jugo de limon - Lemon juice concentrate;
Lemons - Limones - Lemon;
Lentils - Lenteja - Brown, Yellow, green, Lentil/lentils;
Lentils - Lenteja - green lentils;
Lentils - Lenteja - Lentil Brown;
Lentils - Lenteja - Lentil Green;
Lentils - Lenteja - Red Football Lentil;
Lentils - Lenteja - Red Lentil;
Lentils - Lenteja - Red Split Lentil;
Lentils - Lenteja - Yellow Split Lentil;
Limes - Limas - Lime;
Mace (a product from nutmeg fruits) - Macis (un producto de frutos de nuez moscada) - Mace;
Maize/corn (Zea mays subsp. mays) - Maiz (Zea mays subsp. mays) - Corn / corn - maize including flour;
Mango - - Mango puree;
Mangoes and mangosteens fresh or dried - Mangos y mangostanes frescos o secos - Mangoes;
Milk Skimmed powder - - Milk powder;
Mint (fresh or chilled) - Menta (fresca o refrigerada) - Mint;
Mulberries - Moras - Mulberry;
Mung bean - - Mung bean;
Mustard Seed - Semillas de mostaza - Mustard Seed;
Nut Butters - - Cashew Butter;
Nutmeg crushed or ground - Nuez moscada triturada o molido- Nutmeg;
Oats flaked - copos de avena - Oat groats;
Oats Rolled - Avena Arrollada - Oat;
Oats Rolled - Avena Arrollada - Oat bran;
Oats Rolled - Avena Arrollada - Oat flakes;
Olives - Aceitunas - Olive;
Onions and shallots - Cebollas - Onions;
Orange Juice - Jugo de naranja - Orange Juice;
Oranges - Naranjas - Orange Peel;
Oregano - Orégano - Oregano;
Organic Rice - Arroz Organico - Crisp Brown Rice;
Other Chocolate preparation - otros - dark chocolate;
Other spices - Otras especias - Laurel leaves;
Packing - Feed for livestock - - Mixed Feed Pellet (All Types);
Packing - Flour, meal, powder, flakes, granules - - green pea flour;
Packing - Processed cereals or grains by-products - -;
Palm nuts and kernels - Nueces y granos de palma - Hazelnut Kernels;
Parsley (Petroselinum crispum) - Perejil (Petroselinum crispum) - Parsley Flakes;
Peaches - Melocotones (duraznos) - Peach;
Peanut - Cacahuate, maní - Peanuts;
Peanut butter - Matequilla de cacahuate, Mani - Peanut Butte;
Pear Juice - Jugo de pera - Pear Juice;
Pears - Peras - Pear;
Peas - Arveja - Broken green/ yellow pea;
Peas - Arveja - Brown Pea;
Peas - Arveja - Pea;
Peas (Pisum sativum) - Arveja (Pisum sativum) - Yellow Pea;
Pecan - Pecanas - Pecans;
Pepper - Pimientos - Bell Pepper (Green, Red, Yellow);
Pepper - Pimientos - Jalapenos;
Pepper - Pimientos - Pepper;
Pineapples - Piña - Pineapple;
Pistachios shelled - Pistachos sin cáscara - Pıstachıo;
Plums - Ciruelos - Prunes;), Spices (Pomegranate - Granada - Pomegranate;
Pomegranate Concentrate - Concentrado de granada - Pomegranate Juice Concentrate;
Pomegranate Juice - Jugo de granada - Pomegranate Juice;
Pop corn - Palomitas de maíz - Popcorn;
Poppy seeds - Semillas de amapolas - Poppy (Blue/White);
Poppy seeds - Semillas de amapolas - Poppy Seed;
Pumpkins, squash and gourds - Calabazas(zapallos) y calabacines - Butternut Squash Freeze;
Quinoa - - Quinoa;
Quinoa flour - Harina de Quinoa - Quinoa Flour;
Rapeseeds - Semillas de colza - Rapeseed;
Raspberry - Frambuesas - Raspberries;
Rice starch - Almidón de arroz - rice starch;
Rosemary - Romero - rosemary;
Rye seed - - rye;
Sage tea - - sage;
Seeds of anise - Semillas de anís - Seeds of anise;
Semolina - Sémola - semolina;
Sesame (Sesamum indicum) - Sesamo (Sesamum indicum) - dehulled, hulled sesame seeds-seed;
Sesame (Sesamum indicum) - Sesamo (Sesamum indicum) - Hulled Sesame;
Spinach - Espinaca - spinach;
Strawberries - Fresas - Strawberries;
Sumac - Rhus, sumac o zumaque - sumac;
Sunflower seeds, whether or not broken - Semillas de girasol, incluyendo quebrantadas - sunflower;
Thyme - Tomillo - thyme;
Tomato paste - - Tomato Paste;
Tomato Puree - Puré de tomate - tomato puree;
Tomatoe Concentrate - Concentrado de tomate - Tomato Concentrate;
Turmeric (Curcuma) - Cúrcuma - turmeric;
Vegetable oil - Aceites vegetales - High Oleic Sunflower Oil;
Virgin olive oil - Aceite de oliva virgen - Olive oil;
Walnuts in shell - Nueces con cáscara - Walnut;
Wheat - Trigo - freekeh;
Wheat - Trigo - Milling Wheat;
Wheat - Trigo - wheat;
Wheat or meslin - Harina de trigo o de morcajo - durum whea;
Wheat or meslin flour. - Harina de trigo - durum wheat flour;
Wheat or meslin flour. - Harina de trigo - Wheat Flour;
Zucchini - Calabacin - Zucchini - Actividad de Procesamiento Processing Activity: Purchase of different products,
classification, cleaning, screening, grinding, packaging and marketing.), Spices (Barley Pellet;
- - Berry (allt ypes);
- - Black Cumin;
- - Brown Sugar;
- - Bulghur / Bulgur - Brown and Yellow;
- - Capari;
- - CRUDE corn, hazelnut, rapeseed, safflovwer, soybean, walnut oils;
- - Cumin;
- - dried bean;
- - dried cherry;
- - dried figs;
- - feed pellets (all types);
- - flours (all purpose);
- - Hazelnut meal;
- - Maize;
- - Mushroom;
- - Nigella Seed;
- - Oregano oil;
- - Peach juice;
- - Peanut Paste;
- - Pinenuts;
- - rice;
1. Long Pasta: Spaghetti, linguine, Bucatini (and any model o long pasta) and Short: Tubetti, Rotelline, Fusilli, Anellini,Anelli, Macaroni, Noodle, Angel Hair, Rigattoni, Penne, shells elbow, elbo - Pastas Larga: Spaghetti, linguini, Bucatini (y cualquier modelo de pasta larga) y Corta: Tubetti, Rotelline,Fusilli, Anellini, Anelli, Macaroni, Fideo, Cabello de ángel, Rigattoni, Penne, shells, elbow, codito (y cualquier modelo de pasta corta) - Pasta (Macaroni);
Almond Butter Chocolate Bar - Barra de chocolate con mantequilla de almendras - almond butter chocolate bar;
Amaranth - Kiwicha – Amaranth;
Anise - Anís – Anise;
Apple Concentrate - Concentrado de manzana - Apple Concentrate;
Apple Dried/Powder - Manzana Seca/Polvo - Apple dried/powder;
Apple Juice - Jugo de manzana - Apple Juice;
Apple purée, including compotes - Puré de Manzana - Apple Puree including compotes;
Apples - Manzanas – Apples;
Apricot Puree - Puré de albaricoque - Apricot puree;
Apricots - Albaricoques, damascos – Apricots;
Chickpeas - Garbanzos - garbanzo chickpea flour;
Chickpeas - Garbanzos - split chickpea;
Cilantro - Coriander – Cilantro;
Cinnamon (Cinnamomum verum) - Canela (Cinnamomum verum) – Cinnamon;
Cocoa - Cacao - Cocoa Products (All Types);
Cocoa butter - Manteca de cacao - Cocoa Butter;
Coconut desiccated - Coco desecado - Coconut desiccated;
Coconut flour - Harina de coco - Coconut flour;
Coconut sugar - Azúcar de coco - Coconut sugar;
Cotton - Algodón - Cotton;
Cotton seed - Semillas de algodón - Cotton seed;
Couscous - - Couscous;
Dates - Dátiles - Dates;
Dried Nut &amp; Fruit Mixes - - dried apricot ( natural);
Extruded Rice Flour - Harina Extruida de Arroz - rice flour;
Fennel - Hinojo - fennel seeds;
Figs - Higos - Figs;
Flakes - Potato Chips - Hojuelas – Chips de papa - Patato Flakes;
Flour of soybeans - Harina de soja - soybean meal;
Flour, meal and powder of the dried leguminous - - Bean Flour;
Flours and meals of oil seeds or oleaginous fruits, other than those of mustard - Harinas y comidas de semillas oleaginosas o de frutos oleaginosos, que no sean de mostaza - Rapeseed Meal;
Flours, Starches and Flakes - - Pumpkin Flakes;
Flours, Starches and Flakes - - Quinou Flakes;
Flours, Starches and Flakes - - rye flour;
Flours, Starches and Flakes - - safflower meal;
Flours, Starches and Flakes - - Yellow Lentil Flour;); Oils &amp; Oleoresins: Oils (Aceite - - Canola and coconut Oil;
Aceite - - Refined Corn Oil;
Aceite - - Refined Hazelnut Oil;
Aceite - - Refined Rapeseed Oil;
Aceite - - Refined Safflower Oil;
Aceite - - Refined Soybean Oil;
Aceite - - Refined Sunflower Oil;
Aceite - - Refined Walnut Oil;
Aceite - - safflower oil;
Aceite - - soybean oil;
Coconut oil - Aceite de coco - Coconut oil;
Crude Palm oil - Aceite crudo de palma - Palm Oil;
Oilseeds - - Rapeseed Oil;)</t>
  </si>
  <si>
    <t>Processed  Items: Flours and Meals (Harina de Trigo Hard Red Wheat Winter Germinada
-Harina de Trigo Hard Red Wheat Spring Germinada
-Harina de Garbanzo Germinada
-Harina de Soya Germinada
-Harina de frijol Mungo Germinada
-Harina de Mijo Germinada
-Harina de Cebada Germinada
-Harina de Lenteja Germinada
-Harina de Pepita de girasol Germinada), Seeds (Maiz (Blanco y Azul), Pepita de Calabaza); Other Grains, Pastas and Cereals: Barley (Cebada), Beans (Frijol Mungo), Garbanzo, -Soya, -Mijo,-Lenteja, -Pepita de girasol, Quinoa (Quinoa (roja, blanca)), Wheat (Trigo Hard Red Wheat Winter
-Trigo Hard Red Wheat Spring); Fruits/Vegetables: Coliflor, Curly Kale, Lacinato Kale, Sandia,  Brocoli, Zanahoria, Betabel, Camote Dulce, Alfalfa, Perejil, Cebolla, Cilantro, Ajo,  Albahaca,   Coliflor IQF,  Pepita de Calabaza.</t>
  </si>
  <si>
    <t>Preservatives/Extracts/Flavors: Herbs (Coriander (green leaf)), Herbs (Fenugreek (methi leaf)), Spices (Garlic fresh), Spices (Ginger fresh); Other Grains, Pastas and Cereals: Rice (Basmati rice), Rice (Non- basmati rice); Oils &amp; Oleoresins: Oils (Sun flower oil), Oils (Virgin coconut oil); Fruits/Vegetables: Citrus (Lemon fresh), Green chilli fresh, Tomato, Vegetables (Onion fresh); Dry/Baking Goods: Powders (Jaggery powder), Sugar (Khandsari sugar), Sugar (Raw sugar), Sugar (Brown sugar), Sugar (Jaggery cube)</t>
  </si>
  <si>
    <t>Other Grains, Pastas and Cereals: Pasta (Adzuki bean fettuccine 红小豆意式宽面条, Adzuki bean spaghetti 红小豆意式细面条, Bean Pasta 豆类意面, Black bean fettuccine (Black soybean fettuccine) 黑豆意式宽面条, Black bean instant noodle 黑豆方便面, Black bean noodle (Black soybean noodle) 黑豆面条, Black bean spaghetti (Black soybean spaghetti) 黑豆意式细面条, Edamame (Green soybean) &amp; Mung bean fettuccine 青豆和绿豆意式宽面条, Edamame (Green soybean) &amp; Mung bean spaghetti 青豆和绿豆意式细面条, Edamame fettuccine (Green soybean fettuccine) 青豆意式宽面条, Edamame instant noodle (Green soybean instant noodle) 青豆方便面, Edamame noodle (Green soybean noodle) 青豆面条, Edamame spaghetti (Green soybean spaghetti) 青豆意式细面条, Mung bean fettuccine 绿豆意式宽面条, Mung bean instant noodle 绿豆方便面, Mung bean noodle 绿豆面条, Mung bean spaghetti 绿豆意式细面条, Soybean &amp; adzuki bean fettuccine 大豆与红小豆意式宽面条, Soybean &amp; adzuki bean spaghetti 大豆与红小豆意式细面条, Soybean chicken 大豆鸡翅, Soybean fettuccine 大豆意式宽面条, Soybean fish 大豆鱼片, Soybean instant noodle 大豆方便面, Soybean noodle 大豆面条, Soybean sausage 大豆香肠, Soybean shrimp 大豆虾仁, Soybean spaghetti 大豆意式细面条); Fruits/Vegetables: Powders (Adzuki bean powder 红小豆粉, Black bean powder 黑豆粉, Edamame (Green soybean) powder 青豆粉, Mung bean powder 绿豆粉, Soybean powder 大豆粉)</t>
  </si>
  <si>
    <t>Other Grains, Pastas and Cereals: Beans (Soybeans: DF 151 N, DF 155 F, DF 262 NF)</t>
  </si>
  <si>
    <t>Other Grains, Pastas and Cereals: Oils (Soybean); Other: Flours and Meals (Rapeseed, Sunflower, Soybean), Soybeans, Wheat</t>
  </si>
  <si>
    <t>Other: Baby Food - Fruit &amp; Grain Blends (Compleat Pediatric Plant-Based Blends), Baby Food - Fruit &amp; Grain Blends (Compleat Plant-Based Blends), Baby Food - Fruit &amp; Grain Blends (Grain &amp; Grown Morning Bowl - Oats, Barley and Red Quinoa with Banana &amp; Summer Berries), Baby Food - Fruit &amp; Grain Blends (Grain &amp; Grown Morning Bowl - Oats, Red Quinoa and Farro with Tropical Fruits), Baby Food - Fruit &amp; Veg Blends ( Bananas, Yogurt and Acai), Baby Food - Fruit &amp; Veg Blends (Apple Kale Fig), Baby Food - Fruit &amp; Veg Blends (Apple Mango Brown Rice with Vanilla), Baby Food - Fruit &amp; Veg Blends (Apple Purple Carrot Blueberry with Yogurt), Baby Food - Fruit &amp; Veg Blends (Apple Spinach with Kale), Baby Food - Fruit &amp; Veg Blends (Apple Strawberry Beet), Baby Food - Fruit &amp; Veg Blends (Apples, Kale &amp; Figs), Baby Food - Fruit &amp; Veg Blends (Apples, Raspberries &amp; Acai), Baby Food - Fruit &amp; Veg Blends (Banana &amp; Raspberrry with Yogurt &amp; Vanilla), Baby Food - Fruit &amp; Veg Blends (Bananas, Beets &amp; Pomegranate), Baby Food - Fruit &amp; Veg Blends (Garden Veggies &amp; Brown Rice with White Bean), Baby Food - Fruit &amp; Veg Blends (Mangoes, Apples, Carrots, &amp; Kale), Baby Food - Fruit &amp; Veg Blends (Mangoes, Bananas, Squash &amp; Acerola), Baby Food - Fruit &amp; Veg Blends (Mixed Veggies &amp; Chick Peas), Baby Food - Fruit &amp; Veg Blends (Peach Apricot Carrot with Yogurt), Baby Food - Fruit &amp; Veg Blends (Pear Mango Avocado), Baby Food - Fruit &amp; Veg Blends (Pear Peach Oatmeal), Baby Food - Fruit &amp; Veg Blends (Pear Purple Carrot Raspberry), Baby Food - Fruit &amp; Veg Blends (Pear Spinach), Baby Food - Fruit &amp; Veg Blends (Pears, Blueberries, Apples &amp; Avocado), Baby Food - Fruit &amp; Veg Blends (Pears, Mangoes &amp; Avocado), Baby Food - Fruit &amp; Veg Blends (Pears, Peaches, Pumpkin &amp; Fig), Baby Food - Fruit &amp; Veg Blends (Root Veggies &amp; Quinoa ), Baby Food - Fruit &amp; Veg Blends (Sweet Potato Apple Carrot), Baby Food - Fruit &amp; Veg Blends (Sweet Potatoes, Yogurt and Mango), Baby Food - Fruit &amp; Veg Blends (Teethers - Blueberry Apple Beet), Baby Food - Fruit &amp; Veg Blends (Teethers - Mango Banana Carrot), Baby Food - Fruit &amp; Veg Blends (Yogurt Melts Banana Strawberry), Baby Food - Fruit &amp; Veg Blends (Yogurt Melts Red Berries), Baby Food - Fruits (Apple), Baby Food - Fruits (Apple Wild Blueberry), Baby Food - Fruits (Baby Food Pouches: Apples), Baby Food - Fruits (Baby Food Pouches: Bananas), Baby Food - Fruits (Baby Food Pouches: Mangoes), Baby Food - Fruits (Banana), Baby Food - Fruits (Pear Berry Blend), Baby Food - Vegetables (Butternutt Squash), Baby Food - Vegetables (Carrots), Baby Food - Vegetables (Green Beans), Baby Food - Vegetables (Sweet Potato), Baby Snacks ( Popped Crisps Lentils), Baby Snacks (Gluten Free Biscuits - Apple), Baby Snacks (Gluten Free Biscuits - Honey), Baby Snacks (Grain &amp; Grown - Soft Baked Grain Bars - Banana Mango Pineapple), Baby Snacks (Grain &amp; Grown - Soft Baked Grain Bars - Raspberry Pomegranate), Baby Snacks (Lil' Crunchies White Bean Hummus), Baby Snacks (Lil' Crunchies White Cheddar Broccoli), Baby Snacks (Popped Crisps Green &amp; Yellow Peas), Baby Snacks (Puffs Cranberry Orange), Baby Snacks (Puffs Fig Berry ), Baby Snacks (Veggie Crisps Farm Greens), Baby Snacks (Veggie Crisps Orange Harvest), Misc. (Kids Protein Nutritional Shake - Chocolate), Misc. (Kids Protein Nutritional Shake - Strawberry), Misc. (Kids Protein Nutritional Shake - Vanilla), Puree Blends (Compleat Chicken Garden Blends), Puree Blends (Compleat Pediatric Chicken Garden Blends), Storage and Distribution</t>
  </si>
  <si>
    <t>Processed  Items: Cereal (Bulghur); Other Grains, Pastas and Cereals: Barley (Barley), Cereal (Corn), Oats (Oat), Wheat (Wheat); Nuts/Seeds: Seeds (Flaxseed, Sunflower seed); Animal Feed: Livestock Feed (Soybean meal, Sunflower kernel); Other: Beans (Soybean), Beans (Bean), Brown lentil, Chickpea, Green lentil, Red lentil, Yellow lentil, Seeds (Sesame)</t>
  </si>
  <si>
    <t>Oils &amp; Oleoresins: Oils; Condiments and Sweeteners: Agave Nectar; Other: Chia, Dehulling of Seed, Grain Milling, Labelling of Organic Products, Packaging of Food-Grade Oil, Repackaging of Organic Products, Sesame, Sesame, Sesame, Sesame, Sesame, Sesame, Sesame</t>
  </si>
  <si>
    <t>Other: Gin (Farmer's Gin), Grain Alcohol (Rye Alcohol), Grain Alcohol (Wheat Alcohol), Vodka, Vodka (American Harvest), Vodka (Blue Ice Wheat Vodka), Vodka (Psycho Love), Vodka (Square One Basil), Vodka (Square One Bergamot), Vodka (Square One Botanical), Vodka (Square One Cucumber), Vodka (Square One Vodka), Vodka (Trust Me Vodka)</t>
  </si>
  <si>
    <t>Other: Brokering (Products listed on certificate or addendum), Cassava Flour, Cassava Flour, Cream, Cream (Heat Treated Sweet Cream), Flaxseed, Livestock Feed - Alfalfa Meal (17% DEHY), Livestock Pellets - Alfalfa (17%), Nonfat Milk Powder, Nut Flour (Peanut 12% Fat), Rice (Brown) (Parboiled Long Grain), Wheat Millrun Livestock Feed</t>
  </si>
  <si>
    <t>Other: Arugula (Seed), Bean Processing (Client Profile Products only), Bean Seed (Seed), Cauliflower (Seed), Grain Processing (Client Profile Products only), Kale Seed, Lettuce Seed, Melons (Seed), Packing (Client Profile Products only), Pumpkin Seed, Quinoa (Seed), Radish Seed, Rice Seed, Seed (Cucumber), Seed (Mustard), Seed (Squash), Seed Processing (Client Profile Products only), Sunflower Seed, Watermelon Seed, Wheat (Grain)</t>
  </si>
  <si>
    <t>Other Grains, Pastas and Cereals: Barley, Wheat; Other: Chickpeas, Corn, Flax seeds, Hulled sunflower kernel, Lentils, Sesame Seeds, Soybeans, Sunflower seed</t>
  </si>
  <si>
    <t>Other: Grain &amp; Bean Cleaning &amp; Bagging/Drying/Dehulling/Debearding, Grain/Bean Screenings</t>
  </si>
  <si>
    <t>Other: Seed/Grain Cleaning &amp; Custom , Seed/Grain Packing &amp; Labeling, Seed/Grain Storage, GR-65 Oat seed, Armor oats oat seed, Jaquar soft red winter wheat seed, Spooner Rye Seed</t>
  </si>
  <si>
    <t>Other: Bagging certified organic seed, Barley Seed, Cleaning certified organic seed, Custom cleaning of organic grain for seed, Labeling of certified organic seed, Oat Seed, Rye Seed, Soybean Seed, Wheat Seed</t>
  </si>
  <si>
    <t>Other Grains, Pastas and Cereals: POPCORN, Quinoa; Nuts/Seeds: CHIA (Salvia hispanica L), SESAME; Fruits/Vegetables: Beans (CHICKPEA), Beans (BEAN)</t>
  </si>
  <si>
    <t>Other: Animal Feed (Rice Bran), Rice (Basmati) (Long Grain Brown), Rice (Basmati) (Long Grain White), Rice (Basmati) (White Rice), Rice (Broken) (Long), Rice (Broken) (Medium), Rice (Long Grain Brown) (Brown Rice), Rice (Long Grain White) (White Rice), Rice (Medium Grain Brown) (Brown Rice), Rice (Medium Grain White) (White Rice), Rice Hulls (Ground, Nonretail), Rice Packing (Client Profile Products only) (Rice Drying)</t>
  </si>
  <si>
    <t>Other: Blue Agave Nectar Amber Syrup, Blue Agave Nectar Syrup, Brown Sugar, Cane Sugar, Corn Starch, Demerara, Cane Sugar, Golden Granulated Liquid Raw Cane Sugar, Golden Granulated Powdered Raw Cane Sugar, Golden Granulated Raw Cane Sugar, Golden Granulated Raw Cane Sugar Medium Invert Syrup, Granulated Sugar, Liquid Raw Cane Sugar, Long Grain Brown Rice, Long Grain Brown Rice 4%, Long Grain Brown Rice Flour, Long Grain Brown Rice Mill Run, Long Grain White Rice, Long Grain White Rice 4%, Long Grain White Rice Mill Run, Molasses, Powdered Sugar, Pure Cane Sugar, Pure Cane Sugar, Regenerative Organic Brown Raw Cane Sugar (Dark), Regenerative Organic Brown Raw Cane Sugar (Light), Regenerative Organic Certified Heat Treated Long Grain White Rice Flour, Regenerative Organic Certified Long Grain White Rice, Regenerative Organic Certified Long Grain White Rice Flour, Regenerative Organic Light Brown Sugar, Regenerative Organic Powdered Sugar, Regenerative Organic Raw Cane Sugar, Regerative Organic Certified Heat Treated Long Grain Brown Rice Flour, Sugar Cane Bagasse, Turbinado Raw Cane Sugar, Turbinado Sugar</t>
  </si>
  <si>
    <t>Other: 50/50 Blend,Apples,Apricots,Apriums,Artichokes,Arugula,Baby Arugula,Asparagus,Avocado,Baby Kale &amp; Spring Mix,Baby Lettuce Mix,Baby Red Butter Lettuce &amp; Baby Spinach,Baby Spinach &amp; Arugula,Baby Spinach &amp; Arugula Blend,Baby Spinach &amp; Kale,Baby Spinach &amp; Spring Mix,Balsamic Vinaigrette Spring Mix Kit,Bananas,Barley,Beans,Beets,Blackberries,Blueberries,Bok Choy,Broccoli,Brussel Sprouts,Burgundy Blend,Cabbage,Cabbage(Green,Red),Cara Cara Navels,Carrot Juice,Carrot Pulp,Carrot Puree,Carrots,Carrots (Baby Peeled),Cauliflower,Celery,Celery Juice,Heart Celery,Chard,Cherries,Cilantro,Citrus,Coconuts,Collard,Condiments,Cooking Greens Power Blend,Corn,Cranberries,Creamy Cesar Baby Buter Kit,Creamy Miso Baby Spinach Kit,Cucumbers,Dandelion,Dates,Dill,Dried (Fruits &amp; Vegetables),Eggplant,Belgian Endive,Exotics (Fruits &amp; Vegetables),Fennel,Fig Balsamic Baby Arugula Kit,Figs,Garden Punch Juice,Garlic,Grains,Grapefruit,Grapefruit Juice,Grapes,Green (Salad),Green Beans,Green Mango Tango Juice,Greens,Half and Half Blend,Herb Mix,Herb Salad (Spring Mix with Herbs),Herb Salad Mix,Herbs,IQF Vegetables (Brussel Sprouts),Juicing Blend,Kale,Baby Kale,Kiwifruit,Kiwis,Kohlrabi,Kumquats,Leeks,Lemon,Lemonade,Lemons,Sweet Baby Lettuce Blend,Lettuce(Baby,Butter,Leaf,Romaine,Sweet Baby),Lettuces,Limes,Mandarins,Mango(Red,Yellow),Mangos,Melons,Minneola,Mixed Greens,Mushrooms,Mustard Greens,Nectarines,Nuts,Oh Baby Green Juice,Onions,Onions(Green,Red,Sweet,Yellow),Orange Bulk Fruit,Orange Juice,Oranges,Oranges (Valencia,Navel),Organic Harvest Fruit,Organic Smile Snack,Organic Staples Fruit,Papaya,Parsley,Parsnips,Passion Fruit,Peaches,Pears,Peas,Bell Peppers,Peppers(Green,Hot,Red,Yellow),Persimmon,Pineapples,Plums,Pluots,Pomegranates,Potato(Sweet,Gold,Red,Russet,Sweet,Yukon),Power Blend,Power Green,Pre-cut (Fruit &amp; Vegetables),Proflowers,Radish,Radishes,Rambutan,Raspberries,Repack Organics Fruit,Hearts Romain,Root Cellar Juice,Rutabaga,Safflower,Salads,Smoothie Blend,Spinach,Spinach &amp; Butter Lettuce,Baby Spinach,Spring Mix,Spring Mix &amp; Herb,Sprouts,Squash,Squash(Yellow,Zucchini),Stone Fruits,Strawberries,Super Green Blends,Supreme Baby Spinach Blend,Tangerines,Tomatoes,Cherry Tomatoes,Trimmed Leeks,Turnips,Vegetable,Watermelon,Wheat,Zucchinis</t>
  </si>
  <si>
    <t>Dairy: Milk (Raw Fluid Milk); Animal Feed: Livestock Feed (COW-ABUNGA ORGANIC CALF PELLET); Other: Blending and Distribution of Total Mix Ration</t>
  </si>
  <si>
    <t>Other: Grain/Forage Storage: Hay, Yellow corn, Barley, Oats, Soybeans</t>
  </si>
  <si>
    <t>Other: #Processing, packaging, and labeling of Edible Dry Beans: Black, Cassoulet, Cranberry, Great Northern, Kidney (dark, light), Navy, Pink, Pinto, Small Reds, Yellows., #Processing, packaging, and labeling of hemp oil., Flours: Buckwheat, Burning Desire Cornmeal, Cornmeal, Emmer Wheat, Flint Dent Corn (blue, red, white, yellow), Flynn Creek Whole Wheat, Pinto Bean, and Rye., Grains: Popcorn (white, yellow), Whole Flaxseed, Sunflowers (roasted and salted)., Hemp (biomass); Hemp oil.</t>
  </si>
  <si>
    <t>Nuts/Seeds: Other Nuts/Seeds - Black Chia Seeds, Other Nuts/Seeds - Flax Seeds; Dry/Baking Goods: Baking Mixes (Pancake and Waffle Mix - Buttermilk), Baking Mixes (Pancake and Waffle Mix - Multigrain), Baking Mixes (Pancake and Waffle Mix - Protein), Flours and Meals (Amaranth Flour), Flours and Meals (Coconut Flour), Flours and Meals (Coconut Flour), Flours and Meals (Corn Meal), Flours and Meals (Gluten Free Coconut Flour), Flours and Meals (Millet Flour), Flours and Meals (Quinoa Flour), Other Dry/Baking Goods - Amaranth Grain</t>
  </si>
  <si>
    <t>Other: Ajwain, Ajwain Powder, Almond, Almond Flour, Amaranth Seed / Ram Dhana, Amla Powder, Arhar Dal, Ashwagandha Powder, Bajra Flour (Pearl Millet Flour), Bajra Porridge / Dalia, Barley Whole, Basil / Tulsi, Bay Leaf Powder, Bay Leaves / Tejpatta, Beetroot Powder, Black Gram / Urad Whole, Black Gram White Whole / Urad Gota, Black Mustard Seed / Mustard Black, Black Pepper, Black Pepper Powder, Black Rice / Black Non Basmati Rice, Brown Gram / Chana, Cardamom, Cardamom Large Black, Castor Oil, Chana Dal, Chia Seed, Chitra Kidney Beans / Rajma, Cinnamon, Cinnamon Powder, Clove Powder, Clove Whole, Coconut Oil, Coriander Powder, Coriander Seed / Whole, Corn Daliya / Maize Dalia, Cowpea / Lobia Whole, Cowpea White Dal, CTC Tea, Cumin Powder, Cumin Whole, Dehydrated Ginger Powder / Ginger Powder, Dehydrated Onion Powder / Onion Powder, Dehydrated Tomato Powder / Tomato Powder, Dried Curry Leaves / Curry Leaves Dried, Dry Rose Petals-Red, Fennel / Saunf, Fennel Powder, Fenugreek, Fenugreek Crushed, Fenugreek Powder / Methi Powder, Flaxseed, Gram Flour / Besan, Green Cardamom Powder, Green Gram Whole / Moong Whole, Green Tea, Groundnut / Peanut, Groundnut / Peanut Oil, Jaggery Powder, Jowar Porridge / Jowar Dalia, Kabuli Chana, Kalonji / Nigella, Kasuri Methi, Lemon Powder, Mace (Jaipatri), Maize (Corn), Malka Whole / Masoor Malka, Mango Powder / Aamchur Powder, Masoor Dal, Matki / Moth Bean, Mint Powder, Moong Dal Split, Moth Dhuli / Moth Dal Dhuli, Non-Basmati Rice, Nutmeg Whole, Oregano, Pearl Millet / Bajra, Poha / Chivda, Pumpkin Seeds, Quinoa, Quinoa Flour, Ragi Whole / Finger Millet Grain, Raisins / Kismis, Red Chilli Flakes, Red Chilli Powder, Red Chilli Whole, Red Kidney Beans / Rajma, Red Rice, Rice Flour, Rice Puffed / Murmure, Rice Sonamasuri, Rose Petals Powder, Saffron (Kesar), Sesame Oil / Gingelly Oil / Til Oil, Sorghum / Jowar, Sorghum Flour / Jowar Flour, Soyabean / Soybean Flour, Soyabean / Soybean White, Sugar, Sugar (Brown / Natural), Suji / Semolina, Sunflower Seed Oil, Sunflower Seeds, Tamarind Powder, Thymes, Turmeric Dried, Turmeric Powder, Urad Dal Split, Urad Dhuli / Urad Dal Mogar, Virgin Coconut Oil, Walnut, Water Melon Seeds, Wheat / Wheat Grain, Wheat Flour, Wheat Maida / Refined Wheat Flour, Wheatgrass Powder, White Pepper / White Pepper Whole, White Pepper Powder, Yellow Mustard / Mustard Yellow</t>
  </si>
  <si>
    <t>Other: Mixing, Sprouting, Dehydrating, Baking, Packaging, and Labeling of Carrington Farms Crounons: Cracked Pepper &amp; Sea Salt, Garden Herb, and Garlic &amp; Parmesan, Mixing, Sprouting, Dehydrating, Baking, Packaging, and Labeling of Flackers Flax &amp; Fonio Ancient Grain Crackers: Everything, and Garden Vegetable, Mixing, Sprouting, Dehydrating, Baking, Packaging, and Labeling of Flackers Flax Seed Crackers: Cinnamon &amp; Currants, Rosemary, Savory, Sea Salt, and Tomato &amp; Basil, Mixing, Sprouting, Dehydrating, Baking, Packaging, and Labeling of Flackers Multiseed Crackers: Cheeze Please, Maple, and Spicy Chili Lime, Mixing, Sprouting, Dehydrating, Baking, Packaging, and Labeling of Flackers Toasted Flax Seed Crisps: Black Sesame Seed &amp; Black Pepper</t>
  </si>
  <si>
    <t>Other: #Processing, packaging, and labeling of distilled alcoholic beverages., Apple Brandy, Buck Dancer Bourbon Whiskey, Downtown Toodeloo Rock and Rye, Fieldnotes Corn Vodka, Fieldnotes Gin, Fieldnotes Light Whiskey, Heady Bella Coffee Whiskey, Organic Corn Vodka, Spent Grains (feed)</t>
  </si>
  <si>
    <t>Other Grains, Pastas and Cereals: Oats (Fine flaked oats), Oats (Flaked oats), Oats (Oat bran), Oats (Oat flour), Oats (Thick flaked oats), Oats (Whole oat flour)</t>
  </si>
  <si>
    <t>Other Grains, Pastas and Cereals: Oats (Organic Flaked Oats), Oats (Organic Coarse Flaked Oats), Oats (Organic Fine Flaked Oats)</t>
  </si>
  <si>
    <t>Other Grains, Pastas and Cereals: Pasta (Calamari Gluten-Free), Pasta (Linguine Gluten-Free), Pasta (Paccheri Wheat Germ), Pasta (Riccolina Wheat Germ); Other: Distributing Pasta, Importing Pasta, Storing Pasta</t>
  </si>
  <si>
    <t>Other Grains, Pastas and Cereals: Corn; Fruits/Vegetables: Beans (Soybean); Animal Feed: Livestock Feed (Soybean cake), Livestock Feed (Soybean expeller), Livestock Feed (Soybean meal), Oils (Soybean oil)</t>
  </si>
  <si>
    <t>Processed  Items: Dehydrated Foods (100% Organic: Dehydrated grated coconut), Dehydrated Foods (Organic: Dried goji berry, Dried Mango chunk), Flours and Meals (Organic: Quinoa flour, Coconut flour), Organic: Green Protein Smoothie Mix, Flaxseed, Organic: Organic acai gummies, Organic matcha gumchies, Organic banana raspberry gumchies, Organic elderberry gumchies, Powders (Organic : Acerola powder, Powder sweet agave, Atomized acai berry powder, Elderberry powder, Matcha tea powder, Spirulina powder, Freeze-dried acaí berry (powder), Pea protein concentrate (powder), Brown rice protein concentrate powder, Raspberry powder, Agave Inulin powder, Monk fruit powder, Choco banana vegetable protein, Mixture of adaptogenic mushrooms), Seeds (100% Organic: White chia pinta, Black chia pinta); Preservatives/Extracts/Flavors: Powders (100% Organic: Freeze dried banana powder, Hemp protein powder, Kale powder, Wheatgrass powder, Ground coconut powder, Chlorella powder, Reishi mushroom powder, Lion's mane mushroom powder, Chaga mushroom powder, Muscle protein, Ginger powder, Turmeric powder, Camu Camu powder, Lucuma powder, Red maca powder, Black maca powder, Yellow maca powder, Cacao Powder, Sacha inchi powder, Ground black chia); Other Grains, Pastas and Cereals: 100% Organic: Hemp hearts (grain),  Pearl white quinoa, Pearl red quinoa, Pearl black quinoa, Amaranth, Cacao Nibs, Puffed amaranth, Tricolor quinoa, Crispy quinoa, Red quinoa, Organic: Flax seeds; Oils &amp; Oleoresins: 100% Organic: Coconut oil; Condiments and Sweeteners: Sugar (Organic: Coconut sugar), Syrups (Organic: Hazelnut flavored agave syrup, Maple flavored agave syrup, Amber agave syrup, Agave syrup, Clear Agave Syrup.); Other: Made with organic: Plant based protein super blend EU (Matcha-Moringa), Plant based protein super blend CH (Matcha-Moringa), Plant based protein super blend WW (MatchaMoringa), Plant based protein super blend EU (Plátano-Acai), Plant based protein super blend CH (Plátano-Acai), Plant based protein super blend WW (Plátano-Acai), Plant based protein super blend WW (Cacao-Maca), Plant based protein super blend EU (Cacao-Maca), Plant based protein super blend CH (Vainilla-Lúcuma), Plant based protein super blend EU (Vainilla-Lúcuma), Plant based protein super blend WW (Vainilla-Lúcuma), Plant based protein super blend CH (Cacao-Camú), All-In-One Smoothie Mix, Kids Protein, Energizing alkaline mix, Ashwagandha adaptogenic mushroom blend</t>
  </si>
  <si>
    <t>Other: Agave Inulin Powder (Premium Powdered Stevia Blend - SOA #80020), Blend (110821A Southwest Batter and Breader Blend), Blend (Kettlecorn Seasoning #15046202), Blend (Smoked Sausage Seasoning #12319101), Blend (Spicy Loaded Nacho Seasoning), Cheese Powder (Aged Cheddar Cheese Seasoning 153065), Cheese Powder (White Cheddar Chese Seasoning 153052), Cream Powder (2700240NA Cream Powder), Dough (Bagurextra P 0155 US (33523)), Dough (Y-Egg (2799)), Erythritol, Fruit Snack (PF507-20 Smoothie Melts Mixed Red Berry), Grain Blend (Pea Blend 112221A ), Misc Baking Mixes (Brownie Mix #2005), Misc Baking Mixes (Chocolate Cake Mix #2004), Misc Baking Mixes (Chocolate Chip Cookie Mix #2006), Misc Baking Mixes (Vanilla Cake Mix #2003), Misc Powders (PWD-009035A Gluten Free Anti Boil Over Powder #115058), Misc. Flavor (#160422K Non-GMO Gluten-Free Habanero Lime Seasoning), Misc. Flavor (Buttermilk Type Flavor #152930KP), Okara (RM-BLKOKAR00401 Organic Okara Flour), Okara (RM-OKAR00460 Upcycled Okara Flour), Processing, Seasoning Blend (#159983 WHITE CHEDDAR CHEESE SEASONING), Seasoning Blend (010224A Maple Dijon Type Seasoning), Seasoning Blend (010622A Salt and Pepper Seasoning), Seasoning Blend (010722B Southwest Type Marinade Seasoning), Seasoning Blend (010722H Cauliflower Blend), Seasoning Blend (010824C Sweet Onion Seasoning), Seasoning Blend (010924E Fiery Hot Seasoning), Seasoning Blend (011322E Beet Blend), Seasoning Blend (011525H Blazin’ Hot Cheddar Seasoning), Seasoning Blend (012317A RANCH), Seasoning Blend (012325A Kimchi Type Protein Seasoning), Seasoning Blend (012325B Pesto Protein Rice Seasoning), Seasoning Blend (012924M Carrot Beet Seasoning), Seasoning Blend (020222G Churro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(022823B Jalapeno Lime Seasoning), Seasoning Blend (030223D Vegan Peppermint Chocolate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(052523F Barbecue Seasoning), Seasoning Blend (052621A White Cheddar Seasoning), Seasoning Blend (060523A Sweet Potato Apple Seasoning), Seasoning Blend (060523C Stawberry Beet Seasoning), Seasoning Blend (061324K Sea Salt and Cracked Pepper Seasoning), Seasoning Blend (061724D Elote Seasoning), Seasoning Blend (062424B Vegan Cheesy Cauliflower Seasoning), Seasoning Blend (062724J Spanish Style Rice Seasoning), Seasoning Blend (062724M Green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(072822A Lime Seasoning), Seasoning Blend (080524Q Sweet and Spicy Vegan Ranch Seasoning), Seasoning Blend (080621DVegan Nacho Seasoning), Seasoning Blend (080621EVegan Ranch Seasoning), Seasoning Blend (080624N Vegan Garden Ranch Seasoning), Seasoning Blend (080921L Vegan Cheddar Seasoning), Seasoning Blend (081022L Chile Lime Seasoning ), Seasoning Blend (081121C Peas and Carrots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(092821E Sea Salt and Vinegar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(110521A Tomato Blend), Seasoning Blend (110624N Tamari Type Seasoning), Seasoning Blend (111020E Pizza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(155168KRosemary and Thyme Seasoning), Seasoning Blend (160310 Aged Cheddar Cheese Seasoning), Seasoning Blend (160311 White Cheddar Cheese Seasoning), Seasoning Blend (160344K Gluten-Free Vegan Chicken Type Flavored Seasoning), Seasoning Blend (160996K Vegan Mild Chili Seasoning), Seasoning Blend (Aged White Cheddar Seasoning #081516B), Seasoning Blend (Aged White Cheddar Seasoning 062816-C), Seasoning Blend (Bacon Type Seasoning 022516-A), Seasoning Blend (Bacon Type Seasoning 040915-B), Seasoning Blend (Barbecue Seasoning #091819E), Seasoning Blend (Barbecue Seasoning 091316B ), Seasoning Blend (Barbecue Seasoning 111314-A), Seasoning Blend (Buffalo Cheddar Seasoning 061915A), Seasoning Blend (Cheddar &amp; Broccoli Seasoning #032117A), Seasoning Blend (CHEDDAR CHEESE SEASONING #153055CR), Seasoning Blend (Cheddar Seasoning #010917G), Seasoning Blend (Cheddar Seasoning 060815A), Seasoning Blend (Cheesy Spinach and Cauliflower Seasoning 031023H), Seasoning Blend (Chipotle Barbecue Seasoning #111016B), Seasoning Blend (Chocolate Seasoning #022322D), Seasoning Blend (Garden Salsa Seasoning 081022C), Seasoning Blend (GF CURRY SEASONING #156947), Seasoning Blend (Gluten Free Vegan Creamy Seasoning #152690 ), Seasoning Blend (Gluten-Free Vegan Chicken Type Flavored Seasoning #155783K), Seasoning Blend (Green Chile Seasoning 022515-B), Seasoning Blend (Himalayan Salt &amp; Apple Cider Vinegar Seasoning #101016A), Seasoning Blend (Himalayan Salt and Pepper Seasoning 050316-C), Seasoning Blend (Himalayan Salty Caramel Seasoning #012517D), Seasoning Blend (Himalayan Sweet Seasoning 102114-C), Seasoning Blend (Honey Jalapeno #101116F), Seasoning Blend (Jalapeno Lime Seasoning 041316B), Seasoning Blend (Jalapeno Lime Seasoning 120915-A), Seasoning Blend (Moroccan Blend 101316G), Seasoning Blend (Nacho Chipotle Seasoning 081115A), Seasoning Blend (Nacho Seasoning #112216C), Seasoning Blend (Non Dairy Cheddar Seasoning #101216B), Seasoning Blend (NON-GMO GLUTEN-FREE CHILI LIME SEASONING #159546K), Seasoning Blend (Non-GMO Gluten-Free Hot Honey Seasoning #157735K), Seasoning Blend (Ponzu Seasoning 012216-D), Seasoning Blend (Ranch Seasoning 061715-A), Seasoning Blend (Ranch Seasoning 071615-A), Seasoning Blend (Roasted Garlic Seasoning #053119B), Seasoning Blend (Roasted Onion &amp; Garlic Seasoning 042315-B), Seasoning Blend (Rosemary Seasoning 072115-C), Seasoning Blend (Sea Salt &amp; Lime Seasoning #092019E), Seasoning Blend (Sea Salt and Black Pepper Seasoning 111513-C), Seasoning Blend (Sea Salt and Lime Seasoning 050721F), Seasoning Blend (Sea Salt and Vinegar Seasoning 091515-D), Seasoning Blend (Seasoning Wasabi Type  #120516D), Seasoning Blend (Sour Cream &amp; Onion Seasoning 123114-B), Seasoning Blend (Spicy Blend 101316H), Seasoning Blend (Sriracha Seasoning 100715A), Seasoning Blend (Sweet and Spicy Chili Seasoning - Made with Organic), Seasoning Blend (Sweet and Spicy Ranch 021916-E), Seasoning Blend (Sweet and Spicy Thai Seasoning #042919D), Seasoning Blend (Vegan Cheddar Type Seasoning #153060), Seasoning Blend (Vegan Chorizo Seasoning 011416-A), Seasoning Blend (Vegan Chorizo Seasoning 100313-A), Seasoning Blend (Vegan Nacho Seasoning #092019H), Seasoning Blend (Vegan Nacho Seasoning 120715-F), Seasoning Blend (Vegan Ranch Seasoning #091216C), Seasoning Blend (Vegan Ranch Seasoning #092019J), Seasoning Blend (Vegetable Pre Blend 010518E), Seasoning Blend (Wasabi Seasoning #090616B), Seasoning Blend (Wasabi Seasoning 101014-B), Seasoning Blend (White Cheddar Seasoning 082515-C), Seasoning Blend (White Cheddar Seasoning 092915-D), Seasoning Blend (White Cheddar Seasoning 110515-C), Seasoning Blend (White Truffle Sea Salt Seasoning 061015-D), Seasoning Mixes ( 051122B Spicy Mac and Cheese Seasoning), Seasoning Mixes ( 091323G Pina Colada Type Seasoning), Seasoning Mixes ( Vegan Ranch Seasoning 022622A), Seasoning Mixes ( White Cheddar Cheese Seasoning 153069CRK), Seasoning Mixes (#157733K Non-GMO Gluten-Free Rosemary Garlic Seasoning), Seasoning Mixes (#159448K NON-GMO GLUTEN-FREE GARLIC PARMESAN AND HERB SEASONING), Seasoning Mixes (#160420K Non-GMO Organic Gluten-Free Rosemary Garlic Seasoning), Seasoning Mixes (#21758921 Vegan Cheddar), Seasoning Mixes (010224B Miso Nori Seasoning Non Kosher), Seasoning Mixes (011022C Spicy Blend), Seasoning Mixes (011422E SB-OTWBK Seasoning), Seasoning Mixes (011623DVegan Pizza Seasoning), Seasoning Mixes (011822B Umami Blend), Seasoning Mixes (011822G Chile Lime Seasoning), Seasoning Mixes (011922A Protein White Truffle Sea Salt Seasoning), Seasoning Mixes (012419 Jalapeno Pineapple Seasoning), Seasoning Mixes (012821C Barbecue Seasoning), Seasoning Mixes (012821F Original Seasoning), Seasoning Mixes (012821G Zesty Nacho Seasoning), Seasoning Mixes (020221V Mushroom Seasoning), Seasoning Mixes (020723C Garden Salsa Seasoning), Seasoning Mixes (020822C Sweet Dijon Seasoning), Seasoning Mixes (020824B Teriyaki Seasoning), Seasoning Mixes (021021B Sea Salt and Vinegar Seasoning), Seasoning Mixes (021224H Cheesy Spinach and Cauliflower Seasoning), Seasoning Mixes (021622G Vegan White Cheddar Seasoning), Seasoning Mixes (022322E Mixed Berry Seasoning), Seasoning Mixes (030321B Blueberry and Sweet Potato Seasoning), Seasoning Mixes (031121B Flaming Sriracha Seasoning ), Seasoning Mixes (032423GGarlic and Onion Seasoning), Seasoning Mixes (032822H Chicken Type Flavor), Seasoning Mixes (041222C Chile Lime Seasoning), Seasoning Mixes (041323A Teriyaki Seasoning), Seasoning Mixes (041822H Spicy Loaded Nacho Seasoning), Seasoning Mixes (042922C Sea Salt and Olive Oil Seasoning), Seasoning Mixes (050322E Korean BBQ Seasoning), Seasoning Mixes (050322F Umami Blend), Seasoning Mixes (050323ASea Salt Blend), Seasoning Mixes (051221D White Chocolate Strawberry Seasoning), Seasoning Mixes (052121E Vegan Cheddar and Broccoli Seasoning), Seasoning Mixes (052522B Cheddar Seasoning), Seasoning Mixes (052523G Apple Broccoli Seasoning), Seasoning Mixes (052821B Sweet Potato and Pumpkin Spice Seasoning), Seasoning Mixes (060123A Mixed Berry and Sweet Pea Seasoning), Seasoning Mixes (061522C Jalapeno Cornbread Seasoning,), Seasoning Mixes (062023D Queso Fresco Type Seasoning), Seasoning Mixes (062222G Smoke Flavor), Seasoning Mixes (070822C Savory Vegetable Seasoning), Seasoning Mixes (070822F Cheddar Vegetable Seasoning), Seasoning Mixes (071221B GM Spicy Seasoning), Seasoning Mixes (071221E Vegan Cheddar and Broccoli Seasoning), Seasoning Mixes (071921YRed Pepper Tomato Basil Seasoning), Seasoning Mixes (072721B Vegan Elote Seasoning), Seasoning Mixes (080823A Tomato and Basil Seasoning), Seasoning Mixes (081022N Jalapeno Cornbread Seasoning), Seasoning Mixes (081420B Strawberry Beet Seasoning), Seasoning Mixes (081821D Vegan Salted Caramel Seasoning), Seasoning Mixes (081821L Vegan Cheddar Seasoning), Seasoning Mixes (082719A Non Dairy Sour Cream and Onion Seasoning), Seasoning Mixes (090320E Sriracha Seasoning), Seasoning Mixes (090523B Chile Lime Seasoning), Seasoning Mixes (090919A Sea Salt and Vinegar Seasoning), Seasoning Mixes (091423D Vegan White Cheddar Seasoning), Seasoning Mixes (091720C Vegan Sour Cream and Onion Seasoning), Seasoning Mixes (091820B Barbecue Seasoning), Seasoning Mixes (092523F Vegan Buffalo Ranch Seasoning), Seasoning Mixes (101121B Vegan Roasted Garlic and Parmesan Type Seasoning ), Seasoning Mixes (101520B Vegan Nacho Seasoning), Seasoning Mixes (101623B Strawberry Basil Seasoning), Seasoning Mixes (101723A Mixed Berry and Sweet Pea Seasoning), Seasoning Mixes (102120J Garden Vegetable Seasoning), Seasoning Mixes (102120M Tomato Carrot Seasoning), Seasoning Mixes (110421B Habanero Seasoning), Seasoning Mixes (111021C Vegan Zesty Ranch Seasoning), Seasoning Mixes (111720D Spicy Turmeric Seasoning), Seasoning Mixes (111721A Peach Mango Seasoning), Seasoning Mixes (112519B Vegan Sour Cream and Onion Seasoning), Seasoning Mixes (113021C Vegan Ranch Seasoning), Seasoning Mixes (120821D Buffalo Type Marinade), Seasoning Mixes (120921B Protein Sweet and Salty Type Seasoning), Seasoning Mixes (121021E Protein Caramel Seasoning), Seasoning Mixes (121021F Protein White Cheddar Seasoning), Seasoning Mixes (121323F Garlic and Herb Seasoning), Seasoning Mixes (122723B Korean Barbecue Seasoning), Seasoning Mixes (122723C Teriyaki Seasoning), Seasoning Mixes (122723E Sriracha Seasoning), Seasoning Mixes (122920E Blueberry and Sweet Potato Seasoning), Seasoning Mixes (122920F Vegan Broccoli Cheddar Style Flavored Seasoning), Seasoning Mixes (122920G Vegan Homestyle Ranch Seasoning), Seasoning Mixes (156118KGluten-Free Cheddar Cheese Seasoning), Seasoning Mixes (156576K NGMO Ranch Seasoning), Seasoning Mixes (156974K Gluten-Free Ginger Turmeric Seasoning), Seasoning Mixes (157379K Vegan White Cheddar Cheese Type Seasoning), Seasoning Mixes (158828K EVERYTHING BAGEL SEASONING ), Seasoning Mixes (158897KNon-GMO Gluten-FreeSour Cream and Onion Seasoning), Seasoning Mixes (159251KNon-GMO Gluten-Free Sharp Type White Cheddar Seasoning), Seasoning Mixes (159252KNon-GMO Gluten-Free Spinach and Parmesan Seasoning), Seasoning Mixes (159741K Organic Ginger Soy Seasoning), Seasoning Mixes (160313 Cheddar Cheese Seasoning), Seasoning Mixes (20691110 Kettle Corn), Seasoning Mixes (21758210 Spicy Maple), Seasoning Mixes (21758315 Salt &amp; Vinegar), Seasoning Mixes (21758821 Salty Lime), Seasoning Mixes (2700098NA White Cheddar Cheese Powder ), Seasoning Mixes (Aged Cheddar Cheese Seasoning 153066CRK), Seasoning Mixes (Aged Cheddar Seasoning #153066K), Seasoning Mixes (Aged White Cheddar Seasoning #010320A), Seasoning Mixes (Aged White Cheddar Seasoning #032219F), Seasoning Mixes (Aged White Cheddar Seasoning #041819C), Seasoning Mixes (Apple Cinnamon Seasoning #102417A), Seasoning Mixes (Baked Mac Seasoning 155507), Seasoning Mixes (Barbecue Seasoning #121517A), Seasoning Mixes (Barbecue Seasoning 012120B), Seasoning Mixes (Barbecue Seasoning 040620B), Seasoning Mixes (Barbecue Seasoning 111119E), Seasoning Mixes (Barbecue Seasoning 112420G), Seasoning Mixes (Beach Barbecue Seasoning #021319A), Seasoning Mixes (Berbere Seasoning #111218D), Seasoning Mixes (Breakfast Sausage Seasoning #112718B), Seasoning Mixes (Breakfast Sausage Seasoning (for Apple) #012919B), Seasoning Mixes (Breakfsat Sausage Seasoning (for Apple) 010820B), Seasoning Mixes (BROCCOLI AND CHEESE SEASONING #155786), Seasoning Mixes (Broccoli Spinach Kale Seasoning (072720K)), Seasoning Mixes (Buffalo Ranch Seasoning 071422E ), Seasoning Mixes (Buffalo Seasoning #157502K), Seasoning Mixes (Butter Type Flavor Powder #152657KP-IP), Seasoning Mixes (Candied Nut Seasoning (20658411)), Seasoning Mixes (Caramelized Onion  Seasoning 101619G), Seasoning Mixes (Caramelized Onion Seasoning #091018A), Seasoning Mixes (Carrot Beet Seasoning (090320K)), Seasoning Mixes (Carrot Spinach Dip Seasoning 050620C ), Seasoning Mixes (Carrot Spinach Dip Seasoning 061020A), Seasoning Mixes (Cheddar Cheese Seasoning #153051), Seasoning Mixes (Cheddar Cheese Seasoning #153055), Seasoning Mixes (Cheddar Cheese Seasoning #155668), Seasoning Mixes (Cheddar Cheese Seasoning #155928), Seasoning Mixes (Cheddar Cheese Seasoning #157933K ), Seasoning Mixes (Cheddar Cheese Seasoning 153142), Seasoning Mixes (Cheddar Seasoning #012120A), Seasoning Mixes (Cheddar Seasoning #020218B), Seasoning Mixes (Cheddar Seasoning #030817B), Seasoning Mixes (Cheese Pizza Seasoning #012120F), Seasoning Mixes (CHILI LIME SEASONING #157567K), Seasoning Mixes (Churro Seasoning 080921B), Seasoning Mixes (Cinnamon French Toast Seasoning #062118D), Seasoning Mixes (Cool Ranch Seasoning #062018A), Seasoning Mixes (Dark Chocolate and Himalayan Salt Seasoning 031020A), Seasoning Mixes (Dill Pickle Seasoning #061418J), Seasoning Mixes (Dill Pickle Seasoning #080718B), Seasoning Mixes (Dill Pickle Seasoning 010322C), Seasoning Mixes (Everything Bagel Seasoning #093019E ), Seasoning Mixes (Flaming Hot Seasoning #010318B), Seasoning Mixes (Flaming Hot Seasoning 030420E), Seasoning Mixes (Fuego Seasoning 101619C), Seasoning Mixes (Garden Vegetable Seasoning #155170K ), Seasoning Mixes (Gingerbread Cookie Seasoning 030420C), Seasoning Mixes (Gluten Free Vegan Cheddar Type Seasoning 153517K), Seasoning Mixes (Gluten-Free Apple &amp; Honey Flavored Seasoning #138019K), Seasoning Mixes (GLUTEN-FREE BUFFALO HOT WING SEASONING #156896K), Seasoning Mixes (Gluten-Free Salt and Pepper Seasoning #157682K), Seasoning Mixes (Gluten-Free Sriracha Seasoning #138020K), Seasoning Mixes (Gluten-Free Tequila Type Lime Seasoning #141078K), Seasoning Mixes (Gluten-Free Vegan Cheddar Type Seasoning #152695K), Seasoning Mixes (Grapefruit Seasoning #101119C), Seasoning Mixes (Habanero Seasoning 112619A), Seasoning Mixes (Himalayan Salt and Apple Cider Vinegar Seasoning #043018C), Seasoning Mixes (Himalayan Salt and Apple Cider Vinegar Seasoning #072518A), Seasoning Mixes (Himalayan Salt and Apple Cider Vinegar Seasoning #113017B), Seasoning Mixes (Himalayan Sweet Seasoning 100919H), Seasoning Mixes (Huevos Rancheros Type Seasoning #110918B), Seasoning Mixes (Italian Seasoning #150286), Seasoning Mixes (Italian Seasoning #152021K), Seasoning Mixes (Jalapeno Lime Seasoning 120420D), Seasoning Mixes (Jalapeno Seasoning #012418A), Seasoning Mixes (Jalapeno Seasoning 062017E), Seasoning Mixes (Ketchup Mustard and Pickle Seasoning #031418A), Seasoning Mixes (Kielbasa 17331103), Seasoning Mixes (Kool Ranch Seasoning #012821H), Seasoning Mixes (Korean Barbecue Seasoning #012419C), Seasoning Mixes (Korean Barbecue Seasoning #041519G), Seasoning Mixes (Korean Barbecue Seasoning #112918B), Seasoning Mixes (Korean Barbecue Seasoning (042520A)), Seasoning Mixes (Korean Barbecue Seasoning 021720M), Seasoning Mixes (Lemonade Seasoning #100319E), Seasoning Mixes (Lime Seasoning 041922A), Seasoning Mixes (LK Korean BBQ (18454102)), Seasoning Mixes (LK Original BB #18445702 (10000026701)), Seasoning Mixes (Maple Brown Sugar Seasoning #152291K), Seasoning Mixes (Maple Brown Sugar Type Seasoning #152290K), Seasoning Mixes (Maple Butter #17300202), Seasoning Mixes (Maple Sausage Seasoning (for Blueberry) #020819B ), Seasoning Mixes (Maple Sausage Seasoning (for Blueberry) 010820A ), Seasoning Mixes (Maple Spice and Brown Sugar Seasoning #022119C), Seasoning Mixes (Maui Onion Type Seasoning #012219A), Seasoning Mixes (Mesquite BBQ Seasoning #112118D), Seasoning Mixes (Mexican Elote Seasoning 042520B), Seasoning Mixes (Mexican Street Corn Type Seasoning 081022B ), Seasoning Mixes (Montreal Style Steak Seasoning 121520G), Seasoning Mixes (Nacho Seasoning #090216C), Seasoning Mixes (Nacho Seasoning #103018A), Seasoning Mixes (NGMOP MWO GF Habanero Lime Seasoning 157734K), Seasoning Mixes (Non Dairy Cheddar Parmesan Type Seasoning 120419A), Seasoning Mixes (Non Dairy Cheddar Seasoning 102919F ), Seasoning Mixes (Non Dairy Orange Cheddar Seasoning 101619F), Seasoning Mixes (Non Dairy White Cheddar Seasoning 101619D), Seasoning Mixes (Non-Dairy Buffalo Ranch Seasoning #011619A), Seasoning Mixes (Non-Dairy Ranch Seasoning #100217A), Seasoning Mixes (Non-GMO Gluten-Free Maple Butter Type Seasoning 157870K), Seasoning Mixes (Non-GMO Gluten-Free Pizza Seasoning 158856K), Seasoning Mixes (NS Sausage #18363110), Seasoning Mixes (ORGANIC CHEDDAR CHEESE SEASONING #160155K), Seasoning Mixes (Original Snack Mix Seasoning #150344K), Seasoning Mixes (Parmesan and Roasted Garlic Seasoning #040219C), Seasoning Mixes (Pepperoncini Seasoning 050416A), Seasoning Mixes (Pumpkin Spice Seasoning 030220B), Seasoning Mixes (Red Pepper Seasoning #042618C), Seasoning Mixes (Roasted Honey Seasoning #113018B), Seasoning Mixes (Roasted Red Bell Seasoning 062620E), Seasoning Mixes (Rotisserie Chicken Rub #032019C), Seasoning Mixes (Salsa Verde Seasoning 110922G), Seasoning Mixes (Salsa Verde Seasoning 112619C), Seasoning Mixes (Savory Jerky #17308503), Seasoning Mixes (Sea Salt &amp; Cracked Pepper Seasoning #122316A), Seasoning Mixes (Sea Salt and Lime Seasoning #120621G), Seasoning Mixes (Sea Salt and Pea Fiber Blend #092019L), Seasoning Mixes (Sea Salt and Vinegar Seasoning #010720A), Seasoning Mixes (Sea Salt and Vinegar Seasoning 050123F), Seasoning Mixes (Sea Salt and Vinegar Seasoning 081319A ), Seasoning Mixes (Sharp Cheddar Cheese Seasoning #155761 ), Seasoning Mixes (Sour Cream and Onion Seasoning #052819B), Seasoning Mixes (Sour Cream and Onion Seasoning #052819D), Seasoning Mixes (Sour Cream and Onion Seasoning #091819D), Seasoning Mixes (Sour Cream and Onion Seasoning 050123C), Seasoning Mixes (Southwest Seasoning #155736), Seasoning Mixes (Spicy Sweet Pepper Seasoning #112618B), Seasoning Mixes (Sriracha Seasoning #122117A), Seasoning Mixes (Sriracha Seasoning 040620C), Seasoning Mixes (Sweet and Salty Seasoning #062017F), Seasoning Mixes (Sweet and Spicy Chile Seasoning 061920D), Seasoning Mixes (Sweet and Spicy Ranch Seasoning 022820A), Seasoning Mixes (Sweet Dijon Seasoning #101518D), Seasoning Mixes (Sweet Potato Apple Seasoning (081420A)), Seasoning Mixes (Sweet Potato Pumpkin Thyme Seasoning #102120F), Seasoning Mixes (Teriyaki 18369505 (10000021316) ), Seasoning Mixes (Teriyaki Seasoning #122018B), Seasoning Mixes (Thai Curry and Kaffir Lime Seasoning 110922J), Seasoning Mixes (Tomato and Basil Seasoning 021420C ), Seasoning Mixes (Tomato and Mushroom Seasoning 020722C), Seasoning Mixes (Tomato and Mushroom Seasoning 050322A ), Seasoning Mixes (Vegan Baked Mac Seasoning 155638), Seasoning Mixes (Vegan Cheddar Seasoning #091018B), Seasoning Mixes (Vegan Cheddar Seasoning #112117B), Seasoning Mixes (Vegan Cheddar Seasoning (080320B)), Seasoning Mixes (Vegan Cheddar Seasoning 011020D), Seasoning Mixes (Vegan Cheddar Seasoning 021523C), Seasoning Mixes (Vegan Cheddar Type Seasoning #155040), Seasoning Mixes (Vegan Harvest Blend Seasoning #154427K), Seasoning Mixes (Vegan Mac and Cheese Seasoning #112817D), Seasoning Mixes (Vegan Nacho Seasoning #012320D), Seasoning Mixes (Vegan Nacho Seasoning #031218AR1), Seasoning Mixes (Vegan Nacho Seasoning (091120B)), Seasoning Mixes (Vegan Nacho Seasoning 031620C), Seasoning Mixes (Vegan Nacho Seasoning 050420C), Seasoning Mixes (Vegan Nacho Seasoning 061920C), Seasoning Mixes (Vegan Nacho Seasoning 082819G), Seasoning Mixes (Vegan Nacho Seasoning 100719B), Seasoning Mixes (Vegan Nacho Seasoning 110519H), Seasoning Mixes (Vegan Ranch Seasoning 012120C), Seasoning Mixes (Vegan Ranch Seasoning 030420A), Seasoning Mixes (Vegan Ranch Seasoning 110718C), Seasoning Mixes (Vegan Sour Cream and Onion Seasoning 040620D), Seasoning Mixes (Vegan Sour Cream and Onion Seasoning 042020F), Seasoning Mixes (Vegan Sriracha Ranch Seasoning 110822B), Seasoning Mixes (Vegan White Cheddar Jalapeno Seasoning #092019M), Seasoning Mixes (Vegan White Cheddar Jalapeno Seasoning 082819H), Seasoning Mixes (Vegan White Cheddar Seasoning #032919E), Seasoning Mixes (Vegan White Cheddar Seasoning #091918D), Seasoning Mixes (Vegan White Cheddar Seasoning #111219B), Seasoning Mixes (Vegan White Cheddar Seasoning 042020E), Seasoning Mixes (Vegan White Cheddar Seasoning 091021B), Seasoning Mixes (Wasabi and Pickled Ginger Seasoning #031518B), Seasoning Mixes (Wasabi Type Seasoning 081021H), Seasoning Mixes (Watermelon Hibiscus Seasoning #101019A ), Seasoning Mixes (White Cheddar Cheese Seasoning #153050), Seasoning Mixes (White Cheddar Cheese Seasoning #153056), Seasoning Mixes (White Cheddar Cheese Seasoning #153471), Seasoning Mixes (White Cheddar Cheese Seasoning #155921), Seasoning Mixes (White Cheddar Cheese Seasoning 153052CR ), Seasoning Mixes (White Cheddar Cheese Seasoning 153143), Seasoning Mixes (White Cheddar Seasoning #041717F), Seasoning Mixes (White Cheddar Seasoning #062017B), Seasoning Mixes (White Cheddar Seasoning #110217E), Seasoning Mixes (White Cheddar Seasoning #110518A), Seasoning Mixes (White Cheddar Seasoning #153069K), Seasoning Mixes (White Chocolate and Matcha Seasoning 030620B), Stevia Powder (10810019410526-1-T Pyure Powdered Sweetener Stevia Blend), Sweet Dairy Whey (OFP240SWP-ORG Dry Sweet Whey Powder), Sweetener Blend (Pyure Granular Sweetener Blend), Sweetener Blend (Swerve All Purpose), Sweetener Blend (Swerve Confectioners), Whey (OFP223IKSUN-ORG DairyPro 223I-ORG Organic WPC 80 Instant), Yeast Extract (052621C Autolyzed Yeast Extract ), Yogurt Powder (Yogurt Type Flavor Powder #152798K-IP)</t>
  </si>
  <si>
    <t>Other: Ancient Grain Granola - Blueberry Hemp, Apple Walnut MCT Grain-Free Granola, Banana Nut Butter Granola, Berry Crisp Ancient Grain Granola, Blueberry Oats &amp; Honey Granola Clusters, Blueberry Vanilla Flax Granola, Chocolate Chia Granola, Chocolate Chip Granola, Chocolate Hazelnut Grain-Free Granola, Chocolate Sea Salt Probiotic Granola, Cinnamon Peanut Butter Grain Free Granola, Cinnamon Peanut Butter Granola, Coconut Cashew Grain-Free Granola, Coconut Cashew Granola Clusters, Cranberry Cashew Granola, Cranberry Pecan Granola, Dark Chocolate Peanut Butter Granola, Honey Almond Probiotic Granola, Honey Coconut Granola, Honey Peanut Butter Ancient Grain Granola, Nut Butter Granola - Chocolate Sea Salt Peanut Butter, Nut Butter Granola - Maple Almond Butter, Oats &amp; Honey Granola, Oats &amp; Honey Granola Clusters, Original Ancient Grain Granola (alt- Original Salty-Sweet Granola), Original Ancient Grain REGEN Granola, Pecan Maple Granola, Pumpkin Cinnamon Granola, Vanilla Almond Butter Grain-Free Granola, Vanilla Almond Butter Grain-Free Granola, Vanilla Chocolate Chip Ancient Grain Granola</t>
  </si>
  <si>
    <t>Other: Custom Handling Organic Grain, Grinding Organic Grains, Storing Organic Grains, Transloading Organic Grains</t>
  </si>
  <si>
    <t>Other: Corn Ethanol, Corn Ethanol, Grain Neutral Spirits Ethanol, Grain Neutral Spirits Ethanol, SDA 35A Ethanol, SDA 35A Ethanol 200 Proof, SDA 38B Ethanol - Peppermint, Sugar Cane Spirits Ethanol, Sugar Cane Spirits Ethanol</t>
  </si>
  <si>
    <t>Other Grains, Pastas and Cereals: Wheat (Wheat); Animal Feed: Livestock Feed (Millrun)</t>
  </si>
  <si>
    <t>Other: Baking Mix (Pancake &amp; Waffle Mix), Corn (3 Corn Rainbow Grits), Corn (Cali Gold Corn Grits), Corn (Cali Gold Corn Kernels), Corn (Cali Gold Corn Polenta), Corn (Gourmet Rainbow Popcorn), Corn (Kentucky Blue Corn Grits), Corn (Kentucky Blue Corn Kernels), Corn (Kentucky Blue Corn Polenta), Corn (Pioneer White Corn Grits), Corn (Pioneer White Corn Kernels), Corn (Pioneer White Corn Polenta), Cornmeal (Cali Gold Cornmeal), Cornmeal (Kentucky Blue Cornmeal), Cornmeal (Pioneer White Cornmeal), Grains (Triticale Berries), Grains (Triticale Flour), Rye (Rye Berries), Rye Flour (Dark Rye Flour), Rye Flour (Pumpernickel Rye Flour), Wheat (Creamy Wheat Hot Cereal), Wheat (Hard Red Spring Wheat Bran), Wheat Berries (Alpowa Soft White Wheat Berries), Wheat Berries (Durum (Semolina) Wheat Berries), Wheat Berries (Hard Red Spring Wheat Berries), Wheat Berries (Hard White Wheat Berries), Wheat Flour (All Purpose Flour), Wheat Flour (Alpowa Soft White Wheat Flour), Wheat Flour (Hard Red Spring Wheat Flour), Wheat Flour (Hard White Wheat Flour), Wheat Flour (Iraqi Durum Wheat Flour), Wheat Flour (Phil's Legacy Bread Blend)</t>
  </si>
  <si>
    <t>Bread/Bakery/Snacks: cleaning, grinding, milling, milled grains &amp; cereal products, Flours and Meals (bread flour, corn flour, corn meal, early cereal, various mill screenings, oat flour, polenta, two grain cereal, wheat cereal, whole wheat flour, whole wheat berries, buckwheat flour, corn grits, dark rye flour, general purpose flour, oatmeal porage, pastry flour, rye, flour, what bran, whole wheat bread flour, whole wheat pastry flour), Flours and Meals (Corn bread mix)</t>
  </si>
  <si>
    <t>Preservatives/Extracts/Flavors: Extracts (Acacia Extract in Glycerin), Extracts (Acacia Extract in Sunflower Oil), Extracts (Acacia Extract WS), Extracts (Acai Berry Extract in Glycerin), Extracts (Acai Berry Extract in Sunflower Oil), Extracts (Acai Berry Extract WS), Extracts (Acerola Extract in Glycerin), Extracts (Acerola Extract in Sunflower Oil), Extracts (Acerola Extract WS), Extracts (Agave Extract in Glycerin), Extracts (Agave Extract in Sunflower Oil), Extracts (Agave Extract WS), Extracts (Agrimony Extract in Glycerin), Extracts (Agrimony Extract in Sunflower Oil), Extracts (Agrimony Extract WS), Extracts (Alfalfa Extract in Glycerin), Extracts (Alfalfa Extract in Sunflower Oil), Extracts (Alfalfa Extract WS), Extracts (Algae Extract in Water), Extracts (Aloe Extract in Organic Jojoba Oil), Extracts (Aloe Extract in Sunflower Oil), Extracts (Aloe Vera Extract 1X in Glycerin), Extracts (Aloe Vera Extract 1X-WS), Extracts (Amla Extract in Sunflower Oil), Extracts (Amla Extract WS), Extracts (Amla Extracts in Glycerin), Extracts (Apple Extract in Safflower Oil), Extracts (Arnica Extract in Glycerin), Extracts (Arnica Extract in Sunflower Oil), Extracts (Arnica WS), Extracts (Arrowroot Extract in Glycerin), Extracts (Arrowroot Extract in Sunflower Oil), Extracts (Arrowroot Extract WS), Extracts (Artichoke Extract in Glycerin), Extracts (Artichoke Extract in Sunflower Oil), Extracts (Artichoke Extract WS), Extracts (Ashwagandha Extract in Argan Oil), Extracts (Ashwagandha Extract in Glycerin), Extracts (Ashwagandha Extract in Sunflower Oil), Extracts (Ashwagandha Extract WS), Extracts (Astragalus Extract in Glycerin), Extracts (Astragalus Extract in Sunflower Oil), Extracts (Astragalus Extract WS), Extracts (Banana Extract in Glycerin), Extracts (Banana Extract in Sunflower Oil), Extracts (Banana Extract WS), Extracts (Barley Extract in Glycerin), Extracts (Barley Extract in Sunflower Oil), Extracts (Barley Extract WS), Extracts (Basil Extract in Glycerin), Extracts (Basil Extract in Sunflower Oil), Extracts (Basil Extract WS), Extracts (Bearberry Extract), Extracts (Bearberry Extract in Glycerin), Extracts (Bearberry Extract in Safflower oil), Extracts (Bearberry Extract in Sunflower oil), Extracts (Bee Pollen Extract in Glycerin), Extracts (Bee Pollen Extract in Sunflower Oil), Extracts (Bee Pollen Extract WS), Extracts (Beet Extract in Glycerin), Extracts (Beet Extract in Sunflower Oil), Extracts (Beet Extract WS), Extracts (Bilberry Extract in Organic Glycerin), Extracts (Bilberry Extract in Sunflower Oil), Extracts (Bilberry Extract WS), Extracts (Black Cohash Extract in Glycerin), Extracts (Black Cohash Extract in Sunflower Oil), Extracts (Black Cohash Extract WS), Extracts (Black Pepper Extract in Glycerin), Extracts (Black Pepper Extract in Sunflower Oil), Extracts (Black Pepper Extract WS), Extracts (Black Tea Extract in Glycerin), Extracts (Black Tea Extract in Sunflower Oil), Extracts (Black Tea Extract WS), Extracts (Black, Green Rooibos &amp; White Tea Extract in Organic Sunflower Oil), Extracts (Blackberry Extract (in Sunflower Oil - Hi Oleic)), Extracts (Blackberry Extract in Glycerin), Extracts (Blackberry Extract in Sunflower Oil), Extracts (Blackberry Extract WS), Extracts (Bladderwrack Extract in Glycerin), Extracts (Bladderwrack Extract in Sunflower Oil), Extracts (Bladderwrack Extract WS), Extracts (Blue Agave Extract in Glycerin), Extracts (Blue Agave Extract in Sunflower Oil), Extracts (Blue Agave Extract WS), Extracts (Blue Chammomile Extract in Sunflower Oil), Extracts (Blue Chamomile Extract in Glycerin), Extracts (Blue Chamomile Extract WS), Extracts (Blue Chamomile Flower Extract), Extracts (Blueberry Extract in Glycerin), Extracts (Blueberry Extract in Sunflower Oil), Extracts (Blueberry Extract WS), Extracts (Borage Extract in Glycerin), Extracts (Borage Extract in Sunflower Oil), Extracts (Borage Extract WS), Extracts (Brahmi Extract in Glycerin), Extracts (Brahmi Extract in Sunflower Oil), Extracts (Brahmi Extract WS), Extracts (Broccoli Extract in Glycerin), Extracts (Broccoli Extract in Sunflower Oil), Extracts (Broccoli Extract WS), Extracts (Buckwheat Extract in Glycerin), Extracts (Buckwheat Extract in Sunflower Oil), Extracts (Buckwheat Extract WS), Extracts (Burdock Root Extract in Glycerin), Extracts (Burdock Root Extract in Sunflower Oil), Extracts (Burdock Root Extract WS), Extracts (Butcher's Broom Extract in Glycerin), Extracts (Butcher's Broom Extract in Sunflower Oil), Extracts (Butcher's Broom Extract WS), Extracts (Calendula Extract in Coconut Oil), Extracts (Calendula Extract in Glycerin), Extracts (Calendula Extract in Olive Oil), Extracts (Calendula Extract in Safflower Oil), Extracts (Calendula Extract in Sunflower Oil), Extracts (Calendula Extract WS), Extracts (Camu Camu Extract in Glycerin), Extracts (Camu Camu Extract in Sunflower Oil), Extracts (Camu Camu Extract WS), Extracts (Capsaicin Extract in Glycerin), Extracts (Capsaicin Extract in Sunflower), Extracts (Capsaicin Extract WS), Extracts (Cardamom Extract in Glycerin), Extracts (Cardamom Extract in Sunflower Oil), Extracts (Cardamom Extract WS), Extracts (Carrot Extract in Glycerin), Extracts (Carrot Extract in Sunflower Oil), Extracts (Carrot Extract WS), Extracts (Ceylon Extract in Glycerin), Extracts (Ceylon Extract in Sunflower Oil), Extracts (Ceylon Extract Ws), Extracts (CGRARBK Extract in Glycerin), Extracts (Chaga Mushroom Extract in Glycerin), Extracts (Chaga Mushroom Extract in Olive Oil), Extracts (Chai Extract in Glycerin), Extracts (Chai Extract in Sunflower Oil), Extracts (Chai Extract WS), Extracts (Chamomile Concentrate), Extracts (Chamomile Extract in Glycerin), Extracts (Chamomile Extract in Organic Glycerin), Extracts (Chamomile Extract in Safflower Oil), Extracts (Chamomile Extract in Sunflower Oil), Extracts (Chamomile Extract WS), Extracts (Cherry Bark Extract in Glycerin), Extracts (Cherry Bark Extract in Sunflower Oil), Extracts (Cherry Bark Extract WS), Extracts (Cherry Extract in Glycerin), Extracts (Cherry Extract in Sunflower Oil), Extracts (Cherry Extract WS), Extracts (Chia Extract in Glycerin), Extracts (Chia Extract WS), Extracts (Chili Extract in Glycerin), Extracts (Chili Extract in Sunflower Oil), Extracts (Chili Extract WS), Extracts (Chipotle Extract in Glycerin), Extracts (Chipotle Extract in Sunflower Oil), Extracts (Chipotle Extract WS), Extracts (Chlorella Extract in Glycerin), Extracts (Chlorella Extract in Sunflower Oil), Extracts (Chlorella Extract WS), Extracts (Cinnamon Extract in Glycerin), Extracts (Cinnamon Extract in Sunflower Oil), Extracts (Cinnamon Extract WS), Extracts (Cocoa Extract in Glycerin), Extracts (Cocoa Extract in Olive Oil), Extracts (Cocoa Extract in Sunflower Oil), Extracts (Cocoa Extract WS), Extracts (Coconut Extract in Glycerin), Extracts (Coconut Extract in Sunflower Oil), Extracts (Coconut Extract WS), Extracts (Coconut Fruit Extract in Glycerin), Extracts (Coconut Milk Extract in Glycerin), Extracts (Coconut Milk Extract in Sunflower Oil), Extracts (Coconut Milk Extract WS), Extracts (Coconut Oil Extract in Glycerin), Extracts (Coconut Water Powder), Extracts (Codonopsis Extract in Glycerin), Extracts (Codonopsis Extract in Sunflower Oil), Extracts (Codonopsis Extract WS), Extracts (Coffee Arabica Extract in Sunflower Oil), Extracts (Coffee Extract in Glycerin), Extracts (Coffee Extract in Sunflower Oil), Extracts (Coffee Extract WS), Extracts (Coltsfoot Extract in Glycerin), Extracts (Coltsfoot Extract in Sunflower Oil), Extracts (Coltsfoot Extract WS), Extracts (Comfrey Extract in Organic Glycerin), Extracts (Comfrey Extract in Sunflower Oil), Extracts (Comfrey Extract WS), Extracts (Cordyceps Mushroom Extract in Glycerin), Extracts (Cordyceps Mushroom Extract in Olive Oil), Extracts (Coriander Extract in Glycerin), Extracts (Coriander Extract in Sunflower Oil), Extracts (Coriander Extract WS), Extracts (Cornflower Extract in Glycerin), Extracts (Cornflower Extract in Sunflower Oil), Extracts (Cornflower Extract WS), Extracts (Cramp Bark Extract in Glycerin), Extracts (Cramp Bark Extract in Sunflower Oil), Extracts (Cramp Bark Extract WS), Extracts (Cranberry Extract in Glycerin), Extracts (Cranberry Extract in Sunflower Oil), Extracts (Cranberry Extract WS), Extracts (CSGKAA Extract Blend in Glycerin), Extracts (Cucumber Extract in Coconut Oil), Extracts (Cucumber Extract in Glycerin), Extracts (Cucumber Extract in Sunflower Oil), Extracts (Cucumber Extract WS), Extracts (Daikon Radish Extract in Coconut Oil), Extracts (Daikon Radish Extract in Glycerin), Extracts (Daikon Radish Extract in Sunflower Oil), Extracts (Daikon Radish Extract WS), Extracts (Dandelion Extract in Glycerin), Extracts (Dandelion Extract in Sunflower Oil), Extracts (Dandelion Extract WS), Extracts (Date Extract in Glycerin), Extracts (Date Extract in Sunflower Oil), Extracts (Date Extract WS), Extracts (Dill Extract in Organic Glycerin), Extracts (Dill Extract in Sunflower Oil), Extracts (Dill Extract WS), Extracts (Dulse Extract in Glycerin), Extracts (Dulse Extract in Sunflower Oil), Extracts (Dulse Extract WS), Extracts (Echinacea Extract in Glycerin), Extracts (Echinacea Extract in Sunflower Oil), Extracts (Echinacea Extract WS), Extracts (Echinacea Purpurea Extract in Glycerin), Extracts (Echinacea Purpurea Extract in Sunflower Oil), Extracts (Echinacea Purpurea Extract WS), Extracts (Elderberry extract in Glycerin), Extracts (Elderberry Extract in Safflower Oil), Extracts (Elderberry Extract in Sunflower Oil), Extracts (Elderberry Extract WS), Extracts (Elderflower Extract in Glycerin), Extracts (Elderflower Extract in Sunflower Oil), Extracts (Elderflower Extract WS), Extracts (Eleuthero Extract in Glycerin), Extracts (Eleuthero Extract in Sunflower Oil), Extracts (Eleuthero Extract WS), Extracts (Epimdium Extract in Glycerin), Extracts (Epimdium Extract in Sunflower Oil), Extracts (Epimdium Extract WS), Extracts (Eucalyptus Extract in Glycerin), Extracts (Eucalyptus Extract in Sunflower Oil), Extracts (Eucalyptus Extract WS), Extracts (Extract Blend 002), Extracts (Extract Blend 184), Extracts (Eyebright Extract in Glycerin), Extracts (Eyebright Extract in Sunflower Oil), Extracts (Eyebright Extract WS), Extracts (Fennel Extract in Glycerin), Extracts (Fennel Extract in Sunflower Oil), Extracts (Fennel Extract WS), Extracts (Fenugreek Extract in Glycerin), Extracts (Fenugreek Extract in Sunflower Oil), Extracts (Fenugreek Extract WS), Extracts (Flaxseed Extract in Glycerin), Extracts (Flaxseed Extract in Sunflower Oil), Extracts (FSM Extract in Sesame Oil), Extracts (Gentian Extract in Sunflower Oil), Extracts (Gentian Extract WS), Extracts (Gentin Extract in Glycerin), Extracts (German Chamomile Extract in Glycerin), Extracts (German Chamomile Extract in Sunflower Oil), Extracts (German Chamomile Extract WS), Extracts (GEWGSYSG Extract in Glycerin), Extracts (Ginger Extract in Organic Glycerin), Extracts (Ginger Extract in Sunflower Oil), Extracts (Ginger Extract WS), Extracts (Gingko Biloba Extract in Glycerin), Extracts (Ginko Biloba Extract in Sunflower Oil), Extracts (Ginko Biloba Extract WS), Extracts (Ginseng Extract in Organic Glycerin), Extracts (Ginseng Extract in Sunflower Oil), Extracts (Ginseng Extract WS), Extracts (Goji Extract in Coconut Oil), Extracts (Goji Extract in Glycerin), Extracts (Goji Extract in Sunflower Oil), Extracts (Goji Extract WS), Extracts (Gotu Kola Extract GLY), Extracts (Gotu Kola Extract in Glycerin), Extracts (Gotu Kola Extract in Sunflower Oil), Extracts (Gotu Kola Extract WS), Extracts (Grape Extract GLY), Extracts (Grape Extract in Glycerin), Extracts (Grape Extract in Sunflower Oil), Extracts (Grape Extract WS), Extracts (Grapefruit Extract in Glycerin), Extracts (Grapefruit Extract in Sunflower Oil), Extracts (Grapefruit Extract WS), Extracts (Green Rooibos Extract in Glycerin), Extracts (Green Rooibos Extract in Sunflower Oil), Extracts (Green Rooibos Extract WS), Extracts (Green Tea Extract GLY), Extracts (Green Tea Extract in Organic Glycerin), Extracts (Green Tea Extract in Safflower Oil), Extracts (Green Tea Extract in Sunflower Oil), Extracts (Green Tea Extract WS), Extracts (GW-6 Extract Blend in Organic Glycerin), Extracts (Hemp Extract in Glycerin), Extracts (Hemp Extract in Sunflower Oil), Extracts (Hemp Extract WS), Extracts (Hibiscus Extract in Glycerin), Extracts (Hibiscus Extract WS), Extracts (Honey Extract in Coconut Oil), Extracts (Honey Extract in Glycerin), Extracts (Honey Extract in Sunflower Oil), Extracts (Honey Extract WS), Extracts (Honeysuckle Extract in Glycerin), Extracts (Honeysuckle Extract in Sunflower Oil), Extracts (Honeysuckle Extract WS), Extracts (Hops Extract in Glycerin), Extracts (Hops Extract in Sunflower Oil), Extracts (Hops Extract WS), Extracts (Horehound Extract in Coconut Oil), Extracts (Horehound Extract in Glycerin), Extracts (Horehound Extract in Sunflower Oil), Extracts (Horehound Extract WS), Extracts (Horesetail Extract in Sunflower Oil), Extracts (Horse Chestnut Extract GLY), Extracts (Horse Chestnut Extract in Glycerin), Extracts (Horse Chestnut Extract in Sunflower Oil), Extracts (Horse Chestnut Extract WS), Extracts (Horsetail Extract in Glycerin), Extracts (Horsetail Extract WS), Extracts (Juniper Extract in Glycerin), Extracts (Juniper Extract in Sunflower Oil), Extracts (Juniper Extract WS), Extracts (Kale Extract in Glycerin), Extracts (Kale Extract in Sunflower Oil), Extracts (Kale Extract WS), Extracts (Kelp Extract in Glycerin), Extracts (Kelp Extract in Sunflower Oil), Extracts (Kelp Extract WS), Extracts (Kombu Extract in Glycerin), Extracts (Kombu Extract in Sunflower Oil), Extracts (Kombu Extract WS), Extracts (Kombucha Extract in Sunflower Oil), Extracts (Kombucha Extract WS), Extracts (Kombucha in Glycerin), Extracts (KSACFC Extract Blend in Glycerin), Extracts (Lady's Mantle Extract in Glycerin), Extracts (Lady's Mantle Extract in Sunflower Oil), Extracts (Lady's Mantle Extract WS), Extracts (Laminaria Extract in Glycerin), Extracts (Laminaria Extract in Sunflower Oil), Extracts (Laminaria Extract WS), Extracts (Lavender Extract in Glycerin), Extracts (Lavender Extract in Sunflower Oil), Extracts (Lavender Extract WS), Extracts (Lemon Balm Extract in Glycerin), Extracts (Lemon Balm Extract in Sunflower Oil), Extracts (Lemon Balm Extract WS), Extracts (Lemon Extract in Glycerin), Extracts (Lemon Extract in Sunflower Oil), Extracts (Lemon Extract WS), Extracts (Lemongrass Extract in Glycerin), Extracts (Lemongrass Extract in Sunflower Oil), Extracts (Lemongrass Extract WS), Extracts (Licorice Extract in Glycerin), Extracts (Licorice Root Extract in Glycerin), Extracts (Licorice Root Extract in Sunflower Oil), Extracts (Licorice Root Extract WS), Extracts (Lime Extract in Glycerin), Extracts (Lime Extract in Sunflower Oil), Extracts (Lime Extract WS), Extracts (Linden Extract in Glycerin), Extracts (Linden Extract in Sunflower Oil), Extracts (Linden Extract WS), Extracts (Lotus Extract in Glycerin), Extracts (Lotus Extract in Sunflower Oil), Extracts (Lotus Extract WS), Extracts (Lucuma Extract in Glycerin), Extracts (Lucuma Extract in Sunflower Oil), Extracts (Lucuma Extract WS), Extracts (Maca Extract in Glycerin), Extracts (Maca Extract in Sunflower Oil), Extracts (Maca Extract WS), Extracts (Macadamia Extract in Glycerin), Extracts (Macadamia Extract in Sunflower Oil), Extracts (Macadamia Extract WS), Extracts (Maitake Mushroom Extract in Glycerin), Extracts (Maitake Mushroom Extract in Olive Oil), Extracts (Mallow Extract in Glycerin), Extracts (Mallow Extract in Sunflower Oil), Extracts (Mallow Extract WS), Extracts (Mangosteen Extract in Glycerin), Extracts (mangosteen Extract in Sunflower Oil), Extracts (Mangosteen Extract Ws), Extracts (Mangosteen, Papaya and Passion Flower Extract in Glycerin), Extracts (Marshmallow Extract in Coocnut Oil), Extracts (Marshmallow Extract in Glycerin), Extracts (Marshmallow Extract in Sunflower Oil), Extracts (Marshmallow Extract in Water), Extracts (Marshmallow Extract WS), Extracts (Matcha Extract in Glycerin), Extracts (Matcha Extract in Sunflower Oil), Extracts (Matcha Extract WS), Extracts (Matcha Green Tea Extract in Organic Sunflower Oil), Extracts (Mate Extract in Glycerin), Extracts (Mate Extract in Sunflower Oil), Extracts (Mate Extract WS), Extracts (Maypops Extract in Glycerin), Extracts (Maypops Extract in Sunflower Oil), Extracts (Maypops Extract WS), Extracts (Meadowsweet Extract in Glycerin), Extracts (Meadowsweet Extract in Sunflower Oil), Extracts (Meadowsweet Extract WS), Extracts (Melon Fruit Extract in Glycerin), Extracts (Melon Fruit Extract in Sunflower Oil), Extracts (Melon Fruit Extract WS), Extracts (Mesquite Extract in Glycerin), Extracts (Mesquite Extract in Sunfllower Oil), Extracts (Mesquite Extract WS), Extracts (Milk Thistle Extract in Glycerin), Extracts (Milk Thistle Extract in Sunflower Oil), Extracts (Milk Thistle Extract WS), Extracts (Mulberry Extract in Glycerin), Extracts (Mulberry Extract in Sunflower Oil), Extracts (Mulberry Extract WS), Extracts (Mushroom Extract in Argan Oil), Extracts (Mushroom Extract in Glycerin), Extracts (Mushroom Extract in Sunflower Oil), Extracts (Mushroom Extract WS), Extracts (Myrtle Extract in Glycerin), Extracts (Myrtle Extract in Sunflower Oil), Extracts (Myrtle Extract WS), Extracts (Neem Extract in Glycerin), Extracts (Nettle Extract in Glycerin), Extracts (Nettle Extract in Sunflower oil), Extracts (Nettle Extract WS), Extracts (Noni Extract in Glycerin), Extracts (Noni Extract in Sunflower Oil), Extracts (Noni Extract WS), Extracts (Nutmeg Extract in Glycerin), Extracts (Nutmeg Extract in Sunflower Oil), Extracts (Nutmeg Extract WS), Extracts (Oat Extract in Glycerin), Extracts (Oat Extract in Sunflower Oil), Extracts (Oat Extract WS), Extracts (Olive Extract in Glycerin), Extracts (Olive Extract in Sunflower Oil), Extracts (Olive Extract WS), Extracts (Onion Extract in Glycerin), Extracts (Onion Extract in Sunflower Oil), Extracts (Onion Extract WS), Extracts (Orange Extract in Glycerin), Extracts (Orange Extract in Sunflower Oil), Extracts (Orange Extract WS), Extracts (Oregano Extract in Glycerin), Extracts (Oregano Extract in Sunflower Oil), Extracts (Oregano Extract WS), Extracts (Oregon Grape Root Extract in Glycerin), Extracts (Oregon Grape Root Extract in Sunflower Oil), Extracts (Oregon Grape Root Extract WS), Extracts (Organic Red Clover Extract in Castor Oil), Extracts (Orris Extract in Glycerin), Extracts (Orris Extract in Sunflower Oil), Extracts (Orris Extract WS), Extracts (Papaya Fruit Extract in Glycerin), Extracts (Papaya Fruit Extract in Sunflower Oil), Extracts (Papaya Fruit Extract WS), Extracts (Papaya Leaf Extract in Glycerin), Extracts (Paprika Extract in Glycerin), Extracts (Paprika Extract in Sunflower Oil), Extracts (Paprika Extract WS), Extracts (Passion Flower Extract in Glycerin), Extracts (Passion Flower Extract in Sunflower Oil), Extracts (Passion Flower Extract WS), Extracts (Pea Extract in Glycerin), Extracts (Pea Extract in Sunflower Oil), Extracts (Pea Extract WS), Extracts (Pecan Extract in Glycerin), Extracts (Pecan Extract in Sunflower Oil), Extracts (Pecan Extract WS), Extracts (Peppermint Extract in Organic Glycerin), Extracts (Peppermint Extract in Sunflower Oil), Extracts (Peppermint Extract WS), Extracts (Pink Rose Extract in Organic Glycerin), Extracts (Pink Rose Extract in Sunflower Oil), Extracts (Pink Rose Extract WS), Extracts (Plantain Extract in Coconut Oil), Extracts (Plantain Extract in Glycerin), Extracts (Plantain Extract in Sunflower Oil), Extracts (Plantain Extract WS), Extracts (Pomegranate Extract in Organic Glycerin), Extracts (Pomegranate Extract in Sunflower Oil), Extracts (Pomegranate Extract WS), Extracts (Pomegranate Seed Extract in Safflower Oil), Extracts (Poppy Extract in Glycerin), Extracts (Poppy Extract in Sunflower Oil), Extracts (Poppy Extract WS), Extracts (Pumpkin Extract in Glycerin), Extracts (Pumpkin Extract in Sunflower Oil), Extracts (Pumpkin Extract WS), Extracts (Quillaja Extract in Glycerin), Extracts (Quinoa Extract in Glycerin), Extracts (Quinoa Extract in Sunflower Oil), Extracts (Quinoa Extract WS), Extracts (Raspberry Extract in Glycerin), Extracts (Raspberry Extract in Sunflower Oil), Extracts (Raspberry Extract WS), Extracts (Raspberry Leaf Extract in Organic Glycerin), Extracts (Raspberry Leaf Extract in Sunflower Oil), Extracts (Raspberry Leaf Extract WS), Extracts (Red Clover Extract in Organic Glycerin), Extracts (Red Clover Extract in Sunflower Oil), Extracts (Red Clover Extract WS), Extracts (Red Ginseng Extract in Glycerin), Extracts (Red Ginseng Extract in Sunflower Oil), Extracts (Red Ginseng Extract WS), Extracts (Red Rooibos Tea Extract in SUnflower Oil), Extracts (Reishi Extract in Glycerin), Extracts (Reishi Extract in Sunflower Oil), Extracts (Reishi Extract WS), Extracts (Reishi Mushroom Extract in Glycerin), Extracts (Reishi Mushroom Extract in Olive Oil), Extracts (Rhodiola Extract in Glycerin), Extracts (Rhodiola Extract in Sunflower Oil), Extracts (Rhodiola Extract WS), Extracts (Rhubard Extract in Glycerin), Extracts (Rhubard Extract in Sunflower Oil), Extracts (Rhubard Extract WS), Extracts (Roman Chamomile Extract in Glycerin), Extracts (Rooibos Extract in Organic Glycerin), Extracts (Rooibos Extract in Sunflower Oil), Extracts (Rooibos Extract WS), Extracts (Rose Extract in Glycerin), Extracts (Rose Extract in Sunflower Oil), Extracts (Rose Extract WS), Extracts (Rosehips Extract in Glycerin), Extracts (Rosehips Extract WS), Extracts (Rosemary Extract in Olive Oil), Extracts (Rosemary Extract in Organic Glycerin), Extracts (Rosemary Extract in Sunflower Oil), Extracts (Rosemary Extract WS), Extracts (Saffron Extract in Glycerin), Extracts (Saffron Extract in Sunflower Oil), Extracts (Saffron Extract WS), Extracts (Sage Extract in Coconut Oil), Extracts (Sage Extract in Glycerin), Extracts (Sage Extract in Sunflower Oil), Extracts (Sage Extract WS), Extracts (Saponaria Officinalis Extract in Glycerin), Extracts (Sarsaparilla Extract in Glycerin), Extracts (Sarsaparilla Extract in Sunflower Oil), Extracts (Sarsaparilla Extract WS), Extracts (Saw Palmetto Extract in Glycerin), Extracts (Saw Palmetto Extract in Sunflower Oil), Extracts (Saw Palmetto Extract WS), Extracts (Schisandra Extract in Glycerin), Extracts (Schisandra Extract in Sunflower Oil), Extracts (Schisandra Extract WS), Extracts (Sea Buckthorn Extract in Glycerin), Extracts (Sea Buckthorn Extract in Sunflower Oil), Extracts (Sea Buckthorn Extract WS), Extracts (Shiitake Extract in Glycerin), Extracts (Shiitake Extract in Sunflower Oil), Extracts (Shiitake Extract WS), Extracts (Soap Nut Extract in Glycerin), Extracts (Soap Nut Extract in Sunflower Oil), Extracts (Soap Nut Extract WS), Extracts (Spearmint Extract in Glycerin), Extracts (Spearmint Extract in Sunflower Oil), Extracts (Spearmint Extract WS), Extracts (Spinach Extract in Glycerin), Extracts (Spinach Extract in Sunflower Oil), Extracts (Spinach Extract WS), Extracts (Spirulina &amp; Lemongrass in Glycerin), Extracts (Spirulina Extract in Glycerin), Extracts (Spirulina Extract in Sunflower Oil), Extracts (Spirulina Extract WS), Extracts (Spirulina in Glycerin), Extracts (St. John's Wort Extract in Glycerin), Extracts (St. John's Wort Extract in Sunflower Oil), Extracts (St. John's Wort Extract WS), Extracts (Stevia Extract in Glycerin), Extracts (Strawberry Extract in Glycerin), Extracts (Strawberry Extract in Sunflower Oil), Extracts (Strawberry Extract WS), Extracts (Sugar Cane Extract in Glycerin), Extracts (Sugar Cane Extract in Sunflower Oil), Extracts (Sugar Cane Extract WS), Extracts (Sunflower Extract in Glycerin), Extracts (Sunflower Extract in Sunflower Oil), Extracts (Sunflower Extract WS), Extracts (Sunflower Seed Extract in Glycerin), Extracts (Sunflower Seed Extract in Sunflower Oil), Extracts (Sunflower Seed Extract WS), Extracts (Tansy Extract in Glycerin), Extracts (Tansy Extract in Sunflower Oil), Extracts (Tansy Extract WS), Extracts (Tarragon Extract in Glycerin), Extracts (Tarragon Extract in Sunflower oil), Extracts (Tarragon Extract WS), Extracts (Thyme Extract in Organic Glycerin), Extracts (Thyme Extract in Sunflower Oil), Extracts (Thyme Extract WS), Extracts (Tomato Extract in Glycerin), Extracts (Tomato Extract in Sunflower Oil), Extracts (Tomato Extract WS), Extracts (Triphala Extract in Glycerin), Extracts (Triphala Extract in Sunflower Oil), Extracts (Triphala Extract WS), Extracts (Valerian Extract in Glycerin), Extracts (Valerian Extract in Sunflower Oil), Extracts (Valerian Extract WS), Extracts (Vanilla Extract in Organic Glycerin), Extracts (Vanilla Extract in Sunflower Oil), Extracts (Vanilla Extract WS), Extracts (Violet Extract in Glycerin), Extracts (Violet Extract in Sunflower Oil), Extracts (Violet Extract WS), Extracts (Vitex Berry Extract in Glycerin), Extracts (Vitex Berry Extract in Sunflower Oil), Extracts (Vitex Berry Extract WS), Extracts (Watermelon Extract in Glycerin), Extracts (Watermelon Extract in Sunflower Oil), Extracts (Watermelon Extract WS), Extracts (White Oak Extract in Glycerin), Extracts (White Oak Extract in Sunflower Oil), Extracts (White Oak Extract WS), Extracts (White Peony Extract in Glycerin), Extracts (White Peony Extract in Sunflower Oil), Extracts (White Peony Extract WS), Extracts (White Tea Extract in Glycerin), Extracts (White Tea Extract in Sunflower), Extracts (White Tea Extract WS), Extracts (Willow Bark Extract in Glycerin), Extracts (Willow Bark Extract in Sunflower Oil), Extracts (Willow Bark Extract WS), Extracts (Witch Hazel Extract in Glycerin), Extracts (Witch Hazel Extract in Sunflower Oil), Extracts (Witch Hazel Extract WS), Extracts (Yarrow Extract in Glycerin), Extracts (Yarrow Extract in Sunflower Oil), Extracts (Yarrow Extract WS), Extracts (Yellow Dock Extract in Glycerin), Extracts (Yellow Dock Extract in Sunflower Oil), Extracts (Yellow Dock Extract WS), Extracts (Yerba Mate Extract), Extracts (Yerba Mate Extract in Glycerin), Extracts (Yucca Extract), Extracts (Yucca Extract in Glycerin); Personal Care: Body Butter (Aloe Butter), Body Oils (Calendula Infusion Oil); Other Grains, Pastas and Cereals: Oats (Oat Bran), Oats (Oats), Other Other Grains, Pastas and Cereals - Oat Bran, Rice (Forbidden Rice), Rice (Jade Pearl Rice), Rice (Rice Starch); Oils &amp; Oleoresins: Essential Oils (Lavender Oil), Essential Oils (Peppermint Oil), Essential Oils (Spearmint Oil), Oils (Aloe Oil (J)), Oils (Aloe Oil (S)), Oils (Argan Oil), Oils (Avocado Oil), Oils (Avocado Oil - Refined), Oils (Bergamot Oil), Oils (Bergamot Oil), Oils (Borage Seed Oil), Oils (Canola Oil), Oils (Castor Oil), Oils (Chia Seed Oil), Oils (Coconut Oil), Oils (Coconut Oil), Oils (Coconut Oil - Extra Virgin), Oils (Coconut Oil - RBD), Oils (Cranberry Seed Oil), Oils (CRG Oil Blend), Oils (Evening Primrose Oil), Oils (Grape Seed Oil), Oils (Green Tea Oils), Oils (Hemp Seed Oil), Oils (Jojoba Oil - Gold), Oils (Jojoba Oil - Lite), Oils (Lavender Oil), Oils (Macadamia Oil), Oils (Olive Oil - Extra Virgin), Oils (Olive OIl EV RBD), Oils (Olive Oil RBD), Oils (Pomegranate Seed Oil), Oils (Pumpkin Seed Oil), Oils (Pumpkin Seed Oil - Refined), Oils (Red Raspberry Oil), Oils (Rosehip Oil), Oils (Safflower Oil), Oils (Safflower Oil - HO), Oils (Sesame Seed Oil), Oils (Soybean Oil), Oils (Soybean Oil), Oils (Sunflower Oil), Oils (Sunflower Oil - Hi Oleic RBD), Oils (Sweet Almond Oil), Oils (Sweet Orange Oil), Oils (Tamanu Oil), Oils (Wheat Germ Oil), Other Oils &amp; Oleoresins - Apricot Kernal Oil; Nuts/Seeds: Other Nuts/Seeds - Chia Seeds - Black, Other Nuts/Seeds - Chia Seeds White, Walnuts (Walnut Shell); Health Products: Other Health Products - Aloe Vera Powder 200 X, Other Health Products - Beeswax; Dry/Baking Goods: Baking Mixes (Corn Starch), Flours and Meals (Almond Meal), Flours and Meals (Arrowroot Starch), Flours and Meals (Coconut Flour), Flours and Meals (Rice Flour), Other Dry/Baking Goods - Coconut Flakes, Other Dry/Baking Goods - Corn Starch; Dairy: Butter (Avocado Butter); Condiments and Sweeteners: Syrups (Agave Syrup), Syrups (Corn Syrup), Syrups (Rice Syrup), Syrups (Yacon Syrup), Vinegar (Apple Cider Vinegar (Filtered)), Vinegar (Apple Cider Vinegar (Raw &amp; Unfiltered)), Vinegar (White Vinegar); Chocolate Goods: Other Chocolate Goods - Cocoa Powder; Beverage Related Products: Coffee (Coffee), Juice (Reconstituted Aloe Vera 10X Juice), Juice (Reconstituted Aloe Vera 1X Juice), Non-Dairy Milk (Coconut Milk Powder), Other Beverage Related Products - Evaporated Cane Juice, Other Beverage Related Products - Soymilk; Alcohol: Distilled Alcohol Beverages (ESP Organic Sugar Cane Alcohol 190, SDA 38B with Organic Peppermint Alcohol), Distilled Alcohol Beverages (Sugar Can Alcohol 190 SDA 38B with Organic Lavender), Distilled Alcohol Beverages (Sugar Cane Alcohol 190), Distilled Alcohol Beverages (Sugar Cane Alcohol 190, SDA 38B with Organic Bergamot Oil); Other: Other - 9 Blend Extract WS, Other - A + Gel, Other - A + Gel (HV), Other - A + Gel (LV), Other - A + Gel (MV), Other - A + Powder, Other - Adzuki Beans, Other - Aloe, Olive, Cucumber Blend in Glycerin, Other - Beeswax, Other - Blue Corn, Other - Calendula Flowers, Other - Carnauba Wax, Other - Chamomile Flower, Other - Cocoa Butter, Other - Colloidal Oatmeal, Other - Colloidal Oatmeal GF, Other - Cranberry Butter, Other - Emulsifying Wax, Other - Glycerin, Other - Grape Seed Butter, Other - Guar Gum, Other - Gum Arabic, Other - Gum Arabic N, Other - Honey, Other - Lavender Flower, Other - Lecithin, Other - Lemongrass in Glycerin, Other - Locust Bean Gum, Other - Mango Butter, Other - Nu-Flow 70R, Other - Olive Butter, Other - Palm Butter, Other - Peppermint Butter Concentrate, Other - Peppermint Leaf, Other - Potato Starch, Other - Pumpkin Butter, Other - Rice Emulsifier (Oryza-Mul), Other - Safflower Butter, Other - Shea Butter, Other - Shea Butter Refined, Other - Shea Oil, Other - Soothing After Sun Cooling Gel, Other - Soy Butter, Other - Soy Protein, Other - Soy Protein Hydrolyzed, Other - Soy Protein Isolate, Other - Spearmint Leaf, Other - Stearic Acid-38%, Other - Tapioca Starch, Other - Thyme Leaf, Other - Vanilla Powder</t>
  </si>
  <si>
    <t>Other Grains, Pastas and Cereals: Cereal (Granola, Rolled Oats (gluten free), Rice), Rice; Oils &amp; Oleoresins: Oils (Canola Oil, Coconut Oil (Extra-Virgin, Refined), Sunflower Oil (High Oleic), Olive Oil (Extra-Virgin), Sesame Oil (Toasted, Unrefined)); Nuts/Seeds: Nuts (Almonds, Cashews (Pieces, Whole), Hazelnuts (Raw, Roasted), Pecans, Walnuts), Seeds (Chia Seeds (Black), Flax Seeds, Hemp Seeds, Pumpkin Seeds, Sesame Seeds, Black Sesame Seeds, Sunflower Seeds); Health Products: Supplements (Maca Powder (raw)); Dry/Baking Goods: Beans (Cannellini Beans, French Green Lentils, Red Split Lentils), Coconut (Chips, Shredded), Flours and Meals (Cassava Flour, Coconut Flour); Dairy: Cheese (Feta); Condiments and Sweeteners: Sweeteners (Agave (raw), Molasses, Lucuma Powder (raw), Sugar (Coconut, Dark Brown, Maple)), Tamari, Vinegar (Apple Cider (unfiltered), Balsamic, Red Wine, White Wine); Chocolate Goods: Cacao Nibs, Chocolate Chips, Cocoa Liquor Wafers, Cocoa Butter (Non-Deoderized), Cocoa Powder (Non-Alkalized, Raw); Beverage Related Products: Tea (ohQua Tea (Thunderbolt)), Tea (ohQua Tea: Black (Chocolate Clouds, Decaf Mango, English Breakfast, Grey, Pu-erh, Sunshine, Tea Time in Paris, Thundercloud); ohQua Tea: Green (Green, Gunpowder, Jasmine Pearls, Jazz, Righteous Matcha); ohQua Tea: Herbal (Beauty Sleep, Chamomile, Fountain of Youth, Mint over Matter, Savor the Moment, Tulsi, Tulsi Rose, Yerba Mate); ohQua Tea: Red/Rooibos (Firestorm, Red Sky, Simply Red); ohQua Tea: White (Desert Sunset, Oregon Summer, Pure White, Snowflake))</t>
  </si>
  <si>
    <t>Seasonings: Herbs (Dried: Bladderwrack (Whole, C/S, TBC, Powder)), Herbs (Dried: Damiana (Whole, C/S, TBC, Powder)), Herbs (Dried: Allspice (Whole, C/S, TBC, Powder)), Herbs (Dried: Linden (Lime Tree) - (Whole, C/S, TBC, Powder)), Herbs (Dried: California Poppy (Whole, C/S, TBC, Powder)), Herbs (Dried: Passion Flower (Whole, C/S, TBC, Powder)), Herbs (Dried: Maca (Whole, C/S, TBC, Powder)), Herbs (Dried: Maca Root (Whole, C/S, TBC, Powder)), Herbs (Dried: Red Clover Blossom and Leaf (Whole, C/S, TBC, Powder)), Herbs (Dried: Stevia Extract Powder), Herbs (Dried: Stevia (Whole, C/S, TBC, Powder)), Herbs (Dried: Lavender (Whole, C/S, TBC, Powder)), Herbs (Dried: Cloves (Whole, C/S, TBC, Powder)), Herbs (Dried: Goldenseal Root (Whole, C/S, TBC, Powder)), Herbs (Dried: Golden Rod (Whole, C/S, TBC, Powder)), Herbs (Dried: Coriander Seed (Whole, C/S, TBC, Powder)), Herbs (Dried: Cumin Seed (Whole, C/S, TBC, Powder)), Herbs (Dried: Catnip (Whole, C/S, TBC, Powder)), Herbs (Dried: Black Pepper (Whole, C/S, TBC, Powder)), Herbs (Dried: Cayenne Fruit (Whole, C/S, TBC, Powder)), Herbs (Dried: Yarrow Flower (Whole, C/S, TBC, Powder)), Herbs (Dried: Fenugreek Seed (Whole, C/S, TBC, Powder)), Herbs (Ground: Turmeric Root (Whole, C/S, TBC, Powder, Slices)), Herbs (Dried: Cilantro (Whole, C/S, TBC, Powder)), Herbs (Dried: Elderberry/Sambucus nigra (Whole, C/S, TBC, Powder)), Herbs (Dried: Rosemary (Whole, C/S, TBC, Powder)), Herbs (Ground: Ginkgo Biloba Powder), Herbs (Dried: Slippery Elm Bark (Whole, C/S, TBC, Powder)), Herbs (Dried: Fennel Seed (Whole, C/S, TBC, Powder)), Herbs (Dried: Ginger Root (Whole, C/S, TBC, Powder)), Herbs (Dried: Caraway Seed (Whole, C/S, TBC, Powder)), Herbs (Dried: Gentian Root (Whole, C/S, TBC, Powder)), Herbs (Dried: Celandine (Whole, C/S, TBC, Powder)), Herbs (Dried: Rose Petals), Herbs (Ground: Feverfew Aeirials (Whole, C/S, TBC, Powder)), Herbs (Dried: Vanilla (Whole, C/S, TBC)), Herbs (Dried: Lady's Mantle (Whole, C/S, TBC, Powder)), Herbs (Dried: Anise Seed (Whole, C/S, TBC, Powder)), Herbs (Dried: Stinging Nettle (Whole, C/S, TBC, Powder)), Herbs (Dried: Burdock Root (Whole, C/S, TBC, Powder)), Herbs (Dried: Wormwood (Whole, C/S, TBC, Powder, Soluble Powder)), Herbs (Dried: Cinnamon Bark (Whole, C/S, TBC, Powder)), Herbs (Dried: Cinnamon - Ceylon (Powder, C/S, TBC)), Herbs (Dried: Baikal Skullcap (Whole, C/S, TBC, Powder)), Herbs (Dried: Scullcap (Whole, C/S, TBC, Powder)), Herbs (Dried: Meadowsweet (Whole, C/S, TBC, Powder)), Herbs (Dried: Turmeric Extract, 95% Curcumin (Powder, Granular)), Herbs (Dried: Sage Leaf (Whole, C/S, TBC, Powder)), Herbs (Dried: Golden Root (Rhodiola rosea) - (Whole, C/S, TBC, Powder)), Herbs (Dried: Peppermint Leaf (Whole, C/S, TBC, Powder)), Herbs (Dried: Angelica Archangelica (Whole, C/S, TBC)), Herbs (Dried: Valerian (Whole, C/S, TBC, Powder)), Herbs (Dried: Hawthorn Fruit (Whole, C/S, TBC, Powder)), Herbs (Dried: Hawthorn Flower &amp; Leaf (Whole, C/S, TBC, Powder)), Herbs (Dried: Lemon Peel (Whole, C/S, TBC, Powder)), Herbs (Dried: Fo-Ti Root (Whole, C/S, TBC, Powder)), Herbs (Dried: Cascara Buckthorn (Whole, C/S, TBC, Powder)), Herbs (Dried: Chickweed (Whole, C/S, TBC, Powder)), Herbs (Dried: Oat Grass (Whole, C/S, TBC, Powder)), Herbs (Dried: Raspberry Leaf (Whole, C/S, TBC, Pellet)), Herbs (Dried: Barley Grass Juice Powder (Whole, C/S, TBC, Powder)), Herbs (Dried: Cramp Bark (Whole, C/S, TBC, Powder)), Herbs (Dried: Andrographis Leaf (Whole, C/S, TBC, Powder, Soluble Powder)), Herbs (Dried: White Peony Root (Whole, C/S, TBC, Powder)), Herbs (Dried: Dulse (Powder, Granular)), Herbs (Dried: Cornsilk (Whole, C/S, TBC, Powder)), Herbs (Dried: Black Cohosh Root (Whole, C/S, TBC, Powder)), Herbs (Dried: Juniper Berries (Whole, C/S, TBC, Powder)), Herbs (Dried: Cleaver's Herb (Whole, C/S, TBC, Powder)), Herbs (Dried: Yellow Dock Root (Whole, C/S, TBC, Powder)), Herbs (Dried: Horsetail -Shavegrass (Whole, C/S, TBC, Powder)), Herbs (Dried: Indian Sarsaparilla Root (Whole, C/S, TBC, Powder)), Herbs (Dried: Moringa (Whole, C/S, TBC, Powder)), Herbs (Dried: Rosehips (Whole, C/S, TBC, Powder)), Herbs (Dried: Olive Leaf (Whole, C/S, TBC, Powder)), Herbs (Dried: Irish Moss (Powder, Granular)), Herbs (Dried: Goat's Rue (Whole, C/S, TBC, Powder)), Herbs (Dried: Buckthorn Bark (Whole, C/S, TBC, Powder)), Herbs (Dried: Epimedium (Whole, C/S, TBC, Powder)), Herbs (Dried: Butcher's Broom (Whole, C/S, TBC, Powder)), Herbs (Dried: Hydrangea (Whole, C/S, TBC, Powder)), Herbs (Dried: Mesquite Seed (Whole, C/S, TBC, Powder)), Herbs (Dried: Gotu Kola Leaf (Whole, C/S, TBC, Powder)), Herbs (Dried: Celery Seed (Whole, C/S, TBC, Powder)), Herbs (Dried: Gymnema (Whole, C/S, TBC, Powder)), Herbs (Dried: Bupleurum (Whole, C/S, TBC, Powder)), Herbs (Dried: Strawberry Leaf (Whole, C/S, TBC, Powder)), Herbs (Dried: Garcinia Cambogia Extract (Whole, C/S, TBC, Powder)), Herbs (Dried: Uva Ursi Leaf (Whole, C/S, TBC, Powder)), Herbs (Dried: Wood Betany (Whole, C/S, TBC, Powder)), Herbs (Dried: Eucalyptus Leaf (Whole, C/S, TBC, Powder)), Herbs (Dried: Plantain Leaf (Whole, C/S, TBC, Powder)), Herbs (Dried: Papaya Leaf (Whole, C/S, TBC, Powder)), Herbs (Dried: Jerusalem Artichoke Root (Whole, C/S, TBC, Powder)), Herbs (Dried: Dong Quai (Whole, C/S, TBC, Powder)), Herbs (Dried: Artichoke Leaf (Whole, C/S, TBC, Powder)), Herbs (Dried: Amaranth (Whole, C/S, TBC, Powder)), Herbs (Dried: Rehmania (Whole, C/S, TBC, Powder)), Herbs (Dried: Spirulina (Whole, C/S, TBC, Powder)), Herbs (Dried: Kelp, Norwegian - Ascophyllum nodosum (Whole, C/S, TBC, Powder)), Herbs (Dried: Hibiscus (Whole, C/S, TBC, Powder)), Herbs (Dried: Psylllium Seed Husk (Whole, C/S, TBC, Powder)), Herbs (Dried: Oregon Grape Root (Whole, C/S, TBC, Powder)), Herbs (Dried: Kelp - Laminaria Digitata (Whole, C/S, TBC, Powder)), Herbs (Dried: Barley Grass (Whole, C/S, TBC, Powder)), Herbs (Dried: Neem Leaf Powder), Herbs (Dried: White Oak Bark (Whole, C/S, TBC)), Herbs (Dried: Orange Peel), Herbs (Dried: Wild Cherry Bark (Whole, C/S, TBC, Powder)), Herbs (Dried: Chicory Root - Roasted (Whole, C/S, TBC, Powder)), Herbs (Dried: Shatavari Extract Powder), Herbs (Dried: Thyme (Whole, C/S, TBC, Powder)), Herbs (Dried: Sheep Sorrel (Whole, C/S, TBC, Powder)), Herbs (Dried: Goji - Wolfberry (Whole, C/S, TBC, Powder)), Herbs (Dried: Garlic (Whole, C/S, TBC, Powder, Granular Powder )), Herbs (Dried: Cardamom Seed (Whole, C/S, TBC, Powder)), Herbs (Dried: Chaste Tree Berry (Whole, C/S, TBC, Powder)), Herbs (Dried: Ashwagandha Root (Whole, C/S, TBC, Powder)), Herbs (Ground: Lemon Balm (Whole, C/S, TBC, Powder)), Herbs (Dried: Parsley (Whole, C/S, TBC, Powder)), Herbs (Dried: Blessed Thistle (Whole, C/S, TBC, Powder)), Herbs (Dried: Milk Thistle Seed (Whole, C/S, TBC, Powder)), Herbs (Dried: Milk Thistle Seed Extract), Herbs (Dried: Lemon Verbena (Whole, C/S, TBC, Powder)), Herbs (Dried: Elecampane (Whole, C/S, TBC, Powder)), Herbs (Ground: Elderflower (Whole, C/S, TBC, Powder)), Herbs (Dried: Marshmallow Root (Whole, C/S, TBC, Powder)), Herbs (Dried: Devil's Claw Root (Whole, C/S, TBC, Powder)), Herbs (Dried: Panax Ginseng (Whole, C/S, TBC, Powder)), Herbs (Dried: Eleuthero Root (Whole, C/S, TBC, Powder)), Herbs (Dried: Ginseng Root - American (Whole, C/S, TBC, Powder)), Herbs (Dried: Oregano (Whole, C/S, TBC, Powder)), Herbs (Dried: Tulsi Leaf - Holy Basil (Whole, C/S, TBC, Powder)), Herbs (Dried: Alfalfa Juice Powder (Whole, C/S, TBC, Powder)), Herbs (Dried: Alfalfa (Whole, C/S, TBC, Powder)), Herbs (Dried: St. John's Wart (Whole, C/S, TBC, Powder)), Herbs (Dried: Echinacea Angustifolia (Whole, C/S, TBC, Powder)), Herbs (Dried: Echinacea Purpurea (Whole, C/S, TBC, Powder)), Herbs (Dried: Chamomile (Whole, C/S, TBC, Powder)), Herbs (Dried: Hops Flower (Whole, C/S, TBC, Powder)), Herbs (Dried: Astragalus Root (Whole, C/S, TBC, Powder)), Herbs (Dried: Spearmint (Whole, C/S, TBC, Powder)), Herbs (Dried: Dandelion Root (Whole, C/S, TBC, Powder, Roasted)), Herbs (Dried: Dandelion Leaf (Whole, C/S, TBC, Powder)), Herbs (Dried: Saw Palmetto (Whole, C/S, TBC, Powder)), Herbs (Dried: Basil Leaf (Whole, C/S, TBC, Powder)), Herbs (Dried: Licorice Root (Whole, C/S, TBC, Powder)), Herbs (Dried: Arnica (Whole, C/S, TBC, Powder)), Herbs (Dried: Mullein Leaf(Whole, C/S, TBC, Powder)), Herbs (Dried: Coltsfoots (Whole, C/S, TBC, Powder)), Herbs (Dried: Lemongrass (Whole, C/S, TBC, Powder)), Herbs (Dried: Rhubarb Root (Whole, C/S, TBC, Powder)); Preservatives/Extracts/Flavors: Extracts (Flavors and Extracts: Green Coffee Extract (Powder, Granular)), Extracts (Flavors and Extracts: Rice Maltodextrin (Whole, C/S, TBC, Powder)), Gums: Acacia (Gum Arabic) - (Whole, C/S, TBC, Powder); Other Grains, Pastas and Cereals: Flours and Meals (Whole Grains or Seeds: Sunflower Seed (Whole, C/S, TBC, Powder)), Flours and Meals (Whole Grains or Seeds: Sesame Seed, White (Whole, C/S, TBC, Powder)), Flours and Meals (Whole Grains or Seeds: Sesame Seed, Black (Whole, C/S, TBC, Powder)), Flours and Meals (Flour: Brown Rice (Whole, C/S, TBC, Powder)), Flours and Meals (Milled Grains or Seeds: Millet (Whole, C/S, TBC, Powder)), Seeds (Whole Grains or Seeds: Pumpkin Seed (Whole, C/S, TBC, Powder)), Seeds (Whole Grains or Seeds: Chia Seed (Whole, C/S, TBC, Powder)), Seeds (Whole Grains or Seeds: Flax Seed (Whole, C/S, TBC, Powder)); Oils &amp; Oleoresins: Solid Fats: Coconut Oil Powder; Nuts/Seeds: Nuts (Walnuts: Black Walnut Hulls (Whole, C/S, TBC, Powder)); Health Products: Supplements (Vitamins and Supplements: Pea Protein 80%); Fruits/Vegetables: Dehydrated Foods (Dried: Lucuma (Whole, C/S, TBC, Powder)), Dehydrated Foods (Dried: Long Pepper (Whole, C/S, TBC, Powder)), Dehydrated Foods (Dried: Elderberry Powder Extract), Dehydrated Foods (Dried: Aloe Vera (Whole, C/S, TBC, Powder)), Dehydrated Foods (Dried: Wheatgrass (Whole, C/S, TBC, Powder)), Dehydrated Foods (Dried: Wheatgrass powder), Dehydrated Foods (Dried: Kale (Whole, C/S, TBC, Powder)), Dehydrated Foods (Dried: Chlorella Powder), Dehydrated Foods (Dried: Cabbage (Whole, C/S, TBC, Powder)), Dehydrated Foods (Dried: Goji Juice Powder (Whole, C/S, TBC, Powder)), Dehydrated Foods (Dried: Beet Root (Whole, C/S, TBC, Powder)), Dehydrated Foods (Dried: Carrot (Whole, C/S, TBC, Powder)), Dehydrated Foods (Dried: Bilberry (Whole, C/S, TBC, Powder)), Dehydrated Foods (Dried: Yucca Root Powder (Whole, C/S, TBC, Powder)), Dehydrated Foods (Dried: Acerola Berry Spray Dried Juice Powder), Dehydrated Foods (Dried: Acai Freeze Dried Powder), Dehydrated Foods (Dried: Acai (Whole, C/S, TBC, Powder)), Dehydrated Foods (Dried: Cranberry (Whole, C/S, TBC, Powder),), Dehydrated Foods (Dried: Schizandra (Whole, C/S, TBC, Powder)), Dehydrated Foods (Dried: Amla Fruit (Whole, C/S, TBC, Powder, Soluble Powder)), Dehydrated Foods (Dried: Amla Fruit Extract (Powder, Granular)), Dehydrated Foods (Dried: Triphala (Whole, C/S, TBC, Powder, Soluble Powder)), Dehydrated Foods (Dried: Blueberry Juice Powder (Whole, C/S, TBC, Powder)), Dehydrated Foods (Dried: Pomegranate Juice Powder (Whole, C/S, TBC, Powder)), Dehydrated Foods (Dried: Pomegranate (Whole, C/S, TBC, Powder, Juice Powder)), Dehydrated Foods (Dried: Spinach Leaf (Whole, C/S, TBC, Powder)), Dehydrated Foods (Dried: Chicory (Whole, C/S, TBC, Powder)); Chocolate Goods: Chocolate (Cocoa or Chocolate: Cocoa Bean (Whole, C/S, TBC, Powder, Alkalized Powder)); Beverage Related Products: Tea (Loose Leaf Tea: Matcha (Whole, C/S, TBC, Powder)), Tea (Loose Leaf Tea: Green Tea (Whole, C/S, TBC, Powder)), Tea (Loose Leaf Tea: Yerba Mate Leaf (Whole, C/S, TBC, Powder)), Tea (Loose Leaf Tea: Black Tea (Whole, C/S, TBC, Powder)), Tea (Other: Green Tea Extract (Whole, C/S, TBC, Powder)); Other: Dried: Agaricus Blazei Mushroom (Powder), Dried: Chaga Mushroom Powder, Dried: Cordyceps Extract (Whole, C/S, TBC, Powder), Dried: Lion's Mane Mushroom Powder, Dried: Maitake (Whole, C/S, TBC, Powder), Dried: Noni (Whole, C/S, TBC, Powder), Dried: Noni Extract-Indian Mulberry (Whole, C/S, TBC, Powder), Dried: Oyster Mushroom Powder, Dried: Reishi Mushroom (Whole, C/S, TBC, Powder), Dried: Reishi Mushroom Extract (Whole, C/S, TBC, Powder), Dried: Shiitake (Whole, C/S, TBC, Powder, Soluble Powder), Dried: Shiitake Powder, Dried: Turkey Tail Powder</t>
  </si>
  <si>
    <t>Trees/Whole Plant Products/Flowers: Flowers (Lavender); Processed  Items: Processed Items-Other - Tofu Fresh (31010); Other Grains, Pastas and Cereals: Oats (Rolled Oats (30655)), Wheat (Wheat Berries Hard (30657)), Wheat (Wheat Bran (30659)), Wheat grass - Wheatgrass (21906); Oils &amp; Oleoresins: Oils (Expeller Pressed Canola Oil (31201)); Fruits/Vegetables: Apples - Apples, Ambrosia (10001), Apples - Apples, Autumn Glory (10006), Apples - Apples, Cosmic Crisp (10013), Apples - Apples, Cripps Pink (10017), Apples - Apples, Fuji (10025), Apples - Apples, Gala (10029), Apples - Apples, Granny Smith (10044), Apples - Apples, Honeycrisp (10050), Apples - Apples, Jazz (10051), Apples - Apples, Jonagold (10054), Apples - Apples, Koru (10052), Apples - Apples, Opal (10062), Apples - Apples, Pinova (10070), Apples - Apples, Sugar Bee (10075), Bananas - Banana Fair trade (10920), Beans (Beans Green (20100)), Beans (Beans, Dragon Tongue (20116)), Beans (Beans, Fava (20123)), Beans (Beans, Purple (20112)), Beans (Beans, Yellow Flat (20113)), Beans (Crunchy Bean Sprouts (21904)), Beans (Edamame), Beans (Soybeans), Berries (Berries Cranberries (10285)), Berries (Blackberries (10202)), Berries (Blueberries (10216)), Berries (Blueberry), Berries (Kiwi (11011)), Berries (Kiwi Berries (11008)), Berries (Raspberries (10280)), Berries (Strawberries (10258)), Berries (Strawberry), Citrus (Mandarins Pixie Tangerine (10469)), Citrus (Nectarines White (10711)), Citrus (Nectarines Yellow (10713)), Citrus (Oranges Blood (10406)), Citrus (Oranges Cara Cara (10407)), Citrus (Oranges Hamlin (10409)), Citrus (Oranges Marrs (10413)), Citrus (Oranges Navel (10401)), Citrus (Oranges Valencia (10414)), Citrus (Pummelo (10320)), Dragonfruit - Dragonfruit Pink Fair Trade (10970), Leafy Greens (Arugula (21860)), Leafy Greens (Bok Choy (20512)), Leafy Greens (Broccoli Raab (20310)), Leafy Greens (Chard Green (21500)), Leafy Greens (Chard Rainbow (21506)), Leafy Greens (Chard Red (52010)), Leafy Greens (Collards), Leafy Greens (Cress), Leafy Greens (Escarole (21789)), Leafy Greens (Greens), Leafy Greens (Greens Collards (21531)), Leafy Greens (Greens Dandelion (21560)), Leafy Greens (Greens Turnip (21580)), Leafy Greens (Kale Green (21601)), Leafy Greens (Kale Lacinato (21630)), Leafy Greens (Kale Red (21672)), Leafy Greens (Kale Red Russian (21670)), Leafy Greens (Lettuce Boston Green (21754)), Leafy Greens (Lettuce Boston Red (21756)), Leafy Greens (Lettuce Butterhead (21753)), Leafy Greens (Lettuce Green Leaf (21730)), Leafy Greens (Lettuce Iceberg (21750)), Leafy Greens (Lettuce Mix (21812)), Leafy Greens (Lettuce Mix 50/50 Lettuce Spinach Mix (21817)), Leafy Greens (Lettuce Mix Baby Butter (21819)), Leafy Greens (Lettuce Mix Rainbow (21811)), Leafy Greens (Lettuce Mix Spicy Mix (21820)), Leafy Greens (Lettuce Red Leaf (21740)), Leafy Greens (Lettuce Red Little Gem (21757)), Leafy Greens (Lettuce Romaine Hearts (21722)), Leafy Greens (Lettuce Romaine Red (21726)), Leafy Greens (Lettuce Spring Mix (21813)), Leafy Greens (Melons Snow Leopard (10671)), Leafy Greens (Melons Torpedo (10670)), Leafy Greens (Microgreen Pea Shoots (21909)), Leafy Greens (Microgreens Mild Mix (21907)), Leafy Greens (Microgreens Spicy Mix (21908)), Leafy Greens (Mustard Greens), Leafy Greens (Mustard Greens (21572)), Leafy Greens (Pac Choi (Bok Choy)), Leafy Greens (Rhubarb (22711)), Leafy Greens (Swiss CHard), Mixed Fruit (Tomatoes Mixed Cherry (23222)), Mixed Fruit (Tomatoes Red Cherry (23230)), Mixed Fruit (Tomatoes Sungold (23244)), Mixed Vegetables (Cabbage Red (20640)), Mixed Vegetables (Mixed Greens), Mixed Vegetables (Mixed Vegetables), Mixed Vegetables (Pineapples (10952)), Mixed Vegetables (Salad Mix Butter (21821)), Mixed Vegetables (Salad Mix Oakleaf (21822)), Other Fruits/Vegetables - Apricots (10780), Other Fruits/Vegetables - Avocados (10904), Other Fruits/Vegetables - Baby Bok Choy (20511), Other Fruits/Vegetables - Baby Broccoli (50502), Other Fruits/Vegetables - Broccoli Crowns (20303), Other Fruits/Vegetables - Broccoli Purple (20319), Other Fruits/Vegetables - Brussels Sprouts Purple (20411), Other Fruits/Vegetables - Buckwheat, Other Fruits/Vegetables - Burdock (22608), Other Fruits/Vegetables - Cabbage Savoy (20685), Other Fruits/Vegetables - Cantaloupe, Other Fruits/Vegetables - Carrots Baby Peeled (20753), Other Fruits/Vegetables - Carrots Mixed Color (20738), Other Fruits/Vegetables - Carrots Nantes (20725), Other Fruits/Vegetables - Carrots Purple (20758), Other Fruits/Vegetables - Carrots Rainbow (20759), Other Fruits/Vegetables - Carrots Yellow (20701), Other Fruits/Vegetables - Cauliflower Cheddar (20800), Other Fruits/Vegetables - Cauliflower Mixed (20802), Other Fruits/Vegetables - Cauliflower Purple (20804), Other Fruits/Vegetables - Cauliflower White (20819), Other Fruits/Vegetables - Cherries (10702), Other Fruits/Vegetables - Chives, Other Fruits/Vegetables - Cilantro, Other Fruits/Vegetables - Dill Weed, Other Fruits/Vegetables - Fennel (22702), Other Fruits/Vegetables - Figs, Other Fruits/Vegetables - Garlic (21311), Other Fruits/Vegetables - Garlic Green (21310), Other Fruits/Vegetables - Garlic Scapes (21301), Other Fruits/Vegetables - Ginger (21344), Other Fruits/Vegetables - Grapefruit (10306), Other Fruits/Vegetables - Grapes Black (10517), Other Fruits/Vegetables - Grapes Champagne (10507), Other Fruits/Vegetables - Grapes Green (10518), Other Fruits/Vegetables - Grapes Muscadine Black (10501), Other Fruits/Vegetables - Grapes Muscadine Bronze (10503), Other Fruits/Vegetables - Grapes Red (10519), Other Fruits/Vegetables - Grapes Thomcord (10512), Other Fruits/Vegetables - Herbs, Other Fruits/Vegetables - Herbs, Basil (21403), Other Fruits/Vegetables - Herbs, Cilantro (52014), Other Fruits/Vegetables - Herbs, Dill (21440), Other Fruits/Vegetables - Honeydew, Other Fruits/Vegetables - Horseradish (22607), Other Fruits/Vegetables - Kohlrabi Green (22709), Other Fruits/Vegetables - Kohlrabi Purple (22710), Other Fruits/Vegetables - Lemons (10343), Other Fruits/Vegetables - Lemons Meyer (10355), Other Fruits/Vegetables - Lemons Pink (10338), Other Fruits/Vegetables - Limes (10373), Other Fruits/Vegetables - Mandarins Clementine (10466), Other Fruits/Vegetables - Mandarins Gold Nugget (10467), Other Fruits/Vegetables - Mandarins Minneola Tangelo (10477), Other Fruits/Vegetables - Mandarins Murcott (10473), Other Fruits/Vegetables - Mandarins Page (10468), Other Fruits/Vegetables - Mandarins Satsumas (10471), Other Fruits/Vegetables - Mandrins Tango (10472), Other Fruits/Vegetables - Mangoes Ataulfo (10930), Other Fruits/Vegetables - Mangoes Tommy Atkins (10935), Other Fruits/Vegetables - Marrs/Hamlin Oranges (10412), Other Fruits/Vegetables - Melons Canary (10683), Other Fruits/Vegetables - Melons Cantaloupe (10605), Other Fruits/Vegetables - Melons Honeydew (10682), Other Fruits/Vegetables - Melons Watermelon (10651), Other Fruits/Vegetables - Mini Seedless Watermelon (10684), Other Fruits/Vegetables - Mint, Other Fruits/Vegetables - Murasaki Sweet Potatoes (23025), Other Fruits/Vegetables - Muscadine Grape, Other Fruits/Vegetables - Mushrooms Baby Bell (22011), Other Fruits/Vegetables - Mushrooms Grey Oyster (22014), Other Fruits/Vegetables - Mushrooms King Oyster (22017), Other Fruits/Vegetables - Mushrooms Lion's Mane (22020), Other Fruits/Vegetables - Mushrooms Mixed Medley (22023), Other Fruits/Vegetables - Mushrooms Portabella (22027), Other Fruits/Vegetables - Mushrooms Shiitake (22033), Other Fruits/Vegetables - Mushrooms White (22030), Other Fruits/Vegetables - Orange Turmeric (21381), Other Fruits/Vegetables - Oregano, Other Fruits/Vegetables - Papaya Formosa (10971), Other Fruits/Vegetables - Pawpaw (11006), Other Fruits/Vegetables - Peaches White (10743), Other Fruits/Vegetables - Peaches Yellow (10748), Other Fruits/Vegetables - Pears Abate (10801), Other Fruits/Vegetables - Pears Anjou (10804), Other Fruits/Vegetables - Pears Asian (10806), Other Fruits/Vegetables - Pears Bartlett (10809), Other Fruits/Vegetables - Pears Bosc (10812), Other Fruits/Vegetables - Pears Comice (10817), Other Fruits/Vegetables - Pears Concorde (10818), Other Fruits/Vegetables - Pears Durondeau de Tongre (10819), Other Fruits/Vegetables - Pears Red Anjou (10821), Other Fruits/Vegetables - Pears Starkrimson (10826), Other Fruits/Vegetables - Plums Black (10760), Other Fruits/Vegetables - Plums Cherry (10763), Other Fruits/Vegetables - Plums Red (10761), Other Fruits/Vegetables - Plums Sugar (10764), Other Fruits/Vegetables - Plums Ume (10765), Other Fruits/Vegetables - Pluots (10783), Other Fruits/Vegetables - Pomegranates (11003), Other Fruits/Vegetables - Prickly Pear (11002), Other Fruits/Vegetables - Purple Sweet Potatoes (23032), Other Fruits/Vegetables - Red Turmeric (21384), Other Fruits/Vegetables - Romanesco (20880), Other Fruits/Vegetables - Rosemary, Other Fruits/Vegetables - Sage, Other Fruits/Vegetables - Scallions red (22240), Other Fruits/Vegetables - Starry Night Acorn, Other Fruits/Vegetables - Thyme, Other Fruits/Vegetables - Tomatoes Red Grape (23234), Other Fruits/Vegetables - Tumeric, Other Fruits/Vegetables - Turmeric (21386), Vegetables (Acorn Squash), Vegetables (Appalachian Gold Potatoes), Vegetables (Asparagus (20000)), Vegetables (Beets, Chioggia (20200)), Vegetables (Beets, Gold (20210)), Vegetables (Beets, Red (20223)), Vegetables (Broccoli (20314)), Vegetables (Brussel Sprouts (20401)), Vegetables (Cabbage Green (20602)), Vegetables (Cabbage Napa (20681)), Vegetables (Carrot (20741)), Vegetables (Cauliflower (50514)), Vegetables (Celeriac (22614)), Vegetables (Celery (20901)), Vegetables (Cone Cabbage), Vegetables (Corn Bicolor (21005)), Vegetables (Corn White (21005)), Vegetables (Cornmeal Yellow (30602)), Vegetables (Covington Sweet Potatoes (23006)), Vegetables (Cucumbers (21104)), Vegetables (Cucumbers Lemon (21132)), Vegetables (Cucumbers Mini Gherkin (21135)), Vegetables (Cucumbers Pickling (21135)), Vegetables (Cucumbers Slicing (21113)), Vegetables (Eggplant), Vegetables (Eggplant Black Beauty (21208)), Vegetables (Eggplant Fairytale (21209)), Vegetables (Eggplant Globe (51606)), Vegetables (Eggplant Graffiti (21215)), Vegetables (Eggplant Japanese (21211)), Vegetables (Eggplant Listada (21210)), Vegetables (Eggplant Rosa Bianca (21212)), Vegetables (Endive), Vegetables (Garnet Sweet Potato (23015)), Vegetables (Leeks (22202)), Vegetables (Mini Sweet Peppers), Vegetables (Mixed Medley Potatoes), Vegetables (Okra (22101)), Vegetables (Okra Mixed Color (22103)), Vegetables (Okra red (22105)), Vegetables (Onion Cipollini (22207)), Vegetables (Onion Green (22209)), Vegetables (Onion Red (22218)), Vegetables (Onion Sweet (22221)), Vegetables (Onion Vidalia (51610)), Vegetables (Onion White (22229)), Vegetables (Onion Yellow (22235)), Vegetables (Parsley Curly (21460)), Vegetables (Parsley Flat Leaf (21470)), Vegetables (Parsnips (22616)), Vegetables (Pea Field (20161)), Vegetables (Peas English (20157)), Vegetables (Peas Snow (20163)), Vegetables (Pepper Bell Red (22324)), Vegetables (Peppers Anaheim (22301)), Vegetables (Peppers Banana (22303)), Vegetables (Peppers Bell Green (22304)), Vegetables (Peppers Bell Orange (22314)), Vegetables (Peppers Bell Purple (22323)), Vegetables (Peppers Bell Yellow (22332)), Vegetables (Peppers Cayenne (22340)), Vegetables (Peppers Habanero (22342)), Vegetables (Peppers Jalapeno (22345)), Vegetables (Peppers Mixed Sweet (22356)), Vegetables (Peppers Poblano (22357)), Vegetables (Peppers Roulette (22361)), Vegetables (Peppers Serrano (22377)), Vegetables (Peppers Shishito (22364)), Vegetables (Peppers Sweet Italian Red (22369)), Vegetables (Peppers Sweet Snacking (22371)), Vegetables (Peppers Sweet Yellow (Escamillo) (22374)), Vegetables (Persimmons Fuyu (11015)), Vegetables (Pink Celery (20901)), Vegetables (Potatoes), Vegetables (Potatoes All Blue (22473)), Vegetables (Potatoes Fingerling (22492)), Vegetables (Potatoes Fingerling Banana (22482)), Vegetables (Potatoes Fingerling Red (22484)), Vegetables (Potatoes Gold (22442)), Vegetables (Potatoes Mixed Medley (22485)), Vegetables (Potatoes Purple (22489)), Vegetables (Potatoes Red (22403)), Vegetables (Potatoes Russet (22422)), Vegetables (Processing Sweet Potato (23042)), Vegetables (Pumpkin Cindrella (22907)), Vegetables (Pumpkins Jarrahdale (22909)), Vegetables (Pumpkins Long Island Cheese (22910)), Vegetables (Pumpkins Pie Winter Luxury (22913)), Vegetables (Pumpkins, Pie (22915)), Vegetables (Purslane (21769)), Vegetables (Radicchio (21756)), Vegetables (Radish Red (22509)), Vegetables (Radish Sprouts (21905)), Vegetables (Radishes Black Spanish (22550)), Vegetables (Radishes Daikon (22557)), Vegetables (Radishes Daikon Mixed (22503)), Vegetables (Radishes Daikon Purple (22564)), Vegetables (Radishes Daikon White (22563)), Vegetables (Radishes Easter Egg (22505)), Vegetables (Radishes French Breakfast (22506)), Vegetables (Radishes Watermelon (22559)), Vegetables (Rutabaga (22620)), Vegetables (Shallots (22251)), Vegetables (Sorrel), Vegetables (Spinach - Malabar (21889)), Vegetables (Spinach (21890)), Vegetables (Spinach Baby (21887)), Vegetables (Squash - Yellow (52001)), Vegetables (Squash Acorn (22923)), Vegetables (Squash Blue Hubbard (22932)), Vegetables (Squash Butterkin (22933)), Vegetables (Squash Butternut 898 (22934)), Vegetables (Squash carnival (22951)), Vegetables (Squash Delicata (22954)), Vegetables (Squash Futsu (22960)), Vegetables (Squash Green (52002)), Vegetables (Squash Honeynut (22962)), Vegetables (Squash Jester (22964)), Vegetables (Squash Kabocha (22969)), Vegetables (Squash Koginut (22971)), Vegetables (Squash Patty Pan (22802)), Vegetables (Squash Patty Pan White (22804)), Vegetables (Squash Red Kabocha (22972)), Vegetables (Squash Red Kuri (22973)), Vegetables (Squash Spaghetti (22978)), Vegetables (Squash Stripetti (22985)), Vegetables (Squash Sweet Dumpling (22986)), Vegetables (Squash Tetsukabuto (22989)), Vegetables (Squash Zephyr (22829)), Vegetables (Squash Zucchini Gold (22818)), Vegetables (Sugar Snap Peas), Vegetables (Sugar Snap Peas (20164)), Vegetables (Sunchokes (22611)), Vegetables (Sweet Potato), Vegetables (Sweet Potato Baby (23048)), Vegetables (Sweet Potato Baby Garnet (23000)), Vegetables (Sweet Potato Bonita (23004)), Vegetables (Sweet Potato Hatteras (23021)), Vegetables (Sweet Potato Jumbo (23023)), Vegetables (Sweet Potato Purple Ben Yagi (23031)), Vegetables (Sweet Potato Purple Strokes (23030)), Vegetables (Sweet Potato Sweethreens (51102)), Vegetables (Sweet Potato White (23034)), Vegetables (Sweet Potatoes), Vegetables (Tatsoi (20515)), Vegetables (Tatsoi, Red (20517)), Vegetables (Tomatillo (23190)), Vegetables (Tomatoes Artisan Mix Cherry (23212)), Vegetables (Tomatoes Beefsteak (23152)), Vegetables (Tomatoes Black Cherry (23214)), Vegetables (Tomatoes Campari (23216)), Vegetables (Tomatoes Darkloom Fair Trade (23115)), Vegetables (Tomatoes Green (23154)), Vegetables (Tomatoes Heirloom Mix (51613)), Vegetables (Tomatoes Heirloom Red (23111)), Vegetables (Tomatoes Heirloom Yellow (23112)), Vegetables (Tomatoes Indigo Rose (23220)), Vegetables (Tomatoes Kaleido Grape FT (23221)), Vegetables (Tomatoes Mountain Magic (23217)), Vegetables (Tomatoes Orange Cherry (23229)), Vegetables (Tomatoes Red Slicing (23139)), Vegetables (Tomatoes Roma (23172)), Vegetables (Tomatoes Sundried (29915)), Vegetables (Tomatoes Yellow (23155)), Vegetables (Tomatoes Zebra (23116)), Vegetables (Turnips Hakurei (23305)), Vegetables (Turnips Hirosaki (23306)), Vegetables (Turnips Purple Top (23308)), Vegetables (Turnips Scarlet (23312)), Vegetables (White Cauliflower), Vegetables (Zucchini (22820)), Vegetables (Zucchini Squash); Dry/Baking Goods: Flours and Meals (Flour 14% High Gluten (30608)), Flours and Meals (Flour All Purpose (30609)), Flours and Meals (Flour Blue Emmer (30610)), Flours and Meals (Flour Cracked Wheat), Flours and Meals (Flour Dark Rye (30611)), Flours and Meals (Flour Lite Rye (30612)), Flours and Meals (Flour Multigrain 7 Blend (30613)), Flours and Meals (Flour North Carolina Wheat Bread Flour), Flours and Meals (Flour Sprout Bread Blend (30615)), Flours and Meals (Flour Sprouted Ancient Grains (30614)), Flours and Meals (Flour Super Sprout Eikorn (30616)), Flours and Meals (Flour Super Sprout Rye (30617)), Flours and Meals (Flour Super Sprout Spelt (30618)), Flours and Meals (Flour Super Sprout Wheat (30619)), Flours and Meals (Flour Unbleached Bread (30621)), Flours and Meals (Flour Unbleached Pastry Flour), Flours and Meals (Flour Unbleached with Germ Flour), Flours and Meals (Flour White Wheat Flour (30623)), Flours and Meals (Flour Whole Rye (30624)), Flours and Meals (Flour Whole Spelt (30625)), Flours and Meals (Flour Whole Wheat Flour), Flours and Meals (Flour Whole Wheat Pastry (30626)), Flours and Meals (Flour:Hi-T85 Bread Flour), Flours and Meals (Flour:Malted X70 White), Flours and Meals (Grain Rye Meal), Flours and Meals (Grain Soft Wheat Berries), Flours and Meals (Grains Flax Seed Brown), Flours and Meals (Grains Rye Chops); Beverage Related Products: Cola (Kefir Soda - Ginger Turmeric Cayenne), Cola (Kefir Soda - Lemon Lime Echinacea), Cola (Kefir Soda - Pear Ginger Chamomile), Cola (Kefir Soda - Strawberry Coconut Passionflower), Cola (Kefir Soda - Watermelon Mint Tulsi), Cola (WIld Pop Cream Soda Swirl (30146)), Cola (Wild pop Lemon Lime Fizz (30147)), Cola (Wild Pop Root Beer Float (30148)), Cola (Wild Pop Strawberry Cream (30149)), Kombucha (Kombucha - Air (30110)), Kombucha (Kombucha - Fire (30112)), Kombucha (Kombucha - Water (30116)), Kombucha (Kombucha Energy Lemon Mint (30132)), Kombucha (Kombucha Energy Pom Citrus (31130)), Kombucha (Kombucha Energy Rasp Lime (30131)), Kombucha (Kombucha Holiday (30113)), Kombucha (Kombucha Legacy (30111)), Kombucha (Kombucha Seed (30114)), Kombucha (Kombucha Sovereign (30115)), Other Beverage Related Products - Ginger Turmeric Cayenne Kefir Soda, Other Beverage Related Products - Mango, Ginger, Habanero Shrub Sod, Other Beverage Related Products - Watermelon Basil Shrub Soda, Other Beverage Related Products - Watermelon Mint Tulsi Kefir Soda; Other: Other - Grits Yellow (30641), Other - Lentils Black Beluga (30642), Other - Lentils French Green (30644), Other - Lentils Spanish Brown (30646), Other - Rye Berries (30656)</t>
  </si>
  <si>
    <t>Other: #Processing, packaging, and labeling of waffles -, Annie's Birthday Cake waffles - 198018, Annie's Blueberry waffles - 2086861, Annie's Homestyle Waffles - 2086860, Annie's Strawberry Shortcake waffles - 198019, Blueberry Waffles, Buttermilk Waffles, Homestyle Waffles, Multi Grain Waffles, Whole Wheat Waffles</t>
  </si>
  <si>
    <t>Processed  Items: Aguaymanto deshidratado en trozos/Raw dried chopped Golden berry, Aguaymanto deshidratado/Raw dried golden berry/ ORGANIC RAW DRIED GOLDEN BERRY ALOVITOX, Aguaymanto/Golden berry, AZUCAR DE COCO/ Coconut sugar, Camu camu/Camu Camu, Coco rayado/coconut lined, EXTRACTO SECO DE CAMU CAMU / CAMU CAMU DRY EXTRACT, Sacha inchi sin tostar/ Sacha inchi almonds, Sacha inchi tostado/Roasted sacha inchi, Yacon/Yacon, Graviola fruta/Graviola fruit, Hojuelas de yacon/Raw yacon slices, Lúcuma pica/Lucuma pica, Lúcuma/Lucuma, Maca amarilla gelatinizada en polvo /Gelatinized yellow maca powder, Maca entera seca/Dried maca, Maca mix/ Raw maca mix , Maca negra triturada seca/Black Dried Crushed Maca, Maca roja triturada seca/Red Dried Crushed Maca, Maca seca amarilla /yellow dried maca , Maca seca roja /Red dried maca , Maca triturada seca/dried crushed maca, Mango deshidratado/Dried mango, Organic macarich 4:1, Organic macarich 6:1, Plátano deshidratado/Raw dried banana, Rodajas de maca /Dried maca slices, Rodajas de maca amarilla/Raw dried yellow maca slices, Rodajas de maca roja/Raw dried red maca slices, Rodajas deshidratadas de maca Negra/Dried black maca slices, AGUAYMANTO CRUNCHY DESHIDRATADO/ DRIED CRUNCHY GOLDEN BERRY, Cereal (HOJUELAS DE MAÍZ, ARRACACHA, YACON, CACAO, MACA Y QUINUA- ANDEAN FLAKES/ CORN FLAKES WITH ARRACACHA,CHIA, YACON, MACA Y QUINOA-ANDEAN FLAKES, Superalimento crunch /Superfood Crunch Cereal), Cereal (AVENA EN HOJUELAS / OAT FLAKES, Coronta triturada de maíz morado/Raw purple corn cob powder crushed, GRANOS MAIZ MORADO GELATINIZADO/ORGANIC GELATINIZED PURPLE CORN KERNEL, HOJUELAS DE MAÍZ MORADO, QUINUA, YACÓN Y CACAO - HEARTY FLAKES/ PURPLE CORN FLAKES, QUINOA, YACON AND CACAO-HEARTY FLAKES, Hojuelas de maíz morado/purple corn flakes, Maíz morado/Purple Corn, Organic Andes Superflakes /Organic Andes Superflakes (White corn powder, arracacha powder, cane sugar, chia, quinoa powder and maca powder)/Mezcla instantanea de maiz blanco en polvo, arracacha en polvo, panela, chia, quinua polvo y maca polvo), Concentrates (Concentrado de camu camu/Concentrated camu camu), Dehydrated Foods (Gragea de piña deshidratada/ Dried pineapple dragee), Dehydrated Foods (Piña deshidratada/ Dried pineapple), Gragea de mango deshidratado/ Dried mango dragee, SACHA INCHI CUBIERTO CON CHOCOLATE ORGÁNICO / INKANI, Sacha inchi cubierto con chocolate/ Chocolate covered in sacha inchi, AGUAYMANTO CUBIERTO CON CHOCOLATE /GOLDEN BERRY COVERED IN CHOCOLATE, Jam (MERMELADA DE MANGO ENDULZADA CON JARABE DE AGAVE Y YACÓN /MANGO JAM SWEETENED WITH SYRUP AGAVE AND YACON), Purees (Lúcuma pulpa congelada/Frozen lucuma pulp, Pulpa congelada de Camu Camu/Frozen camu camu pulp), Syrups (Jarabe de agave/Agave syrup, Jarabe de aguaymanto/Golden berry Syrup, JARABE DE YACON PREMIUM /YACON SYRUP PREMIUM/ ORGANIC YACON SYRUP PREMIUM ALOVITOX); Other Grains, Pastas and Cereals: Rice (LEYENDAS ORIENTAL/ ORIENTAL LEYENDAS); Oils &amp; Oleoresins: Oils (Aceite de sacha inchi/Sacha lnchi Oil); Nuts/Seeds: Nuts (Castañas enteras/Whole Brazil nuts, PECANA ENTERA/WHOLE PECANS KERNELS (WITHOUT HALVES), Pecanas en mitades/Pecans halves/pieces), Seeds (SEMILLAS DE CHIA/CHIA SEEDS); Health Products: Herbs (AVENA MIX COCO Y CANELA / MEZCLA DE AVENA CON COCO, QUINUA, ARROZ, CHÍA, ARRACACHA Y CANELA/OATMEAL MIX COCONUT AND CINNAMON / OATMEAL MIX WITH COCONUT, QUINOA, RICE, CHIA, ARRACACHA AND CINNAMON, BROWNIE MIX - PREMEZCLA EN POLVO A BASE DE CACAO, QUINUA, ARRACACHA Y MACA ENDULZADO CON PANELA / Brownie Mix/POWDER PREMIX BASED ON COCOA, QUINOA, ARRACACHA AND MACA SWEETENED WITH CANE SUGAR, MEZCLA INSTANTÁNEA EN BASE A CACAO, MAÍZ MORADO, ALGARROBO, QUINUA Y CANELA - CACAO MORNINGS/ Cacao, purple corn, algarrobo, quinoa and cinammon Instant blend, MEZCLA INSTANTANEA EN BASE A MACA , MAÍZ BLANCO, MAIZ MORADO, QUINUA Y CAMU CAMU, - MACA MORNINGS/ Maca, white corn, purple corn, quinoa and camu camu Instant blend), Herbs (AVENA MIX MACA Y CACAO/ MEZCLA DE AVENA CON CACAO, CHÍA, KIWICHA, MACA, ALGARROBO, AJONJOLÍ Y CANELA/OATS MIX MACA AND COCOA/ OAT MIX WITH COCOA, CHIA, KIWICHA, MACA, CAROB, SESAME AND CINNAMON, AVENA MIX MAÍZ MORADO, KIWICHA Y QUINUA / MEZCLA DE AVENA CON MAÍZ MORADO, KIWICHA, QUINUA, CHÍA, YACÓN Y LINAZA/OATS MIX PURPLE CORN, KIWICHA AND QUINOA / OAT MIX WITH PURPLE CORN, KIWICHA, QUINOA, CHIA, YACON AND LINSEED, Cañihua en granos/ Canhiua grains, Cúrcuma/Turmeric, Kion/Ginger, Kiwicha en granos /Amaranth Grains, Quinua blanca en grano/White Quinoa Grains, Quinua en grano/Quinoa Grains, Quinua negra en grano/Black Quinoa Grains, Quinua roja en grano/Red Quinoa Grains, Quinua tricolor en grano/Tricolor Quinoa Grains, Rodajas de cúrcuma deshidratada / Raw dried Turmeric slices, RODAJAS DE KION DESHIDRATADO / RAW DRIED GINGER SLICES, SEMILLAS DE CHIA BLANCA -CHIA BLANCA/ WHITE CHIA SEEDS-WHITE CHIA, SEMILLAS DE CHIA NEGRA-CHIA NEGRA/ BLACK CHIA SEEDS- BLACK CHIA); Fruits/Vegetables: Powders (Harina de quinua roja gelatinizada /Red quinoa gelatinized powder, LEYENDAS HINDY / HINDI LEYENDAS, LEYENDAS MULTIGRANOS / MULTIGRAINS LEYENDAS, NATURE ENERGY - MEZCLA EXTRUIDA EN POLVO A BASE DE MACA, ALGARROBO, CAFE VERDE, CAMU CAMU Y ARRACACHA/ EXTRUDED POWDER MIXTURE BASED ON MACA, CAROB, GREEN COFFEE, CAMU CAMU AND ARRACACHA, Plátano maduro en polvo/ripe banana powder , Quinua negra en polvo/ Black quinoa powder, Yacon en polvo/Raw Yacon Powder), Powders (ACAI EN POLVO ORGANICO/ ORGANIC ACAI POWDER (Comercial: ORGANIC FREEZE DRIED AÇAÍ POWDER), AGUAYMANTO EN POLVO/ RAW GOLDEN BERRY POWDER, Algarrobo en polvo/Algarroba (mesquite) dried powder, Arracacha en polvo /Raw Arracacha powder, Arracacha en polvo gelatinizada/gelatinized arracacha powder, AVENA EN POLVO / OAT POWDER, Beterraga en polvo/ Beet powder , Camote en polvo/Sweet potato powder, Camu camu en polvo /Raw Camu Camu Powder, CAMU CAMU EN POLVO INTEGRAL / RAW CAMU CAMU POWDER WHOLE FRUIT, Cañihua en polvo/ Powder Canhiua , Chia en polvo/Chia Powder, CORONTA EN POLVO DE MAIZ MORADO/ RAW PURPLE CORN COB POWDER, CURCUMA EN POLVO/RAW TURMERIC POWDER, Espinaca en polvo/Spinach powder, GRANOS MAIZ MORADO EN POLVO / RAW PURPLE CORN KERNELS POWDER, GRAVIOLA EN POLVO/GRAVIOLA POWDER, HARINA DE MAIZ BLANCO / WHITE CORN FLOUR, Harina de quinua negra gelatinizada /Black quinoa gelatinized powder, INKA POWER- MEZCLA EN POLVO A BASE DE MACA, MAIZ MORADO, LUCUMA, QUINUA, CACAO, CAFE VERDE, CAMU CAMU, ALGARROBO Y ARRACACHA/ POWDER MIXTURE BASED ON MACA, PURPLE CORN, LUCUMA, QUINOA, COCOA, GREEN COFFEE, CAMU CAMU, CAROB AND ARRACACHA, Kion en polvo/Raw ginger powder, KIWICHA EN POLVO/ AMARANTH POWDER, Kiwicha gelatinizada en polvo /Gelatinized amaranth powder, Lúcuma en polvo /Raw Lucuma Powder, Maca amarilla en polvo/Raw yellow maca powder, Maca en polvo/Raw Maca Powder/Organic Raw Maca Powder ALOVITOX, Maca gelatinizada en polvo- instantanea/Gelatinized maca powder - instant, Maca gelatinizada en polvo/Gelatinized maca powder /Organic Gelanitized Maca Powder ALOVITOX, MACA INSTANTÁNEA EN POLVO/INSTANT MACA POWDER, Maca mix en polvo/raw maca powder mix, Maca mix gelatinizada en polvo/Gelatinized maca powder mix, Maca morada en polvo/Raw purple maca powder , Maca negra en polvo/Raw black maca powder, Maca negra gelatinizada en polvo/Gelatinized black maca powder, MACA NEGRA INSTANTÁNEA EN POLVO/INSTANT BLACK MACA POWDER, Maca premium en polvo/Maca Premium Powder, Maca roja en polvo/Raw red maca powder, Maca roja gelatinizada en polvo/Gelatinized red maca powder, MACA ROJA INSTANTÁNEA EN POLVO/ INSTANT RED MACA POWDER, Plátano en polvo/Banana powder, Plátano verde en polvo/ Green banana powder, Quinua en polvo/ Raw quinoa powder, Quinua gelatinizada en polvo/Gelatinized quinoa powder, Quinua roja en polvo /Red quinoa powder, Raíz de Arracacha/Arracacha roots, Sacha inchi en polvo/Sacha lnchi Powder, Tara en polvo/ Tara Powder, UÑA DE GATO CORTEZA TROZADA ORGANICA/ORGANIC CATS CLAW BARK STICKS, UÑA DE GATO EN POLVO ORGANICA/ORGANIC CATS CLAW POWDER, Zanahoria en polvo/Carrot powder); Dry/Baking Goods: Flours and Meals (HARINA DE TRIGO-TRIGO EN POLVO/ WHEAT FLOUR-WHEAT POWDER); Condiments and Sweeteners: Sweeteners (Panela granulada/Granulated cane sugar, Panela/Panela); Chocolate Goods: Baking Chips and Bars (Mango deshidratado cubierto de chocolate / Dried mango covered with chocolate, COBERTURA DE CHOCOLATE CON AZUCAR DE COCO / CHOCOLATE COUVERTURE WITH COCONUT SUGAR, Cobertura de chocolate con azúcar de coco/ Chocolate couverture with coconut sugar, Cobertura de chocolate con panela/ Chocolate couverture with cane sugar, Piña deshidratada cubierta de chocolate/ Dried pineapple covered with chocolate, Plátano deshidratado cubierto de chocolate/ Dried banana covered with chocolate), CACAO CRIOLLO EN POLVO/ RAW CRIOLLO CACAO POWDER, CACAO CRIOLLO EN POLVO/ CRIOLLO CACAO POWDER/ -ORGANIC CRIOLLO CACAO POWDER ALOVITOX, CACAO NIBS ENDULZADOS CON YACÓN/ ORGANIC CRIOLLO CACAO NIBS SWEETENED WITH YACON// ORGANIC CRIOLLO CACAO NIBS SWEETENED WITH YACON ALOVITOX, CACAO NIBS ORGÁNICO ENDULZADO CON YACÓN/ ORGANIC CACAO NIBS SWEETENED WITH YACON, CACAO NIBS ORGÁNICO ENDULZADOS CON PANELA// ORGANIC CACAO NIBS SWEETENED WITH CANE SUGAR, Cascarilla de cacao /Cacao Husk, GRANILLA CACAO CRIOLLO ORGANICO ENDULZADA CON YACON/ ORGANIC CRIOLLO CACAO NIBS SWEETENED WITH YACON, GRANILLA DE CACAO CRIOLLO ENDULZADO CON AZUCAR DE COCO / CRIOLLO CACAO NIBS SWEETENED WITH COCONUT SUGAR, Granilla de Cacao Criollo Natural Organico/Organic Natural Criollo Cacao Nibs, Granilla de cacao criollo tostada/Roasted criollo cacao nibs, Granilla de cacao criollo/ Raw criollo cacao nibs / Organic raw criollo cacao nibs ALOVITOX, Granilla de cacao cubierto con chocolate /Cacao nibs covered in chocolate, Granilla de cacao endulzada con panela/ cocoa beans sweetened with cane sugar, Granos de Cacao - Cacao Beans/Premium cacao beans, GRANOS DE CACAO CRIOLLO ORGANICO SIN FERMENTAR/ ORGANIC RAW UNFERMENTED CRIOLLO CACAO BEANS, Granos de cacao criollo/Raw criollo cacao beans /whole cacao beans, Manteca de cacao criollo / Raw Criollo cacao Butter, Manteca de cacao criollo /Criollo cacao Butter, Manteca de cacao criollo en trozos / monedas / obleas / botones - Criollo Cacao Butter Chunks / Coins / waffers / Buttons/Kibbles, Manteca de cacao criollo en trozos / monedas / obleas / botones / trocitos ( Raw Criollo Cacao Butter Chunks / Coins / waffers / Buttons / Kibbles), Pasta de cacao / Criollo cacao Paste, Pasta de cacao criollo en trozos / monedas / obleas / botones /trocitos / Raw Criollo Cacao paste Chunks / Coins / waffers / Buttons / Kibbles, Pasta de cacao criollo / /Raw Criollo cacao Paste , Pasta de cacao criollo en trozos / monedas / obleas / botones /trocitos - Criollo Cacao paste Chunks / Coins / waffers / Buttons / Kibbles, Polvo de cacao criollo natural organico /Organic Natural Criollo Cacao Powder / Organic Natural Cacao Powder, Polvo de Cacao Criollo tostado Organico/Organic Roasted Criollo Cacao Powder; Beverage Related Products: Coffee (Café molido tostado/Roasted and grounded coffee, CAFÉ TOSTADO EN GRANOS/Roasted coffee beans, CAFE VERDE EN GRANO / RAW GREEN COFFEE BEANS, Café verde en polvo/Raw green coffee powder), Juice (Jugo de aguaymanto/Golden berry juice, Jugo de camu camu/Camu camu juice, Jugo de yacon/Yacon Juice), Tea (Hojas secas de yacon/Dry yacon leaves); Other: Beans (Maíz en polvo /Corn powder), CAMU CAMU POLVO INTEGRAL ORGANICO EN CAPSULAS /ORGANIC RAW CAMU CAMU WHOLE FRUIT POWDER IN CAPSULES, CAMU CAMU POLVO ORGANICO EN CAPSULAS/ORGANIC RAW CAMU CAMU POWDER IN CAPSULES, GRAVIOLA EN POLVO ORGANICO EN CAPSULAS/ORGANIC GRAVIOLA POWDER IN CAPSULES, MACA EN POLVO ORGANICO EN CAPSULAS/ ORGANIC RAW MACA POWDER IN CAPSULES, MACA GELATINIZADA ORGANICO EN CAPSULA / ORGANIC GELANITIZED MACA POWDER IN CAPSULES, MACA NEGRA GELATINIZADA ORGANICO EN CAPSULA / ORGANIC BLACK GELANITIZED MACA POWDER IN CAPSULES, Quinua en granos precocida/Precooked quinoa grains</t>
  </si>
  <si>
    <t>Processed  Items: Spices (Maize/Corn flour;
- - Millet Flour;
- - Organic Bajra Atta;
- - Organic Bajra Flour;
- - Organic barley Atta;
- - Organic Barley Flour;
- - Sunflower seeds Meal;
Ajwain (Trachyspermum amm) - - Organic Ajwain;
Allspice (Pimenta dioica) - Pimienta Gorda (Pimenta dioica) - Organic chilli dried;
Allspice (Pimenta dioica) - Pimienta Gorda (Pimenta dioica) - Organic Chilli flakes;
Allspice (Pimenta dioica) - Pimienta Gorda (Pimenta dioica) - Organic Chilli powder;
Allspice (Pimenta dioica) - Pimienta Gorda (Pimenta dioica) - Organic Cinnamon (Powder);
Allspice (Pimenta dioica) - Pimienta Gorda (Pimenta dioica) - Organic Cloves;
Allspice (Pimenta dioica) - Pimienta Gorda - Organic Cumin whole	(Pimenta dioica);
Allspice (Pimenta dioica) - Pimienta Gorda - Organic Fennel Powder	(Pimenta dioica);
Allspice (Pimenta dioica) - Pimienta Gorda - Organic Fennel Seed	(Pimenta dioica);
Allspice (Pimenta dioica) - Pimienta Gorda - Organic fenugreek bold	(Pimenta dioica);
Allspice (Pimenta dioica) - Pimienta Gorda	(Pimenta dioica) - Organic Fenugreek Powder (Methi Powder);
Allspice (Pimenta dioica) - Pimienta Gorda (Pimenta dioica) - Organic Fenugreek whole;
Allspice (Pimenta dioica) - Pimienta Gorda (Pimenta dioica) - Organic Ginger Flakes;
Allspice (Pimenta dioica) - Pimienta Gorda (Pimenta dioica) - Organic Ginger TBC;
Allspice (Pimenta dioica) - Pimienta Gorda (Pimenta dioica) - Organic Ginger whole;
Allspice (Pimenta dioica) - Pimienta Gorda (Pimenta dioica) - Organic Ginger whole (dried);
Allspice dehydrated - Semilla de pimienta deshidratada (Pimienta dioca) - Organic Ginger Powder;
Almonds shelled - - Organic Almonds (Shelled);
Amaranth - Kiwicha - Organic Amaranth;
Amaranth Flour - Harina de amaranto - Organic Amaranth Flour;
Amaranth seed (Amaranthus) - Semilla de amaranto (Amaranthus) - Organic Amaranth seed;
Amaranth Seed/ Ram dhana - Semilla de amaranto / Ram dhana - Organic Amaranth seed/Ramdhana;
Arroz - Arroz - Organic Basmati Brown Rice;
Arroz - Arroz - Organic Basmati Brown Rice Type-3;
Arroz - Arroz - Organic Basmati Rice-white;
Arroz - Arroz - Organic Basmati White rice 1121;
Arroz - Arroz - Organic Basmati White Rice Type-3;
Arroz - Arroz - Organic Long Grain Non Basmati Parboiled Broken Brown Rice;
Arroz - Arroz - Organic Long Grain Non Basmati Parboiled Broken White Rice;
Arroz - Arroz - Organic Non Basmati Broken Brown Rice;
Arroz - Arroz - Organic Non Basmati Broken White Rice;
Arroz - Arroz - Organic Non Basmati Parboiled Broken Brown Rice;
Arroz - Arroz - Organic Non Basmati Parboiled Broken White Rice;
Arroz - Arroz - Organic Rice Bran Meal;
Arroz - Arroz - Organic Traditional Basmati Brown Rice;
Barley - Cebada - Organic Barley whole;
Brown rice flour - - Organic Brown Rice Syrup DE 65;
Brown rice flour - - Organic Non Basmati Brown Rice Flour;
Cashew - Marañon - Organic Cashew kernels (w320);
Cashew - Marañon - Organic Cashew Kernels NW (NATURAL WHOLES);
Cashew - Marañon - Organic Cashew W180;
Cashew - Marañon - Organic Cashew W210;
Cashew - Marañon - Organic Cashew W240;
Cashew - Marañon - Organic Cashew W450;
Cashew - Marañon - Organic Cashew Whole;
Castor Oil Seeds - Aceites de semillas de castor - Organic Castor meal;
Castor Oil Seeds - Aceites de semillas de castor - Organic Castor oil;
Cereals - - Maize Grain;
Cereals - - Organic Dalia;
Cereals - - Organic Finger Millet grain;
Cereals - - Organic Maize (Corn-Seed Quality);
Cereals - - Organic Ragi;
Cereals - - Quinoa;
Coconut desiccated - Coco desecado - Organic Coconut Desiccated;
Fines Herbs, Spices and Medicinal Plants - - Psyllium husk (isobgul);
Fines Herbs, Spices and Medicinal Plants - - Psyllium husk powder;
Fines Herbs, Spices and Medicinal Plants - - Psyllium seed (isobgul);
Jowar (Sorghum) - - Dehulled Sorghum;
Jowar (Sorghum) - - Organic Sorghum;
Jowar (Sorghum) - - Organic Sorghum Flour;
Jowar (Sorghum) - - Pearled Sorghum;), Spices (Legumes - - Organic Arhar;
Legumes - - Organic Bengal Gram Split;
Legumes - - Organic Bengal Gram Whole;
Legumes - - Organic Black Gram Split Chhilka;
Legumes - - Organic Black Gram Split Dehusked;
Legumes - - Organic Black gram/Urd (Vigna sp.);
Legumes - - Organic Chana Dal;
Legumes - - Organic Chhole;
Legumes - - Organic Chia;
Legumes - - Organic Chia seed;
Legumes - - Organic Chickpea Kabuli Chana;
Legumes - - Organic Chitra Rajma;
Legumes - - Organic Green Gram Whole;
Legumes - - Organic Green Gram Whole Moong sabut;
Legumes - - Organic Green gram/chana/Moong (Vigna sp.);
Legumes - - Organic Groundnut (Edible grade);
Legumes - - Organic Jammu Rajma;
Legumes - - Organic Masoor;
Legumes - - Organic moong dal split chhilka;
Legumes - - Organic Moong Dal Split Dehusked;
Legumes - - Organic Moong Dal Whole;
Legumes - - Organic Moong dal-yellow;
Legumes - - Organic Peanut oil (Edible grade);
Legumes - - Organic Rajma;
Legumes - - Organic Red Lentil Whole;Legumes - - Organic Tur;
Legumes - - Organic Tur dal;
Legumes - - Red Kidney beans/Rajma (Phaseolus vulgaris);
Legumes - Processed - - Organic Bengal Gram Flour;
Legumes - Processed - - Organic Bengal Gram(Chana)Flour;
Legumes - Processed - - Organic Besan (Gram Flour);
Legumes - Processed - - Organic Black gram split dehusked;
Legumes - Processed - - Organic Black gram split white;
Legumes - Processed - - Organic Black Mustard Oil;
Legumes - Processed - - Organic Gram Flour/Besan;
Legumes - Processed - - Organic Green gram split yellow;
Legumes - Processed - - Organic Urd dal washed;
Lentils - Lenteja - Organic Brown Lentil Whole;
Lentils - Lenteja - Organic Brown Split Lentil Masoor;
Lentils - Lenteja - Organic lentil;
Lentils - Lenteja - Organic Red Lentil Split;
Lentils - Lenteja - Organic Red Lentil Split Masoor;
Lentils - Lenteja - Processed Red Lentil Whole;
Lentils - Lenteja - Red Lentil;
Mustard (Brassica juncea) - Mostaza (Brassica juncea) - Organic black mustard;
Mustard (Brassica juncea) - Mostaza (Brassica juncea) - Organic Mustard;
Mustard (Brassica juncea) - Mostaza (Brassica juncea) - Organic Mustard Khali;
Mustard (Brassica juncea) - Mostaza (Brassica juncea) - Organic mustard Meal;
Mustard (Brassica juncea) - Mostaza (Brassica juncea) - Organic Mustard meal cake;
Mustard (Brassica juncea) - Mostaza (Brassica juncea) - Organic Mustard Oil;
Mustard (Brassica juncea) - Mostaza (Brassica juncea) - Organic Mustard Oil (Refined);
Mustard (Brassica juncea) - Mostaza (Brassica juncea) - Organic yellow mustard;
Nuts, other - Otras Nueces - walnut;
Nuts, other - Otras Nueces - Walnuts: Shelled;
Oats flaked - copos de avena - Oats (Flakes);
Oats seed - Avena - Oats (seed/grains);
Oilseeds - - Organic Black sesame;
Oilseeds - - Organic Brown mustard;
Oilseeds - - Organic flaxseed;
Oilseeds - - Organic Flaxseed/Linseed meal;
Oilseeds - - Organic Groundnut;
Oilseeds - - Organic Hulled Sesame Seed;
Oilseeds - - Organic Peanut;
Oilseeds - - Organic Sesame;
Oilseeds - - Organic Sesame Hulled;
Organic Rice - Arroz Organico - Organic Basmati Parboiled brown;
Organic Rice - Arroz Organico - Organic Basmati Parboiled White Rice;
Organic Rice - Arroz Organico - Organic Broken Brown Rice;
Organic Rice - Arroz Organico - Organic Broken white rice;
Organic Rice - Arroz Organico - ORGANIC BROWN BASMATI RICE;
Organic Rice - Arroz Organico - ORGANIC BROWN PUSA BASMATI RICE;
Organic Rice - Arroz Organico - Organic Brown Rice flour;
Organic Rice - Arroz Organico - ORGANIC BROWN TRADITIONAL BASMATI RICE;), Spices (Organic Rice - Arroz Organico - Organic Fast Cooking Brown Rice;
Organic Rice - Arroz Organico - ORGANIC FINE POLISHED LONG GRAIN WHITE RICE;
Organic Rice - Arroz Organico - Organic Flattened rice;
Organic Rice - Arroz Organico - Organic Hasina Sona Masuri Brown Rice;
Organic Rice - Arroz Organico - Organic Hasina Sona Masuri White Rice;
Organic Rice - Arroz Organico - Organic Long Grain Non Basmati 15% Broken Brown Rice;
Organic Rice - Arroz Organico - Organic Long Grain Non Basmati 15% Broken White Rice;
Organic Rice - Arroz Organico - Organic Long Grain Non Basmati 50% Broken Brown Rice;
Organic Rice - Arroz Organico - Organic Long Grain Non Basmati 50% Broken White Rice;
Organic Rice - Arroz Organico - Organic Long Grain Non Basmati Brown Rice;
Organic Rice - Arroz Organico - Organic Long Grain Non Basmati White Rice;
Organic Rice - Arroz Organico - Organic Long Grain parboiled Non Basmati Brown Rice;
Organic Rice - Arroz Organico - Organic Long grain Parboiled Non Basmati White Rice;
Organic Rice - Arroz Organico - Organic Medium Grain Non basmati Brown Rice;
Organic Rice - Arroz Organico - Organic Medium Grain Non basmati White Rice;
Organic Rice - Arroz Organico - Organic Medium Grain Parboiled Non Basmati Brown Rice;
Organic Rice - Arroz Organico - Organic Medium Grain Parboiled Non Basmati White Rice;
Organic Rice - Arroz Organico - Organic Non Basmati 15% Broken Brown Rice;
Organic Rice - Arroz Organico - Organic Non Basmati 15% Broken White Rice;
Organic Rice - Arroz Organico - Organic Non Basmati Black Rice;
Organic Rice - Arroz Organico - Organic Non Basmati Brown Rice;
Organic Rice - Arroz Organico - Organic Non Basmati Kranti Brown Rice;
Organic Rice - Arroz Organico - Organic Non Basmati Kranti White Rice;
Organic Rice - Arroz Organico - Organic Non Basmati White Rice;
Organic Rice - Arroz Organico - Organic Non-Basmati Paddy;
Organic Rice - Arroz Organico - Organic Parboiled Brown Ric;
Organic Rice - Arroz Organico - Organic Parboiled Non Basmati Brown Rice;
Organic Rice - Arroz Organico - Organic Parboiled Non Basmati white Rice;
Organic Rice - Arroz Organico - Organic Parboiled White Rice;
Organic Rice - Arroz Organico - Organic Pusa Basmati Brown Rice-1121;
Organic Rice - Arroz Organico - ORGANIC PUSA BASMATI WHITE RICE-1121;
Organic Rice - Arroz Organico - ORGANIC PUSA BASMATI WHITE RICE-PB-1;
Organic Rice - Arroz Organico - Organic red rice;
Organic Rice - Arroz Organico - Organic Rice Bran;
Organic Rice - Arroz Organico - Organic rice Bran oil;
Organic Rice - Arroz Organico - Organic Rice Poha;
Organic Rice - Arroz Organico - Organic Short Grain Non Basmati Brown Rice;
Organic Rice - Arroz Organico - Organic Short Grain Non Basmati White Rice;
Organic Rice - Arroz Organico - Organic Short Grain Sona Masuri Brown Rice;
Organic Rice - Arroz Organico - Organic Short Grain Sona Masuri White Rice;
Organic Rice - Arroz Organico - Organic Sona Masuri Brown Rice;
Organic Rice - Arroz Organico - Organic Sona Masuri Non Basmati Brown Rice;
Organic Rice - Arroz Organico - Organic Sona Masuri Non Basmati White Rice;
Organic Rice - Arroz Organico - Organic Sona Masuri Rice;
Organic Rice - Arroz Organico - Organic Sona Masuri White Rice;
Organic Rice - Arroz Organico - Organic Stabilized Rice Bran(OSRB);
Organic Rice - Arroz Organico - Organic Traditional Basmati Parboiled brown Rice;
Organic Rice - Arroz Organico - Organic Traditional Basmati Parboiled White Rice;
Organic Rice - Arroz Organico - ORGANIC WHITE BASMATI RICE;
Organic Rice - Arroz Organico - Organic White Pusa Basmati Rice;
Organic Rice - Arroz Organico - ORGANIC WHITE TRADITIONAL BASMATI RICE;
Organic Rice - Arroz Organico - Royal Organic Sona Masuri Non Basmati Brown Rice;
Organic Rice - Arroz Organico - Royal Organic Sona Masuri Non-Basmati White Rice;), Spices (Other spices - Otras especias - Organic Black Pepper;
Other spices - Otras especias - Organic Black Pepper Powder;
Peas - Arveja - "Organic green Split Peas ";
Peas - Arveja - "Organic Split Pea Pulse ";
Peas - Arveja - Organic Pigeon pea;
Peas - Arveja - Organic Split Pigeon pea/arhar/Red gram;
Peas - Arveja - Pea Pulse;
Pepper - Pimientos - White Pepper powder;
Processed Oilseeds - - Organic Black Cumin Powder;
Processed Oilseeds - - Organic Brown Flax seed;
Processed Oilseeds - - Organic Flax/Linseed Oil;
Processed Oilseeds - - Organic Groundnut Meal;
Processed Oilseeds - - Organic Groundnut Oil;
Processed Oilseeds - - Organic Peanut Meal;
Processed Oilseeds - - Organic Peanut Oil;
Rice starch - Almidón de arroz - Organic Non Basmati White Rice Flour;
Sesame (Sesamum indicum) - Sesamo (Sesamum indicum) - Organic Black Sesame Seeds meal;
Sesame (Sesamum indicum) - Sesamo (Sesamum indicum) - Organic Sesame Oil/Gingelly Oil;
Sesame (Sesamum indicum) - Sesamo (Sesamum indicum) - Organic Sesame Seed - Oil;
Sesame (Sesamum indicum) - Sesamo (Sesamum indicum) - Organic Sesame Seed Natural;
Sesame (Sesamum indicum) - Sesamo (Sesamum indicum) - Organic Sesame seed white;
Sesame (Sesamum indicum) - Sesamo (Sesamum indicum) - Organic Sesame Seeds Black oil;
Sesame (Sesamum indicum) - Sesamo (Sesamum indicum) - Organic Sesame Seeds white oil;
Sesame (Sesamum indicum) - Sesamo (Sesamum indicum) - Organic White Sesame Seeds meal;
Spices - Especias - Organic Chilli whole;
Spices - Especias - Organic Clove powder;
Spices - Especias - Organic Coriander Powder;
Spices - Especias - Organic Coriander Seed;
Spices - Especias - Organic Cumin Powder;
Spices - Especias - Red Chilli Powder;
Sugars and Sweeteners - - Jaggery;
Sugars and Sweeteners - - Jaggery powder;
Sugars and Sweeteners - - Organic Brown Sugar;
Sugars and Sweeteners - - Organic Natural Sugar;
Sugars and Sweeteners - - White Sugar;
Sunflower seeds, whether or not broken - Semillas de girasol, incluyendo quebrantadas - Organic Sunflower Oil;
Sunflower seeds, whether or not broken - Semillas de girasol, incluyendo quebrantadas - Safflower Seed Oil (Kardi Seed Oil);
Sunflower seeds, whether or not broken - Semillas de girasol, incluyendo quebrantadas - Safflower Seeds Meal;
Sunflower seeds, whether or not broken - Semillas de girasol, incluyendo quebrantadas - Sunflower oil: edible grade;
Turmeric (Curcuma) - Cúrcuma - Turmeric Dried;
Turmeric (Curcuma) - Cúrcuma - Turmeric fingers;
Turmeric (Curcuma) - Cúrcuma - Turmeric flakes;
Turmeric (Curcuma) - Cúrcuma - Turmeric Powder;
Turmeric (Curcuma) - Cúrcuma - Turmeric TBC;
Virgin coconut oil - Aceite virgen de coco - Virgin coconut oil;
Wheat - Trigo - Organic wheat;
Wheat - Trigo - Organic Wheat Atta;
Wheat - Trigo - Organic Wheat Porridge;
Wheat - Trigo - Suji/Semolina/ Cream of Wheat;
Wheat or meslin flour. - Harina de trigo - Organic Wheat Flou;), Spices (Organic Rice - Arroz Organico - Organic Brown Rice Syrup DE 26;
Organic Rice - Arroz Organico - Organic Brown Rice Syrup DE 30;
Organic Rice - Arroz Organico - Organic Brown Rice Syrup DE 35;
Organic Rice - Arroz Organico - Organic Brown Rice Syrup DE 40;
Organic Rice - Arroz Organico - Organic Brown Rice Syrup DE 42;
Organic Rice - Arroz Organico - Organic Brown Rice Syrup DE 45;
Organic Rice - Arroz Organico - Organic Brown Rice Syrup DE 50;
Organic Rice - Arroz Organico - Organic Brown Rice Syrup DE 55;
Organic Rice - Arroz Organico - Organic Brown Rice Syrup DE 60;
Organic Rice - Arroz Organico - Organic Clarified Rice Syrup DE 40;
Organic Rice - Arroz Organico - Organic Clarified Rice Syrup DE 42;
Organic Rice - Arroz Organico - Organic Clarified Rice Syrup DE 45;
Organic Rice - Arroz Organico - Organic Clarified Rice Syrup DE 50;
Organic Rice - Arroz Organico - Organic Clarified Rice Syrup DE 55;
Organic Rice - Arroz Organico - Organic Clarified Rice Syrup DE 60;
Organic Rice - Arroz Organico - Organic Clarified Rice Syrup DE 65;
Organic Rice - Arroz Organico - Organic Rice Protein Powder 40%;
Organic Rice - Arroz Organico - Organic Rice Protein Powder 50%;
Organic Rice - Arroz Organico - Organic Rice Protein Powder 60%;
Organic Rice - Arroz Organico - Organic Rice Protein Powder 70%;
Organic Rice - Arroz Organico - Organic Rice Protein Powder 90%;
Organic Rice - Arroz Organico - Organic Rice Protein Powder 80%;
Organic Rice - Arroz Organico - Organic Rice Syrup Solid (Maltodextrin) DE 17;
Organic Rice - Arroz Organico - Organic Rice Syrup Solid (Maltodextrin) Powder 10;
Organic Rice - Arroz Organico - Organic Rice Syrup Solid (Maltodextrin) Powder DE 17;
Organic Rice - Arroz Organico - Organic Rice Syrup Solid (Maltodextrin)DE 20;
Organic Rice - Arroz Organico - Organic Rice Syrup Solid (Maltodextrin)DE 40;
Organic Rice - Arroz Organico - Organic Rice Syrup Solid (Maltodextrin)DE 45;
Organic Rice - Arroz Organico - Organic Rice Syrup Solid(Maltodextrin) DE10;
Organic Soyabean/Soybean meal - Harina orgánica de soja/soja;
Organic Soybean - Soja Orgánica;
Organic Soybean Cake - Pastel de soja orgánico;
Organic Soybean Meal - Harina de soja orgánica;
Organic Soymeal - Harina de Soja Orgánica;
Soybean/Soyabean Oil - Aceite de soja/soja;
Organic soya lecethin - Lecetina de soja ecológica;)</t>
  </si>
  <si>
    <t>Other: Ajwain, Almonds (Shelled), Aloe Vera, Amaranth Flour, Amaranth Seed / Ram Dhana, Arrow Root, Arrowroot Powder, Bajra Flour / Atta, Barley Flour, Basmati Paddy, Basmati Paddy (HBC 19), Basmati Paddy (PB1), Basmati Paddy (Type 3), Basmati Rice - White (Pusa - 1121), Basmati Rice - White (Type 3), Basmati Rice-Brown, Basmati Rice-White, Bengal Gram (Chana) Flour, Bengal Gram Whole, Black Cumin Powder, Black Gram / Urd (Vigna Sp.), Black Mustard Oil, Black Pepper, Black Pepper Powder, Black Sesame, Brahmi Powder, Broken Rice,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Cane Sugar, Cardamom Large (Black), Cardamom Powder, Cashew Kernel (Shelled Whole), Cashew Kernels (W180), Cashew Kernels (W210), Cashew Kernels (W240), Cashew Kernels Wholes 450, Chana Dal, Chia, Chickpea / Kabuli Chana (Garbanzos), Chilli Flakes, Chilli Powder, Chilli Whole, Cinnamon (Powder), Cinnamon Bark, Clarified Rice Syrup DE 30, Clarified Rice Syrup DE 35, Clarified Rice Syrup DE 40, Clarified Rice Syrup DE 42, Clarified Rice Syrup DE 45, Clarified Rice Syrup DE 50, Clarified Rice Syrup DE 55, Clarified Rice Syrup DE 60, Clarified Rice Syrup DE 65, Clove Powder, Cloves, Coriander, Coriander Powder, Coriander Seed, Cumin Powder, Cumin Whole, Fast Cooking Brown Rice/Fast Cooking Brown Basmati Rice, Fennel Powder, Fennel Seed, Fenugreek Powder (Methi Powder), Fenugreek Seed (Methi Seed), Flaxseed, Garlic, Garlic Flakes, Garlic Powder, Ginger Flakes, Ginger Fresh, Ginger Powder, Ginger TBC, Ginger Whole (Dried), Green Gram / Chana / Moong (Vigna Sp.), Green Gram Split Yellow / Moong Dal-Yellow, Green Gram Whole (Moong Sabut), Groundnut / Peanut, High Maltose Brown Rice Syrup DE 42, Hulled Sesame / Sesamum, Jaggery, Jaggery Powder, Lentil, Lentil Dal, Long Grain Non Basmati Brown Rice, Long Grain Non Basmati White Rice, Mace, Mace Powder, Maize (Corn) Flake, Maize / Corn Flour, Maize Grain, Maltodextrin Powder DE 10, Maltodextrin Powder DE 14, Maltodextrin Powder DE 17, Maltodextrin Powder DE 18, Maltodextrin Powder DE 24, Maltodextrin Powder DE 25, Maltodextrin Powder DE 28, Maltodextrin powder DE 30, Maltodextrin Powder DE 32, Maltodextrin Powder DE 35/Rice Syrup Solid (Maltodextrin) DE 35, Maltodextrin Powder DE 36, Maltodextrin powder DE 5, Medium Grain Non Basmati Brown Rice, Medium Grain Non Basmati White Rice, Millet Flour, Mustard, Mustard Oil (Refined), Non-Basmati Paddy, Non-Basmati Rice, Nutmeg Powder, Nutmeg Whole, Oats (Flakes), Oats (Seed / Grains), Onion, Onion (Powder), Onion Flakes, Paddy Traditional Basmati, Paddy-Sona Masuri, Parboiled Basmati Brown Rice, Parboiled Basmati White Rice, Parboiled Non Basmati Brown Rice, Parboiled Non Basmati White Rice, Pea Pulse (Pisum Sativum), Pigeon Pea, Poha / Chivda, Psyllium Husk (Isobgul), Psyllium Husk Powder, Psyllium Seed (Isobgul), Quinoa, Ragi / Finger Millet Grain, Red Chilli Powder, Red Kidney Beans / Rajma (Phaseolus Vulgaris), Red Lentil, Red Lentil Split, Red Onion Powder, Red Rice, Rice Flour, Rice Protein Powder  40%, Rice Protein Powder  50%, Rice Protein Powder 40%, Rice Protein Powder 50%, Rice Protein Powder 60%, Rice Syrup Solid (Maltodextrin) DE 14, Rice Syrup Solid (Maltodextrin) DE 17, Rice Syrup Solid (Maltodextrin) DE 20, Rice Syrup Solid (Maltodextrin) DE 25, Rice Syrup Solid (Maltodextrin) DE 30, Rice-Sona Masuri, Royal Organic Sona Masoori Non-Basmati White Rice, Senna Leaves Powder, Senna Leaves Tea Bag Cut (TBC), Sesame Oil / Gingelly Oil, Sesame Seeds, Sorghum, Sorghum Flour, Soyabean / Soybean Meal, Soyabean / Soybean White, Soybean / Soyabean Oil, Split Green Gram / Moong (Vigna Sp.), Split Pigeon Pea / Arhar / Red Gram, Suji / Semolina / Cream Of Wheat, Sunflower Oil: Edible Grade, Tulsi Powder, Turmeric Dried, Turmeric Fingers, Turmeric Flakes, Turmeric Fresh, Turmeric Powder, Turmeric TBC, Urad Dal / Split Black Gram, Virgin Coconut Oil, Walnuts: Shelled, Wheat Flour, Wheat Porridge / Dalia, White Pepper, White Pepper Powder, White Pusa Basmati Rice, White Rice Flour, White Sesame / Sesame, White Traditional Basmati Rice</t>
  </si>
  <si>
    <t>Other: Almonds, Arrow root powder, Brown Lentil, Cane Sugar, Indian Organic Basmati Rice, Indian Organic Brown Basmati Rice, Kabuli Chana, Maize / Corn flour, Masoor Dal, Mix dal, Moong Dal-Split, Non Basmati Broken Brown Rice, Non Basmati Broken white Rice, Organic - Pearl Millet, Organic - Ragi (Finger Millet- Seed Quality), Organic Ajwain, Organic Ajwain Powder, Organic Almond (Shelled), Organic Aloe Veera, Organic Alphonso mango, Organic Amarnath Seed/Ram Dana, Organic Amla, Organic Amla Powder, Organic Amla Whole Dried, Organic Apricots, Organic Arhar Dal (Red Gram/Pigeon Pea), Organic Arrow Root, Organic Ashwagandha, Organic Ashwagandha leaf, Organic Ashwagandha Powder, Organic Ashwagandha Root Dried, Organic Asparagus Fresh, Organic Banana Fresh, Organic Barley- Dehulled, Organic Basmati Paddy, Organic Basmati Paddy (HBC 19), Organic Basmati Paddy (PB1), Organic Basmati Paddy (Type 3), Organic Basmati Rice - White (Type 3), Organic Basmati Rice-Brown, Organic Basmati Rice-White, Organic Beet / Beet Root, Organic Bengal Gram Flour and Organic Besan(gram flour), Organic Bengal Gram Whole, Organic Black Cumin Powder/ Nigella Powder/ Kalonji Powder, Organic Black gram split white, Organic Black gram split dehusked and organic Urd dal washed, Organic Black Gram/Urd (Vigna Sp.), Organic black non basmati rice, Organic Black Pepper, Organic Black pepper crushed, Organic Black Pepper Powder, Organic Black Sesame, Organic Black Tea, Organic Broken Rice, Organic Broken Rice, Organic Brown Gram/Gram/Chana (Cicer Arietinum), Organic Brown Mustard, Organic Buckwheat- Dehulled, Organic Cane Sugar Cubes, Organic Cardamom Large (Black), Organic Cardamom Powder, Organic Carrot, Organic Cashew Kernel (Shelled Whole), Organic Cashew Kernels (W240), Organic Cashew Kernels (W320), Organic Cashew Whole, Organic Cashew-Split, Organic Castor Oil, Organic Castor Oil (Edible Grade), Organic Celery, Organic Celery Seed, Organic Chana Dal, Organic Cherry/Cherries, Organic Chia, Organic Chickpea/Kabuli Chana (Garbanzos), Organic Chicory Roasted, Organic Chicory Root, Organic Chilli Flakes, Organic Chilli Powder, Organic Chilli Whole, Organic Cinnamon (Powder), Organic Cinnamon Bark,, Organic Cloves, Organic Cluster Beans/ Guar, Organic Cocoa/ Cocoa beans, Organic Coconut, Organic Coconut Desiccated, Organic Coconut Oil, Organic Coffee Arabica- Cherry, Organic Coffee Arabica Parchment, Organic Coffee beans, Organic Coffee Cherry Robusta, Organic Coriander, Organic Coriander Powder, Organic Coriander seed, Organic Cowpea Red, Organic Cowpea White Dal, Organic Cucumber, Organic Cumin Powder, Organic Cumin Whole, Organic Dehydrated Ginger Powder, Organic Dried Cardamom, Organic Dried Clove, Organic Fennel Powder, Organic Fennel Seed, Organic Fennel/Saunf, Organic Fenugreek, Organic Fenugreek Powder (Methi Powder), Organic Fenugreek Seed (Methi Seed), Organic Flax Seed, Organic Flax/Linseed Oil, Organic Flaxseed/Linseed, Organic Foxtail Millets, Organic Garlic, Organic Garlic Flakes, Organic Ginger Flakes, Organic Ginger Fresh, Organic Ginger Powder, Organic Ginger Slice, Organic Ginger TBC, Organic Ginger Whole, Organic Ginger Whole (Dried), Organic Grapes (Fresh), Organic Green Cardamom, Organic Green Gram /Chana/ Moong (Vignas sp.), Organic Green Gram Split Yellow/Moong Dal-Yellow, Organic Green Gram/Chana/Moong (Vigna Sp.), Organic Green Gram/Moong Dhuli, Organic Groundnut/Peanut, Organic Groundnut/Peanut Oil (Edible Grade), Organic Hulled Sesame/Sesamum, Organic Jaggery, Organic Jaggery Powder, Organic Kodo / Kodon millet, Organic Lemon Fresh, Organic Lemon Grass, Organic Lentil, Organic Lentil Dal, Organic Lettuce, Organic Long grain Parboiled Non Basmati White Rice, Long Grain parboiled Non Basmati Brown Rice, Parboiled Non Basmati Brown Rice, Parboiled Non Basmati white Rice, Parboiled Brown Rice, Parboiled White Rice, Organic Medium Grain Parboiled Non Basmati Brown Rice, Organic Medium Grain Parboiled Non Basmati White Rice, Organic Mace, Organic Maize (Corn-Seed Quality), Organic Maize Grain/Maize Corn, Organic Moong Dal Whole, Organic Green Gram Whole, Organic Green Gram Whole Moong, Organic Moringa Leaves, Organic Mustard, Organic Mustard, Organic Mustard – Black, Organic Mustard Seed, Organic Non-Basmati Paddy, Organic Non-Basmati Rice, Organic Nutmeg Whole, Organic Oats (Flakes), Organic Oats (Seeds/Grains), Organic Okra/Bhindi, Organic Onion, Organic Onion (Dried), Organic Onion Flakes, Organic Onion Granules, Organic Onion Minced, Organic Onion Powder, Organic Onion Seeds, Organic Oregano, Organic Orthodox Tea/ Green Tea, Organic Paddy-Sona Masuri, Organic Papaya (C.papaya), Organic Parboiled Brown Traditional Basmati Rice, Organic Parboiled White Traditional Basmati Rice, Organic Pea Pulse (Pisum Sativum), Organic Pearl Millet/Bajra, Organic Pigeon Pea, Organic Pigeon Pea/Arhar Whole, Organic Pineapple, Organic Pomegranate (Fresh), Organic Proso Millet, Organic Psyllium Husk (Isobgul), Organic Psyllium Husk Powder, Organic Psyllium Seed (Isobgul), Organic Pumpkin Fresh, Organic Quinoa, Organic Radish, Organic Ragi/Finger Millet Grain, Organic Raisins/Kismis, Organic Red Chilli Flakes, Organic Red Chilli Powder, Organic Red Gram, Organic Red Kidney Beans/Rajma (Phaseolus Vulgaris), Organic Red Lentil, Organic Red Rice, organic Royal Organic Sona Masuri Non Basmati Brown Rice, Royal Organic Sona Masuri Non-Basmati White Rice, Organic Sona Masuri Non Basmati Brown Rice, Organic Sona Masuri Non Basmati White Rice, Short grain Sona Masuri White Rice, Short Grain Sona Masuri Brown Rice, Organic Sona Masuri Rice., Organic Sawan/Barnyard Millet, Organic Sesame, Organic Sesame Oil / Gingelly Oil), Organic Sesame Seeds, Organic Sesame/Sesamum, Organic Shahi Jeera/Cumin, Organic Sorghum, Organic Soya Lecithin, Organic Soyabean, Organic Soyabean Oil, Organic Soyabean/Soybean Meal-Expeller Var, Organic Soybean, Organic Soybean Meal, Organic Soybean Whole, Organic Split Lentil, Organic Split Pigeon Pea/Arhar/Red Gram, Organic Stevia, Organic Stevia Leaves Dried, Organic Strawberries/ strawberry fresh, Organic Sugar, Organic Sugar (Brown/Natural), Organic Sunflower Oil: Edible Grade, Organic Sunflower Seed Oil, Organic Sweet Lime, Organic Tamarind Dry (Imli), Organic Tamarind/Imli (T.indica), Organic Tomato Fresh, Organic Turmeric Dried, Organic Turmeric Fingers, Organic Turmeric Flakes, Organic Turmeric Fresh, Organic Turmeric Powder, Organic Turmeric TBC, Organic Urad Dal/Split Black Gram, Organic Vanilla Bean, Organic Virgin Coconut Oil, Organic Walnut, Organic Walnuts: Shelled, Organic Wheat, Organic White Pepper, Organic White Pepper Powder, Organic White Sesame/Sesame, Organic Yellow Mustard, Parboiled Basmati Rice, Parboiled Basmati White Rice, Parboiled Rice, Red Lentil Whole / Red Lentil Whole Masoor, Saffron, Split Green gram/Moong (Vigna sp.), Suji/Semolina/ Cream of Wheat, Urad dal-Whole, Urad dhuli, Wheat flour, White Cane Sugar, White Pusa Basmati Rice, White Rice flour</t>
  </si>
  <si>
    <t>Other: Almonds (Shelled)
Aloe Vera 
Alphonso Mango 
Amaranth Seed / Ram Dhana
Amla 
Amla Whole Dried
Ashwagandha Powder 
Barley- Dehulled 
Basmati Paddy
Basmati Paddy (HBC 19)
Basmati Paddy (PB1)
Basmati Paddy (Type 3) 
Basmati Rice-White
Basmati White Rice Type-3
Bengal Gram (Chana) Flour / Besan (gram flour)
Black Cumin Powder
Black Gram split white
Black Gram / Urd (Vigna Sp.) 
Black Pepper
Black Pepper Powder
Black Sesame
Broken Rice
Brown Traditional Basmati Rice
Cardamom Large (Black)
Cardamom Powder 
Cashew Kernel (Shelled Whole) / Cashew Whole
Cashew Kernels (W240) 
Cashew Kernels (W320)
Cashew Whole 
Cashew-Split
Chana Dal
Chia
Chickpea / Kabuli Chana (Garbanzos)
Chilli Flakes 
Chilli Powder 
Chilli Whole 
Cinnamon Powder
Cinnamon Bark
Cloves
Coconut (Dried)
Coconut Desiccated 
Coriander Powder 
Coriander seed 
Cowpea
Cumin Powder
Cumin Whole 
Dried Cardamom
Fennel Powder 
Fennel Seed 
Fennel/Saunf 
Fenugreek Powder (Methi Powder) 
Fenugreek Seed (Methi Seed) 
Foxtail Millet
Garlic 
Garlic Flakes 
Ginger Flakes 
Ginger Fresh 
Ginger Powder
Ginger TBC 
Ginger Whole
Ginger Whole (Dried) 
Green Cardamom 
Green Gram / Chana / Moong (Vigna sp.)
Green Gram Split Yellow / Moong Dal-Yellow 
Green Gram Whole (Moong Sabut)
Groundnut / Peanut
Hulled Sesame / Sesamum
Jaggery 
Jaggery Powder 
Kodo/Kodon millet
Lentil 
Lentil Dal 
Long Grain parboiled Non Basmati Brown Rice
Long grain Parboiled Non Basmati White Rice
Maize Grain
Mustard 
Mustard - Black
Mustard Seeds
Non-Basmati Paddy 
Nutmeg Whole 
Onion
Onion Flakes 
Organic Bengal Gram Whole / 
Organic Bengal Gram (Chana Dal)
Paddy-Sona Masuri / Non Basmati Sona Masoori Paddy
Parboiled Brown Rice
Parboiled Non Basmati Brown Rice
Parboiled Non Basmati White Rice
Parboiled White Rice
Pea Pulse (Pisum Sativum) 
Pearl Millet/Bajra
Pigeon Pea
Pigeon Pea/Arhar Whole 
Psyllium Husk (Isobgul) 
Psyllium Husk Powder 
Psyllium Seed (Isobgul)
Quinoa 
Ragi / Finger Millet Grain 
Red Chilli Flakes
Red Chilli Powder 
Red Kidney Beans / Rajma (Phaseolus Vulgaris) 
Royal Organic Sona Masuri Non Basmati Brown Rice
Royal Organic Sona Masuri Non-Basmati White Rice
Sawan / Barnyard Millet 
Sesame Seeds 
Short Grain Sona Masuri Brown Rice
Short Grain Sona Masuri White Rice
Sona Masuri Non Basmati Brown Rice
Sona Masuri Non Basmati White Rice
Sona Masuri Rice
Sorghum 
Soybean / Soybean Meal
Soybean Whole
Split Lentil 
Split Pigeon Pea / Arhar / Red Gram / Toor Dal
Sugar
Sugar (Brown / Natural)
Tamarind Dry (Imli) 
Tomatoes (Fresh)
Turmeric Fingers
Turmeric Flakes 
Turmeric Powder 
Turmeric TBC 
Urad Dal / Split Black Gram 
Walnut 
Walnuts: Shelled 
Wheat 
White Pepper 
White Pepper Powder 
White Sesame / Sesame</t>
  </si>
  <si>
    <t>Other Grains, Pastas and Cereals: Rice; Fruits/Vegetables: Beans, Peas, Vegetables</t>
  </si>
  <si>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</si>
  <si>
    <t>Other Grains, Pastas and Cereals: Pasta; Fruits/Vegetables: Beans; Other: Packaging of Organic Products, Processing &amp; Packaging of Organic Products</t>
  </si>
  <si>
    <t>Other: Beans: Adzuki, Red Kidney, Garbanzo, Mung, Navy, Pink, Pinto, Small Red Beans. Lentils: Black, French Green, Green, Red Split, Lentil Blend. Peas: Black Eyed, Green Split, Yellow Split. Cereal: Brown Rice Crispies, Crisp Brown Rice, Morning Milo, Crisp Sorghum Flakes, Corn Flakes, Quinoa Crispies, Crisp Quinoa Cereal, Oat Bran, Morning Milo Trio, Muesli. Flours: Long Grain Brown Rice, Garbanzo Bean, Garbanzo Bean Blend Flour, Corn Flakes Crumbs, Millet, Quinoa, Sorghum, Long Grain White Rice, Oat, Watermelon Protein, Pumpkin Seed Protein Powder, Sunflower Seed Powder, Quinoa Flour Blend. Seeds: Chia; (White, Black, Meal) Flax; (Brown, Golden, Meal), Pumpkin Pepitas, Sunflower Kernels, Poppy. Grain: Amaranth, Quinoa; (Black, White, Red, Tri Color) Sorghum Berries, Corn Meal, White Corn Grits, Hulled Millet, Oats; (Regular Rolled, Quick, Steel Cut), Popcorn; (Multicolored, Yellow Popcorn, White), Teff. Rice: Arborio, Basmati; (Brown, White, White Parboiled (Sella), Red Cargo) Long Grain: Brown, White, Jasmine; (White, Brown), Sushi, Medium Grain Brown Rice. Other: Cane sugar, cocoa powder. Pasta: Quinoa Pasta; (Elbow, Fusilli, Orzo, Spaghetti), Sorghum Pasta; (Fusilli, Penne, Alphabeto's),Q Mac, Rice Shells. Toll Processing: Adzuki Beans, Black Chia, Black Quinoa, Brown Flax Meal, Buckwheat Groats, Cocoa Powder, Chia Meal, Dark Red Kidney Beans, Garbanzo Bean Flour Blend, Golden Flax Seeds, Green lentils, Long Grain Parboiled Rice, Long grain White Rice, Medium Grain Brown rice, Mung Beans, Oat Flour, Pumpkin Seeds Protein Powder, Quinoa Flour, Red Cargo Jasmine Rice, Red Lentils, Red Quinoa, Sunflower Seed Powder, Teff, Watermelon Protein, White Basmati Rice, White Chia, White Jasmine Rice, White Quinoa</t>
  </si>
  <si>
    <t>Other: Cleaning, Roasting, Rolling, Bagging, and Distribution of Grains and Single-Ingredient Feeds including Corn, Oats, Roasted Soybeans, Rye, and Soybeans</t>
  </si>
  <si>
    <t>Other Grains, Pastas and Cereals: Organic Corn, Organic Oats, Organic Soybeans, Organic Triticale, Wheat</t>
  </si>
  <si>
    <t>Other: Animal Feed (Spent Grain Livestock Feed), Beer (Acai Berry Wheat), Beer (Amber Ale), Beer (California Blonde Ale), Beer (Climax 100), Beer (Distiller's Wash), Beer (Earth Thirst Double IPA), Beer (Emerald Triangle IPA), Beer (Hazy by Nature Series House Party IPA), Beer (Hazy by Nature Series Notorious Boldt), Beer (IPA), Beer (Midnight Rider IPA), Beer (Pilsner), Beer (Porter), Beer (Tree Top Flyer), Beer (Yolo Gold Hefeweizen), Beer (Micro-Brew) (Small Batch Specialty Beers)</t>
  </si>
  <si>
    <t>Processed  Items: Dehydrated Foods (Garlic, Onion, Red Beet, Beetroot); Other Grains, Pastas and Cereals: Cereal (Maize); Nuts/Seeds: Seeds (Caraway Seeds, Flaxseed, Linseed); Health Products: Herbs (Anise Seeds, Basil, Calendula, Chamomile, Clover (seeds), Coriander, Cumin, Dill, Echinacea, Fennel Seeds, Fenugreek (seeds), Hibiscus, Lemongrass, Liquorice, Marjoram, Moringa, Nigella seed, Oregano, Parsley, Peppermint, Rosemary, Sage, Senna, Spearmint, Thyme); Fruits/Vegetables: Vegetables (Leek); Animal Feed: Livestock Feed (Lucerne (Alfalfa) (Medicago sativa)); Other: Seeds (Sesame)</t>
  </si>
  <si>
    <t>Other Grains, Pastas and Cereals: Barley, Wheat (Bread Wheat,Durum Wheat, Milling Wheat,  Wheat); Oils &amp; Oleoresins: Oils (Flaxseed Oil, Rape Seed  Oil, Soybean Oil,  Sunflower Oil); Nuts/Seeds: Almonds, Pistachios, Seeds (Hulled Sunflower Kernel (Seed),  Pumpkin Seed, Sesame Seed Hulled, Sesame Seed, Sunflower Seed); Other: Aniseed, Buckwheat Hulled,Buckwheat, Bulghur ,Cuminseed, Fennel,  Lentils, Beans (Black Beans,White Bean, Navy (Pea) Beans), Beans (Bean,  Black Eye Beans,  Kidney Beans, Mung Beans, Red Bean, Soybeans, Split Mung Beans), Black Cumin,  Brown Flaxseed,   Chickpeas Broken, Chickpeas,  Corn, Flaxseed (Linseed), Gold Flaxseed (Gold Linseed), Green Broken Peas, Green Peas, Green Split Peas, Lentils Brown, Lentils Green,  Millet, Onıons, Pearled Barley, Pearled Wheat, Peas, Pepper, Poppy Seeds Blue, Poppy Seeds, Rape Seed,  Red Broken Lentils, Red Football Lentils  Water Polished, Red Football Lentils Oil Polished, Red Football Lentils Sligtly Oil, Red Football Lentils, Red Lentils, Red Split Lentils Oil Polished, Red Split Lentils Sligtly Oil, Red Split Lentils Water Polished, Red Split Lentils,  Rye, Sesame, Vital Wheat Gluten,  Yellow  Lentils, Yellow Broken Lentils, Yellow Broken Peas, Yellow Football Lentils, Yellow Peas, Yellow Split Lentils, Yellow Split Peas, Flours and Meals (Soybean meal), Flours and Meals (Chickpeas Flour, Corn Flour, Durum Wheat Flour, Green Peas Flour, Lentils Green Flour, Milling Wheat Flour, Mung Beans Flour, Red Lentils Flour, Rice Flour, Wheat  Flour , Yellow Lentils Flour, Yellow Peas Flour), Oats, Popcorn (Corn (Popcorn)), Rice (Paddy Rice, Rice Broken)</t>
  </si>
  <si>
    <t>Other: Acacia (Acacia Catchu (Extract, Powder)), Acacia (Acacia Senegal Gum), Acai (Acai Pe 4:1), Acerola Extract (Acerola (Powder, Extract)), Agave (Agave Americana), Agave Syrup (Agave Syrup), Alfalfa (Alfalfa Grass (Powder/Extract)), Alfalfa (Alfalfa Sprouting Seed), Alfalfa (Alfalfa, Alfalfa Grass), Alfalfa Juice (Alfalfa Green Juice), Alfalfa Juice (Alfalfa Juice Green (Powder, Extract)), Alfalfa Seed (Sprouted Alfalfa Seed), Algae (Chlorella (Powder/Tablet)), Almonds (Sprouted Almonds), Aloe Vera (Aloe Barbadensis), Aloe Vera (Aloe Vera Gel (Diced, Dried Powder, Juice, Concentrated Juice)), Aloe Vera (Aloe Vera Whole Leaf Concentrated Juice), Aloe Vera (Aloe Vera Whole Leaf Juice), Amaranth Flour, Artichokes (Artichoke (Extraction Cut, Powder, Extract, Liquid Extract)), Artichokes (Artichoke (Powder/Granule/Extract)), Asparagus (Asparagus), Asparagus (Asparagus (Cut/Powder)), Asparagus (Asparagus Extract/Powder), Asparagus (Asparagus Root (Whole/Powder/Extract With Water)), Avocados (Avocado Fruit Powder), Bananas (Dried) (Banana Powder), Bananas (Dried) (Ripe Banana Powder), Barley (Sprouted Barley), Beans (Adzuki Bean), Beans (Azuki Bean), Beans (Azuki Bean Flour), Beans (Black Kidney Beans), Beans (Black Turtle Bean), Beans (Black Turtle Bean Flour), Beans (Broad Bean), Beans (Dark Red Kidey Beans), Beans (Fava (Faba) Bean Flour), Beans (Fava (Faba) Beans), Beans (Mucuna Pruriens (Extract, Powder)), Beans (Mung Bean), Beans (Navy (White) Bean Flour), Beans (Navy Bean Flour), Beans (Special Kidney Beans), Beans (Sprouted Black Beans), Beans (Sprouted Garbanzo Beans), Beans (Sprouted Mung Beans), Beans (Sprouted Navy Beans), Beans (White Kidney Beans), Beans (White Kindey Beans), Beeswax (Beeswax), Bell Peppers (Bell Pepper), Bell Peppers (Bell Peppers Dried (Green, Red)), Bilberry Fruit (Bilberry Berries (Powder, Extract)), Blackberry (Rubus Fructicosis leaves cut), Blueberries (Blueberry (Powder/Extract)), Blueberries (Wild Blueberry Fruit/ Vacciniu uliginosum L.), Brassica (Brassica Oleracea (Powder, Extract)), Broccoli (Broccoli (Powder/Granule/Extract)), Brown Rice Syrup (Rice Malt Syrup), Buckwheat (Buckwheat (Granule, Kernel)), Buckwheat (Buckwheat Grass (Powder/Extract)), Buckwheat (Buckwheat, Hulled), Buckwheat (Dark Buckwheat (Whole, Grits, or Groats)), Buckwheat (Dark Buckwheat Flour), Buckwheat (Sprouted Buckwheat), Burdock (Burdock (Cut Roots, Powder, Extract)), Burdock Root (Burdock Root (Powder/Granule/Extract)), By-Products (Bee Pupae), By-Products (Beehives), By-Products (Propolis), By-Products (Propolis (Raw)), Cacao (Cacao), Cacao (Cacao (Beans, Butter, Liquor, Nibs, Powder)), Cacao (Carob), Cacao (Cocoa Products (Beans, Butter, Extract, Nibs, Liquor, Powder, Shells)), Cacao (Natural Cocoa Dominican), Cacao (Natural Cocoa Peruvian), Cacao (Natural Process Cocoa), Cacao Powder (Alkalized Cocoa Powder), Cacao Powder (Alkalized, Black Cocoa Powder), Cacao Powder (Cocoa Powder Dutch), Cacao Powder (Natural Cocoa Powder), Caramel (Caramel Color Liquid), Carob (Carob Powder), Carrots (Carrot (Ad/Fd, Extract, Extract Powder)), Cauliflower (Cauliflower), Cauliflower (Cauliflower (Ad/Fd, Juice Powder)), Cauliflower (Cauliflower (Flore/Cut/Powder)), Celeriac (Celeriac), Celery (Celery (Cut/Granule/Minced/Powder)), Chaste Tree Berry (Chaste Tree (Seeds, Powder, Extract)), Cherries (Wild Cherry (Iqf/Fd)), Cherries (Wild Cherry (Prunus Pseudocerasus) (Cut/Powder/Extract Powder)), Chili (Chili (Extract)), Chinese Herbs (Agastache/ Agastache rugosa (whole, cuts, powder, extract powder)), Chinese Herbs (Agrimory Extract), Chinese Herbs (Amur Cork-Tree Bark (Crude Drug, Crude Drug Powder Extract With Water)), Chinese Herbs (Amur Cork-Tree Bark (Whole, Powder, Extract)), Chinese Herbs (Andrographis/ Andrographis Paniculata (whole, cuts, powder, extract powder)), Chinese Herbs (Anemarrhena/ Anemarrhena Asphodeloides Bunge (whole, slice, cuts, powder, extract)), Chinese Herbs (Asarum Sieboldii), Chinese Herbs (Atractylodes Lancea (Cut/Powder/Powder Extract)), Chinese Herbs (Atractylodes Largehead Atractylodes Rhizome), Chinese Herbs (Barbed Skullcap Herb Extract), Chinese Herbs (Birch Leaf Extract), Chinese Herbs (Boehaavia Diffusa), Chinese Herbs (Bugleweed), Chinese Herbs (Calamus Root/ Rhizoma Acori Calami), Chinese Herbs (Cat's Claw Extract), Chinese Herbs (Caulis Mahoniae/ Mahonia Aquifolium (whole, slice, cuts, powder, extract powder)), Chinese Herbs (Celandine Extract), Chinese Herbs (Chinese Angelica (Angelica Officinalls) (Cut/Extract Powder/Powder)), Chinese Herbs (Chinese Angelica Root), Chinese Herbs (Chinese Clematis Roots (Powder/Extract Powder)), Chinese Herbs (Chinese Nut-Gall (Powder/Extract With Water)), Chinese Herbs (Chinese Rhubarb (Powder/Extract With Water)), Chinese Herbs (Chinese Thorowax Roots (Powder/Extract With Water)), Chinese Herbs (Chinese Violet/ Viola philippica), Chinese Herbs (Clove/ Flos Carypphylli), Chinese Herbs (Club Moss/ Herba Lycopodii (Whole, cuts, powder, extract powder)), Chinese Herbs (Cocklebur/Xanthium Strumarium L. (whole, cuts, powder, extract powder)), Chinese Herbs (Coptis Chinensis Franch Extract/Powder), Chinese Herbs (Cordyceps/ Cordyceps militaris (whole, cuts, extract powder)), Chinese Herbs (Cortex Moutan/Tree Peony Bark (whole, slice,cuts, powder, extract powder)), Chinese Herbs (Cortex Phellodendri (Extract Powder, Powder)), Chinese Herbs (Costustoot/ Radix Aucklandiae (whole, slice, cuts, powder, extract powder)), Chinese Herbs (Curculigo Extract), Chinese Herbs (Figwort Root (Powder/Extract With Water)), Chinese Herbs (Flos Carthami/Safflower), Chinese Herbs (Fo-Ti Root), Chinese Herbs (Fructus Cnidii (Powder/Slice/Granule/Extract)), Chinese Herbs (Garden Burnet Root/ Sanguisorba Officinalis L (whole, slice, cut, powder, extract powder)), Chinese Herbs (Herba Leonuri/Motherwort), Chinese Herbs (He-Shou-Wu-/Fo-Ti Root (Cut/Powder/Extract Powder)), Chinese Herbs (Horehound Herb/Ballota nigra (whole, cuts, powder, extract powder)), Chinese Herbs (Kawaratake extract/ Coriolus Extract), Chinese Herbs (Lovage Root/Radix Angelicae Biseratae (whole, slice, cuts, powder, extract powder)), Chinese Herbs (Mugwort Herb/ Artemisia Argyi), Chinese Herbs (Osmathus/ Osmanthus fragrans), Chinese Herbs (Pleurotaceae Mushroom Extract), Chinese Herbs (Poria/ Poriaecocos Scllerotium (whole, cuts, poweder, extract powder)), Chinese Herbs (Rabdosia Rubescens Extract), Chinese Herbs (Radix Glehniae/Beach Silvertop Root/Glehnia Root), Chinese Herbs (Radix Isatidis/Indigowood Root), Chinese Herbs (Radix Ophiopogonis (Cut/Extract Powder/Powder)), Chinese Herbs (Radix Panacis Quinquefolii/American Ginseng), Chinese Herbs (Radix Rehmanniae/Rehmannia Root Raw), Chinese Herbs (Radix Saposhnikoxiae), Chinese Herbs (Radix Silva Miltiorrhizae/Dan Shen Root), Chinese Herbs (Radix Sophorae Flavescentis/ Lightyellow Sophoraroot), Chinese Herbs (Red sage root. Radix Salviae Miltiorrhizae (whole, slice, cuts, powder, extract powder)), Chinese Herbs (Rhizoma Alpiniae Officinarum), Chinese Herbs (Rhizoma Atractylodis (Powder Extract With Water)), Chinese Herbs (Rhizoma Atractylodis (Powder/Slice/Granule/Extract)), Chinese Herbs (Rhizoma Polygonati (Powder Extract With Water)), Chinese Herbs (Salvia Miltiorrhiza (Cut/Powder/Extract)), Chinese Herbs (Schizonepeta/ Herba Schizonepetae (whole, cuts, powder, extract powder)), Chinese Herbs (Selfheal Fruit-Spike (Powder Extract/Powder)), Chinese Herbs (Skullcap, Baical), Chinese Herbs (Sophora alopecuroides (whole, cuts, powder, extract powder)), Chinese Herbs (Sophorae Japonicae (Powder Extract With Water)), Chinese Herbs (Stemonae Extract), Chinese Herbs (Stigmata Maydis/ Corn Silk Extract), Chinese Herbs (Szechwan Lovage (Ligusticum Wallichii) (Cut/Powder/Powder Extract)), Chinese Herbs (Viticis Fruit (Extract Powder/Powder)), Chinese Herbs (Wild aconite/ Kusnezoff Monkshood (whole, cuts, powder, extract powder)), Chinese Herbs (Wild Rosa Roxburghii), Chives (Chinese Chive (Ad/Fd)), Chocolate (Chocolate 55%), Chocolate (Chocolate 56%), Chocolate (Chocolate 65%), Chocolate (Chocolate 71%), Chocolate (Chocolate Chips), Chocolate (Chocolate Couvertures), Cinnamon (Cinnamon (Powder, Extract)), Citrus (Murraya Koenigii (Extract, Powder)), Cloves (Clove (Extract, Flavor, Flavor Powder)), Cocoa Powder (Cocoa Powder, Alkalized), Cocoa Powder (Cocoa Powder, Black), Cocoa Powder (Cocoa Powder, Natural), Cocoa Products (Cocoa (Powder, Extract)), Cocoa Products (Cocoa Butter, Deodorized), Cocoa Products (Cocoa Butter, Natural), Cocoa Products (Cocoa Nibs, Chocolate Covered), Coconut, Coconut (Coconut - Shredded Raw), Coconut (Coconut Chips), Coconut (Coconut Chips Toasted (Sweetened, Unsweetened)), Coconut (Coconut Cream), Coconut (Coconut Dessicated), Coconut (Coconut Flour), Coconut (Coconut Milk), Coconut (Coconut Milk Powder - Vegan), Coconut (Coconut Palm Sugar), Coconut (Coconut Powder, Defatted, Desiccated), Coconut (Coconut Powder/Dried Coconut Powder), Coconut (Coconut, Dessicated), Coconut (Creamed Coconut), Coconut Oil (Coconut Oil (Crude, Extra Virgin, Rbd, Virgin)), Coconut Oil (Extra Virgin Coconut Oil), Coffee (Premium Espresso Concentrate), Coffee (Spray Dried Instant Coffee), Coffee (Green) (Green Coffee (Powder, Extract)), Corn (Corn), Corn (Sprouted Corn Blue Corn), Corn (Sprouted Corn Purple Corn), Corn (Sprouted Corn Yellow (Flour, Grits, Meal)), Corn (Sprouted Corn Yellow Corn), Corn (Purple) (Purple Corn Dried (Coronta)), Corn Flour, Cranberry (Cranberry (Powder, Extract)), Dandelion (Dandelion (Leaf, Root - Whole/Cut/Granule/Powder/Extract)), Dandelion (Dandelion (Roots Extraction Cut, By-Products, Liquid Extract)), Dietary Supplement (Bee Pollen), Dietary Supplement (Isomalto-Oligosaccharide), Dietary Supplement (Moringa Leaves (Entire, Powder, Powder Extract)), Dietary Supplement (Moringa Seed Powder), Dietary Supplement (Pine Bark (Cut/Powder)), Dietary Supplement (Pine Bark (Powder Extract)), Dietary Supplement (Pine Seed (Extract/Powder)), Dietary Supplement (Prickly Ash (Powder Extract With Water)), Dietary Supplement (Royal Jelly), Dietary Supplement (Royal Jelly Lyophilised), Dietary Supplement (Sea Buckthorn (Dried/Powder/Granule/Extract)), Dietary Supplement (Tiphala Extract/Powder), Dried Fruits (Aguaymanto (goldenberry - dehydrated, dried)), Dried Fruits (Blueberries Dried), Dried Fruits (Blueberries Dried with Apple Concentrate), Dried Fruits (Blueberries Dried, Infused, Wild), Dried Fruits (Cherries, Dried), Dried Fruits (Chillies Panca), Dried Fruits (Cranberries, Dried), Dried Fruits (Dried Goji Berry), Dried Fruits (Dried Mulberry Fruit), Dried Fruits (Dried Pomegranate Fruit), Dried Fruits (Goji Berries (Lycii)), Dried Fruits (Sun Dried Bilberries), Dried Fruits (Sun Dried Golden Berries), Dried Fruits (Sun Dried Mulberries), Dried Vegetables (Helianthus Tuberosus), Edamame (Edamame (Iqf/Crops/Shelled)), Elderberry (Elder Berries (Powder/Extract Powder)), Essential Oil (Organic Black Pepper), Essential Oil (Organic Cinnamon Bark), Essential Oil (Organic Cinnamon Leaf), Essential Oil (Organic Clove Bud System), Essential Oil (Organic Eucalyptus Citridora), Essential Oil (Organic Geranium Rosat), Essential Oil (Organic Ginger Root), Essential Oil (Organic Lemongrass), Essential Oil (Organic Niaouli), Essential Oil (Organic Ravintsara), Essential Oil (Organic Rosemary), Essential Oil (Organic Sweet Basil), Essential Oil (Organic Tamanu (Foraha)), Essential Oil (Organic Turmeric), Essential Oil (Organic Vanilla Absolute), Essential Oil (Organic Vitiver), Essential Oil (Organic Wild Orange), Essential Oil (Organic Ylang Ylang), Essential Oil (Zanthoxylum Fruit (Essential Oil)), Extracts (Acai Extract), Extracts (Acerola 17% Vitamin C), Extracts (Achyranthes Aspera Extract), Extracts (Adenphora Extract), Extracts (Agrocybe chaxingu extract), Extracts (Alder Buckthron Extract), Extracts (Almond Extract), Extracts (Aloe Vera Extract), Extracts (Alpinia katsumadai Hayata/ Semen Alpinia katsumadai (whole, cuts, powder, extract powder)), Extracts (Andrographis Paniculata Extract), Extracts (Angelica Extract), Extracts (Anise Extract), Extracts (Annatto (Extract, Powder)), Extracts (Annatto Extract (Organic Storg-E, Organic Storg-BT)), Extracts (Aonla/Amla Extract), Extracts (Aonla/Amla Extract (Storg - C)), Extracts (Aonla/Amla Extract (Storg - CR)), Extracts (Aonla/Amla Extract (Storg - OX)), Extracts (Apamarga (Achyrantes Aspera) Extract), Extracts (Ash Extract), Extracts (Basil Extract), Extracts (Bauhenia Varigata Extract), Extracts (Bean Extract), Extracts (Bearberry Extract), Extracts (Berberis Aristata Extract/Daruhaldi), Extracts (Bilberry Extract), Extracts (Bistort Rhizome/ Polygonum bistorta L. (whole, slice, cuts, powder, extract powder)), Extracts (Bitter Melon Extract), Extracts (Bitter Orange Extract), Extracts (Black Bean Extract), Extracts (Black Currant (Extraction Cut, Leaves Cut, Extract, Liquid Extract)), Extracts (Black Fungus (Extract)), Extracts (Black Rice), Extracts (Black Tea Extract), Extracts (Blueberry (Water Extract)), Extracts (Boswellia Serrata Extract), Extracts (Buckthorn Plantain Extract), Extracts (Bupleuri Root Extract), Extracts (Calendula Flowers/ Calendula officialis (whole, cuts, powder, extract powder)), Extracts (California Poppy Extract), Extracts (Capsicum Extract), Extracts (Caraway Extract), Extracts (Caraway Oil (Carum Carvi) (Extract)), Extracts (Cardamom Extract), Extracts (Cassia Fistula Extract), Extracts (Cassia Nomame Extract), Extracts (Cassia Tora Extract), Extracts (Celastrus Paniculatas (Extract)), Extracts (Celery Extract), Extracts (Centella Asiatica Extract), Extracts (Chamomille Extract), Extracts (Chaste Tree Berries/ Fructus Vitex negundo (whole, cuts, powder, extract powder)), Extracts (Cherry Extract), Extracts (Chia Extract), Extracts (Chicory Extract), Extracts (Chinese Cinnamon (Extract)), Extracts (Chinese Date Powder/ Extract), Extracts (Chrysanthellum Extract), Extracts (Citrus Medica Ver. Limonum (Extract)), Extracts (Cnidium Monnieri Extract), Extracts (Cockscomb/ Flos Celosiae Cristate (whole, cuts, powder, extract powder)), Extracts (Coffee Extract), Extracts (Coix Seed/ Coix lacrymna-jobi (whole, cuts, powder, extract powder)), Extracts (Commiphora Mukul Extract), Extracts (Common Coltsfoot Flowers (Extract)), Extracts (Convallaria Leaves (Extract)), Extracts (Convolvulus Pluricaulis Extract), Extracts (Couch Grass Extract), Extracts (Cranberry/Oxycoccos (whole, cuts, powder, extract powder)), Extracts (Curcuma Longa Extract), Extracts (Cuscuta chinensis/ Semen Cuscutae (whole, cuts, powder, extract powder)), Extracts (Cynhorrodon Fruit Extract), Extracts (Cyperus Rotundus (Nagarmootha) Extract), Extracts (Dahurian Rhododedron Leaf Extract), Extracts (Dark Tea Extract), Extracts (Date, Red (Jujube) (Extract)), Extracts (Dracocephalum moldavica L/ (whole, cuts, powder, extract powder)), Extracts (Eclipta Alba Extract), Extracts (Elder (Extract)), Extracts (Eleuthero (Extract)), Extracts (Embelia Ribes (Extract)), Extracts (Emblica Officinalis Extract), Extracts (Eschscholzia), Extracts (Eucalyptus Leaf/ Folium Eucalypti (whole, cuts, powder, extract powder)), Extracts (Eugenia Jambolana (Jamun) Extract), Extracts (European White Birch Extract), Extracts (Evening Primrose/ seed extract), Extracts (Evodia Extract), Extracts (Eyebright Herb Extract), Extracts (Fourstamen Stephania Root/ Radix Stephaniae Tetrandrae (whole, slice, cuts, powder, extract powder)), Extracts (Fritillaria/ Fritillaria (whole, slice, cuts, powder, extract powder)), Extracts (Galanga Root Extact), Extracts (Gamlbir Plant/ Uncaria Extract), Extracts (Goldthread/ Rhizoma Coptidis (whole, slice, cuts, powder, extract)), Extracts (Grape Seed Extract), Extracts (Grapefruit Extract), Extracts (Green Coffee Bean Extract (Water Extract)), Extracts (Guava Extract (Psidium Guava/Organic Storg-Zn)), Extracts (Guava Extract (Storg - Zn)), Extracts (Heather Extract), Extracts (Hedychium Spicatum Extract), Extracts (Herb of the Cross Extract), Extracts (Herba Taxilli Extract), Extracts (Hi Mallow Extract), Extracts (Hibiscus Extract), Extracts (Hibiscus Sabdariffa/ Shrubalthea flower/ Flos Hibisci (whole, cuts, powder, extract powder)), Extracts (Holy Basil (Tulsi) HE Extract), Extracts (Holy Basil (Tulsi) HE Extract (Storg - N)), Extracts (Horseradish Tree Extract), Extracts (Immature Bitter Orange Cut/Extract/Powder), Extracts (Jasmine Type Extract), Extracts (Jave Amonum Fruit (Extract)), Extracts (Juniper Extract), Extracts (Kakmachi Extract), Extracts (Kali Musli Extract), Extracts (Kola Extract), Extracts (Kutki Extract (Picrorhiza Kurroa)), Extracts (Lavender Extract), Extracts (Lemon Extract Oil Soluble), Extracts (Lemon Lime Extract), Extracts (Lemon Peel Extract (Storg - FA)), Extracts (Licorice Water Extract), Extracts (Lime Type Extract), Extracts (Linden Sapwood Extraction Cut), Extracts (Lobelia Extract), Extracts (Long Pepper/ Piper longum Linn. (whole, cuts, powder, extract powder)), Extracts (Lonicera Edulis Fruit Extract), Extracts (Lonicera Extract), Extracts (Loquat Leaves Extract), Extracts (Lovage Extract), Extracts (Mamejawo Extract), Extracts (Mandarin Orange Extract), Extracts (Manjistha/Rubia Cordifolia Extract), Extracts (Maple Extract), Extracts (Marigold (Tagetes Erecta) Extract), Extracts (Marjoram Extract), Extracts (Marshmallow Extract), Extracts (Milk Vetch Extract), Extracts (Millet Extract), Extracts (Momordica Charantia-Fruit-Dry Extract), Extracts (Monk Fruit Extract), Extracts (Monk Fruit, Extract (Siraitia) Grosvenorii (Mogroside V Is 25%-40%)), Extracts (Monk Fruit, Extract (Siraitia) Grosvenorii (Mogroside V Is 40%-50%)), Extracts (Motherwort Extract), Extracts (Mountain Ash (Powder Extract With Water)), Extracts (Mulberry Leaf/ Folium Mori (whole, cuts, powder, extract powder)), Extracts (Mullein Extract), Extracts (Myristuca Fragrans Houtt/ Semen Myristicae (whole, cuts, powder, extract powder)), Extracts (Noni (Moringa Citrifolia) Extract), Extracts (Notopterygium Root/ Notopterygium Incisum), Extracts (Oat Extract), Extracts (Ocimum Sanctum Extract (Storg - N)), Extracts (Olive Extract), Extracts (Oolong Tea Extract), Extracts (Orange Extract), Extracts (Orange Tree Extract), Extracts (Palmarosa Extract), Extracts (Papaya Extract (C. Papaya)), Extracts (Parsley Extract), Extracts (Peach blossum/ Prunus Persica (whole, cuts, powder, extract powder)), Extracts (Peach Extract), Extracts (Peach Seed (Extract)), Extracts (Peanut Skin Extract), Extracts (Phellinus Mushroom Extract), Extracts (Pineapple Extract), Extracts (Pink plumepoppy (macleaya) Extract), Extracts (Plantago Asiatical/Herbal Plantagins (Extract)), Extracts (Plantain Seed), Extracts (Plantain Seed/ Semen Plantaginis (whole, cuts, powder, extract powder)), Extracts (Pleurotus Eryngii Extract), Extracts (Plum (Water Extract)), Extracts (Plum Water), Extracts (Plumbago Zeylanica Extract), Extracts (Polygonum Cuspidaum (Extract)), Extracts (Pomegranate Extract (Storg - P)), Extracts (Porpolis Extract), Extracts (Prickly Pear Cactus), Extracts (Puer Tea Extract), Extracts (Pueravia Flower Extract), Extracts (Puffball/ Lasiosphaera Seu Calratia (whole, slice, cuts, powder, extract powder)), Extracts (Punarnava Extract), Extracts (Radix Sophorae Tonkinensis Extract), Extracts (Raspberry Bush Extract), Extracts (Red Ginseng Extract), Extracts (Rhizoma Cimicifugae Cut), Extracts (Rhizoma Cyperi/ Nutgrass Galingale Rhizome (whole, slice, cuts, extract powder)), Extracts (Rhizoma Dryopteridis Extract), Extracts (Rhodiola Extract), Extracts (Rhubarb Extract), Extracts (Saffron Extract), Extracts (Sahjan (Moringa Oleifera Extract)), Extracts (Saint John's Wort Extract), Extracts (Salacia Reticulata Extract), Extracts (Sanchi/Radix Notoginseng), Extracts (Sea Buckthorn Powder Extract), Extracts (Selaginella Tamariscina), Extracts (semen cassiae), Extracts (Senna Extract), Extracts (Sesame Seed Extract), Extracts (Solidago Extract), Extracts (Spearmint Extract), Extracts (Star Anise Extract), Extracts (Stevia Erythritol Granules), Extracts (Stevia/Stevia Rebaudiana Extract), Extracts (Stinging Nettle Extract), Extracts (Strawberry Extract), Extracts (Strawberry Leaf Extract), Extracts (Summer Savory Extract), Extracts (Symplocos Racemosa (Lodhra) Extract), Extracts (Tagetes minuta (Tagetes) / powder/ extract), Extracts (Tangshen (Extract)), Extracts (Tart Cherry Extract), Extracts (Tea, Black (Extract)), Extracts (Tea, Green (Extract)), Extracts (Tea, Oolong (Extract)), Extracts (Tea, Puer (Extract)), Extracts (Tea, White (Extract)), Extracts (Terminalia Arjuna Extract), Extracts (Thorowax Root (Extract)), Extracts (Thunder God Vine Extract), Extracts (Trollflower/ Trollius chinensis Bunge (whole, cuts, powder, extract powder)), Extracts (Twolobed Officinal Mangolia Bark Extract/ Powder), Extracts (Valeriana Wallichii (Tagar) Extract), Extracts (Vanilla CO2 Extract), Extracts (Vanilla Extract (1x, 2x)), Extracts (Vasaka Ardasi Extract), Extracts (Vegetable Saps &amp; Extracts (Curry Leaf)), Extracts (Vegetable Saps &amp; Extracts (Storg - B)), Extracts (Vegetable Saps &amp; Extracts (Storg - Bs)), Extracts (Vegetable Saps &amp; Extracts (Storg - Her EU)), Extracts (Vegetable Saps &amp; Extracts (Storg - Her)), Extracts (Vegetable Saps &amp; Extracts (Storg - Him EU)), Extracts (Vegetable Saps &amp; Extracts (Storg - Him MAX)), Extracts (Vegetable Saps &amp; Extracts (Storg - Him)), Extracts (Vegetable Saps &amp; Extracts (Storg - I)), Extracts (Vegetable Saps &amp; Extracts (Storg - Kid)), Extracts (Verbenae herba extract), Extracts (Vetiver Extract), Extracts (Vitex Negundo Extract), Extracts (Vitis Vinifera Extract), Extracts (Walnut/ Carya cathayensis Sarg. (whole, cuts, powder, extract powder)), Extracts (Wheat Extract), Extracts (White Birch Leaves (Extract)), Extracts (White Tea Extract), Extracts (Wild Garlic Extract), Extracts (Wild Pansy Extract), Extracts (Willow Extract), Extracts (Withania Somnefera Powder/ Extract), Extracts (Wolfberry Root-Bark), Extracts (Yarrow Extract), Extracts (Ziziphus Jujuba Extract), Fennel (Fennel (Extraction Cut, Seeds, Fruit, Powder, Extract)), Fennel (Fennel (Trigonella Foenum-Graecum L.) (Powder/Extract)), Fenugreek Seed (Fenugreek Seeds (Powder/Extract With Water)), Flavor (Acai Berry Type Organic Flavor Powder), Flavor (Acai Type Flavor), Flavor (Almond Butter Type Flavor), Flavor (Almond Flavor, Almond Flavor Emulsion), Flavor (Almond Oil Soluble Flavor), Flavor (Almond Praline Type Flavor Powder), Flavor (Almond Type Extract Flavor), Flavor (Almond Type Flavor Emulsion), Flavor (Almond Type Flavor, Almond Type Flavor Powder), Flavor (Almond Type Oil Soluble Flavor), Flavor (Amaretto Type Extract Flavor), Flavor (Amaretto Type Flavor), Flavor (Anise Type Flavor Oil Soluble), Flavor (Apple Blueberry Type Seasoning), Flavor (Apple Cider Flavor), Flavor (Apple Cider Type Organic Flavor Oil Soluble), Flavor (Apple Cinnamon Type Organic Flavor Powder), Flavor (Apple Flavor), Flavor (Apple Flavor Powder), Flavor (Apple Oil Soluble Flavor), Flavor (Apple Pie Type Organic Flavor), Flavor (Apple Powder Flavor), Flavor (Apple Spice Type Flavor), Flavor (Apple Type Organic Flavor), Flavor (Apricot Flavor), Flavor (Apricot Flavor Oil Soluble), Flavor (Apricot Type Flavor), Flavor (Apricot Type Oil Soluble Flavor), Flavor (Baby Powder Type Flavor), Flavor (Bacon Maple Type Flavor), Flavor (Bacon Type Flavor), Flavor (Baked Cookie Type Flavor), Flavor (Balsamic Vinegar Type Flavor), Flavor (Banana Ripe Type Flavor), Flavor (Banana Flavor, Banana 2x Flavor), Flavor (Banana Oil Soluble Flavor), Flavor (Banana Seasoning), Flavor (Banana Split Type Flavor), Flavor (Banana Type Extract Flavor), Flavor (Banana Type Flavor), Flavor (Bananas Foster Type Organic Flavor Oil Soluble), Flavor (Basil (Flavor, Flavor Powder)), Flavor (Bavarian Cream Type Flavor), Flavor (BBQ Type Flavor), Flavor (Beef Type Flavor), Flavor (Beer Can Chicken Rub Type Flavor), Flavor (Bergamot Flavor), Flavor (Yumberry Type Flavor Oil Soluble), Flavor (Yuzu Type Flavor), Flavor (Berry Flavor Spray Dried), Flavor (Berry Type Flavor), Flavor (Berry Type Flavor Oil Soluble), Flavor (Bitter Chocolate Flavor), Flavor (Bitterness Blocker Type Organic Flavor), Flavor (Black Cherry Flavor Oil Soluble), Flavor (Black Cherry Type Flavor), Flavor (Black Currant Type Flavor), Flavor (Black Raspberry Flavor), Flavor (Blackberry Type Flavor), Flavor (Blood Orange Type Flavor), Flavor (Blood Orange Type Flavor Emulsion), Flavor (Blossom Type Flavor), Flavor (Blue Cheese Type Flavor Oil Soluble), Flavor (Blueberry (Flavor, Flavor 4x)), Flavor (Blueberry Flavor Oil Soluble), Flavor (Blueberry Flavor Powder Flavor), Flavor (Blueberry Flavor Wonf), Flavor (Blueberry Top Note Flavor), Flavor (Blueberry Type Flavor, Blueberry Type Flavor 2x), Flavor (Blueberry Type Organic Flavor Powder), Flavor (Boiled Chicken Type Flavor), Flavor (Boiled Chicken Type Flavor Oil Soluble), Flavor (Bombay Chai Tea Type Organic Flavor), Flavor (Bourbon Flavor), Flavor (Bourbon Type Flavor), Flavor (Bourbon Whiskey Type Flavor), Flavor (Brandy Type Flavor), Flavor (Bread Crust Type Flavor Oil Soluble), Flavor (Brown Sugar Type Flavor), Flavor (Brown Sugar Type Flavor Oil Soluble), Flavor (Bubble Gum Type Flavor Oil Soluble), Flavor (Burnt Caramel Type Flavor), Flavor (Butter Lemon Vanilla Type Flavor), Flavor (Butter Toffee Type Flavor Oil Soluble), Flavor (Butter Type Flavor), Flavor (Butter Type Flavor (Soluble, Oil Soluble)), Flavor (Butter Type Powder Flavor), Flavor (Butter Type Seasoning), Flavor (Butter Vanilla Type Flavor), Flavor (Buttercream Type Flavor), Flavor (Buttermilk Type Flavor), Flavor (Buttermilk Type Organic Flavor Powder), Flavor (Buttermilk Type Organic Flavor Spray Dried), Flavor (Butterscotch Type Flavor), Flavor (Butterscotch Type Flavor Oil Soluble), Flavor (Cake Batter Type Flavor), Flavor (Cake Batter Type Flavor Oil Soluble), Flavor (Cake Donut Type Flavor), Flavor (Cantaloupe Type Flavor), Flavor (Caramel Flavor), Flavor (Caramel Type Flavor), Flavor (Caramel Type Flavor Oil Soluble), Flavor (Caramelized Brown Sugar Type Flavor), Flavor (Carmelized Vanilla Type Oil Soluble Flavor), Flavor (Carne Asada Type Flavor), Flavor (Carrot Type Flavor), Flavor (Cayenne Flavor), Flavor (Celery Type Flavor), Flavor (Chai Flavor Oil Soluble), Flavor (Chai Flavor Powder), Flavor (Chai Type Flavor), Flavor (Chamomile Type Flavor Oil Soluble), Flavor (Char Type Seasoning), Flavor (Chedder Cheese Type Flavor), Flavor (Cheesecake Type Flavor), Flavor (Cheesecake Type Organic Flavor Powder), Flavor (Cherry Berry Type Flavor), Flavor (Cherry Cream Type Flavor), Flavor (Cherry Flavor), Flavor (Cherry Oil Soluble Flavor), Flavor (Cherry Powder Flavor), Flavor (Cherry Type Flavor, Flavor Powder), Flavor (Cherry Vanilla Almond Type Flavor), Flavor (Cherry Vanilla Flavor), Flavor (Cherry Wonf Flavor), Flavor (Chicken Soup Type Flavor), Flavor (Chicken Soup Type Flavor Powder), Flavor (Chicken Type Flavor), Flavor (Chicken Type Flavor Oil Soluble), Flavor (Chili Type Flavor Oil Soluble), Flavor (Chipotle Type Flavor Oil Soluble), Flavor (Chocolate (Flavor, Flavor Powder)), Flavor (Chocolate Brownie Type Flavor), Flavor (Chocolate Caramel Nut Rim Type Flavor), Flavor (Chocolate Caramel Peanut Butter Type Flavor Oil Soluble), Flavor (Chocolate Chip Type Flavor), Flavor (Chocolate Flavor Emulsion), Flavor (Chocolate Flavor Wonf), Flavor (Chocolate Fudge Flavor), Flavor (Chocolate Hazelnut Praline Type Flavor), Flavor (Chocolate Mint Type Flavor), Flavor (Chocolate Mint Type Flavor Powder), Flavor (Chocolate Powder Flavor), Flavor (Chocolate Raspberry Cappuccino Type Flavor), Flavor (Chocolate Type Flavor), Flavor (Chocolate Type Flavor Oil Soluble), Flavor (Cinnamon Almond Flavor), Flavor (Cinnamon Flavor), Flavor (Cinnamon Flavor Oil Soluble), Flavor (Cinnamon Oil Flavor 2x Oil Soluble), Flavor (Cinnamon Oil Soluble Flavor), Flavor (Cinnamon Powder Flavor), Flavor (Cinnamon Roll Type Flavor), Flavor (Cinnamon Type Flavor), Flavor (Citron Type Flavor), Flavor (Citrus Type Flavor), Flavor (Cocoa Bean Type Flavor Spray Dried), Flavor (Cocoa Extract Type Oil Soluble Flavor), Flavor (Cocoa Flavor), Flavor (Cocoa Fruit Type Flavor), Flavor (Coconut (Flavor, Flavor Emulsion)), Flavor (Coconut Lime Type Flavor Powder), Flavor (Coconut Pineapple Oil Soluble Flavor), Flavor (Coconut Toasted Flavor), Flavor (Coconut Type Flavor), Flavor (Coconut Type Flavor Oil Soluble), Flavor (Coconut Type Flavor Powder), Flavor (Coconut Type Flavor Spray Dried), Flavor (Coconut Type Oil Soluble Flavor), Flavor (Coconut Vanilla Type Organic Flavor Powder), Flavor (Coconut Water Flavor), Flavor (Coffee Flavor), Flavor (Coffee Flavor Oil Soluble), Flavor (Coffee Liquer Type Flavor), Flavor (Coffee Type Flavor), Flavor (Coffee Type Oil Soluble Flavor), Flavor (Coffee Type Organic Flavor (Oil Soluble, Spray Dried)), Flavor (Cola Nut Type Flavor), Flavor (Concord Grape Type Flavor), Flavor (Cookies and Cream Type Organic Flavor), Flavor (Cotton Candy Type Flavor), Flavor (Cotton Candy Type Organic Flavor Oil Soluble), Flavor (Cotton Candy Type Organic Flavor Powder), Flavor (Cranberry Flavor), Flavor (Cranberry Type Flavor), Flavor (Cream Caramel Type Flavor Powder), Flavor (Cream Type Flavor), Flavor (Creamy Vanilla Flavor), Flavor (Creamy Vanilla Type Flavor), Flavor (Creme de Menthe Type Flavor Oil Soluble), Flavor (Cucumber Type Organic Flavor), Flavor (Dandelion Type Flavor), Flavor (Dark Chocolate Flavor), Flavor (Double Chocolate Flavor), Flavor (Double Dutch Chocolate Flavor Powder), Flavor (Dragon Fruit Type Flavor), Flavor (Dulce de Leche Type Flavor), Flavor (Dutch Chocolate (Flavor, Flavor Powder)), Flavor (Earl Gray Flavor), Flavor (Earl Gray Tea Type Organic Flavor Powder), Flavor (Egg Nog Type Flavor), Flavor (Egg Nog Type Flavor Emulsion), Flavor (Elderberry Type Flavor Powder), Flavor (English Toffee Caramel Type Flavor), Flavor (English Toffee Type Flavor), Flavor (Espresso Type Flavor Oil Soluble), Flavor (Feta Cheese Type Flavor), Flavor (Fig Type Flavor), Flavor (French Toast Type Flavor), Flavor (French Vanilla Flavor), Flavor (French Vanilla Type Flavor), Flavor (French Vanilla Type Powder Flavor), Flavor (Fresh Raspberry Type Flavor), Flavor (Fried Rice Type Flavor), Flavor (Fruit Punch Type Flavor), Flavor (Gac Fruit Type Flavor), Flavor (Garden Vegetable Flavor Powder), Flavor (Garlic Chili Type Flavor Oil Soluble), Flavor (Garlic Herb Type Flavor Oil Soluble), Flavor (Garlic Type Flavor), Flavor (Garlic Type Flavor Oil Soluble), Flavor (Garlic Type Flavor Powder), Flavor (Ginger Ale Type Flavor Oil Soluble), Flavor (Ginger Flavor), Flavor (Ginger Flavor Oil Soluble), Flavor (Ginger Pear Type Flavor), Flavor (Ginger Snap Type Flavor), Flavor (Ginger Spice Flavor Emulsion), Flavor (Ginger Teriyaki Seasoning), Flavor (Ginger Type Flavor Spray Dried), Flavor (Gingerbread Type Flavor), Flavor (Graham Cracker Flavor), Flavor (Graham Cracker Type Flavor), Flavor (Grape Flavor), Flavor (Grape Type Flavor), Flavor (Grapefruit Oil Soluble Flavor), Flavor (Green Apple Flavor), Flavor (Green Apple Type Flavor), Flavor (Green Apple Type Oil Soluble Flavor), Flavor (Green Bell Pepper Type Organic Flavor), Flavor (Green Tea Flavor Powder), Flavor (Green Tea Ginger Flavor), Flavor (Green Tea Type Flavor), Flavor (Grilled Chicken Type Flavor Oil Soluble), Flavor (Guava Type Flavor), Flavor (Guava Type Spray Dried Flavor), Flavor (Habanero Type Organic Flavor Emulsion), Flavor (Hawaiian Hazelnut Type Oil Soluble Flavor), Flavor (Hazelnut Praline Type Flavor Powder), Flavor (Hazelnut Type Extract Flavor), Flavor (Hazelnut Type Flavor), Flavor (Hazelnut Type Powder Flavor), Flavor (Hibiscus Type Flavor), Flavor (Hickory Smoke Type Flavor Oil Soluble), Flavor (Hickory Type Flavor), Flavor (Honey Green Tea Type Flavor), Flavor (Honey Type Flavor Oil Soluble), Flavor (Horchata Type Flavor), Flavor (Horseradish Type Organic Flavor), Flavor (Hot Cinnamon Type Flavor), Flavor (Hot Cocoa Type Flavor Oil Soluble), Flavor (Hot Sauce Type Flavor), Flavor (Hot Sauce Type Oil Soluble Flavor), Flavor (Hot Type Flavor), Flavor (HQO Citrus Blend Oil Soluble Flavor), Flavor (Huckleberry Blueberry Type Flavor), Flavor (Huckleberry Type Wonf Flavor), Flavor (Irish Cream Type Flavor), Flavor (Italian Herb Type Flavor Oil Soluble), Flavor (Jalapeno Type Organic Flavor Organic Soluble), Flavor (Jamaica Rum Flavor Oil Soluble), Flavor (Jasmine Extract Wonf), Flavor (Jasmine Type Flavor), Flavor (Jasmine Type Oil Soluble Flavor), Flavor (Kaffir Lime Type Flavor), Flavor (Key Lime Flavor), Flavor (Key Lime Type Flavor),</t>
  </si>
  <si>
    <t>Other: #Handling, cleaning, bagging, labeling, storage, transportation, and distribution of organic grains and hay; Distribution of bagged organic pre-mixed feeds, *Hay, Corn, rye, soybeans, soybean meal., Oats</t>
  </si>
  <si>
    <t>Other: Ajwain, Ajwain Powder, Almond, Aloe Vera Juice, Amaranth flour, Amla Juice, Amla powder, Amla Whole Dried, Arhar dal (Red gram/Pigeon pea), Ashwagandha, Ashwagandha Powder, Bajra flour/ Atta, Barley Porridge/Dalia, Barley whole, Barnyard Millet, Basil/Tulsi, Basmati Paddy, Basmati rice, Basmati rice-brown, Basmati rice-white, Bay leaf / Bay Leaves (TEJ PATTA), Bay leaf powder, Beaten rice, Beet Root powder, Black Cumin Powder, Black Mustard Oil, Black Non-Basmati Rice, Black Pepper, Black Pepper Powder, Brown gram/Gram/Chana (Cicer arietinum), Brown mustard, Brown Rice, Buckwheat- Dehulled, Buckwheat Flour, Cane Sugar, Cardamom, Cardamom Large (Black), Cardamom Powder, Cardamom seed, Cashew nut (roasted &amp; salted), Cashew nut (roasted), Cashew Whole, chana Dal, Chana Masala, Chia, Chickpea/Kabuli Chana (garbanzos), Chitra Kidney beans/Rajma (Phaseolus vulgaris), Cinnamon, Cinnamon (Powder), Cloves, Coconut oil, Coriander, Coriander Powder, Cowpea, CTC Tea, Cumin Powder, Cumin whole, Dry rose petals-Red, Fennel/saunf, Fenugreek, Fenugreek Powder (Methi Powder), Flax Seed, Flax Seed oil, Flax seed powder, Foxtail Millet, Garam Masala, Garlic Powder, Ginger Flakes, Ginger Powder, Ginger whole (dried), Gram Flour/Besan, Green Cardamom, Green Gram Whole (Moong Sabut), Green gram/Moong dhuli, Green Tea, Groundnut/Peanut, Groundnut/Peanut Oil (Crude), Haritaki/Harad(Terminalia chebula), Herbal tea, Hibiscus sabdariffa Powder, Jaggery, Jaggery powder, Jowar, Jowar powder, Kalonji/nigella, Kasuri methi, KODO Millet Flour, Kodo/Kodon Millet, Little millet, Mace, Maize (Corn), Maize (Corn) Flake, Maize/ corn porridge (Dalia), Maize/Corn flour, Malka Masoor, Mango Powder/ Aamchur, Mix or Panchmel dal, Moringa Powder, Moth Dhuli, Multi grain Atta, Mustard, Mustard - Black, Non Basmati Rice, Non Basmati Rice-Sona masuri, Non-Basmati Paddy, Nutmeg Powder, Nutmeg Whole, Oats (Flakes), Onion (Powder), Oregano leaves, Pea Dried,white pea, Peanut butter, Pearl Millet/Bajra, Pistachios, Poha / Chivda, Psyllium husk (isobgul), Pumpkin Seeds, Quinoa, Quinoa Flour, Ragi Flour, Ragi/Finger Millet grain, Raisins/Kismis, Red Chilli Flakes, Red Chilli Powder, Red Chilli Whole, Red Chilli, KASHMIRI MIRCH, Red Kidney beans/Rajma (Phaseolus vulgaris), Red Lentil, Red Rice, Rice Flour, Rice-Sona Masuri, Rosemary, Sabji Masala, Saffron, Soybean, Spice Mix (Tea Masala), Split Green gram/Moong (Vigna sp.), Star anise, Stevia/Stevia rebaudiana powder, Sugar, Sugar (Brown/Natural), Suji/Semolina/ Cream of Wheat, Sunflower Seed Oil, Tamarind/Imli (T.indica), Tea Masala, Thymes, Triphala Powder, Tulsi Green Tea, Turmeric Dried, Turmeric Powder, Urad Dal Split, Urad dhuli, Urad dhuli (Urad split washed), Urad Whole White (Without Skin),Urad Gota, Urad Whole(black), Virgin coconut oil, walnut, Wheat Flakes, Wheat flour, Wheat Maida, Wheat Porridge/Dalia, Wheatgrass powder, White Pepper, White Pepper powder, Yellow mustard, Yellow mustard Oil</t>
  </si>
  <si>
    <t>Other: Beans, Cocoa Products, Dietary Supplement, Dried Fruits, Dried Vegetables, Extracts, Flour, Fresh Fruit, Fruit Puree, Grains, Herbs, IQF Fruit, IQF Vegetables, Juice, Juice Concentrate, Mushroom Powder, Nuts, Oils, Powder (Fruit), Powder (Vegetable), Seeds, Spices, Sweetener, Syrup, Tomato Products, Vegetable Puree, Vegetables</t>
  </si>
  <si>
    <t>Other: Almond Hulls Livestock Feed (1498 - Almond Hulls), Canola Oil Livestock Feed (1453 - Canola Oil), Carrots Livestock Feed (4003 - Pelletized), Dried Distillers Grains (1404 - Dried), Kelp Livestock Feed (1501 - Kelp Meal), Kelp Livestock Feed (212 - Kelp Meal), Kelp Livestock Feed (215 - Kelp Meal), Livestock Feed (1407 - Tapioca), Livestock Feed (5055 Mushroom Feed - Mushroom Mix TOTE), Livestock Feed (5074 Insect Feed - Cockroach 50#), Livestock Feed (753 Duck Feed - Duck Layer Pellets #25), Livestock Feed (756 Duck Feed - Duck Layer Pellets 40#), Livestock Feed (Duck Feed), Livestock Feed (Insect Feed), Livestock Feed - Alfalfa (106 - Alfalfa Pellets 40#), Livestock Feed - Alfalfa (1411 - Alfalfa), Livestock Feed - Alfalfa (5864 - Alfalfa Pellets TOTE ),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(5075 Beef Feed - Beef Finisher TOTE), Livestock Feed - Beef Blend (Beef Feed), Livestock Feed - Canola Meal (1403 - Meal), Livestock Feed - Canola Meal (1454 - Meal), Livestock Feed - Corn (126 - Cracked Corn 40#), Livestock Feed - Corn (136 - Whole Corn 40#), Livestock Feed - Corn (1400 - Cracked, Ground, Rolled, Whole), Livestock Feed - Corn (5913 - Whole Corn TOTE), Livestock Feed - Corn (5923 - Cracked Corn TOTE),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Milo (1401 - Whole Milo), Livestock Feed - Milo (146 - Whole Milo 40#), Livestock Feed - Milo (5843 - Whole Milo), Livestock Feed - Mix (1004 Horse Feed - Horse Pellet West 12 Ranch BULK), Livestock Feed - Mix (25104 - Large Hookbill), Livestock Feed - Mix (25204 - Small Hookbill w/ Sunflower Seeds), Livestock Feed - Mix (25304 - Small Hookbill), Livestock Feed - Mix (25404 - Canary - Finch), Livestock Feed - Mix (5085 Horse Feed - Balancer Plus), Livestock Feed - Mix (5086 Horse Feed - Performance Plus),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(Horse Feed), Livestock Feed - Oats (156 - Whole Oats 40#), Livestock Feed - Oats (5865 - Whole Oats TOTE), Livestock Feed - Peas (166 - Whole Peas 40#), Livestock Feed - Peas (5858 - Whole Peas TOTE), Livestock Feed - Poultry Blend (#1531 Harrison's Premium Pellet (5lbs)), Livestock Feed - Poultry Blend (#1532 Harrison's Premium Pellet (1lbs)), Livestock Feed - Poultry Blend (#5130 Harrison's Perfect Pellets (nonretail)),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(5035 Poultry Feed - Scratch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Non-Corn/Non-Soy Broiler Grower Pellet Amino+ 19% TOTE), Livestock Feed - Poultry Blend (5095 Poultry Feed - Non-Corn/Non-Soy Broiler Starter Amino+ 22%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Sunflower Seed (073 - Sunflower Seeds), Livestock Feed - Sunflower Seed (079 - Sunflower Seeds),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Molasses Livestock Feed (1497 - Molasses), Rice Livestock Feed (1499 - Rice Protein Concentrate), Soybean Livestock Feed (1451 - Soybean Oil), Supplements Livestock Feed (1012 Dairy Feed - Shamrock Dairy Milk Cow Mineral), Toll Processing (Livestock Feed - Single Ingredient ), Wheat Millrun Livestock Feed (1496 - Wheat Millrun), Wheat Millrun Livestock Feed (4006 - Wheat Millrun), Wheat Millrun Livestock Feed (5842 - Wheat Millrun TOTE)</t>
  </si>
  <si>
    <t>Other Grains, Pastas and Cereals: Rice (Rice Blend Ingredient (in-house use))</t>
  </si>
  <si>
    <t>Processed  Items: Dehydrated Foods (Pulpa de Asaí Liofilizado); Other Grains, Pastas and Cereals: Quinoa (Black quinoa, Insufflated Quinoa, Quinoa Flakes, Quinoa Flour, Quinoa Tricolor, Red quinoa, White quinoa); Nuts/Seeds: Brazil Nut (Brazil nut kernels (Broken A), Brazil nut kernels (Broken D), Brazil nut kernels (Chipped), Brazil nut kernels (Large), Brazil nut kernels (Medium), Brazil nut kernels (Midget), Brazil nut kernels (Tiny))</t>
  </si>
  <si>
    <t>Processed  Items: Cereal (Amaranth Puff), Superfood Cube - Instant Ginger Drink, Superfood Cube - Instant Turmeric Drink, Superfood Cube - Instant Turmeric Ginger Drink; Other Grains, Pastas and Cereals: Rice (Brown Rice Puff, Superfood Puff Cube - Cocoa, Superfood Puff Cube - Originial); Nuts/Seeds: Seeds (Chia Seeds); Health Products: Herbs (Ginger Powder, Pepper Powder, Turmeric Powder); Condiments and Sweeteners: Sweeteners (Coconut Flower Sugar, Coconut Nectar, Coconut Nectar Syrup, Coconut Sugar Cube, Coconut Sugar Granule, Coconut Sugar Paste, Coconut Sugar Powder)</t>
  </si>
  <si>
    <t>Other Grains, Pastas and Cereals: Cereal (Sudan Grass), Wheat (Buckwheat, Wheat - Khorasan); Nuts/Seeds: Seeds (Flaxseed, Brown); Other: Lentils green, Lentils red</t>
  </si>
  <si>
    <t>Other Grains, Pastas and Cereals: Rice (Organic Ocean's Halo Sticky Rice*), Rice (Organic Brown Rice*), Rice (Organic Paddy(Rice)*), Rice (Organic White Rice*)</t>
  </si>
  <si>
    <t>Other: Astragalus Extract, Cocoa Powder, Coconut Milk Powder, Coffee, Coffee, Grain Blend, Herbal Extracts, Herbal Supplement, Herbal Supplement, Mushroom Extract, Mushroom Extract</t>
  </si>
  <si>
    <t>Other: Broiler Grain Mix, Calf Grain Mix, Dairy Grain Mix, Layer Grain Mix, Sheep Grain Mix, Swine Feed</t>
  </si>
  <si>
    <t>Other: Ground Corn (Livestock Feed), Ground Milo (Livestock Feed), Ground Soybeans (Livestock Feed), Ground Wheat (Livestock Feed), Rye Grain, Straw, Toll Processed Field Peas, Whole Corn (Livestock Feed), Whole Milo (Livestock Feed), Whole Soybeans (Livestock Feed), Whole Wheat (Livestock Feed)</t>
  </si>
  <si>
    <t>Other Grains, Pastas and Cereals: Quinoa</t>
  </si>
  <si>
    <t>Other Grains, Pastas and Cereals: Quinoa (Royal Quinoa Black, Royal Quinoa Red , Royal Quinoa Tricolor, Royal Quinoa White); Other: Seeds (Chía Black)</t>
  </si>
  <si>
    <t>Other: Grains</t>
  </si>
  <si>
    <t>Other: Care 1(Green Bell, Natural Lab, Bono Nature) / Signature 7 70% Duck Dry Dog Food (J/E), Care 2(Green Bell, Natural Lab, Bono Nature) / Signature 7 70% Salmon Dry Dog Food (D/L), Care 3(Green Bell, Natural Lab, Bono Nature) / Signature 7 70% Salmon Dry Dog Food (S/A), Care 4(Green Bell, Natural Lab, Bono Nature) / Signature 7 70% Beef Dry Dog Food (HW/I), Care Cat1(Green Bell, Natural Lab, Bono Nature,Myoyeon) /Signature 7 Cat 70% Chicken Dry Food (Dig, Imm), Care Cat2(Green Bell, Natural Lab, Bono Nature,Myoyeon) / Signature7 Cat 70% Salmon Dry Food (Uri, Ski), Dr.95 Adult/Wealth.B Adult, Dr.95 Puppy/Wealth.B Puppy, Dr.95 Senior/Wealth.B Senior, Feed for broiler chicken in midterm stage, Natural Beauty All Life 95, Natural Core Cat Multi 95/NaturalFive 300 Original, Natural Core Eco Plus 3 Salmon/Finiki Probiotics Salmon/Natural Core Eco Value 3 Salmon/Molly's Salmon &amp; Brown Rice/Biona Salmon &amp; Brown Rice/RX Skin &amp; Coat Salmon/RX Salmon/Natural Core ECO70 Salmon/Natural Core Pro-biotics Salmon/Signature Salmon/Neu Process Salmon/Wholly holics Nature Salmon/Natural Core Costco Salmon/Finiki Hypo-Allergenic Salmon, Natural Core Eco Plus 4 Duck/Finiki Probiotics Duck/Molly's Duck &amp; Brown Rice/Natural Core Pro-biotics Duck/Wholly holics Nature Duck/Finiki Hypo-Allergenic Duck, Natural Core Eco Plus 5 Lamb/Finiki Probiotics Lamb/Molly's Lamb &amp; Brown Rice/Biona Lamb &amp; Brown Rice/Natural Beauty Lamb/RX Skin &amp; Coat Lamb/Natural Core ECO70 Lamb/Natural Core Pro-biotics Lamb/Signature Lamb/Neu Process Lamb /Wholly holics Nature Lamb/Finiki Hypo-Allergenic Lamb, Natural Core Eco Plus 6 Beef/Finiki Hypo-Allergenic Beef/Molly's Beef &amp; Brown Rice/RX Beef/Naturacl Core Costco Beef/Neu Process Beef/Wholly holics Nature Beef, Natural Core Eco1 Lamb, Natural Core Eco10. Dog Vegetarian, Natural Core Eco2 Duck/Signature Skin Control, Natural Core Eco3a Sensi-Care Lamb/Natural Core Eco7 Sensitive Lamb, Natural Core Eco3b Sensi-Care Turkey, Natural Core Eco4 Slim Down Duck/Fromvet Duck/Signature Slim Control/Natural Core Eco9a Senior Duck, Natural Core Eco5a Puppy/RX Puppy &amp; Mom/Fromvet Lamb, Natural Core Eco6 Sensitive Salmon/Fromvet Salmon, Natural Core Eco8 Grain Free/Wealth.B Grain Free, Natural Core Slim Down Cat, Neu Wave 98, RX Fresh Beef, RX Light/Natural Core Eco9b Senior Salmon/RX Senior Salmon, Snoopet Duck Gamma, Snoopet Lamb Alpha, Snoopet Salmon Beta</t>
  </si>
  <si>
    <t>Other: Packaging (Client Profile Products only) (Rice), Processing (Client Profile Products only) (Rice), Rice (Brown Calrose, Brown Short Grain, Sushi, White Calrose), Rice (Wild) (Coeur d'Alene (Retail)), Rice (Wild) (Non-retail), Rice (Wild) (Non-retail), Rice (Wild) (Non-retail (Whole &amp; Brokens)), Rice (Wild) (Retail), Rice (Wild) (Retail), Rice (Wild) (West Coast (Retail))</t>
  </si>
  <si>
    <t>Other: Apple juice, Beet juice, Broken Pasta, Buckwheat flour, Buckwheat grain, IQF Apple, IQF Beet, IQF Carrots - STOCK, IQF Cornelian cherry - STOCK, IQF Plum, IQF Rose Hip - STOCK, Macarona Buckwheat, Macarona Spelt, Spaghetti Buckwheat, Spaghetti Spelt, Spelt flour, Spelt grain, Spelt semolina, Tagliatella Buckwheat, Taglieatella Spelt</t>
  </si>
  <si>
    <t>Other Grains, Pastas and Cereals: Oats (OAT), SUNFLOWER; Oils &amp; Oleoresins: Essential Oils (SUNFLOWER OIL); Nuts/Seeds: BROWN FLAXSEED, CHIA (Salvia hispanica L), FLAX, GOLDEN FLAXSEED, Nuts (WALNUT), SESAME; Fruits/Vegetables: Beans (CHICKPEA), Beans (ADZUKI BEAN), Beans (BEAN), Beans (CANNELLINI BEAN), Beans (RED DARK BEAN), Beans (LIGH RED BEAN), Beans (CRANBERRY BEAN), Beans (MUNG BEAN), Beans (NAVY BEAN), Beans (BLACK BEAN), Beans (PINTO BEAN), Beans (PINK BEAN), Beans (SOYBEAN), Beans (ALUBIA BEAN), Beans (ALUBIA BEAN)</t>
  </si>
  <si>
    <t>Other: Agave Syrup, Black Pepper (White Pepper), Chia (Ground), Chicken (Meat) (Frozen Fat), Cocoa Powder, Coconut (Flour), Coconut (Milk), Coconut (Milk Powder), Cornmeal (Cornmeal Blue), Flax Seed (Ground), Flour (Buckwheat), Flour (Oat), Flour (Teff), Fruit Powder (Freeze Dried Acai Flakes), Fruit Powder (Freeze-Dried Blueberry), Herbs &amp; Spices (Onion), Ingredient (Dextrose Monohydrate), Ingredient (e(Lm)inate V), Ingredient (TICorganic Arabic Spray Dry Powder), Ingredient (TICorganic Caragum 200), Ingredient (TICorganic Gum Arabic SF), Ingredient (TICorganic Inulin Agave), Ingredient (TICorganic Locust Bean Gum Powder), Ingredient (TICorganic Saladizer 320), Lemon Juice (Lemon Juice Powder), Oats (Regular Rolled), Powder (Carrot), Powder (Dehydrated Yogurt), Powder (Hemp Protein), Powder (Maple Syrup), Powder (Pea Protein), Powder (Red Beet Powder with Rice Hull Powder), Powder (Sunflower Lethicin Powder "CO"), Powder (Toasted Nutritional Yeast), Powder (Whole Milk), Raw Sugar (Golden Granulated Brown Raw Cane Sugar (dark)), Rice Flour (Long Grain Brown, White), Soy Products (Tamari GF), Starch (Corn), Starch (Corn - Novation 9230, 9560, Quemina Pre-gelatinized 21.204), Starch (Corn Starch Purity Bio 201), Starch (Rice), Starch (Tapioca  ), Stevia (Stevia Extract), Sugar (Cane Sugar), Sugar (Powdered), Vinegar (Apple Cider), Vinegar (White)</t>
  </si>
  <si>
    <t>Processed  Items: Goji Berry, polysaccaride, Powders (Goji Berry, powder); Other Grains, Pastas and Cereals: Wheat (Buckwheat); Nuts/Seeds: Oils (Goji Berry, seeds oil), Seeds (Pumpkin Seed Kernel; Lotus Seed); Fruits/Vegetables: Dried Fruit (Black Jujube/Date, Dried Jujube/Date, Dried Seedless Jujube/Date, Dried Goji Berry, 
Jujube/Date, dice, Jujube/Date, powder, Jujube/Date, slices/circle), Dried Vegetable (Black Fungus, Maitake, Reishi, Shiitake), Hericium Erinaceus/Lion's mane (dried, extract, fresh, powder, slices), Ganoderma lucidum/Reishi (dried, extract, fresh, granules, Myselium powder, powder, slices, whole)
Cordyceps Militaris (dried, extract, fresh, granules, powder, whole), Chaga mushrooms (Inonotus obliquus) (dried, extract, whole, granules, powder), Trametes versicolor/Turkey tails (dried, extract, fresh, granules, myselium extract, myselium powder, powder, whole); Beverage Related Products: Goji Berry, beverage; Goji Berry, juice; Goji Juice, concentrate, Tea (Jasmine Tea), Tea (Black, Green, Oolong, Matcha); Seabuckthorn Original Juice</t>
  </si>
  <si>
    <t>Other: Cereal, Herbs, Legumes, Oilseeds, Pseudo Grain</t>
  </si>
  <si>
    <t>Other Grains, Pastas and Cereals: Rice (Paddy basmati)</t>
  </si>
  <si>
    <t>Other Grains, Pastas and Cereals: Rice (Paddy basmati), Rice (Paddy Long Grain), Wheat (Wheat)</t>
  </si>
  <si>
    <t>Processed  Items: Flours and Meals (Corn Starch, Tapioca Starch, Wheat Flour), Herbs (Ginger Powder); Other Grains, Pastas and Cereals: Barley Pearl, Buckwheat Kernel, Millet (Millet, Black, Glutinous, Green), Mixed Beans and Grains, Mixed Millet, Quinoa (Red, White, Black), Sorghum, Soybean (Soybean, Black, Powder), Wheatgrass Powder, Noodles (Noodle Baby (Broccoli), Noodle Baby (Broccoli, Sweet Potato), Noodle Baby (Carrot), Noodle Baby (Kale, Beetroot), Noodle Baby (Kale, Pumpkin, Tomato, Chia Seed), Noodle Baby (Multi-Vege), Noodle Baby (Spinach), Noodle Baby (Spinach, Pumpkin), Noodle Baby (Spinach, Tomato), Noodle Baby (Sweet Potato), Noodle Baby (Tomato)); Oils &amp; Oleoresins: Oils (Coconut Virgin Oil); Nuts/Seeds: Nuts (Hazelnut Non-Roasted Kernel, Mixed Fruits &amp; Roasted Seeds), Seeds (Adzuki Bean, Black Bean with Green Kernel, Chickpeas, Kidney Bean, Dark Red, Mung Bean, Peanuts Raw, Pinto Bean, Sunflower Seeds, Chia Seed, Flaxseed (Brown, Golden), Melon Seed, Psyllium Husk, Pumpkin Seed, Sesame (Black, White)); Fruits/Vegetables: Apricot Dried, Figs Dried, Jujube Dried, Mulberry Dried, Sultanas, Goji Berry; Condiments and Sweeteners: Sweeteners (Sugar (Demerara, Molasses), Coconut Sugar); Beverage Related Products: Coffee Beans, Tea Matcha Powder</t>
  </si>
  <si>
    <t>Other Grains, Pastas and Cereals: Barley (Barley), Wheat (Wheat); Other: Alfalfa Hay, Brokering Grain, Hay, and Straw, Popcorn, Soybeans, Storing and Drying Grain, Hay, and Straw, Straw, Transporting Grain, Hay, and Straw</t>
  </si>
  <si>
    <t>Other: Chia - Salba Micro Reduced Milled, Amaranth, Amaranth Micro Reduced Milled, Amaranth - Milled, Sprouted Ground Flax with Goji and Cranberries, Sprouted Triple Omega Plus, Sprouted Ground Flax with Blueberries, Buckwheat - Sprouted Micro Reduced, Chia - Black Sprouted Micro Reduced, Flax - Brown Sprouted, Sprouted Organic Pumpkin Seeds with Sea Salt, Sprouted Organic Sunflower Seeds with Sea Salt, Sprouted Organic Pumpkin Seeds, Milled Coarse Sprouted Pumpkin Seeds, Sprouted Organic Sunflower Seeds, Millet - Sprouted Micro Reduced, Wheat - Hard red Milled, Quinoa (Red Sprouted, White Micro reduced Milled, White Sprouted, White Sprouted Milled), Rice - Brown Long Sprouted, Rye - Sprouted, Rye - Sprouted Milled, Sorghum - Sprouted, Sorghum - Sprouted Milled, Spelt - Sprouted, Spelt - Sprouted Milled, Wheat - Hard red Sprouted, Kale - Green Sprouted, Sprouted Buckwheat Crunch (Cacao, Cinnamon, Matcha), Sprouted Mixed Seeds with Salt, Sprouted Snacking Seeds with Salt and Vinegar, Sprouted Super Simple Seeds, Sprouted Sea Salt and Cracked Pepper, Sprouted Herb Salad Topper, Sprouted Garlic &amp; Thyme, Sprouted Pumpkin &amp; Sunflower Seeds with Sea Salt, Sprouted Snacking Seeds Sea Salt &amp; Pepper, Sprouted Snacking Seeds Everything Bagel, Sprouted Snacking Seeds Chili Lime, Sprouted Sweet &amp; Salty Kettle Snacking Seeds, Salba Chia - Whole Seed, Bean - Black Sprouted, Bean - Pinto Sprouted, Blend 5 Sprouted Aztec Superfoods, Blend 20 Sprouted Lentil Blend, Blend 11 Sprouted Whole Grain &amp;Seed Bread Topper, Blend 36 Custom Sprouted Earth Animal Blend, Broccoli - Sprouted Micro reduced Milled, Buckwheat - Sprouted Micro Reduced, Chia - Black Sprouted, Chickpeas - Sprouted, Chickpeas - Sprouted Milled, Flax - Brown Micro Reduced Milled, Flax - Brown Sprouted Micro Reduced, Flax - Golden Micro reduced Milled, Flax - Golden Sprouted Micro Reduced Milled, Lentils - Green Sprouted, Lentils - Green Sprouted Milled, Millet - Sprouted, Oats, Sprouted Hulless</t>
  </si>
  <si>
    <t>Processed  Items: Mixed Fruit (Dried Nut &amp; Fruit Mixes - - Acai - Maqui Bowl to Go 7 Oz;
Dried Nut &amp; Fruit Mixes - - Acai Bowl to Go 7 Oz;
Dried Nut &amp; Fruit Mixes - - Acai-Pitaya Bowl to Go 7 Oz); Other Grains, Pastas and Cereals: Rice (Arroz - Arroz - Arroz blanco grano largo/long grain White rice;
 Arroz - Arroz - Arroz integral grano largo/long grain Brown rice)</t>
  </si>
  <si>
    <t>Other: Grain Drying &amp; Storage</t>
  </si>
  <si>
    <t>Processed  Items: Rice (Long Grain and Broken, Black Rice (Milled and Brown), Long Grain and Broken, Glutinous Rice (Milled and Brown), Long Grain and Broken, Red Rice (Milled and Brown), Long Grain and Broken, Riceberry (Milled and Brown), Long Grain and Broken, Thai Hom Mali/Jasmine Rice (Milled and Brown), Long Grain and Broken, Thai White Rice (Milled and Brown))</t>
  </si>
  <si>
    <t>Other: Cereals (Hominy, Rye, Spelt, Triticale, Wheat, Wheat bran, Barley, Wheat Middlings, Wild Rice, Millet, Oats, Kamut), Oilseeds (Flax, Flax Cake, Flax Meal, Flax Oil, Mustard Seed, Soybean Oil, Canola Oil), Pellets (16% Calf Pellets, Alfalfa Pellets), Pulses (Green lentils, Lentils, Split Peas, Peas, Soybean Meal, Soybeans, Black Lentils, Chickpeas), Screenings (Barley Screenings Flax Screenings, Grain Screenings, Oat Screenings, Pea Screenings, Corn, Corn Screenings, Kamut Screenings, Lentil Screenings, Einkorn Screenings, Spelt Screenings, Yellow Mustard Screenings, Rye Screenings, Wheat Screenings), Spices (Cinnamon)</t>
  </si>
  <si>
    <t>Other: Alfalfa Pellets, Barley, Barley Screenings, Corn, Corn Screenings, Durum, Feed Milling Pellets, Flax, Flax Meal, Flax Screenings, Grain Screenings, Ground Grain, Hominy, Millet, Oat Hulls, Oat Screenings, Oats, Pea Screenings, Peas, Peas - Split, Rye, Soybean Meal, Soybeans, Soybeans - Roasted, Sunflowers, Triticale, Wheat, Wheat Bran, Wheat Middlings</t>
  </si>
  <si>
    <t>Other: Almond Butter Stock Dry Roasted, Almond Butter Stock Dry Roasted, Almonds California Supreme Grade, Almonds Dry Roasted No Salt, Almonds Dry Roasted No Salt, Almonds European, Almonds European, Almonds Sliced, Almonds Supreme, Almonds Supreme, Almonds Supreme Dry Roasted and Sea Salted, Almonds Supreme Dry Roasted and Sea Salted, Almonds Tamari Roasted, Almonds Tamari Roasted, Amaranth, Amaranth, Antioxidant Mix, Apples Dried Diced, Apples Dried Diced, Apples Dried Rings, Apples Dried Rings, Apricot Dried Halves, Apricot Dried Halves, Apricots Dried Diced, Apricots Dried Diced, Apricots Dried Turkish, Apricots Dried Turkish, Banana Chips, Banana Chips, Banana Chips, Barley Extra Pearled, Barley Extra Pearled, Barley Flakes, Barley Flakes, Barley Hulled, Barley Hulled, Beans - Adzuki, Beans - Adzuki, Beans - Black, Beans - Black, Beans - Black, USA, Beans - Black, USA, Beans - Cannellini, Beans - Cannellini, Beans - Chili Bean Blend, Beans - Chili Bean Blend, Beans - Cranberry, Beans - Garbanzo, Beans - Garbanzo, Beans - Great Northern, Beans - Great Northern, Beans - Kidney Dark Red, Beans - Kidney Dark Red, Beans - Kidney Light Red, Beans - Kidney Light Red, Beans - Lima Baby, Beans - Lima Baby, Beans - Mung, Beans - Mung, Beans - Navy, Beans - Navy, Beans - Pinto, Beans - Pinto, Beans - Red Chili, Beans - Red Chili, Beans - Soy, Beans - Soy, Black Chia Seeds, Blueberries Dried, Blueberries Dried, Blueberries Freeze Dried, Blueberries Freeze Dried, Born Fruity Chocolate Squares, Buckwheat Groats Lightly Toasted, Buckwheat Groats Lightly Toasted, Buckwheat Groats Raw Hulled, Buckwheat Groats Raw Hulled, California Almonds, Cane Sugar, Cane Sugar, Cashews Dry Roasted &amp; Sea Salted, Cashews Dry Roasted &amp; Sea Salted, Cashews Dry Roasted No Salt, Cashews Dry Roasted No Salt, Cashews Fancy Large Pieces, Cashews Fancy Large Pieces, Cashews Fancy Whole, Cashews Fancy Whole, Cereal Corn Flakes, Cereal Crispy Brown Rice, Cereal Crispy Brown Rice, Cereal Crispy Quinoa, Cereal Crispy Quinoa, Cereal Five Grain, Cereal Five Grain, Cereal Flax Plus Cinnamon, Cereal Heritage Flakes, Cereal Heritage O's, Cereal Honey'd Corn Flakes, Cereal Mesa Sunrise, Cereal Mesa Sunrise Raisin, Cherries Dried Tart Red Cane Sweetened, Cherries Dried Tart Red Cane Sweetened, Chia Seeds, Black, Chia Seeds, White, Chia Seeds, White, Chickpeas Roasted &amp; Salted, Choco Blanco 35% Cacao Oat Milk White Chocolate Discs, Chocolate Maca Energy Chews, Chocolate Maca Energy Chews, Chocolate Paradise Mix, Chocolate Paradise Mix, Cocoa Powder High Fat, Unsweetened, Non-Alkalized, Coconut Milk Classic, Coconut Shredded, Coconut Shredded, Coconut Sliced, Coconut Sliced, Coconut Smiles, Coconut Sugar, Coconut Sugar, Coffee Almond Coconut Chews, Coffee Almond Coconut Chews, Coffee Beans Fair Trade French Roast, Coffee Beans French Roast Fair Trade, Coffee Beans Italian Roast, Corn Meal Polenta, Corn Meal Polenta, Couscous, Couscous, Cranberries Dried, Cranberries Dried, Cranberry Harvest Mix, Cranberry Harvest Mix, Crunchy Sweet N Spicy Mix, Crush This Roasted Cacao Nibs Ecuador, Currants, Currants, Dark and Bitter 100% Cacao Unsweetened Chocolate Baking Discs, Dark Chocolate Almonds, Dark Chocolate Almonds, Dark Chocolate Chips, Dark Chocolate Chips, Dark Chocolate Coconut Chews, Dark Chocolate Coconut Chews, Dark Chocolate Espresso Beans, Dark Chocolate Espresso Beans, Dark Chocolate Ginger, Dark Chocolate Ginger, Dark Chocolate Peanuts, Dark Chocolate Peanuts, Dark Chocolate Pomegranate, Dark Chocolate Pomegranate, Dark Chocolate Raisins, Dark Chocolate Raisins, Dark Chocolate Toffee Almonds, Dark Chocolate Toffee Almonds, Dark Duo Chocolate Squares, Date Pieces, Date Pieces, Date Rolls - Almond Coconut, Date Rolls - Almond Coconut, Date Rolls - Coconut, Date Rolls - Coconut, Dates Blonde, Dates Deglet Pitted, Dates Deglet Pitted, Dates Medjool, Dates Medjool, Deluxe Trail Mix, Deluxe Trail Mix, Dragon Fruit Almonds, Dragon Fruit Banana Fruit Bites, Dragon Fruit Banana Mix, Dried &amp; Pitted Prunes, Dried Fancy Medjool Dates, Dried Mango, Epic Adventure Mix, Epic Adventure Mix, Fair Trade Chocolate Bananas, Fair Trade Chocolate Bananas, Fair Trade Chocolate Pecan Caramels, Fair Trade Chocolate Pecan Caramels, Fair Trade Dark Chocolate Almonds, Fair Trade Dark Chocolate Almonds, Fair Trade Dark Chocolate Cacao Nibs, Fair Trade Dark Chocolate Cacao Nibs, Fair Trade Dark Chocolate Espresso Beans, Fair Trade Dark Chocolate Espresso Beans, Fair Trade Dark Chocolate Goji Berries, Fair Trade Dark Chocolate Goji Berries, Fair Trade Dark Chocolate Raisins, Fair Trade Dark Chocolate Raisins, Fair Trade Milk Chocolate Almonds, Fair Trade Milk Chocolate Almonds, Fair Trade Milk Chocolate Cherries, Fair Trade Milk Chocolate Cherries, Fair Trade Milk Chocolate Raisins, Fair Trade Milk Chocolate Raisins, Farro Wheat Pearled, Farro Wheat Pearled, Figs Black Mission, Figs Black Mission, Figs Golden, Figs Golden, Flax Seed, Flax Seed, Flax Seeds, Flax Seeds Brown, Flax Seeds Brown, Flax Seeds Golden, Flax Seeds Golden, Flour Barley, Flour Barley, Flour Buckwheat, Flour Buckwheat, Flour Oat, Flour Oat, Flour Spelt, Flour Spelt, Flour Wheat Unbleached Malted All Purpose, Flour Wheat Unbleached Malted All Purpose, Flour White Ultimate Performance, Flour White Ultimate Performance, Flour White Unbleached Baker's Choice, Flour White Unbleached Baker's Choice, Flour White Unbleached Pastry, Flour White Unbleached Pastry, Flour Whole Wheat, Flour Whole Wheat, Flour Whole Wheat Fine Ground, Flour Whole Wheat Fine Ground, Flour Whole Wheat Pastry, Garlic Minced, Ginger Chunks Crystalized, Ginger Chunks Crystalized, Goji Berries, Goji Berries, Golden Flax Meal, Good Morning Crunch Mix, Good Morning Crunch Mix, Granola Blueberry Almond, Granola Blueberry Almond, Granola Blueberry Flax, Granola Coconut Almond, Granola Coconut Almond, Granola French Vanilla Almond, Granola Hemp Hearts, Granola Maple Fruit and Nut, Granola Maple Fruit and Nut, Granola Quinoa Coconut Mango, Granola Quinoa Coconut Mango, Granola Raspberry Crunch, Granola Raspberry Crunch, Granola Tahitian Vanilla, Granola Tahitian Vanilla, Healthy Harvest Pilaff, Healthy Harvest Pilaff, Hemp Hearts, Hemp Seeds, Hemp Seeds, Hit the Trail Mix, Hit the Trail Mix, Holy Fudge Chocolate Squares, Honey Amber Fair Trade, Jolly Beans, Jolly Beans, Lentils French Green, Lentils French Green, Lentils Green, Lentils Green, Lentils Red, Lentils Red, Lentils Spanish Pardina, Mango Coconut Chews, Mango Coconut Chews, Mango Coconut Chews, Mango Dried Slices, Mango Dried Slices, Mango Grove Mix, Mango Grove Mix, Mango Slices, Mango Slices, Mango Trail Mix, Mango Trail Mix Pineapple &amp; Nuts, Maple Syrup, Maple Syrup, Maple Syrup, Millet Hulled, Millet Hulled, Muesli Apple Mango, Muesli Apple Mango, Muesli Blueberry, Muesli Blueberry, Muesli Hawaiian, Muesli Hawaiian, Muesli Magic, Muesli Magic, Muesli Raspberry, Muesli Raspberry, Mustard Stoneground, Nuts - Fancy Mixed Nuts Dry Roasted &amp; Sea Salted, Nuts - Fancy Mixed Nuts Dry Roasted &amp; Sea Salted, Nuts - Fancy Mixed Nuts Dry Roasted No Salt, Nuts - Fancy Mixed Nuts Dry Roasted No Salt, Oat Bran, Oat Bran, Oat Groats, Oat Groats, Oat My Gawd 46% Cacao Oat Milk Chocolate Discs, Oat My Gawd Chocolate Squares, Oatmeal Raisin Chews, Oatmeal Raisin Chews, Oats Old Fashioned Rolled, Oats Old Fashioned Rolled, Oats Quick Rolled, Oats Quick Rolled, Oats Rolled, Oats Rolled, Oats Steel Cut, Oats Steel Cut, Oil, Olive Extra Virgin, Organic Snax Dark Chocolate Covered Almonds, Organic Snax Dark Chocolate Covered Raisins, Organic Snax Dried Apricots, Organic Snax Dried Mangos, Organic Snax Dry Roasted &amp; Salted Almonds, Organic Snax Dry Roasted &amp; Salted Cashews, Organic Snax Endurance Trail Mix Blend, Organic Snax Milk Chocolate Covered Almonds, Organic Snax Milk Chocolate Covered Raisins, Organic Snax Performance Trail Mix Blend, Organic Snax Red Chile Pepper Banana Chips, Organic Snax Sweet &amp; Spicy Trail Mix Blend, Organic Snax Tropical Chocolate Trail Mix Blend, Pasta Brown Rice Penne, Pasta Brown Rice Spaghetti, Pasta Brown Rice Spirals, Pasta, Brown Rice Penne, Pasta, Brown Rice Penne, Pasta, Brown Rice Spaghetti, Pasta, Brown Rice Spaghetti, Pasta, Brown Rice Spirals, Pasta, Brown Rice Spirals, Peaches Dried, Peaches Dried, Peanut Butter Creamy No Salt, Peanut Butter Creamy No Salt, Peanut Butter Stock Roasted No Salt, Peanut Butter Stock Roasted No Salt, Peas Black Eyed, Peas Black Eyed, Peas Green Split, Peas Green Split, Peas Yellow Split, Peas Yellow Split, Pecans, Pecans, Pine Nuts Fancy, Pine Nuts Fancy, Pineapple Dried Diced, Pineapple Dried Diced, Pineapple Dried Rings, Pineapple Dried Rings, Pistachios in Shell Roasted and Salted, Pistachios in Shell Roasted and Salted, Pomegranate Seeds, Pomegranate Seeds, Popcorn Multi Color, Popcorn Multi Color, Popcorn Yellow, Popcorn Yellow, Pretzels, Pretzels, Prunes Ashlock Pitted, Prunes Ashlock Pitted, Psyllium Husks, Psyllium Husks, Pumpkin Seeds, Pumpkin Seeds, Pumpkin Seeds, Pumpkin Seeds, Pumpkin Seeds Dry Roasted and Salted, Pumpkin Seeds Dry Roasted and Salted, Pumpkin Seeds Tamari Roasted, Pumpkin Seeds Tamari Roasted, Pure Food Glaze, Quinoa Flakes, Quinoa Flakes, Quinoa Red, Quinoa Red, Quinoa Tricolor, Quinoa Tricolor, Quinoa Tricolor Pilaff, Quinoa Tricolor Pilaff, Quinoa Tri-Colored Blend, Quinoa White, Quinoa White, Raisins Flame, Raisins Flame, Raisins Golden Sultana, Raisins Thompson, Raisins Thompson, Raspberries Freeze Dried, Raspberries Freeze Dried, Real Fruity 68% Cacao Single-Origin Peru Dark Chocolate Discs, Real Fudgy 70% Cacao Single-Origin Ghana Dark Chocolate Discs, Red Chile Banana Chips, Red Chile Banana Chips, Red Chile Roasted Cashews, Rice Arborio, Rice Arborio, Rice Arborio White, Rice Basmati Brown California, Rice Basmati White California, Rice Black Pearl, Rice Brown &amp; Wild Rice, Rice Brown &amp; Wild Rice, Rice Brown Basmati, Rice Brown Basmati, Rice Brown Long Grain, Rice Brown Long Grain, Rice Brown Long Grain, Rice Brown Short, Rice Jasmine Brown, Rice Jasmine White, Rice Sushi White, Rice Sweet Brown, Rice White Basmati, Rice White Basmati, Rice White Long Grain, Rice Wild, Rice Wild, Rice Wild, Rice Wild Blend, Rye Berries, Rye Berries, Rye Flakes, Rye Flakes, Sage Leaf Dried Rubbed, Sage Leaf Dried Rubbed, Sage Leaf Dried Rubbed, Sesame Seeds Brown, Sesame Seeds Brown, Sesame Seeds White, Sesame Seeds White, Shoyu Soy Sauce, Sour Cubes, Sour Cubes, Sour Rounds, Soynuts Roasted and Salted, Soynuts Roasted and Salted, Soynuts Roasted No Salt, Soynuts Roasted No Salt, Sunflower Seeds, Sunflower Seeds, Sunflower Seeds, Sunflower Seeds Dry Roasted &amp; Sea Salted., Sunflower Seeds Dry Roasted &amp; Sea Salted., Sunflower Seeds Dry Roasted No Salt, Sunflower Seeds Dry Roasted No Salt, Sunflower Seeds Tamari Roasted, Sunflower Seeds Tamari Roasted, Sunny Bears, Sunny Bears, Sunny Fruit Slices, Sunny Fruit Slices, Sunny Worms, Sunny Worms, Sunset Soup Mix, Sunset Soup Mix, Super Greens Energy Chews, Super Greens Energy Chews, Supreme Fruit and Nut Mix, Supreme Fruit and Nut Mix, Sweet Bears, Sweet Worms, Tahini, Tahini, Tamari Soy Sauce Gluten Free, Toffee Almonds, Toffee Almonds, Toffee Time Chocolate Squares, Tomato Diced, Tomato Paste, Tomatoes Sun Dried, Tomatoes Sun Dried, Triticale Flakes, Triticale Flakes, Vanilla Extract Double Strength, Vanilla Extract Double Strength, Vinegar Apple Cider, Vinegar Wine Red, Vinegar Wine White, Walnuts Fancy Halves &amp; Pieces, Walnuts Fancy Halves &amp; Pieces, Wheat Berries Hard Red, Wheat Berries Hard Red, Wheat Berries Soft White, Wheat Berries Soft White, Wheat Bran, Wheat Bran, Wheat Bulghur, Wheat Bulghur, Wheat Flakes, Wheat Flakes, Yogurt Almonds, Yogurt Almonds, Yogurt Banana Chips, Yogurt Banana Chips, Yogurt Odyssey Mix, Yogurt Odyssey Mix, Yogurt Pretzels, Yogurt Pretzels, Yogurt Raisins, Yogurt Raisins, Yummy Gummy Mix, Yummy Gummy Mix</t>
  </si>
  <si>
    <t>Other: Conditioning, Packaging, Labeling, and Storing of Grain and Seed including Barley, Corn, Flax, Kernza, Oats, Peas (field), Rye, Soybeans, Wheat, and Screenings</t>
  </si>
  <si>
    <t>Other: Milling (Rice), Packaging (Client Profile Products only) (Rice), Rice (Brown), Rice (Brown), Rice (Brown Basmati), Rice (Brown Jasmine), Rice (Brown Sweet), Rice (California Premium Grade White), Rice (California White Basmati Gourmet Rice), Rice (Calrose Brown Rice), Rice (Golden Rose Brown), Rice (Kokuho Rose Medium Grain Brown Rice), Rice (Long Grain Brown), Rice (Medium Grain Brown Rice), Rice (Medium Grain Rice), Rice (Red), Rice (Short Grain Brown), Rice (Short, Medium, Long, Sweet, Brown, white), Rice (Sushi), Rice (Sushi Rice), Rice (White Basmati Rice), Rice (White Calhikari Sushi), Rice (White Jasmine), Rice (White Jasmine Rice), Rice (Basmati) (Brown Basmati Rice (Non Retail)), Rice (Basmati) (Red Cargo Rice (Non Retail)), Rice (Basmati) (White Basmati Rice (Non Retail)), Rice (Broken) (Broken Rice), Rice (Calrose) (Brown), Rice (Calrose) (White), Rice (Jasmine), Rice (Jasmine) (Brown (Nonretail)), Rice (Jasmine) (White), Rice (Jasmine) (White Hom Mali Jasmine Rice (Non Retail)), Rice (Medium Grain Brown) (Medium Grain Brown), Rice (Short Grain) (Brown Rice), Rice (Short Grain) (Premium Brown), Rice (Short Grain) (Sushi Rice), Rice Hulls</t>
  </si>
  <si>
    <t>Other: Apple Cider (Cold Pressed, Fall Harvest, Spiced), Apple Juice (Apple, Cherry Apple, Ginger Apple, Peach Apricot Apple, Pear Apple), Apple Sauce (Bulk, Apples Aplenty, Fuji, Gala, Jonathan), Apples, Apricots, Asparagus, Baby Arugula, Beans (Black, Garbanzo, Pinto), Beans (Chickpeas), Beans (Fresh), Beets, Berries (Blackberries, Raspberries, Strawberries), Brassica, Buckwheat (Groats), Carrots, Celeriac, Cherries, Corn (Tuxedo Corn), Cucumbers, Daikon, Dried Fruits (Apples Aplenty, Colorado Harvest), Dried Fruits (Apricots, Cranberries, Mango, Prunes, Raisins), Dried Fruits (Freeze Dried Fruit (Apples, Peaches, Pears)), Eggs (Whole), Figs (Dried) (Dried Mission Figs), Flour, Flowers, Fresh Herbs (Basil, Cilantro, Parsley), Frozen Fruits (Frozen Peach Slices), Fruit Butter (Apple Butter, Peach Butter, Plum Butter), Fruit Puree (Pear Sauce), Garlic, Grains (Barley, Oats, Rice, Wild Rice), Grains (Farro, Rye, Wheat), Grapes, Green Lentils, Jam (Cherry Jelly), Jam (Grape Jelly), Jam (Peach, Peach/Plum, Pear, Plum), Kim Chee (Daikon, Napa &amp; Garlic, Spicy Napa.), Lemonade (Bernie Palmer Iced Tea/Lemonade, Hibiscus Pomegranate, Lavender, Matcha Mint, Orchard Recipe), Lentils, Lentils (Green, Red), Lettuces, Maple Syrup, Melons, Microgreens (Arugula, Beets, Cilantro, Kale, Kohlrabi, Mustard, Peas, Popcorn, Radishes, Sunflower), Millet, Miso (Miso Paste, Sweet White Chickpea), Nectarines, Nuts (Almonds, Peanuts, Pecans, Walnuts), Oats, Onions, Peaches, Pears, Peas, Peppers, Plums, Potatoes, Potatoes (Baby Yellow), Potatoes (Fingerling, Red, Russet, Yellow, Purple), Quinoa, Radishes, Rhubarb, Sauerkraut (Beets, Dulse &amp; Kale; Caraway; Citrus &amp; Ginger; Dill &amp; Caraway; Green Chile; Just Juniper; Red Cabbage; Ruby Calendula; Simply Kraut.), Seeds (Chia, Flax, Pumpkin, Seasame, Sunflower), Snack Foods (Banana Chips, Sweetened), Snack Foods (Coconut Date Rolls), Snack Foods (Jelly Beans), Snack Foods (Popcorn), Spinach, Squash (Pumpkins, Winter Squash), Squash (Winter), Sugar (Maple Sugar), Tomatoes, Turnip, Zucchini</t>
  </si>
  <si>
    <t>Other Grains, Pastas and Cereals: Cleanings from Grain, Wheat, Wheat, Wheat, Wheat, Whole Berries, Rye, Whole Berries, Spelt; Dry/Baking Goods: Flours and Meals, Flours and Meals, Flours and Meals, Flours and Meals, Flours and Meals, Flours and Meals, Flours and Meals, Flours and Meals, Flours and Meals, Flours and Meals, Flours and Meals, Flours and Meals, Flours and Meals, Flours and Meals, Flours and Meals; Animal Feed: Livestock Feed</t>
  </si>
  <si>
    <t>Other: Storage of Organic Grains, Transloading of Organic Grains</t>
  </si>
  <si>
    <t>Other Grains, Pastas and Cereals: triticale grain; wheat grain</t>
  </si>
  <si>
    <t>Other: Rice (Medium Grain Brown Rice), Rice (Medium Grain Brown Rice (Bulk)), Rice (Medium Grain Rice), Rice (Medium Grain White Rice (Bulk)), Rice (Second Heads Broken Rice (Bulk)), Rice (Short Grain White Rice (Bulk)), Rice Flour (California Medium Grain - Brown), Rice Flour (California Medium Grain - White), Rice Flour (California Sweet Grain), Rice Flour (Medium Grain White (Bulk)), Rice Milling (Milling of Paddy Rice)</t>
  </si>
  <si>
    <t>Preservatives/Extracts/Flavors: Herbs (Ajwain), Herbs (Ashwagandha), Herbs (Ashwagandha Root), Herbs (Senna Leaves), Herbs (Senna Leaves Tea Bag Cut (TBC)), Herbs (Senna Pods), Herbs (Senna Pods TBC), Herbs (Stevia Leaves-Dried), Herbs (Holy Basil Powder), Spices (Nutmeg Whole), Spices (Red Chilli (Whole)), Spices (Turmeric Dried), Spices (Turmeric Fingers), Spices (Black Pepper), Spices (Cumin Whole), Spices (Fenugreek), Spices (Garlic), Spices (Ginger Whole (Dried)); Other Grains, Pastas and Cereals: Amaranth/Amaranthus/Thotakura, Bengal Gram Whole, Black Gram Split White, Black Gram White Whole, Black Gram/Urd (Vigna sp.), Brown Gram/Gram/Chana (Cicer arietinum), Chana Dal, Chia, Flax Seed, Green Gram Split Yellow/Moong Dal-Yellow, Green Gram Whole (Moong Sabut), Green Gram/Chana/Moong (Vigna sp.), Green Gram/Moong Dhuli, Maize Grain, Pigeon pea/Arhar Whole, Quinoa, Rice (Non-Basmati Rice), Rice (Brown Rice), Rice (Basmati Rice), Rice (Basmati Rice-Brown), Rice (Basmati Rice-White), Sorghum, Urad (Phasleolus mungo) Black gram, Urad Dal/Split Black gram, Urad Dal-Whole(White), Val Dal; Nuts/Seeds: Amaranth Seed/ Ram Dhana, Basil Seeds, Black Mustard Seed, Brown Flaxseed, Brown mustard, Celery Seed, Coriander Seed, Coriander Seed/Whole, Cumin Seed, Dill Seed (Aowa), Fennel Seed, Fenugreek Seed (Methi Seed), Flax Seeds (Grounded), Flax/Linseed, Flax/Linseed Meal, Kalonji/Nigella, Mustard Seeds, Mustard Seeds-Yellow, Psyllium Seed (Isobgul), Safflower Seeds (Of seed quality), Sunflower Seeds (Of seed quality), Water Melon Seeds; Fruits/Vegetables: Beans (Chitra Kidney Beans/Rajma (Phaseolus vulgaris)), Beans (Cowpea), Beans (Cowpea Split), Beans (Cowpea/Lobia Whole(V.unguiculata/sinensis)), Beans (Matki/Moth Bean), Beans (Red Kidney Beans/Rajma (Phaseolus vulgaris)), Beans (Tur/ Toor Dal), Mixed Vegetables (Mix Dal), Vegetables (Split Lentil), Vegetables (Chickpea/Kabuli Chana (Garbanzos)), Vegetables (Green Peas), Vegetables (Horse Gram whole), Vegetables (Lentil), Vegetables (Lentil Dal), Vegetables (Masoor (Lens culinaris)), Vegetables (Masur/Masoor Dhuli); Dry/Baking Goods: Flours and Meals (Amaranth Flour), Flours and Meals (Wheat flour), Powders (Psyllium Husk Powder), Powders (Red Chilli Powder), Powders (Senna Leaves Powder), Powders (Stevia/Stevia rebaudiana powder), Powders (Turmeric Powder), Powders (Amla Powder), Powders (Ashwagandha Powder), Powders (Ashwagandha Root Powder), Powders (Cinnamon (Powder)), Powders (Coriander Powder), Powders (Cumin Powder), Powders (Fennel Powder), Powders (Fenugreek Powder (Methi Powder)), Powders (Flax Seed Powder), Powders (Garlic Powder), Powders (Ginger Powder), Powders (Nutmeg Powder), Psyllium Husk (Isobgul); Condiments and Sweeteners: Mustards, Mustards (Yellow mustard)</t>
  </si>
  <si>
    <t>Animal Feed: Livestock Feed (Non-Soy Poultry Ration: Layer, Broiler, Grower, Starter. Non -Soy Poultry Scratch 25+ Flax, Whole Grain Chicken Scractch, Non-Soy Swine All-Age complete Ration, Dairy Goat Grains 14% &amp; 16%); Other: Custom Feed Rations, Feed Grinding/Mixing/Bagging, Grain Screenings, Grain Storage, Grain/Seed Cleaning/Bagging &amp; Packaging, Molasses, Pelletizing Pellets: Alfalfa</t>
  </si>
  <si>
    <t>Other: Grain Storage</t>
  </si>
  <si>
    <t>Other Grains, Pastas and Cereals: Cereal (Oat based whole grain cereal (Cróqui Organic II)), Cereal (Oat based whole grain cereal (Cróqui Organic III))</t>
  </si>
  <si>
    <t>Other Grains, Pastas and Cereals: Barley, Beans (Black kidney bean (also called -black turtle bean)), Beans (Black soybean (also called - black bean with yellow kernel)), Beans (Double green bean (also called -green soybean, edamame bean)), Beans (Green mung bean (also called mung bean)), Beans (Mung bean hulled), Beans (Red kidney bean (also called dark red kidney bean)), Beans (Adzuki bean (also called- small red bean)), Beans (White kidney bean), Beans (Pinto bean (also called light speckled kidney bean)), Black sesame, Black soybean with green kernels, Black soybean with yellow kernels, Chickpea (also called - garbanzo), Concentrated soybean protein, Corn (also called maize), Corn chop, Corn cobs, Cowpea, Cracked corn, Lentil, Millet, Oats, Oats (Oat kernel), Pea, Pea fiber, Pea protein, Quinoa, Quinoa (Quinoa kernel), Rice (Paddy), Rice (Rice bran), Rice (Rice protein), Rice (Black paddy), Rice (Black rice), Rice (Brown rice), Roasted corn, Roasted soybean, Sesame, Sorghum, Soybean, Soybean hulled, Soybean hulls, Soybean protein drawing, Soybean protein isolate, Sticky hulled millet (also called hulled sticky millet, hulled broomcorn millet), Sticky millet (also called: broomcorn millet), Textured soybean protein, Wheat (Wheat starch), Wheat (Roasted buckwheat kernel), Wheat (Buckwheat), Wheat, Wheat (Wheat starch); Oils &amp; Oleoresins: Oils (Raw flax oil), Oils (Rice bran oil), Oils (Sesame oil), Oils (Soybean oil (crude)), Oils (Sunflower oil), Oils (Flaxseed oil (also called raw flax oil, linseed oil)), Oils (Sunflower oil), Oils (Rapeseed oil); Nuts/Seeds: Borage seed, Evening primrose seed, Flax seed, Perilla seeds, Pine Nuts (Pinenut kernel), Pumpkin kernel (also called: pumpkin kernel shine skin), Pumpkin seed grown without shell (also called: pumpkin kernels GWS), Pumpkin seed shine skin kernel (also called: organic pumpkin kernel), Pumpkin seeds (pumpkin seeds shine skin), Rapeseed, Sunflower seed, Sunflower seeds kernel, Walnuts, Walnuts (Walnut kernels), Watermelon seed; Fruits/Vegetables: Potato, Sweet potato; Dry/Baking Goods: Flours and Meals (Wheat flour), Flours and Meals (Brown rice flour), Flours and Meals (Buckwheat flour), Flours and Meals (Corn flour), Flours and Meals (Oat flour), Flours and Meals (Rice flour), Pea starch, Potato starch, Powders (Soybean protein powder); Animal Feed: Livestock Feed (Flaxseed cake (also called flaxseed meal, flaxseed expeller, flax cake, flax meal, flax expeller)), Livestock Feed (Sunflower meal (also called sunflower cake, sunflower expeller)), Livestock Feed (Blended feed pellets), Livestock Feed (Corn germ cake), Livestock Feed (Corn gluten meal), Livestock Feed (Puffed soybean), Livestock Feed (Rapeseed meal (also called rapeseed cake, rapeseed expeller)), Livestock Feed (Rice bran meal), Livestock Feed (Sesame meal (also called sesame cake, sesame expeller)), Livestock Feed (Soybean crude lecithin (also called: crude soybean lecithin)), Livestock Feed (Soybean meal (also called soybean cake, soybean expeller)), Livestock Feed (Soybean powder), Livestock Feed (Soybean protein powder), Livestock Feed (Squashed corn), Livestock Feed (Wheat bran), Livestock Feed (Wheat gluten meal)</t>
  </si>
  <si>
    <t>Other: Seeds, Seeds (Corn, Beans, Grains), Seeds (Cucumbers, Melons, Squash), Seeds (Flowers), Seeds (Greens), Seeds (Heirloom Garlic), Seeds (Herbs and Medicinals), Seeds (Lettuce), Seeds (Peppers), Seeds (Tomatoes, Eggplants, Solanums)</t>
  </si>
  <si>
    <t>Other: Bagging Beans and Grain, Hulled Buckwheat, Hulled millet, Yellow popcorn, Brown flax, Hulled sunflowers, Adzuki beans, Black turtle beans, Garbanzo beans, Kidney beans, Green Lentils, French Lentils, Navy beans, Pinto beans, Regular rolled oats, Red split lentils, Mung beans, Green split peas</t>
  </si>
  <si>
    <t>Processed  Items: Banana flour, Dried banana, Dried banana coarse grind, Dried banana coins, Dried banana cubes, Dried banana half coins, Dried banana quarter coins, Dried lucuma, Dried mango, Dried Mango Chunks, Dried mango coarse grind, Dried mango cubes, Dried mango sheets, Dried Mango Slices, Dried pineapple, Dried pineapple coarse grind, Dried Pineapple cubes, Dried Pineapple round slice eighths, Dried Pineapple round slice quarters, Dried Pineapple round slices, Frozen avocado, Mango powder; Nuts/Seeds: Chia, White quinoa; Fruits/Vegetables: Avocado, Bananas, Berries (Blueberries dehydrated), Frozen banana, Frozen mango, Frozen pineapple, Goldenberries, Lemon, Mangoes, Passion fruit, Pineapple, Whole dehydrated goldenberry; Condiments and Sweeteners: Panela; Chocolate Goods: 100% Chocolate coverage, Cacao grains, Chocolate bar with goldenberry, Chocolate dipped mango, Chocolate dipped pineapple; Other: Cacao nibs, Lucuma, Sweet potato, Yacon powder</t>
  </si>
  <si>
    <t>Other Grains, Pastas and Cereals: Wheat; Other: Corn, Flaxseed, Rape</t>
  </si>
  <si>
    <t>Other: 100% Sprouted Wheat Bread, Honey Whole Wheat Bread, Rosie's Sourdough Bread, Sprouted 18 Grains and Seeds Bread, Sprouted Ancient Grains Bread, Sprouted Rye Bread, Sprouted Spelt Bread</t>
  </si>
  <si>
    <t>Processed  Items: Cereal (Brown Bulgur, Bulgur), Concentrates (Apple Juice Concentrate), Dehydrated Foods (Dried Mulberry , Infused dried cherry, Infused Dried Strawberry), Dried Tomatoes, Soup Grain Mix; Other Grains, Pastas and Cereals: Barley (Barley), Cereal (Popcorn), Pasta (4 Vegetable Pasta, Beetroot Pasta, Broccoli Pasta, Carrot Pasta, Chıckpea Flour Pasta, Red Lentils Pasta , Rice Flour Pasta, Spanish Pasta , Tomato Pasta, Wheat Pasta), Quinoa (Quinoa, Quinoa Flour), Rice (Rice), Wheat (Durum Wheat , Wheat); Oils &amp; Oleoresins: Oils (Olive Oil, Sunflower Oil); Nuts/Seeds: Hazelnut (Hazelnuts), Nuts (Apricot Kernel), Seeds (Chia Seeds, Chia Seeds Flour, Flaxseed), Walnuts (Walnut); Health Products: Herbs (Cumin, Semolina); Fruits/Vegetables: Citrus (Dried Sultanas/Raisin), Dehydrated Foods (Diced Dried Fig , Dried Apricot, Dried Apricot Paste, Dried Diced Apricot, Dried Fig , Dried Fig Paste, Dried Plum); Dry/Baking Goods: Flours and Meals (Barley Flour, Chickpea flour, Corn Flour , Lentil Flour , Rice Flour, Wheat Flour); Other: Beans (Dried Beans, Soy Bean), Chickpeas, Green Lentils, Red Lentils/Brown Lentil, Yellow Lentils</t>
  </si>
  <si>
    <t>Other Grains, Pastas and Cereals: Blue Corn, Blue Corn, Buckwheat, Buckwheat, Grain Screenings, Grain Screenings, Hairy Vetch, Hairy Vetch, Other grains and seeds, Other grains and seeds, Popcorn, Popcorn, Red Corn, Red Corn, Rye, Rye, Soybean Splits, Soybean Splits, Soybeans, Soybeans, Wheat (Wheat), Wheat (Wheat), White Corn, White Corn, Yellow Corn, Yellow Corn; Other: Bagging grain, Brokering grain, Cleaning Grain &amp; Seed/Custom Cleaning Grain &amp; Seed, Storing grain</t>
  </si>
  <si>
    <t>Other Grains, Pastas and Cereals: Organic Millet Cleaning, Organic Millet Screenings</t>
  </si>
  <si>
    <t>Other: Air Dried Bengal Gram Flour / Bengal Gram Flour, Air Dried Brown Rice Millet Noodles, Air Dried Brown Rice Noodles, Air Dried Buckwheat Flour / Buckwheat Flour, Air Dried Chervil, Air Dried Chickpea Flour / White Chickpea Flour, Air Dried Chickpeas Whole, Air Dried Coriander/ Air Dried Cilantro Flakes/ Dehydrated Cilantro Flakes, Air Dried Corn / Maize Flour, Air Dried Curly Parsley / Dehydrated Curly Parsley, Air Dried Dill, Air Dried Flat Parsley, Air Dried Marjoram, Air Dried Mint, Air Dried Non Basmati Brown Rice Flour, Air Dried Oregano, Air Dried Pearl Milet Flour / Pearl Millet Flour, Air Dried Red Lentil Flour / Lentil Flour, Air Dried Red Lentil Whole, Air Dried Rice Cracker, Air Dried Savory, Air Dried Sorghum Flour/ Sorghum Flour, Air Dried Spice Mix Cracker, Air Dried Spinach, Air Dried Sprouted Bengal Gram, Air Dried Sprouted Brown Rice, Air Dried Sprouted Buckwheat, Air Dried Sprouted Chickpea, Air Dried Sprouted Corn/Maize, Air Dried Sprouted Green Gram, Air Dried Sprouted Green Gram Flour, Air Dried Sprouted Pearl Millet, Air Dried Sprouted Red Lentil, Air Dried Sprouted Sorghum, Air Dried Sprouted White Rice, Air Dried Thyme, Buckwheat Kernel, Corn/Maize Grain, Freeze Dried Chervil, Freeze Dried Coriander, Freeze Dried Curly Parsley, Freeze Dried Dill, Freeze Dried Flat Parsley, Freeze Dried Marjoram, Freeze Dried Mint, Freeze Dried Oregano, Freeze Dried Savory, Freeze Dried Spinach, Freeze Dried Thyme, Indian Quinoa Seed, Individually Quick Frozen Chervil, Individually Quick Frozen Coriander, Individually Quick Frozen Curly Parsley, Individually Quick Frozen Dill, Individually Quick Frozen Flat Parsley, Individually Quick Frozen Marjoram, Individually Quick Frozen Mint, Individually Quick Frozen Oregano, Individually Quick Frozen Savory, Individually Quick Frozen Spearmint, Individually Quick Frozen Spinach, Individually Quick Frozen Thyme, Non Basmati Brown Rice, Sorghum Grain</t>
  </si>
  <si>
    <t>Other: Bitter orange essential oils, Black pepper, Calophyllum vegetable oil, Centella asiatica extracts, Chilli powder, Coconut vegetable oil, Combava essential oils, Cured vanilla, Dried Calophyllum grains, Dried Centella asiatica leaves, Dried Chilli, Dried Lemongrass leaves, Dried pink pepper, Dried Spilanthès (anamalaho), Grated coconut meat, Lemongrass essential oils, Longoza essential oils, Moringa oil, Patchouli essential oils, Pink pepper fruits essential oils, Pink pepper leaves essential oils, Siegesbeckia extracts, Spilanthès acmella extracts, Tagete essential oils, Vanilla powder, Vetiver bourbon essential oils, Ylang ylang essential oils</t>
  </si>
  <si>
    <t>Processed  Items: Cereal (Black Quinoa Flakes, Black Quinoa Flour, Red Quinoa Flakes, Red Quinoa Flour, White Quinoa Flakes, White Quinoa Flour); Other Grains, Pastas and Cereals: Quinoa (Quinoa Mix Tricolor, Royal Quinoa Black, Royal Quinoa Red, Royal Quinoa White)</t>
  </si>
  <si>
    <t>Other: English Muffins, Killer Classic, English Muffins, Rockin Grains</t>
  </si>
  <si>
    <t>Other: 100% Whole Wheat Bread, 100% Whole Wheat Thin-Sliced Bread, 21 WG Seed Sandwich Rolls, 21 Whole Grains and Seeds Bread, 21 Whole Grains and Seeds Bread, Thin-Sliced, 21 Whole Grains and Seeds Burger Buns 12 CT 32.4 OZ., 21 Whole Grains and Seeds Burger Buns 8 ct. 17.6 oz., Burger Buns Done Right 8 ct. 17.6 oz., DKB ROCK'N ROLLS, Good Seed Bread, Good Seed Thin-Sliced Bread 20.5oz, Good Seed Thin-Sliced Bread 24oz, Powerseed Bread, Powerseed Bread, Thin-Sliced 24oz, Powerseed Bread,Thin-Sliced 20.5, Sandwich Rolls Done Right, Sprouted Whole Grains Bread, Thin-Sliced, White Bread Done Right Bread, White Bread Done Right Bread, Thin-Sliced</t>
  </si>
  <si>
    <t>Other: Bagel, Boomin Berry, Bagel, Cinnamon Raisin, Bagel, Everything, Bagel, Plain, Englin Muffins, Rockin Grains, English Muffins, Killer Classic</t>
  </si>
  <si>
    <t>Other: Bread, Cheese, Chocolate, Condiment, Dairy, Distributing (Client Profile Products only), Dried Fruits, Eggs, Grains, Oils, Packaged Meats, Pasta, Prepared Meals, Snack Foods, Soy Products, Tea</t>
  </si>
  <si>
    <t>Processed  Items: Bamboo leaves extract , Blueberry powder/extract/juice powder, Maca powder/extract, Pomegranate extract/powder/juice powder, Banana (Powder, Extract, Juice Powder), Kiwi Fruit (Powder, Extract, Juice Powder)/extract, Lime Powder , Mango (Extract, Juice Powder, Fruit Powder), Orange Peel/Pericarpium Citri Reticulatae/Tangerine Peel（powder,extract）, Pandan (Powder, Extract) , Papaya Fruit/Leaf (Powder, Extract) , Poria Cocos/Tuckahoe/Juan Fu Ling Powder/Extract , Red Clover (Powder, Extract), Red Maca (Powder, Extract), Resveratrol Powder, Spinach (Powder, Extract), Tomato (Extract, Juice Powder, Fruit Powder), Cereal (Buckwheat (Extract, Protein, Starch, Fibre), Oats/Avena Sativa (Powder, Extract) , Wheat/Wheat Germ (Powder, Extract)), Dehydrated Foods (Plum extract/powder, Apple - Powder, Extract, Juice Powder, Chickpea Protein, Fava bean protein（Dry）, Mung bean protein（Dry）, Pea hydrolyzed protein, Pea protein peptide, Pea protein（Dry）), Dehydrated Foods (Cordyceps Militaris (Powder, Extract) , Garlic Flake (Granules Powder), Lion's mane extract/powder, Maitake Mushroom/Grifola Frondosa (Powder, Extract), Reishi/Ganoderma Lucidum (Powder, Extract), Shiitake mushroom(powder/extract), Acai dried (Powder, Extract), Artichoke powder/extract, Beet root(slica/flakes, diced, chopped, powder), Bitter Melon (Powder, Extract), Black Carrot Juice Powder, Carrot Powder/Extract Powder, Chaga mushroom powder/extract, Chicory extract/powder, Dehydrated Broccoli(granules, powder), Dehydrated Kale(slica/flakes/powder), Fava bean protein（Wet）, Fava bean starch, Jerusalem artichoke extract/powder, Lemon Powder , Mucuna Pruriens Extract/Powder, Mung bean protein（Wet）, Mung bean starch, Onion Extract/Powder, Pea (Powder, Extract, Protein, Fibre) , Pea protein（Wet）, Pea Starch, Pea Wide Vermicelli, Pear (Extract, Juice Powder, Fruit Powder) , Pineapple (Juice Powder/Fruit Powder/Extract), Pumpkin (Extract, Juice Powder, Fruit Powder) , Pumpkin Seed Extract, Raspberry (Powder, Extract, Juice Powder, Fruit Powder), Red Bean/Adzuki Bean (Powder, Extract), Reishi Spore Powder, Schisandra berry extract/powder, Soy bean powder/extract, Stigmata Maydis/Corn Silk Extract, Sunflower lecithin powder, Sweet Potato Powder, Taro Powder, Textured pea protein, Tremella Fuciformis/Tremella Mushroom (Powder, Extract), Yam extract/powder, Yucca (Powder, Extract)), Powders (Algae DHA powder); Preservatives/Extracts/Flavors: Extracts (White Tea Extract); Other Grains, Pastas and Cereals: Rice (Brown Rice Protein Powder, Rice Protein/Peptide Powder), Rice (Red Yeast Rice (Powder, Extract)); Health Products: Aloe Vera (Aloe vera (Powder, Extract)), Herbs (White Willow Bark powder, Tribulus Terrestris extract, Withania Somnifera/Ashwagandha Extract/Powder), Herbs (Astragalus root(cut/powder/Extract), Black Pepper (grains, powder), Fenugreek seed extract/powder, Gynostemma (Powder, Extract), Hawthorn fruits /leaves extract/powder, Honeysuckle flower powder, Horsetail Powder, Licorice root extract, Marshmallow extract/powder, Milk thistle extract/powder, Monk Fruit/Siraitia Grosvenorii/Luo Han Guo Powder/Extract, Oregano Leaves Powder, Plantain Herb powder, Rehmannia extract, Rhodiola rosea powder/extract, Rose Bud/Petal/Rosehips/Fructus Rosae(Powder,Extract Powder), Siberian ginseng extract/powder, Sophora Japonica extract/powder, Star Anise powder/extract, Turmeric root extract/powder, Valerian root extract/powder, Alfalfa leaf/medicago(Powder/juica/Powder/extract), American Ginseng (Powder, Extract), Barley grass powder/juice powder , Black Cohosh (Powder, Extract), Bupleurum Extract/Powder, Burdock extract, Butterfly Pea Flower (Powder, Extract), Cat’s Claw Extract, Cayenne Pepper Extract/Powder, Centella Asiatica (Powder, Extract), Chamomile Powder, Chinese angelica /Dong Quai(Crude drug/Cut/Powder/Extract), Cinnamon powder, Cleavers Herb extract/powder, Clove (Powder, Extract), Dandelion root powder, Dandellon herb/Taraxacum mongolicum, Echinacea herb(powder/extract), Epimedium powder/extract, Ginger extract, Ginkgo biloba leaf /Powder/Extract, Honeysuckle leflower powder, Jasmin Flower (Powder, Extract, Whole), Lavender/Lavandulae Angustifolia (Powder, Extract), Lemon Balm/Melissa Officinalis (Powder, Extract) , Lily/Bai He (Powder, Extract) , Linden /Tilia muqueliana maxim (Powder, extract powder), Lotus Leaf/Seed (Powder, Extract) , Lovage (Powder, Extract) , Lupinus Albus Extract (Powder, Extract) , Magnolia Bark/Magnolia Officinalis (Powder, Extract), Marigold/Tagetes Erecta/Lutein (Powder, Extract), Moringa (Powder, Extract), Motherwort Extract , Nettle (Powder, Extract), Oat Grass (Extract, Juice Powder), Olive leaf extract/Powder, Osmanthus/Osmanthus Fragrans Extract , Parsley (Powder,Juice Powder,Extract) , Passion Flower powder/extract, Pelargonium Sidoides Extract/Powder , Peppermint Leaf Powder/Extract, Perilla Frutescens Extract/Powder, Prunella Vulgaris Extract , Pueraria (Powder, Extract) , Red Ginseng (Powder, Extract), Rhododendron Dauricum Extract/Powder, Roselle/Hibiscus Extract/Powder, Skullcap/Scutellaria (Powder, Extract), Stevia Leaf Extract, Sweet Wormwood/Artemisia Annua (Powder, Extract), Thyme (Powder, Extract), Tongkat Ali (Powder, Extract), Wheat Grass Triticum aestivum/Triticum Aestivum (Powder, Extract,Juice Powder), White Paeony/Paeonia Lactiflora Root (Powder, Extract), Whole Chili、Chili Flake、Red Pepper Powder); Fruits/Vegetables: Berries (Mulberry leaf powder/extract), Dehydrated Foods (Apple Fiber Powder , Noni Fruit Powder/Extract, Watermelon (Extract, Juice Powder, Fruit Powder)), Dehydrated Foods (Strawberry powder/extract, Acerola Cherry(Powder,Extract Powder), Apple Cider Vinegar Powder , Banana Flower Extract, Bilberry Extract/Powder/Juice Powder, Blood Orange Extract/Powder, Citrus Medica Extract (Powder, Extract), Citrus Bergamot/Citrus Bergamia (Powder, Extract,Juice Powder), Cranberry powder/extract/juice powder, Elderberry powder/extract, Grape seed extract, Jujube/Chinese Date/Red Date (Powder, Extract,Juice Powder), Ligustrum (Glossy Privet Fruit ) Extract/Powder, Loquat leaf Extract , Mulberry powder/extract, Peach (Extract, Juice Powder, Fruit Powder) , Saw Palmetto Extract, Schisandra chinensis powder, Tart Cherry (Powder, Extract), Walnut Kernel (Powder, Extract), Waxberry/Yumberry/Bayberry (Powder, Extract, Juice Powder), Ziziphi/Jujube Seed (Powder, Extract)), Powders (Agaricus Blazei Extract/Powder, Black fungus extract/powder, Coriolus versicolor extract/powder); Dry/Baking Goods: Flours and Meals (Maltodextrin), Flours and Meals (Inulin, Konjak/Konjac (Powder, Extract) , Purple Sweet Potato (Powder, Extract, Juice powder)); Condiments and Sweeteners: Sweeteners (Allulose, Blended Sweetener (Erythritol+Pea Protein Blend), Blended Sweetener（Erythritol, Stevia extract）, Erythritol, Erythritol &amp; Monk Fruit Extract Blends Organic); Beverage Related Products: Juice (Black currant (Powder, Extract)), Tea (Green tea ( L-Theanine), Green tea (Instant Powder), Matcha Tea Extract, Oolong Tea Extract); Animal Feed: Livestock Feed (Black Bean/Black Soybean (Powder, Extract)); Other: Phycocyanin, Spirulina powder/tablets, Wakame/Undaria Pinnatifida (Powder, Extract）, Sea buckthorn fruit powder/extract, Bee Pollen (Powder, Extract), Chlorella powder/tablets, Kelp Seaweed Extract</t>
  </si>
  <si>
    <t>Other Grains, Pastas and Cereals: Corn, Peel bean cake, Soybean; Dry/Baking Goods: Peeled bean cake powder; Animal Feed: Flax cake, Flax meal, Soybean cake, Soybean hulled, Soybean powder, Sunflower cake, Sunflower meal</t>
  </si>
  <si>
    <t>Other: Amande, Amlou Light, Co produit d'argan ( protéine ), Huile d'abricot, huile d'amande, Huile d'argan, Huile d'argan désodorisée, Huile de sésame, L'huile de graine de Figue de barbarie, Rose et eau de rose, Safran, Tourteau</t>
  </si>
  <si>
    <t>Other: 101 - 7 Sprouted Grains Bread, 115 - Genesis 1:29 Sprouted Whole Grain &amp; Seed English Muffins, 116 - 7 Sprouted Grains English Muffins, 117 - Ezekiel 4:9 Cinnamon Raisin Sprouted Grain English Muffins, 118 Ezekiel Sprouted Grain Flax English Muffins, 119 - Ezekiel 4:9 Sprouted Grain English Muffins, 120 - Ezekiel 4:9 Sprouted Grain Bread, 123 - Ezekiel 4:9 Sprouted Grain Sesame Bread, 124 - Ezekiel 4:9 Sprouted Grain Flax Bread, 126 - 7 - Sprouted Grain Cinnamon Raisin Bread, 131 - Ezekiel 4:9 Sprouted Grain Cinnamon Raisin Bread, 141 - Genesis 1:29 Sprouted Grain and Seed Bread, 153 - Ezekiel 4:9 Sprouted Grain Low Sodium Bread, 169 - Gluten-Free Brown Rice Bread, 185 - Gluten-Free Brown Rice English Muffin, 186 - Gluten-Free Multi Seed English Muffin, 190 - Sprouted Gluten Free Original Bread, 191 - Sprouted Gluten Free Flax Bread, 200 - Ezekiel 4:9 Sprouted Grain Tortillas, 201 - Ezekiel 4:9 Sprouted Grain 6" Tortillas, 202 - Ezekiel 4:9 Sprouted Grain Flax Tortillas, 203 - Ezekiel 4:9 Sprouted Grain Low Sodium Tortillas, 213 - Ezekiel 4:9 Sprouted Grain Burger Buns, 214 - Ezekiel 4:9 Sprouted Grain Hot Dog Buns, 215 - Ezekiel 4:9 Sprouted Grain Sesame Burger Buns, 255 - Ezekiel 4:9 Sprouted Grain Original Cereal, 255M - Organic Ezekiel Sprouted Grain Cereal Mix, 256 - Ezekiel 4:9 Sprouted Grain Golden Flax Cereal, 257 - Ezekiel 4:9 Sprouted Grain Cinnamon Raisin Cereal, 258 - Ezekiel 4:9 Sprouted Grain Almond Cereal, 259 - Ezekiel 4:9 Sprouted Grain Low Sodium Cereal, 260 Ezekiel 4:9 Sprouted Grain Flake Cereal- Original Variety, 261 Ezekiel 4:9 Sprouted Grain Flake Cereal Coated with Chia and Flax, 262 Ezekiel 4:9 Sprouted Grain Flake Cereal with Raisins, 263 Ezekiel 4:9 Sprouted Grain Flake Cereal with Almonds, 353 Ezekiel 4:9 Sprouted Grain English Muffins Low Sodium, 370 - Sprouted Corn Tortillas, 520-EZEKIEL 4:9 PROPRIETARY BLEND (WIP), 7 SPROUTED GRAIN PRE-MIX (WIP), GENESIS PREMIX (WIP), Gluten Free Sponge (WIP), T101 - Flourless Sprouted 7 Grain Bread</t>
  </si>
  <si>
    <t>Preservatives/Extracts/Flavors: Herbs (Hung Lui/Spearmint), Herbs (Hung Que/Basil), Herbs (Kinh Gioi/Marjoram), Herbs (La Bac Ha/Mint), Herbs (La Dua/pandan leaves), Herbs (La E Trang/Basil Leaf), Herbs (Rau Ma/Centella), Herbs (Rau Ngot Nhat/Japanese Sauropus), Herbs (Rau Ngot/Katuk), Herbs (Ngai Cuu/Worm Wood), Herbs (Toi/Galic), Herbs (Sa/Lemon Grass), Herbs (Sam Bo Chinh/Abelmoschus sagittifolius), Spices (Gung/Ginger), Spices (Hanh La/Spring Onion), Spices (Hanh Paro/Spring Onion Paro), Spices (Hanh Tay/Onion), Spices (Rau Ram/Coriander); Other Grains, Pastas and Cereals: Rice (Ngo Om/Rice Paddy); Nuts/Seeds: Peanuts (Dau Phong/Peanut); Fruits/Vegetables: Beans (Dau Den/Black Bean), Beans (Dau Do/Red Bean), Beans (Dau Nanh/Soy Bean), Chanh Day/Passion Fruit, Chuoi/Banana, Citrus (Chanh Ta/Lime), Citrus (Quat/Kumquat), Citrus (Quyt/Mandarin), Citrus (Cam/Orange), Citrus (Buoi/Pomelo), Citrus (Cay Chuc/Kaffir Lime), Coc / Tahitian quince, Du Du/Papaya, Dua Le/Pear Shaped, Dua/Coconut, La giang/Sour-soup creeper, Mang cau xiem/Soursop, Mang Cut/Mangosteen, Melons (Dua Luoi/Cantaloupe), Melons (Bi Dao/Winter Melon), Melons (Dua Gang/Indian Cream Cobra Melon), Melons (Dua Hoang Kim/Golden Melons), Mit/Jack Fruit, Nhan/Longan., Oi/guava., Sam Long/Tiliacora triandra, Sapoche/Sapodilla, Sau Rieng/Durian, Suong Sao/Asian Grass Jelly, Vegetables (Can Tay/Celery.), Vegetables (Rau Den Mau/Amaranthus Tricolor), Vegetables (Rau Lang/Sweet Potato Buds), Vegetables (Rau Mong Toi/Ceylon Spinach), Vegetables (Rau Muong/Water Morning Glory), Vegetables (Rau Thom/Wild Rocket), Vegetables (Su Hao/Cabbage Turnip), Vegetables (Su Su/Chayote), Vegetables (He/Garlic Chives,), Vegetables (Kho Qua/Bitter Melon), Vegetables (Khoai lang/Sweet Potato), Vegetables (Khoai Tay/Yam), Vegetables (Ot Chuong/Bell Pepper), Vegetables (Ot Xiem Xanh/Green Siamese Chili), Vegetables (Ot/Chili), Vegetables (Chum Ngay/Moringa.), Vegetables (Dua Leo Baby/Cucumber Baby), Vegetables (Dua Leo/Cucumber), Vegetables (Dau Xanh/Green Bean), Vegetables (Diep Ca/Fishmint), Vegetables (Mang Tay/Asparagus.), Vegetables (Muop Huong/Luffa), Vegetables (Ngo Gai/Sawleaf), Vegetables (Ngo Ri/Cilantro), Vegetables (Sup Lo Baby/Broccoli Baby), Vegetables (Sup Lo Xanh/Broccoli.), Vegetables (Tan O/Tungho), Vegetables (Thien Ly/Tonkin Jasmine), Vegetables (Tia To/Perilla Mint), Vegetables (Xa Lach My/Lettuce), Vegetables (Xa Lach Romain/Letuce Romain), Vegetables (Xa Lach Xanh/Green Lettuce), Vegetables (Bap Nep/Corn), Vegetables (Bap Ngot Nhat/Sweet Corn), Vegetables (Bap Nu Hoang/Queen Corn), Vegetables (Bap Su Tim/Cabbage Heart), Vegetables (Bap Su Tron/Cabbage), Vegetables (Bau/Gourd), Vegetables (Bi An Ngon/Pumpkin Buds), Vegetables (Bi Do Non/Pumpkin Baby), Vegetables (Bi Do/Pumpkin), Vegetables (Bi Ngoi/Zucchini.), Vegetables (Cu Cai Do/Radish), Vegetables (Cu Cai Trang/Turnip), Vegetables (Cu Den/Beetroot), Vegetables (Dau Bap/Orka), Vegetables (Dau Cove Nhat/String Bean Jaban), Vegetables (Dau Cove/String Bean), Vegetables (Ca Chua Mini/Tomato Mini), Vegetables (Ca Chua/Tomato), Vegetables (Ca Rot/Carrot), Vegetables (Ca Tim/Eggplant), Vegetables (Cai Be Xanh/Mustard Green), Vegetables (Cai Bo Xoi/Spinach.), Vegetables (Cai Kale/Kale), Vegetables (Cai Ngong/Choy Sum), Vegetables (Cai Ngot/Brassica Integrifolia), Vegetables (Cai Thao Hoa Tien/Napa Cabbage Rocket), Vegetables (Cai Thao/Napa Cabbage), Vegetables (Cai Thia/Chinese Cabage), Vegetables (Cai Xanh Wasabi/Mustard Green Wasabi), Vu Sua/Star Apple, Xoai Cat/Mango; Beverage Related Products: Tea (Che xanh/green tea leaf); Other: Cay voi/ Syzygium nervosum, Chom Chom/ Rambutan, Dinh Lang/ Ming Aralia, Nho/ Grape, Doc mung/ Indian Taro, Hung chanh/ Country Borage, Rau cang cua/ Pepper Elder, Rau sam/ Common Purslane, Rau Dang/ Bacopa monnieri, Mia/Sugarcane</t>
  </si>
  <si>
    <t>Other: Frozen Aloo Bonda, Frozen Aloo Paratha, Frozen Aloo Tikki, Frozen Beet Root Cutlet, Frozen Beetroot, Frozen Cabbage, Frozen Carrot, Frozen Chapati, Frozen Chole Curry, Frozen Cocktail Samosa, Frozen Coriander Green Leaf, Frozen Curry Leaves, Frozen Drumstick, Frozen Falafel, Frozen French Beans, Frozen Fulka Roti, Frozen Garlic Naan, Frozen Garlic Paste, Frozen Ginger, Frozen Green Chilli, Frozen Green Chutney, Frozen Harabhara Kabab, Frozen Kottimera Vada, Frozen Malabar Parotta, Frozen Masala Vada, Frozen Methi Leaves, Frozen Mint Leaves, Frozen Mix Veg Paratha, Frozen Mixed Vegetable Curry, Frozen Multi Grain Chapati, Frozen Panjabi Samosa, Frozen Peas (Pisum Stativum), Frozen Plain Naan, Frozen Potato, Frozen Ragi Sanagti, Frozen Rajma Curry, Frozen Shredded Coconut, Frozen Sliced Coconut, Frozen Spinach, Frozen Tamarind Chutney, Frozen Tandoori Naan, Frozen Tandoori Roti, Frozen Veg Momos, Tomato Chutney</t>
  </si>
  <si>
    <t>Other Grains, Pastas and Cereals: Rice (Broken Glutinous Rice and Glutinous Color Rice , Broken Thai Hom Mali Rice, Milled Black Glutinous Sticky Rice Flour, Milled Black Rice, Milled Black Sticky Rice, Milled Brown Glutinous Sticky Rice Flour, Milled Red Rice, Milled Sticky Rice, Milled Thai Hom Mali Brown Rice, Milled White Glutinous Sticky Rice Flour)</t>
  </si>
  <si>
    <t>Other Grains, Pastas and Cereals: COIX CHINENSIS, CORN, MILLET YELLOW, Rice (BLACK RICE), Rice (PURPLE RICE), STICKY MILLET; Fruits/Vegetables: Beans (ADZUKI BEANS), Beans (BACK BEAN), Beans (MUNG BEANS), Beans (RED BEAN), Beans (SOYBEAN)</t>
  </si>
  <si>
    <t>Other Grains, Pastas and Cereals: Pasta (VALDIGRANO: 20 x 1 lb. 08 - spaghetti), Pasta (VALDIGRANO: 20 x 1 lb. 09 - spaghettini), Pasta (VALDIGRANO: 20 x 1 lb. 11 - capellini), Pasta (VALDIGRANO: 20 x 1 lb. 17 - linguine), Pasta (VALDIGRANO: 20 x 1 lb. 18 - fettuccine), Pasta (VALDIGRANO: 20 x 1 lb. 19 - ditalini lisci), Pasta (VALDIGRANO: 20 x 1 lb. 21 - orzo), Pasta (VALDIGRANO: 20 x 1 lb. 22 - acini di pepe), Pasta (VALDIGRANO: 20 x 1 lb. 33 - farfalle), Pasta (VALDIGRANO: 20 x 1 lb. 35 - elbows), Pasta (VALDIGRANO: 20 x 1 lb. 37 - shells), Pasta (VALDIGRANO: 20 x 1 lb. 70 - orecchiette), Pasta (VALDIGRANO: 20 x 1 lb. 72 - pennette rigate), Pasta (VALDIGRANO: 20 x 1 lb. 73 - penne rigate), Pasta (VALDIGRANO: 20 x 1 lb. 74 - cut ziti), Pasta (VALDIGRANO: 20 x 1 lb. 81 - tortiglioni), Pasta (VALDIGRANO: 20 x 1 lb. 98 - fusilli), Pasta (VALDIGRANO: 20 x 1 lb. 99 - tricolor fusilli)</t>
  </si>
  <si>
    <t>Processed  Items: Dehydrated Foods (Currants), Dehydrated Foods (Apricots, Turkish Unsulphured), Dehydrated Foods (Coconut, Shredded), Dehydrated Foods (Date, Pieces in Oat Flour), Dehydrated Foods (Dates, Deglets Pitted), Dehydrated Foods (Dates, Medjool with Pits), Dehydrated Foods (Figs, Black Mission), Dehydrated Foods (Figs, Calimyrna), Dehydrated Foods (Goji Berries), Dehydrated Foods (Prunes, Pitted), Dehydrated Foods (Raisins, Flame), Dehydrated Foods (Raisins, Thompson); Other Grains, Pastas and Cereals: 6 Grain Rolled Flakes, Amaranth Grain, Barley (Barley Flakes), Barley (Barley, Hulled), Barley (Barley, Pearled), Barley (Barley, Hulless for Sprouting), Buckwheat Groats, Hulled, Buckwheat, Hulls, Buckwheat, Toasted, Buckwheat, Unhulled, Cous Cous, Whole Wheat, Einkorn, KAMUT, KAMUT Flakes, Millet, Hulled, Oats (Oat Bran), Oats (Oats, Hulled Toasted), Oats (Oats, Quick Rolled), Oats (Oats, Regular Raw), Oats (Oats, Regular Rolled), Oats (Oats, Regular Rolled Gluten Free), Oats (Oats, Steel Cut), Oats (Hulless Whole Oats (Whole Oats for Sprouting)), Quinoa (Canihua), Quinoa (Quinoa, Red), Quinoa (Quinoa, White), Rice (Arborio), Rice (Basmati White), Rice (Basmati, Brown), Rice (Jasmine Brown), Rice (Jasmine White), Rice (Long Grain Brown), Rice (Long Grain White), Rice (Short Grain Brown), Rice (Sushi White), Rice (Sweet Brown), Rye Flakes, Sorghum (Sorghum Grain), Spelt Flakes, Spelt, Hulled, Wheat (Bulgur, Wheat), Wheat (Soft Winter White), Wheat (Wheat Bran), Wheat (Wheat Flakes), Wheat (Wheat Germ, Raw), Wheat (Wheat, Bronze Chief Hard Spring), Wheat (Wheat, Hard Spring White), Wheat (Wheat, Hard Winter Red), Wheat (HeirloomTurkey Red Hard Winter Wheat); Nuts/Seeds: Alfalfa Seed for Sprouting, Almonds (Almonds, Nonpareil Raw), Almonds (Almonds, Raw), Almonds (Almonds, Raw (Nonpasteurized)), Brazil Nut (Brazil Nuts), Broccoli Seed for Sprouting, Cashew Nuts (Cashews, Pieces Raw), Cashew Nuts (Cashews, Whole Raw), Chia Seed, White for Sprouting, Clover Seed for Sprouting, Filberts (Hazelnuts (Filberts)), Flax Seed, Brown, Flax Seed, Golden, Hemp Seeds, Peanuts (Peanuts, Dry Roasted No Salt), Peanuts (Peanuts, Dry Roasted Salted), Pecans (Pecans), Pistachios (Pistachios, In Shell), Pumpkin Seeds, Raw, Pumpkin Seeds, Spicy, Radish Seed for Sprouting, Roasted Salted Sunflower Seeds, Sesame Seeds, Hulled, Sesame Seeds, Unhulled, Sunflower Seeds, Hulled Raw, Sunflower Seeds, Whole, Sunflower Seeds, Whole for Sprouting, Walnuts (Walnuts, Halves &amp; Pieces); Fruits/Vegetables: Apples, Fuji, Apples, Gala, Apples, Red Delicious, Beans (Whole Yellow Peas), Beans (Adzuki Beans), Beans (Black Beans), Beans (Black Beans, Local), Beans (Black Eyed Peas), Beans (Cannellini Beans), Beans (Cranberry Beans), Beans (Garbanzos), Beans (Great Northern Beans), Beans (Kidney Beans), Beans (Lentils, French), Beans (Lentils, Green), Beans (Lentils, Red), Beans (Lima Beans), Beans (Lima Beans, Heirloom), Beans (Mung Beans), Beans (Mung Dahl Beans, Split), Beans (Navy Beans), Beans (Peas, Green Split), Beans (Peas, Yellow Split), Beans (Pinto Beans), Beans (Soybeans, Black), Citrus (Grapefruit, Red), Citrus (Oranges, Valencia), Leafy Greens (Lettuce, Romaine), Small Red Beans, Vegetables (Beets), Vegetables (Broccoli), Vegetables (Carrots), Vegetables (Carrots, Juicing), Vegetables (Celery), Vegetables (Garlic, Standard), Vegetables (Onions, Yellow), Vegetables (Potatoes, Gold Local), Vegetables (Potatoes, Red), Vegetables (Potatoes, Yukon Gold), Vegetables (Yams, Jewel); Dry/Baking Goods: Flours and Meals (Beehive Malted All Purpose Wheat Flour), Flours and Meals (All Purpose White Flour), Flours and Meals (Artisan Baker Plus), Flours and Meals (Bread Flour, White), Flours and Meals (Flax Meal, Golden), Flours and Meals (High Gluten Flour (Unbleached Sifted)), Flours and Meals (High Mountain High Gluten Wheat Flour), Flours and Meals (Malted All Purpose Flour), Flours and Meals (Semolina Flour), Flours and Meals (Type 00 Unbleached), Flours and Meals (Type 110 Wheat Flour), Flours and Meals (Type 85 Artisan Flour), Flours and Meals (Wheat Flour, White Sifted), Sugar (Maple Sugar), Sugar (Sugar, Cane), Sugar (Sugar, Dark Brown), Sugar (Sugar, Evaporated), Sugar (Sugar, Panela), Sugar (Sugar, Powdered); Condiments and Sweeteners: Sucanat; Chocolate Goods: Cocoa Powder, Natural, Dark Chocolate (Bittersweet Chocolate Chips), Dark Chocolate (Fair Trade Dark Chocolate Chips), Dark Chocolate (Fair Trade Dark Chocolate Mini Chips), Semi-Sweet Chocolate (Semi-Sweet Chocolate Chips); Bread/Bakery/Snacks: Popcorn (Popcorn, Local), Popcorn (Popcorn, Yellow), Pretzel Minis, Pretzel Sticks, Snack Mixes (Magical Maple Granola), Snack Mixes (Hit the Trail Mix), Snack Mixes (Unsweetened Berry Coconut Granola); Other: Busy Day Bean Soup Mix, Texturized Vegetable Protein</t>
  </si>
  <si>
    <t>Other Grains, Pastas and Cereals: Barley, Buckwheat, Corn, Mixed Grains, Mixes, Mixes, Mixes, Rice, Rye, Spelt, Wheat; Fruits/Vegetables: Beans; Dry/Baking Goods: Flours and Meals, Flours and Meals, Flours and Meals</t>
  </si>
  <si>
    <t>Other: Apple Cider Vinegar, Apple Juice (Pure Apple Juice ), Applesauce, Black Tea (Golden Black Tea), Bread (Alsatian Bread), Bread (Biscottes from the Monastery), Bread (Brioche Vendeenne), Bread (Brioche with Cheese), Bread (Country Bread), Bread (Couronne de pain campagnard), Bread (French Sandwich Loaf), Bread (Irish Bread (Raisin)), Bread (Irish Bread (Sesame)), Bread (le Chevron Francais), Bread (Le Grand Pain Norvegien), Bread (Le Pain aux noix de ma Grand Mere (Grandma's Walnut Bread)), Bread (Le Petit Pain Norvegien), Bread (Pain au Fromage), Bread (Pain aux trois cereales), Bread (Pain de Seigle), Bread (Pain Italien Traditionnel (Traditional Italian Bread)), Bread (Pain Norvegien), Bread (Petit pain au lait), Bread (Polish Bread), Bread (Rye Bread), Bread (Spelt Bread of Saint Hildegard), Bread (White Wheat - French Baguette), Bread (White Wheat - French Tradition), Bread (White Wheat - la Marguerite Francaise), Bread (White Wheat - la Miche de Pain), Bread (White Wheat - le Pain du Monastere), Bread (White Wheat - le Rustique de France), Bread (White Wheat - l'echelle de Provence), Bread (White Wheat - l'epi de ble), Bread (White Wheat - Little Mignon), Bread (Whole Wheat), Bread (Whole Wheat - French Country Baguette), Bread (Whole Wheat - French Tradition), Bread (Whole Wheat - la Marguerite Francaise), Bread (Whole Wheat - la Miche de Pain), Bread (Whole Wheat - le Pain du Monastere), Bread (Whole Wheat - le Rustique de Fance), Bread (Whole Wheat - l'echelle de Provence), Bread (Whole Wheat - l'epi de ble), Bread (Whole Wheat - Little Mignon), Brownies (Chocolate Brownies Heart), Brownies (French Brownies), Cakes (Angels Crown), Cakes (Apple Pound Cake), Cakes (Banana Pound Cake), Cakes (Black Forest), Cakes (bûche de Noël 1), Cakes (bûche de Noël 2), Cakes (bûche de Noël 3), Cakes (bûche de Noël 4), Cakes (bûche de Noël 5), Cakes (Easter Nest), Cakes (Fondant), Cakes (Forest Hill), Cakes (Lemon Crown Cake), Cakes (Marble), Cakes (Moka), Cakes (Raspberry Breton), Cakes (Sister Cake), Cakes (Snow Ball), Cakes (St Roger), Cakes (Strawberry Breton), Cakes (Sun Cake), Cakes (The 3 Chocolate Cake), Cakes (The Prince), Cakes (The Prince Heart), Cakes (Tiramisu), Cakes (Truffon), Cakes (Vanilla Chocolate Bavarois), Candy (Almond Ganache Filled), Candy (Almond Ganache Filled White Chocolate), Candy (Almond Truffle), Candy (Cappuccino Ganache Filled), Candy (Caramel Filled), Candy (Chocolate Ganache Filled), Candy (Coconut Truffle), Candy (Coffee Ganache Filled), Candy (Coffee Truffle), Candy (Hazelnut Milk Chocolate Ganache Filled), Candy (Lemon Ganache Filled), Candy (Mint Ganache Filled), Candy (Mint Truffle), Candy (Pistachio Filled), Candy (Pistachio Truffle), Candy (Truffle), Candy (Vanilla Ganache Filled), Candy (Vanilla Ganache Filled White Chocolate), Canned Tomato Sauce, Canned Tomato Sauce (Tomato Celery Sauce ), Caramel Candy, Chocolate (Fancy box brown #2 included H41 – H36 – H35 – H40 – H34 – H42 X2 – H45 – H50 – H39 – H49 – H37 – H43 – H52 – H44 – H46), Chocolate (Fancy box white #1 included H35 X 2 – H47 X 2 - H36- H40 – H50 – H42 – H41 X 2 – H37 – H39 – H48 – H51 -  H44 – H34), Chocolate (St Roger Abbey Chocolate), Chocolate Mousse, Coffee, Coffee (Decaf), Cooked Beets, Cookies (Almond Star), Cookies (Almond Twist de Bordeaux), Cookies (Bon Appetit Assorted Tin Box), Cookies (Butter Cookies fait maison), Cookies (Chic Marble Heart), Cookies (French  Caramel / Apple Macaron), Cookies (French Black Tea / Bergamot Macaron), Cookies (French Blackberry Macaron), Cookies (French Blueberry Macaron), Cookies (French Cappuccino Macaron), Cookies (French Caramel Banana Macaron), Cookies (French Caramel Macaron), Cookies (French Chocolate Cherry Macaron), Cookies (French Chocolate Chip), Cookies (French Chocolate Chip in Bag), Cookies (French Chocolate Lemon Macaron), Cookies (French Chocolate Macaron), Cookies (French Chocolate Mint Macaron), Cookies (French Chocolate Orange Macaron), Cookies (French Coconut Apricot Macaron), Cookies (French Coconut Raspberry Macaron), Cookies (French Coffee Macaron), Cookies (French Green Tea Grapefruit Macaron), Cookies (French Green Tea Macaron), Cookies (French Hazelnut Praline Macaron), Cookies (French Hazelnut-Milk Chocolate Macaron), Cookies (French Lavender Macaron), Cookies (French Lemon Macaron), Cookies (French Licorice Macaron), Cookies (French Madeleine), Cookies (French Mango / Peach Macaron), Cookies (French Milk Chocolate-Raspberry Macaron), Cookies (French Mint Macaron), Cookies (French Orange Macaron), Cookies (French Pineapple Macaron), Cookies (French Pistachio Macaron), Cookies (French Pumpkin / Cinnamon Macaron), Cookies (French Raisin Cinnamon Macaron), Cookies (French Raspberry Macaron), Cookies (French Strawberry Macaron), Cookies (French Vanilla Macaron), Cookies (Lemon), Cookies (Saint Joseph), Cookies (Spiral Cookies Bonjour!), Cookies (St Philomena), Cookies (St. Hildegarde), Cookies (St. John), Cookies (St. Roger), Cookies (The Best Cookies), Croutons, Fruit Jam (Apricot Jam), Fruit Jam (Blackberry), Fruit Jam (Blueberry Jam), Fruit Jam (Mango Jam), Fruit Jam (Orange), Fruit Jam (Peach), Fruit Jam (Pluot Jam), Fruit Jam (Strawberry Jam), Fruit Jam (Watermelon), Green Tea (Kong Fu Green Tea), Green Tea (Longjing Green Tea), Misc. (Broccoli Quiche), Misc. (Cheese Quiche), Misc. (Cheese Straws), Misc. (Crepe), Misc. (Ham and Cheese Crepes), Misc. (Ham and Cheese Quiche), Misc. (Mushroom Crepe), Pastry (Almond Croissant), Pastry (Apple Crepe), Pastry (Apple Tart), Pastry (Apple Tartlet), Pastry (Apple Turnover), Pastry (Apricot Nest), Pastry (Apricot Turnover), Pastry (Brioche du Nord), Pastry (Brioche Tressee), Pastry (Briochette de Sr Marie Pierre), Pastry (Cannelé Bordelais), Pastry (Chocolate Briochette), Pastry (Chocolate Cream Puff), Pastry (Chocolate Eclair), Pastry (Chocolate Tartlet), Pastry (Coffee Cream Puff), Pastry (Coffee Eclair), Pastry (Fleur de Pomme), Pastry (Four Season Apple), Pastry (French Almond Chocolate Croissant), Pastry (French Butter Croissant), Pastry (French Chocolate Croissant), Pastry (Galette des Rois), Pastry (Galette des Rois Frangipane), Pastry (Ham and Cheese Croissant), Pastry (Kouglof), Pastry (Langue de Chat a la française), Pastry (Lemon Briochette), Pastry (Lemon Tartlet), Pastry (Marguerite Nature), Pastry (Mélang de France), Pastry (Millefeuilles), Pastry (Pain aux Raisins), Pastry (Palmier), Pastry (Palmito), Pastry (Petit Soleil du Printemps), Pastry (Petite Brioche), Pastry (Petite Brioche aux Raisins), Pastry (Petite French Briochette), Pastry (Plum Turnover), Pastry (Raspberry Briochette), Pastry (Roule au fromage), Pastry (St. Joseph Apple Tart), Pastry (Vanilla Cream Puff), Pastry (Vanilla Eclair), Pumpkin Puree (Pumpkin Puree), Sandwich (3 Cheese Sandwich), Sandwich (Croque-Monsieur), Sandwich (Ham and Cheese), Soup (Butternut Soup), Spread (Eggplant Caviar), Spread (Onion), Spread (Three Pepper Chutney), Various (French Meringue), Various Baked Goods (Pizza Padova)</t>
  </si>
  <si>
    <t>Other: See Addendum</t>
  </si>
  <si>
    <t>Other: Align Fruit Chews, Ancient Grain Maple Granola, Chili Lime Pumpkin Seeds (bulk only), Chocolate Ancient Grain Maple Granola, Chocolate Coconut Chips (Bulk Only), Chocolate Maple Coconut Clustered Bits, Drive Fruit Chews, Essential Sauce, Functional Granola Ingredient (bulk only), Grain, Teff, Habanero Mango Bark, Hot and Chili Lime Pumpkin Seeds, Jamaican Jerk Pumpkin Seeds (bulk only), Lime Coconut Chips (Bulk Only), Mango Coconut Chips (bulk only), Maple Coconut Clustered Bits, Muesli Blend Granola, My Sweet Onion Pumpkin Seeds, Pizza Sauce, Roasted Salted Pumpkin Seeds (Bulk Only), Spicy Sauce, Struesli Cacao and Coffee Granola, Struesli Original Granola, Struesli Savory &amp; Seed Granola, Sweet Onion Pumpkin Seeds (bulk only), Sweet Potato Crackers - Cheddar Chive, Sweet Potato Crackers - Original, Thrive Fruit Chews, Tribal Clusters, Vermont Morning Multigrain Cereal Original, Vermont Morning Multigrain Cereal Wheat Free, Very Berry Bark, Vodka Sauce, What a Jerk Jamaican Jerk Pumpkin Seeds</t>
  </si>
  <si>
    <t>Other: Black Lentils, Buckwheat Groats, Cocoa Powder, Cranberry Beans, Fava Beans, Garbanzo Beans, Garbanzo Butter, Garbanzo Splits, Great Northern Beans, Honey Sunflower Butter, Parboiled Rice, Golden Harvest Popcorn, Pebble White Popcorn, red lentils, Sunflower Butter, Sunflower Butter with Honey, Sunflower Chickpea Butter Filling, Adzuki, Baby Lima Beans, Black Beans, Blackeye Peas, Cannellini Beans, Dark Red Kidney beans, Green Split Peas, Light red Kidney Beans, Lima Beans, Mung Beans, Navy Beans, Pinto Beans, Red Split Lentils, Small red Beans, Yellow Split Peas, Pumpkin Seed Butter, Amaranth, Black Quinoa, Quinoa, Red Quinoa, White Quinoa, Green Lentil Flour, Sunflower Meal, Green Lentils, hemp Hearts, Brown Basmati, Brown Jasmine, Long Grain Brown Rice, Short Gran Brown Rice, Short Gran White Rice, White Basmati, White Jasmine Rice, Black Chia Seed, Sunflower Kernels, White Chia Seed, Brown Flax, Poppy Seed</t>
  </si>
  <si>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</si>
  <si>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</si>
  <si>
    <t>Other: Beverage, Chocolate, Dairy, Grains, Nuts, Produce</t>
  </si>
  <si>
    <t>Other: Conditioning and Storing Bulk Grain of Barley, Soybeans, and Wheat</t>
  </si>
  <si>
    <t>Other: Tortilla Chips (Blue Corn), Tortilla Chips (Simply Doritos - Spicy White Cheddar), Tortilla Chips (Simply Doritos - White Cheddar), Tortilla Chips (Simply Doritos - Zesty Ranch), Tortilla Chips (Simply Tostitos - Blue Corn), Tortilla Chips (Simply Tostitos - Yellow Corn ), Whole Grain Chips (Chili Lime), Whole Grain Chips (Garden Salsa), Whole Grain Chips (White Cheddar), Whole Grain Chips (Zesty Queso)</t>
  </si>
  <si>
    <t>Other: Cereal (Currant Walnut), Cereal (Honey Cashew Vanilla), Chocolate Chips (Chocolate Chips), Coconut (Dried Coconut), Dried Fruits (Apricots), Dried Fruits (Bing Cherries), Dried Fruits (Cranberries), Dried Fruits (Currants), Dried Fruits (Fig Pillows (Pieces)), Dried Fruits (Orange Slices), Dried Fruits (Peaches), Dried Fruits (Thompson Raisins), Grains (Cracked Rye), Grains (Rolled Oats), Grains (Rolled Oats (Gluten Free)), Granola (Cafe Blend), Granola (Chocolate Hazelnut Fig), Granola (Chop House Blend-No current production), Granola (Currant), Granola (Ghost Town Mix), Granola (Gluten Free Original), Granola (Happy Trails Mix), Granola (Honey Lavender), Granola (Local Farm Blend), Granola (Nut Free Cafe Blend), Granola (Orange Cranberry Pecan), Granola (Original), Granola (Porchlight Mix), Granola (Scarborough Mix), Granola (Tree House Mix), Granola (Yahoo Blend), Honey, Maple Syrup, Muesli (Apricot Hazelnut (Gluten Free)), Muesli (Currant Rose (Gluten Free)), Nuts (Almonds - Whole), Nuts (Almonds - Whole - Dry Roasted), Nuts (Almonds - Whole - Dry Roasted with Salt), Nuts (Cashew Pieces), Nuts (Cashew Pieces - Dry Roasted), Nuts (Cashew Pieces - Dry Roasted with Salt), Nuts (Cashews - Whole), Nuts (Cashews - Whole - Dry Roasted), Nuts (Cashews - Whole - Dry Roasted with Salt), Nuts (Hazelnuts), Nuts (Pecans - Halves), Nuts (Pecans - Pieces), Nuts (Roasted Nut Mix - Sea Salted), Nuts (Roasted Nut Mix - Unsalted), Nuts (Walnuts - Halves), Nuts (Walnuts - Medium Pieces), Oatmeal (Gluten Free Chai Oatmeal), Oatmeal (Orange Walnut Spice (Gluten Free)), Pecans (Maple Glazed Pecans), Seeds (Flax Seed), Seeds (Hemp Seeds), Seeds (Pumpkin Seeds), Seeds (Roasted Sunflower Seeds - Sea Salted), Seeds (Sunflower Seeds), Spices (Cardamom Powder), Spices (Cinnamon Powder), Spices (Clove Powder), Spices (Lavender - Royal Velvet), Spices (Nutmeg Powder), Spices (Nutritional Yeast Flakes), Spices (Rose Buds &amp; Petals), Spices (Rosemary), Spices (Whole Vanilla Beans), Sweetener (Honey), Sweetener (Pure Maple Syrup), Trail Mix (Big River Mix), Trail Mix (Brick Road Mix), Trail Mix (Field Mix), Trail Mix (Fox Canyon Mix), Trail Mix (Midnight Mountain Mix)</t>
  </si>
  <si>
    <t>Other: Almond Hulls, Almonds (Hull &amp; Shell), Barley (Ground), Beans (Garbanzo, Peas, Soybean, Bean Culls), Corn (Ground), Grains (Barley, Corn, Wheat, Rye, Oats, Tritacale, Flaxseed, Durum, Pelleted and Ground Screenings), Grains (Bulk Rice By-Product for Livestock Feed), Grains (Ground Grain Screenings), Meals (Flaxseed (aka Linseed ),  Canola, Soybean, Sunflower), Oils (Canola, Soy), Rice (Bulk Rice), Rice (Ground), Rice (Ground Paddy Rice), Rice (Ground Rice By-Product), Rice Bran (Bulk), Rice Flour (Brown), Rice Hulls, Rice Hulls (Ground), Rice Hulls (Heat Treated), Rice Hulls (Rice Hulls with Organic Soybean Oil), Wheat (Ground), Wheat (Midds (Millrun))</t>
  </si>
  <si>
    <t>Other Grains, Pastas and Cereals: Basmati Rice - White, Brown Rice,Idli Rice, Puffed Rice (Chivda), Red Rice, Rice - Sona Masuri, Rice Sonamasuri brown, Rice Sonamasuri Handpound, Sawan /Barnyard Millet, Wheat Porridge/ Dalia, foxtail millet, Kodo/Kodon Millet, Little Millet, Proso Millet, Ragi (Finger millet- other than seed), Ragi / Finger Millet Grain,Poha Flattened Rice, Roasted gram/Chana, Sona masuri semi polised rice, Sona masuri broken rice, Non-basmati broken rice, Non-basmati rice; Condiments and Sweeteners: Cardamom, Green Cardamom; Other: Ajwain, Bay Leaf, Bengal Gram Whole, black gram/urd (Vigna sp.), Black Pepper, Chana Dal, chickpea/kabuli chana(garbanzos), Cinnamon bark, Cloves, Coconut, Coconut Oil, Coriander Powder, Coriander Seed / Whole, Cowpea, Cumin Powder, Cumin Whole, Fennel seed, Fenugreek, Gram Flour/Besan, Green Gram Split Yellow (Moong Dal Yellow), Green gram whole (Moong sabut), Green peas, Groundnut/Peanut, Jaggery, Jaggery cube, Jaggery Powder, Kabuli Chana, Lentil, Mace, Maida, Malka whole, Masoor Dal, Mix Dal, Moong Dal, Moong Dal (Split with Shell), Moth Dal, Nutmeg (Whole), Pea-Dried, Rasam powder, Red Chilli Powder, Red Chilli Whole, red kidney beans/rajma (phaseolus vulgaris), Split Pigeon Pea/ Arhar/ Red Gram, Suji/Semolina/ Cream of Wheat, Tamarind dry (IMLI), Tur/Toor Dal, Turmeric Powder, Urad Dal / Split Black Gram, urad dal black split, Urad dal split - with shell, urad dhuli</t>
  </si>
  <si>
    <t>Processed  Items: Cereal (Galletas de quinoa, Hojuelas de quinua / Quinoa Flakes, Kiwicha en hojuelas/amaranth in flakes, Quina pop bañada en chocolate, Quinua pop / Quinoa Pop); Other Grains, Pastas and Cereals: Cereal (Cañihua, Kiwicha/Amaranth), Quinoa (Quinua blanca / White quinoa, Quinua negra / Black quinoa, Quinua roja / Red quinoa, Quinua tricolor); Fruits/Vegetables: Dehydrated Foods (Aguaymanto deshidratado / Dehydrated Golden berry), Powders (Lucuma en polvo / Lucuma powder, Maca en polvo/ Maca powder, Yacon en polvo/ Yacon powder); Dry/Baking Goods: Flours and Meals (Cañihua en polvo / Cañihua powder, Maíz morado en polvo / Purple Corn Powder, Quinua en polvo / Quinoa powder); Chocolate Goods: Cacao en polvo / Cocoa powder, Cacao nibs / Cocoa nibs; Other: Seeds (Chia)</t>
  </si>
  <si>
    <t>Processed  Items: Cashew Nuts (Cashew), Coconut chocolate latte mix-medium, Coconut Cream, Phellinus pini dried, Poria cocos dried, Rice protein powder, Tomato (Extract, Juice Powder, Fruit Powder), Mung Bean Protein, Orange juice powder, Orange Peel Powder, Orange Peel/Pericarpium Citri Reticulatae/Tangerine Peel（powder,extract）, Coconut Water Powder, Ganoderma applanatum Dried/Powder/Extract, Guava powder, Banana, Banana (Powder, Juice Powder, Extract), Coconut Slimming Latte Mix, Lemon Peel Powder, Pea Protein, Coconut Chocolate Latte Mix, Vitamin D3 Oil (VegD3® 1miu/g Oil), Vitamin D3 Powder (VegD3® 100,000iu/g Powder), Dehydrated Foods (Agarikon (Laricifomes officinalis) - dried/extract/powder, Agrocybe (Agrocybe aegerita, Agrocybe cylindracea) - dried/powder/extract, Auricularia/Black fungus (whole, sliced, granules, cubes), Boletus edulis Dried/Powder/Extract, Boletus edulis/Porcini (dried, sliced, granules), Cantharellus cibarius/Chanterelle (dried, whole, granules), Chaga (Inonotus obliquus) - dried/powder/extract, Champignons Mushrooms/Agaricus Bisporus/Portobello Mushrooms (dried, slices), Cordyceps militaris mycelium dried/Powder/Extract, Coriolus versicolor mycelium powder/extract, Ganoderma lucidum/Reishi (dried, whole, sliced, granules), Grifola Frondosa/Maitake (dried, slices), Hericium Erinaceus, Hericium erinaceus dried, Lemon/Citrus Limon (Powder, Extract, Juice Powder), Lentinus edodes/Shiitake (dried, whole, sliced, granules, stem), Lion’s Mane Organic Mushroom Complex, Lion's mane mushroom (Bearded tooth mushroom; Hericium erinaceus) - dried, Mango, Meshima（Phellinus linteus)-dried/extract/powder , Morel (Morchella conica) dried/granules, Mulberry Juice Powder, Onion powder, Pear (Extract, Juice Powder, Fruit Powder), Phellinus igniarius dried, Phellinus linteus dried, Pineapple, Piptoporus betulinus (dried, whole, granules), Piptoporus betulinus dried, Pleurotus abalonus dried, Pleurotus citrinopileatus dried, Pleurotus eryngii dried, Pleurotus Eryngii/King Oyster Mushroom (dried, slices), Pleurotus geesteranus dried, Pleurotus nebrodensis dried, Pleurotus ostreatus dried, Polyporus umbellatus dried, Porcini dried, Pyropolyporus fomentarius dried, Ramaria extractbotrytoides dried, Reishi (Ganoderma lucidum) mycelium powder, Schizophyllum commune dried, Shaggy ink cap (Lawyer's wig; Coprinus comatus) - dried/powder/extract, Strawberry (Powder juice powder extract）, Suillus granulatus/Bolete (dried, slices, granules), Termitornyces albuminosus dried, Trametes versicolor/Turkey tail Extract, Trametes versicolor/Turkey tails (dried, whole, granules), Tremella Fuciformis (snow fungus)-dried/powder/extract、Tremella Extract, Tuber indicum/BlackTruffle (dried, slices, granules), Weeping bolete (Suillus granulatus)), Powders (Haematococcus pluvialis Powder, Spirulina Blue Color (Phycocyanin), Spirulina Powder/Tablets), Powders (Bladderwrack powder); Preservatives/Extracts/Flavors: Extracts (Alfalfa Extract, Almond Extract, Apple Extract, Dandelion Extract, Maca Extract , Mulberry Fruit Extract, Pomegranate Extract, Red Ginseng extract, Rose Extract, Valerian Root Extract, Walnut Kernel Extract, White Willow Bark Extract), Extracts (Acai berry Extract, Acerola Cherry Extract, Agaricus bisporus Dried/Powder/Extract, Agaricus Bisporus Extract, Agaricus blazei murill Powder/extract/dried, Andrographis Paniculata Extract Powder, Argy Wormwood Leaf Extract, Armillaria mellea Dried/Powder/Extract, Artichoke Extract, Asparagus (Powder,Juice Powder), Asparagus Extract, Astragalus Extract, Auricularia Auricula Extract, Bamboo Extract, Barley Grass Extract, Beet Root Extract, Bitter Melon Extract, Black Cohosh Extract, Black Sesame Extract, Blueberry Extract, Broccoli Extract, Butterfly Pea Flower Extract, Carrot Extract Powder, Cassia Seed Extract, Centella Asiatica Extract, Centella extract with alcohol, Centella extract with water (Centella hydrosol), Chamomile Extract, Champignons Mushrooms/Agaricus Bisporus/Portobello Mushrooms extract, Chinese Angelica Extract, Chrysanthemum Extract, Cinnamon Extract, Citrus Aurantium/Immature Bitter Orange Extract, Coffee-spray dried instant/Instant Coffee Powder/Spray dried instant Coffeet , Cordyceps sinensis extract, Cordyceps sinensis extract, powder, Cranberry Extract, Dragon Fruit/Pitaya Extract, Echinacea Extract, Eucommia Leaves/Bark Extract, Eyebright Herb Extract, Fennel Extract, Fenugreek Extract, Gardenia Extract, Garlic Extract, Grape Seed Extract, Grifola Frondosa/Maitake extract, Hericium erinaceus extract, Honeysuckle Flower Extract, Horny Goat Weed (Epimedium) extract, Kale Extract, Konjac Extract, Licorice Extract, Lion’s mane extract, Magnolia Bark Extract, Mango Fruit Extract, Marigold Flower/Tagetes Erecta/Lutein Powder, Milk Thistle Extract, Morel extract, Mulberry Leaf Extract, Nettle extract, Notoginseng Extract, Oat Grass Extract, Organic Eight Mushroom blend extract, Organic mushroom extract mix, Papaya extract powder, Passion Flower Extract, Peppermint leaf Extract, Phellinus igniarius extract, Phellinus linteus extract, Phellinus pini extract, Pine Bark Extract, Piptoporus betulinus extract, Pleurotus abalonus extract, Pleurotus citrinopileatus extract, Pleurotus Eryngii/King Oyster Mushroom extract, Pleurotus geesteranus extract, Pleurotus nebrodensis extract, Pleurotus ostreatus extract, Polyporus umbellatus extract, Porcini extract, Poria cocos extract, Pyropolyporus fomentarius Extract, Radix maltiflower knotweed (Polygonum multiflorum) extract, Raspberry Fruit Extract, Red Clover Extract, Rehmannia Extract, Reishi extract, Rhodiola Rosea （Powder), Rhodiola rosea extract, Rhubarb Extract, Rosehip Extract, Roselle Extract, Rosemary Extract, Rosemary extract with alcohol (Carnosic acid), Rosemary extract with alcohol (Rosmarinic acid), Rosemary extract with alcohol (Ursolic acid), Rosemary extract with water (Rosemary hydrosol), Rosemary extract with water (Rosmarinic acid), Schisandra Extract, Schizophyllum commune extract, Sea Buckthorn Extract, Senna Leaf Extract, Shiitake extract, Siberian Ginseng Extract, Siberian ginseng root extract, Skullcap/Baical Skullcap Extract, Sophora Japonica Extract, Soybean Extract, Spinach Extract, Stigmata Maydis /Corn Silk Extract, Tart Cherry Extract, Termitornyces albuminosus extract, Tribulus terrestris extract, Turmeric/Curcuma Longa Extract, Waxberry/Yumberry/Bayberry Extract Powder, Wheat Grass Extract, White Ginseng extract, Wild Yam Extract, Ziziphi Seed Extract, Zucchini Powder); Other Grains, Pastas and Cereals: Oats (Oat), Rice (Red Yeast Rice (Powder, Extract)); Oils &amp; Oleoresins: Essential Oils (Reishi spore oil), Oils (Coconut oil (RBD), Coconut Oil Powder, Coconut Oil Powder （TCP）, High Oleic Sunflower Oil Powder （TCP）, MCT oil powder), Oils (Liquid coconut oil, Litsea cubeba oil, Rosemary oil); Health Products: Aloe Vera (Aloe Vera Gel Freeze Dried Powder), Herbs (Anise Seed Powder, Ginger powder , Parsley (Powder,Juice Powder,Extract)), Herbs (Astragalus root/Astragalus Membranaceus, Astragalus roots, Black cohosh cut/chopped/slice, Burdock/Arctium lappa, Centella,dried, Cinnamon, Dandelion herb/Taraxacum mongolicum, Dill Seed, Giant Knotweed cut/powder/chopped, Ginger extract, Ginkgo leaf/Ginkgo Biloba, Goji juice powder, Hibiscus Flower Powder, Holy thistle fruit/silybum marianum (Powder, Extract), Honey suckle flower Slice/Granule, Kudzu root cut/powder/chopped, Lemon Balm Extract Powder, Manyprickle acanthoroot/Acanthopanax senticosus, Marshmallow (Althaea officinalis) (Powder, Extract), Milk thistle seed powder, Moringa (powder, extract, cut, chopped), Okra, Oregano (Powder/Extract), Pepper, Pine bark (Powder, Extract), Radix maltiflower knotweed powder, Red Ginseng tails, dried, Red Ginseng, dried, Rehmannia cut, Rosehips/Rosa canina (Powder, Extract), Roselle/Hibiscus (Whole/Cut), Rosemary leaves, dried, Schisandra fruits slice/granule, Tamarind (Powder,Extract), Tangshen root/Codonopsis Pilosula, Valerian root/Valeriana Officinalis, White Ginseng Cut/Root, White Ginseng tails, dried, White Ginseng, dried); Fruits/Vegetables: Jackfruit, Powders (Alfalfa Powder, Almond Powder, Apple Juice Powder, Apple powder, Barley Grass Juice Powder, Barley Grass Powder, Cabbage Powder, Chamomile Powder, Dandelion Root Powder, Mulberry Fruit Powder, Noni Powder, Pomegranate Powder, Psyllium husk powder, Pure Black Soybean Powder (Black Soy Milk Powder, Black Bean Powder), Rose Powder, Valerian Root Powder, Walnut Kernel Powder, White Willow Bark Powder), Powders (Acai berry Powder, Acerola Cherry Powder, Agaricus Bisporus Powder, Agrocybe aegerila (Agrocybe chaxinggu) -dried/powder/extract, Angelica Root Powder, Apple Cider Vinegar Powder, Artichoke Powder, Astragalus Powder, Auricularia Auricula Powder, Auricularia polytricha powder, Auricularia/Black fungus powder, Avocado powder/juice powder/extract, Balloonflower (Powder, Extract), Bamboo Powder, Beet Root Juice Powder, Beet Root Powder, Bitter Melon Powder, Black Cohosh Powder, Black Sesame Powder, Blueberry Juice Powder, Blueberry Powder, Boletus edulis/Porcini powder, Broccoli Juice powder, Broccoli Powder, Burdock Powder, Butterfly Pea Flower Powder, Cantharellus cibarius/Chanterelle powder, Carrot Juice Powder, Carrot Powder, Cascara sagrada (Powder, Extract), Cassia Seed Powder, Catnip, Celery powder, Champignons Mushrooms/Agaricus Bisporus/Portobello Mushrooms powder, Chicory (Powder, Extract), Chilli Powder, Chinese Angelica Powder, Chrysanthemum Powder, Cinnamon Powder, Citrus Aurantium/Immature Bitter Orange Powder, Coprinus comatus (shaggy mane)-dried/powder/extract, Coriolus (Powder, Extract), Cranberry Juice Powder, Cranberry Powder, Cucumber （Powder）, Curry masala powder, Dragon Fruit/Pitaya Juice Powder, Dragon Fruit/Pitaya Powder, Echinacea Powder, Echinacea Purpurea, Eucommia Leaves/Bark Powder, Fennel Powder, Fenugreek Powder, Flammulina Velutipes (Enoki Mushroom)-dried, extract, powder, Fo Ti/Ho Shou Wu (Powder, Extract), Ganoderma lucidum/Reishi mycelium powder, Ganoderma lucidum/Reishi powder, Garlic Powder, Giant Knot weed Powder, Ginseng powder, Grape juice powder, Grape Seed Powder, Grape Skin (Extract,Powder), Grifola Frondosa/Maitake powder, Gynostemma Pentahyllum Powder, Hawthorn Powder, Honeysuckle Flower Powder, Hops Powder, Horny Goat Weed (Epimedium) powder, Horsetail Powder, Hypericum Perforatum Powder, Irish Moss (powder), Jujube/Chinese Date/Red Date (Powder,Extract,Juice Powder), Kale Juice Powder, Kale Powder, Kiwi Fruit Powder, Konjac Powder, Kudzu Root Powder, Lavender/Lavandulae Angustifolia (Powder, Extract), Lemon grass powder, Lentinus edodes/Shiitake powder, Licorice Powder, Lime Powder, Linden Flowers Powder, Lion’s mane powder, Maca powder, Mango Fruit Powder, Mango Juice Powder, Mango Powder, Marigold Flower/Tagetes Erecta/Lutein Powder, Marshmallow Powder, Milk Thistle Powder, Monk Fruit (Powder, Extract), Morel (Morchella conica) powder, Moringa Powder, Mulberry Leaf Powder, Nettle Powder, Oat Grass Juice powder, Oat Grass Powder, Orange Juice Powder, Orange powder, Organic Eight Mushroom blend powder, Organic mushroom powder mix, Papaya Fruit/Leaf (Powder, Extract), Papaya Powder, Passion Flower Powder, Passionfruit powder, Peppermint leaf Powder, Peppermint Powder, Phellinus linteus powder, Phellinus pini powder, Pine Bark Powder, Pineapple fruitpowder/juice powder/extract powder, Pineapple Juice Powder, Piptoporus betulinus powder, Plantain Herb Powder, Pleurotus citrinopileatus powder, Pleurotus eryngii powder, Pleurotus Eryngii/King Oyster Mushroom powder, Pleurotus geesteranus powder, Pleurotus nebrodensis powder, Pleurotus ostreatus powder, Plum Powder/Juice Powder/extract powder, Polyporus umbellatus powder, Pomegranate (Powder, Extract, Juice Powder), Porcini powder, Poria cocos powder, Pueraria (Kudzu) Powder, Pumpkin (Extract, Juice Powder, Fruit Powder), Pyropolyporus powder, Raspberry Fruit Juice Powder, Raspberry Fruit Powder, Red Clover Powder, Red Ginseng Powder, Rehmannia (Crude drug/Powder), Rehmannia Powder, Reishi spore powder (Ganoderma lucidum spore powder), Rhubarb Powder, Rosehip Powder, Roselle Powder, Rosemary leaf powder, Saw Palmetto Berry Powder, Schisandra chinensis Powder, Schisandra Powder, Schizandra (Powder, Extract), Schizophyllum commune powder, Sea Buckthorn Powder, Senna Leaf Powder, Siberian Ginseng Powder, Skullcap/Baical Skullcap Powder, Skullcap/Radix Scutellariae (Powder, Extract), Slippery elm powder, Sophora Japonica Powder), Vegetables (Rhubarb Root/Rheum Palmatum); Fiber Textiles: Pea fiber; Dry/Baking Goods: Flours and Meals (Pea Starch); Condiments and Sweeteners: Sugar (Sugar cane), Sweeteners (Maltodextrin, Medium Chain Triglyceride Powder, Medium Chain Triglyceride Powder (TCP), Polydextrose Powder/Syrup, Resistant dextrin Powder/Syrup), Sweeteners (Rapadure Sugar); Chocolate Goods: Cocoa powder; Beverage Related Products: Coconut Milk Powder, Coconut Water Powder, Coffee (10 in 1 Blend Mushroom Coffee (Coffee Spray Dried Instant/Instant Coffee Powder/Spray dried instant Coffee+Lion's Mane Extract+Reishi Extract+Maitake Extract+Trametes versicolor Extract/Turkey tail Extract+Shiitake Extract+Cordyceps Militaris Extract+Chaga Extract+Agaricus Blazei Extract+Oyster Extract/Oyster mushroom Extract+Tremella Fuciformis (snow fungus)extract/Tremella Extract), 10 in 1 Blend Mushroom Extract Powder(Lion's Mane Extract +Reishi Extract+Maitake Extract+Trametes versicolor Extract+Shiitake Extract+Cordyceps Militaris Extract+Chaga Extract+Agaricus Blazei Extract+Oyster Extract+Tremella Extract), 4 in 1 Blend Mushroom Extract Powder(Lion's Mane Extract +Reishi Extract+Cordyceps Militaris Extract+Chaga Extract), 7 in 1 Blend Mushroom Coffee(Spray Dried Instant Coffee+Lion's Mane Extract +Reishi Extract+Maitake Extract+Turkey Tail Extract+Shiitake Extract+Cordyceps Militaris Extract+Chaga Extract), Mushroom coffee (Lion’s mane, Cordyceps militaris, Shiitake, Maitake, Reishi, Chaga, Versicolor powder), Mushroom coffee (Reishi, Chaga, Lion’s mane, Cordyceps militaris), Mushroom Coffee Clarity/Mushroom Coffee Mix(Coffee Spray Dried Instant/Instant Coffee Powder/Spray dried instant Coffee+Lion's mane /Hericium erinaceus extract+Chaga Extract), Mushroom Coffee Energize (Coffee Spray Dried Instant+Cordyceps Militaris/ Cordyceps Militaris extract+ Chaga extract), Nine Mushrooms Blend Extract Powder(Reishi Extract+Maitake Extract+Trametes versicolor Extract+Shiitake Extract+Cordyceps Militaris Extract+Chaga Extract+Agaricus Blazei Extract+Oyster Extract+Tremella Extract), Organic Reishi black, decaf, Organic Reishi coffe latte, Premium Blend Organic Mushroom Extract Powder (Lion's Mane Extract Powder+Reishi Extract Powder+Maitake Extract Powder+Trametes versicolor Extract Powder+Shiitake Extract Powder+Cordyceps Militaris Extract Powder+Chaga Extract Powder), Yuho mushroom coffee (Reishi, Cordyceps militaris, Maitake, Shiitake, Lion’s man, Trametes versicolor, Chaga)), Golden coconut milk, Mixed Drinks (Turmeric Latte Mix), Tea (Matcha powder, Moringa tea bag cut); Other: Chlorella Powder/Tablet, Spirulina Extract, Suillus granulatus/Bolete (fresh), Trametes versicolor/Turkey tails fresh, Dulse Seaweed (Powder, Extract), Ganoderma lucidum/Reishi fresh, Grifola Frondosa/Maitake fresh, Kelp/Laminaria Japonica (Powder, Extract), Lentinus edodes/Shiitake fresh, Morel (Morchella conica) fresh, Pleurotus Eryngii/King Oyster Mushroom fresh, Black truffle (Tuber melanosporum) fresh, Boletus edulis/Porcini fresh, Cantharellus cibarius/Chanterelle fresh, Champignons Mushrooms/Agaricus Bisporus/Portobello Mushrooms fresh</t>
  </si>
  <si>
    <t>Other Grains, Pastas and Cereals: Corn, Rape seed, Rice (Paddy), Sesame, Soybean, Sunflower kernel, Sunflower seed, Wheat; Oils &amp; Oleoresins: Oils (Refined corn oil), Oils (Refined rape seed oil), Oils (Refined sesame oil), Oils (Refined soybean oil), Oils (Refined sunflower oil), Oils (Crude corn oil), Oils (Crude rape seed oil), Oils (Crude sesame oil), Oils (Crude soybean oil), Oils (Crude sunflower oil); Fruits/Vegetables: Beans (Adzuki bean), Beans (Black kidney bean (also called:black turtle bean)), Beans (Mung bean), Beans (Pinto bean (also called: light speckled kidney bean)), Beans (Red kidney bean (also called dark red kidney bean)), Beans (White kidney bean); Dry/Baking Goods: Flours and Meals (Wheat flour); Animal Feed: Livestock Feed (Corn embryo cake), Livestock Feed (Corn skin), Livestock Feed (Fatty powder), Livestock Feed (Peeled bean cake), Livestock Feed (Rape seed cake(meal)), Livestock Feed (Rumen soybean meal), Livestock Feed (Sesame cake(meal)), Livestock Feed (Soybean cake(meal)), Livestock Feed (Soybean hulls), Livestock Feed (Soybean skin), Livestock Feed (Sunflower cake(meal)), Livestock Feed (Wheat bran)</t>
  </si>
  <si>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</si>
  <si>
    <t>Health Products: Supplements (Vitamins and Supplements: Host Defense MycoShield Throat Spray - Winter Mist), Supplements (Vitamins and Supplements: Host Defense MycoShield Throat Spray - Citrus), Supplements (Vitamins and Supplements: Host Defense MycoShield Throat Spray - Cinnamon), Supplements (Vitamins and Supplements: Mycelium Extract - Enokitake (Flammulina velutipes)), Supplements (Vitamins and Supplements: Mycelium Extract - Oyster (Pleurotus ostreatus)), Supplements (Vitamins and Supplements: Mycelium Extract - Amadou (Fomes fomentarius)), Supplements (Vitamins and Supplements: Host Defense Extract - CordyChi), Supplements (Vitamins and Supplements: Host Defense MycoShield Spray - Winter Mist), Supplements (Vitamins and Supplements: Host Defense MycoShield Throat Spray - Licorice Root), Supplements (Vitamins and Supplements: Host Defense MycoShield Throat Spray - Peppermint), Supplements (Vitamins and Supplements: Host Defense - Elderberry Plus), Supplements (Vitamins and Supplements: Mycelium Extract - Lion's Mane (Hericium erinaceus)), Supplements (Vitamins and Supplements: Host Defense Extract - Stamets 7), Supplements (Vitamins and Supplements: Mycelium Extract - Mesima (Phellinus linteus)), Supplements (Vitamins and Supplements: Fruitbody Extract - Lion's Mane (Hericium erinaceus)), Supplements (Vitamins and Supplements: Mycelium Extract - Maitake (Grifola frondosa)), Supplements (Vitamins and Supplements: Host Defense Extract - Chaga), Supplements (Vitamins and Supplements: Mycelium Extract - Oregon Ganoderma (Ganoderma oregonense)), Supplements (Vitamins and Supplements: Host Defense Extract - Reishi), Supplements (Vitamins and Supplements: Host Defense MycoShield Spray - Citrus), Supplements (Vitamins and Supplements: Host Defense Extract - Maitake), Supplements (Vitamins and Supplements: Mycelium Extract - Agarikon (Fomitopsis officinalis)), Supplements (Vitamins and Supplements: Mycelium Extract - Artist's Conk (Ganoderma applanatum)), Supplements (Vitamins and Supplements: Host Defense Extract - MyCommunity), Supplements (Vitamins and Supplements: Host Defense Extract - Cordyceps), Supplements (Vitamins and Supplements: Fruitbody Extract - Reishi (Ganoderma lucidum)), Supplements (Vitamins and Supplements: Mycelium Extract - Cordyceps (Cordyceps militaris)), Supplements (Vitamins and Supplements: Host Defense MycoShield Spray - Cinnamon), Supplements (Vitamins and Supplements: Mycelium Extract - Chaga (Inonotus obliquus)), Supplements (Vitamins and Supplements: Host Defense MycoShield Spray - Peppermint), Supplements (Vitamins and Supplements: Mycelium Extract - Shiitake (Lentinula edodes)), Supplements (Vitamins and Supplements: Mycelium Extract - Birch Polypore (Piptoporus betulinus)), Supplements (Vitamins and Supplements: Fruitbody Extract - Turkey Tail (Trametes versicolor)), Supplements (Vitamins and Supplements: Host Defense MycoShield Spray - Licorice Root), Supplements (Vitamins and Supplements: Fruitbody Extract - Maitake (Grifola frondosa)), Supplements (Vitamins and Supplements: Mycelium Extract - Royal Sun Blazei (Agaricus brasiliensis)), Supplements (Vitamins and Supplements: Mycelium Extract - Split Gill Polypore (Schizophyllum commune)), Supplements (Vitamins and Supplements: Mycelium Extract - Reishi (Ganoderma lucidum)), Supplements (Vitamins and Supplements: Mycelium Extract - Turkey Tail (Trametes versicolor)), Supplements (Vitamins and Supplements: Host Defense Extract - Lion's Mane), Supplements (Vitamins and Supplements: Host Defense Extract - Breathe), Supplements (Vitamins and Supplements: Host Defense Extract - Turkey Tail), Supplements (Vitamins and Supplements: Host Defense Gummies - Stamets 7 - Strawberry Flavored), Supplements (Vitamins and Supplements: Host Defense Gummies - Agarikon Turkey Tail - Peach Flavored), Supplements (Vitamins and Supplements: Host Defense Gummies - Lion's Mane - Blueberry Flavored), Supplements (Vitamins and Supplements: Host Defense Capsules - Cordychi), Supplements (Vitamins and Supplements: Host Defense Capsules - Chaga), Supplements (Vitamins and Supplements: Host Defense Capsules - Lion's Mane), Supplements (Vitamins and Supplements: Host Defense Capsules - Agarikon), Supplements (Vitamins and Supplements: Host Defense MycoBotanicals - Brain), Supplements (Vitamins and Supplements: Host Defense Capsules - Immune Support), Supplements (Vitamins and Supplements: Host Defense Capsules - Cordyceps), Supplements (Vitamins and Supplements: Host Defense MycoBotanicals - Energy), Supplements (Vitamins and Supplements: Host Defense Capsules - Reishi), Supplements (Vitamins and Supplements: Host Defense Capsules - Maitake), Supplements (Vitamins and Supplements: Host Defense Capsules - Mesima), Supplements (Vitamins and Supplements: Host Defense Capsules - Breathe), Supplements (Vitamins and Supplements: Host Defense Capsules - Turkey Tail), Supplements (Vitamins and Supplements: Host Defense MycoBotanicals - Liver), Supplements (Vitamins and Supplements: Host Defense Capsules - Stamets 7), Supplements (Vitamins and Supplements: Host Defense MycoBotanicals - Blood Sugar), Supplements (Vitamins and Supplements: Host Defense MycoBotanicals - Stress Decompress), Supplements (Vitamins and Supplements: Host Defense Capsules - MyCommunity), Supplements (Vitamins and Supplements: Host Defense MycoBotanicals - Brain &amp; Body), Supplements (Vitamins and Supplements: Host Defense - Brain Power Stack Mushroom Mycelium Powder &amp; B Vitamins), Supplements (Vitamins and Supplements: Host Defense MycoBotanicals - Immune Powder), Supplements (Vitamins and Supplements: Host Defense MycoBotanicals - Microbiome), Supplements (Vitamins and Supplements: Host Defense MycoBotanicals - Greens), Supplements (Vitamins and Supplements: Host Defense - Turkey Tail Mushroom Mycelium Powder), Supplements (Vitamins and Supplements: Host Defense - Chaga Mushroom Mycelium Powder), Supplements (Vitamins and Supplements: Host Defense - Cordychi Mushroom Mycelium Powder), Supplements (Vitamins and Supplements: Host Defense - MyCommunity Mushroom Mycelium Powder), Supplements (Vitamins and Supplements: Host Defense - Breathe Mushroom Mycelium Powder), Supplements (Vitamins and Supplements: Host Defense - Reishi Mushroom Mycelium Powder), Supplements (Vitamins and Supplements: Host Defense MycoBotanicals - Brain Energy), Supplements (Vitamins and Supplements: Host Defense - Lion's Mane Mushroom Mycelium Powder), Supplements (Vitamins and Supplements: Host Defense - Cordyceps Mushroom Mycelium Powder), Supplements (Vitamins and Supplements: Host Defense - Stamets 7 Mushroom Mycelium Powder); Fruits/Vegetables: Dehydrated Foods (Dried: MycoMedia - Agar Media); Other: Cultures: Mushrooms, Dried: Agarikon (Fomitopsis officinalis) mycelium/ fermented brown rice biomass, Dried: Amadou (Fomes fomentarius) mycelium/ fermented brown rice biomass, Dried: Artist's Conk (Ganoderma applanatum) mycelium/ fermented brown rice biomass, Dried: Birch Polypore (Piptoporus betulinus) mycelium/ fermented brown rice biomass, Dried: Chaga (Inonotus obliquus) mycelium/ fermented brown rice biomass, Dried: Cordyceps (Cordyceps militaris) mycelium/ fermented brown rice biomass, Dried: Enokitake (Flammulina velutipes) mycelium/ fermented brown rice biomass, Dried: Freeze Dried Mycelia Powder - Agarikon (Fomitopsis officinalis ), Dried: Freeze Dried Mycelia Powder - Amadou (Fomes fomentarius), Dried: Freeze Dried Mycelia Powder - Artist Conk (Ganoderma applanatum), Dried: Freeze Dried Mycelia Powder - Birch Polypore (Piptoporus betulinus), Dried: Freeze Dried Mycelia Powder - Chaga (Inonotus obliquus), Dried: Freeze Dried Mycelia Powder - Cordyceps (Cordyceps militaris), Dried: Freeze Dried Mycelia Powder - Enokitake (Flammulina velutipes), Dried: Freeze Dried Mycelia Powder - Lion's Mane (Hericium erinaceus), Dried: Freeze Dried Mycelia Powder - Maitake (Grifola frondosa), Dried: Freeze Dried Mycelia Powder - Mesima (Phellinus linteus), Dried: Freeze Dried Mycelia Powder - Oregon Reishi (Ganoderma oregonense), Dried: Freeze Dried Mycelia Powder - Oyster (Pleurotus ostreatus), Dried: Freeze Dried Mycelia Powder - Reishi (Ganoderma lucidum), Dried: Freeze Dried Mycelia Powder - Royal Sun Blazei (Agaricus brasiliensis), Dried: Freeze Dried Mycelia Powder - Shiitake (Lentinula edodes), Dried: Freeze Dried Mycelia Powder - Split Gill Polypore (Schizophyllum commune), Dried: Freeze Dried Mycelia Powder - Turkey Tail (Trametes versicolor), Dried: Host Defense - MycoBrew Cocoa, Dried: Host Defense - MycoBrew Coffee, Dried: Host Defense - MycoBrew Matcha, Dried: Host Defense - MycoBrew Mocha, Dried: Lion's Mane, Dried: Lion's Mane (Hericium erinaceus) mycelium/ fermented brown rice biomass, Dried: Maitake, Dried: Maitake (Grifola frondosa) mycelium/ fermented brown rice biomass, Dried: Mesima (Phellinus linteus) mycelium/ fermented brown rice biomass, Dried: Oregon Ganoderma (Ganoderma oregonense) mycelium/ fermented brown rice biomass, Dried: Oyster Mushroom (Pleurotus ostreatus) mycelium/ fermented brown rice biomass, Dried: Reishi, Dried: Reishi (Ganoderma lucidum s.l.) mycelium/ fermented brown rice biomass, Dried: Royal Sun Blazei (Agaricus brasiliensis f. blazei) mycelium/ fermented brown rice biomass, Dried: Shiitake (Lentinula edodes) mycelium/ fermented brown rice biomass, Dried: Split Gill Polypore (Schizophyllum commune) mycelium/ fermented brown rice biomass, Dried: Turkey Tail, Dried: Turkey Tail (Trametes versicolor) mycelium/ fermented brown rice biomass, Mycelium: Myceliated Rice - Agarikon (Fomitopsis officinalis), Mycelium: Myceliated Rice - Amadou (Fomes fomentarius), Mycelium: Myceliated Rice - Artist's Conk (Ganoderma applanatum), Mycelium: Myceliated Rice - Birch Polypore (Piptoporus betulinus), Mycelium: Myceliated Rice - Chaga (Inonotus obliquus), Mycelium: Myceliated Rice - Cordyceps (Cordyceps militaris), Mycelium: Myceliated Rice - Enokitake (Flammulina velutipes), Mycelium: Myceliated Rice - Lion's Mane (Hericium erinaceus), Mycelium: Myceliated Rice - Maitake (Grifola frondosa), Mycelium: Myceliated Rice - Mesima (Phellinus linteus), Mycelium: Myceliated Rice - Oregon Ganoderma (Ganoderma oregonense), Mycelium: Myceliated Rice - Oyster (Pleurotus ostreatus), Mycelium: Myceliated Rice - Reishi (Ganoderma lucidum), Mycelium: Myceliated Rice - Royal Sun Blazei (Agaricus brasiliensis), Mycelium: Myceliated Rice - Shiitake (Lentinula edodes), Mycelium: Myceliated Rice - Split Gill Polypore (Schizophyllum commune), Mycelium: Myceliated Rice - Turkey Tail (Trametes versicolor), Spawn: Grain Spawn, Spawn: Millet Spawn</t>
  </si>
  <si>
    <t>Other Grains, Pastas and Cereals: Cereal (Organic Grain Corn)</t>
  </si>
  <si>
    <t>Other: Ajwain, ajwain powder, almond, amaranth seed/ram dhana, amla (powder, whole dried), Arhar Dal (Red Gram/Pigeon Pea), Ashwagandha Root, Bajra Flour/ Atta, Bajra Porridge/Dalia, Barley- Dehulled, Barley Porridge/Dalia, Barley Whole, Basmati Rice, Bay Leaves/Tejpatta, Bengal Gram Whole, Black Gram/Urd (Vigna Sp.), Black Mustard Oil, Black Mustard Seed, Black Pepper, Black Pepper Powder, Brown Gram/Gram/Chana (Cicer Arietinum), Brown Mustard, Buckwheat (Other Than Seed), Buckwheat- Dehulled, Cane Sugar Cubes, Cardamom, 
Cardamom Powder, Cashew Kernels (W240), Cashew Kernels (W320), Cashew Whole, Cashew-Split, Castor (Other Than Seed Quality), Castor Oil (Edible Grade), Chana Dal, Chia, Chickpea/Kabuli Chana (Garbanzos), Chitra Kidney Beans/Rajma (Phaseolus Vulgaris), Cinnamon, Cinnamon (Powder), Clove Powder, Cloves, Cluster Beans/ Guar, 
Coconut Oil, Coriander, Coriander Powder, Coriander Seed/Whole, Cowpea Red, Cowpea White Dal, Cowpea/Lobia Whole(V.Unguiculata/Sinensis), Cumin Powder, Cumin Whole, Dehydrated Garlic Powder, Dehydrated Ginger Powder, Dehydrated Onion Powder, Dried Cardamom, Dried Clove, Dried Curry Leaves, Extra Virgin Coconut Oil, Fennel Powder, Fennel/Saunf, Fenugreek, Fenugreek Powder (Methi Powder), Flaxseed, Garam Masala, Ginger Fresh, Ginger sliced (dried), Ginger whole (dried), Green Cardamom, Green Cardamom Powder, Green Gram Whole,  (Moong Sabut), Green Gram/Moong Dhuli, Groundnut/Peanut, Groundnut/Peanut Oil (Edible Grade), Guar Seeds, Indian Organic Basmati Rice, Indian Organic Brown Basmati Rice, Jaggery, Jaggery Powder, Kalonji/Nigella, Kalonji/nigella/Black Cumin, Kasuri Methi, Lentil, Mace, Mace Powder, Maize (Corn), Maize Grain, Maize/ Corn, Porridge (Dalia), Maize/Corn Flour, Mango Powder/ Aamchur, Masoor Dal, Matki/Moth Bean, Moong Dal, Moong Dal-Split, Moth Dhuli, Multi Grain Atta, Mustard, Mustard - Black, Mustard Oil (Aroma/E. Oil), Non-Basmati Rice, Nutmeg Powder+Whole, Oat - Dehulled, Oats (Rolled Grains), Organic Broken Rice, Paprika Powder (Capsicum Annum), Pea- Dried, Pea Pulse (Pisum Sativum), Pearl Millet/Bajra, Pigeon Pea/Arhar Whole, Poha / Chivda, Poha Flattened Rice, Psyllium husk (isobgul), Psyllium seed (isobgul), Pumpkin Seeds, Pumpkin Seeds- Dehulled, Quinoa, 
Ragi Flour, Ragi/Finger Millet Grain, Raisins/Kismis, Rapeseed Oil, Red Chilli (Whole), Red Chilli Flakes, Red Chilli Powder, Red Kidney Beans/Rajma (Phaseolus Vulgaris), Red Lentil, Red Rice, Rice Porridge/Dalia, Rice Sona Masuri, 
Shahi Jeera/Cumin, Sorghum, Sorghum Flour, Split Lentil, Sugar, Sugar (Brown/Natural), Suji/Semolina/ Cream Of Wheat, Sunflower Oil, Sunflower Seed, Sunflower Seeds- Dehulled, Tamarind Powder (Imli), Turmeric Dried, Turmeric Fresh, Turmeric Powder, Urad Dal Split, Urad Dhuli, Walnut, Watermelon Seed, Watermelon Seed Dehulled, Wheat, Wheat Maida, Wheat Porridge/Dalia, White Pepper, Yellow Mustard</t>
  </si>
  <si>
    <t>Other Grains, Pastas and Cereals: Rice (Rice basmati brown), Rice (Rice Basmati white), Rice (Rice Broken Long grain Brown), Rice (Rice Broken Long grain White), Rice (Broken Basmati Brown Rice), Rice (Broken Basmati White Rice), Rice (Long Grain Brown Rice,), Rice (Long grain parboiled brown rice), Rice (Long Grain Parboiled White Rice), Rice (Long Grain white Rice), Wheat (Wheat); Other: Paddy (basmati), Paddy (long grain)</t>
  </si>
  <si>
    <t>Other Grains, Pastas and Cereals: Barley (BARLEY), CANOLA SEED, CORN, POPCORN, SORGHUM, SUNFLOWER, Wheat (WHEAT); Fruits/Vegetables: Beans (VETCH), Beans (SOYBEAN)</t>
  </si>
  <si>
    <t>Other Grains, Pastas and Cereals: Barley (BARLEY), CANOLA SEED, CORN, POPCORN, Sorghum (SORGHUM), SUNFLOWER, Wheat (WHEAT); Fruits/Vegetables: Beans (VETCH), Beans</t>
  </si>
  <si>
    <t>Processed  Items: CANOLA EXPELLER, SOYBEAN EXPELLER, SUNFLOWER EXPELLER; Other Grains, Pastas and Cereals: CANOLA SEED, CORN, POPCORN, Sorghum, SUNFLOWER, Wheat; Oils &amp; Oleoresins: Essential Oils (CANOLA OIL), Essential Oils (SUNFLOWER OIL), Essential Oils (SOYBEAN OIL); Nuts/Seeds: FLAX; Fruits/Vegetables: Beans (PEA), Beans (SOYBEAN)</t>
  </si>
  <si>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</si>
  <si>
    <t>Other: Ajwain, Almond, Amaranth, Amaranth Flour, Amchur/Mango Powder, Amla Dry, Amla Powder, Arhar Dal/Toor Dal, Ashwagandha Root, Ashwagandha Root Powder, Ashwagandha TBC, Asparagus Racemosus-Root-Powder, Baheda, Bajra Flour/Atta, Bajra/Pearl Millet, Barley, Barley Flour, Barley Porridge/Dalia, Basil Seeds, Basmati Rice White, Bay Leaf, Bay Leaf Powder, Beet Root Powder, Bengal Gram Split/Chana Dal, Besan/Bengal Gram Flour, Biryani Masala, Black Eye Bean/Cowpea, Black Gram/Urd (Vigna sp.), Black Pepper, Black Pepper Powder, Black Pepper TBC, Brahmi, Broken Rice, Brown Basmati Rice, Brown Gram/Gram/Chana (Cicer Arietinum), Brown Rice Flour, Buckwheat Flour/Kuttu Atta, Cane sugar, Cardamom, Cardamom Green/Elaichi Powder, Cashew Whole, Castor Oil, Castor Seed, Chana Masala, Chat Masala, Chia Seeds, Chick Pea/Kabuli Chana, Cinnamon, Cinnamon Powder/Dalchini Powder, Cinnamon TBC, Clove, Clove TBC, Coconut Oil, Coriander Powder/Dhaniya Powder, Coriander Seed/Coriander Whole/Dhaniya Sabut, CTC Tea, Cumin Powder/Jeera Powder, Cumin Seed/Jeera, Dried Clove Powder, Dried Mango, Fennel Powder, Fennel/Saunf, Flax Seed, Foxtail Millet, Garam Masala, Garcinia/Kokum, Garlic Dried, Garlic Flakes, Garlic Powder, Giloy/Guduchi/Tinospora, Ginger Dried/Saunth, Ginger Flakes, Ginger Powder/Saunth Powder, Ginger TBC, Green Gram/Moong Dhuli, Green Tea, Groundnut Oil, Haritaki, Herbal Tea, Hibiscus Powder, Jaggery, Jaggery Powder, Jawar Flour/Atta, Jawar/Sorghum, Jawar/Sorghum Daliya, Jowar Flour/Atta, Kalonji/Nigella Seed, Kasoori Methi, Khandsari Sugar/Desi Khand, Kodo Millet, Kuttu/Buckwheat, Lemongrass, Liquorice TBC, Little Millet, Mace Powder/Javitri Powder, Mace/Javitri, Maida/Wheat Maida, Maize Dalia/Corn Dalia, Maize/Corn, Maize/Corn Flour, Masoor Whole, Methi Powder/Fenugreek Powder, Methi/Fenugreek, Mix Millet Flour, Moong Dal-Split, Moong Whole/Green Gram Whole/Moong Sabut, Moringa Leaf, Moringa Powder, Moringa seed, Moth/Haricot Bean, Mulethi, Mulethi Powder, Multi Grain Flour, Multigrain Daliya, Mustard Oil/Sarso Tail, Mustard Seed, Neem Leaves Powder, Non Basmati Rice, Noni Fruit, Nutmeg, Nutmeg Powder/Jaiphal Powder, Oats, Oregano, Panchratan Dal/Panchmel Dal/Mix Dal, Pav Bhaji Masala, Peanut/Groundnut, Pearl Millet Porridge/Bajra Daliya, Poha, Proso Millet, Psyllium Husk, Pumpkin Seed, Quinoa, Ragi Atta/Finger Millet Flour, Ragi/Finger Millet, Raisin, Rajma Chitra, Rasam Powder, Red Chilli Flakes, Red Chilli Powder/Lal Mirch Powder, Red Chilli Whole/Lal Mirch Sabut, Red Flattened Rice, Red Kidney Bean, Red Lentil, Red Lentil Split/Masoor Dal, Red Rice, Rice Flour, Rice Sonamasuri Brown, Rice-Sona Masuri, Safed Musli, Sambhar Masala/Sambhar Powder, Sattu, Shatavari, Soybean, Star Anise, Stevia, Sugar Brown, Sugar White, Suji/Semolina, Sunflower Oil, Sunflower Seed, Tandoori Masala, Thyme, Tikka Masala, Triphala Powder, Tulsi Leaf, Tulsi Powder/Basil Leaf Powder, Turmeric Dried, Turmeric Powder/Haldi Powder, Turmeric TBC, Urad Dal Split, Urad Dhuli, Urad Gota, Virgin Coconut Oil, Walnut(Akhrot), Water Melon Seed, Wheat, Wheat Daliya/Wheat Porridge/Broken Wheat, Wheat Flour/Wheat Chakki Atta, Wheatgrass Powder, Wheatgrass Powder, White Pepper/Pepper, White Pepper/Pepper Powder, Yellow Mustard, Yellow Mustard Powder</t>
  </si>
  <si>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</si>
  <si>
    <t>Processed  Items: Cereal (Hulled Buckwheat), Dehydrated Foods (Goji Berry (powder), Goji berry - dried, Goji berry powder (FD)); Other Grains, Pastas and Cereals: Barley (Barley), Cereal (Hulled millet, Millet), Wheat (Buckwheat); Nuts/Seeds: Seeds (Flax seed, Hemp seed, Hemp Seed Kernels, Pumpkin Seed Kernels (GWS and Shine Skin), Pumpkin seeds grown without shell, Snow white pumpkin seed kernels, Sunflower Seed Kernels); Fruits/Vegetables: Dehydrated Foods (Jujube, dried); Other: Beans (Adzuki beans, Black Soybean, Green soybean, Hulled mung bean, Kidney Beans (light speckled), Kidney Beans (red), Kidney Beans (white), Mungbeans, Soybean), Lentils</t>
  </si>
  <si>
    <t>Processed  Items: Dehydrated Foods (Apple Rings), Dehydrated Foods (Apricots, California), Dehydrated Foods (Apricots, Turkish), Dehydrated Foods (Blueberries, Wild), Dehydrated Foods (Cherries, Red Sour), Dehydrated Foods (Cranberries), Dehydrated Foods (Currants, Zante), Dehydrated Foods (Date Pieces in Oat Flour), Dehydrated Foods (Dates, Deglet Noor), Dehydrated Foods (Figs, Black Mission), Dehydrated Foods (Figs, Turkish), Dehydrated Foods (Goji Berries), Dehydrated Foods (Nutritional Yeast Flakes), Dehydrated Foods (Prunes), Dehydrated Foods (Raisins, Golden Sultana), Dehydrated Foods (Raisins, Sun Muscat Golden), Dehydrated Foods (Raisins, Thompson Seedless); Other Grains, Pastas and Cereals: Amaranth Grain, Barley (Barley Flakes), Barley (Barley Flakes, Hulless), Barley (Barley Grits), Barley (Barley, Hulled), Barley (Barley, Hulless), Barley (Barley, Purple), Barley (Barley, Sprouted), Barley (Barley, Tibetan Black), Buckwheat Groats, Buckwheat, Sprouted, Cereal (Rye Flakes), Cereal (Millet Grain), Cereal (Millet Grain, Hulled), Cereal (Millet, Sprouted), Cereal (Rye Berries), Couscous, Couscous, Whole Wheat, Kasha, Oats (Oat Bran), Oats (Oat Groats), Oats (Oats, Old Fashioned Rolled), Oats (Oats, Quick), Oats (Oats, Rolled), Oats (Oats, Sprouted Rolled), Oats (Oats, Steel Cut), Oats (Hulless Oats, Sprouted), Orzo, Pearl Couscous, Quinoa (Canahua (Quinoa), Heirloom), Quinoa (Quinoa Flakes), Quinoa (Quinoa Grain), Quinoa (Quinoa, Red), Quinoa (Quinoa, Tri-Color), Quinoa (Triticale Flakes), Rice (Rice Flakes), Rice (Rice, Brown Basmati), Rice (Rice, Brown Sprouted), Rice (Rice, Long Grain Brown), Rice (Rice, Short Grain Brown), Rice (Rice, White Basmati), Rice (Rice, Wild), Rice (Rice, Wild California), Rice (Rice, Black), Sorghum (Sorghum, Sprouted), Sorghum (Sorghum Grain), Sprouted Yellow Corn Grits, Wheat (Bulgur Wheat), Wheat (Einkorn, Heirloom), Wheat (Emmer Farro), Wheat (Greenwheat Freekeh, Heirloom), Wheat (Kamut Flakes), Wheat (Kamut Grain), Wheat (Spelt Berries), Wheat (Spelt Flakes), Wheat (Wheat Bran, Coarse), Wheat (Wheat Bran, Fine), Wheat (Wheat Flakes), Wheat (Wheat, Hard Red Winter), Wheat (Wheat, Soft White); Nuts/Seeds: Almonds (Almonds, Sprouted with Salt), Almonds (Almonds, Whole), Apricot Kernels, Brazil Nut (Brazil Nuts), Brown Flax Powder, Sprouted, Cashew Nuts (Cashews, Whole), Cashew Nuts (Sprouted Cashew), Chia Seed Powder, Sprouted, Chia Seeds, Black, Chia Seeds, Sprouted, Chia Seeds, White, Filberts (Hazelnuts), Flaxseeds, Brown, Flaxseeds, Golden, Flaxseeds, Sprouted Brown, Macadamia Nuts, Pecans (Pecans, Sprouted with Salt), Pecans (Pecans), Pecans (Pecans, Pieces), Pine Nuts (Pine Nuts), Pistachios (Pistachios, Roasted), Pistachios (Pistachios, Shelled), Poppy Seeds, Pumpkin Seeds, Domestic, Pumpkin Seeds, Domestic Sprouted with Salt, Pumpkin Seeds, Shelled, Pumpkin Seeds, Sprouted, Sesame Seeds, Black, Sesame Seeds, Hulled, Sesame Seeds, Unhulled, Sunflower Seeds Raw-In-Shell, Sunflower Seeds, Shelled, Sunflower Seeds, Sprouted, Walnuts (Walnuts), Walnuts (Walnuts, Sprouted with Salt); Fruits/Vegetables: Beans (Adzuki Beans), Beans (Baby Fava Beans), Beans (Black Beans, Sprouted), Beans (Black Eyed Peas), Beans (European Soldier Beans, Heirloom), Beans (Fava Beans), Beans (Garbanzo Beans), Beans (Garbanzo Beans, Sprouted), Beans (Great Northern Beans), Beans (Jacob's Cattle Beans), Beans (Kidney Beans, Dark Red), Beans (Kidney Beans, Light Red), Beans (Lentils, Brown), Beans (Lentils, French), Beans (Lentils, Green), Beans (Lentils, Petite Black), Beans (Lentils, Split Red), Beans (Lentils, Sprouted), Beans (Lima Beans, Baby), Beans (Lima Beans, Heirloom Christmas), Beans (Mung Beans), Beans (Navy Beans), Beans (Orca Beans), Beans (Pinto Beans), Beans (Soybeans, Black), Beans (Soybeans, Yellow), Beans (Turtle Beans, Black), Beans (Yellow Eye Beans), Beans (Cannellini Beans), Beans (Garbanzo Beans, Black), Beans (Lentil Trio, Sprouted), Beans (Lima Beans), Beans (Pinto Beans, Sprouted), Beans (Red Bean), Bing Cherries, Cauliflower Flour, Diced Bananas, Fermented &amp; Probiotic Saurkraut, Medjool Dates, Potato Flakes, Shiitake Mushrooms, Unsweetened Blueberries; Dry/Baking Goods: Coconut Milk Powder, Corn Starch, Flours and Meals (Garbanzo Flour (Pre-Cooked)), Flours and Meals (Graham Flour), Flours and Meals (Polenta (Corn Meal), Fine Grind), Flours and Meals (Amaranth Flour, Sprouted), Flours and Meals (Barley Flour), Flours and Meals (Brown Rice Flour), Flours and Meals (Buckwheat Flour, Sprouted), Flours and Meals (Cassava Flour), Flours and Meals (Coconut Flour), Flours and Meals (Coconut, Medium), Flours and Meals (Garbanzo Flour, Sprouted), Flours and Meals (Hard Spring Wheat Flour, Sprouted), Flours and Meals (Hard Wheat Flour, Sprouted), Flours and Meals (Heirloom Blend Flour, Sprouted), Flours and Meals (Lentil Flour, Sprouted), Flours and Meals (Millet Flour, Sprouted), Flours and Meals (Polenta (Corn Meal)), Flours and Meals (Quinoa Flour), Flours and Meals (Quinoa Flour, Sprouted), Flours and Meals (Soft Wheat Flour, Sprouted), Flours and Meals (Sorghum Flour, Sprouted), Flours and Meals (Spelt Flour, Sprouted), Potato Starch, Sugar (Coconut Sugar), Sugar (Date Sugar), Sugar (Maple Sugar); Condiments and Sweeteners: Apple Butter; Chocolate Goods: Almonds, Dark Chocolate Covered, Chia Seeds, Dark Chocolate Covered, Chocolate (Chocolate Chips, Dark), Chocolate (Chocolate Chips, Dark Mini), Chocolate (Chocolate Chips, White Mini), Chocolate Nibs (Cacao Nibs, Dark Chocolate Covered), Cocoa Powder, Dark Chocolate (Dark Chocolate Wafers), Ginger, Dark Chocolate Covered, Hazelnuts, Dark Chocolate Covered; Bread/Bakery/Snacks: Bread (Bread for Life Seven Grain, Sprouted), Bread (Seven Grain Bread No Salt, Sprouted), Bread (Seven Grain Bread, Sprouted), Mini Spelt Pretzels, Mini Spelt Pretzels, Salt Free, Popcorn (Popcorn, Heirloom Multicolor), Popcorn (Popcorn, Sprouted), Popcorn (Popcorn, Sprouted Yellow), Popcorn (Popcorn, Yellow); Other: Mung Dal, Peas, Green Split, Peas, Yellow Split</t>
  </si>
  <si>
    <t>Other: Food Bar (Almond Blueberry), Food Bar (Almond Cacao), Food Bar (Awesome Almond), Food Bar (Cashew Matcha &amp; Moringa), Food Bar (Cashew Turmeric &amp; Ginger), Food Bar (Chocolate Chip Cookie Bar), Food Bar (Cranberry Crunch / Peanut Cranberry), Food Bar (Golden Churro), Food Bar (Honey Matcha), Food Bar (Mixed Berry Cookie Bar), Food Bar (Peanut Cacao ), Food Bar (Powerful Peanut), Food Bar (Protein Bar Variety Pack (Client Profile Products Only) ), Food Bar (Super Omega Squares Chocolate Chips), Food Bar (Super Omega Squares Dried Fruit), Food Bar (Ube Crisp), Granola (Chocolate Peanut Butter), Granola (Honey Berry), Granola (Maple Pecan), Granola (Original), Oats (Grain-Free Cereal - Dry Mix - Apple Cinnamon), Oats (Grain-Free Cereal - Dry Mix - Cranberry Pecan), Oats (Grain-Free Cereal - Dry Mix - Original), Oats (Grain-Free Cereal - Dry Mix - Pumpkin Spice), Oats (Grain-Free Cereal - Dry Mix - Snickerdoodle), Oats (Grain-Free Cereal - Wet Mix - Apple Pie), Oats (Grain-Free Cereal - Wet Mix - Blueberry Banana), Oats (Grain-Free Cereal - Wet Mix - Mixed Berry)</t>
  </si>
  <si>
    <t>Other: Black chia grain*, Black chia seed*, Black sesame grain*, Black Sesame Seeds*, White sesame grain*, White Sesame Seeds*</t>
  </si>
  <si>
    <t>Other Grains, Pastas and Cereals: Barley Whole,Barley-Dehulled,Basmati Rice,Basmati Rice - Brown,Brown Rice,foxtail millet,Kodo/Kodon Millet,Little Millet,Maize (Corn), Non Basmati Rice,Pearl millet / Bajra,Proso Millet,Ragi / Finger Millet Grain,Red Rice,Rice - Sona Masuri,Rice Puffed,Sorghum,Wheat, Quinoa, Soyabean (Soyabean white); Oils &amp; Oleoresins: Coconut Oil,Extra Virgin Coconut Oil,Groundnut/ Peanut Oil (Edible Grade),Mustard oil (crude),Sesame Oil / Gingelly Oil,sunflower oil: edible grade,Virgin coconut oil; Nuts/Seeds: Black Mustard Seed ,Cashew Whole, Coriander Seed / Whole, Fennel seed, fenugreek seed (methi seed), Mustard seeds, Pumpkin seed, Sabja Seed, Sunflower Seed: Of seed quality; Fruits/Vegetables: Chilli Whole,Green peas,Moringa Leaves,Red Chilli Whole,Tamarind dry (IMLI); Beverage Related Products: Black Tea,CTC Tea ,Green Tea; Other: Ajwain,Aloe vera gel,Aloe vera Juice,Amla Candy,Amla Dried,Amla Powder, Amaranth Seed/ Ram Dhana, Amranth Flour, Arhar,Arhar dal (red gram/pigeon pea,Ashwagandha powder,Ashwagandha Root,Bajra flour/atta,Barley flour,Barley Porridge/ Dalia,Basil/Tulsi,Bay leaves/Tejpatta,Bengal gram (Chana) Flour,Bengal Gram Whole,Black cumin,Black Cumin Powder,Black Gram Spilt White,Black Gram White whole,black gram/urd (Vigna sp.),Black Pepper,Black Pepper Powder,Buckwheat (other than seed),Buckwheat flour,cardamom large (black),Chana Dal,Chana Masala,Chia,chickpea/kabuli chana(garbanzos),Cinnamon,Cinnamon bark,Cinnamon powder,Cloves,Coriander Powder,Cowpea,Cowpea split,Cumin Powder,Cumin Whole,Curry leaves dried,Fenugreek powder (Methi powder),Finger Millet flour,Garam Masala,Garlic Flakes,Garlic Powder,Gram Flour/Besan,Green Cardamom,Green Gram Split Yellow (Moong Dal Yellow),Green gram whole (Moong sabut),Groundnut/Peanut, Jaggery, Jaggery Powder, kalonji/nigella, Kasuri Methi, Khakra, Mace, Maize (Corn) Flake, Maize/Corn Flour, Malka whole,mango powder/ aamchur,Masoor (Lens culinaris),Masoor Dal,Masoor Dhuli,Matki / moth bean,Mix Dal,Moong Chawal Ki Khichdi,Moong Dal,Moth Dal, Moringa powder, Multi Grain Atta,Mumbai Pau Bhaji Masala,Neem Leaves, Neem powder, Nutmeg (Whole),Oat Flour,Oats ( Flakes),Onion granules,Organic Khichri,Peppermint Powder,Poha Flattened Rice, Psyllium husk (isobgul, Raisins/kismis, Red Chilli Flakes,Red Chilli Powder,red kidney beans/rajma (phaseolus vulgaris), Rice flour, Sabji Masala, Safed Musli Powder,Saffron,Sambhar powder, Sawan/Barnyard millet, Shatavari Powder ,Sorghum Flour,Spice mix (tea Masala),Split Green Gram (Vigna spp.),Split lentils,Suji-Semolina-Cream of Wheat ,Triphala Powder,Turmeric dried ,Turmeric Fresh,Turmeric Powder,Urad Dal / Split Black Gram,urad dhuli,Urad Whole(black),Walnut Kernels,Wheat Flour,Wheat Maida,Wheat Porridge/ Dalia,Wheatgrass powder,White Pepper, Bacopa Monneri, Almonds</t>
  </si>
  <si>
    <t>Other Grains, Pastas and Cereals: Oats; Nuts/Seeds: Almonds, Cashew Nuts, Organic Pumpkin Seeds, Organic Sunflower Seeds, Walnuts; Condiments and Sweeteners: Sweeteners; Beverage Related Products: Coffee</t>
  </si>
  <si>
    <t>Other Grains, Pastas and Cereals: Quinoa (Quinua en grano procesado =  150.000,00); Nuts/Seeds: Grano de Chía Orgánico = 200.000,00 Kg, Grano de Sesamo orgánico =  175.000,00 kg; Fruits/Vegetables: Asaí Liofilizado en Polvo = 3.440,00 Kg</t>
  </si>
  <si>
    <t>Other: Blue Tortilla Strips 43441, Red Tortilla Strips, Spinach &amp; Kale Whole Grain Tortilla Chips, Tri-Color Tortilla Strips 43490, Tri-Color Tortilla Strips 43584, Tri-Color Tortilla Strips 56274, White Tortilla Chips, White Tortilla Chips, Yellow and Blue Tortilla Strips 43422, 43485, 56604, 56607</t>
  </si>
  <si>
    <t>Other Grains, Pastas and Cereals: Rice (Black Berry Broken Rice, Black Berry Rice, Black Glutinous Broken Rice, Black Glutinous Rice, Brown Broken Rice, Brown Glutinous Broken Rice, Brown Glutinous Rice , Brown Hommali / Jasmine Rice, Brown Hommali /Jasmine Broken Rice, Brown Rice, Glutinous Broken Rice, Glutinous Rice, Hommali / Jasmine Broken Rice, Hommali / Jasmine Rice, Purple Berry Broken Rice, Purple Berry Rice, Purple Berry Rice Flour, Red Broken Rice, Red Rice , White Broken Rice, White Rice); Dry/Baking Goods: Flours and Meals (Glutinous Rice Starch, Hommali/Jasmine Rice Starch, Rice Starch, Tapioca Starch), Flours and Meals (Black Berry Rice Flour, Black Glutinous Rice Flour, Brown Glutinous Rice Flour, Brown Hommali / Jasmine Rice Flour, Brown Rice Flour, Glutinous Rice Flour, Hommali / Jasmine Rice Flour, Red Rice Flour, Rice Flour)</t>
  </si>
  <si>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</si>
  <si>
    <t>Other: All Stars Pasta in Tomato Sauce, Asian Sesame Dressing, Balsamic Dressing, Bernie O's Pasta in Tomato &amp; Cheese Sauce, Birthday Confetti Pancake &amp; Waffle Mix, Black Bean &amp; Corn Salsa, Building Blocks Fruit Flavored Snacks 10ct, Building Blocks Fruit Flavored Snacks 12ct, Building Blocks Fruit Flavored Snacks 22ct, Bunnies &amp; Bats Fruit Flavored Snacks - Berry Patch/Sour Cherry, Lemon, Orange 22ct Variety Pack, Bunny Fruit Flavored Snacks - Bees, Bugs &amp; Butterflies 10ct carton, Bunny Fruit Flavored Snacks - Bees, Bugs &amp; Butterflies 50ct carton, Bunny Fruit Flavored Snacks - Bernie's Farm 10ct carton, Bunny Fruit Flavored Snacks - Berry Patch 10ct carton, Bunny Fruit Flavored Snacks - Berry Patch 2.75oz retail pouch, Bunny Fruit Flavored Snacks - Berry Patch 22ct carton, Bunny Fruit Flavored Snacks - Berry Patch 4.5oz retail pouch, Bunny Fruit Flavored Snacks - Berry Patch 9ct caddy, Bunny Fruit Flavored Snacks - Berry Patch/Summer Strawberry 22ct Variety Pack, Bunny Fruit Flavored Snacks - Berry Patch/Summer Strawberry 50ct Variety Pack, Bunny Fruit Flavored Snacks - Berry Patch/Summer Strawberry/Bees, Bugs &amp; Butterflies 24ct Variety Pack, Bunny Fruit Flavored Snacks - Bunnies &amp; Bats 22ct, Bunny Fruit Flavored Snacks - Bunnies &amp; Hearts 22ct carton, Bunny Fruit Flavored Snacks - Sour Bunnies 10ct, Bunny Fruit Flavored Snacks - Sour Bunnies 22ct, Bunny Fruit Flavored Snacks - Summer Strawberry 10ct carton, Bunny Fruit Flavored Snacks - Summer Strawberry 22ct carton, Bunny Fruit Flavored Snacks - Tropical Treat 10ct carton, Bunny Pasta &amp; Chicken Soup, Caesar Dressing, Cheddary Cheesy Smiles, Cheesy Ravioli, Chicken &amp; Wild Rice Soup, Chicken Noodle Soup, Chicken Noodle Soup, Chocolate Chip Cookie Dough, Chocolate Chip Cookie Dough - 3 Pack, Chocolate Chip Cookie Mix, Cinnamon Crunch Cereal, Cinnamon Crunch Cereal, Cinnamon Crunch Cereal 9.2 oz size, Cinnamon Crunch Cereal, 29 oz size, Cinnamon Rolls, Cinnamon Rolls, Cinnamon Rolls 3 pack, Cinnamon Rolls with Icing, Classic Yellow Cake, Creamy Tomato &amp; Bunny Pasta Soup, Crescent Rolls, Crescent Rolls, Crescent Rolls, Crispy Snack Bars - Birthday Cake 5ct, Crispy Snack Bars - Cocoa - 5 count, Crispy Snack Bars - Original - 12 count, Crispy Snack Bars - Original - 5 count, Crispy Snack Bars - Peanut Butter, Deluxe - Shells &amp; Vegan Cheddar Style, Deluxe Rich &amp; Creamy - Classic Cheddar microcup - 4pk, Deluxe Rich &amp; Creamy - Classic Cheddar microcup - single serve, Disney Pasta &amp; Cheddar microcup, Disney Pasta &amp; Cheddar microcup 4pk, Disney Pasta &amp; Cheddar microcups 4ct, Double Chocolate Brownie Mix, Extra Cheddary Cheesy Smiles, Fig Balsamic Vinaigrette, Flaky Biscuits, Flaky Biscuits, Flaky Biscuits, Flaky Biscuits - 3pk, French Dressing, Fruit Snacks Variety Pack 42ct - Berry Patch, Summer Strawberry, Bernie's Farm, Garlic Cilantro Salsa, Gluten Free Chicken &amp; Pasta Soup, Gluten Free Vegetable Soup with Pasta, Goddess Dressing, Graham Crunch Cereal, Graham Sandwiches - Birthday Cake, Graham Sandwiches - Cinnamon Roll, Graham Sandwiches - S'mores, Grass Fed Real Aged Cheddar Macaroni &amp; Cheese microcup - 12pk, Grass Fed Real Aged Cheddar Macaroni &amp; Cheese microcup - 2pk, Grass Fed Real Aged Cheddar Macaroni &amp; Cheese microcup - single serve, Green Goddess Dressing, Ice Cream Shop - Ice Cream Themed Fruit Snacks, Ice Cream Shop - Ice Cream Themed Fruit Snacks 12ct, Lite Raspberry Vinaigrette, Marvel Spidey Pasta &amp; Cheddar microcups 4ct, Medium Salsa, Mickey and Friends Pasta &amp; Cheddar microcups 12pk, Mickey and Friends Pasta &amp; Cheddar microcups 4pk, Mild Salsa, Multi Grain Squares Cereal, Pancake and Waffle Mix, Real Aged Cheddar Macaroni &amp; Cheese microcup - 12ct, Real Aged Cheddar Macaroni &amp; Cheese Microcup - single serve, Red Lentil Spirals White Cheddar, Red Wine and Olive Oil Vinaigrette, Sesame Ginger Vinaigrette, Shiitake Sesame Vinaigrette, Springtime Fruit Flavored Snacks - Strawberry, Mango &amp; Watermelon 22ct, Star Pasta &amp; Chicken Soup, Super! Mac Pasta &amp; Classic Cheddar - single serve, Super! Mac Pasta &amp; Classic Cheddar 4pk, Super! Mac Pasta &amp; Real Aged Cheddar - 12 pk, Super! Mac Pasta &amp; Real Aged Cheddar - single serve, Super! Mac Pasta &amp; Real Aged Cheddar 4pk, Thousand Island Dressing, Tomato Soup, Vegan Mac - Cheddar Flavor, Vegan Mac - Macaroni &amp; Cheddar Flavor, Vegan Mac - Rice Pasta &amp; Cheddar Flavor, Vegan Mac - Shell Pasta &amp; Creamy Sauce, Vegan Mac - Shells &amp; Sweet Potato Pumpkin, Vegan Mac - Shells &amp; Sweet Potato Pumpkin, Vegan Red Lentil Spirals with Sweet Potato &amp; Pumpkin Sauce, Vegetable Soup with Farm Shaped Pasta, White Cheddar Pasta &amp; Cheese microcup - 12ct, Yummy Bunnies &amp; Cheddar - microcup 2pk, Yummy Bunnies &amp; Cheddar - microcup 4pk, Yummy Bunnies &amp; Cheddar - microcup single serve</t>
  </si>
  <si>
    <t>Other Grains, Pastas and Cereals: Rice (Black Berry Broken Rice, Black Berry Rice, Black Glutinous Broken Rice, Black Glutinous Rice, Brown Broken Rice, Brown Glutinous Broken Rice, Brown Glutinous Rice, Brown Hommali Broken Rice, Brown Hommali Rice, Brown Jasmine Broken Rice, Brown Jasmine Rice, Brown Rice, Glutinous Broken Rice, Glutinous Rice, Hommali Broken Rice, Hommali Rice, Jasmine Broken Rice, Jasmine Rice, Purple Berry Broken Rice, Purple Berry Rice, Red rice, White Broken Rice, White Rice)</t>
  </si>
  <si>
    <t>Other Grains, Pastas and Cereals: Barley, Oats; Oils &amp; Oleoresins: Oils (Crude Rapeseed Oil), Oils (Crude Sunflower Oil), Oils (Crude Flaxseed Oil), Oils (Crude Soybean Oil); Nuts/Seeds: Seeds (Rapeseed), Seeds (Sunflower Seed), Seeds (Flaxseed); Fruits/Vegetables: Beans (Soybean); Animal Feed: Livestock Feed (Rapeseed Cake/Meal), Livestock Feed (Sunflower Cake/Meal), Livestock Feed (Flaxseed Cake/Meal), Livestock Feed (Soybean Cake/Meal)</t>
  </si>
  <si>
    <t>Other: Honey (Forest Honey, Wild Flower Honey, Hot Acacia Honey, Hot Honey), Olive Oil (Extra virgin Olive Oil), Olives (Almond Stuffed Pitted Olives in Brine), Olives (Calamata Pitted Olives in Brine), Olives (Garlic Stuffed Pitted Olives in Brine), Olives (Greek Green Pitted Olives in Brine), Olives (Greek Medley Pitted Olives in Brine), Olives (Jumbo Calamata (#8100 oil) (#8169 brine, cup)), Olives (Pitted Castelvetrano Olives), Pasta (Capellini, Cavatappi, Farfalle, Gemelli, Orzo, Penne Rigate, Rigatoni, Shellbow, Spaghetti), Pasta (Whole Wheat Capellini, Whole Wheat Elbows, Whole Wheat Farfalle, Whole Wheat Fusilli, Whole Wheat Lasagne - No Boil, Whole Wheat Linguine, Whole Wheat Orzo, Whole Wheat Penne Rigate, Whole Wheat Shells, Whole Wheat Spaghetti), Tomato Paste, Tomatoes (Crushed) (San Marzano Style Crushed Tomatoes), Tomatoes (Whole Peeled) (San Marzano Style Whole Peeled Tomatoes), Whole Grain (Itailian Farro)</t>
  </si>
  <si>
    <t>Other: Apple Juice (Apple Juice), Apples, Baby Cereal - Oatmeal, Baby Cereal - Oatmeal (Oatmeal Banana), Baby Cereal - Oatmeal (Oatmeal Millet Quinoa), Baby Cereal - Rice, Baby Cereal - Rice (DHA &amp; Probiotic ), Baby Cereal - Rice (DHA &amp; Probiotic - Rice Carrot), Baby Food - Fruit &amp; Grain Blends (Baby Food Pouches: Banana Acai Granola), Baby Food - Fruit &amp; Grain Blends (Baby Food Pouches: Banana Blueberry Blackberry Oat (w/DHA &amp; Choline)), Baby Food - Fruit &amp; Grain Blends (Baby Food Pouches: Banana Blueberry Blackberry Oatmeal), Baby Food - Fruit &amp; Grain Blends (Baby Food Pouches: Banana Strawberry Beet (w/DHA &amp; Choline)), Baby Food - Fruit &amp; Grain Blends (Baby Food Pouches: Banana Strawberry Raspberry Mixed Grain), Baby Food - Fruit &amp; Grain Blends (Baby Food Pouches: Banana Strawberry Raspberry Mixed Grain (w/DHA &amp; Choline)), Baby Food - Fruit &amp; Grain Blends (Banana Strawberry Raspberry Oatmeal (w/ DHA and Choline)), Baby Food - Fruit &amp; Grain Blends (Green 2.0: 2F Jar Banana Apple Strawberry with Millet &amp; Quinoa), Baby Food - Fruit &amp; Veg Blends (2nd Food Apple Strawberry Beet), Baby Food - Fruit &amp; Veg Blends (2nd Foods Apple Spinach with Kale), Baby Food - Fruit &amp; Veg Blends (2nd Foods Pear Purple Carrot Raspberry), Baby Food - Fruit &amp; Veg Blends (2nd Foods Sweet Potato Apple Carrot &amp; Cinnamon), Baby Food - Fruit &amp; Veg Blends (Apple Sweet Potato), Baby Food - Fruit &amp; Veg Blends (Baby Food Pouches: Apple Blackberry - Canada), Baby Food - Fruit &amp; Veg Blends (Baby Food Pouches: Apple Blueberry Spinach - Canada), Baby Food - Fruit &amp; Veg Blends (Baby Food Pouches: Apple Blueberry Spinach - US), Baby Food - Fruit &amp; Veg Blends (Baby Food Pouches: Apple Carrot Squash), Baby Food - Fruit &amp; Veg Blends (Baby Food Pouches: Apple Zucchini Spinach Strawberry), Baby Food - Fruit &amp; Veg Blends (Baby Food Pouches: Apples and Summer Peaches - Canada), Baby Food - Fruit &amp; Veg Blends (Baby Food Pouches: Apples and Summer Peaches - US), Baby Food - Fruit &amp; Veg Blends (Baby Food Pouches: Banana Mango - Canada), Baby Food - Fruit &amp; Veg Blends (Baby Food Pouches: Banana Mango - US), Baby Food - Fruit &amp; Veg Blends (Baby Food Pouches: Banana Squash - Canada), Baby Food - Fruit &amp; Veg Blends (Baby Food Pouches: Banana Squash - US), Baby Food - Fruit &amp; Veg Blends (Baby Food Pouches: Carrot Apple Mango - Canada), Baby Food - Fruit &amp; Veg Blends (Baby Food Pouches: Carrot Apple Mango - US), Baby Food - Fruit &amp; Veg Blends (Baby Food Pouches: Green Beans), Baby Food - Fruit &amp; Veg Blends (Baby Food Pouches: Pear Carrot Peas), Baby Food - Fruit &amp; Veg Blends (Baby Food Pouches: Pear Peach Strawberry), Baby Food - Fruit &amp; Veg Blends (Baby Food Pouches: Pear Spinach), Baby Food - Fruit &amp; Veg Blends (Baby Food Pouches: Pears, Mangoes &amp; Avocado), Baby Food - Fruit &amp; Veg Blends (Baby Food Pouches: Pumpkin), Baby Food - Fruit &amp; Veg Blends (Baby Food Pouches: Pumpkin Banana Carrot), Baby Food - Fruit &amp; Veg Blends (Green 2.0: 2F Jar Carrot Apple Pear), Baby Food - Fruit &amp; Veg Blends (Plantastic Banana Berry &amp; Veggie Smash), Baby Food - Fruit &amp; Veg Blends (Plantastic Mediterranean Style Medley Veggies and Ancient Grains in Sauce), Baby Food - Fruit &amp; Veg Blends (Plantastic Southwestern Fiesta Fruit &amp; Veggie Bean Smash), Baby Food - Fruit &amp; Veg Blends (Plantastic Summer Fruit &amp; Veggie Smash), Baby Food - Fruit &amp; Veg Blends (Plantastic Sweet Potato Cherry Smash), Baby Food - Fruit &amp; Veg Blends (Plantastic Vegan Mac with Creamy Veggie Sauce), Baby Food - Fruits (2nd Foods Apple Blueberry), Baby Food - Fruits (Apple), Baby Food - Fruits (Apple Cinnamon Oatmeal), Baby Food - Fruits (Apple Strawberry), Baby Food - Fruits (Baby Food Jars: 1st Foods Apples), Baby Food - Fruits (Baby Food Jars: 1st Foods Bananas), Baby Food - Fruits (Baby Food Jars: 2nd Foods Apple Blueberry), Baby Food - Fruits (Baby Food Pouches: Apples), Baby Food - Fruits (Baby Food Pouches: Bananas), Baby Food - Fruits (Banana), Baby Food - Fruits (Bulk Puree: Apple), Baby Food - Fruits (Green 2.0: 1F Jar Pear ), Baby Food - Fruits (Green 2.0: 2F Jar Apple Prune), Baby Food - Fruits (Green 2.0: 2F Jar Mango Apple Banana), Baby Food - Fruits (Pear Wild Blueberry), Baby Food - Fruits (Pears), Baby Food - Fruits (Prunes), Baby Food - Vegetables (1st Foods Butternut Squash), Baby Food - Vegetables (1st Foods Peas), Baby Food - Vegetables (1st Foods Sweet Potatoes), Baby Food - Vegetables (Baby Food Jars: 1st Foods Sweet Potatoes), Baby Food - Vegetables (Baby Food Pouches: Carrot Squash Spinach), Baby Food - Vegetables (Baby Food Pouches: Sweet Potato White Bean), Baby Food - Vegetables (Bulk Puree: Carrot), Baby Food - Vegetables (Bulk Puree: Green Beans), Baby Food - Vegetables (Bulk Puree: Peas), Baby Food - Vegetables (Bulk Puree: Sweet Potatoes), Baby Food - Vegetables (Carrot, Squash &amp; Spinach), Baby Food - Vegetables (Carrot, Zucchini &amp; Broccoli), Baby Food - Vegetables (Carrots), Baby Food - Vegetables (Green 2.0: 1F Jar Carrot), Baby Food - Vegetables (Green Beans), Baby Food - Vegetables (Peas), Baby Food - Vegetables (Plant Power - Mixed Carrot Banana Acai w Cardamom), Baby Food - Vegetables (Plant Power - Squash Apple Sweet Potato w Turmeric), Baby Food - Vegetables (Plant Power - Squash Pear Peach w Basil), Baby Food - Vegetables (Sweet Peas), Baby Food - Vegetables (Sweet Potato &amp; White Beans ), Baby Food - Vegetables (Sweet Potato, Squash &amp; Pumpkin), Baby Food - Vegetables (Sweet Potatos), Baby Formula (Natura Infant Formula with Iron, Milk Based Powder Stage 1), Baby Formula (Natura Infant Formula with Iron, Milk Based Powder Stage 2), Baby Snacks (04828 Yogurt Melts Banana Strawberry), Baby Snacks (04829 Yogurt Melts Red Berries), Baby Snacks (Baby Pops Banana Raspberry), Baby Snacks (Baby Pops Peanut), Baby Snacks (Baby Pops Tomato), Baby Snacks (Freshful Start Veggie Bites - Broccoli, Lentils &amp; Cheddar), Baby Snacks (Freshful Start Veggie Bites - Yellow Carrot, Kale, Lentils &amp; Quinoa), Baby Snacks (Freshful Starts Veggie Bites - Carrot Sweet Potato), Baby Snacks (Fruit &amp; Veggie Bars - Date &amp; Carrot with Oats and Chia), Baby Snacks (Grain &amp; Grow - Soft-Baked Grain Bar - Banana Mango Pineapple), Baby Snacks (Grain &amp; Grow - Soft-Baked Grain Bar - Raspberry Pomegranate ), Baby Snacks (Lil' Crunchies Cheddar Broccoli), Baby Snacks (Lil' Crunchies White Bean Hummus), Baby Snacks (Popped Crisps Red and Black Beans), Baby Snacks (Puffs - Peach), Baby Snacks (Puffs Apple), Baby Snacks (Puffs Cranberry Orange), Baby Snacks (Puffs Cranberry Orange (Canada)), Baby Snacks (Puffs Fig Berry), Baby Snacks (Puffs Fig Berry (Canada)), Baby Snacks (Puffs Strawberry), Baby Snacks (Quinoa Lentil Crisps), Baby Snacks (Quinoa Pea Crisps), Baby Snacks (Teethers - Blueberry Apple Beet), Baby Snacks (Teethers - Mango Banana Carrot), Baby Snacks (Teethers - Plain), Baby Snacks (Teethers - Variety Pack: Mango Banana Carrot and Blueberry Apple Beet), Blends (2nd Foods - Baby Food Pouches: Apple, Squash, Pumpkin &amp; Chia), Blends (2nd Foods - Baby Food Pouches: Apples, Raspberries &amp; Acai), Blends (2nd Foods - Baby Food Pouches: Mangoes, Apples, Carrots &amp; Kale ), Blends (2nd Foods - Baby Food Pouches: Pear Apricot Yogurt), Blends (2nd Foods - Baby Food Pouches: Pear Fig Yogurt ), Blends (2nd Foods - Baby Food Pouches: Pears, Blueberries, Apples &amp; Avocado), Blends (2nd Foods - Baby Food Pouches: Sweet Potato Mango Yogurt), Blends (2nd Foods Variety Pack 3 Pear Peach Strawberry, 3 Banana Mango, 3 Apple Peach), Blends (2nd Foods Variety Pack: Pear Spinach, Apple Carrot Squash, Apple Zucchini Spinach Strawberry), Blends (Apples, Purple Carrots, &amp; Blueberries with Yogurt), Blends (Bananas, Raspberries, &amp; Vanilla with Yogurt), Blends (Grain &amp; Grow Morning Bowl Multipack - Organic Oats, Red Quinoa &amp; Barley with Banana and Summer Berries and Organic Oats, Red Quinoa &amp; Farro with Tropical Fruits ), Blends (Grain &amp; Grow Morning Bowl Oats, Red Quinoa &amp; Barley with Banana and Summer Berries ), Blends (Grain &amp; Grow Morning Bowl Oats, Red Quinoa &amp; Farro with Tropical Fruits ), Blends (Organic 2nd Foods Variety Pack pouches: Apple Blueberry Spinach, Pear Peach Strawberry, Apple Zucchini Spinach Strawberry), Blends (Squash Corn &amp; Chicken), Carrots, Misc. (COMPLEAT Blend 1.2 Cal/mL CA), Misc. (COMPLEAT Chicken Garden Blend 1.2 Kcal/mL), Misc. (COMPLEAT Junior Blend 1.2 Cal/mL CA), Misc. (COMPLEAT Pediatric Chicken Garden Blend 1.2 Kcal/mL), Misc. (COMPLEAT Pediatric Plant Based Blend 1.2 Kcal/mL), Misc. (COMPLEAT Plant Based Blend 1.2 Kcal/mL), Misc. Baby Cereal (Apple Mango Raspberry Oatmeal with Avocado), Misc. Baby Cereal (Mango Peach Carrot Sweet Potato Oatmeal), Misc. Baby Cereal (Power Blend Probiotic Oatmeal Chickpea Banana Chia), Pear Puree, Pears, Prune Puree, Squash Puree, Sweet Potato Puree (Tote), Toddler Meals (Freshful Start Veggie &amp; Grain Bowl -  Mac n Cheese), Toddler Meals (Freshful Start Veggie &amp; Grain Bowl - Southwest Style), Toddler Meals (Freshful Start Veggie &amp; Grain Bowl - Tomato Basil), Toddler Snacks (Plantastic Fruit and Yogurt Alternative  Tropical Mango Fusion), Toddler Snacks (Plantastic Fruit and Yogurt Alternative Berry Harvest Fusion), Toddler Snacks (Plantastic Fruit and Yogurt Alternative Sunshine Pineapple Fusion), Toddler Snacks (Plantastic Hearts Lentil Banana Carrot Raspberry), Toddler Snacks (Plantastic Lil Crunchies Vegan Cheezy Broccoli Snack), Toddler Snacks (Plantastic Lil Crunchies Vegan Creamy Mixed Berry Snack)</t>
  </si>
  <si>
    <t>Animal Feed: Forage (Alfalfa: Compressed Alfalfa Hay), Livestock Feed (Grain: Corn); Other: Marketing and Distribution: Apples</t>
  </si>
  <si>
    <t>Other Grains, Pastas and Cereals: Oats, Wheat, Wheat; Fruits/Vegetables: Beans; Dry/Baking Goods: Flours and Meals, Flours and Meals, Flours and Meals, Flours and Meals; Animal Feed: Livestock Feed, Livestock Feed, Livestock Feed, Livestock Feed, Livestock Feed, Livestock Feed, Livestock Feed</t>
  </si>
  <si>
    <t>Other: #Processing, packaging, and labeling of beverages; Processing and distribution of spent grain., Barrel Aged Strong Ale, Beer: Adambier, Australian-Style Sparkling Ale, Barrel Aged Porter, Breslau Schoeps, Canadian-Style Spruce, Gammeltol, Kuyt, Maibock, Old Ale, Sahti, Tropical Stout, Single, Vossaol., Beer: American Barleywine, Antwerps Gerstebier, Baltic Porter, Belgian-Style Blonde, Belgian-Style Double International Pale Ale (Belgian-Style DIPA), Biere de Garde Ambree, Biere de Garde Blonde, Biere de Garde Brune, Biere de Miel, Birra di Pane Forte, British-Style Barleywine, Burton Ale, Dark Strong Ale, Dark Weizenbock, Doppelsticke Altbier, Double International Pale Ale, Double Red Ale, Dubbel, Dubbel Diest, English-Style IPA, Extra Blonde Ale, Extra Stout, Goedt Bier, Golden Strong Ale, Grand Porter, Grand Stout, Kaves, Kornøl, Kozlak, Paint It Black Braggot, Pale Weizenbock, Quadrupel, Ryewine, Scotch Ale, Syla Belgian-Style Triple Ale, Tripel, Wheatwine, Whitbier Grand Cru., Soda: Artichoke, Beet, Carrot, Chicory, Currant, Fennel, Ginger, Golden Beet, Grape, Herb, Melon, Pepper, Petal, Rhubarb, Spruce, Strawberry, Sweet Corn, Watermelon., Sparkling Water: Celery, Cucumber, Ginger, Herb, Jicama, Lemongrass, Petal, Rhubarb, Sumac., Spent grain</t>
  </si>
  <si>
    <t>Other: Seed (Oat (non-retail)), Seed (Vetch (non-retail)), Seed Cleaning (Client Profile Products only)</t>
  </si>
  <si>
    <t>Other Grains, Pastas and Cereals: Cereal (Maize Grain), Wheat (Wheat Grain); Fiber Textiles: Cotton (Raw Cotton); Other: Beans (Soyabean/Soybean White), Chickpea</t>
  </si>
  <si>
    <t>Other: Bread (Cinna Spice Bread - Gluten Free, Grain Free), Bread (Cinna Spice Loaf - Gluten Free, Grain Free), Bread (Everyday Bagel - Gluten Free, Grain Free), Bread (Everyday Bread - Gluten Free, Grain Free), Bread (Everyday Loaf - Gluten Free, Grain Free), Bread (Everyday Minis - Gluten Free, Grain Free), Bread (Everyday Pullman - Gluten Free, Grain Free), Bread (Everyday Rounds - Gluten Free, Grain Free), Bread (Everything Bagel - Gluten Free, Grain Free), Bread (Everything Bread - Gluten Free, Grain Free), Bread (Everything Loaf - Gluten Free, Grain Free), Bread (Everything Pullman - Gluten Free, Grain Free), Bread (Rosemary Bread - Gluten Free, Grain Free), Bread (Rosemary Minis - Gluten Free, Grain Free)</t>
  </si>
  <si>
    <t>Other Grains, Pastas and Cereals: Quinoa; Nuts/Seeds: Chia Seeds, Flaxseed, Sesame Seeds; Fruits/Vegetables: Apple, Berries (Blueberry), Berries (Green Seedless Grapes), Berries (Red Seedless Grapes), Berries (Black Seedless Grapes), Berries (Goji Berries), Berries (Cranberries), Berries (Red Globe Grape with Seeds), Gold Kiwi, Green Kiwi, Kiwi, Pears, Stone Fruit (Avocados), Stone Fruit (Apricots); Chocolate Goods: Chocolate Nibs (Cacao Nibs)</t>
  </si>
  <si>
    <t>Other: 00 Pizza Unbleached Flour, 00 Pizza Unbleached Flour, 9 Grain Blend, All Purpose Flour, Amaranth Grain, Arrowroot Flour/Starch, Baker's Choice All-Purpose Flour, Barley Flour Hulled, Barley Grain Hulled, Black Beans, Brown Rice Short Grain, Buckwheat Flour, Buckwheat Grain Raw, Buckwheat Grain Unhulled, Bulgur Wheat, Medium/Coarse, Buttermilk Pancake Mix, Canola Oil Expeller Pressed, Cinnamon, Coconut Medium, Corn Flour, Corn Masa White, Corn Meal, Corn Meal Coarse Polenta, Corn Meal Medium Non-Degerminated, Corn Meal Yellow Fine, Corn Yellow Whole, Durum Flour Extra Fancy, Flax Seed, Flax Seed, Gluten Free All Purpose Flour, Gluten Free Amaranth Flour, Gluten Free Artisan Bread Blend, Gluten Free Brown Rice Flour, Gluten Free Flax Seed Meal, Gluten Free Millet Flour, Gluten Free Quinoa Flour, Gluten Free Sorghum Flour, Gluten Free Sunflower Seed Meal, Gluten Free White Rice Flour, Fine, Graham Flour, Honey, Lentils, Red Split, Millet Whole Hulled, Oat Bran, Oat Flour, Oats Baby, Oats Rolled Old Fashioned, Oats Steel Cut, Oats Whole, Pastry Flour, Pinto Beans, Popcorn, Pumpkin Seeds, Quinoa Grain Red, Quinoa Grain White, Raisins Seedless Select, Rye Cracked, Rye Flour, Rye Grain, Rye Pumpernickel Meal, Semolina Gourmet No. 1 Flour, Sesame Seeds Brown, Sesame Seeds White, Spelt Flour, Spelt Grain, Sugar Unrefined (Evaporated Cane Juice), Sunflower Seeds Hulled, Sunflower Seeds Hulled, Sunflower Seeds Hulled, Tapioca Starch, Tapioca Starch, Ultimate Performer Flour, Unbleached All Purpose Family Flour, Unbleached Baker's Choice Flour, Unbleached Golden Crescent Pastry Flour, Unbleached Old Mill Flour, Unbleached Ultimate Performer Flour, Vital Wheat Gluten, Wheat Berries Hard Red, Wheat Berries Hard Red High Protein, Wheat Berries Soft White, Wheat Bran, Wheat Cracked, Whole Wheat Flour, Whole Wheat Flour - Fine, Whole Wheat Flour - Medium Stoneground, Whole Wheat High Protein Flour, Whole Wheat High Protein Flour - Coarse, Whole Wheat High Protein Flour - Fine, Whole Wheat Pastry Flour, Whole Wheat Stone Ground Flour, Whole Wheat Stone Ground High Protein Flour - Medium, Whole Wheat Ultimate Performer Flour</t>
  </si>
  <si>
    <t>Other: F080632 Agglomerated Stevia Blend #66946TOLL, F080659 Agglomerated Inulin #92940, F080851 Non GMO Sucrose DC, F080880 NutraShield Ashwagandha, F230065 (enzyme softener 65), F230130 Pan Oil,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 100 OSL</t>
  </si>
  <si>
    <t>Other: F230065 Enzyme Softener 65, F235008 Hi-Lec 35, F235009 Enzyme Softener, F270070 Whole Grain Spelt Mold Inhibitor, F270079 Natural Mold Inhibitor OWS2, F270083 No Mold OWS 3, F270085 Long Life Pareve OWS 3, F600086 Soft n' Mighty Dough Conditioner, F600090 Soft n' Mighty Dough Conditioner 2, F600098 Ascorbic Acid 30, F600100 Soft n Mighty-100 OSL</t>
  </si>
  <si>
    <t>Processed  Items: Dehydrated Foods (Roasted buckwheat kernel), Dehydrated Foods (Roasted corn), Dehydrated Foods (Roasted soybean); Preservatives/Extracts/Flavors: Concentrates (Concentrated soybean protein), Extracts (Pea fiber), Extracts (Pea protein), Extracts (Pea starch), Extracts (Potato starch), Extracts (Rice bran), Extracts (Rice protein,), Extracts (Soybean protein drawing), Extracts (Soybean protein isolate), Extracts (Texturedsoybean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(Paddy), Rice (Glutinous Paddy), Rice (Glutinous rice), Rice (Black Paddy), Rice (Black Rice), Rice (Brown Rice), Sorghum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Pine Nuts (Pinenut kernel), Sunflower seed, Sunflowerseeds kernel, Walnuts, Walnuts (Walnut kernels), Watermelon seed; Fruits/Vegetables: Beans (Adzuki Bean(Also called- small red bean)), Beans (Black Kidney Bean(Also called -Black turtle bean)), Beans (Black Soybean With Green Kernels), Beans (Black Soybean With Yellow Kernels(Also called - Black soybean)),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gluten meal</t>
  </si>
  <si>
    <t>Preservatives/Extracts/Flavors: Concentrates (Concentrated soybean protein), Dehydrated Foods (Roasted corn), Dehydrated Foods (Roasted soybean), Extracts (Soybean protein drawing), Extracts (Soybean protein isolate), Extracts (Pea fiber), Extracts (Pea protein), Extracts (Pea starch), Extracts (Potato starch), Extracts (Rice bran), Extracts (Rice protein), Extracts (Roasted buckwheat kernel), Extracts (Textured 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(Black Paddy), Rice (Black Rice), Rice (Brown Rice), Rice (Paddy), Rice (Glutinous Paddy), Rice (Glutinous rice),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 (crude)), Oils (Sunflower oil); Nuts/Seeds: Pine Nuts (Pinenut kernel), Sunflower seed, Sunflowerseeds kernel, Walnuts, Walnuts (Walnut kernels), Watermelon seed; Fruits/Vegetables: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Beans (Adzuki Bean(Also called- small red bean)), Beans (Black Kidney Bean(Also called -Black turtle bean)), Beans (Black Soybean With Green Kernels), Beans (Black Soybean With Yellow Kernels(Also called - Black soybean)),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 (Also called Rapeseed cake,Rapeseed expeller), Rice bran meal, Sesame meal (Also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</si>
  <si>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</si>
  <si>
    <t>Other: Chia seeds (Black chia seed), Cocoa (Cacao grain/beans), Quinoa (White Quinoa), Sesame (Sesame seed)</t>
  </si>
  <si>
    <t>Other Grains, Pastas and Cereals: Barley (Barley), Cereal (Corn), Wheat (Wheat); Nuts/Seeds: Seeds (Flaxseeds , Sunflower kernel, Sunflower seeds); Animal Feed: Livestock Feed (Soybean meal); Other: Beans (Beans, Soybean), Brown lentils , Chickpea, Green lentils, Red lentils, Yellow lentil</t>
  </si>
  <si>
    <t>Other: Brokered Products (Ajwain), Brokered Products (Ajwain Powder), Brokered Products (All Spice Powder), Brokered Products (All Spice Whole), Brokered Products (Aloevera Leaves), Brokered Products (Aloevera Powder), Brokered Products (Aloevera TBC), Brokered Products (Amla Powder), Brokered Products (Amla TBC), Brokered Products (Amla Whole Dried), Brokered Products (Anantmool (Hermidesmus Indicus)), Brokered Products (Arhar Dal / Toor Dal), Brokered Products (Arjuna Powder), Brokered Products (Arrowroot Powder), Brokered Products (Ashwagandha), Brokered Products (Ashwagandha (Withania Somnifera) Powder), Brokered Products (Ashwagandha TBC), Brokered Products (Asparagus Racemosus (Shatawari) TBC), Brokered Products (Bajra Flour / Atta), Brokered Products (Barley Flour), Brokered Products (Barley Grass Powder), Brokered Products (Barley Porridge / Dalia), Brokered Products (Barley Whole), Brokered Products (Barley-Dehulled), Brokered Products (Basil / Tulsi), Brokered Products (Basmati Rice), Brokered Products (Basmati Rice White), Brokered Products (Bay Leaf Powder), Brokered Products (Bay Leaves / Tejpatta), Brokered Products (Bay Leaves TBC / Tejpatta TBC), Brokered Products (Beaten Rice), Brokered Products (Beet Root Powder), Brokered Products (Bengal Gram (Chana) Flour / Besan), Brokered Products (Bengal Gram Whole), Brokered Products (Bhringraj Powder), Brokered Products (Biryani Masala), Brokered Products (Black Cumin), Brokered Products (Black Gram / Urd (Vigna sp.)), Brokered Products (Black Gram Flour / Urad Flour), Brokered Products (Black Gram White Whole), Brokered Products (Black Pepper), Brokered Products (Black Pepper Crushed), Brokered Products (Black Pepper Powder), Brokered Products (Black Pepper TBC), Brokered Products (Black Tea), Brokered Products (Blend Butter Chicken), Brokered Products (Blend Rogan Josh), Brokered Products (Brahmi (Bacopa Monnieri)), Brokered Products (Brahmi Powder), Brokered Products (Brahmi TBC / Brahmi Cut &amp; Sifted), Brokered Products (Broken Rice), Brokered Products (Brown Gram / Gram / Chana (Cicer Arietinum)), Brokered Products (Brown Rice), Brokered Products (Buck Wheat (Other Than Seed)), Brokered Products (Buck Wheat (Seed Quality)), Brokered Products (Buckwheat Flour), Brokered Products (Cardamom), Brokered Products (Cardamom Large (Black)), Brokered Products (Cardamom Powder), Brokered Products (Cardamom Seed), Brokered Products (Cardamom TBC), Brokered Products (Cashew Kernels (W320)), Brokered Products (Cashew Whole), Brokered Products (Celery Seed), Brokered Products (Centella Asiatica), Brokered Products (Centella Asiatica Powder / Gotukola Powder), Brokered Products (Centella Asiatica TBC), Brokered Products (Chai Masala), Brokered Products (Chamomile (M.Chamomile)), Brokered Products (Chamomile Powder), Brokered Products (Chana Dal), Brokered Products (Chana Masala), Brokered Products (Chat Masala), Brokered Products (Chia), Brokered Products (Chickpea / Kabuli Chana (Garbanzos)), Brokered Products (Chicory Powder), Brokered Products (Chicory Roots), Brokered Products (Chicory TBC), Brokered Products (Chilli Powder), Brokered Products (Chilli Whole), Brokered Products (Chitra Kidney Beans / Rajma (Phaseolus Vulgaris)), Brokered Products (Chlli Flakes), Brokered Products (Cinnamon), Brokered Products (Cinnamon Latte), Brokered Products (Cinnamon Powder), Brokered Products (Cinnamon TBC), Brokered Products (Clove Powder), Brokered Products (Clove TBC), Brokered Products (Cloves), Brokered Products (Coastal Curry Masala), Brokered Products (Coconut Oil), Brokered Products (Coriander), Brokered Products (Coriander Powder), Brokered Products (Coriander Seed / Whole), Brokered Products (Cowpea / Black Eye Pea), Brokered Products (Cowpea Red), Brokered Products (Cowpea White Dal), Brokered Products (CTC Tea), Brokered Products (Cumin Powder), Brokered Products (Cumin TBC), Brokered Products (Cumin Whole), Brokered Products (Curry Leaf / Leaves), Brokered Products (Curry Leaves Powder), Brokered Products (Curry Powder Hot), Brokered Products (Curry Powder Mild), Brokered Products (Dal Tadka), Brokered Products (Dried Cardamom), Brokered Products (Dried Clove), Brokered Products (Dried Nutmeg Shelled), Brokered Products (Dry Rose Petals-Red), Brokered Products (Eucalyptus Leaves TBC), Brokered Products (Fennel / Saunf), Brokered Products (Fennel Powder / Fennel Seed Powder), Brokered Products (Fennel TBC), Brokered Products (Fenugreek Powder), Brokered Products (Fenugreek Seed (Methi Seed)), Brokered Products (Fenugreek TBC), Brokered Products (Fish Curry Masala / Mustard Fish Curry Masala), Brokered Products (Flax Seed), Brokered Products (Foxtail Millet), Brokered Products (Galangal Powder), Brokered Products (Galangal Root), Brokered Products (Galangal TBC), Brokered Products (Garam Masala / Garam Masala Traditional), Brokered Products (Garlic), Brokered Products (Garlic Flakes), Brokered Products (Garlic Granules), Brokered Products (Garlic Powder), Brokered Products (Giloy Powder), Brokered Products (Ginger (Dried Unbleached)), Brokered Products (Ginger Flakes), Brokered Products (Ginger Fresh), Brokered Products (Ginger Powder), Brokered Products (Ginger Sliced (Dried)), Brokered Products (Ginger TBC), Brokered Products (Ginger Whole (Dried)), Brokered Products (Green Cardamom), Brokered Products (Green Gram / Moong Dhuli), Brokered Products (Green Gram Flour), Brokered Products (Green Gram Whole (Moong Sabut)), Brokered Products (Green Tea), Brokered Products (Groundnut / Peanut), Brokered Products (Groundnut / Peanut Oil (Edible grade)), Brokered Products (Guar Gum Powder), Brokered Products (Guduchi (Cocculus Cordifolous )), Brokered Products (Gymnema Leaves / Gymnema), Brokered Products (Gymnema Powder), Brokered Products (Gymnema TBC / Gudmar TBC), Brokered Products (Haritaki / Harad (Terminalia Chebula)), Brokered Products (Henna Leaves), Brokered Products (Henna Leaves Powder), Brokered Products (Hibiscus), Brokered Products (Hibiscus Powder), Brokered Products (Hibiscus TBC), Brokered Products (Idly Rava), Brokered Products (Indian Curry Masala), Brokered Products (Indian Organic Brown Basmati Rice), Brokered Products (Indigo Leaves Powder / Indigo Powder), Brokered Products (Jaggery), Brokered Products (Jaggery Powder), Brokered Products (Jowar Flour/ Sorghum Flour), Brokered Products (Kalonji Seed / Nigella Seed), Brokered Products (Kodo Millet), Brokered Products (Lemon Grass TBC), Brokered Products (Lemon Peel Dried), Brokered Products (Lemon Peel Powder), Brokered Products (Lemon Peel TBC), Brokered Products (Lemongrass), Brokered Products (Lemongrass Powder), Brokered Products (Lemongrass TBC), Brokered Products (Lentil), Brokered Products (Liquorice / Mulethi / Liquorice Root), Brokered Products (Liquorice Powder), Brokered Products (Liquorice TBC / Mulethi TBC), Brokered Products (Little Millet), Brokered Products (Mace), Brokered Products (Mace Powder), Brokered Products (Madras Curry Masala), Brokered Products (Maize (Corn)), Brokered Products (Maize / Corn Flour), Brokered Products (Maize / Corn Porridge (Dalia)), Brokered Products (Maize Grain), Brokered Products (Mango Powder / Aamchur), Brokered Products (Manjistha / Rubia Cordifolia), Brokered Products (Manjistha Powder / Rubia Cordiflora Powder), Brokered Products (Masoor / Masur / Masoor Dhuli / Masoor Mogar), Brokered Products (Masoor Dal), Brokered Products (Matki / Moth Bean), Brokered Products (Millet), Brokered Products (Mix Dal), Brokered Products (Moong Dal), Brokered Products (Moringa Dried Leaves / Moringa Leaves), Brokered Products (Moringa Powder), Brokered Products (Moringa Seed), Brokered Products (Moringa TBC), Brokered Products (Moth Dal), Brokered Products (Moth Dhuli), Brokered Products (Mucuna Powder), Brokered Products (Mucuna Whole), Brokered Products (Multi Grain Atta / Multi Grain Flour), Brokered Products (Mustard), Brokered Products (Mustard Black), Brokered Products (Mustard Oil), Brokered Products (Mustard Powder), Brokered Products (Neem Leaf Powder / Neem Leaves Powder), Brokered Products (Neem Leaves), Brokered Products (Neem Leaves TBC), Brokered Products (Non Basmati Rice), Brokered Products (Nutmeg Powder), Brokered Products (Nutmeg TBC), Brokered Products (Nutmeg Whole), Brokered Products (Onion (Powder)), Brokered Products (Onion Flakes), Brokered Products (Onion Fresh / Kanda), Brokered Products (Orange Peel), Brokered Products (Orange Peel Powder), Brokered Products (Orange Peel TBC), Brokered Products (Oregano), Brokered Products (Oregano Leaves), Brokered Products (Panchartna Dal), Brokered Products (Pav Bhaji Masala), Brokered Products (Pearl Millet / Bajra), Brokered Products (Pepper Long / PippaIi (Piper Longum)), Brokered Products (Peppermint Leaves / Mentha Piperita Leaf), Brokered Products (Peppermint Leaves TBC), Brokered Products (Peppermint Powder), Brokered Products (Pipalli/ Piper Longum Powder), Brokered Products (Poha Flattened Rice), Brokered Products (Psyllium Husk (Isobgul) / Psyllium Husk), Brokered Products (Psyllium Husk Powder), Brokered Products (Psyllium Seed (Isobgul) / Psyllium Seed), Brokered Products (Psyllium Seed Powder), Brokered Products (Quinoa), Brokered Products (Ragi / Finger Millet Grain), Brokered Products (Ragi Flour), Brokered Products (Raisins / Kismis), Brokered Products (Rajma Masala), Brokered Products (Rasam Masala), Brokered Products (Red Chilli (Whole)), Brokered Products (Red Chilli Flakes), Brokered Products (Red Chilli Powder), Brokered Products (Red Flattened Rice), Brokered Products (Red Kidney Beans / Rajma (Phaseolus Vulgaris)), Brokered Products (Red Lentil), Brokered Products (Red Rice), Brokered Products (Red Rose Petal Powder), Brokered Products (Rice), Brokered Products (Rice Flour), Brokered Products (Rice Sonamasuri Brown), Brokered Products (Roasted Chicory Granules), Brokered Products (Rose Petal TBC), Brokered Products (Safed Musli Powder), Brokered Products (Saffron), Brokered Products (Saffron Latte), Brokered Products (Sambhar Masala), Brokered Products (Sawan/Barnyard Millet), Brokered Products (Senna Leaves), Brokered Products (Senna Leaves Powder), Brokered Products (Senna Leaves TBC), Brokered Products (Senna Pods Powder), Brokered Products (Senna Pods TBC), Brokered Products (Shatavari), Brokered Products (Shatavari Root Powder / Shatavari Powder), Brokered Products (Soapnut / Reetha (Nuts)), Brokered Products (Soapnut/ Reetha (Powder)), Brokered Products (Sorghum), Brokered Products (Sorghum Flour), Brokered Products (Spearmint Leaves), Brokered Products (Spearmint Powder), Brokered Products (Spearmint TBC), Brokered Products (Star Anise), Brokered Products (Star Anise Powder), Brokered Products (Star Anise TBC / Star Anise Cut &amp; Sifted), Brokered Products (Stevia / Stevia Rebaudiana Powder), Brokered Products (Stevia Leaves Dried), Brokered Products (Stevia Leaves Powder), Brokered Products (Stevia Leaves TBC), Brokered Products (Sugar), Brokered Products (Sugar (Brown / Natural)), Brokered Products (Suji / Semolina / Cream of Wheat), Brokered Products (Sunflower Seed Oil/ Sunflower Oil), Brokered Products (Tamarind Concentrates), Brokered Products (Tandoori Masala), Brokered Products (Thai Green Curry Powder), Brokered Products (Tikka Masala), Brokered Products (Tribulus Terrestris Powder / Gokhru Powder / Tribulus Powder), Brokered Products (Triphala Powder), Brokered Products (Tulsi Leaves Dry), Brokered Products (Tulsi Powder), Brokered Products (Tulsi Powder / Holy Basil Powder / Tulsi Leaves Powder), Brokered Products (Tulsi TBC), Brokered Products (Tur / Toor Dal), Brokered Products (Turmeric Dried), Brokered Products (Turmeric Fingers), Brokered Products (Turmeric Fresh), Brokered Products (Turmeric Latte), Brokered Products (Turmeric Powder), Brokered Products (Turmeric TBC), Brokered Products (Urad Dal Split), Brokered Products (Urad Dhuli), Brokered Products (Vanilla), Brokered Products (Vanilla Powder), Brokered Products (Vanilla TBC), Brokered Products (Vindaloo Masala), Brokered Products (Virgin Coconut Oil), Brokered Products (Walnut), Brokered Products (Wheat), Brokered Products (Wheat Flour), Brokered Products (Wheat Maida), Brokered Products (Wheat Porridge / Dalia), Brokered Products (Wheatgrass Powder), Brokered Products (White Basmati Pusa 1121), Brokered Products (White Pepper), Brokered Products (White Pepper Powder), Brokered Products (White Pepper TBC), Brokered Products (Yellow Mustard), Brokered Products (Yellow Mustard Powder/ground)</t>
  </si>
  <si>
    <t>Trees/Whole Plant Products/Flowers: Seeds (Flaxseed Brown), Seeds (Sesame Seed Black); Seasonings: Seasoning Blends (Organic Teriyaki Seasoning); Preservatives/Extracts/Flavors: Extracts (Organic Pure Vanilla Extract), Extracts (Vanilla Extract), Powders (Organic Pure Vanilla Bean Powder), Powders (Cumin Powder), Powders (Lemon Powder ORG1036A Organic Lemon Juice Powder), Spices (Allspice), Spices (Basil Leaves), Spices (Black Peppercorn Medium Cut), Spices (Black Peppercorns Whole), Spices (Chipotle Chile Ground), Spices (Cilantro Leaves), Spices (Cinnamon Powder), Spices (Garlic Dried Powder), Spices (Garlic Granules), Spices (Ginger Powder), Spices (Organic Ginger Ground), Spices (Organic Mustard Ground), Spices (Organic Pepper Black Ground), Spices (Organic Turmeric), Spices (Parsley Flakes), Spices (RDGND Chili Ground Natural), Spices (Wood Smoked Paprika), Spices (Black Pepper), Spices (Chili - Red Peppers Crushed), Spices (Cumin Seed), Spices (Marjoram), Spices (Paprika), Spices (Thyme); Other Grains, Pastas and Cereals: Oats (Quick Rolled Oats - Gluten Free), Oats (Oat, Rolled), Oats (Gluten Free Rolled Oats), Quinoa (Crisp Quinoa - Gluten Free), Quinoa (Quinoa Tricolor), Quinoa (Quinoa White), Wheat (Wheat Gluten); Oils &amp; Oleoresins: Oils (Extra Virgin Olive Oil), Oils (Canola Oil), Oils (Castor Oil), Oils (Coconut Oil RBD Coconut oil), Oils (Extra Virgin Olive Oil), Oils (RBD : Refined Bleached Deodorized Coconut Oil (SCGCP)), Oils (Sunflower Oil); Nuts/Seeds: Almonds (Pasteurized, Shelled Organic Almonds), Almonds (Blanched Almond Flour), Almonds (Natural Almond Butter), Almonds (Almonds), Cashew Nuts (Cashews), Hazelnut (Hazelnuts), Hazelnut (Filberts / Hazelnuts - Dry roasted), Hemp Seeds, Macadamia (Macadamia Nuts), Macadamia (Macadamia Nuts), Milled Brown Flax Seeds, Nuts (Shelled Peanut), Nuts (Peanut Butter), Nuts (Sunflower Kernels Hulled Bakery), Peanuts (Peanut Butter, Peanut Paste), Peanuts (Peanuts Roasted Splits), Pecans (Pecans), Psyllium (Husks, Seeds), Raw Pepitas (Pumpkin Seeds), Sesame Seeds, Sunflower Seeds, Whole Brown Flax Seeds; Health Products: Supplements (Spirulina/Chlorella Powder); Fruits/Vegetables: Annatto, Apples (Dried), Bananas - IQF Sliced, Beans (Pinto Beans), Berries (Blueberries - Cultivated), Berries (Mixed Berries), Berries (Organic Blueberries IQF), Berries (Organic Strawberries IQF), Berries (Strawberries - IQF Sliced), Carrot (Powder/slice/dice/juice powder/extract), Coconut, Coconut Flakes, Coconut Water UHT, Date Sugar, Desiccated Coconut - Fine, Dried Apricots, Dried Apricots, Dried Banana Paste, Dried Coconut Desiccated (Fine, Medium Chips), FD Broccoli (Cuts, florets, powder), Frozen Zucchini, Garlic (IQF, Diced, Sliced, Whole), IQF Cauliflower, IQF Corn, IQF Diced Carrot, IQF Diced Peach, IQF Diced Spinach, IQF Green Beans, IQF Green Peas, IQF Peas, Leafy Greens (IQF Spinach (whole, chopped)), Leafy Greens (Frozen Spinach), Mango - IQF Chunks, Moringa Leaf, Onion, Organic Dehydrated Mango, Pineapple IQF, Chunks, Raisins, Raisins, Strawberry Pulp-Puree, Tart Dried Cherries, Thompson Seedless Raisins Oil-Treated, Tomatoes (Dried), Vanilla Beans Gourmet, Vegetables (IQF Broccoli), Vegetables (IQF Diced Onion), Vegetables (IQF Diced Pepper), Vegetables (IQF Celery), Vegetables (Organic *IQF Kale,), Whole Organic Vanilla Beans; Dry/Baking Goods: Cocoa Organic Butter, Coconut Butter/Creamed Coconut, Deodorized Cocoa Butter, Flours and Meals (Gluten Free Oat Flour), Flours and Meals (Coconut Flour), Flours and Meals (ORGANIC GLUTEN FREE WHOLE OAT FLOUR), Flours and Meals (Organic Tigernut Xfine Flour), Flours and Meals (Tigernut Flour, Organic), Flours and Meals (Arrowroot Flour), Flours and Meals (Banana Flour), Flours and Meals (Brown Rice Flour), Flours and Meals (Coconut Flour), Flours and Meals (Sorghum Flour), Flours and Meals (White Rice Flour), Powders (Brown Rice Protein (Powder)), Powders (Powder Blends (Various)), Powders (Psyllium Powder), Powders (Shatavari Root Powder), Powders (Coconut Milk Powder), Powders (Date Powder), Powders (Spray Dried Tamari Soy Sauce Powder - Wheat Free), Powders (Vanilla Powder), Sugar (Cane Sugar), Sugar (Coconut Sugar), Sugar (Coconut Sugar Crystal), Sugar (Coconut sugar (Coconut palm sugar/Coconut sap sugar)), Sugar (Desiccated Coconut - Medium), Sugar (Powdered Sugar); Condiments and Sweeteners: Honey (Honey), Vinegar (Grain Vinegar White Vinegar), Vinegar (White Vinegar Powder); Beverage Related Products: Aseptic coconut milk 18% fat, Coconut Cream Coconut Milk 18% (20 Kg), Coconut Milk (34510, 34513), Juice (Lemon Juice Concentrate), Purees (Apple Puree, Concentrate), Tea (Chamomile); Other: Agostoni Fairtrade Cocoa Liquor, Air Dry Beetroot (Cuts,slice, cut, powder, minced), Blueberry (Powder/ Juice powder/extract), Citrus Fiber, Citrus Fiber (Citri-Fi 400FG), Coconut - Creamed, Coconut Cream Coconut Cream 24%, Coconut Flour / Coconut Fiber, Creamed Coconut, Crisp Rice - OCR-164, Date Paste, Dried Cherries, Dried Montmorency, Dried, Sliced Portabella, Fermented and / or Washed Dry Grain Cocoa, IQF Peeled Organic Russet Potato Dice, Maple Syrup Grade A Dark Color Robust Taste, Oat Flake, Organic Chickpea Broth, Other - Proteins (Various), Palm Shortening CFC, Pea (Powder/ protein/starch/fiber), Pomegranate (Powder/Extract/Juice powder), Spray Dried Gum Arabic, Tart Cherries Sweetened, Umami Mushroom Blend</t>
  </si>
  <si>
    <t>Other: Custom Heat Sterilization, Custom Steam Sterilization, and Labeling of Dehydrated Fruits, Mushrooms and Vegetables, Flours, Grains, Herbs, Nuts, Protein Powders, Rice Hulls, Seeds, Spices, and Teas</t>
  </si>
  <si>
    <t>Other: Custom Heat Sterilization, Custom Steam Sterilization, and Bulk Labeling of Beans, Flours, Grains, Meals, Nuts, Powders, Pulses, Seeds, Spices, and Teas</t>
  </si>
  <si>
    <t>Other: Baking Supplies - Corn Starch, Baking Supplies - Tapioca Starch, Baking Supplies- Palmfruit Shortening (RBD/S), Butters - Creamed Coconut, Butters - No Salt Creamy Peanut Butter, Butters - No Salt Crunchy Peanut Butter, Butters - Salted Creamy Peanut Butter, Butters - Salted Crunchy Peanut Butter, Candy - Clover HoneyStix, Candy - Natural AgaveStix, Canned Products - Coconut Milk 17-19% Fat, Canned Products -Coconut Milk 14-16% Fat, Cereal - 7 Grain Cereal Flakes, Chocolate - Dutch Cocoa Powder 10 - 12%, Chocolate - Semi Sweet Chocolate Chips 1M, Desiccated Coconut Medium, Flavorings - Chocolate Flavor, Flavorings - Pure Natural Vanilla Extract, Flavorings - Pure Vanilla Powder, Flour - All Winter Flour, Flour - Baker's Artisan Craft Flour, Flour - Beehive All Purpose Flour, Flour - Brown Rice Flour, Flour - Dark Rye Flour, Flour - High Gluten Unbleached Flour, Flour - High Protein Fine Whole Wheat Flour, Flour - Oat Flour, Flour - Type 85 Malted Wheat Flour, Flour - Unbleached Enriched Wheat Flour, Flour - Unbleached Pastry Flour, Flour - Whole Wheat Pastry Flour, Fruit, Dried - Coconut Chips, Fruit, Dried - Cultivated Blueberries, Fruit, Dried - Date Pieces with Oat Flour, Fruit, Dried - Fairtrade Coconut Chips, Fruit, Dried - Fancy Medjool Dates, Fruit, Dried - High Fat Fine Desiccated Coconut, Fruit, Dried - High Fat Medium Desiccated Coconut, Fruit, Dried - Mango Cheeks, Fruit, Dried - Natural Seedless Raisins, Fruit, Dried - Sweetened Dried Sliced Cranberries, Grains - Barley Flakes, Grains - Black Quinoa, Grains - Coarse Oat Bran, Grains - Cracked Rye, Grains - Gluten Free Regular Rolled Oats, Grains - Hard Red Winter Wheat Berries, Grains - Hulled Millet, Grains - Oat Fiber, Grains - Quick Rolled Oats, Grains - Quinoa, Grains - Red Quinoa, Grains - Regular Rolled Oats, Grains - Rye Berries, Grains - Thick Rolled Oats, Grains - Wheat Bran, Grains - Wheat Flakes, Ground Cinnamon 3%, Honey - Clover Blossom Honey, Honey - Clover Honey, Honey - Clover Honey (NP), Honey - ELA Brazil Trop Blossom UP Honey High Moisture, Honey - ELA Brazilian Mild Flavor Retail/Raw UP Honey, Honey - ELA Brazilian Tropical Blossom UP Honey, Honey - ELA Brazilian UP Honey, Honey - ELA Brazilian UP Honey High Moisture, Honey - ELA Indian UP Honey, Honey - ELA Mexican UP Honey, Honey - Fair Trade Simply Strained Honey, Honey - Honey, Honey - Honey Blends - All types, Honey - HoneyStix Clover Honey, Honey - LA Brazilian Tropical Blossom UP Honey, Honey - LA Indian UP Honey, Honey - Liquid Raw Honey, Honey - Raw Clover Honey, Honey - Raw Honey, Honey - Simply Strained Honey, Honey - Tropical Blossom Honey, Honey - Tropical Blossom Honey w/ Heater, Honey - Tropical Blossom Simply Strained Honey, Honey - Tropical Blossom Special #2 Honey (NP), Honey - Tropical Blossom Special #3 (with heater), Honey - White Brazilian UP Honey, Nutritional Products - Fresh Royal Jelly, Nutritional Products - Fresh Royal Jelly, Nuts - Dry Roasted &amp; No Salt Split Peanuts, Nuts - Light Walnut Halves and Pieces, Nuts - Medium Diced Dry Roasted Almonds, Nuts - Raw Large White Cashew Pieces, Nuts - Whole Spanish Almonds, Oils - 80 % Sunflower Oil, 20 % Olive Oil Blend, Oils - Coconut Oil, Oils - Extra Virgin Olive Oil, Oils - Sunflower Oil High Oleic, Oils - Unrefined Virgin Coconut Oil, Oils - Unrefined Virgin Coconut Oil, Rice - California White Basmati Rice, Seeds - Black Chia Seeds, Seeds - Great Seed Topping, Seeds - Hulled Raw Pumpkin Seeds AA, Seeds - Hulled White Sesame Seeds, Seeds - Multi Seed Blend, Seeds - Natural Blue Poppy Seeds, Seeds - Raw Sunflower Seed Kernels Bakery Grade, Seeds - Whole Brown Flax Seeds, Spices &amp; Herbs - Garlic Powder, Spices &amp; Herbs - Korintji Cinnamon (Cassia) Grade A, Spices &amp; Herbs - Tamarind Paste (Puree), Spices &amp; Herbs - Tamarind Puree, Sweeteners - Brown Rice Syrup 42 DE w/ Heater, Sweeteners - Brown Rice Syrup 60 DE, Sweeteners - Brown Rice Syrup 60 DE w/ Heater, Sweeteners - Coconut Sugar, Sweeteners - Coconut Sugar, Fine Sifted, Sweeteners - Dark Barley Malt Extract, Sweeteners - Dark Brown Cane Sugar, Sweeteners - Dry Barley Malt, Sweeteners - Evaporated Cane Sugar, Sweeteners - Light Brown Cane Sugar, Sweeteners - Maple Sugar, Sweeteners - Maple Syrup Grade A Dark, Sweeteners - Maple Syrup Grade A Very Dark, Sweeteners - Maple Syrup Processing Grade, Sweeteners - Powdered Cane Sugar, Sweeteners - Premium Light Blue Agave Syrup, Sweeteners - Raw Light Agave Syrup, Sweeteners - Raw Light Agave Syrup, Sweeteners - Spray Dried Honey TM, Sweeteners - Sucanat, Sweeteners - Tapioca Syrup 28 DE, Sweeteners - Tapioca Syrup 60 DE, Sweeteners - Unsulphured Blackstrap Molasses, Sweeteners - Unsulphured Sweet Molasses, Vinegar - Apple Cider Vinegar</t>
  </si>
  <si>
    <t>Processed  Items: Dextrose Monohydrate DE 90 to 96, Infant safe solid 1 to 45 DE, Maltodextrin Rice, Rice milk powder, Rice Protein 40% to 80%, Rice protein Feed Grade, Rice protein Food Grade, Rice Starch, Soluble Protein, Tapioca Maltodextrin; Other Grains, Pastas and Cereals: Rice (Brown Basmati Rice), Rice (Brown rice flour), Rice (Rice Broken Long grain Brown), Rice (Rice Broken Long grain White), Rice (Rice long grain brown), Rice (Rice long grain white), Rice (White Basmati rice.), Rice Drink Concentrate, Wheat (Wheat); Condiments and Sweeteners: Brown Rice Syrup 28-64 DE (Recipe 01), Brown Rice Syrup 28-64 DE (Recipe 02), Brown Rice Syrup 28-64 DE (Recipe 3), Brown Rice Syrup Premium, Clarified Rice Syrup 28 to 64 DE, Infant Safe Syrup, Low Sugar Syrup, Maltose syrup, Rice Fructose Syrup, Rice Syrup Solids 20 to 45 DE, Tapioca Fructose Syrup, Tapioca Solid Syrup, Tapioca Syrup 28 to 64 DE; Other: Brown Infant safe solid 1 to 45 DE, Paddy Long Grain, Rice Drink Powder, Rice Drink Premium, Rice Drink Solids, Tapioca starch, Wheat Flour, White Rice Flour, Whole Meal Rice Flour</t>
  </si>
  <si>
    <t>Other: Ancient Grains Plant Protein, Chocolate, Ancient Grains Plant Protein, Vanilla, Berry Coconut Granola, Dried Beets, Dried, Shredded Coconut, Freeze Dried Pineapple, Freeze Dried Raspberry, Freeze-Dried Kale, Nonfat Dry Milk, PB Lite, PFC Square Meal Plant - Chocolate, PFC Square Meal Plant - Vanilla, PFC Square Meal Whey - Chocolate, PFC Square Meal Whey - Vanilla, Powdered Oat Milk, Vanilla, Rolled Oats, Super Greens, Whey Protein, Vanilla</t>
  </si>
  <si>
    <t>Trees/Whole Plant Products/Flowers: Seeds (MILLET), Seeds (MOHA); Processed  Items: CANOLA EXPELLER, SOYBEAN EXPELLER, SUNFLOWER EXPELLER; Other Grains, Pastas and Cereals: Barley, CANOLA SEED, CORN, Oats (OAT), POPCORN, Quinoa, Rice (WHITE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(CHICKPEA FLOUR), Flours and Meals (BEAN FLOUR), Flours and Meals (SOY MEAL), Flours and Meals (PEANUT FLOUR)</t>
  </si>
  <si>
    <t>Other: AJWAIN, AJWAIN POWDER, ALMOND, Almond Oil, Aloe Vera Juice, ALOE VERA LEAVES, ALOE VERA LEAVES POWDER, AMARNATH FLOUR, AMARNATH SEED/RAM DHANA, AMLA, Amla Juice, Amla Powder, ANISE / ANISEED (SEED), ARHAR DAL (RED GRAM/PIGEON PEA), ASHWAGANDHA ROOT, Aswagandha Seed Oil, BAJRA FLOUR / ATTA, Banana Fresh, BARLEY ( OF SEED QUALITY), BARLEY FLOUR, BARLEY PORRIDGE/DALIA, BARLEY WHOLE, Basamati Paddy, Basil Seed Oil, Basmati Rice, BASMATI RICE, BASMATI RICE WHITE, Basmti Rice - Brown, BAY LEAF, BAY LEAF POWDER, BEATEN RICE, BENGAL GRAM (CHANA) FLOUR, BENGAL GRAM WHOLE, Bitter Gourd, BLACK CUMIN, BLACK GRAM FLOUR, BLACK GRAM SPLIT WHITE, BLACK PEPPER (GARBLED), BOERHAAVIA DIFFUSA (PUNERNEVA), Brinjal, Broken Rice, BROWN GRAM /GRAM/ CHANNA ( CICER ARIETINUM), Brown Mustard, Brown Rice, Brown Rice - Flakes, Brown Rice Flour, Buckwheat Flour, Cane Sugar, CARDAMOM, CARDAMOM LARGE (BLACK), CARDAMOM SEED, CARDAMOM TBC, CASHEW KERNEL (SHELLED WHOLE ), Cashew Kernel(W.320), Cashew Kernels (W180), Cashew Kernels (W210), Cashew Kernels (W240), Cashew Nut Roasted, CASHEW WHOLE, CASTOR OIL, Castor Seed, CASTOR SEEDS, CELERY SEED, CHANA DAL, CHANA MASALA, CHIA, CHICKPEA/ KABULI CHANA (GARBANZOS), CHILLI FLAKES, CHILLI POWDER, CHILLI WHOLE, CHILLI WHOLE (DRY), CHITRA KIDNEY BEANS / RAJMAH (PHASEOLUS VULGARIS ), CINNAMON, CINNAMON BARK, CINNAMON TBC, CLOVES, Coconut (Dried), Coconut Desiccated, COCONUT OIL, CORIANDER, Coriander Powder, CORIANDER SEED, CORIANDER SEED / WHOLE, CORIANDER SPLIT, COWPEA / LOBIA WHOLE ( V.UNGUICULATA/ SINESIS), COWPEA RED, Cucumber, CUMIN POWDER, CUMIN SEED, CUMIN WHOLE, CURRY LEAF POWDER, Dehydrated Garlic Flakes, DRIED CARDAMOM, DRIED CLOVE, DRIED NUTMEG SHELLED, EMBILCA OFFICINALIS (AMLA / INDIAN GOOSEBERYY), Extra Virgin Coconut Oil, FENNEL / SAUNF, FENNEL SEED, FENUGREEK SEED (METHI SEED), FINGER MILLET FLOUR, FLAX SEED, FLAX SEED POWDER, FOXTAIL MILLET, GARLIC, GARLIC FLAKES, Garlic Oil, Ginger Fresh, Ginger Oil, GINGER POWDER, GINGER SLICED (DRIED), Ginger Whole, GINGER WHOLE ( DRIED), Gram Flour/Besan//Besan / Bengal Gram Flour, GREEN CARDAMOM, Green Cardamom Powder, Green Chilli Fresh, GREEN GRAM /MOONG DHULI, GREEN GRAM FLOUR, GREEN GRAM SPLIT YELLOW/MOONG DAL-YELLOW, GREEN GRAM WHOLE (Moong sobut), Green Peas, Green Tea, GROUND NUT / PENUT, GROUNDNUT / PEANUT OIL, Groundnut Oil, Hulled Sesame / Sesamum, INDIAN ORGANIC BASMATI RICE, INDIAN ORGANIC BROWN BASMATI RICE, JAGGERY, JAGGERY POWDER, JAWAR ( SEED OF QUALITY), JOWAR FLOUR, KODO/KODON MILLET, LEMON GRASS, Lentil, MACE, MAIDA, MAIZE (CORN), MAIZE (CORN) FLAKE, MAIZE (CORN) FLOUR, MAIZE GRAIN, MANGO ( SLICE DRIED ), Mango Fresh, MANGO POWDER/ AAMCHUR, MASOOR DAL, MASUR / MASOOR DHULI, MATKI / MOTH BEAN, MIX MILLET FLOUR, MOONG DAL, MOONG DAL - SPLIT, MOTH DAL, MULTI GRAIN ATTA, MUSTARD, Mustard Black, Mustard Oil, MUSTARD OIL (REFINED), Mustard Oil //Mustard Oil/Sarso Oil, Non Bastmati Rice, NUTMEG WHOLE, OATS ( FLAKES ), Onion, ONION FLAKES, PEARL MILLET / BAJRA, PEPPERMINT LEAVES, PIGEON PEA/ ARHAR - BENGAL GRAM, Pineapple, POHA / CHIVDA, Poha Flattened Rice, Pomegranate (Fresh), Potato, PROSO MILLET, Psyillium Seed, Psyllium Husk Powder, PUMPKIN SEED, QUINOA, RAGI (FINGER MILLET - OTHER THAN SEED ), RAGI / FINGER MILLET GRAIN, RAGI FLOUR, RAISINS / KISMIS, RED CHILLI FLAKES, Red Chilli Powder, RED CHILLI WHOLES, RED KIDNEY BEANS / RAJMA ( PHASEOLUS VULGARIS ), RED LENTIL, RED RICE, Red Rice Paddy, Rice - Sonam Masuri, Rice Bran, Rice Flour, Rice Puffed, Rice Sonamasuri Hand Pound, SAFED MUSLI/ CHLOROPHYTUM BORIVILANUM, Safflower Seed Oil (Kardi Seed Oil), SAFFRON, Sawan/Barnyard Millet, SESAME /SESAMUM, Sesame Oil / Gingelly Oil, SESAME SEEDS, SORGHUM, SORGHUM FLOUR, Soyabean Oil, SOYABEAN/ SOYABEAN MEAL, Soyabean/Soyabean White, Spinach, SPLIT GREEN GRAM / MOONG ( VIGNA SP), SPLIT LENTIL, Sugar, Sugar Brown /Natural, SUJI/ SEMOLINA / CREAM OF WHEAT, SUNFLOWER OIL ( EDIBLE GRADE ), SUNFLOWER SEED ( SEED QUALITY), THYMES, Tomatoes Fresh, TURMERIC DRIED, TURMERIC FINGERS, TURMERIC FLAKES, TURMERIC POWDER, Turmeric Whole Dried, URAD DAL / SPLIT BLACK GRAM, Urad Dal Split, URAD DHULI, URAD WHOLE (BLACK), WALNUT, Watermelon, WHEAT, WHEAT FLAKES, WHEAT FLOUR, WHEAT GRAIN, WHEAT MAIDA, WHEAT PORRIDGE / DALIA, WHITE PEPPER, White Pepper Oil, WHITE RICE FLOUR, WHITE SESAME//Sesame, YELLOW MUSTARD</t>
  </si>
  <si>
    <t>Other: Bread (100% Whole Wheat, Ancient Grain &amp; Seed, White, Whole Wheat)</t>
  </si>
  <si>
    <t>Other: Organic 21 Grain Seeds (20 oz) Thin Sliced, Organic 21 Grain Seeds (27 oz), Seeded Whole Grain, Seeded Whole Grain- Thin Sliced</t>
  </si>
  <si>
    <t>Nuts/Seeds: Black chia grain, Black quinoa - Black quinoa grains, Brazil nut kernels, Peeled Peanut Kernel, Red quinoa - Red quinoa grains, Tricolor quinoa - Tricolor quinoa grains, White quinoa - White quinoa grains; Other: Beans Grain</t>
  </si>
  <si>
    <t>Other: Bread (Ancient Grains Sandwich Bread), Bread (Multigrain Bread), Bread (Sourdough Bread), Bread (White Bread), Bread (White Hamburger Buns), Bread (White Hot Dog Buns), Bread (Whole Wheat Hamburger Buns), Bread (Whole Wheat Sandwich Bread)</t>
  </si>
  <si>
    <t>Trees/Whole Plant Products/Flowers: Seeds (Alfalfa Seeds), Seeds (Broccoli Raab (wild)), Seeds (Broccoli Seed), Seeds (Certified compliant to the terms of the US/Canada Equivalency arrangement: Black Cumin Seeds), Seeds (Chia Black), Seeds (Chia White), Seeds (Cress Curley (wild)), Seeds (Flax Gold), Seeds (Flax-Brown), Seeds (Hemp Hearts (wild)), Seeds (Nigella Sativa (wild)), Seeds (Poppy Seeds), Seeds (Pumpkin Seeds), Seeds (Radish Seeds-Daikon), Seeds (Radish Seeds-Red), Seeds (Red Clover), Seeds (Sesame Seeds Hulled), Seeds (Sesame Seeds Natural (wild)), Seeds (Sesame Seeds-Black), Seeds (Sunflower Seed Hulled), Seeds (Sunflower Seeds), Seeds (Sunflower Seeds Sprouting); Processed  Items: Dehydrated Foods (Apple Rings), Dehydrated Foods (Apples Diced), Dehydrated Foods (Apricots Diced), Dehydrated Foods (Apricots Dried), Dehydrated Foods (Banana Chips), Dehydrated Foods (Banana Diced Unsweetened), Dehydrated Foods (Black Mulberries), Dehydrated Foods (Blueberries Sweetened Cultivated), Dehydrated Foods (Blueberries Sweetened Wild), Dehydrated Foods (Burdock root), Dehydrated Foods (Cherries Dried Tart), Dehydrated Foods (Cherries Tart Unsweetened), Dehydrated Foods (Coconut Chips), Dehydrated Foods (Coconut Fine Macaroon), Dehydrated Foods (Coconut Medium Shred), Dehydrated Foods (Cranberries Juice Sweetened), Dehydrated Foods (Cranberries Sweetened), Dehydrated Foods (Cranberries Unsweetened), Dehydrated Foods (Crystallized, sliced ginger), Dehydrated Foods (Currants), Dehydrated Foods (Dandelion root), Dehydrated Foods (Date Paste), Dehydrated Foods (Dates Pitted Deglet), Dehydrated Foods (Dates Whole Medjool), Dehydrated Foods (Figs Black Mission), Dehydrated Foods (Goji Berries), Dehydrated Foods (Goldenberries/Incaberries), Dehydrated Foods (Jackfruit #10 Cans), Dehydrated Foods (Mango Sliced), Dehydrated Foods (Moringa powder), Dehydrated Foods (Mulberries White), Dehydrated Foods (Pineapple Rings), Dehydrated Foods (Prunes Pitted), Dehydrated Foods (Raisins Flame), Dehydrated Foods (Raisins Sultana), Dehydrated Foods (Raisins Thompson), Dehydrated Foods (Tomatoes Sundried Halves), Dehydrated Foods (Turkish Figs), Dehydrated Foods (Unsweetned blueberries), Dehydrated Foods (Young Jackfruit), Ready to Eat Foods (Crunchy Peanut Butter), Ready to Eat Foods (Hazelnut Paste), Ready to Eat Foods (Muesli), Ready to Eat Foods (Peanut Butter), Ready to Eat Foods (Roasted Almond Butter), Ready to Eat Foods (Roasted Cashew Butter), Ready to Eat Foods (Toasted Tahini); Preservatives/Extracts/Flavors: Spices (Psyllium, husks ground), Spices (Annatto Powder), Spices (Ashwaghanda Powder), Spices (Basil Cut &amp; Sift), Spices (Basil Powder), Spices (Beet Root Powder), Spices (Black Pepper-Ground), Spices (Black Pepper-Whole), Spices (Caraway Seeds), Spices (Cardamom_x0002_-Ground), Spices (Cayenne Pepper Ground), Spices (Cayenne Pepper Ground-Hot), Spices (Chamomile Whole), Spices (Chili Powder Mild), Spices (Chili/Hot Pepper Flakes Medium-Hot), Spices (Chipotle Powder), Spices (Cilantro Flakes), Spices (Cinnamon Powder Ceylon), Spices (Cinnamon-Ground), Spices (Cloves Whole), Spices (Cloves-Ground), Spices (Coconut Aminos), Spices (Coriander-Ground), Spices (Cumin Seed-Ground), Spices (Cumin Seed-Whole), Spices (Curry Powder), Spices (Dill Cut &amp; Sift), Spices (Elderberries Whole), Spices (Fennel Whole), Spices (Fenugreek Seed Ground), Spices (Fenugreek Seeds), Spices (Garlic Granules), Spices (Garlic Minced Dried), Spices (Garlic Powder), Spices (Ginger Ground), Spices (Habanero Ground), Spices (Hibiscus Cut &amp; Sift), Spices (Hibiscus Dried), Spices (Jalapeno Powder), Spices (Lavender English Blue Whole), Spices (Maca Powder), Spices (Mustard Seed Whole), Spices (Nutmeg Ground), Spices (Nutritional Yeast), Spices (Oil-Extra Virgin Coconut), Spices (Onion Powder), Spices (Onion-Minced), Spices (Oregano), Spices (Paprika Ground), Spices (Paprika Ground Smoked), Spices (Parsley Flakes), Spices (Peppermint), Spices (Rosemary Ground), Spices (Rosemary-Dried), Spices (Sage Ground), Spices (Spirulina Powder), Spices (Thyme Flakes), Spices (Thyme Ground), Spices (Turmeric-Ground), Spices (White Pepper Ground), Spices (Yellow Mustard Powder), Spices (Yellow Mustard Seed); Other Grains, Pastas and Cereals: Amaranth, Barley (Barley Hulles), Barley (Barley pearled), Barley (Barley-Sprouting), Cereal (Barley Flakes), Cereal (Bulgur), Cereal (Couscous), Cereal (Couscous Israeli/Pear), Cereal (Couscous Whole Wheat), Cereal (Nine Grain Cracked Cereal), Cereal (Oat Bran), Cereal (Oats Rolled Instant), Cereal (Oats Rolled Quick), Cereal (Oats Rolled Regular), Cereal (Oats Rolled Regular Gluten Free), Cereal (Oats Steel Cut), Cereal (Oats Thick Cut), Cereal (Polenta), Cereal (Potato Flakes), Cereal (Quinoa Flakes), Cereal (Rye Flakes), Cereal (Wheat Bran), Corn Blue, Corn Yellow, Einkorn, Farro Emmer, Kamut, Millet Hulled, Millet Unhulled, Oats (Oat Groats), Oats (Oats Hulles), Pasta (Angel Hair), Pasta (Bowties), Pasta (Quinoa Orzo (Andean Dream)), Pasta (Quinoa Elbows (Andean Dream)), Pasta (Quinoa Fusili (Edison Grain)), Pasta (Quinoa Orzo (Edison Grain)), Pasta (Quinoa Penne), Pasta (Quinoa Penne Turmeric (Andean Dream)), Pasta (Quinoa Spaghetti (Andean Dream)), Pasta (Roteli), Pasta (Sorghum Penne), Pasta (Spaghetti), Pasta (Wagon Wheels), Pasta (White Rice Pad Thai Noodles), Pasta (Whole Wheat Roteli), Popcorn-Multicolor, Popcorn-White, Popcorn-Yellow, Quinoa (Quinoa Black), Quinoa (Quinoa Red), Quinoa (Quinoa White), Rice (Arborio White), Rice (Basmati- Brown), Rice (Basmati-White), Rice (Black), Rice (Brown Long), Rice (Brown Medium), Rice (Brown Short), Rice (Brown/Wild Blend), Rice (Eco Farm- Brown Long), Rice (Eco Farm- Brown Short), Rice (Eco Farm-Basmati White), Rice (Jade rice), Rice (Jasmine Brown), Rice (Jasmine White), Rice (Rice-Long), Rice (Rice-Red), Rice (Rice-White), Rice (Sushi White), Rye Berries, Seven Grain Mix, Sorghum (Sorghum Grain), Spelt Grain, Triticale, Wheat (Buckwheat Groats), Wheat (Buckwheat Groats Hulled US), Wheat (Buckwheat Hulls), Wheat (Buckwheat Roasted Kasha), Wheat (Buckwheat Whole), Wheat (Wheat-Hard Red Winter), Wheat (Wheat-Hard White), Wheat (Wheat-Soft White), Wheat (Wheat-Turkey Red); Oils &amp; Oleoresins: Oils (Avocado Oil), Oils (Canola Oil), Oils (Coconut Oil–MCT), Oils (Coconut Oil-Refined), Oils (Olive Oil), Oils (Palm Shortening), Oils (Safflower Oi), Oils (Sesame Oil), Oils (Sunflower Oil), Oils (Tamari Soy Sauce); Nuts/Seeds: Almonds (Almonds Blanched), Almonds (Almonds Dark Chocolate), Almonds (Almonds Sliced), Almonds (Almonds Spanish), Almonds (Almonds US), Brazil Nut, Cashew Nuts (Cashew Pieces), Cashew Nuts (Cashews Dry Roasted Whole), Cashew Nuts (Cashews Whole), Cashew Nuts (Oil Roasted and Salted), Hazelnut (Hazelnuts), Macadamia (Macadamia Nuts), Macadamia (Macadamia Pieces), Peanuts (Peanut Butter Stock), Peanuts (Peanuts-Raw Shelled), Pecans (Pecan Halves), Pecans (Pecan Pieces), Pine Nuts, Pistachios (Pistachio Raw Meat), Pistachios (Pistachios Raw In-Shell), Walnuts (Walnut Pieces); Fruits/Vegetables: Beans (Large Lima Beans), Beans (7 Bean Soup Mix), Beans (Adzuki Beans), Beans (Anasazi Beans), Beans (Baby Lima Beans), Beans (Black Beans), Beans (Blackeye Peas), Beans (Canned Good- Black Beans), Beans (Canned Good- Garbanzo Beans), Beans (Canned Good- Pinto Beans), Beans (Cannellini Beans), Beans (Cranberry Beans), Beans (Fava Beans), Beans (Garbanzo Beans), Beans (Great Northern Beans), Beans (Green Split Peas), Beans (Kidney Beans), Beans (Lentils Golden Yellow), Beans (Lentils Red Skin Off), Beans (Lentils Red Skin On), Beans (Lentils-Black), Beans (Lentils-French Green), Beans (Lentils-Green), Beans (Mung Beans), Beans (Mung Beans Split), Beans (Navy Beans), Beans (Pinto Beans), Beans (Small Red Beans), Beans (Soybeans), Beans (Soybeans-Black), Beans (Whole Green), Beans (Yellow Split), Beans (Yellow Sprouting Peas), Canned Good- Tomato Puree, Canned Good- Tomatoes Crushed, Canned Good- Tomatoes Diced, Canned Good- Tomatoes Fire Roasted, Canned Good- Tomatoes Ground Peeled, Canned Good- Tomatoes Paste, Canned Good- Tomatoes Sauce; Dry/Baking Goods: Baking Mixes (Cocoa Powder Natural), Baking Mixes (Cacao Butter), Baking Mixes (Cacao Nibs), Baking Mixes (Chocolate Chips Coconut Sweetened Dark), Baking Mixes (Chocolate Chips Dark Coconut Sweetened Vegan), Baking Mixes (Chocolate Chips Semi-Seet Medium), Baking Mixes (Chocolate Chips Semi-Sweet), Baking Mixes (Chocolate Chips White), Baking Mixes (Chocolate Chunks Vegan), Baking Mixes (Cocoa Powder Black), Baking Mixes (Cocoa Powder Black Alkalized), Baking Mixes (Cocoa Powder Dutch Alkalized), Baking Mixes (Coconut Cream), Baking Mixes (Coconut Milk), Baking Mixes (Instant Bakers Yeast), Baking Mixes (Peanutbutter Chips Vegan), Baking Mixes (Vanilla Extract), Baking Mixes (Vegan Chocolate Chips 70%), Flours and Meals (Strong Bread Flour), Flours and Meals (Almond Meal), Flours and Meals (Arrowroot Powder), Flours and Meals (Barley Flour), Flours and Meals (Brown Flax Meal Ground), Flours and Meals (Buckwheat Flour), Flours and Meals (Cassava Flour), Flours and Meals (Coconut Flour), Flours and Meals (Cornmeal Blue), Flours and Meals (Cornmeal Yellow), Flours and Meals (Durum Flour), Flours and Meals (Garbanzo Flour), Flours and Meals (Kamut Flour), Flours and Meals (Kamut White Flour), Flours and Meals (Malted Barley Flour), Flours and Meals (Millet Flour), Flours and Meals (Oat Flour), Flours and Meals (Oat Flour Gluten Free), Flours and Meals (Potato Flour), Flours and Meals (Quinoa Flour), Flours and Meals (Red Lentil Flour), Flours and Meals (Rice Flour-Brown), Flours and Meals (Rye Flour Whole), Flours and Meals (Semolina Flour), Flours and Meals (Sorghum Flour), Flours and Meals (Spelt Flour-White), Flours and Meals (Spelt Flour-Whole), Flours and Meals (Tapioca Starch), Flours and Meals (Wheat Flour Turkey Red All Purpose), Flours and Meals (Wheat Flour-All Purpose White), Flours and Meals (Wheat Flour-Whole Wheat), Flours and Meals (Wheat Flour-Whole Wheat Pastry), Flours and Meals (White Rice Flour), Flours and Meals (Brown Rice Flour), Powders (Pea protein); Condiments and Sweeteners: Sweeteners (Agave Powder), Sweeteners (Agave Syrup), Sweeteners (Coconut Nectar), Sweeteners (Coconut Sugar), Sweeteners (Date Paste), Sweeteners (Honey-Clover), Sweeteners (Honey-Wildflower), Sweeteners (Maple Syrup), Sweeteners (Panela), Sweeteners (Rice Syrup), Sweeteners (Sorghum Syrup), Sweeteners (Sugar White Unbleached), Sweeteners (Sugar-Powdered), Sweeteners (Sugar-Raw Cane), Sweeteners (Molasses, Canerite Dark), Sweeteners (Molasses, Dark Blackstrap), Sweeteners (Molasses, light), Vinegar (apple cider vinegar raw unfiltered organic), Vinegar (Balsamic), Vinegar (Distilled white); Bread/Bakery/Snacks: Snack Mixes (Cherry Sunshine Trail Mix), Snack Mixes (Chocolate Sunshine Trail Mix), Snack Mixes (Raw Intensity Trail Mix), Snack Mixes (Tropical Sunshine Trail Mix); Beverage Related Products: Juice (Coconut Water), Tea (Matcha Green), Tea (Sencha); Animal Feed: Livestock Feed (Oats-Whole Unhulled), Livestock Feed (Sunflower Birdseed)</t>
  </si>
  <si>
    <t>Meat Products: Chicken (Lightly Breaded Chicken Chunks), Chicken (Buffalo Style Chicken Tenders), Chicken (Chicken Nuggets-Under the Sea Shaped Patties), Chicken (Gluten Free Chicken Nuggets), Chicken (Gluten Free Chicken Nuggets Animal Shapes), Chicken (Grilled Chicken Chunks), Chicken (Grilled Chicken Strips), Chicken (Homestyle Chicken Tenders), Chicken (Whole Grain Chicken Chunks)</t>
  </si>
  <si>
    <t>Other Grains, Pastas and Cereals: Wheat (Hard Red Winter Wheat), Wheat (Millet), Wheat (Proso)</t>
  </si>
  <si>
    <t>Other Grains, Pastas and Cereals: Cereal (100% Organic: Golden Prairie Organic Millet (hulled, in hull, bin run)), Oats (Gluten Free Rolled Oats)</t>
  </si>
  <si>
    <t>Other: Brown Phka Malis Rice [RIZ BIO MOISSON ORIENT BRUN], Brown Phka Rumduol Broken Rice, Brown Phka Rumduol Rice, Brown Sticky Rice, CAMBODIAN JASMINE BROWN RICE, CAMBODIAN JASMINE RED RICE, CAMBODIAN JASMINE WHITE RICE, CAMBODIAN ORGANIC JASMINE LONG GRAIN BROWN RICE 5% BROKEN, CAMBODIAN ORGANIC JASMINE LONG GRAIN RED RICE 5% BROKEN, CAMBODIAN ORGANIC JASMINE LONG GRAIN WHITE RICE 5% BROKEN, Local Variety Brown Rice, Local Variety White Rice, Paddy rice, Red Phka Malis Broken Rice, Red Phka Malis Rice [RIZ BIO MOISSON ORIENT RGE], Rice Bran, Rice husk, Semi-milled Phka Malis Rice, Semi-milled Phka Rumduol Rice, White Phka Malis Broken Rice, White Phka Malis Rice [RIZ BIO MOISSON ORIENT BLC], White Phka Rumduol Broken Rice, White Phka Rumduol Rice, White Sticky Rice</t>
  </si>
  <si>
    <t>Other Grains, Pastas and Cereals: Barley, Barley (Pearl barley (Also called: Coix)), Buckwheat, Flax seed, Hemp seed, Hulled buckwheat (Also called: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 Green soybean with green inside)), Beans (Hulled mung bean), Beans (Lentil (Also called: Green lentill)), Beans (Light speckled kidney bean (Also called: Pinto bean)), Beans (Mung bean (Also called: Green mung bean)),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Vegetables (Chickpea), Vegetables (Pumpkin seed shine skin (Also called: Pumpkin seed SS)), Vegetables (Pea (Also called: Green pea; Yellow pea)), Vegetables (Pumpkin kernel SS (Also called: Pumpkin kernel shine skin)), Vegetables (Pumpkin seed grown without shell (Also called: Pumpkin seed GWS)); Dry/Baking Goods: Flours and Meals (Wheat powder/flour), Flours and Meals (Oat powder/flour)</t>
  </si>
  <si>
    <t>Other Grains, Pastas and Cereals: Barley (Barley), Barley (Pearl barley (Also called: Coix)), Buckwheat, Flax seed, Hemp seed, Hulled buckwheat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kernel/Green soybean with green inside)), Beans (Hulled mung bean), Beans (Lentil (green lentil, red lentil)), Beans (Light speckled kidney bean (Also called: Pinto bean)), Beans (Mung bean (green mung bean)), Beans (Adzuki bean (Also called: Small red bean/Red small bean)), Beans (Black kidney bean), Beans (Black soybean (also called: black soybean with green kernel; black soybean with green inside; black soybean with yellow kernel; black soybean with yellow inside)), Beans (Red kidney bean (also called: dark red kidney bean)), Beans (Soybean), Beans (White kidney bean), Vegetables (Chickpea), Vegetables (Pea (also called: green pea; yellow pea)), Vegetables (Pumpkin kernel SS (also called: pumpkin kernel shine skin)), Vegetables (Pumpkin seed grown without shell (also called: pumpkin seed GWS)), Vegetables (Pumpkin seed shine skin (also called: pumpkin seed SS)); Dry/Baking Goods: Flours and Meals (Oat powder/flour), Flours and Meals (Wheat powder/flour)</t>
  </si>
  <si>
    <t>Other Grains, Pastas and Cereals: Pasta (Organic 2-Color Rice Pasta - Different short goods shapes, Organic 3 - Color Rice Pasta - Different short goods shapes, Organic Black Rice &amp; Quinoa Pasta - Different short goods shapes, Organic Cassava Pasta - Different short goods shapes, Organic Chickpea &amp; Quinoa Pasta - Different short goods shapes, Organic Chickpea Pasta - Different short goods shapes, Organic Edamame &amp; Mung Bean Pasta - Different short goods shapes, Organic Fava Bean Pasta –Different short goods shapes, Organic Green Lentil Pasta - Different short goods shapes, Organic Multi-Color Bean Pasta - Different short goods shapes, Organic Mung Bean Pasta - Different short goods shapes, Organic Red Lentil &amp; Quinoa Pasta - Different short goods shapes, Organic Red Lentil Pasta - Different short goods shapes, Organic Red Rice &amp; Quinoa Pasta - Different short goods shapes, Organic Thai Black Rice Pasta - Different short goods shapes, Organic Thai Red Rice Pasta - Different short goods shapes, Organic Thai Rice, Bean and Vegetable Pasta – Different short goods shapes, Organic Thai Wholegrain Rice Pasta - Different short goods shapes, Organic Wholegrain Rice &amp; Quinoa Pasta - Different short goods shapes), Rice (Organic Cargo Rice ( Long Grain / Hom Mali / Black / Red / Local Variety Mah Yaeng / Sticky Rice ), Organic Paddy ( Long Grain / Hom Mali / Black / Red / Local Variety Mah Yaeng / Sticky Rice ), Organic White Rice ( Long Grain / Hom Mali / Sticky Rice)); Dry/Baking Goods: Flours and Meals (Organic Black Rice Flour, Organic Cassava Flour, Organic Chickpea Flour, Organic Edamame Flour, Organic Fava Bean Flour (Broad Bean Flour), Organic Green Lentil Flour, Organic Green Pea Flour, Organic Hom Mali Rice Flour (Brown/White), Organic Local Variety Rice Flour (Mah Yaeng), Organic Long Grain Rice Flour (Brown/White), Organic Mung Bean Flour, Organic Quinoa Flour (White / Red / Black), Organic Red Lentil Flour, Organic Red Rice Flour, Organic Sticky Rice Flour, Organic Thai Rice and Vegetable Pasta – Different short goods shapes); Other: Organic 2-Color Quinoa, Organic 3-Color Quinoa, Organic Bean ( Red Lentil / Chickpea / Mung Bean / Fava Bean (Broad Bean) / Adzuki Bean / Green Pea / Green Lentil ), Organic Quinoa (White / Red / Black)</t>
  </si>
  <si>
    <t>Other: Black Beans (Vegetarian Refried Black Beans with Jalapeño Peppers), Broccoli (Riced), Cauliflower (Riced), Farro, Grain Blend (7 Grain Rice), Grain Blend (Black Beans and Brown Rice), Grain Blend (Pearled Farro), Grain Blend (Quinoa &amp; Barley), Grain Blend (Seven Grain), Grain Blend (Seven Grain Blend), Grain Blend (White and Red Quinoa), Grain Blend (Whole Grain Brown Rice), Grain Blend (Whole Grain Brown Rice, Lentil and Quinoa), Grain Blend (Wholesome Pantry Brown Rice &amp; Lentils), Grain Blend (Wholesome Pantry Quinoa &amp; Brown Rice), Grain Blend (Wholesome Pantry Seven Grain Rice), Lentils (Barley &amp; Lentils), Lentils (Lentils), Pinto Beans (Bayo Refried Beans with Jalapeño Peppers and Lime), Pinto Beans (Pinto Beans Salsa Style), Pinto Beans (Vegetarian Refried Pinto  Beans with Salsa), Quinoa (Red &amp; White), Quinoa (White with Olive Oil), Refried Black Beans, Refried Pinto Beans, Refried Pinto Beans (Bayo Refried Beans Traditional), Refried Pinto Beans (Black Refried Beans Smoky Chipotle ), Refried Pinto Beans (Salsa Style), Salsa (Pico de Gallo), Salsa (Verde), Salsa Roja</t>
  </si>
  <si>
    <t>Other Grains, Pastas and Cereals: Barley, Corn, Rice (Rice), Rice (Rice protein), Sesame, Soybean, Wheat; Oils &amp; Oleoresins: Oils (Soybean oil crude), Oils (Sunflower oil crude), Rapeseed lecithin (crude), Soybean lecithin crude, Sunflower lecithin crude; Nuts/Seeds: Flax seed, Sunflower seed; Dry/Baking Goods: Pea protein, Potato protein, Powders (Flaxseed protein powder), Soybean protein; Animal Feed: Livestock Feed (Soybean meal/cake/expeller), Livestock Feed (Sesame meal/cake/expeller), Livestock Feed (Flax seed meal/cake/expeller), Livestock Feed (Rapeseed meal/cake/expeller (canola meal/cake/expeller)), Livestock Feed (Sunflower meal/cake/expeller), Livestock Feed (Sunflower seed meal/cake/expeller), Livestock Feed (Mixed feed), Livestock Feed (Corn gluten), Livestock Feed (Corn gluten meal), Livestock Feed (Corn germ meal (cake)), Livestock Feed (Wheat gluten)</t>
  </si>
  <si>
    <t>Other: Mushroom spawn (Abalone Oyster Grain Spawn (Pleurotus cystidiosus)), Mushroom spawn (Abalone Oyster Liquid Culture (Pleurotus cystidiosus)), Mushroom spawn (Black Pearl Oyster Grain Spawn), Mushroom spawn (Black Pearl Oyster Liquid Culture), Mushroom spawn (Blue Oyster Grain Spawn), Mushroom spawn (Blue Oyster Liquid Culture), Mushroom spawn (Brown Beech Grain Spawn), Mushroom spawn (Brown Beech Liquid Culture), Mushroom spawn (Chestnut Grain Spawn), Mushroom spawn (Chestnut Liquid Culture), Mushroom spawn (Gold Enoki Grain Spawn), Mushroom spawn (Gold Enoki Liquid Culture), Mushroom spawn (King Oyster Grain Spawn), Mushroom spawn (King Oyster Liquid Culture), Mushroom spawn (Lion's Mane Grain Spawn), Mushroom spawn (Lion's Mane Liquid Culture), Mushroom spawn (Maitake Grain Spawn), Mushroom spawn (Maitake Liquid Culture), Mushroom spawn (Pink Oyster Grain Spawn), Mushroom spawn (Pink Oyster Liquid Culture), Mushroom spawn (Pioppino Grain Spawn), Mushroom spawn (Pioppino Liquid Culture), Mushroom spawn (Reishi Grain Spawn), Mushroom spawn (Reishi Liquid Culture), Mushroom spawn (Shitake Grain Spawn), Mushroom spawn (Shitake Liquid Culture), Mushroom spawn (Yellow Oyster Grain Spawn), Mushroom spawn (Yellow Oyster Liquid Culture), Mushrooms (Abalone Oyster Substrate (Pleurotus cystidiosus) (Mushroom Kit)), Mushrooms (Apollo Blend Substrate (Mushroom Kit)), Mushrooms (Black Oyster), Mushrooms (Black Pearl Oyster Substrate (Mushroom Kit)), Mushrooms (Blue Oyster), Mushrooms (Blue Oyster Substrate (Mushroom Kit)), Mushrooms (Brown Beech Substrate (Mushroom Kit)), Mushrooms (Bulk organic mushrooms), Mushrooms (Chestnut Substrate (Mushroom Kit)), Mushrooms (Gold Enoki Substrate (Mushroom Kit)), Mushrooms (King Oyster), Mushrooms (King Oyster Substrate (Mushroom Kit)), Mushrooms (Lion's Mane), Mushrooms (Lion's Mane Substrate (Mushroom Kit)), Mushrooms (Maitake), Mushrooms (Maitake Substrate (Mushroom Kit)), Mushrooms (Oyster Mushrooms), Mushrooms (Pink Oyster Substrate (Mushroom Kit)), Mushrooms (Pioppino Substrate (Mushroom Kit)), Mushrooms (Pluto Blend Substrate (Mushroom Kit)), Mushrooms (Reishi Substrate (Mushroom Kit)), Mushrooms (Shiitake), Mushrooms (Shitake Substrate (Mushroom Kit)), Mushrooms (Trumpet Mushrooms), Mushrooms (Umami Mushrooms), Mushrooms (Yellow Oyster), Mushrooms (Yellow Oyster Substrate (Mushroom Kit))</t>
  </si>
  <si>
    <t>Other Grains, Pastas and Cereals: Wheat (Whole Wheat Berries); Dry/Baking Goods: Flours and Meals (Stone Ground Whole Wheat Flour)</t>
  </si>
  <si>
    <t>Processed  Items: Ready to Eat Foods (Barley &amp; Lentils), Ready to Eat Foods (Brown Rice &amp; Quinoa), Ready to Eat Foods (Farro), Ready to Eat Foods (Jasmine Rice), Ready to Eat Foods (Mixed Quinoa), Ready to Eat Foods (Quinoa &amp; Barley), Ready to Eat Foods (Red &amp; White Quinoa), Ready to Eat Foods (Salad Protein Booster Garlic &amp; Herb Cooked Lentils and Quinoa), Ready to Eat Foods (Salad Protein Booster Hint of Lemon Cooked Edamames and Quinoa), Ready to Eat Foods (Salad Protein Booster Hint of Lemon Cooked Edamames and Quinoa Food Service), Ready to Eat Foods (Salad Protein Booster Seasoned Cooked Lentils and Quinoa), Ready to Eat Foods (Seven Grain), Ready to Eat Foods (Seven Grain Blend); Other Grains, Pastas and Cereals: Quinoa (Quinoa Mix), Quinoa (Quinoa Royal Red), Quinoa (Quinoa Royal Tri-Color), Quinoa (Quinoa Royal White), Quinoa (Rice &amp; Quinoa), Rice (White Rice); Fruits/Vegetables: Beans (Black Beans), Beans (Black Beans In Water &amp; Sea Salt), Beans (ELFAVE Organic Black Beans), Beans (ELFAVE Organic Garbanzo Beans), Beans (ELFAVE Organic Lentils), Beans (ELFAVE Organic Pinto Beans), Beans (ELFAVE Organic Red Kidney Beans), Beans (Garbanzo Beans), Beans (Garbanzo Beans in Water &amp; Sea Salt), Beans (Kidney Beans), Beans (Kidney Beans in Water &amp; Sea Salt), Beans (Pinto Beans), Beans (Pinto Beans in Water &amp; Sea Salt), Beans (Refried Black Beans), Beans (Refried Pinto Beans), Beans (Rice &amp; Beans)</t>
  </si>
  <si>
    <t>Other: Algodón, desgranado o en masa</t>
  </si>
  <si>
    <t>Other: Black Rice Spaghetti, Brown Rice Noodle, Brown Rice Spaghetti, Brown Rice Vermicilli, Cassava Flour, Chinese Soy Sauce, Color defected rice, Color defected rice, Glutinous Rice Flour, Jasmine Brown Rice Congee, Mixed Rice, Mixed Rice, Rice bran, Riceberry Broken Rice, Riceberry Broken Rice, Riceberry Congee, Riceberry Rice, Riceberry Rice, Riceberry Rice Flour, Soy Sauce, Tamari Soy Sauce, Tapioca Starch, Teriyaki Sauce, Thai Black Broken Rice, Thai Black Broken Rice, Thai Black Glutinous Broken Rice, Thai Black Glutinous Broken Rice, Thai Black Glutinous Rice, Thai Black Glutinous Rice, Thai Black Hom Mali Broken Rice, Thai Black Hom Mali Broken Rice, Thai Black Hom Mali Rice, Thai Black Hom Mali Rice, Thai Black Jasmine Broken Rice, Thai Black Jasmine Broken Rice, Thai Black Jasmine Rice, Thai Black Jasmine Rice, Thai Black Mali Broken Rice, Thai Black Mali Broken Rice, Thai Black Mali Rice, Thai Black Mali Rice, Thai Black Rice, Thai Black Rice, Thai Black Rice with red quinoa, Thai Glutinous Brown Broken Rice, Thai Glutinous Brown Broken Rice, Thai Glutinous Brown Rice, Thai Glutinous Brown Rice, Thai Glutinous White Broken Rice, Thai Glutinous White Broken Rice, Thai Glutinous White Rice, Thai Glutinous White Rice Bran, Thai Hom Mali Brown Broken Rice, Thai Hom Mali Brown Broken Rice, Thai Hom Mali Brown Rice, Thai Hom Mali Brown Rice Bran, Thai Hom Mali Brown Rice Flour, Thai Hom Mali Brown Rice with mixed Quinoa, Thai Hom Mali Rice vinegar, Thai Hom Mali White Broken Rice, Thai Hom Mali White Broken Rice, Thai Hom Mali White Rice, Thai Hom Mali White Rice Bran, Thai Hom Mali White Rice Flour, Thai Hom Mali White Rice with mixed Quinoa, Thai Jasmine Brown Broken Rice, Thai Jasmine Brown Broken Rice, Thai Jasmine Brown Rice, Thai Jasmine Brown Rice, Thai Jasmine White Broken Rice, Thai Jasmine White Broken Rice, Thai Jasmine White Rice, Thai Jasmine White Rice, Thai Long Grain Brown Broken Rice (Chainat, Phitsanulok, Lueng On), Thai Long Grain Brown Broken Rice (Chainat, Phitsanulok, Lueng On), Thai Long Grain Brown Rice (Chainat, Phitsanulok, Lueng On), Thai Long Grain Brown Rice (Chainat, Phitsanulok, Lueng On), Thai Long Grain White Broken Rice (Chainat, Phitsanulok, Lueng On), Thai Long Grain White Broken Rice (Chainat, Phitsanulok, Lueng On), Thai Long Grain White Rice (Chainat, Phitsanulok, Lueng On), Thai Long Grain White Rice (Chainat, Phitsanulok, Lueng On), Thai Red Broken Rice, Thai Red Broken Rice, Thai Red Jamine Broken Rice, Thai Red Jamine Broken Rice, Thai Red Jamine Rice, Thai Red Jamine Rice, Thai Red Rice, Thai Red Rice, White Rice Flour, White Rice Noodle, White Rice Vermicilli</t>
  </si>
  <si>
    <t>Animal Feed: Livestock Feed (Barley), Livestock Feed (Corn), Livestock Feed (Cracked Corn), Livestock Feed (Custom Organic Dairy Ration), Livestock Feed (Custom Organic Goat Ration), Livestock Feed (Custom Poultry Feed Mixes), Livestock Feed (Oats), Livestock Feed (Organic Broiler Grower 18%), Livestock Feed (Organic Calf Grower 18%), Livestock Feed (Organic Calf Starter 20%), Livestock Feed (Organic Chick Starter 20%), Livestock Feed (Organic Duck Grower 18%), Livestock Feed (Organic Duck Layer 18%), Livestock Feed (Organic Goat Ration 16%), Livestock Feed (Organic Layer Mash 17%), Livestock Feed (Organic NO SOY Broiler Grower), Livestock Feed (Organic NO SOY Layer), Livestock Feed (Organic NO-SOY Chick Starter), Livestock Feed (Organic NO-SOY Swine Grower), Livestock Feed (Organic Scratch), Livestock Feed (Organic Sheep Ration 16%), Livestock Feed (Organic Swine Grower 16%), Livestock Feed (Organic Turkey Starter 25%), Livestock Feed (Roasted Soybeans), Livestock Feed (Soybeans); Other: Brokering Grains and Beans, Drying Grains and Beans, Grinding Livestock Feed including Custom Mixes, Labeling Livestock Feed including Custom Mixes, Mixing Livestock Feed including Custom Mixes, Packaging Livestock Feed including Custom Mixes, Roasting Soybeans</t>
  </si>
  <si>
    <t>Other: Barley (Hull-less Barley), Barley (Pearled Barley), Chia Grain, Corn (Blue Corn), Corn (White Corn), Corn (Yellow Corn), Flax (Brown Flax), Flax (Golden/Yellow Flax), Lentils (Black Lentils), Lentils (Brown Lentils), Lentils (French Green Lentils), Lentils (Large Green Lentils), Oats, Peas (Split Green Peas), Peas (Split Yellow Peas), Quinoa (Red Quinoa), Quinoa (Tri-color Quinoa), Quinoa (White Quinoa), Rye, Screenings (Misc. Screenings), Soybeans, Soybeans (Soybeans - High Protein), Soybeans (Soybeans - White Hilum), Wheat (Hard Red Spring Wheat)</t>
  </si>
  <si>
    <t>Other: Amaranth, Barley, Buckwheat, Chia Seeds, Corn, Denatured Alcohol, Ethyl Alcohol, Flax Seeds, Grain by-product, Grain Pellet, Honey, Lentils, Livestock Feed - Hominy, Millet, Mustard Seeds, Oats, Oats, Oats, Peas, Poppy Seeds, Pumpkin Kernel, Quinoa, Rice (Black), Rice (Brown), Rice (White), Rye, Screenings Livestock Feed, Sesame Seeds, Soybeans, Spelt, Sunflower Seed Kernel, Tapioca Starch, Triticale, Wheat</t>
  </si>
  <si>
    <t>Other: Amaranth (Whole), Amaranth Flour, Barley (Bran), Barley (Cut), Barley (Flakes), Barley (Whole), Barley Flour, Blend (12 Grain Topping), Blend (21 &amp; Super Grain Topping), Blend (21 Grain - Sesame Free), Blend (21 Grain Flour Premix), Blend (21 Seed Mix), Blend (Blues Topping), Blend (Coarse 7 Grain), Blend (Coarse 9 Grain), Blend (Dinner Roll Mix), Blend (English Muffin Mix), Blend (English Muffin Mix w/o Sesame), Blend (Good Seed), Blend (Good Seed - Sesame Free), Blend (Grain Blend: Amaranth, Barley, Quinoa), Blend (Great Seed (Nonretail)), Blend (Honey Chia Topping), Blend (Multi Seed), Blend (Oat Blend 1001652), Blend (Omega 3 Topping), Blend (Power Seed - Sesame Free), Blend (Power Seed Mix), Blend (Raisin Bread Mix), Blend (Rye Topping), Blend (Rye Topping), Blend (SAB 4 Seed Blend - Sesame Free), Blend (SAB 6 Seed Blend - Sesame Free), Blend (SAB Multigrain &amp; Seed Blend - Sesame Free), Blend (SAB Seed Blend - Sesame Free), Blend (Seeds 12 Grain 1001650), Blend (WBDR with Potato), Blended Flour (21 Grain Pre-blend Flour), Blended Flour (Ancient Grain), Blended Flour (BellaSoft 1500 PLUS - 4112505), Blended Flour (BellaSoft 2500), Blended Flour (BellaSoft 3000 - 4103505), Blended Flour (BellaSoft 3500 - 4108505), Blended Flour (BellaSoft Bun ESL), Blended Flour (Dough Conditioner - 2102505), Blended Flour (Dough Conditioner 1500 - 2117505), Blended Flour (Dough Conditioner NAA-F 2109505), Blended Flour (Gluten Replace NAA-F - 4111505), Blended Flour (Gluten Replacer - 4107505), Blended Flour (Gluten Replacer 2000 - 2132505), Blended Flour (Tortilla Improver 4129505), Blended Flour (WP1000 Dough Conditioner - 2203505), Blended Grains (Hearty Hemp Seed &amp; Grain Mix), Buckwheat, Buckwheat (Groats), Buckwheat Flour, Buckwheat Grits, Chia Seeds (Black), Corn Flour, Corn Flour (Blue Corn Flour), Corn Germ (Stabilized Corn Bran/Germ), Cornmeal (Blue), Cracker Flour, Flax seed Meal, Flaxseed, Grain Blend (2 Grain), Grain Blend (3 Flake Mix), Grain Blend (8 Grain Mix), Grain Blend (Everything Topping - Sesame Free), Grain Blend (Oats and Blues Topping - Sesame Free), Grain Blend (Raisin Bread Topping - Sesame Free), Grain Blend (Random Seed Mix), Grain Blend (Super Seed Mix), Millet (Hulled), Millet Flour, Misc. Grain Powder (CereSweet 16), Misc. Grain Powder (CereSweet 25), Misc. Grain Powder (CereSweet 30), Misc. Grain Powder (CereSweet 40), Misc. Grain Powder (Rice Complete 35), Oat Fiber, Oat Flour, Oat Flour, Oat Flour (GMI Oat 1000 NDI), Oats (BCS41), Oats (BCS42), Oats (BCS43), Oats (Bran), Oats (Bran), Oats (Cut), Oats (Cut), Oats (Cut, Steel Cut Coarse No Soak), Oats (Fiber, BCS20), Oats (Fiber, BCS30), Oats (Flakes), Oats (Flakes), Oats (Instant Oat Flakes), Oats (Medium Rolled Oats), Oats (Quick Cooking Steel Cut), Oats (Quick Oats), Oats (Quick Rolled Oats), Oats (Quick Rolled Oats #21), Oats (Regular Rolled Oats), Oats (Regular Rolled Oats #5), Oats (Rolled Oats), Oats (Steel Cut Oats), Oats (Thick Rolled Oats), Oats (Thick Rolled Oats - Gluten Free), Oats (Whole Oat Groat), Poppy Seeds, Pumpkin Seeds, Quinoa, Quinoa Flour, Rice (Bran), Rice (Cut), Rice (Flakes), Rice (Whole), Rice Flour, Rice Flour (Rice 1000 NDI), Rye (Bran), Rye (Cut), Rye (Flakes), Rye (Whole), Rye Flour, Sesame Seeds (Black), Sesame Seeds (Natural), Sorghum Flour, Spelt (Flakes), Spelt (Flour), Sunflower Kernel, Triticale (Cut), Triticale (Flakes), Triticale (Flour), Triticale (Meal), Triticale (Whole), Wheat (Bran), Wheat (Cut), Wheat (Flakes), Wheat (Whole), Wheat Flour</t>
  </si>
  <si>
    <t>Other: Barley (Barley Flakes), Barley (Barley Meal), Barley (Cut Barley), Barley (Hulled Barley Flakes), Barley (Hulless Barley), Barley (Pearled Barley), Barley Flour, Barley Flour (Steamed Barley Flour), Buckwheat (Buckwheat Flakes), Buckwheat (Buckwheat Groats), Corn (Corn Bran), Corn (High Fat Hominy), Corn (Yellow Corn Cones), Corn (Yellow Corn Germ), Corn (Yellow Corn Grits), Corn (Yellow Corn Snackmeal), Corn (Yellow Cornmeal), Corn Flour (Yellow Corn Flour), Grain Blend (Ancient Grain Flour Blend), Grain Blend (English Muffin Mix), Grain Blend (Everything Topping Mix), Grain Blend (Good Seed Topping), Grain Blend (Power Seed Mix), Grain Blend (Raisin Bread), Grain Blend (Rye Flakes, Barley Flakes, Red Wheat Flakes, Oat Flakes), Grain Blend (Rye Topping), Grain Blend (Thick Rolled Blend), Oat Fiber, Oat Flour (Oat Flour 70), Oat Flour (Oat Flour/Oat Bran Blend), Oat Flour (Whole Oat Flour), Oatmeal (Apple Cinnamon), Oatmeal (Gluten Free Old Fashioned Oats), Oatmeal (Gluten Free Quick Rolled Oats), Oatmeal (Gluten Free Rolled Oats), Oatmeal (Gluten Free Steel Cut Oat Groats), Oatmeal (Gluten Free Steel Cut Oats), Oatmeal (Gluten Free Whole Oat Groats), Oatmeal (Instant), Oatmeal (Irish Style), Oatmeal (Maple Brown Sugar), Oatmeal (Oats &amp; Flax), Oatmeal (Old Fashioned), Oatmeal (Old Fashioned Oatmeal), Oatmeal (Quick Cook Steel Cut), Oatmeal (Quick Cook Steel Cut Oats), Oatmeal (Quick Oats), Oatmeal (Quick Steel Cut Oats), Oatmeal (Steel Cut), Oatmeal (Steel Cut Oatmeal), Oatmeal (Steel Cut Oats), Oatmeal (Traditional Rolled Oats), Oats (BCS41), Oats (BCS42), Oats (BCS43), Oats (Oat Bran), Oats (Oat Crush), Oats (Oat Mill Bi-Product (OGOS)), Oats (Old Fashioned Oats 50#), Oats (Old Fashioned Rolled Oats), Oats (Oven Toasted Old Fashioned), Oats (Quick Cook Steel Cuts), Oats (Quick Rolled Oats), Oats (Quick Rolled Oats 50#), Oats (Rolled Oats - baby), Oats (Rolled Oats - instant), Oats (Rolled Oats - medium), Oats (Rolled Oats - old fashioned), Oats (Rolled Oats - Quick), Oats (Rolled Oats - quick), Oats (Rolled Oats - regular), Oats (Rolled Oats - thick), Oats (Steel Cut), Oats (Steel Cut Oat Groats), Oats (Steel Cut Oat Groats), Oats (Steel Cut Oat Groats 50#), Oats (Whole Oat Groats), Oats Cereal (Old Fashioned Oats), Oats Cereal (Quick Oats), Oats Cereal (Steel Cut Oats), Rye (Cleaned Rye), Rye (Cut), Rye (Flakes), Rye Flour, Rye Meal, Sunflower Seeds, Wheat (Cut Red Wheat), Wheat (Red Wheat), Wheat (Red Wheat Flakes), Wheat (White Wheat Flakes), Wheat (Soft White), Wheat (Soft White) (Cut), Wheat Flour (Bread Wheat Flour), Wheat Flour (Steamed/Stabilized White Wheat Flour), Wheat Flour (Whole Wheat Flour), White (Pastry) Flour</t>
  </si>
  <si>
    <t>Processed  Items: Dehydrated Foods (Dried Blueberries), Dehydrated Foods (Dried Blueberries (Bulk non-retail only)), Dehydrated Foods (Raisins); Preservatives/Extracts/Flavors: Dehydrated Foods (Raisins (Bulk non-retail only)); Other Grains, Pastas and Cereals: Barley (eBarley), Barley (eBarley (Bulk non-retail only)), Barley (Hulled Barley), Barley (Hulled Barley (Bulk non-retail only)), Barley (Rolled Barley), Barley (Rolled Barley (Bulk non-retail only)), Cracked Popcorn, Cracked Popcorn (Bulk/Non-retail only), Favorite Mixed 5 Grains, Favorite Mixed 5 Grains (Bulk non-retail only), Ground HPC Fines, Hulled Millet, Hulled Millet (Bulk non-retail only), Hulled Spelt, Hulled Spelt (Bulk non-retail only), Microwave Popcorn, Microwave Popcorn (Bulk non-retail only), Mushroom Popcorn, Mushroom Popcorn (Bulk non-retail only), Oats (Rolled Oats), Oats (Rolled Oats (Bulk non-retail only)), Oats (Toasted Oat Groats), Oats (Toasted Oat Groats (Bulk non-retail only)), Quinoa (Quinoa), Quinoa (Quinoa (Bulk non-retail only)), Rice (Long Grain Brown Rice), Rice (Long Grain Brown Rice (Bulk non-retail only)), Rice (Rolled Rice), Rice (Rolled Rice (Bulk/Non-Retail Only)), Rolled Rye, Rolled Rye (Bulk/Non-retail only), Rolled Spelt, Rolled Spelt (Bulk non-retail only), Rolled Triticale, Rolled Triticale (Bulk non-retail only), Rye, Rye (Bulk non-retail only), Soybeans, Soybeans (Bulk non-retail only), Triticale, Triticale (Bulk non-retail only), Unsalted Microwave Popcorn, Wheat (Hard Red Winter Wheat), Wheat (Hard Red Winter Wheat (Bulk non-retail only)), Wheat (Hard White Winter Wheat), Wheat (Hard White Winter Wheat (Bulk non-retail only)), Wheat (Kamut Flour Khorasan Wheat), Wheat (Kamut Flour Khorasan Wheat (Bulk non-retail only)), Wheat (Kamut Khorasan Wheat), Wheat (Kamut Khorasan Wheat (Bulk non-retail only)), Wheat (Rolled Kamut), Wheat (Rolled Kamut (Bulk non-retail only)), Wheat (Rolled Wheat), Wheat (Rolled White Wheat), Wheat (Rolled White Wheat (Bulk non-retail only)), White Corn, White Corn (Bulk non-retail only), White Popcorn, White Popcorn (Bulk non-retail only), Yellow Corn, Yellow Corn (Bulk non-retail only), Yellow Popcorn, Yellow Popcorn (Bulk non-retail only); Nuts/Seeds: Brown Flax, Brown Flax (Bulk non-retail only), Chia Seeds; Dry/Baking Goods: Flours and Meals (Corn Meal), Flours and Meals (Corn Meal (Bulk non-retail only)), Flours and Meals (Rye Flour), Flours and Meals (Rye Flour (Bulk non-retail only)), Flours and Meals (Spelt Flour), Flours and Meals (Spelt Flour (Bulk non-retail only)), Flours and Meals (White Wheat Flour), Flours and Meals (White Wheat Flour (Bulk non-retail only)), Flours and Meals (Whole Grain Wheat Flour), Flours and Meals (Whole Grain Wheat Flour (Bulk non-retail only)); Condiments and Sweeteners: Sugar (Sugar); Animal Feed: Liqueurs (Pepper Lifetime Coarse), Liqueurs (Power Treats), Liqueurs (Recovery (PF1)), Livestock Feed (Adult Lifetime Coarse), Livestock Feed (Adult Lifetime Fine), Livestock Feed (Adult Lifetime Mash), Livestock Feed (Adult Lifetime Super Fine), Livestock Feed (Bird Bread Mix - Omega), Livestock Feed (Bird Bread Mix- Original), Livestock Feed (Harrison's Fauna Flora), Livestock Feed (High Potency Coarse), Livestock Feed (High Potency Fine), Livestock Feed (High Potency Mash), Livestock Feed (High Potency Pepper), Livestock Feed (High Potency Super Fine), Livestock Feed (Jumpstart Grey Millet), Livestock Feed (Jumpstart Omega), Livestock Feed (Juvenile Hand Feeding Formula), Livestock Feed (Peas (Whole Feed)), Livestock Feed (Peas (Whole Feed) (Bulk non-retail only)), Livestock Feed (Wild Wings Black Oil Sunflower), Livestock Feed (Wild Wings Feeder Frenzy), Livestock Feed (Wild Wings Grey Millet), Livestock Feed (Wild Wings Hopper Topper), Livestock Feed (Wild Wings No Filler Bird Thriller Blend), Livestock Feed (Wild Wings Safflower); Other: Contract Services - Cleaning and Conditioning of: Rice, Lentils, Popcorn, Triticale, Wheat, Peas, Rye, Millet, Corn, Oat groats, Spelt, Soybeans, e-barley, Quinoa</t>
  </si>
  <si>
    <t>Other Grains, Pastas and Cereals: Black Beans, Buckweat Grain, Buckwheat Seed, Chickpeas, Corn, Mung Beans, Oats, Soybean, Soybean Meal, Sunflower Seeds, Wheat, Wheat - Durum</t>
  </si>
  <si>
    <t>Other Grains, Pastas and Cereals: Corn, Corn-Cracked, Rapeseed Meal, Soybean Meal, Sunflower Meal, Sunflower Oil - High Oleic, Wheat Flour</t>
  </si>
  <si>
    <t>Other: Beans (Adzuki), Beans (Mixed), Beans (Mung), Chestnuts (Roasted and Peeled), Chestnuts (Roasted with Shell), Cucumbers (Cucumber), Cucumbers (Persian Cucumber), Grains (10 Mixed Grains), Grains (7 Mixed Grains), Grains (Whole Barley), Mushrooms (Baby King Oyster Mushroom), Mushrooms (Enoki Mushroom), Mushrooms (King Oyster Mushroom), Mushrooms (Mixed Mushroom Pack), Mushrooms (Sliced King Oyster Mushroom), Peppers (Mini Sweet Pepper), Rice (50/50 Brown &amp; Sweet Brown Rice Blend), Rice (Black), Rice (Brown), Rice (Hagai Mai), Rice (Short Grain), Rice (Sweet), Rice (Sweet Brown), Soybeans (Black), Soybeans (Clear Hilum), Tomatoes (Grape Tomato)</t>
  </si>
  <si>
    <t>Other Grains, Pastas and Cereals: Alphameta (Organic Oryza Cereal Drink), METAPSP (Organic Oryza Cereal Drink)</t>
  </si>
  <si>
    <t>Other: Ancient Grain Granola, Antioxidant Trail Mix, Apple Crisp Granola, Chocolate Peanut Butter Granola, Classic Granola, Cranberry Orange Coconola, Crispy Topper Granola with Almonds, Curry Roasted Cashews, Dark Chocolate Almond Trail Mix, Dark Chocolate Coconola (aka Grain Free Dark Chocolate Coconola), Dark Chocolate Sea Salt Granola, Everything Bagel Cashews, Garlic and Herb Cashews, Ginger Hemp Granola, Gluten Free Classic Granola, Gluten Free Honey Nut Granola, Gluten Free Honey Oat Granola, Honey Nut Granola (Traditional), Keto Power Mix, Muesli Nuts, Odds &amp; Ends Garlic and Herb Roasted Cashews, Odds &amp; Ends Honey Nut Granola, Original Coconola (aka Grain Free Original Coconola), Peanut Butter Coconola, Roasted Pumpkin Seeds with Sea Salt, Roasted Salted Cashews, Rolled Oats, Simply Grain Free Granola, Spicy Chipotle Cashews, Steel Cut Oats, Swiss Style Muesli, Turmeric Ginger Cashews, Vanilla Cinnamon Granola</t>
  </si>
  <si>
    <t>Other Grains, Pastas and Cereals: Cereal (Amaranth (Kiwicha), Canahua; canihua), Quinoa (Quinoa (Blanca, roja, negra)); Other: Seeds (Chia)</t>
  </si>
  <si>
    <t>Processed  Items: Toasted Quinoa; Nuts/Seeds: Black chia / Black chia seeds, Black quinoa / Black quinoa grains, Red quinoa / Red quinoa grains, Tricolor quinoa / Tricolor quinoa grains, White chia / White chia seeds, White quinoa / White quinoa grains; Other: Amaranth, Amaranth Flakes, Canihua / Canihua grains, Canihua Flakes, Quinoa Flakes, Raw amaranth flour, Raw canihua flour, Raw quinoa flour, Toasted Amaranth flour, Toasted canihua flour, Toasted quinoa flour</t>
  </si>
  <si>
    <t>Other: Grain/Bean Cleaning &amp; Packaging</t>
  </si>
  <si>
    <t>Other: Grain Handling, Grain Storage</t>
  </si>
  <si>
    <t>Other Grains, Pastas and Cereals: Corn, Corn, Corn Stalks, Mixes; Animal Feed: Forage, Forage, Forage, Livestock Feed; Other: Alfalfa, Alfalfa</t>
  </si>
  <si>
    <t>Other Grains, Pastas and Cereals: Organic Yellow Corn, Organic Lentils, Organic Soft Wheat, Organic Popcorn, Organic Hard Wheat, Organic Wheat Middlings, Organic Grain Screening, Organic Sunflower, Organic Spelt, Organic Triticale, Organic Soybeans, Organic Whole Cottonseed, Organic Barley, Organic Oats, Organic Peas, Soybean Meal, Organic Rye, Soybean Hulls, Organic Alfalfa Pellets, Dry Bean Culls, Organic Canola, Organic Corn Screenings, Organic Flax; Oils &amp; Oleoresins: Organic Soybean Oil; Animal Feed: Organic Feed Wheat</t>
  </si>
  <si>
    <t>Other: All Purpose Flour, All Purpose Flour, White, All Purpose Whole Wheat Flour, All Purpose Whole Wheat Flour, ALL-PURPOSE FLOUR, Amaranth, Flour, Amaranth, Flour, Amaranth, Flour, Amaranth, Whole, Amaranth, Whole, Amaranth, Whole, Barley, Cut, Barley, Cut, Barley, Flour, Barley, Flour, Barley, Flour, Barley, Hulled, Barley, Hulled, Barley, Hulled, Barley, Pearled, Barley, Pearled, Barley, Pearled, BLACK BEANS, BLACK BEANS, Black Lentils, BREAD FLOUR, Bread Flour Blend, 7-Grain, Bread Flour Blend, 7-Grain, Bread Flour Blend, 7-Grain, Bread Flour Blend, 7-Grain, Bread Flour Blend, Multi Grain, Bread Flour Blend, Multi Grain, Bread Flour Blend, Oatmeal, Bread Flour Blend, Oatmeal, Bread Flour Blend, Oatmeal, Bread Flour Blend, Oatmeal, Bread Flour Blend, Rye, Bread Flour Blend, Rye, Bread Flour Blend, Rye, Bread Flour Blend, Rye, Bread Flour Blend, Sunflower Millet, Bread Flour Blend, Sunflower Millet, Bread Flour Blend, Sunflower Millet, Brown Rice, Cracked, Brown Rice, Cracked, Brown Rice, Flour, Brown Rice, Flour, Brown Rice, Flour, Brown Rice, Whole, Brown Rice, Whole, Brown Rice, Whole, Brown Rice,Whole Long Grain, Buckwheat Hull, Flour, Buckwheat Hull, Flour, Buckwheat Hulls, Buckwheat Hulls, Buckwheat, Flour, Buckwheat, Flour, Buckwheat, Flour, Buckwheat, Whole, Buckwheat, Whole, Cereal, Brown Rice &amp; Barley, Cereal, Brown Rice &amp; Barley, Cereal, Great River Breakfast, Cereal, Great River Breakfast, Cereal, Great River Breakfast, Cereal, Highland Medley, Cereal, Highland Medley, Cereal, Multi Grain, Cereal, Multi Grain, Cereal, Multi Grain, Chia Seed, Black, Chia Seed, White, Coconut Flour, Corn, Flour, Corn, Flour, Corn, Flour, Corn, Flour, Corn, Meal, Corn, Meal, Corn, Meal, Corn, Non-GMO Flour, Corn, Non-GMO Flour, Corn, Non-GMO Meal, Corn, Non-GMO Meal, Corn, Non-GMO Whole, Corn, Non-GMO Whole, Corn, Whole, Corn, Whole, Corn, Whole, Dark Chocolate Chia Pudding Mix, Dragon Fruit Chia Pudding Mix, Durum, Flour, Durum, Whole, Durum, Whole, Durum, Whole, Einkorn, Flour, Einkorn, Flour, Einkorn, Whole, Einkorn, Whole, Flax Seed Meal, Golden, Flax Seed Meal, Golden, Flax Seed, Brown, Flax Seed, Brown, Flax Seed, Brown, Flax Seed, Golden, Flax Seed, Golden, Flour, Brown Flax Meal, Flour, Brown Flax Meal, Flour, Graham, Flour, Graham, Flour, Graham, Flour, Unbleached Wheat, Flour, Unbleached Wheat, FRENCH GREEN LENTILS, Garbanzo Bean (Chickpea) Flour, Garbanzo Bean (Chickpea) Flour, Garbanzo Beans, Garbanzo Beans (Chickpeas), Garbanzo Beans (Chickpeas), GREAT NORTHERN BEANS, GREEN LENTILS, Green Lentils, Heartland Blend Hot Cereal, Hemp 50 Hempseed Protein Powder, Hemp Hearts, Lily White Bread Flour, Millet, Flour, Millet, Flour, Millet, Flour, Millet, Flour, Millet, Hulled, Millet, Hulled, Millet, Hulled, Oat Bran, Oat Bran, Oat Bran, Oat Bran, Oat Flour, Oat Flour, Oat Flour, Oat Flour, Oat Groats, Whole, Oat Groats, Whole, Oat Groats, Whole, Oat Groats, Whole, Oats, Quick Rolled, Oats, Quick Rolled, Oats, Quick Rolled, Oats, Regular Rolled, Oats, Regular Rolled, Oats, Regular Rolled, Oats, Steel Cut, Oats, Steel Cut, Oats, Steel Cut, Oats, Thick Rolled, Oats, Thick Rolled, Oats, Thick Rolled, Pancake Mix, 5-Grain, Pancake Mix, 5-Grain, Pancake Mix, Buckwheat Buttermilk, Pancake Mix, Buckwheat Buttermilk, Pancake Mix, Buttermilk, Pancake Mix, Buttermilk, Pancake Mix, Corn &amp; Oat, Pancake Mix, Corn &amp; Oat, PINTO BEANS, Quinoa, Flour, Quinoa, Flour, Quinoa, Flour, Quinoa, Whole, Quinoa, Whole, Quinoa, Whole, RED KIDNEY BEANS, Red Lentil, Flour, Red Lentil, Flour, Red Lentils, Red Lentils, Red Lentils, Roasted Hemp Seeds, Rye, Cracked, Rye, Cracked, Rye, Flour, Rye, Flour, Rye, Flour, Rye, Meal, Rye, Meal, Rye, Whole, Rye, Whole, Rye, Whole, Rye, Whole, Sorghum, Flour, Sorghum, Flour, Sorghum, Flour, Sorghum, Whole, Sorghum, Whole, Sorghum, Whole, Spelt, Flour, Spelt, Flour, Spelt, Flour, Spelt, Hulled, Spelt, Hulled, Spelt, Hulled, Spelt, Hulled, SPLIT GREEN PEAS, Split Green Peas, Vanilla Bean Chia Pudding Mix, Wheat Bran, Red, Wheat Bran, Red, Wheat Bran, White, Wheat Bran, White, Wheat, Cracked, Wheat, Cracked, Wheat, Cracked, Wheat, Hard Red Spring, Wheat, Hard Red Spring, Wheat, Hard Red Spring, Wheat, Hard Red Spring, Wheat, Soft White Spring, Wheat, Soft White Spring, Wheat, Soft White Winter, Wheat, Soft White Winter, Wheat, Soft White Winter, White Rice, Flour, White Rice, Flour, White Rice, Flour, White Rice, Whole, White Rice, Whole, White Rice, Whole, White Rice, Whole Long Grain, Whole Wheat Bread Flour, Whole Wheat Bread Flour, Whole Wheat Bread Flour, Whole Wheat Bread Flour, Coarse, Whole Wheat Bread Flour, Coarse, Whole Wheat Pastry Flour, Whole Wheat Pastry Flour, Whole Wheat Pastry Flour, Whole Wheat Pastry Flour, Sifted, Whole Wheat Pastry Flour, Sifted</t>
  </si>
  <si>
    <t>Other Grains, Pastas and Cereals: Barley (Malted Grains or Seeds: Chocolate Malt), Barley (Malted Grains or Seeds: MIC Experimental Malt), Barley (Malted Grains or Seeds: Crystal Malt C-40), Barley (Malted Grains or Seeds: Munich Malt), Barley (Malted Grains or Seeds: Two Row Malt), Barley (Malted Grains or Seeds: Crystal Malt C-150), Barley (Malted Grains or Seeds: Barley Malt Roasted), Barley (Malted Grains or Seeds: Brown Malt), Barley (Malted Grains or Seeds: Superior Pilsen Malt), Barley (Malted Grains or Seeds: Crystal Malt C-15), Barley (Malted Grains or Seeds: Black Malt), Barley (Malted Grains or Seeds: Crystal Malt C-60), Barley (Malted Grains or Seeds: Crystal Malt C-120), Barley (Malted Grains or Seeds: Pale High Color Malt), Barley (Malted Grains or Seeds: Vienna Malt), Barley (Malted Grains or Seeds: Pale Malt), Barley (Barley: Assorted Varieties), Flours and Meals (Malted Grains or Seeds: Wheat Malt), Flours and Meals (Malted Grains or Seeds: White Wheat Malt), Wheat (Wheat: Assorted Varieties)</t>
  </si>
  <si>
    <t>Other: Milling, packaging, warehousing, and distribution of malted grains -100% Organic:Caramel Malt, Carapils Malt, Chocolate Malt, Crystal 15 Malt C-15, Crystal 15 Malt C-40,Crystal 15 Malt C-60, Munich Malt, Roasted Barley Malt, Two (2) Row Malt.</t>
  </si>
  <si>
    <t>Chocolate Goods: Cacao grains</t>
  </si>
  <si>
    <t>Other: #Custom handling, milling, packaging of grains and sweeteners, All Purpose Einkorn Flour, Bread Flour, Hard Whole Wheat Flour, Local White Spelt Flour, Bran, Germ, Middlings, Golden Pastry Flour, Local White Pastry Flour, Local White Spelt Flour, All Purpose Einkhorn Flour, Rolled Wheat Flour, Whole Wheat Flour, Sugar</t>
  </si>
  <si>
    <t>Other: Graines de soja</t>
  </si>
  <si>
    <t>Trees/Whole Plant Products/Flowers: Seeds (Black Oil Sunflower); Other Grains, Pastas and Cereals: Seeds (Cereal Rye Seed of Origin - KWS Serafino); Fruits/Vegetables: Seeds (Daikon Radish); Other: Seeds (Austrian Winter Peas), Seeds: 4010 Spring Forage Pea, Alfalfa, AU Merit Hairy Vetch, Brown Flax, CoverMax Rye, Crimson Clover, Elbon Cereal Rye, Fridge Beardless Winter Triticale, Goliath Oats, Hairy Vetch, Hayden Spring Oats, Hazlet Cereal Rye, Japanese Millet, Jerry Spring Oats, Mancan Buckwheat, Montech Forage FX 1001 Winter Triticale, Morton Oats, Mustard, Popcorn, Red Clover, Rushmore Spring Oats, Soybeans, Turnips, Yellow Blossom Sweet Clover</t>
  </si>
  <si>
    <t>Preservatives/Extracts/Flavors: Gymnema sylvestre Extract,; Other Grains, Pastas and Cereals: Basmati Rice,Non-Basmati Rice,Parboiled Rice; Nuts/Seeds: Celery seed,Cumin seed,dill seed (aowa),Fennel seed, fenugreek seed (methi seed),Water Melon Seeds, Moringa seeds; Fruits/Vegetables: Chilli Whole,Gokshura Fruit (Tribulus terrestris),Red chilli (whole); Other: Ajwain,arhar,Ashwagandha powder,Ashwagandha Root,Ashwagandha TBC,Bacopa monnieri,Basil/Tulsi, Bay Leaf,Black cumin,Black Mustard Seed,Black Pepper,Brahmi Powder,Brown Mustard,cardamom large (black),Cashew Kernel (Shelled whole),Celery powder,Centella asiatica,Chamomile (M. Chamomile),Chamomile Powder,Chana Dal,chickpea/kabuli chana(garbanzos),Chicory Root Powder,Chicory TBC,Chilli Flakes ,Chilli Powder,Cinnamon bark,Clove Powder,Coriander,Coriander Powder,Cumin Powder,curry leaf/leaves,Eucalyptus leaf,Fennel Powder,fennel tea bag cut,Fenugreek powder (Methi powder),Garlic Flakes,Garlic granules,Garlic Powder,Ginger Powder,Ginger TBC,Ginger Whole Dried,Green Cardamom,Gymnema,Gymnema Powder,Gymnema sylvestre,Hibiscus TBC,Lemon grass,Lentil dal,Mace,Maize/Corn Flour,mango powder/ aamchur ,Masoor Dal,moringa dried leaves,Moringa Powder,Moringa Powder,Mucuna pruriens (Mucuna),Mucuna pruriens Powder ,Neem Leaves ,Nutmeg, Powder,Nutmeg Tea Bag Cut,Nutmeg whole,Onion Flakes,Onion granules,Orange peel,Papaya Leaves,Papaya Leaves Powder,Rama tulsi (Ocimum sanctum),Red Chilli Powder,red kidney beans/rajma (phaseolus vulgaris),Saffron,Sapindus Mukorossi (Reetha),Senna Leaves,Senna Leaves Powder,Senna pods,Spearmint Leaves,Spearmint powder,Star Anise,Tulsi Leaves Dry ,Tulsi Leaves Powder,Tulsi Powder,Turmeric Fingers ,Turmeric Powder,Urad (phasleolus mungo) Black gram,Urad Dal / Split Black Gram, Urad Dal Whole (White) ,urad dhuli,Valerian Powder,Valerian root,white sesame/sesame,Yellow Mustard,Yellow Mustard Powder/ Ground</t>
  </si>
  <si>
    <t>Preservatives/Extracts/Flavors: Gymnema extracts; Other Grains, Pastas and Cereals: Basmati rice,Non-Basmati Rice,Parboiled Rice; Nuts/Seeds: Black Mustard Seed,Celery Seed,Cumin seed,Fennel Seed,Fenugreek Seed (Methi Seed),Moringa seed,Water Melon Seeds; Fruits/Vegetables: Chilli whole,Red Chilli (whole); Other: Ajwain,Arhar,Ashwagandha Powder,Ashwagandha root,Ashwagandha TBC,Basil/Tulsi,Bay leaves/Tejpatta,Black cumin,Black Pepper,Brahmi/Bacopa monnieri,Brahmi/Bacopa monnieri Powder,Brown mustard,Cardamom Large (Black),Cashew kernel (Shelled whole),Celery Powder,Centella asiatica,Chamomile (M.chamomile),Chamomile powder,Chana Dal,Chickpea/Kabuli Chana (garbanzos),Chicory Root Powder,Chicory TBC,Chilli flakes,Chilli powder,Cinnamon bark,Clove powder,Coriander,Coriander Powder,Cumin Powder,Curry leaf/leaves,Dill Seed (Aowa),Eucalyptus leaves,Fennel Powder,Fennel tea bag cut,Fenugreek Powder (Methi Powder),Garlic flakes,Garlic Granules,Garlic Powder,Ginger Powder,Ginger TBC,Ginger whole (dried),Gokhru Small(Tribulas terrestris),Green Cardamom,Gymnema,Gymnema powder,Gymnema sylvestre,Hibiscus petal/tea bag cut,Lemongrass,Lentil,Mace,Maize/Corn flour,Mango Powder/ Aamchur,Masoor Dal,Moringa dried leaves,Moringa,Neem leaves Powder,Mucuna pruriens (Mucuna),Mucuna pruriens Powder,Nutmeg Powder,Nutmeg tea bag cut,Nutmeg Whole,Onion flakes,Onion Granules,Orange Peel,Papaya leaves (C.papaya),Papaya leaves powder,Rama Tulsi-Ocimum sanctum,Red Chilli Powder,Red Kidney beans/Rajma (Phaseolus vulgaris),Saffron,Sapindus mukorossi (Reetha),Senna leaves,Senna Leaves Powder,Senna pods,Spearmint leaves,Spearmint Powder,Star anise,Tulsi leaves dry,Tulsi leaves powder,Tulsi Powder,Turmeric fingers,Turmeric Powder,Urad (phasleolus mungo) Black gram,Urad Dal Black Split,Urad dal-Whole(White),Urad dal-Whole(White),Urad dhuli,Valerian powder,Valerian roots,White Sesame/Sesame,Yellow mustard,Yellow Mustard Powder/ ground</t>
  </si>
  <si>
    <t>Other: Fruits (Wholesale Distribution), Grains (Wholesale Distribution), Juice (Wholesale Distribution), Milk (Wholesale Distribution), Nuts (Wholesale Distribution), Oils (Wholesale Distribution), Seeds (Wholesale Distribution), Vegetables (Wholesale Distribution)</t>
  </si>
  <si>
    <t>Other Grains, Pastas and Cereals: Rice (Basmati Brown Rice), Rice (Semi Processed Long Grain White Rice), Rice (Basmati Rice - White), Rice (Broken Basmati Rice-White), Rice (Long Grain Broken Brown Rice), Rice (Long grain broken white rice ( reciepe 02 )), Rice (Long Grain Brown Rice), Rice (Long Grain white Rice), Rice (Long grain white rice - broken); Other: Basmati Paddy, Paddy Long Grain, Sesame seed</t>
  </si>
  <si>
    <t>Other Grains, Pastas and Cereals: Barley, Oats, Oats (Hay), Wheat; Animal Feed: Forage (Alfalfa Hay), Forage (Barley Straw), Forage (Wheat Straw)</t>
  </si>
  <si>
    <t>Baby Food: Baby Food (Ancient Grain Blend), Baby Food (Apple Spinach Oatmeal), Baby Food (Apple Sweet Potato Multigrain ), Baby Food (Banana Raisin Oatmeal), Baby Food (Creamies: Apple, Spinach, Pea &amp; Kiwi), Baby Food (Creamies: Strawberry, Raspberry &amp; Carrot), Baby Food (Creamy Brown Rice), Baby Food (Freeze Dried Mixed Berry Yogurt Bites), Baby Food (Freeze Dried Strawberry &amp; Banana Yogurt Bites), Baby Food (Freeze Dried Strawberry Yogurt Bites), Baby Food (Freeze Dried Yogurt Bites Variety Pack), Baby Food (Freeze-Dried  Fruit and Veggie Bites-Orchard), Baby Food (Freeze-Dried Fruit &amp; Veggie Bites (Orchard Blend)), Baby Food (Freeze-Dried Fruit &amp; Veggie Bites (Tropical Blend)), Baby Food (Freeze-Dried Yogurt Bites (Mixed Berry)), Baby Food (Freeze-Dried Yogurt Bites (Strawberry)), Baby Food (Freeze-Dried Yogurt Bites-Banana Strawberry), Baby Food (Freeze-Dried Yogurt Bites-Vanilla), Baby Food (Greek Yogis - Blueberry Purple Carrot), Baby Food (Greek Yogis - Strawberry Banana), Baby Food (Oatmeal Baby Cereal), Baby Food (Oats &amp; Quinoa Baby Cereal), Baby Food (Orchard Blend), Baby Food (Organic Oatmeal with Ancient Grains Barley + Millet), Baby Food (Tasty Smooth Oatmeal), Baby Food (Yogis - Banana Mango), Baby Food (Yogis - Mixed Berry), Baby Food (Yogis - Strawberry); Other: Baking Mix (Muffin Mix - Apple, Carrot &amp; Cinnamon), Baking Mix (Pancake &amp; Waffle Mix), Cacao Nibs, Cacao Powder, Cacao Powder (Fair Trade Cacao Powder), Cereal (Grain-free Cinnamon O's Cereal ), Cereal (Grain-free Cocoa O's Cereal), Cereal (Grain-free Fruity O's Cereal), Cereal (Grain-free Honey O's Cereal), Cereal (Grain-free Strawberry O's Cereal), Cereal (Grain-free Unsweetened O's Cereal), Cereal (Whole Grain Multi-Grain Cereal), Cereal (Whole Grain Oatmeal Cereal), Chia (Black Chia Seeds), Chia (Chia Seeds), Coconut (Chocolately Toasted Coconut Chips), Coconut (Toasted Coconut Chips), Cookies (Birthday Cake Minis), Cookies (Oatmeal Dark Chocolate Minis), Dried Food Products (Cacao Powder), Dried Food Products (Flaxseed Meal), Flax Seed (Brown Flaxseed), Flax Seed (Flaxseed, Ground), Flax Seed (Ground), Flax Seed (Ground Flax Seed), Flax Seed (Milled Brown Flax Seed), Flax Seed (Whole Brown Flax Seeds), Flax Seed (Whole Flax Seeds), Flour (Chickpea Flour), Goji Berries (Dried), Goji Berries (Sun Dried), Goldenberries (Dried Golden Berries), Hemp Seed (Shelled), Hemp Seed (Shelled Hemp Seeds), Onions (Crispy Fried Onions), Onions (Crispy Onions), Onions (French Fried Onions), Onions (French Fried Onions, Gluten Free ), Onions (Gluten Free Crispy Fried Onions), Onions (Gluten Free Crispy Onions), Onions (Gluten Free French Fried Onion), Onions (Gluten Free French Fried Onions), Packaging (Client Profile Products only) (Contract Packaging for Food and Dry Powder Beverages), Pasta (GF Mac &amp; Cheese (White Cheddar)), Pasta (GF Truffle Mac), Pasta (GF Vegan Mac), Pasta (Macaroni and Cheese-Shells &amp; Real Aged Cheddar), Pasta (Oven-Baked Cheddar Flavor &amp; Shells, Vegan), Pasta (Oven-Baked Real Aged Cheddar &amp; Shells), Pasta (Oven-Baked White Cheddar &amp; Shells), Seeds (Seed Pouch Quinoa Crisp Pepita (Nonretail)), Snack Foods (ABC Multi-Grain Cookies - Cinnamon Sweet Potato), Snack Foods (ABC Multi-Grain Cookies - Vanilla Oat), Snack Foods (Chickpea Straws - Cheddar &amp; Spinach), Snack Foods (Chickpea Straws - Sweet Potato &amp; Rosemary), Snack Foods (Fruit and Veggie Bites - Blueberry Carrot Apple with Quinoa), Snack Foods (Fruit and Veggie Bites - Pumpkin Apple with Chia), Snack Foods (Mushies - Banana BeetBerry), Snack Foods (Mushies - Banana Berry with Greek Yogurt Snacks), Snack Foods (Mushies - Beetberry with Coconut Cream), Snack Foods (Mushies - Fruity Greens Snacks), Snack Foods (Puffed Ancient Grain Dino Snack - Kale, Spinach &amp; Cheddar), Snack Foods (Puffed Ancient Grain Dino Snack - Tomato, Basil, &amp; Cheddar), Sugar (Coconut Sugar- unrefined)</t>
  </si>
  <si>
    <t>Other Grains, Pastas and Cereals: Barley (Barley Grass Powder (bulk))</t>
  </si>
  <si>
    <t>Fruits/Vegetables: Broccoli, Cabbage, Cantaloupe, Cauliflower, Cucumber, Eggplant, Green Beans,Kale, Onions, Peppers, Pickling Cucumber, Pie Pumpkins, Potatoes, Red betts, Squash (Winter &amp; Summer), Sweet corn, Tomatoes, Watermelon, Zucchini; Other: Vegetable Handling, Grain Drying</t>
  </si>
  <si>
    <t>Other: Extracts, Flavor, Flour, Grains, Herbs &amp; Spices, Oils, Powder, Seeds ((edible)), Sugar, Sweetener (Liquids and Syrups)</t>
  </si>
  <si>
    <t>Other Grains, Pastas and Cereals: Pasta (Organic Brown Rice Pad Thai/Formula 1, Organic Brown Rice Pad Thai/Formula 2, Organic Brown Rice Pad Thai/Formula 3, Organic Brown Rice Pad Thai/Formula 4, Organic Instant Brown Rice Noodle/Formula 1, Organic Instant Brown Rice Noodle/Formula 2, Organic Instant Brown Rice Noodle/Formula 3, Organic Instant Red Rice Noodle/Formula 1, Organic Instant Red Rice Noodle/Formula 2, Organic Instant White Rice Noodle/Formula 1, Organic Instant White Rice Noodle/Formula 2, Organic Instant White Rice Noodle/Formula 3, Organic Instant White Rice Noodle/Formula 4, Organic Multigrain Ramen/Formula 1, Organic Red Rice Pad Thai/Formula 1, Organic Red Rice Pad Thai/Formula 2, Organic Red Rice Ramen/Formula 1, Organic Riceberry Rice Pad Thai/Formula 1, Organic White Rice Pad Thai/Formula 1, Organic White Rice Pad Thai/Formula 2, Simple Truth Organic "Organic Brown Rice Noodle Pad Thai"/Formula 1, Simple Truth Organic "Organic White Rice Noodle Pad Thai"/Formula 1), Pasta (HAPPY NOODLE “Organic Brown rice Ramen”/Formula 1, Organic Brown Rice Ramen/Formula 1, Organic Brown Rice Ramen/Formula 2, Organic Brown Rice Ramen/Formula 3, Organic Brown Rice Vermicelli/Formula 1, Organic Red Rice Vermicelli/Formula 1, Organic Red Rice Vermicelli/Formula 2, Organic Riceberry Rice Ramen/Formula 1, Organic White Rice Ramen/Formula 1, Organic White Rice Ramen/Formula 2, Organic White Rice Vermicelli/Formula 1), Pasta (Organic Brown Rice Noodles Pad Thai/Formula 5), Pasta (Explore Cuisine Organic Brown Rice Pho Noodles, Explore Cuisine Organic Brown Rice Stir-fry Noodles, Organic Brown Pad Thai Rice Noodles (Brown Rice) , Organic Brown Rice Pho Noodles, Organic Semi-Milled Rice Pho, Organic Semi-Milled Rice Ramen, Organic Semi-Milled Rice Somen, Organic Traditional Pad Thai Rice Noodles (White Rice) , Organic White Rice Pho, Organic White Rice Somen), Pasta (Organic Millet and Brown Rice Ramen/Formula 1, Organic Millet and Brown Rice Ramen/Formula 2, Organic Soba Ramen/Formular 1, Organic Wide White Rice Ramen), Pasta (Organic Soba Ramen/Formular 2, Organic Soba Ramen/Formular 3)</t>
  </si>
  <si>
    <t>Other: Coconut Oil (Coconut MCT Oil), Denatured Alcohol (35A, 190 (Natural Ethyl Acetate)), Denatured Alcohol (38B-13 (lavender)), Denatured Alcohol (38B-17 (peppermint)), Denatured Alcohol (38B-32 (bergamot - bergaptene free)), Denatured Alcohol (38B-86  (bergamont with bergaptene)), Denatured Alcohol (38B-93 (lemon oil)), Denatured Alcohol (SDA 38B-56 (Eucalyptus Oil)), Grain Alcohol (Corn Alcohol), Grain Alcohol (Wheat Alcohol), Sugar Alcohol (Cane Alcohol)</t>
  </si>
  <si>
    <t>Processed  Items: Soy Tempeh ORG, Soy Tempeh ORG2lb, Soy Tempeh 3 Grain, Soy Tempeh Flax, Soy Tempeh ORGCAN, Soy Tempeh ORGCAN 2lb, Soy Tempeh ORGTrader Joe's, Chickpea Tempteh OG</t>
  </si>
  <si>
    <t>Other: Acacia arabica (Babul) Bark Dried, Acacia catechu (Katha/Khadira) Bark Dried, Acacia catechu Bark Powder, Adhatoda vasica (Vasaka/kali basuti) Leaves Dried, Adhatoda vasica Leaves Powder (Vasaka Powder), Akarkara/Spilanthus acmella Root Dried, Alfalfa powder, Almond, Aloe Vera Leaves Dried, Aloe Vera Leaves Powder, Amla Fruit powder, Anantmool (Hemidesmus indicus) Root Dried, Apamarga Whole Plant Dried, Arjun Bark powder (Terminalia arjuna), Arrowroot powder, Ashok (Saraca Indica) Bark Dried, Ashwagandha Leaf Dried, Ashwagandha root Dried, Ashwagandha Root Powder, Asparagus racemosus (Shatawar) Root Dried, Asparagus racemosus-root-powder, Bacopa monnieri-whole plant-powder, Bay leaves/Tejpatta Dried, Bel/Bael/Aegle marmelos Root Dried, Berberis Aristata(Daru Haldi) Bark Dried, Bhoomi Amla Whole Plant Powder, Bilva fruit/Aegle marmelos Powder, Bilva leaves-Aegle marmelos Dried, Black musale (Curculigo orchioides) Root Dried, Black Pepper, Black Pepper Powder, Boerhaavia diffusa (Punerneva) Root Dried, Boswella serrata Gum Dried, Brahmi/Bacopa monnieri Whole Plant Dried, Buchanania lanzan Spreng (Cheerojee) Seed Dried, Cardamom Large (Black) Dried, Cardamom Powder, Castor seeds, Centella asiatica Whole Plant Dried, Chamomile (M.chamomile) Flower Dried, Chundanga (Solanum Indicum) Whole Plant Dried, Cinnamon bark Dried, Cinnamon bark powder, Cissus (Hadjod) Stem Dried, Clove powder, Commiphora whitii (Guggul) Gum Dried, Convolvulus pluricaulis (Shankpushpi) Whole Plant Dried, Coriander Powder, Coriander seed/whole Dried, Cumin seed Dried, Curcuma zedoaria (Kachur) Root Dried, Cyperus rotundus (Nagarmootha) Root Dried, Cyperus rotundus/Musta Root powder, Desmodium Gangeticum Whole Plant Dried, Dried Cardamom, Dried Clove, Dried Curry leaves, Dried nutmeg shelled, Dry rose petals-Rose, Eclipta alba (Bhrigjraj/Bhringraj) Whole Plant Dried, Eclipta alba Whole Plant Powder, Emblica Officinalis(Amla/Indian Gooseberry) Fruit Dried, Emblica ribes/baibidang Fruit Dried, Eucalyptus leaves Dried, Fennel/saunf Seed Dried, Fenugreek Seed Dried, Fenugreek Seed Powder (Methi Powder), Flax Seed Dried, Galangal rhizomes and roots Dried, Giloy Stem Powder, Ginger Root Powder, Ginger Root sliced (dried), Ginger whole (dried), Gokshura Fruit (Tribulus terrestris) Dried, Gotukola Whole Plant TBC-Centella asiatica-, Green Gram Whole (Moong Sabut) Dried, Guar Seeds Dried, Guavas Leaves Dried, Guduchi (Tinospora Cordifolons) Stem Dried, Gymnema Sylvestre (Leaves) Dried, Haritaki/Harad(Terminalia chebula) Fruit Dried, Harjor (Cissus quadrangularis) Stem Dried, Hedychium spicatum Root Dried, Hemidesmus indicus(L.)R.Br.(Sarsaparilla) Root Dried, Henna (Lawsonia inermis/alba) Leaves Dried, Henna Leaves Powder, Hibiscus Flower Dried, Holarrhena antidysenterica (Kutaj) Bark Dried, Holarrhena Antidysentries (Kura) Bark Dried, Holy basil Leaves Dried, Indigofera tinctoria Leaves Dried, Indigofera Tinctoria Leaves powder, Jamun Seed powder, Jamun/Neralae(Syzygium cuminii) Seed Dried, Jatamansi (Nardostachys jatamansi) Root Dried, Kalmegh Whole Plant powder (Andrographis paniculata), Kalmegh(Andrographis penniculata) Whole Plant Dried, Karinochi/Negundo (Vitex negundo) Leaves Dried, Krishna tulsi (Ocimum sanctum) Leaves Dried, Krishna Tulsi Leaves Powder-Ocimum basilicum, Krishna Tulsi Leaves TBC-Ocimum basilicum, Kutki (Picrorhiza kurroa) Root Dried, Lemon Grass Leaves Dried, Lemon grass Leaves TBC, Lemon peel dried, Liquorice Root powder, Liquorice roots Dried, Lodhra (Symplocos recemosa) Bark Dried, Mace, Mango Fruit (sliced dried), Mango Fruit Powder/ Aamchur, Manjistha/Rubia cordifolia Stem/Root Dried, Manjistha/Rubia cordifolia Stem/Root Powder, Maranta erundinacea Root Dried, Marodphali (Helicteres isora) Fruit Dried, Matki/Moth Bean, Milk thistle Seed Dried, Mimosa pudica (Lajwanti) Seed Dried, Mimosa pudica Seed Powder, Mint/Mentha Leaves Dried, Moringa leaves Dried, Moringa Leaves Powder, Moringa seed Dried, Mucuna pruriens (Mucuna) Seed Dried, Mucuna pruriens Seed Powder, Mustard Seed - Black, Natural Herbal Henna Powder, Neem bark powder, Neem leaves Dried, Neem leaves powder, Nelumbo nucifera Seed Dried, Nishoth (Operculina terpethum) Bark Dried, Non-Basmati Rice, Nutmeg mace (dried), Nutmeg Powder, Oregano Leaves Dried, Papaya leaves (C.papaya) Dried, Papaya leaves powder, Papaya Leaves TBC, Parijatha (Night jasmine) Leaves Dried, Patchouli Leaves Dried, Pearl Millet/Bajra, Pepper long/Pippali (Piper longum) Fruit Dried, Peppermint leaves Dried, Peppermint Leaves powder, Peppermint Leaves tea cut, Plumbago zeylanica (Chitrak/chitrakmool) Root Dried, Plumbago zeylanica Powder, Prishniparni-Uraria picta Whole Plant Dried, Pushkarmool/Inula racemosa Root Dried, Quinoa Seed, Rama Tulsi Leaves Dried TBC-Ocimum sanctum, Rama Tulsi Leaves Dried-Ocimum sanctum, Rauwolfia/R.serpentina (Sarpgandha) Root Dried, Rose Petal TBC, Roselle/Hibiscus sabdariffa Flower Dried, Safed Musli/Chlorophytum borivilianum Root Dried, Sapindus mukorossi (Reetha) Fruit Dried, Sarpgandha Root powder/ Rauwolfia serpentina powder, Senna leaves Dried, Senna pods Dried, Sesame seeds, Shikakai Fruit Dried, Shikakai Fruit powder, Shyonaka Bark Dried, Sida cordifolia/Bala/Country mellow Whole Plant Dried, Soap Nut/Reetha ( Powder), Spearmint leaves Dried, Stevia leaves-dried, Tamarind/Imli (T.indica) Fruit, Terminalia arjuna Bark Dried, Terminalia bellirica/baheda Fruit Dried, Terminalia chebula Fruit Powder, Tribulus terrestris Fruit powder, Triphala Powder, Tulsi leaves dry, Tulsi leaves powder, Turmeric Powder, Turmeric whole-dried, Vacha/Bachmool (Acorus calamus) Root Dried, Varuna Bark Dried, Vetiveria Zizanoides (Khas) Root Dried, Vidari (ipomoea digitata) Root Dried, Vidarikanda Root (ipomoea digitata) Powder, Vitex negundo Leaves Powder, Wheat grain, Wheatgrass Leaves powder, White Pepper powder, Wild Basil Leaf Dried, Yellow mustard Seed</t>
  </si>
  <si>
    <t>Other: Alfalfa (Crop, Field Packed), Arugula, Barley (Crop, Field Packed), Barley (Crop, Field Packed), Beets (Gold, Red, Rainbow), Beets (Mixed (Red &amp; Gold)), Beets (Red), Bok Choy, Bok Choy (Baby Bok Choy), Broccoli, Broccoli (Sweet Baby Broccoli), Cabbage (Green), Cabbage (Green, Red), Carrot Juice (Bulk: Single Strength, Concentrate), Carrot Juice (Bulk: Single Strength, Concentrate, Acidified), Carrot Juice (NFC Carrot Juice with NFC Lemon Juice), Carrot Juice (Yellow, Purple), Carrot Juice Concentrate (Yellow, Purple), Carrot Puree (Acidified), Carrot Puree (Puree), Carrot Puree (Yellow, Purple), Carrots, Carrots (1lb), Carrots (Baby (1lb)), Carrots (Baby (1lb), Rainbow Baby (12oz), Whole (1lb, 5lb), Chips (1lb), Shredded (10oz), Juicing (25lb)), Carrots (Baby (2lb Twin Pack)), Carrots (Baby Carrots), Carrots (Baby Carrots (yellow)), Carrots (Baby Cut), Carrots (Baby Cut (16oz)), Carrots (Baby Cut (1lb)), Carrots (Baby Cut (1lb, 2lb)), Carrots (Baby Cut (2.25oz, 5-2.25oz packs, 1lb, 2lb)), Carrots (Baby Cut 1lb (Sweet Babies)), Carrots (Baby Cut Carrots), Carrots (Baby Whole Carrots), Carrots (Bulk - Baby Carrots), Carrots (Bunched), Carrots (Bunched (Petite)), Carrots (Bunched (Purple, Yellow, Rainbow, Red)), Carrots (Bunched (Red)), Carrots (Carrot Chips), Carrots (Carrots), Carrots (Carrots of Many Colors (12oz)), Carrots (Carrots of Many Colors (Whole 2 lb)), Carrots (Cello), Carrots (Cello (0.5lb,1lb, 5lb)), Carrots (Cello, Baby, Sweet Petites, Shredded, Chips, Baby Rainbow, Whole Rainbow), Carrots (Chips, Shred), Carrots (Chips, Sticks, Shred, Chunk, Crinkle Cut, Coin Cut, Diced), Carrots (Color Shred), Carrots (Colorshred), Carrots (Crop, Field Packed - Orange, Yellow, Purple, Rainbow), Carrots (Cut &amp; Peeled Baby Carrots), Carrots (Cut and Peeled Carrots), Carrots (Dipper Carrots), Carrots (Fresh Shredded Carrots), Carrots (Juicing), Carrots (Mini Cut &amp; Peeled (1lb, 2lb)), Carrots (Mini Peeled (1lb)), Carrots (Multicolour Shredded Carrots), Carrots (Petite (12oz), Baby Cut &amp; Peeled (16oz, 32oz), Rainbow Baby Cut &amp; Peeled (12oz), Whole (1lb, 2lb, 5lb), Rainbow Whole (2lb), Shredded (10oz), Chips (16oz), Sticks (12oz)), Carrots (Petite Baby-cut), Carrots (Process), Carrots (Process, Bulk), Carrots (Rainbow), Carrots (Rainbow Carrot Chips), Carrots (Rainbow Carrots), Carrots (Rainbow, Baby-cut), Carrots (Snack Pack (4 3oz packs), 1lb, 2lb), Carrots (Whole (16oz)), Carrots (Whole (1lb, 2lb, 5lb)), Carrots (Whole (1lb, 2lb, 5lb); Baby (1lb, 2lb), Rainbow Baby (12oz)), Carrots (Whole (1lb, 5lb)), Carrots (Whole (2lb)), Carrots (Whole (2lb), Multi-color (10oz, 2lb)), Carrots (Whole (8oz)), Carrots (Whole 1lb, 2lb, 5lb; Petite 12oz; Matchstick 10oz; Chips 16oz), Carrots (Whole 1lb, 2lb; Baby 1lb, 2lb), Carrots (Whole Carrots), Cauliflower, Cauliflower (Cauliflower Rice), Cauliflower (Florets), Cauliflower (Green), Cauliflower (Orange), Cauliflower (Purple), Cauliflower (Whole), Celery, Celery Hearts, Chard ((Green, Rainbow, Red)), Chard (Chopped Rainbow Chard), Chard (Green), Chard (Rainbow), Cilantro, Collards (Chopped), Cooling (Hydro Cooling, Air Cooling), Corn (Grain &amp; Silage), Corn (Sweet), Daikon, Dehydrated Vegetables (Juice/Puree Crystals: Carrot, Spinach, Broccoli, &amp; Beet), Dehydrated Vegetables (Juice/Puree Crystals: Carrot, Spinach, Broccoli, &amp; Beet), Dill, Fennel ((Anise)), Garlic (Crop, Field Packed), Grains (Crop, Field Packed - Sesbania), Grains (Crop, Field Packed - Sesbania), Grains (Crop, Field Packed - Sudan), Grains (Crop, Field Packed - Sudan), Grains (Crop, Field Packed - Teff), Grains (Crop, Field Packed - Teff), Grains (Crop, Field Packed - Vetch/Oats), Grains (Crop, Field Packed - Vetch/Oats), Grains (Crop, Field Packed - Vetch/Rye), Grains (Crop, Field Packed - Vetch/Rye), Green Beans, Green Beans (Crop, Field Packed), Green Onions, Greens (Amaranth), Greens (Collards ), Greens (Dandelion (Green, Red)), Greens (Mustard ), Greens (Turnips), Honeydew, Jicama (Bulk), Kale, Kale ((Green, Lacinato, Red)), Kale (Chopped Green Kale), Kale (Chopped Green Kale - stemless), Kale (Chopped Lacinato), Leeks, Lettuces (Butter (Green, Red)), Lettuces (Iceberg), Lettuces (Leaf (Green, Red)), Lettuces (Romaine (Green, Red)), Lettuces (Romaine Green), Melons (Cantaloupe), Melons (Dino Melon), Melons (Watermelon, Mini (Seedless)), Melons (Watermelon, Mini (Seedless)), Melons (Watermelon, Seeded (Red)), Melons (Watermelon, Seeded (Red)), Melons (Watermelon, Seedless (Red, Yellow)), Melons (Watermelon, Seedless (Red, Yellow)), Mixed Vegetables (Broccoli &amp; Carrots), Mixed Vegetables (Broccoli &amp; Cauliflower), Mixed Vegetables (Broccoli Slaw - Broccoli, Carrots, Red Cabbage), Mixed Vegetables (Kale &amp; Carrots), Mixed Vegetables (Vegetable Medley - Broccoli, Carrots &amp; Cauliflower), Oats (Crop, Field Packed), Oats (Crop, Field Packed), Onions (Red), Onions (Red), Onions (Red Onions), Onions (White), Onions (White), Onions (Yellow), Onions (Yellow (3lb)), Onions (Yellow Onions), Packaging (Client Profile Products only), Parsley (Curly, Italian), Parsnips, Potatoes (Baby Gold), Potatoes (Baby Red), Potatoes (Creamers - Harvest Blend ), Potatoes (Creamers (Bite-Sized) - Sunburst Blend), Potatoes (Enchanted Rose), Potatoes (Fingerling), Potatoes (Fingerling: Gold, Red, Purple), Potatoes (Gold), Potatoes (Gold (3lb), Red (3lb), Russet (3lb)), Potatoes (Golden), Potatoes (Golden (3lb), Red (3lb), Russett (3lb)), Potatoes (Honey Gold), Potatoes (Medley), Potatoes (Rainbow Fingerling), Potatoes (Red), Potatoes (Red (3lb), Russet (3lb), Yellow Fleshed (3lb)), Potatoes (Ruby Sensation), Potatoes (Russet), Potatoes (Yellow), Potatoes (Yellow Fingerling), Processing (Client Profile Products only) (Receiving, Washing, Blanching, Juicing, Processing, Shipping), Radishes, Radishes (Easter Egg), Radishes (French Breakfast), Radishes (Radishes Of Many Colors (12oz Trimmed)), Radishes (Rainbow), Radishes (Red), Romaine Hearts, Rutabaga, Rye (Crop, Field Packed), Rye (Crop, Field Packed), Safflower (Crop, Field Packed), Safflower (Crop, Field Packed), Snack Foods (Carrot Chips &amp; Guacamole), Snack Foods (Carrot Chips &amp; Hummus), Snack Foods (Carrot Chips &amp; Ranch), Spinach, Storage (Cold, Frozen), Sweet Potatoes, Sweet Potatoes (Crop, Field Packed), Sweet Potatoes (Crop, Field Packed), Sweet Potatoes (Japanese - Crop, Field Packed), Sweet Potatoes (Orange - Crop, Field Packed), Sweet Potatoes (Pomace, Frozen), Sweet Potatoes (Red - Crop, Field Packed), Tomatoes (Processing), Turnip, Vegetable Juice (Beet Juice With Lemon (Acidified)), Vegetable Juice (Beet: Juice &amp; Concentrate), Vegetable Juice (Broccoli Concentrate), Vegetable Juice (Collard Greens Concentrate), Vegetable Juice (Daikon: Juice &amp; Concentrate), Vegetable Juice (Jicama: Juice, Single Strength), Vegetable Juice (Kale: Juice &amp; Concentrate), Vegetable Juice (Lettuce: Juice &amp; Concentrate), Vegetable Juice (Napa Cabbage: Juice &amp; Concentrate), Vegetable Juice (Onion: Juice &amp; Concentrate), Vegetable Juice (Red Chard: Juice &amp; Concentrate), Vegetable Juice (Spinach Concentrate), Vegetable Puree (Beet Puree), Vegetable Puree (Broccoli Puree), Vegetable Puree (Cauliflower), Vegetable Puree (Daikon Puree), Vegetable Puree (Jicama: Puree), Vegetable Puree (Kale Puree), Vegetable Puree (Lettuce: Puree), Vegetable Puree (Onion Puree), Vegetable Puree (Parsnip: Puree), Vegetable Puree (Rutabaga: Puree), Vegetable Puree (Spinach Puree), Vegetable Puree (Sweet Potato ), Vegetable Puree (Watercress Concentrate), Vegetables (Kalettes), Vetch (Crop, Field Packed), Vetch (Crop, Field Packed), Wheat (Crop, Field Packed), Wheat (Crop, Field Packed)</t>
  </si>
  <si>
    <t>Other: Bread (100% Quinoa Sourdough), Bread (Banana Walnut Quinoa Millet Sourdough ), Bread (Cinnamon Raisin Quinoa Millet Sourdough), Bread (Flax Quinoa Millet Sourdough ), Bread (Original Quinoa Millet Sourdough), Bread (Seeded Quinoa Millet Sourdough), Bread (Super Grains Multgrain Sourdough)</t>
  </si>
  <si>
    <t>Other Grains, Pastas and Cereals: Oats, Oats (Rolled); Dry/Baking Goods: Flours and Meals (Malted Blue Corn), Flours and Meals (Malted Buckwheat), Flours and Meals (Malted Millet), Flours and Meals (Malted Roasted Blue Corn), Flours and Meals (Malted Roasted Millet), Flours and Meals (Malted Roasted Yellow Corn), Flours and Meals (Malted Yellow Corn), Flours and Meals (Roasted Buckwheat Malt); Beverage Related Products: Coffee (Malted Roasted Green Coffee)</t>
  </si>
  <si>
    <t>Other Grains, Pastas and Cereals: SUNFLOWER; Fruits/Vegetables: Beans (SOYBEAN), Beans (SOYBEAN)</t>
  </si>
  <si>
    <t>Other: Basil, Beans, Beans, Beets, Blackberry, Blueberries, Bok Choy, Broccoli, Broccoli (Purple Sprouting ), Broccoli (Romanesco), Cabbage, Carrots, Cauliflower, Celeriac, Celery, Chard, Chicory, Chives, Chives (Blossoms), Cilantro, Collard Greens, Cucumber, Dill, Edible flowers, Escarole, Fennel, Garlic, Garlic (spring green), Green Beans, Kale, Lettuce, Microgreens, Mint, Mushrooms, Mustard Greens, Onion, Onion, Onion (Scallions), Parsley, Parsnip, Peas, Peppers, Peppers, Potatoes, Radicchio, Radish, Raspberry, Rosemary, Rutabaga, Sage, Salad Mix, Savory, Scapes, Shallots, Spinach, Squash, Sunchoke, Tarragon, Thyme, Tomatillos, Tomatoes, Turnips, Watermelons</t>
  </si>
  <si>
    <t>Other: Ajwain, Almond, Amaranth Flour, Amaranth Seed / Ram Dhana, Amla Powder, Arhar Dal (Pigeon Pea), Ashwagandha Powder, Bajra Dalia / Porridge, Bajra Flour / Atta, Barley Dalia / Porridge, Barley Flour / Atta, Barley Whole, Basmati Rice - Brown, Basmati Rice - White, Bayleaf Powder, Bayleaf/Tejpatta, Black Pepper, Black Pepper Powder, Black Rice, Broken Rice, Buckwheat Flour, Cardamom Black, Cardamom Black Powder, Cardamom Dried, Cardamom Dried Powder, Cardamom Green, Cardamom Green Powder, Chana Besan, Chana Dal, Chana Whole, Chickpea/Kabuli Chana, Chitra Kidney Beans/Rajma Chitra, Cinnamon Powder, Cinnamon Sticks, Clove Powder, Clove Whole, Coconut Oil, Coriander Powder, Coriander Seed/Whole, Cowpea White Whole, Cumin Powder, Cumin Whole, Curry Leaf/Leaves TBC, Fennel Powder, Fennel/Saunf, Fenugreek Powder, Fenugreek Seed(Methi Seed), Flax Seed, Garam Masala, Garlic Powder, Ginger Powder, Green Tea, Groundnut Oil/Peanut Oil, Groundnut/Peanut, Jaggery, Jaggery Powder, Kalonji/Nigella Seeds, KasuriMethi, Mace, Maida, Maize Dalia, Maize Flour, Maize(Corn), Mango Powder/Aamchur, Masoor Dal, Masoor Whole, Mix Dal, Moong Chawal ki Khichdi, Moong Dal Mogar, Moong Split, Moong Whole, Moringa Powder, Moth Whole, Multigrain Flour, Mustard Oil - Black, Mustard Seeds - Black, Mustard Seeds - Yelllow, Neem Powder, Nutmeg Powder, Nutmeg Whole, Oregano, Pearl Millet/ Bajra, Psyllium Husk, Quinoa, Ragi /Finger Millet Grain, Ragi Flour, Raisins/kismis, Red Chilli Flakes, Red Chilli Powder, Red Chilli Whole, Red Kidney Beans/Rajma, Red Rice, Rice Flour / Atta, Rice Poha, Rice Sona Masoori Brown, Rice Sona Masoori White, Roasted Almond, Roasted Barley, Roasted Chana, Roasted Fennel Seed, Roasted Peanut, Roasted Suji/ Semolina/Cream Of Wheat, Roasted Wheat Porridge/Dalia, Saffron, Sattu Atta, Sesame Oil/Gingelly Oil, Sesame/Sesamum, Seven Grain Flour, Sorghum, Sorghum/Jowar Dalia, Sorghum/Jowar Flour, Soybean Whole, Star Anise, Sugar(Brown / Natural), Sugar(White / Natural), Suji/ Semolina/Cream Of Wheat, Sunflower Oil, Thymes, Tulsi Powder, Turmeric Dried, Turmeric Powder, Urad Black Gram, Urad Dal/Split Black Gram, Urad Dhuli, Urad Gota, Walnut, Wheat, Wheat Flour, Wheat Grass Powder, Wheat Porridge/Dalia, White Pepper Powder, White Pepper Whole</t>
  </si>
  <si>
    <t>Other: Dehydrated banana chunks, Dehydrated banana dices, Dehydrated banana slices, Dehydrated blueberry wholes, Dehydrated mango dices, Dehydrated mango slices, Dehydrated pineapple dices, Dehydrated pineapple rings, Dehydrated strawberry dices, Dried pineapple chunks, Oat flour, Whole grain oat flakes</t>
  </si>
  <si>
    <t>Processed  Items: Cereal (Quinoa Puffed (white, red and black), Quinoa flakes (white, red and black)); Other Grains, Pastas and Cereals: Quinoa (Mixed quinoa (white and red), Black quinoa, Red quinoa, Tricolor quinoa (white, red and black), White quinoa); Dry/Baking Goods: Flours and Meals (Quinoa flour (white, red and black))</t>
  </si>
  <si>
    <t>Processed  Items: Almonds (ALMENDRA TOSTADA / Almond roasted), Cereal (QUINUA EN POLVO / Quinoa powder), Cereal (CAÑIHUA EXTRUIDA / Canihua extruded, CAÑIHUA POP / Canihua pop, HOJUELAS DE KIWICHA / Kiwicha flakes, HOJUELAS DE QUINUA CRUDA / Raw quinoa flakes, HOJUELAS PRECOCIDA DE QUINUA / Pre-cooked quinoa flakes, KIWICHA EXTRUIDA / Kiwicha extruded, KIWICHA GELATINIZADA / Kiwicha gelatinised, KIWICHA POP / Kiwicha pop, QUINUA EXTRUIDA / Quinoa extruded, QUINUA POP / Quinoa pop, QUINUA PRECOCIDA / Pre-cooked quinoa, QUINUA PRECOCIDA DESHIDRATADA / Pre-cooked quinoa dehydrated, QUINUA TOSTADA / Quinoa roasted), Dehydrated Foods (PIÑA DESHIDRATADA / Pineapple dried), Jam (MERMELADA DE QUINUA CON AGUAYMANTO / Quinoa jam with goldenberry, MERMELADA DE QUINUA CON CHICHA MORADA / Quinoa jam with chicha morada, MERMELADA DE QUINUA CON PIÑA / Quinoa jam with pineapple), POP "TIKOQUÍN" SABOR TOFFEE NATURAL / Pop "tikoquín" toffee natural flavoured, QUINUA POP CRISPY / Quinoa pop crispy, AGUAJE DESHIDRATADO / Moriche palm fruit (Mauritia flexuosa) - dried, AGUAYMANTO DESHIDRATADO / Goldenberry dried, ARÁNDANO DESHIDRATADO / Blueberry - dried, BANANO DESHIDRATADO / Plantain - dried, CEREAL DE 100% QUINUA POP "TIKOQUÍN" PURA / 100% Quinoa pop "tikoquín" cereal, LÚCUMA EN POLVO / Lucuma powder, MACA GELATINIZADA / Maca gelatinised, MACA SECA / Maca dried, MANGO DESHIDRATADO / Mango dried; Other Grains, Pastas and Cereals: Cereal (CAÑIHUA EN GRANO / Canihua grain, KIWICHA EN GRANO / Kiwicha grain), Quinoa (QUINUA BICOLOR BICENTENARIO / Bicentenary bicolour quinoa, QUINUA BLANCA / White quinoa, QUINUA BLANCA LAVADA / White quinoa - washed, QUINUA NEGRA / Black quinoa, QUINUA ROJA / Red quinoa, SUPER QUINUA ROJA Y NEGRA / Super red and black quinoa); Nuts/Seeds: Almonds (ALMENDRA / Almond fresh); Health Products: Herbs (CÚRCUMA / Curcuma - fresh, CÚRCUMA EN POLVO / Curcuma powder, DEDOS DE CÚRCUMA DESHIDRATADO / Curcuma fingers - dried, JENGIBRE / Ginger fresh, JENGIBRE DESHIDRATADO / Ginger dried, JENGIBRE EN POLVO / Ginger powder); Fruits/Vegetables: LÚCUMA / Lucuma fresh, MACA / Maca fresh; Dry/Baking Goods: Flours and Meals (AVENA EN POLVO / Oatmeal powder), Flours and Meals (HARINA DE ALMENDRA / Almond flour, HARINA DE CAÑIHUA / Canihua flour, HARINA DE CASTAÑA / Chestnut flour, HARINA DE KIWICHA / Kiwicha flour, HARINA DE MACA / Maca flour, HARINA DE MAIZ MORADO / Purple corn flour, HARINA DE QUINUA CRUDA / Raw quinoa flour, HARINA GELATINIZADA DE CAÑIHUA / Gelatinised canihua flour, HARINA GELATINIZADA DE QUINUA / Gelatinised quinoa flour, HARINA INSTANTÁNEA (DESAYUNO DE QUINUA/HARINA DE QUINUA GELATINIZADA) / Instant flour (quinoa breakfast/ gelatinised quinoa flour), MEZCLA DE HARINAS (QUINUA,CAÑIHUA y KIWICHA) / Flour mixture (quinoa, canihua and kiwicha), MEZCLA DE HOJUELAS (QUINUA, CAÑUHUA Y KIWICHA) / Flakes mix (quinoa, canihua and kiwicha)); Condiments and Sweeteners: Sweeteners (PANELA / Panela); Chocolate Goods: Baking Chips and Bars (QUINUA POP BAÑADO CON CHOCOLATE / Quinoa pop dipped in chocolate, QUINUA POP Y AGUAYMANTO BAÑADO CON CHOCOLATE / Quinoa pop and goldenberry dipped in chocolate, QUINUA POP Y PIÑA BAÑADO CON CHOCOLATE / Quinoa pop and pineapple dipped in chocolate), Baking Chips and Bars (ARÁNDANO BAÑADO CON CHOCOLATE / Blueberry dipped in chocolate, JENGIBRE BAÑADO CON CHOCOLATE / Ginger dipped in chocolate, NIBS DE CACAO / Cocoa nibs), CACAO EN POLVO / Cocoa powder; Bread/Bakery/Snacks: Baking Mixes (GALLETA CON QUINUA Y NARANJA GLUTEN FREE / Quinoa biscuit with orange (gluten free)); Other: Seeds (CHÍA BLANCA EN GRANO / White chia, CHÍA NEGRA EN GRANO / Black chia)</t>
  </si>
  <si>
    <t>Other: Adobo Seco, Afghan Spice Blend, Ajwain Seed, Allspice, Ground, Allspice, Whole, Ancho Chile Powder, Anise Seed, Annatto Seed, Powder, Annatto Seed, Whole, Apple Creek Farm Fennel Sage Sausage Non Retail, Apple Creek Farm Mutton Blend Non Retail, Apple Creek Farm Summer Sausage Non Retail, Apple Pie Spice, Arrowroot Powder, Attila's Imperial Rub, Barberries, Basil Leaf, Bay Leaf, Whole, Bezar, Bird's Eye Chili, Powder, Bird's Eye Chili, Whole, Bitter Orange Peel Slices, Black Seed (Nigella), Whole, Blackening Seasoning, Booda's Berbere, Cacao Powder, Calendula Flowers, Whole, Caraway Seed, Cardamom (hulled), Cardamom Pods, Green, Cardamom Powder, Casco Bay Seasoning, Catnip (Leaf &amp; Flower), Cayenne (chili) Powder, Cayenne Powder 35m, Cayenne Powder 90m, Cayenne Red Ember, Maine Grown, Celery Seed, Chile Pepper Powder, Ancho, Chile Pepper Powder, Chipotle, Chile Pepper Powder, Habanero, Chile Pepper Powder, Jalapeno, Chile Pepper Powder, Medium, Chile Pepper, Crushed, Chili Ancho, Whole, Chili Flakes, Chili Morita, Whole, Chili New Mexico Hatch, Whole, Chili Pepper Flakes, Chili Pepper Powder, New Mexico, Chili Pepper Powder, Pasilla Negro, Chili, Whole, Chinese Five Spice, Chipotle Chile Pepper, Ground, Chives, Cilantro Leaf, Cinnamon (Cassia) Chips, Cinnamon (Cassia) Powder, Cinnamon (Cassia) Sticks, Cinnamon (Sweet) (True) Powder, Cinnamon (Sweet) Chips, Cinnamon (Sweet) Quills, Cinnamon, Cassia (Vietnamese), Cinnamon, Ground Saigon, Clove Powder, Cloves, Whole, Cocoa Powder, Coconut, Shredded, Coffee, Coriander Seed, Coriander Seed Powder, Crazy Cat Creole Seasoning, Cubeb Berries, Whole, Cumin Seed Powder, Cumin Seed, Whole, Curry Leaf, Curry Powder, Dill Seed, Dill Weed, Duqqa, East Side Bagel Seasoning, Eastern River Cattle Cover, Elderberries, Elderberry Boost, Epazote Herb, Evaporated Cane Juice, Eventide Herbes, Fair Winds Fish Seasoning, Fennel Seed, Fenugreek Seed, Fernando's Sacred Seasoning, Foghorn's Brining Blend, Galangal Root Powder, Garam Masala, Garlic Granules, Ginger Root Powder, Ginger, Crystallized, Grains of Paridise, Harissa, Hawaij, Hazelnuts, Herbs de Provence, Hibiscus Flowers, whole, Jamaican "Jerk" Seasoning, Jamaican Curry Powder, Juniper Berry, Kentucky Creek Bourbon Rub, Khmeli Suneli, Lavender Flowers, Lemon Peel, Lemon Peel Powder, Lemon Pepper Seasoning, Lemon Thyme, Lemongrass, Lemongrass Powder, Long Pepper, Whole, Mace, Powder ground, Mace, Whole, Marjoram, Mary's Lamb Seasoning, Mediterranean Seasoning, Merrymeeting Bay Seasoning, Moosehead Grilling Blend, Moroccan Grilling Blend, Mustard Seed, Brown, Mustard Seed, Yellow, Mustard, Ground Powder, New England Marinade, Nigella Seed, NKP Organic Smoking Orange Bacon Blend non-retail, Noon Farm Hot/Sweet Sausage (non-retail), Northwoods Meat Rub, Nutmeg Powder, Nutmeg, Whole, Onion, Granules, Onion, Minced, Orange Peel, Orange Peel Powder, Orange Peel, Granules, Oregano Leaf, Oregano, Mexican, Panch Phoron, Paprika Powder, Paprika Powder, Smoked, Parsley, Peppercorn Black, Whole, Peppercorn Black, Whole Smoked, Peppercorn Green, Whole, Peppercorn, Long, Peppercorn, Pink Whole, Peppercorn, White Whole, Peppermint Leaf, Persian Seasoning (Advieh), Pickling Spices, Poppy Seed, Porcini Mushroom Salt, Poultry Seasoning, Pumpkin Pie Spice, Quatre Pepper Blend, Rising Tide Custom Blend non-retail, Rose Petal, Rosehips, Whole, Rosemary, Rosemary's Italian Blend, Rusty's Rib Rub, Sage leaf, Ground, Sage, leaf cut &amp; sifted, Sale de Giardino, Savory, Winter, Sesame Seed, Black, Sesame Seeds, White, Shawarma, Shichimi Togarishi, Shiretown Herbs, Sichuan Seasoning, Silk Road Mulling Spices, Spearmint Leaf, Sri Lankan Curry Powder, Star Anise Seed, Star Anise Seed Powder, Star Anise, Whole, Stevia Leaf, Sumac Berry Powder, Sweet and Savory Mixed Nuts Mix, Szechuan (Sichuan) Pepper, Whole, Tabil, Tarragon, Thyme Leaf, Thyme Leaf, Lemon, Tide Mill Farm Bratwurst non-retail, Tide Mill Farm Italian non-retail, Tide Mill Farm Maple Breakfast non-retail, Tide Mill Farm Spicy Chorizo non-retail, TPF Kolbasz, Tri Peppercorn Blend, Turmeric Root Powder, Turmeric Root, sliced, Tuscany Sunset, Vindaloo Masala, VMK Thankful Blend non-retail, Wiggables - Garden Herb Seasoning non-retail, Willows Dream Blend, Za'atar - Lebanese, Za'atar - Syrian, Zeus Zeasoning, Ziggy "My Brain's on Fire" Mexican Blend</t>
  </si>
  <si>
    <t>Other: Cinnamon, Cinnamon bark(broken/powder), Dried Ginger sliced, Dried Ginger sliced/ Ginger grains/Ginger Powder, Star anise, Star anise(broken/powder)</t>
  </si>
  <si>
    <t>Other: A1 BABY BITES ORGANIC RICE RUSKS (BLUEBERRY &amp; APPLE), A1 BABY BITES ORGANIC RICE RUSKS (MIXED FRUIT), A1 BABY BITES ORGANIC RICE RUSKS (RASPBERRY &amp; BANANA), BABY MUM-MUM BABY BITES - ORGANIC SUPER BERRIES RICE RUSKS, BABY MUM-MUM BABY BITES - ORGANIC SUPER TROPICAL RICE RUSKS, Baby Mum-Mum blueberry &amp; carrot flavor, Baby Mum-Mum Blueberry&amp;Goji flavor-GC, Baby Mum-Mum carrot flavor, Baby Mum-Mum Combo Pack- Original and Sweet Carrot, Baby Mum-Mum original flavor, Baby Mum-Mum Sweet Potato&amp;Carrot flavor-Artego, Baby Mum-Mum Sweetpotato &amp; carrot flavor, DeliGrains Brown Rice Crisps with Black Sesame flavor, DeliGrains Brown Rice Crisps with Multigrain flavor, DeliGrians Brown Rice Crisps with Quinoa flavor, DOLLARAMA ORGANIC RICE CRACKERS - NATURAL, DOLLARAMA ORGANIC RICE CRACKERS - SESAME, Got Rice! Organic Rice Crisps Club Pack - Sea Salt and Sesame-CA, Got Rice! Organic Rice Crisps Club Pack - Sea Salt and Sesame-US, HK/WW BABY MUM-MUM ORG SUPER BERRIES, HK/WW BABY MUM-MUM ORG SUPER TROPICAL, HK/WW BABY MUM-MUM ORG SUPER TROPICAL, HK/WW BABY MUM-MUM ORGANIC BLUE&amp;GOJI, HK/WW BABY MUM-MUM ORGANIC SWTPO&amp;CARROT, Hot Kid Organic Baby Mum-Mum Gentle Teething Wafers Club Pack - Super Berries &amp; Super Tropical - US, Hot Kid Organic Rice Cracker-Original Flavor-U, Hot Kid Organic Rice Cracker-Original Flavour-C, Hot Kid Organic Rice Cracker-Sesame Flavor-U, Hot Kid Organic Rice Cracker-Sesame Flavour-C, Hot Kid Organic Rice Cracker-Unsalted Flavour-C, Hot Kid/Want-Want Organic Baby Mum-Mum Gentle Teething Wafers Club Pack - Super Berries &amp; Super Tropical - CA, Hot-Kid Baby Mum Mum SUPER - ORGANIC SUPER BERRIES, Hot-Kid Baby Mum Mum SUPER - ORGANIC SUPER TROPICAL, Hot-Kid Baby Mum Mum SUPER - ORGANIC SUPER TROPICAL, HOT-KID BABY MUM-MUM Blueberry &amp; Goji Flavor / Sweet Potato &amp; Carrot Flavor, HOT-KID BABY MUM-MUM with Carrot Flavor, HOT-KID BABY MUM-MUM with Original Flavor, HOT-KID Brown Rice Crisps-Quinoa Flavor, Hot-Kid Rice Crisps - Coconut &amp; Sweet Potato Flavor, Hot-Kid Rice Crisps - Natural with Sea Salt, Hot-Kid Rice Crisps - Sesame, HOT-KID Rice Crisps with Original flavor, HOT-KID Rice Crisps with sesame flavor, HOT-KID Rice Crisps with unsalted flavor, Life Smart Naturalia Brown Rice Crackers - Ancient Grains, Life Smart Naturalia Brown Rice Crackers - Quinoa, MUM MUM 6+MOS ORGANIC SUPER BERRIES RICE RUSKS, MUM MUM 6+MOS ORGANIC TROPICAL FRUITS RICE RUSKS, Organic Japanese Rice Cracker Super Berry Flavored (Dozo Best Bite)®, Organic Japanese Rice Cracker Super Tropical Flavored (Dozo Best Bite)®, take one Baby Bites Blueberry &amp; Goji Flavor, take one Baby Bites Sweet potato &amp; Carrot flavor, TENTEN BABY GUIDE （BLUEBERRY &amp; CARROT）, TENTEN BABY GUIDE （SWEET POTATO &amp; CARROT）/ WANT WANT Baby Mum-Mum Rice Rusks - Sweet Potato &amp; Carrot flavor, TENTEN BABY GUIDE（ BLUEBERRY &amp; GOJI ）/ WANT WANT Baby Mum-Mum Rice Rusks - Blueberry &amp; Goji flavor, TOTTUS BEBE Galletas de arroz orgánicas sabor camote y zanahoria/TOTTUS BEBE Organic rice rusks - Sweet potato&amp;carrot flavor, TOTTUS BEBE Galletas de arroz orgánicas sabor manzana/TOTTUS BEBE Organic rice rusks - Apple flavor, TOTTUS BEBE Galletas de arroz orgánicas sabor original/TOTTUS BEBE Organic rice rusks - Original flavor, TOTTUS BEBE Galletas de arroz orgánicas sabor plátano/TOTTUS BEBE Organic rice rusks - Banana flavor, Walmart Parent’s Choice Rice Rusks- Strawberry, Walmart Parent’s Choice Rice Rusks- Strawberry, Walmart Parent’s Choice Rice Rusks-Apple, Walmart Parent’s Choice Rice Rusks-Apple, Walmart Parent’s Choice Rice Rusks-Banana, Walmart Parent’s Choice Rice Rusks-Banana, Walmart Parent’s Choice Rice Rusks-Blueberry, Walmart Parent’s Choice Rice Rusks-Blueberry, Want Want Baby Mum Mum SUPER-ORGANIC SUPER BERRIES, Want Want Baby Mum Mum SUPER-ORGANIC SUPER TROPICAL, WANT WANT Baby Mum-Mum Rice Rusks -Organic original flavor, Want Want SuperSlim Brown Rice Crisps Multigrain Flavor, WANT WANT SuperSlim Brown Rice Crisps original flavor, WANT WANT SuperSlim Brown Rice Crisps with black sesame flavor, WANT WANT SuperSlim Brown Rice Crisps with Multigrain &amp; Seeds flavor/ WANT WANT SuperSlim Brown Rice Crisps - Multigrain flavor, WANT WANT SuperSlim Brown Rice Crisps with Multigrain &amp; Seeds flavor/ WANT WANT SuperSlim Brown Rice Crisps-Multigrain favor, WANT WANT SuperSlim Rice Crisps - Purple Sweet Potato &amp; Black Rice, WANT WANT SuperSlim Rice Crisps - Sea Salt Flavor, WANT WANT SuperSlim Rice Crisps with sea salt flavor, WANT WANT SuperSlim Rice Crisps with sesame flavor, Want～Want Baby Bites Blueberry &amp; Carrot Flavour Organic Rice Rusks, Want～Want Baby Bites Sweet Potato &amp; Carrot Flavour Organic Rice Rusks, WANT~WANT BABY MUM-MUM BABY BITES BLUEBERRY &amp; GOJI  FLAVOR, WANT~WANT BABY MUM-MUM BABY BITES SWEET POTATO &amp; CARROT FLAVOR, YUMMY BITES CARROT FLAVOUR, YUMMY BITES CARROT FLAVOUR, YUMMY BITES ORIGINAL FLAVOUR, YUMMY BITES ORIGINAL FLAVOUR, Yummy Bites –Sweet Potato &amp; Carrot Flavor, Yummy Bites –Sweet Potato &amp; Carrot Flavor, Yummy Bites–Organic Blueberry &amp; Strawberry Flavor, YUMMY_Rice Rusks_BLUEBERRY AND GOJI FLAVOR, YUMMY_Rice Rusks_SWEET POTATO AND CARROT FLAVOR/YUMMY</t>
  </si>
  <si>
    <t>Preservatives/Extracts/Flavors: Spices (Indian carnation); Other Grains, Pastas and Cereals: Cocoa beans, Guarana in grains</t>
  </si>
  <si>
    <t>Other: Brown Basmati Rice, Brown Jasmine Rice, Brown Rice Flour, California Medium Grain Brown Rice, California Medium Grain Brown Rice Flour, California Medium Grain White Rice, California Medium Grain White Rice Flour, Granulated White Rice, Long Grain Brown Rice, Long Grain Brown Rice, Long Grain Brown Rice, Long Grain Brown Rice, Long Grain Brown Rice, Long Grain Brown Rice, Long Grain Brown Rice, Long Grain Brown Rice, Long Grain Brown Rice Flour, Long Grain Brown Rice Flour, Long Grain Rice, Long Grain White Rice, Long Grain White Rice, Long Grain White Rice, Long Grain White Rice, Long Grain White Rice, Long Grain White Rice, Long Grain White Rice, Long Grain White Rice, Long Grain White Rice Flour, Quick Cook Brown Rice, Quick Cook White Rice, Quinoa, Red Quinoa, Red Quinoa, Rice Hulls, Stabilized Rice Bran, Tri-Color Quinoa, Tri-Color Quinoa, Tri-Color Quinoa, Tri-Color Quinoa, White Basmati Rice, White Basmati Rice, White Jasmine Rice, White Jasmine Rice, White Jasmine Rice, White Quinoa, White Quinoa, White Quinoa, White Quinoa, White Rice Flour, White Rice Flour</t>
  </si>
  <si>
    <t>Other: Grains (Corn, Corn - cracked, Soybeans, Soybean Meal, Sunflower Seeds, Wheat, Wheat - pearled)</t>
  </si>
  <si>
    <t>Other: Black Gram De-husked, Brown gram/Gram/Chana (Cicer arietinuin), chana Dal, Green gram split yellow/Moong dal-yellow., Green gram/chana/Moong (Vigna sp.), Husk (Arhar/Pigeon pea), Husk (Chana/Grain), Husk (Moong/Green grain), Husk (Moth bean), Husk (Urad/Black grain), Lentil, Malka Whole, Masoor (Lens Culinaris), Masoor Dal, Masoor Dal-Split with out Shell, Matki/Moth Bean, Moong Dal, Moong Dal-Split with shell, moth dal, Pigeon pea, Roasted Gram/ chana, Split Lentil, Split Pigeon pea/arhar/Red gram, Urad (phasleolus mungo) Black gram, Urad dal -Whole(White), Urad dal/Split Black gram, Urad Dal-Spilt with Shell, Urad dhuli</t>
  </si>
  <si>
    <t>Other Grains, Pastas and Cereals: Rice (Paddy*)</t>
  </si>
  <si>
    <t>Processed  Items: Maltodextrin 08-19 de brown, Maltodextrin 08-19 de clear, rice protein concentrate HI test 75, Rice protein concentrate low fat 80, rice protein concentrate std 40, Rice protein concentrate Std 45, Rice protein HPF 65-70, Rice protein STD 50; Other Grains, Pastas and Cereals: Rice (Rice Bran), Rice (Rice broken brown), Rice (Rice broken polished), Rice (Rice brown), Rice (Rice polished), Wheat (Wheat); Condiments and Sweeteners: Brown rice syrup 20 - 97 DE, Brown rice syrup clarified 20 - 97 DE, Rice syrup brown 20-97 DE, rice syrup brown, HI maltose, Rice syrup clear 20-97 DE, rice syrup clear, HI maltose, rice syrup clear, HI maltose, Rice syrup solids brown (agglomerated dextrose) 95 DE, Rice syrup solids brown (agglomerated dextrose) 95 DE, Rice syrup solids brown (soluble rice fiber) 20-97 DE, Rice syrup solids brown (soluble rice fiber) 20-97 DE, Rice syrup solids brown 20-97 DE, Rice syrup solids brown 20-97 DE, rice syrup solids brown, HI maltose, Rice syrup solids clear (agglomerated dextrose) 95 DE, Rice syrup solids clear (soluble rice fiber) 20-97 DE, Rice syrup solids clear 20-97 DE, rice syrup solids clear, HI maltose; Other: Paddy</t>
  </si>
  <si>
    <t>Other Grains, Pastas and Cereals: Soybean; Oils &amp; Oleoresins: Oils (Crude rape seed oil), Oils (Crude soybean oil), Oils (Crude sunflower seed oil); Nuts/Seeds: Seeds (Flax seed), Seeds (Rape seed), Seeds (Sesame), Seeds (Sunflower seed); Animal Feed: Flax cake(meal), Rape seed cake(meal), Sesame cake(meal), Soybean cake(meal), Soybean expeller, Soybean meal expeller, Sunflower seed cake (meal)</t>
  </si>
  <si>
    <t>Preservatives/Extracts/Flavors: Extracts; Other Grains, Pastas and Cereals: *Corn cobs, *Soybean, Wheat (*Wheat); Oils &amp; Oleoresins: Oils (*Crude rape seed oil), Oils (*Crude soybean oil), Oils (*Crude sunflower seed oil), Oils (*Refined rape seed oil), Oils (*Refined soybean oil), Oils (*Refined sunflower seed oil); Nuts/Seeds: Seeds (Flax seed), Seeds (*Rape seed), Seeds (*Sesame), Seeds (*Sunflower seed); Dry/Baking Goods: Flours and Meals (*Wheat flour); Animal Feed: *corn flour, *defatted soybean, *Dried distillers' grain (DDGS), *Rape seed cake/meal, *Sesame cake(meal), *Soybean cake/meal, *Soybean expeller, *soybean hulls, *Soybean meal expeller, *Sunflower seed cake/meal., *Wheat bran, Flax cake/meal, Livestock Feed (*corn meal), Livestock Feed (*peeled bean cake)</t>
  </si>
  <si>
    <t>Other: Baby Food - Fruit &amp; Veggie Pouch Variety Pack 18 ct, Baby Food - Fruit Combo Jars Variety Pack 12 ct, Baby Food - Fruit Jars Variety Pack 12 ct, Baby Food - Fruit Yogurt Smoothie Variety Pack (Strawberry Banana, Mixed Berry), Baby Food - Protein Jars Variety Pack 12 ct, Baby Food - Protein Pouch Variety Pack 18 ct, Baby Food - Sesame Street Banana Pouch Variety Pack 18 ct, Baby Food - Sesame Street Variety Pack 12 ct, Baby Food - Veggie Jars Variety Pack 12 ct, Baby Food, Stage 1 - Chicken &amp; Chicken Broth, Baby Food, Stage 1 - First Apples, Baby Food, Stage 1 - First Bananas, Baby Food, Stage 1 - First Carrots, Baby Food, Stage 1 - First Pears, Baby Food, Stage 1 - First Peas, Baby Food, Stage 1 - First Sweet Potatoes, Baby Food, Stage 1 - First Winter Squash, Baby Food, Stage 1 - Turkey &amp; Turkey Broth, Baby Food, Stage 2 - • Sweet Potato, Squash &amp; Chicken, Baby Food, Stage 2 - Apple Butternut Squash, Baby Food, Stage 2 - Apples, Baby Food, Stage 2 - Apples &amp; Blueberries, Baby Food, Stage 2 - Apples &amp; Plums, Baby Food, Stage 2 - Banana Mango, Baby Food, Stage 2 - Bananas, Baby Food, Stage 2 - Carrots, Baby Food, Stage 2 - Corn &amp; Butternut Squash, Baby Food, Stage 2 - Peach Oatmeal Banana, Baby Food, Stage 2 - Pears, Baby Food, Stage 2 - Pears &amp; Mangos, Baby Food, Stage 2 - Pears &amp; Raspberries, Baby Food, Stage 2 - Peas, Baby Food, Stage 2 - Sweet Potatoes, Baby Food, Stage 2 - Vegetable Turkey Dinner, Baby Food, Stage 2 - Winter Squash, Baby Food, Stage 2 -• Butternut Squash, Chicken &amp; Multigrain, Baked Goods - Mini Pancakes Blueberry, Baked Goods - Mini Pancakes Homestyle, Bars - Sunny Days Snack Bars Apple, Bars - Sunny Days Snack Bars Strawberry, Bars - Sunny Days Snack Bars Sweet Potato Carrot, Beverages - Grape Berry Electrolyte Solution, Beverages - Toddler Milk Drink Powder, Beverages -Apple Citrus Electrolyte Solution, Breakfast Biscuits Blueberry, Broth - Chicken Broth, Broth - Low Sodium Beef Broth, Broth - Low Sodium Chicken Broth, Broth - Low Sodium Vegetable Broth, Broth - Miso Broth, Broth - Vegetable Broth, Butter - Raisin - Dried - (O), Canned Goods - Baked Beans, Canned Goods - Baked Beans, Canned Goods - Fat Free Refried Beans, Canned Goods - Maple &amp; Onion Baked Beans, Canned Goods - Refried Black Beans, Canned Goods - Traditional Refried Beans, Cereal - Whole Grain Multi-Grain Cereal, Cereal - Whole Grain Oatmeal Cereal, Condiments - Mayonnaise made with Cage Free Eggs, Condiments - Mayonnaise with Extra Virgin Olive Oil, Condiments - Roasted Turkey Flavored Gravy, Condiments - Savory Beef Flavored Gravy, Condiments - Sriracha Mayonnaise, Condiments - Vegan Wild Mushroom Gravy, Cookies - Crunchin' Graham Cookies Honey Sticks, Cookies - Letter of the Day Cookies Oatmeal Cinnamon, Cookies - Letter of the Day Cookies Very Vanilla, Corn Products - Blue Corn Taco Dinner Kit, Corn Products - Blue Taco Shells, Corn Products - Yellow Corn Taco Dinner Kit, Corn Products - Yellow Taco Shells, Crunchy Sticks - Carrot Apple, Crunchy Sticks - Cheddar Cheese, Crunchy Sticks - Garden Veggie, Crunchy Sticks - Strawberry Banana, Flour - Barley - Steamed - (O), Flour - Oat - Whole - (O), Flour - Spelt - Whole - (O), Food Additive - Agave Inulin - (O), Frozen Entrée - Chicken Fries, Fruit - Apple - Aseptic - Puree - Non-Acidified - 20Bx Concentrate - (O), Fruit - Apple - Aseptic - Puree - Single Strength - Mid Acid - (O), Fruit - Banana - Aseptic - Puree - (O), Fruit - Blueberry - Aseptic - Puree - 12 Brix - (O), Fruit - Blueberry - Frozen - Puree - (O), Fruit - Mango - Aseptic - Puree - Kent - (O), Fruit - Mango - Aseptic - Puree - Multi-Variety - (O), Fruit - Peach - Aseptic - Puree - 20 Brix - (O), Fruit - Peach - Puree - Single Strength - (O), Fruit - Pear - Aseptic - Puree - Single Strength - (O), Fruit - Pear - Puree - 30 Brix - (O), Fruit - Raspberry - Frozen - Puree - (O), Fruit - Strawberry - Frozen - Puree - (O), Fruit Yogurt Smoothie, Apple Blueberry, Fruit Yogurt Smoothie, Banana Peach, Fruit Yogurt Smoothie, Mixed Berry, Fruit Yogurt Smoothie, Pear Mango, Fruit Yogurt Smoothie, Strawberry Banana, Infant Formula - Dairy Infant Formula Without DHA or ARA, Infant Formula - Gentle Infant Formula with Iron (Milk Based Powder), Infant Formula - Milk Infant Formula with Iron, Infant Formula - Sensitivity Infant Formula with Iron, Infant Formula - Soy Infant Formula with Iron, Juice - Orange - Concentrate (FC) - (O), Juice - Pineapple - Aseptic - Concentrate (FC) - (O), Lip Balm - Hawaiian Coconut Cream Lip Balm, Munchy Fingers Mango Carrot, Munchy Fingers Mixed Berry, Oils - All Vegetable Butter Flavor Shortening, Oils - All Vegetable Shortening, Oils - Berry Blend Flax &amp; Cranberry Oil with Lignans, Oils - Canola Oil Bulk, Oils - Canola Oil Refined, Oils - Cayenne Pepper Olive Oil Cold Infused, Oils - Coconut Oil Refined, Oils - Coconut Oil Refined (Expeller Pressed), Oils - Coconut Oil Unrefined, Oils - Coconut Oil Unrefined, Oils - Coconut Oil Unrefined, Fair Trade, Oils - Coconut Oil, Virgin, Unrefined, Oils - Decadent Blend Flax &amp; Chia Oil with Lignans, Oils - Extra Virgin Olive Oil, Oils - Flax Borage Oil, Oils - Flax Oil, Oils - Flax Oil Cinnamon, Oils - Flax Oil Enriched with Lignans, Oils - Flax Oil Enriched with Lignans and Antioxidants (Shelf Stable), Oils - Flax Oil Ultra Lignan with Vitamin D, Oils - Flax Oil with Antioxidants (Shelf Stable), Oils - Flax Oil, Debittered, Oils - Garlic &amp; Chili Sesame Oil Cold Infused, Oils - Keto Blend - Olive &amp; MCT Oil, Oils - Olive Oil Spray, Oils - Olive Oil, Extra Virgin, Unrefined, Mediterranean, Oils - Olive Oil, Unrefined, Extra Virgin, Oils - Omega Blend - Olive &amp; Hemp Oil, Oils - Omega-3 Olive Oil, Oils - Palm Oil (aka Palm Shortening), Oils - Palm Oil Stearin, Oils - Peanut Oil, Refined, Oils - Peanut Oil, Refined, Oils - Rosemary Olive Oil Cold Infused, Oils - Safflower Oil Refined, High Heat, Oils - Safflower Oil Refined, High Heat, Oils - Savory Blend Flax &amp; Hemp Oil, Oils - Sesame Oil Unrefined, Oils - Sesame Oil Unrefined, Oils - Sesame Oil Unrefined Toasted, Oils - Sesame Oil Unrefined Toasted, Oils - Soy Oil Refined, Oils - Sunflower Oil, High Oleic, Oils - Sunflower Oil, Refined, PB &amp; J Bites - Apple Flavored, PB &amp; J Bites - Peanut Butter &amp; Grape Flavored, PB &amp; J Bites - Peanut Butter &amp; Strawberry Flavored, Pouches - Apple Strawberry, Pouches - Apple Strawberry Spinach, Pouches - Apple, Sweet Potato, Pumpkin, &amp; Blueberry, Pouches - Bone Support Yogurt Smoothie Pear Mango Carrot, Pouches - Brain Support Fruit + Veggie Smoothie Apple Raspberry Avocado, Pouches - Carrot Pear, Pouches - Digestive Support Yogurt Smoothie Banana Pumpkin Raisin, Pouches - Immune Support Yogurt Smoothie Banana Orange Pineapple, Pouches - Mac + Cheese with Veggies, Pouches - Pasta Marinara with Veggies, Pouches - Peach Mango Squash, Pouches - Second Foods - Banana Raspberry &amp; Whole Grain Barley, Pouches - Sweet Potato Banana &amp; Oat, Pouches - Third Foods - Banana Apple Blueberry Baby Food Puree, Pouches - Third Foods - Beef Medley, Pouches - Third Foods - Chicken Casserole, Pouches - Third Foods - Four Bean Feast, Pouches - Third Foods - Red Lentil Veggie Bake, Pouches - Veggie + Bean Medley, Pouches 2 - Pasta with Tomato &amp; White Bean (made with olive oil), Pouches- Banana Orange, Pouches -Butternut Squash Mango + Sweet Peas Baby Food Puree, Pouches- Chicken + Veggie Medley, Pouches- Pear Butternut Squash, Pouches- Third Foods - Squash Broccoli Red Lentil with Oats, Pouches-Apple Raisin Oatmeal, Pouches-Second Foods - Apple &amp; Sweet Potato Baby Food Puree, Pouches-Second Foods - Apple Peach Oatmeal Fruit and Grain Puree, Pouches-Second Foods - Banana Bluberry &amp; Oat, Pouches-Second Foods - Butternut Squash Pear Baby Food Puree, Pouches-Second Foods - Carrots &amp; Broccoli Baby Food Puree, Pouches-Second Foods - Orange Banana Baby Food Puree, Pouches-Second Foods - Peach Mango Baby Food Puree, Pouches-Second Foods - Pear Apricot Barley Fruit and Grain Puree, Pouches-Second Foods - Squash &amp; Sweet Peas Baby Food Puree, Pouches-Second Foods - Sweet Potato &amp; Beets Baby Food Puree, Pouches-Second Foods - Wholesome Breakfast Sweet Potato Cinnamon, Pouches-Third Foods - Cheesy Pasta with Veggies, Pouches-Third Foods - Chicken Pot Pie, Pouches-Third Foods - Pear Carrot Apricot Baby Food Puree, Pouches-Third Foods - Potatoes, Turkey and Green Beans, Rice Beverages - Original Unsweetened Rice Non-Dairy Beverage, Seed Derived Products - Flax Meal, Seeds - Chia Seed Omega-3 &amp; Fiber, Seeds - Cold Milled Ground Premium Flaxseed with Mixed Berries, Seeds - Decadent Blend Chia and Flax Seed (Coconut &amp; Cocoa), Seeds - Ground Chia Seed, Seeds - Ground Premium Flax Seed, Seeds - Orchard Fruit Blend Ground Flaxseed, Seeds - Tropical Fruid Blend Ground Flaxseed and Camu Camu Powder, Seeds - Whole Premium Flax Seed, Sesame Street Yogurt Smoothies - Fruit Yogurt Smoothie Pineapple Orange Banana, Snack Foods - Blue Chips No Salt Added, Snack Foods - Blue Chips with Sea Salt, Snack Foods - Blue Tortilla Chips No Salt, Snack Foods - Blueberry Snack Bars, Snack Foods - Classic Tortilla Chips Variety Pack, Snack Foods - Crunchin' Crackers Original, Snack Foods - Mini Yellow Corn Round Tortilla Chips, Snack Foods - Multigrain Tortilla Chips Sea Salt, Snack Foods - Red Hot Blues Tortilla Chips, Snack Foods - Red Hot Blues Tortilla Chips Salted, Snack Foods - Red, White, and Blue Tortilla Chips Variety Pack, Snack Foods - Sesame Blues Tortilla Chips, Snack Foods - Sesame Blues with Sea Salt, Snack Foods - Veggie Puffs Cheddar, Snack Foods - Veggie Puffs Original, Snack Foods - White Chips with Sea Salt, Snack Foods - White Corn Tortilla Chips Salted, Snack Foods - Wicked Hot Tortilla Chips, Snack Foods - Yellow Chips w/Sea Salt, Snack Foods - Yellow Corn Chips Salted, Snack Foods Blue Tortilla Chips Salted, Snacks - Breakfast Biscuits Blueberry, Snacks - Peanut Butter Puffs - Baked Corn Puffs, Snacks - Veggie Straws Sea Salt, Snacks - White Chips - Corn Tortilla Chips with a Touch of Lime, Soup - Chicken Noodle Soup Low Sodium, Soup - Chicken Rice Soup Low Sodium, Soup - Cream of Mushroom Soup, Soup - Creamy Broccoli Soup, Soup - Creamy Butternut Squash Soup, Soup - Creamy Garden Tomato Reduced Sodium, Soup - Creamy Potato Leek Soup, Soup - Creamy Sweet Pea Soup, Soup - Creamy Tomato, Soup - Creamy Tomato &amp; Basil Soup, Soup - Creamy Tomato Soup, Soup - Free Range Chicken Broth, Soup - Lentil Soup N/S, Soup - Light in Sodium Creamy Butternut Squash Soup, Soup - Light in Sodium Creamy Garden Tomato Soup, Soup - Low Sodium Butternut Squash Soup, Soup - Low Sodium Free Range Chicken Broth, Soup - Low Sodium No-Chicken Broth, Soup - Low Sodium Vegetable Broth, Soup - Minestrone Soup N/S, Soup - No-Chicken Broth, Soup - Ramen Broth, Soup - Super Greens Creamy Soup, Soup - Tomato Soup N/S, Soup - Vegetable Broth, Soup - Vegetable Soup N/S, Spreads - Almond Butter Creamy, Spreads - Almond Butter Raw Creamy, No Salt, Spreads - No Stir Peanut Butter Creamy (No Sugar or Salt Added), Spreads - Peanut Butter Creamy, Spreads - Peanut Butter Creamy, No Stir, Spreads - Peanut Butter Crunchy, Spreads - Peanut Butter Crunchy, Spreads - Peanut Butter Crunchy, No Stir, Spreads - Raw Almond Butter, Creamy, Spreads, Raw Almond Butter, Crunchy, Spring Veggies - Melty Hoops, Strawberries and Mangoes- Melty Hoops, Support Smoothies Variety Pack, Taco Seasoning, Tea - Chamomile &amp; Lavender Tea, Tea - Cinnamon &amp; Cardamom Herbal Tea, Tea - Ginger &amp; Turmeric Herbal Tea, Tea - Jasmine Green Tea, Tea - Pure Green, Trade Name:Variety Pack - Baby Food Pouch 18 Ct, Vegetable - Butternut Squash - Aseptic - Puree - (O), Vegetable - Butternut Squash - Frozen - Puree - (O), Vegetable - Carrot - Aseptic - Puree - Org - (O), Vegetable - Frozen - Puree - Hass Avocado - UHP - (O), Vegetable - Spinach - IQF - Chopped, 1/4" to 1/2" - (O), Vegetable - Squash Pumpkin - Aseptic - Puree - (O), Vegetable - Sweet Potato - Aseptic - Puree - (O), Vegetable - Sweet Potato - Aseptic - Puree - EU Source - (O), Vegetable - Sweet Potato - Aseptic - Puree - Low HM - (O), Vinegar - Apple Cider Filtered Vinegar, Vinegar - Apple Cider Filtered Vinegar, Vinegar - Apple Cider Unfiltered Vinegar, Vinegar - Apple Cider Unfiltered Vinegar, Vinegar - Balsamic Vinegar, Vinegar - Balsamic Vinegar, Vinegar - Distilled White Vinegar, Vinegar - Distilled White Vinegar, Vinegar - Golden Balsamic Vinegar, Vinegar - Red Wine Vinegar, Vinegar - Red Wine Vinegar, Vinegar - White Wine Vinegar, Yogurt - Honey, Yogurt - Honey Flavored - Costco 2 Pack, Yogurt - Traditional Plain, Yogurt - Vanilla, Yogurt - Whole Milk - (O)</t>
  </si>
  <si>
    <t>Other Grains, Pastas and Cereals: Noodles (Traditionally Dried Japanese Noodles – Ramen (Yakisoba), Soba, Udon, Somen, Soba, Cha Soba (Green Tea), Udon with Gluten, Soba with Gluten, Somen with Gluten, Ramen with Gluten)</t>
  </si>
  <si>
    <t>Other Grains, Pastas and Cereals: Rice (Basmati Rice - Brown), Rice (Basmati Rice - White), Rice (Long Grain Brown Rice), Rice (Long Grain white Rice), Wheat (Wheat); Other: Paddy (basmati), Paddy (long grain) (Paddy (long grain))</t>
  </si>
  <si>
    <t>Processed  Items: Flours and Meals (Buckwheat, Flour; Corn, Flour; Oat, Flour; Rice, Brown Flour; Soybean, Powder); Other Grains, Pastas and Cereals: Wheat (Buckwheat; Buckwheat, Kernel; Coix Seed, Hulled; Corn; Corn, Cob; Millet, Non-Sticky; Millet, Sticky; Millet, Sticky Hulled; Oat; Oat, Kernels; Rice; Rice, Black; Rice, Brown; Sorghum; Sorghum, Kernel; Soybean; Soybean, Black; Wheat); Nuts/Seeds: Beans (Adzuki Bean; Kidney Bean, Black; Kidney Bean, Red; Kidney Bean, White; Lentil; Mung Bean), Seeds (Sunflower Seed; Pumpkin Seed); Fruits/Vegetables: Vegetables (Bamboo Shoots, Sliced Frozen; Bamboo Shoots, Whole Frozen; Bamboo Shoots, Baked; Bamboo Shoots, Dried; Bamboo Shoots, Sliced)</t>
  </si>
  <si>
    <t>Trees/Whole Plant Products/Flowers: Flowers (Dried marigold flower), Herbs (*Alfalfa), Herbs (*Ginseng red), Herbs (*Maitake mushroom), Herbs (*Milk thistle), Herbs (*Reishi mushroom), Herbs (*Sea buckthorn), Herbs (*Shiitake mushrooms), Herbs (*Astragalus (whole/powder/cut/slice/tbc)), Herbs (*Lion's Mane Granules), Herbs (Lavender), Herbs (Ginseng tails red), Herbs (Ginseng tails white), Herbs (Cordyceps militaris), Herbs (Agaricus), Herbs (Chaga), Herbs (Eleuthero root (Siberian ginseng)); Preservatives/Extracts/Flavors: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(Schisandra chinensis extract/extract powder), Extracts (Goji berry extract (Also called: Gojiberry extract)), Extracts (Garlic extract/extract powder), Extracts (Shiitake mushroom extract/extract powder), Extracts (Spirulina extract/extract powder), Extracts (Turmeric extract), Extracts (Red ginseng extract/extract powder), Extracts (Mannoprotein), Extracts (Nutritional yeast tablet), Extracts (Yeast beta glucan), Extracts (Yeast cell wall), Extracts (Yeast extract), Extracts (Yeast protein), Extracts (Lecithin Fluid (Soybean or Sunflower)), Extracts (Tremella fuciformis extract), Extracts (Pea fiber), Extracts (Rice fiber), Extracts (Soybean fiber), Extracts (Reishi mushroom extract/extract powder), Extracts (Schisandra chinensis (fruit/dried/powder/extract)), Extracts (Schisandra chinensis powder), Extracts (Soy lecithin), Extracts (Frankincense (Boswellia) (powder/extract)), Extracts (Chicory (root) Powder/Extract), Extracts (Ginger Slices), Extracts (Ginger TBC), Extracts (Licorice stick), Extracts (Black tea extract), Extracts (*Dextrose monohydrate (Also called: Dextrose/Glucose)), Extracts (*Maltodextrin), Extracts (*Alfalfa extract/extract powder), Extracts (*Black pepper extract), Extracts (*Oat protein), Extracts (*Beet extract/extract powder), Extracts (*Beet root juice powder/extract powder), Extracts (*Maitake mushroom extract/extract powder), Extracts (*Ginseng extract/extract powder), Extracts (*Rhodiola rosea extract/extract powder), Extracts (*Astragalus extract/extract powder), Extracts (*Brown rice fiber), Extracts (*Chilli pepper extract/extract powder), Extracts (*Date extract), Extracts (*Ginger extract/extract powder), Extracts (*Milk thistle extract/extract powder), Extracts (*Stevia rebaudiana extract/extract powder), Extracts (*Tapioca maltodextrin), Extracts (*Ginseng (cut/powder/extract)), Extracts (*Corn starch), Extracts (*Rice starch), Extracts (*Ginger crushed), Extracts (*Broccoli Powder/Extract), Extracts (*Tapioca starch), Extracts (*Ginger Cut), Flours and Meals (Oat milk flour/Oat flour), Powders (Lavender powder), Powders (Rose hip (Rosehip) powder/extract), Powders (White Ginseng Root Powder), Powders (tapioca resistant dextrin powder), Powders (Lecithin Powder (Soybean or Sunflower)), Powders (Nutritional yeast powder), Powders (Walnut protein/protein powder), Powders (Active yeast powder), Powders (Shiitake mushroom powder), Powders (Goji berry powder (Also called: Gojiberry powder)), Powders (Banana Powder), Powders (Lemon powder), Powders (*Inulin (powder)), Powders (Dragon Fruit powder), Powders (Frankincense (Boswellia) powder), Powders (Blueberry powder), Powders (Garlic powder), Powders (Matcha powder), Powders (Reishi mushroom powder), Powders (Spirulina (powder/tablet)), Powders (Tomato powder), Powders (Raspberry powder), Powders (Strawberry powder), Powders (Carrot powder), Powders (Cabbage powder), Powders (Agaricus powder), Powders (Chaga powder), Powders (Cordyceps militaris powder), Powders (Cordyceps sinensis powder), Powders (Cordyceps powder), Powders (Eleuthero root (Siberian ginseng) powder), Powders (*Oyster Mushroom Powder), Powders (*Celery(Parsley) powder), Powders (*Ginger powder/flakes), Powders (*Alfalfa powder), Powders (*Konjac (Amorphophallus konjac) powder), Powders (*Apple cider vinegar powder), Powders (*Turmeric Powder), Powders (*Ginger powder), Powders (*Flax seed powder), Powders (*Beet root powder), Powders (*Rhodiola rosea (cut/powder/chopped/tbc)), Powders (*Rhodiola rosea powder), Powders (*Wheat grass powder), Powders (*Chinese date (Jujube) powder), Powders (*Chlorella (powder/tablet)), Powders (*Date powder), Powders (*Milk thistle powder), Powders (*Paprika/Sweet pepper powder), Powders (*Sea buckthorn powder), Powders (*Spirulina powder (Also called: San sebastian spirulina)), Powders (*Stevia rebaudiana powder), Powders (*Kale powder), Powders (*Tremella fuciformis powder), Powders (*Spinach Powder), Powders (*Astragalus powder), Powders (*Hemp seed protein/protein powder), Powders (*Mung bean protein/protein powder), Powders (*Maitake mushroom powder), Powders (*Pea protein/protein powder), Powders (*Pumpkin seed protein/protein powder), Powders (*Rice protein/protein powder), Powders (*Soybean protein/protein powder), Powders (*Sunflower seed protein/protein powder), Powders (*Brown rice protein/protein powder), Powders (*Alfalfa juice powder), Syrups (*Brown rice syrup), Syrups (*Fructose Syrup/Crystalline fructose), Syrups (*Jerusalem artichoke inulin syrup), Syrups (*Fructose syrup), Syrups (*Glucose syrup), Syrups (*Malt syrup), Syrups (Rice syrup), Syrups (tapioca resistant dextrin syrup), Syrups (Inulin (syrup/liquid)); Other Grains, Pastas and Cereals: Rice (*Brown rice), Rice (*Rice); Oils &amp; Oleoresins: Oils (Corn germ oil/Corn oil), Oils (sea buckthorn oil), Oils (sea buckthorn fruit oil), Oils (sea buckthorn seed oil), Oils (*Ginger essential oil); Nuts/Seeds: Flowers (*Sunflower seed), Nuts (*Pine nut kernels (Also called: Pine nut kernel seed of Pinus koreansis)), Seeds (*Hemp seed), Seeds (*Hemp seed hulled), Walnuts; Fruits/Vegetables: Beans (Soybean starch), Beans (Mung bean fiber), Beans (*Mung bean), Berries (Goji berry (Also called: Gojiberry)), Seeds (*Pumpkin seed), Vegetables (*Soybean), Vegetables (*Beet), Vegetables (*Chinese date (Jujube)), Vegetables (*Pea), Vegetables (Kale cut); Condiments and Sweeteners: Spices (Paprika pod), Spices (Paprika Chopped), Spices (Sichuan peper-whole(also called Sichuan pepercorn)), Spices (*Chilli pepper (Red pepper) powder/crushed/flakes), Sugar (*Allulose), Sweeteners (*Isomaltooligosaccharide), Sweeteners (*Maltitol), Sweeteners (*Maltitol Liquid), Sweeteners (*Sorbitol), Sweeteners (*Sorbitol Liquid), Sweeteners (*Anhydrous Glucose(also called Dextrose Anhydrous, glucose syrup powder), Sweeteners (*Glucose Syrup Solids (Also called: Glucose Syrup Powder)), Sweeteners (*Erythritol), Sweeteners (*Fructo oligosaccharide), Sweeteners (*Monk fruit erythritol), Sweeteners (*Erythritol Xylitol Blend), Sweeteners (*Stevia rebaudiana), Sweeteners (*Xylitol); Beverage Related Products: Sweeteners (Blended Sweetener)</t>
  </si>
  <si>
    <t>Other Grains, Pastas and Cereals: Rice (Red Yeast Rice Powder (Monascus Purpureus Powder, Fermented Red Rice Powder, Functional Red Yeast Rice) 发酵红曲米粉)</t>
  </si>
  <si>
    <t>Other Grains, Pastas and Cereals: Oats, Wheat; Other: Soybeans, Split Peas, Storage (Transload, Storage, and Distribution of Bulk Grains), Yellow Corn</t>
  </si>
  <si>
    <t>Other Grains, Pastas and Cereals: Sorghum, Wheat (Hard Red Winter Wheat), Wheat (Soft Red Winter Wheat); Other: Certifying only facility., Dried Distiller Grain, Soybean Meal, Yellow Corn, Yellow Soybeans</t>
  </si>
  <si>
    <t>Other: IQF apricot, IQF black currant, IQF carrots, IQF Edamame, IQF flat bean, IQF green bean, IQF Green pea, IQF Raspberry, IQF SOYBEAN KERNEL, IQF spinach, IQF strawberry, IQF sweet corn, Sour cabbage, vacuum packed sweet corn</t>
  </si>
  <si>
    <t>Trees/Whole Plant Products/Flowers: Alfalfa, Flowers (Lily whole); Processed  Items: Soybean dietary fiber; Preservatives/Extracts/Flavors: Extracts (Alfalfa extract), Extracts (Agaricus blazei extract powder), Extracts (Agaricus blazei murril extract powder), Extracts (Apricot kernel extract powder), Extracts (Astragalus extract powder), Extracts (Bamboo extract powder), Extracts (Banana powder/juice powder/extract), Extracts (Barley powder/juice powder/extract powder), Extracts (Beet root juice powder/extract powder), Extracts (Bilberry powder/juice powder/extract powder), Extracts (Black goji berry powder/juice powder/extract), Extracts (Black pepper extract powder), Extracts (Blackberry powder/juice powder/extract), Extracts (Blackcurrant powder/juice powder/extract), Extracts (Blueberry powder/juice powder/extract powder), Extracts (Brown rice protein), Extracts (Burdock root extract powder), Extracts (Cassia seed extract powder), Extracts (Celery juice powder/extract powder), Extracts (Chaga extract powder), Extracts (Chinese date juice powder/extract powder), Extracts (Chinese date whole/powder/slice/tbc), Extracts (Chlorella extract powder), Extracts (Chrysanthemum extract powder), Extracts (Chiili extract powder), Extracts (Cordyceps militaris extract powder), Extracts (Corn starch), Extracts (Cranberry powder/juice powder/extract powder), Extracts (Dandelion root extract powder), Extracts (Fennel seed extract powder), Extracts (Fenugreek seed extract powder), Extracts (Ginger powder/juice powder/extract powder), Extracts (Ginkgo leaf extract powder), Extracts (Flax seed protein), Extracts (Goji powder/juice powder/extract powder), Extracts (Grape seed extract powder), Extracts (Green tea extract powder), Extracts (Hawthorn fruit/leaves extract powder), Extracts (Honeysuckle flower extract powder), Extracts (Hydrolyzed rice protein), Extracts (Juniper berry extract powder), Extracts (Kale juice powder/extract powde), Extracts (Lavender extract powder), Extracts (Leek juice powder/extract powder), Extracts (Lion's mane mushroom extract powder), Extracts (Lotus leaf extract powder), Extracts (Maca extract powder), Extracts (Maitake mushroom extract powder), Extracts (Marshmallow extract powder), Extracts (Milk thistle seed extract powder), Extracts (Mulberry berry extract powder), Extracts (Mulberry leaf extract powder), Extracts (Mung bean protein), Extracts (Mung bean starch), Extracts (Nettle extract powder), Extracts (Oat grass powder/juice powder/extract powder), Extracts (Olive leaf extract powder), Extracts (Palm olein), Extracts (Passion flower powder/juice powder/extract/powder), Extracts (Passion fruit powder/juice powder/extract powder), Extracts (Pea protein), Extracts (Pea starch), Extracts (Peppermint leaf extract powder), Extracts (Perilla leaf extract powder), Extracts (Pineapple fruit powder/juice powder/extract powder), Extracts (Plum powder/juice powder/extract powder), Extracts (Pomegranate powder/juice powder/extract powder), Extracts (Perilla seed extract powder), Extracts (Potato protein), Extracts (Potato starch), Extracts (Raspberry powder/juice powder/extract powder), Extracts (Rehmannia root extract powder), Extracts (Reishi mushroom extract powder), Extracts (Rhubarb extract powder), Extracts (Rice protein), Extracts (Rice starch), Extracts (Rose hips extract powder), Extracts (Rhodiola rosea extract powder), Extracts (Roses flower extract powder), Extracts (Safflower extract powder), Extracts (Schisandra fruit extract powder), Extracts (Sea buckthorn berry powder/juice powder/extract powder), Extracts (Shiitake mushroom extract powder), Extracts (Spinach powder/juice powder/extract powder), Extracts (Spirulina extract powder (Also called: Phycocyanin)), Extracts (Star anise fruit extract powder), Extracts (Stevia leaf extract powder), Extracts (Strawberry powder/juice powder/extract powder), Extracts (Sunflower seed protein), Extracts (Sweet wormwood extract powder), Extracts (Tart cherry powder/juice powder/extract powder), Extracts (Textured soybean protein), Extracts (Tribulus terrestris fruit extract powder), Extracts (Taibai notoginseng root extract powder), Extracts (Valerian root extract powder), Extracts (Wheat grass powder/juice powder/extract powder), Extracts (Wheat starch), Extracts (Zucchini extract powder), Extracts (Chick peas protein), Extracts (Soybean protein concentrate), Extracts (Soybean protein isolate), Extracts (Soybean Protein powder), Extracts (Watermelon powder/juice powder/peel extract powder), Herbs (Licorice whole), Herbs (Rapeseed), Herbs (Hibiscus whole), Powdered Eggs (Valerian root/cut/chopped/slice/tbc), Powders (Taibai notoginseng root whole/powder/chopped/tbc), Powders (Zucchini powder/chopped), Powders (Tribulus terrestris fruit whole/powder/tbc), Powders (Sweet wormwood/cut/chopped/slice/tbc), Powders (Watermelon seed/powder), Powders (Wheat gluten meal (Also called: Wheat protein powder)), Powders (Ginger cut/slice/powder/chopped/tbc), Powders (Hawthorn leaves cut/powder/chopped/tbc), Powders (Hemp protein powder), Powders (Jerusalem artichoke powder/slice/cut), Powders (Honeysuckle flower/whole/cut/powder/chopped/tbc), Powders (Green tea powder/tbc), Powders (Hawthorn fruit cut/powder/chopped/tbc), Powders (Grape seed whole/powder), Powders (Grape powder/juice powder), Powders (Ginkgo leaf whole/cut/powder/chopped/tbc), Powders (Fenugreek seed whole/powder/tbc), Powders (Fennel seed whole/powder/tbc), Powders (Dandelion root whole/cut/powder/chopped/tbc), Powders (Cordyceps militaris whole/powder), Powders (Chiili powder/chopped/crushed), Powders (Chrysanthemum whole/powder/tbc), Powders (Chaga whole/powder), Powders (Celery powder/chopped), Powders (Burdock root/powder/chopped/slice/tbc), Powders (Carrot powder/flakes/dice/chopped), Powders (Black pepper whole/powder/grind/tbc), Powders (Beet root powder/chopped), Powders (Bamboo powder/chopped), Powders (Astragalus whole/powder/cut/slice/tbc), Powders (Apricot kernel powder), Powders (Agaricus blazei whole/powder), Powders (Alfalfa juice powder), Powders (Alfalfa powder), Powders (Apple powder/juice powder), Powders (Perilla seed whole/powder), Powders (Reishi mushroom whole/powder/slice), Powders (Rehmannia root cut/powder/chopped/tbc), Powders (Potato powder), Powders (Perilla leaf whole/powder/chopped tbc), Powders (Star anise fruit whole/powder/tbc), Powders (Stevia leaf cut/powder/chopped/tbc), Powders (Shiitake mushroom whole/diced/slice/powder), Powders (Schisandra fruit whole/powder/tbc), Powders (Sea buckthorn berry leaf /tbc), Powders (Safflower petal powder), Powders (Rhodiola rosea/cut/powder/chopped/tbc), Powders (Rhubarb cut/powder/chopped/tbc), Powders (Rose hips whole/cut/powder/chopped/tbc), Powders (Roses bud/powder (Also called: Roses petal)), Powders (Peach powder/juice powder), Powders (Peppermint leaf cut/powder/chopped/tbc), Powders (Olive leaf whole/powder/tbc), Powders (Nettle cut/powder/chopped/tbc), Powders (Mulberry leaf whole/powder/chopped /tbc), Powders (Mulberry berry whole/powder), Powders (Milk thistle seed whole/powder/tbc), Powders (Marshmallow root whole/powder/chopped/tbc), Powders (Maca whole/powder), Powders (Maitake mushroom /whole/powder), Powders (Lotus leaf powder/chopped/tbc), Powders (Lion's mane mushroom whole/powder), Powders (Leek powder/chopped), Powders (Lavender whole/powder/tbc), Powders (Kale powder/cut/chopped), Powders (Juniper berry whole/powder), Spices (Peppermint whole), Spices (Ginseng red), Spices (Garlic pieces), Spices (Ginger); Other Grains, Pastas and Cereals: Barley, Black sesame, Buckwheat, Buckwheat husk, Buckwheat kernel, Corn/Maize, Flax seed, Glutinous millet, Hulled millet, Millet, Non-sticky millet, Noodles (Millet noodles), Noodles (Kale rice noodles), Noodles (Lentil millet noodles), Noodles (Broccoli millet noodles), Noodles (Broccoli rice noodles), Noodles (Black rice noodles), Noodles (Brown rice noodles), Noodles (Buckwheat noodles), Noodles (Carrots rice noodles), Noodles (Chickpea brown rice noodles), Noodles (Chickpea millet noodles), Noodles (Chickpea rice noodles), Noodles (Corn noodles), Noodles (Black soybean millet noodles), Noodles (Black soybean rice noodles), Noodles (Beetroot millet noodles), Noodles (Beetroot rice noodles), Noodles (Black bean with green kernel millet noodles), Noodles (Black bean with green kernel rice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(Goji berry rice noodles), Noodles (Wheat noodle), Noodles (Yam root millet noodles), Noodles (Yam root rice noodles), Oats (Oat kernel), Oats, Pearl barley (Coix), Quinoa, Rice, Rice (Paddy), Rice (Brown rice), Rice (Glutinous paddy), Rice (Glutinous rice), Rice (Black paddy), Rice (Black rice), Sesame, Sorghum, Sorghum (Sorghum kernel), Sticky millet, Sticky millet hulled, Wheat, Wheat (Black wheat), White sesame; Oils &amp; Oleoresins: Oils (Crude coconut oil), Oils (Crude palm oil), Oils (Flax oil), Oils (Rapeseed oil), Oils (Rice bran oil), Oils (Sesame oil), Oils (Soybean oil), Oils (Sunflower oil), Oils (Sunflower seed oil), Oils (Corn germ oil), Oils (Hemp oil), Oils (Peanut oil), Oils (Soybean crude oil), Oils (Soybean fluid lecithin); Nuts/Seeds: Nuts, Peanuts (Peanut), Peanuts (Peanut kernel), Pine Nuts, Pine Nuts (Pinenut kernels), Sunflower kernel, Sunflower seed; Health Products: Herbs (Forsythiae fruit cuts), Herbs (Forsythiae fruit whole), Herbs (Fo-ti root whole); Fruits/Vegetables: Apple diced/ring, Beans (Adzuki bean), Beans (Black kidney bean), Beans (Black soybean), Beans (Black soybean with yellow kernel), Beans (Black soybeans with green kernel), Beans (Pinto bean (Also called: Light red speckled bean)), Beans (Green soybeans with green kernels), Beans (Green soybeans with green kernels meal), Beans (Lentil), Beans (Mung bean dehulled), Beans (Mungbean), Beans (Red kidney bean), Beans (Soybean), Beans (Soybean dehulled), Beans (Toasted soybean), Beans (White kidney bean), Berries (Goji berries), Berries (Goji berries black dried), Berries (Blackberry), Berries (Black goji berry), Gorgon fruit cut, Stone Fruit (Apricot), Stone Fruit (Plum granule), Stone Fruit (Plum slice), Vegetables (Potato), Vegetables (Pumpkin seed), Vegetables (Pumpkin seed grown without shell), Vegetables (Pumpkin seed kernel), Vegetables (Pumpkin seed shine skin kernel), Vegetables (Beet), Vegetables (Chickpeas), Vegetables (Cowpea), Vegetables (Sweet potato), Vegetables (Pea), Vegetables (Pea gluten meal), Watermelon; Dry/Baking Goods: Flours and Meals (Black rice flour), Flours and Meals (Brown rice flour), Flours and Meals (Buckwheat flour), Flours and Meals (Corn flour), Flours and Meals (Corn grits), Flours and Meals (Glutinous millet flour), Flours and Meals (Glutinous rice flour), Flours and Meals (Millet flour), Flours and Meals (Oat flour), Flours and Meals (Rice flour), Flours and Meals (Sorghum flour), Flours and Meals (Wheat flour), Flours and Meals (Potato flour); Condiments and Sweeteners: Sweeteners (Dextrose), Sweeteners (Maltodextrin), Syrups (Glucose syrup); Animal Feed: Livestock Feed (Corn gluten meal), Livestock Feed (Blended feed), Livestock Feed (Corn cob), Livestock Feed (Corn germ cake), Livestock Feed (Corn stalk), Livestock Feed (Cracked corn), Livestock Feed (Cracked soybean), Livestock Feed (Dried distillers' grain (Also called: Distiller's dried grain with solubles; DDGS)),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hulls), Livestock Feed (Soybean meal), Livestock Feed (Squashed corn), Livestock Feed (Sunflower cake), Livestock Feed (Sunflower meal), Livestock Feed (Wheat bran), Livestock Feed (Sugar); Alcohol: Alcohol; Other: Hemp seed, Hemp seed hulled</t>
  </si>
  <si>
    <t>Other Grains, Pastas and Cereals: Barley, Corn, Oats, Roasted Soybeans, Rye, Soybeans</t>
  </si>
  <si>
    <t>Trees/Whole Plant Products/Flowers: Flowers (Dry Rose Petals-Red), Flowers (Saffron); Processed  Items: Cream (Suji / Semolina / Cream of Wheat), Dehydrated Foods (Ginger Flakes), Dehydrated Foods (Ginger Sliced (Dried)), Flours and Meals (Gram Flour/Besan); Preservatives/Extracts/Flavors: Amla Whole Dried, Black Pepper, Cardamom, Chilli Crushed, Chilli Dried, Cinnamon, Cinnamon Bark, Clove, Cumin Whole, Fennel/Saunf, Flours and Meals (Maize / Corn Flour), Flours and Meals (Sattu Atta), Flours and Meals (Maida), Herbs (Lemongrass Dried), Herbs (Ocimum Basilicum), Herbs (Peppermint), Herbs (Rama Tulsi), Herbs (Shatavari), Herbs (Mentha Arvensis leaf Herbage), Herbs (Mentha Spicata Leaf Herbage), Herbs (Mentha Piperita Leaf Herbage), Herbs (Moringa Dried Leaves), Herbs (Fenugreek), Herbs (Coriander), Herbs (Bacopa Monnieri), Herbs (Ashwagandha Root), Herbs (Bay Leaves/Tejpatta), Herbs (Ajwain), Mustards (Brown Mustard), Mustards (Mustard), Mustards (Yellow Mustardr), Powders (White Pepper Powder), Powders (Lemongrass Root Powder), Powders (Nutmeg Powder), Powders (Cardamom Powder), Powders (Cinnamon (Powder)), Powders (Chilli Powder), Powders (Ajwain Powder), Powders (Amla Powder), Powders (Ashwagandha Powder), Powders (Black Cumin Powder / Nigella Powder / Kalonji Powder), Powders (Black Pepper Powder), Powders (Coriander Powder), Powders (Clove Powder), Powders (Fennel Powder), Powders (Cumin Powder), Powders (Ginger Powder), Powders (Green Cardamom Powder), Seeds (Coriander Seed/Whole), Spices (Kalonji / Nigella / Black Cumin), Spices (Green Cardamom), Spices (Garam Masala), Spices (Ginger Fresh), Spices (Nutmeg Whole), Spices (Nutmeg mace (Dried)), Spices (Nutmeg Whole), Spices (Nutmeg), Spices (Star Aniseed), Spices (Turmeri Dried), Spices (Turmeric Finger), Spices (Turmeric Flakes), Spices (Turmeric Whole-Fresh), Spices (White Pepper), Spices (Red Chilli (Whole)), Spices (Red Chilli Flakes), Spices (Red Chilli Powder), Wheat, Wheat (Wheat Flour); Other Grains, Pastas and Cereals: Barley (Barley Whole / Barley Grain), Beans (Red Kidney Beans / Rajma (Phaseolus Vulgaris)), Bengal Gram Whole, Black Gram/Urd (Vigna sp.), Brown Gram/Gram/Chana (Cicer arietinum), Chana, Chana Dal, Chana Kabuli, Chickpea/Kabuli Chana (Garbanzos), Foxtail Millet, Green Gram Split, Green Gram Whole (Moong Sabut), Moong Dal-Split, Non Basmati Paddy, Poha, Quinoa, Rice (Non-Basmati Rice), Rice (Basmati Rice), Rice (Beaten Rice), Rice (Brown Rice), Rice (Rice-Sonamasoori), Seeds (Flax Seed), Sesame, Split Green Gram, Split pigeonPea, Turdal, Urad Dal Black Split, Urad Dal Split, Urad Dhuli, Walnut, Wheat (Buckwheat (Other Than Seed)), Wheat (Buckwheat - Dehulled); Oils &amp; Oleoresins: Oils (Castor Oil), Oils (Coconut Oil), Oils (Groundnut/Peanut Oil (Edible grade)), Oils (Mustard Oil), Oils (Sesame Oil), Oils (Sunflower Oil: Edible Grade), Oils (Virgin Coconut Oil); Nuts/Seeds: Almonds, Cashew Kernels (W240), Cashew Kernels (W320), Cashew Whole, Cashew-Split, Peanuts (Groundnut / Peanut), Seeds (Sunflower Seeds- Dehulled), Seeds (Amaranth Seed/Ram Dhana), Seeds (Celery Seed), Seeds (Chia Seed); Fruits/Vegetables: Arhar Dal (Red Gram/Pigeon pea), Beans (Chitra Kidney Beans/Rajma (Phaseolus vulgaris)), Kasuri Methi, Tamarind; Dry/Baking Goods: Flours and Meals (Amaranth Flour), Flours and Meals (Bajra Flour / Atta), Flours and Meals (Bengal Gram (Chana) Flour), Flours and Meals (Black Gram Flour), Powders (Jaggery Powder), Sugar, Sugar (Sugar( Brown/natural)), Sugar (Jaggery); Other: Idl Rava, Mace</t>
  </si>
  <si>
    <t>Other: Black Pepper, Frozen Broccoli, Frozen Broccoli (Florets), Frozen Carrots, Frozen Celery, Frozen Corn (Supersweet Yellow Corn), Frozen Edamame (Mukimame), Frozen Garlic, Frozen Grain Blend (Multicolor Rice and Quinoa Blend), Frozen Grain Blend (Pre-Cooked Brown Rice &amp; Quinoa Blend), Frozen Green Beans, Frozen Green Beans (Cut), Frozen Kale (IQF), Frozen Onions, Frozen Peas, Frozen Peppers (Green Bell Peppers), Frozen Peppers (Poblano Peppers), Frozen Peppers (Red Bell Peppers), Frozen Potato (Roasted Diced 1/2" Peeled), Frozen Potato (Roasted, Skin-On with Olive Oil), Frozen Potato (Shredded Russet Potatoes), Frozen Spinach, Frozen Strawberry, Frozen Tomatoes, Frozen Vegetable Blend (Asian Wok Quinoa Blend), Frozen Vegetable Blend (Indian Blend), Frozen Vegetable Blend (Latino Blend), Frozen Vegetable Blend (Mediterranean Quinoa Blend), Frozen Vegetable Blend (Quinoa &amp; Kale), Frozen Vegetable Blend (Southwest Mango Quinoa Blend), Frozen Vegetable Blend (Spanish Blend (Non-retail)), Frozen Zucchini, Lentils (Frozen - Green), Lentils (Red Lentils), Misc Frozen Meals (Butternut Squash + Cauliflower Mac n’ Cheeze), Misc Frozen Meals (Cilantro Brown Rice &amp; Black Bean), Misc Frozen Meals (Creamy Tomato + Red Pepper Vodka Style), Misc Frozen Meals (Curried Brown Rice + Green Chickpea Grains), Misc Frozen Meals (Sesame Fried Rice and Edamame), Misc Frozen Meals (Tomato Basil + Portobello Bolognese Pasta), Misc Frozen Meals (White Bean + Spinach Pesto Pasta), Misc Frozen Meals (Zucchini + Gigante Bean Primavera Pasta), Olive Oil (Extra Virgin), Pineapple (Tidbits), Pinto Beans (IQF), Quinoa (Frozen - Red Quinoa), Quinoa (Frozen - White ), Quinoa (Frozen Cooked White), Rice (Brown) (IQF Brown Rice), Seasoning Blend (Superfood Pilaf Seasoning)</t>
  </si>
  <si>
    <t>Other Grains, Pastas and Cereals: Rice (Whole Grain, Brokens, Bran, Hulls, Flour, Grits, Brown, White)</t>
  </si>
  <si>
    <t>Other: Ajwain, Almond, Aloe Vera powder, Amla Candy, Amla Juice, Amla powder, Amla Whole Dried, Anantmool (Hemidesmus indicus), Apple Jam, Arhar, Arrowroot powder, Ashwagandha, Ashwagandha (Withania Somnifera) Powder, Bajra Flour/Atta, Balck Gram/Urd (Vigna Sp.), Barley Flour, Barley Grass Powder, Barley Porridge/Dalia, Barley whole, Barley-Dehulled, Barnyard Millet Flour, Basil/Tulsi, Basmati Paddy (Taraori), Basmati rice, Bay leaves/Tejpatta, Beaten rice, Bengal Gram (Chana) Flour, Bengal Gram Whole, Black Gram Flour, Black Pepper, Black Pepper Powder, Brahmi (Bacopa monnieri), Broken Rice, Brown gram/Gram/Chana (Cicer arietinum), Brown Rice, Buck Wheat (Other Than Seed), Buck wheat (seed quality), BuckWheat Flour, Cardamom, Cardamom Large (Black), Cardamom seed, cashew kernels (w320), Cashew nut (roasted), Cashew Whole, Chana Masala Papad, Chia, Chickpea/Kabuli Chana (garbanzos), Chilli Whole, Chitra Kidney beans/Rajma (Phaseolus vulgaris), Cinnamon, Cinnamon Powder, Cloves, Coconut Oil, Coriander, Coriander Powder, Coriander seed/whole, Cowpea, Cowpea Red, Cowpea White Dal, CTC Tea, Cumin Powder, Cumin whole, Curry leaf/leaves, Cyperus rotundus (Nagarmootha), Dried Cardamom, Dried Chilli, Dried Clove, Dried nutmeg shelled, Dried Tomato Slices, Dry Rose Petals, Eclipta alba (Bhrigjraj/Bhringraj), Fennel Powder, Fennel Seed, Fennel/saunf, Fenugreek, Fenugreek Powder (Methi Powder), Fenugreek Seed (Methi Seed), Foxtail Millet, Foxtail Millet Flour, Fruit Vinegar, Garam Masala, Garlic, Garlic chutney, Garlic Pickle, Garlic Powder, Ginger (Dried unbleached), Gram Flour/Besan, Green Cardamom, Green Chilli Pickle, Green Gram Powder / Moong Dal Powder, Green Gram Whole (Moong Sabut), Green gram/chana/Moong (Vigna sp.), Green Gram/Moong Dhuli, Green Moong Dal Flakes, Green peas, Green Tea, Groundnut/Peanut, Groundnut/Peanut Oil (Crude), Haritaki/Harad(Terminalia chebula), Health Mix, Indian Organic Brown Basmati Rice, Jamun juice, Jatamansi (Nardostachys jatamansi), Jowar Flour, Kabuli Chana, Kalonji/nigella, Kasuri methi, KODO Millet Flour, Kodo/Kodon Millet, Lemon Pickel Sweet, Lentil, Lentil Dal, Little millet, Mace, Mace Powder, Maida, Maize (Corn), Maize (Corn) Flake, Maize Grain, Maize/Corn Flour, Maize/Corn Porridge (Dalia), Mango Dried, Mango Jams, Mango Pickle, Mango Powder / Aamchur, Masoor (Lens Culinaris), Masoor Dal, Masur/ Masoor Dhuli, Matki/Moth Bean, Millet Flour, Mix dal, Mix Fruit Jam, Mix Pickle, Moong Dal Flakes, Moringa, Moringa Dried Leaves, Moringa leaves, Moth Dal, Moth Dhuli, Multi Grain Atta, Mustard, Mustard Flour, Mustard Oil (Crude), Neem leaf powder, Non Basmati Rice, Nutmeg Powder, Nutmeg Whole, Oat Flour, Oats (Flakes), Oats (Rolled Grain), Oats (Seed/Grains), Onion Powder Sterilized, Paddy Sona Masuri, Pea Dried, Pea Pulse(Pisum Sativum), Pearl Millet/Bajra, Pepper long/Pippali (Piper longum), Pigeon pea/arhar whole, Pineapple Jam, Piper Longum (Fruit), Poha Flattened Rice, Proso Millet, Pumpkin Seeds, Quinoa, Ragi (Finger Millet- other than seed), Ragi / Finger Millet Grain, Ragi Flour, Raisins/Kismis, Rajma Jammu in brine, Red chilli (Whole), Red chilli Flakes, Red Chilli Powder, Red Flattened Rice, Red Kidney beans/Rajma (Phaseolus vulgaris), Red Lentil, Red Rice, Rice Bran, Rice Flakes, Rice Flour, Rice Hand Pounded, Rice Puffed, Rice Sonamasuri, Rice Sonamasuri Brown, Roasted Almonds, Roasted Brown Flaxseed, Roasted Gram/Chana, Roasted Moong Dal, Roasted Wheat, Sabji Masala, Saffron, Sattu, Sawan/Barnyard Millet, Seed Mix, Sorghum, Sorghum Millet Popped, Spice Mix (garam Masala), Split Chickpea/kabuli Chana(garbanzos), Split gram (Cicerarietnum), Split green gram/Moong (Vigna Sp.), Split Lentils, Split pigeon Pea/Arhar/ Red Gram, Star anise, Suji/Semolina/Cream of Wheat, Sunflower Seed Oil, Sunflower seeds: Of seed quality, Tamarind/Imli (t. indica), Terminalia bellirica Powder, Terminalia bellirica/Baheda, Tomato Powder, Triphala Juice, Triphala Powder, Tulsi Green Tea, Turmeric Dried, Turmeric Powder, Turmeric Whole, Turmeric Whole-Dried, Unpolished Rice, Urad (phasleolus mungo) Black gram, Urad Dal / Split Black Gram, Urad Dhuli, Urad Whole(black), Walnut, Water Melon Seeds, Wheat, Wheat Bran, Wheat Flakes, Wheat Flour, Wheat Pasta, Wheat Porridge/Dalia, Wheatgrass Powder, White Pepper, Yellow Lentil, Yellow mustard</t>
  </si>
  <si>
    <t>Other: Grains, Oils, Vinegar, Wine</t>
  </si>
  <si>
    <t>Other: e(Lm)inate V, e(Lm)inate VS-O, Vinegar 300 Grain</t>
  </si>
  <si>
    <t>Other Grains, Pastas and Cereals: Rice (Basmati Brown broken rice), Rice (Basmati brown rice (ungraded)), Rice (Broken Basmati White Rice), Rice (Long grain brown rice (ungraded)), Rice (Paddy (basmati)),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Rice White), Rice (Round japonica rice white Broken), Rice (Round rice brown), Rice (Round rice brown), Rice (Brown Basmati Rice), Rice (Low GI Basmati Rice)</t>
  </si>
  <si>
    <t>Processed  Items: Buckwheat (Kernels), Cacao (Butter), Chia Seeds, Coconut Flakes/Chips, Coconut Oil (Purified, Extra Vigin &amp; Unrefined), Coconut Water, Desiccated Coconut (Fine, Medium), Flaxseed, Raw Cacao Powder (10-12% Fat), Aniseed, Basil Leaves (Rubbed), Bay Leaves, Black Pepper (Crushed, Powder, Whole), Black Turtle Beans, Caraway Seeds, Chamomile, Cinnamon (Powder, Whole), Cloves, Coconut Flour, Coriander (Leaves, Powder, Seed), Cumin (Powder, Seeds), Dill (Seeds), Fennel (Seeds), Fenugreek (Seeds), Garam Masala, Garlic (Flakes, Powder), Ginger (Powder), Lentils (Green, Split Red), Peas (Split Green), Hemp Protein (Powder), Mixed Herbs (Italian), Rice (Black, Brown Long Grain, Jasmine), Lemongrass, Marjoram Leaves (Rubbed), Matcha (Powder), Mint Leaves (Crushed), Mustard Seeds (Black), Nutmeg (Powder, Whole), Onion (Flakes), Oregano (Leaves), Parsley Leaves (Rubbed), Peppermint Leaves (Crushed), Sugar (Rapadura), Cacao Nibs (Raw), Red Chilli (Flakes, Powder, Whole), Rosemary, Paprika (Smoked, Sweet), Tapioca (Flour), Thyme (Leaves), Turmeric (Powder), White Pepper (Whole), White Sesame Seeds (Hulled), Noodles (Green Tea, Ramen), Quinoa (3 Mix, Red, White), Seaweed (Roasted), Curry (Leaves), Sage (Leaves), Star Anise, Diced Dried Apples, Extra Virgin Olive Oil, Brown Rice Flour, White Rice Flour, Cacao (Powder), Coconut Cream, Coconut Milk, Coconut Sugar, Chocolate Drops (Dark 55%, Dark 70%, Milk, White), Hemp Heart Oil, Himalayan Salt with Pepper, Rice (Basmati), Noodles (Soba, Udon), Tapioca Pearls</t>
  </si>
  <si>
    <t>Other Grains, Pastas and Cereals: Corn (Bulk), Soybean Meal (Bulk)</t>
  </si>
  <si>
    <t>Trees/Whole Plant Products/Flowers: Caraway Dried (Flowers / Seed / Leaves), Cassava, Cinnamon Leaf, Clove leaves, Flowers (hibiscus dried ﬂower), Flowers (Hibiscus petal-TBC), Papaya Leaves, Papaya Leaves (Papaya Leaves Dried); Processed  Items: Amla (Powder), Amla Dried, Amla TBC, chickpea protein, Coconut Glycerin, Coconut MCT Oil Powder, Coconut Milk Powder, Coconut Water Powder, Dehydrated Foods (Dehydrated Sesbania Grandiﬂora Leaf), Dehydrated Foods (Gotukola dehydrated), Desiccated coconut - chips, Desiccated coconut - ﬁne, Gotukola Oleoresin Encapsulated Powder, Hydrolyzed Chickpea Protein, Hydrolyzed Fava Bean Protein, Hydrolyzed Mung Bean Protein, Hydrolyzed Pea Protein, MCT C8 Powder, Mung bean protein (Mung bean protein), Pea Protein, Virgin Coconut Oil Powder (Multi ingredient); Preservatives/Extracts/Flavors: B-Caryophyllene, Black Pepper Hydrolat, Black Tea Aroma, Cardamom Hydrolat, Celery seed, Cinnamic Aldehyde, Cinnamon Bark Hydrolat, Cinnamon leaf Hydrolat, Citronella Hydrolat, Clove bud Hydrolat, Clove Stem Hydrolat, Coriander Hydrolat, Coriander seed, Curry Leaves, Curry leaves dried, Dried chilli, Extracts (Sabinene), Extracts (Sesbania grandiﬂora extract), Extracts (Trimyristin), Extracts (Turmeric Extract), Extracts (Curcumin Extract), Extracts (Fava Bean Protein), Extracts (Tamarind Extract), Extracts (Vanilla extract), Extracts (Vitamin E+ Tocopherolï), Extracts (Black Pepper Extract), Extracts (Black Tea Extract (single ingredient)), Extracts (Caffeine.), Extracts (Citral-A (Geranial)), Extracts (Citral-B (Neral)), Extracts (Curlone), Extracts (curry leaf extract), Extracts (D Limonene), Extracts (D Limonene Hydrolat), Extracts (Eucalyptus Hydrolat), Extracts (Eugenol), Extracts (Frankincense Extracted Powder), Extracts (Grape Seed Extract), Extracts (Green Tea Aroma), Extracts (Green Tea Extract), Extracts (Green Tea Extract Powder), Extracts (Gotukola extract), Extracts (Ginger extract), Extracts (Limonene), Extracts (Myristicin), Extracts (Piperine Extract), Fennel seed, Fenugreek Dried (Flowers / Seed / Leaves), Garlic dried (Garlic dried), Ginger Hydrolat, Gum Arabic (Gum Arabic), Gum Arabic Powder (Gum Arabic Powder), Herbs (Sandalwood (Santalum album)), Herbs (Shatavari), Herbs (Peppermint), Herbs (Rosemary Dried (Flowers / Seed / Leaves)), Herbs (Fenugreek TBC), Herbs (Parsley Dried (Flowers / Seed / Leaves)), Herbs (Lemongrass TBC), Herbs (Lemongrass), Herbs (Liquorice TBC), Herbs (Manjistha (Rubia cordifolia)), Herbs (manjistha TBC), Herbs (Marjoram), Herbs (Moringa Leaves), Herbs (Ginger herbs cut), Herbs (Dried Rampe (Dried Pandan Leaves)), Herbs (Hibiscus), Herbs (Fennel TBC), Herbs (Fenugreek), Herbs (Chamomile), Herbs (Citronella), Herbs (Calendula), Herbs (Tulsi TBC Blend), Herbs (Vetiver grass), Herbs (Aloe vera), Herbs (Anise), Herbs (Bacopa monnieri), Herbs (Basil), Herbs (Black cumin), Herbs (Spearmint), Herbs (Stevia Leaves Dried), Hydrosol Frankincense, Hydrosol Myrrh, Lemon leaves, Lemon Peel Dried, Lemongrass Hydrolat, Lime Hydrolat, Lime Leaves, Lime Peel Coarse Cut (Lime peel), Lime peel ﬁne cut, Lime peel long cut, Lime peel long cut, Mace Hydrolat, Moringa Leaves Dried, Neem leaves dried, Nutmeg Butter, Nutmeg Hydrolat, Orange peel, Patchouli Hydrolat, Peppermint Hydrolat, Powders (Shatavari Powder), Powders (Sesbania Grandiﬂora Leaf Powder), Powders (Stevia rebaudiana Powder), Powders (Cinnamon Oil Encapsulated Powder), Powders (Nutmeg Oil Encapsulated Powder), Powders (Nutmeg Oleoresin Encapsulated Powder), Powders (Terminalia bellirica - Powder), Powders (Terminalia chebula powder), Powders (Tulsi Leaves Powder), Powders (Tulsi Powder), Powders (Ashwagandha extract powder), Powders (Black pepper D-oil powder), Powders (Bacopa monnieri Powder), Powders (Aloe vera leaves powder), Powders (Aloevera Extract Powder), Powders (Black tea extract powder), Powders (Black Pepper Powder), Powders (Chili powder), Powders (Celery powder), Powders (Cinnamon D-oil powder), Powders (Cinnamon Extract Powder), Powders (Cumin Powder), Powders (Coriander Powder), Powders (Fennel Powder), Powders (Fenugreek Powder), Powders (Hibiscus sabdariffa powder), Powders (Gotukola powder), Powders (Lemongrass Powder), Powders (Ginger Extract Powder), Powders (Moringa Leaves Extract Powder), Powders (Moringa leaves powder), Powders (Mutton &amp; lamb curry powder), Powders (Meat Curry powder), Powders (Manjistha powder), Powders (Liquorice powder), Powders (Papaya Leaves Powder), Powders (Myristicin powder), Powders (Myrrh Extracted Powder), Powders (Myrrh Hangar Encapsulated Powder), Powders (Myrrh/Myrrha Encapsulated Powder), Powders (Nutmeg D-oil powder), Sandalwood Hydrolat, Shatavari root, Spices (Nutmeg Powder), Spices (Nutmeg Residue), Spices (Nutmeg with shell), Spices (Nutmeg without shell), Spices (Nutmeg (Myristica fragrans)), Spices (Pepper), Spices (Pepper black), Spices (Pepper black oil), Spices (Pepper green), Spices (Pepper red), Spices (Pepper white), Spices (Mace), Spices (Mace Broken), Spices (Mace powder), Spices (Dried Turmeric.), Spices (Ginger), Spices (Ginger (Zingiber oﬃcinale) Powder), Spices (Ginger coarse cut), Spices (Ginger tea cut), Spices (Dried Cardamom), Spices (Dried ginger), Spices (Cumin seed), Spices (Chili Flakes), Spices (Cinnamon Feathering), Spices (Clove bud), Spices (Clove stem), Spices (Cloves), Spices (Cloves Powder/Ground), Spices (Cloves whole), Spices (Curry leaves powder), Spices (Curry Powder (Chicken Mix)), Spices (Curry Powder (Fish Mix)), Spices (Curry Powder (Meat Mix)), Spices (Curry Powder (Mutton &amp; Lamb Mix)), Spices (Curry Powder (Vegetable Mix)), Spices (Cinnamon), Spices (Cinnamon powder/ground.), Spices (Cinnamon quilling), Spices (Cinnamon Sticks), Spices (Cinnamon chips), Spices (Black pepper Residue), Spices (Cardamom), Spices (Cardamom Powder), Spices (Cardamom powder/ground), Spices (Cardamom tea cut), Spices (Black Pepper Crushed), Spices (White Pepper Powder), Spices (Vanilla Beans), Spices (Vanilla coarse cut), Spices (Vanilla Cut (5mm-10mm)), Spices (Vanilla ﬁne cut), Spices (Vanilla Powder), Spices (Vanilla tea cut), Spices (Turmeric), Spices (Turmeric Powder), Spices (Turmeric TBC), Spices (Vanilla), Tapioca maltodextrin,, Terpinolene, Turmeric Hydrolat, Vetiver Hydrolat; Personal Care: A-Pinene, Ar-Turmerone, A-Terpineol, B-Pinene, Cosmetics (Harad dried (Terminalia chebula) (Terminalia chebula)), Frankincense Oil Encapsulated Powder, Geraniol; Other Grains, Pastas and Cereals: Chickpea ﬁber, Chickpea Starch, Mung bean ﬁber, Mung bean starch, Pea Fiber, Pea starch, Sesame; Oils &amp; Oleoresins: Essential Oils (Wintergreen oil), Essential Oils (Yellow Zedoary Oil), Essential Oils (Zanthoxylum Oil (Zanthoxylum Armatum)), Essential Oils (Cardamom Oil Encapsulated Powder), Essential Oils (Almond oil), Essential Oils (Anise oil), Essential Oils (Anthopogon Oil (Rhododendron Anthopogon)), Essential Oils (Apricot Oil (Prunus Armeniaca)), Essential Oils (Artemisia Oil (Artemisia Spp.)), Essential Oils (Basil oil), Essential Oils (Basil Oil (Ocimum basilicum)), Essential Oils (Basil Oil (Ocimum Gratticum)), Essential Oils (Basil Oil (Ocimum sanctum)), Essential Oils (Basil Oleoresin), Essential Oils (Basil/Tulsi Oil), Essential Oils (Black cumin oil), Essential Oils (Sotigrass Oil (Cymbopogon Jwarancusa)), Essential Oils (Spearmint Oil), Essential Oils (Sugandha Kokila Oil (Cinnamomum Glaucescens)), Essential Oils (Thyme Oil), Essential Oils (Turmeric Oil), Essential Oils (Valerian Oil (Valeriana Jatamansii)), Essential Oils (White Pepper Oil), Essential Oils (Ylang Ylang Oil), Essential Oils (Patchouli Oil), Essential Oils (Vetiver Oil), Essential Oils (Calamus Oil (Acorus Calamus)), Essential Oils (Capsicum Oil), Essential Oils (Caraway Oil), Essential Oils (Chamomile Oil (Matricaria Recutita)), Essential Oils (Cedarwood Oil (Cedrus deodara)), Essential Oils (Cinnamon Leaf Oil), Essential Oils (Cardamom oil), Essential Oils (Cinnamon bark oil), Essential Oils (Clove Bud Oil), Essential Oils (Clove leaf oil), Essential Oils (Citronella oil), Essential Oils (Clove stem oil), Essential Oils (Coriander seed oil), Essential Oils (Cumin Oil), Essential Oils (Dhatelo Oil (Prinsepia Utilis)), Essential Oils (Distilled Lime Oil), Essential Oils (Eucalyptus Oil (Eucalyptus globulus /E. camaldulensis)), Essential Oils (Eupatorium Oil (Eupatorium adenophorum)), Essential Oils (Fennel Oil), Essential Oils (Fenugreek Oil), Essential Oils (Grapefruit oil), Essential Oils (Himalayan Fir Oil / Abies Oil (Abies spectabilis)), Essential Oils (Holy basil oil), Essential Oils (Jatamansi Oil (Nardostachys grandiﬂora)), Essential Oils (Juniper Berry Oil), Essential Oils (Juniper Needle Oil), Essential Oils (Kharane Oil (Symplocas ramosissima)), Essential Oils (Lemongrass oil), Essential Oils (Frankincense Oil), Essential Oils (Garlic oil), Essential Oils (Ginger oil), Essential Oils (Gotukola Oil), Essential Oils (Lemon Oil), Essential Oils (Mace oil), Essential Oils (Mentha Arvensis Oil (Mentha arvensis)), Essential Oils (Myrrh Hangar Essential Oil), Essential Oils (Myrrh/Myrrha Essential Oil), Essential Oils (Nutmeg oil), Essential Oils (Palmarosa Oil), Essential Oils (Pangar Oil (Aesculus Indica)), Essential Oils (Parsley oil), Essential Oils (Marjoram oil), Essential Oils (Peppermint Oil (Mentha piperita)), Essential Oils (Rosemary Oil), Essential Oils (Sandalwood oil), Essential Oils (Seabuckthorn Oil), Essential Oils (Sesame Oil), Oils (Fractionated Virgin Coconut Oil), Oils (Coconut MCT C10), Oils (Coconut MCT C12), Oils (Coconut MCT C6), Oils (Coconut MCT C8), Oils (Coconut MCT Oil), Oils (Coconut Oil), Oils (Coconut Tri MCT C8 Oil (Coconut MCT C8 Oil (TriMCT™)), Oils (Coconut Tri MCT Oil (Coconut MCT Oil (TriMCT™)), Oils (Virgin Coconut Oil (DME Coconut Oil)), Oils (Coconut oil (RBD)), Oleoresins (Caraway Oleoresin), Oleoresins (Capsicum oleoresin), Oleoresins (White Pepper Oleoresin), Oleoresins (Black Pepper Oleoresin), Oleoresins (Clove bud oleoresin), Oleoresins (Cardamom Oleoresin), Oleoresins (Cinnamon Oleoresin), Oleoresins (Turmeric Oleoresin), Oleoresins (Fenugreek oleoresin), Oleoresins (Fennel Oleoresin), Oleoresins (Cumin Oleoresin), Oleoresins (Coriander Oleoresin), Oleoresins (Clove stem oleoresin), Oleoresins (Sandlewood oleoresins), Oleoresins (Rosemary Oleoresin), Oleoresins (Marjoram Oleoresin), Oleoresins (Parsley Oleoresin), Oleoresins (Nutmeg Oleoresin), Oleoresins (Mace Oleoresin), Oleoresins (Gotukola Oleoresin), Oleoresins (Ginger Oleoresin), Oleoresins (Garlic Oleoresin), Oleoresins (Lemongrass Oleoresin); Health Products: Ashwagandha powder, Ashwagandha root powder, Herbs (Ashwagandha Leaves), Herbs (Ashwagandha Root), Herbs (Ashwagandha TBC), Herbs (Gokshura Powder-Tribulus Terrestris), Triphala, Triphala Powder; Fruits/Vegetables: Amla, Breadfruit, Citrus (Sweet Orange), Citrus (Bitter orange), Citrus (Lemon), Citrus (Lime), Cocoa/Cocoa beans, Fava bean ﬁber, Fava bean starch, Jakfruit, Leafy Greens (Spinach), Leafy Greens (Mukunuwenna), Leafy Greens (Sesbania grandiﬂora), Leafy Greens (Gotukola), Leafy Greens (Gotukola Cut), Leafy Greens (Thampala (Amaranthus Spp.)), Mucuna pruriens Powder, Tamarind, Vegetables (Capsicums), Vegetables (Long Beans); Dry/Baking Goods: Flours and Meals (Coconut Flour); Condiments and Sweeteners: Chicken Curry Powder, Chiuri Butter (Diploknema Butyracea), Fish Curry Powder, Mixed Condiments (Vegetable curry powder), Sweeteners (Coconut sugar (Coconut palm sugar / Coconut sap sugar)), Syrups (Coconut Syrup); Beverage Related Products: Juice (Lemon juice)</t>
  </si>
  <si>
    <t>Other: Bread (100% Whole Wheat ), Bread (6 inch French Roll), Bread (60-Cal Multigrain Sourdough), Bread (60-Cal Sourdough), Bread (Deli Rye), Bread (Deli Sourdough), Bread (Natural White), Bread (Whole Lotta Grains), Bread (Whole Lotta Hemp), Bread (Whole Lotta Seeds), Bread (Whole Lotta Veggies)</t>
  </si>
  <si>
    <t>Seasonings: Red Onion dry flakes, Green Chilli Flakes; Other Grains, Pastas and Cereals: Finger Millet, Pearl Millet/Bajara, Sorghum, Wheat; Fruits/Vegetables: Quinoa, Spinach dehydrated, Carrot Dehydrated, Dehydrated Bitter Gourd; Condiments and Sweeteners: Green cardamom, Cardamom Large (Black), Sugar; Other: Bengal Gram(Chana)Flour, Black gram/Urd, Cowpea, Chickpeas (Kabuli chana, Split Pigeon pea, Red Kidney Beans, Lentil, Dried Tomato Slices, Garlic Granules Dried, Onion Granules Dried, Tamarind Dried, French beans Dried, Anantmool (Hemidesmus indicus) Dried, Beet root dried, Ashwagandha Root Dried, Shatawari root dried, Amla Dried, Dry/Dehydrated fenugreek leaves, Dried Curry leaves, Dry/Dehydrated Coriander leaves, Mint Leaves Dehydrated, pomegranate seeds/anardana, Coriander Seed, Raisins/Kismis, Star Anise, Black Pepper, Cloves, Cinnamon bark, White Pepper, Wheatgrass powder, Bramhi Powder, Coriander powder, Onion powder, Amla Powder, Shatawari Powder, Tomatoes Powder, Ananthamool Powder/Sariva Powder, Cinnamon Bark Powder, Ashwagandha root Powder, Red Chilli Powder, Cumin Powder, Turmeric Powder,</t>
  </si>
  <si>
    <t>Other Grains, Pastas and Cereals: Amaranth, Amaranth (Processed), Barley, Barley (Barley (Processed)), Buckwheat, Buckwheat (Processed), Flax and Parboiled Quinoa Blend, Kernza, Kernza (Processed), Lentils, Lentils (Processed), Millet, Millet (Processed), Oats, Oats (Oats (Processed)), Quinoa, Quinoa (Parboiled Quinoa), Quinoa (Quinoa (Processed)), Rice, Rice (Rice (Processed)), Rye, Rye &amp; Barley Blend, Rye (Processed), Sorghum, Sorghum (Sorghum (Processed)), Spelt, Spelt (Processed), Sunflower Seed, Wheat (Hard Red Winter, Hard Red Spring, Hard White Winter, Hard White Spring, Soft Red Wheat, Soft White Wheat, Durum), Wheat (Wheat (Processed)); Oils &amp; Oleoresins: Oils (Canola Oil), Oils (Coconut Oil), Oils (Coconut Oil (ROC)), Oils (Flax Oil), Oils (Sunflower Oil); Nuts/Seeds: Chia (Processed), Chia Seed, Flax, Flax (Processed); Fruits/Vegetables: Beans (Black Beans), Beans (Black Beans (Processed)), Beans (Garbanzo Beans), Beans (Garbanzo Beans (Processed)), Beans (Kidney Beans), Beans (Navy Beans), Beans (Navy Beans (Processed)), Beans (Pinto Beans), Beans (Red Beans (Processed)); Dry/Baking Goods: Flours and Meals (5 Grain Multi Blend), Flours and Meals (Pea Flour), Flours and Meals (All Purpose Flour; Degermed Corn Meal), Hominy; Condiments and Sweeteners: Sugar (Cane Sugar); Other: Alfalfa Processed (Pellets, Meal), Blue Corn, Corn, Corn (Processed), Peas, Peas (Processed), Protein Blend, Purple Corn (Suntava), Purple Corn Processed (Suntava), Screenings, Screenings (Oats), Screenings (Peas), Soybeans, Soybeans (Processed), Tapioca Dextrose, Whole Grain Blend</t>
  </si>
  <si>
    <t>Other Grains, Pastas and Cereals: Wheat; Other: Screenings</t>
  </si>
  <si>
    <t>Other Grains, Pastas and Cereals: Buckwheat, Lentils, Millet Processed, Sorghum; Nuts/Seeds: Brown Flax, Flax; Fruits/Vegetables: Beans (Black Beans), Beans (Garbanzo Beans), Beans (Kidney Beans), Beans (Navy Beans), Beans (Pinto Beans), Beans (Small Red Beans); Other: Corn, Corn Processed, Peas, Peas Processed, Purple Corn (Suntava), Purple Corn Processed (Suntava), Screenings</t>
  </si>
  <si>
    <t>Processed  Items: Seeds (Whole Chia Seed; Ground Chia Seed); Other Grains, Pastas and Cereals: Amaranth, Amaranth (Processed), Buckwheat, Buckwheat (Processed), Green Lentils, Kernza, Kernza (Processed), Millet, Millet (Processed), Quinoa, Quinoa (Quinoa (Processed)), Ribs (Rice (Processed)), Rice, Sorghum, Sorghum (Sorghum (Processed)); Nuts/Seeds: Chia, Chia (Processed), Chia Seed, Flax, Flax (Processed), Flaxseed (Ground), Flaxseed (Milled), Flaxseed (Whole), Golden Flaxseed (Ground), Organic Milled Flax Seeds; Fruits/Vegetables: Beans (Black Beans), Beans (Black Beans (Processed)), Beans (Garbanzo Beans), Beans (Garbanzo Beans (Processed)), Beans (Kidney Beans), Beans (Navy Beans), Beans (Navy Beans (Processed)); Dry/Baking Goods: Flours and Meals (Baking and Pizza Flour), Flours and Meals (Sorghum Flour), Flours and Meals (Pea Processed/Pea Flour), Flours and Meals (All Purpose Flour), Flours and Meals (Degermed Cornmeal (Cornmeal Medium Grind)); Other: 5 Grain Blend, Chia &amp; Milled Flax Blend, Flax Chia Blend, Ground Flaxseed with Mixed Berries; Decadent Blend, Peas, Purple Corn (Suntava), Purple Corn Processed (Suntava), Screenings, Small Red Beans</t>
  </si>
  <si>
    <t>Other Grains, Pastas and Cereals: Barley, Barley (Barley Processed), Buckwheat, Buckwheat Processed, Kernza, Kernza Processed, Millet, Millet Processed, Oats, Oats (Oats Processed), Quinoa, Quinoa (Quinoa Processed), Rice, Rice (Rice Processed), Rye, Rye &amp; Barley Blend, Rye Processed, Sorghum, Sorghum (Sorghum Processed), Spelt, Spelt Processed, Wheat (Hard Red Winter, Hard Red Spring, Hard White Winter, Hard White Spring, Soft Red Wheat, Soft White Wheat, Durum), Wheat (Durum (ROC)), Wheat (Wheat Berries), Wheat (Wheat Processed), Whole Brown Flaxseed &amp; Parboiled Black Quinoa Blend, Whole Grain Blend; Nuts/Seeds: Flax, Flax Processed; Fruits/Vegetables: Protein Blend; Dry/Baking Goods: Baking Mixes (5 Grain Multi Blend), Flours and Meals (Durum Flour &amp; Kernza Flour Blend (ROC)), Flours and Meals (Durum Flour (ROC)), Flours and Meals (Kernza Flour (ROC)), Flours and Meals (Wheat Flour &amp; Pea Protein Blend), Flours and Meals (Wheat Flour, Hard Red Spring); Other: Peas, Peas Processed, Screenings</t>
  </si>
  <si>
    <t>Other: Black/ Golden linen ground flax, Chia Flour, Flax Flour, Flax grains, Flax oil, Ground Chía, Ground hemp 50%, Ground sesame, Hemp flour, Hemp grains ( hemp heart), Hemp oil, Oil Chia, Sesame Flour, Sesame Oil, Sterilized whole sesame seeds, White/ black chía grains, White/ Black sterilized chia Grains, White/Black sterilized chia grains, Whole white and black sesame</t>
  </si>
  <si>
    <t>Seasonings: Kawashimaya Dark Soy Sauce (Organic Shoyu), Kawashimaya Organic Green Yuzu Kosho (Yuzu &amp; Green Chili Pepper Seasoning Paste), Kawashimaya Organic Mirin (Sweet Rice Seasoning with Sea Salt), Nutriorg Organic Apple Cider Vinegar, Praakritik Organic Dhaniya Powder, Praakritik Organic Garlic Powder, Praakritik Organic Haldi, Praakritik Organic Jeera Powder, Praakritik Organic Jeera Whole, Praakritik Organic Methi Seed, Praakritik Organic Onion Powder, Praakritik Organic Rai, Praakritik Organic Red Chili, Praakritik Organic Saunf; Other Grains, Pastas and Cereals: Kawashimaya Organic Genmaicha Japanese Green Tea with Roasted Brown Rice, Praakritik Organic Split Masoor Dal, Praakritik Organic Tuvar Dal, Praakritik Organic Yellow Moong Dal; Oils &amp; Oleoresins: Nutriorg Organic Mustard Oil, Praakritik Organic Cold Pressed Peanut Oil; Nuts/Seeds: Elworld Organic Wheat Maida, Praakritik Organic Ajwain, Praakritik Organic Masoor Dal; Dry/Baking Goods: Praakritik Organic Jowar Atta, Praakritik Organic Khapli Wheat Atta, Praakritik Organic Sprouted Ragi Atta; Condiments and Sweeteners: Nutriorg Organic Jaggery Powder, Praakritik Organic Jaggery Powder; Beverage Related Products: Vahdam Teas Organic Turmeric Moringa Herbal Tea; Other: _Importing and Distribution of Organic Finished Goods</t>
  </si>
  <si>
    <t>Other: Chocolate Brownie Energy Snack, Chocolate Chip Banana Bread, Baked Whole Grain Energy Snack, Chocolate Chip Energy Snack, Cinnamon Roll, Baked Whole Grain Energy Snack, Cookies 'N Creme, Baked Whole Grain Energy Snack, Iced Oatmeal Cookie Energy Snack</t>
  </si>
  <si>
    <t>Other: 15ct Variety Pack (Chocolate Chip / Cookies'N Crème / Chocolate Mint), Whole Grain Crispy Snack Bars, 20 pack Variety Pack (10 Chocolate Chip &amp; 10 Cookies n' Creme), Whole Grain Crispy Snack Bars, 24 count Variety Pack (Chocolate Chip / Cookies 'N Creme), Whole Grain Crispy Snack Bars, 30 pack Variety Pack (20 Chocolate Chip / 10 Chocolate Mint), Chocolate Chip, Whole Grain Crispy Snack Bars, Chocolate Mint, Whole Grain Crispy Snack Bars, Cinnamon Crunch, Whole Grain Crispy Snack Bars, Cookies n' Creme, Whole Grain Crispy Snack Bars</t>
  </si>
  <si>
    <t>Other: 15ct Variety Pack (Chocolate Chip / Cookies'N Crème / Chocolate Mint), Whole Grain Crispy Snack Bars, 20 pack Variety Pack (Chocolate Chip / Cookies 'n Creme), Whole Grain Crispy Snack Bars, 24 count Variety Pack (Chocolate Chip / Cookies 'N Creme), Whole Grain Crispy Snack Bars, 30 pack Variety Pack (20 Chocolate Chip &amp; 10 Chocolate Mint) Whole Grain Crispy Snack Bars, Chocolate Chip, Whole Grain Crispy Snack Bars, Chocolate Mint, Whole Grain Crispy Snack Bars, Cinnamon Crunch, Whole Grain Crispy Snack Bars, Cookies n' Creme, Whole Grain Crispy Snack Bars</t>
  </si>
  <si>
    <t>Other Grains, Pastas and Cereals: Mixes, Mixes</t>
  </si>
  <si>
    <t>Other: 4 Grain Blend, 7 Grain Blend, All Purpose Flour, Unbleached Unenriched, All Purpose Flour, Unbleached Unenriched, All-Purpose Unbleached Unenriched Flour, Baker's Patent Flour, Barley Flakes, Barley Flakes, Barley Flour, Barley Grain, Blue Corn, Whole, Blue Corn, Whole, Blue Cornmeal, Blue Cornmeal, Brown Rice Flour, Buckwheat Flour, Clear Flour, Coarse Blue Cornmeal, Coarse White Cornmeal, Cracked Barley, Cracked Wheat, Durum Patent Flour, Durum Semolina Flour, Durum Wheat Berries, Enriched All Purpose Flour, Golden Buffalo Flour, Grain Screenings, Hard Red Wheat Berries, Heirloom Bolted Wheat Flour, Heirloom Turkey Wheat Berries, Heirloom Type 65 Flour, Heirloom Type 65 Flour, Heirloom Whole Wheat Flour, Hulled Millet, Kamut Flour, Low Protein Wheat Berries, Malted Barley Flour, Malted Barley Flour, Malted Strong Bread Flour - "High Gluten Flour", Meadowlark All-Purpose Flour UBUE, Meadowlark All-Purpose Flour Unbleached Malted, Meadowlark Whole Wheat Flour Stone Ground, Midds, Millet Flour, Millet Flour, Coarse, Millet Hulled, Milo (Feed), Milo Flour, Oat Bran, Oat Flour, Whole, Oat Groats, Oat Hulls, Oats, Instantized Rolled, Oats, Old Fashioned Rolled, Oats, Quick Rolled, Oats, Regular Rolled, Oats, Steel Cut, Old Fashioned Rolled Oats, Pastry Berries, Pulsed Oats, Rye Berries, Rye Flakes, Rye Flour, Light, Rye Flour, Whole, Rye Flour, Whole Coarse, Select Flour, Select Flour, Spelt Berries, Spelt Flakes, Spelt Flakes, Spelt Flour, Steel Cut Oats, Stone Ground Whole Wheat Flour, Stoneground Dark Rye Flour, Stoneground Dark Rye Flour, Stoneground Organic Yellow Cornmeal, Stoneground Whole Wheat Flour, Stoneground Whole Wheat Flour (M), Stoneground Whole Wheat Flour (S), Strong Bread Flour "High Gluten Flour", Strong Bread Flour "High Gluten Flour", Strong Bread Flour "High Gluten", Sunflower Seeds, Unbleached All-Purpose Flour, Unbleached Bread Flour, Unbleached Bread Flour (High Gluten), Unbleached Unenriched Malted All Purpose Flour, Unbleached Unenriched Malted All Purpose Flour, Unbleached Unenriched Malted All Purpose Flour, Unbleached Unenriched Malted All Purpose Flour, Unhulled Cleaned Barley, Unhulled Unstabilized Cleaned Oats, Wheat Bran, Wheat Bran, Wheat Bran, Fine, Wheat Flakes, Wheat Germ, White Corn Grits, White Cornmeal, Whole Durum Wheat Flour, Whole Rye Flour, Whole Soft Wheat Pastry Flour, Whole Wheat Pastry Flour, Whole White Corn, Whole White Wheat Berries, Whole White Wheat Berries, Whole White Wheat Flour, Whole White Wheat Flour, Whole White Wheat Flour, Yellow Corn Grits, Yellow Corn Whole, Yellow Corn Whole, Yellow Cornmeal, Yellow Cornmeal, Yellow Cornmeal Coarse</t>
  </si>
  <si>
    <t>Other: #Processing, bagging, and labeling of livestock feed., 15% Organic Heifer Grower, 16% Organic Calf Grower, 16% Organic Layer RSB, 18% Organic Calf Starter, 20% Organic Calf Starter, and 16% Organic Layer Mash, Complete Feed Blends: 12% All Stock Grain Mix, 12% Heifer Finisher 14% Calf Grower, 14% Dairy Calf Feed, 15% Heifer Developer, 15% Heifer Grower, 16% Calf Grower, 16% Lactating Dairy Cow &amp; Goat Feed, 18% Calf Starter, 20% Calf Starter; 16% Pig Feed, Swine Finisher; 16% Layer, 16% Layer Mash, 16% Layer RSB, 17% Pullet Grower, 18% Broiler, 18% Layer, 18% Chick Grower, 20% Chick Starter, 20% Poultry, 24% Poultry, Non-Soy Layer, Non-Soy Chick Grower, PreLayer, Pullet Developer, RSB Layer; Turkey Gamebird;, Custom Feed Blends (for individual producers, using organic agricultural and approved nonagricultural ingredients), Mineral Blends (with organic ingredients): Grazing Cattle Mineral 1206, Lactating Dairy Mineral, Single-ingredient products: Alfalfa Meal, Barley, Fish Meal, Kelp Meal, Oats, Peas (field), Rolled Corn, Shell Corn, Soybean (meal, roasted), Spelt, Wheat (whole)</t>
  </si>
  <si>
    <t>Processed  Items: Cereal (DDGS), Cereal (Corn gluten meal, Corn starch, Sesame (meal/cake), Sticky millet hulled, Wheat bran, Wheat gluten, Wheat starch), Dehydrated Foods (Pea protein, Soybean lecithin, White kidney beans (navy bean,medium white kidney beans)), Flax (meal/cake), Flax seed (meal/cake), Flax seed oil, Flaxseed; Other Grains, Pastas and Cereals: Cereal (Maize (corn), Non-sticky millet), Oats (Oat, Oat kernel), Pasta (Rice noodles), Pasta (Black rice noodles , Brown rice noodles, Buckwheat noodles, Instant bag noodle with garlic and mushroom flavor, Instant bag noodle with garlic flavor, Instant bag noodle with vegetable flavor, Instant cup noodle with chili flavor, Instant cup noodle with garlic and mushroom flavor, Instant cup noodle with vegetable flavor, Instant noodle cake, Millet noodles, Rice bran, Wheat noodles), Rice (Brown rice, Rice), Wheat (Buckwheat, Buckwheat kernel, Wheat); Oils &amp; Oleoresins: Oils (Crude soybean oil, Sesame oil, Soybean oil , Sunflower oil); Nuts/Seeds: Peanuts (Peanut, Peanut kernel, Peanut meal), Seeds (Hemp seed, Hemp seed kernel, Pumpkin seed grown without shell, Pumpkin seed kernels , Pumpkin seeds, Pumpkin seeds shine skin kernel, Rapeseed, Sunflower kernels, Sunflower seed); Health Products: Herbs (Perilla seed); Fruits/Vegetables: Powders (Soybean powder); Dry/Baking Goods: Flours and Meals (Brown rice flour, Buckwheat flour, Potato starch, Rice Flour, Wheat Flour); Animal Feed: Livestock Feed (Canola (Cake/meal), Rapeseed (cake/meal), Soybean (cake/meal/expeller), Sunflower seed (meal/cake)); Other: Beans (Adzuki bean, Black Bean, Black beans with green kernel, Black kidney bean （black beans, black turtle beans), Black soybeans (green kernel/yellow kernel), Green Soybean, Light speckled kidney beans(cranberry bean), Mung bean , Red kidney beans(british red/dark red kidney beans), Soybean), Cowpeas, Lentils, Pea, Seeds (Sesame)</t>
  </si>
  <si>
    <t>Other Grains, Pastas and Cereals: Corn, Millet, Rice (Paddy); Fruits/Vegetables: Beans (Soybean), Vegetables (Sweet potato), Vegetables (Black paddy), Vegetables (Purple sweet potato)</t>
  </si>
  <si>
    <t>Other: Adzuki bean, Barley, Black kidney bean, Black Rice, Black sesame, Black soybeans with green kernel, Black soybean, 
Brown rice flour, Brown Rice, Buckwheat flour, Buckwheat kernel, Chickpea, Corn flour, Cracked Corn, Organic DDGS (distiller's dried grains with solubles), Flax cake, Flax meal, Flax oil, Flax seed, Glutinous millet, Goji berries, Lentil, Millet, Mixed feed, Mung bean, Oat kernel, Peanut, Pinenut kernels, Pinto bean (light red speckled kidney bean), Pumpkin seed grown without shell, Pumpkin seed shine skin kernel, Quinoa, Rapeseed cake, Rapeseed meal,  Rapeseed oil, Red kidney bean, Rice flour, Safflower seed cake, Sesame cake, Sesame Meal, Sesame oil, Sesame, 
Sorghum, Soybean cake, Soybean hulls (soybean skin), Soybean meal, Soybean oil, Soybean, Sunflower cake, Sunflower kernel, Sunflower meal, Sunflower oil, Wheat bran, Wheat flour, White kidney bean, White Sesame</t>
  </si>
  <si>
    <t>Other Grains, Pastas and Cereals: Rice (Rice)</t>
  </si>
  <si>
    <t>Other: Beet Grain Pulp, White granulated sugar</t>
  </si>
  <si>
    <t>Other Grains, Pastas and Cereals: Rice (Rice, Rice - in the husk (paddy))</t>
  </si>
  <si>
    <t>Other: Block panela (round, cubes, square, fractional and pastilla), Granulated unrefined brown sugar cane, Panela powder / Whole grain brown sugar cane, Sugar cane syrup</t>
  </si>
  <si>
    <t>Other: Acai Powder, Baobab Powder, Beet Powder (Beet Root Powder), Blend (Turmeric with Black Pepper), Cacao Nibs, Cacao Powder, Camu Camu Powder, Cassava Flour, Cassava Flour, Chia Seeds, Chia Seeds, Chia Seeds (Black), Chia Seeds (White), Coconut Flour, Coconut Sugar, Couscous, Dried Goji Berries, Dried Mulberries, Farro, Farro, Flax, Flax, Flax Seeds (Milled Flax), Flax Seeds (Milled Flaxseed), Fruit Snack (Fruit Bites Apple Kale), Fruit Snack (Fruit Bites Sweet Strawberry), Goji Powder (Goji Berry Powder), Grain Blend (Flax Chia Blend), Grain Blend (Flax Hemp), Grain Blend (Organic Supergrain Blend), Hemp Hearts, Lentils (Lentil Trio), Maca Powder, Moringa (Moringa Powder), Paprika (Paprika), Poppy Seeds, Protein Drink Mix (Epic Protein - Chocolate Maca), Protein Drink Mix (Epic Protein - Complete Coffee), Protein Drink Mix (Epic Protein - Green Kingdom), Protein Drink Mix (Epic Protein - Mindful Matcha), Protein Drink Mix (Epic Protein - Original), Protein Drink Mix (Epic Protein - Pro Collagen), Protein Drink Mix (Epic Protein - Real Sport), Protein Drink Mix (Epic Protein - Vanilla Lucuma), Pumpkin Seeds (Sprouted Organic Pumpkin Seeds with Sea Salt), Quinoa, Quinoa, Quinoa (Red Quinoa), Quinoa (Tri-Color Quinoa), Quinoa (White Quinoa), Seed Protein Powder (Simple Protein - Pea Protein), Seed Protein Powder (Simple Protein - Pea Vanilla), Seed Protein Powder (Simple Protein - Pumpkin Protein), Seed Protein Powder (Simple Protein - Sunflower Protein), Tea (Matcha Powder), Tomato Powder, Whey (Lactose Free Organic Whey Powder Dark Chocolate), Whey (Lactose Free Whey Powder Bourbon Vanilla), Whey (Lactose Free Whey Powder Plain Unsweetened), Whey (Whey Protein Plain Unsweetened ), Whey (Whey Protein Powder Bourbon Vanilla), Whey (Whey Protein Powder Dark Chocolate ), Yogurt Misc (Organic Smoothie Melts Beets n' Berries), Yogurt Misc (Organic Smoothie Melts Carrot Raspberry), Yogurt Misc (Organic Smoothie Melts Mango Carrot), Yogurt Misc (Organic Smoothie Melts Mighty Sweet Greens), Yogurt Misc (Organic Smoothie Melts Mixed Red Berries)</t>
  </si>
  <si>
    <t>Other: Amaranth Flakes, Amaranth Flour, Amaranth grains, Amaranth instant powder, Amaranth Pop, Arracacha, Cacao Nibs, Cacao Powder, Camu Camu Powder, carob powder, Cat's Claw Tea, Coffee Ground, Coffee roasted, Dried Goldenberries, ginger powder, Kaniwa, Kaniwa Flakes, Kaniwa Flour, kaniwa pop, Lucuma Powder, Maca Powder, Quinoa Flakes, Quinoa Flour, Quinoa Pop, Red quinoa flour, Sacha Inchi Powder, Sacha Inchi toasted, Soursop dehydrated, Soursop leaf dehydrated, Turmeric Powder</t>
  </si>
  <si>
    <t>Other Grains, Pastas and Cereals: Yellow Corn; Animal Feed: Livestock Feed - Custom Blend</t>
  </si>
  <si>
    <t>Trees/Whole Plant Products/Flowers: Seeds (Flax), Seeds (Flax - Brown), Seeds (Flax Meal), Seeds (Flaxseed Meal, Pelletized), Seeds (Lentil Protein), Seeds (Lentils - Black), Seeds (Lentils - French Green), Seeds (Lentils - Green), Seeds (Lentils - Large Green), Seeds (Lentils - Red), Seeds (Lentils - Red Split), Seeds (Lentils - Small Green), Seeds (Lentils Brown (Polished)), Seeds (Lentils, Brown), Seeds (Lentils, Green), Seeds (Lentils, Green Split), Seeds (Lentils, Red), Seeds (Lentils, Red Split), Seeds (Mustard - Brown), Seeds (Mustard - Yellow), Seeds (Mustard Seeds), Seeds (Rapeseed), Seeds (Rapeseed Meal, Pelletized), Seeds (Red Lentils, Split(Polished)), Seeds (Rye), Seeds (Sesame), Seeds (Soybean Meal), Seeds (Soybean Meal, Pelletized), Seeds (Soybeans), Seeds (Spelt), Seeds (Sunflower Meal), Seeds (Sunflower Meal - Pelletized), Seeds (Sunflower Meal, Pelletized), Seeds (Sunflower Seed), Seeds (Sunflower Seed Kernels), Seeds (Sunflower Seeds); Other Grains, Pastas and Cereals: Barley, Corn, Corn Bran, Corn Bran Pellets, Corn Bran, Pelletized, Corn Grits, Corn Meal, Corn Pellets, Corn, Degerminated, Corn, Ground, Corn, Pelletized, Corn, Processed, Cornmeal, Cracked Corn, Durum (Durum - Pearled), Oats (Oats), Wheat (100% Organic Vital Wheat Gluten), Wheat (100% Wheat Pearled), Wheat (Wheat - Pearled), Wheat (Wheat Bran), Wheat (Durum Wheat), Wheat (Durum Wheat, Pearled), Wheat (Vital Wheat Gluten), Wheat (Wheat), Wheat (Wheat - Hard Red Spring), Wheat (Wheat - Soft White), Wheat (Wheat Bran Pelletized), Wheat (Wheat Bran Pelletized), Wheat (Wheat Flour), Wheat (Wheat Gluten), Wheat (Wheat Starch Protein), Wheat (Wheat, Pearled), Wheat (Wheat, Pearled), Wheat (Wheat, Processed); Oils &amp; Oleoresins: Oils (Avocado Oil - Extra Virgin), Oils (Avocado Oil - Refined), Oils (Canola), Oils (Canola Meal), Oils (Canola Oil - Refined), Oils (Canola Oil - Unrefined), Oils (Coconut Oil), Oils (Coconut Oil - Extra Virgin), Oils (Coconut Oil - MCT), Oils (Coconut Oil - Refined), Oils (Flaxseed Oil - Crude), Oils (Flaxseed Oil - Refined), Oils (Soybean Oil - Refined), Oils (Soybean Oil - Unrefined), Oils (Sunflower Oil - Refined), Oils (Sunflower Oil - Unrefined); Nuts/Seeds: Cashew Nuts (100% Processing Organic Cashew), Chickpea Protein, Chickpeas, Chickpeas, Broken, Pea Protein - Yellow, Peas, Peas - Green, Peas - Split Green, Peas - Split Yellow, Peas - Yellow, Peas, Ground, Yellow Pea Flour, Yellow Pea Protein; Dry/Baking Goods: Flours and Meals (Lentil Flour), Flours and Meals (Semolina); Animal Feed: Forage (High Pro Feed Pellets); Other: Screenings, Third Party Warehousing Provider</t>
  </si>
  <si>
    <t>Other Grains, Pastas and Cereals: Other Other Grains, Pastas and Cereals - Corn, Other Other Grains, Pastas and Cereals - Corn, Sorghum (Sorghum), Wheat (Wheat); Fiber Textiles: Cotton (Cotton Fiber); Animal Feed: Livestock Feed (Soybean Hulls), Livestock Feed (Soybean Meal), Livestock Feed (Wheat Midds); Other: Other - Grass/Hay, Other - Soybean</t>
  </si>
  <si>
    <t>Other: Brown Jasmine Rice (227 g), Cooked Black Rice (227 g), Cooked Brown Jasmine Rice (227 g), Cooked Jasmine Rice (227 g), Cooked Red and white Jasmine Rice (227 g), Cooked Red Rice (227 g), Cooked White Jasmine Rice and Black Rice (227 g, Extra Virgin Olive oil, Jasmine Rice (227 g), Retort Pouch (Khao Dum) Thai Black Rice(227 g), Retort Pouch Brown Jasmine Rice (490 g), Retort Pouch Brown Rice&amp; Quinoa Blend (227 g), Retort Pouch Brown Thai Jasmine Rice(227 g), Retort Pouch Red Thai Jasmine Rice(227 g), Retort Pouch White Jasmine Rice (490 g), Retort Pouch White Rice Cilantro Lime (227 g), Retort Pouch White rice Cilantro Lime (227 g), Retort Pouch White rice Coconut (227 g), Retort Pouch White rice Spanish (227 g), Retort Pouch White Thai Jasmine (Club Box 6 pcs x 227 g ), Retort Pouch White Thai Jasmine Rice(227 g), Retort Pouch Whole Grain Rice Pilaf Coconut Rice(227 g), Retort Pouch Whole Grain Rice Pilaf Sesame Soy &amp; Ginger Rice(227 g), Retort Pouch Whole Grain Rice Pilaf Spanish Rice(227 g), Retort Pouch Whole Grain Rice Pilaf Turmeric Rice(227 g), White Jasmine &amp; Forbidden Rice (227 g), White Jasmine Rice (227 g)</t>
  </si>
  <si>
    <t>Processed  Items: Ready to Eat Foods, Ready to Eat Foods, Ready to Eat Foods, Ready to Eat Foods; Other Grains, Pastas and Cereals: Pasta, Pasta, Pasta, Wheat, Wheat, Wheat, Wheat, Wheat, Wheat, Wheat, Wheat, Wheat, Wheat, Wheat, Wheat, Wheat, Wheat, Wheat, Wheat, Wheat; Oils &amp; Oleoresins: Oils;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Sourdough Starter; Dairy: Butter, Butter, Buttermilk, Cream, Sour Cream; Condiments and Sweeteners: Vinegar; Bread/Bakery/Snacks: Ancient Grain Sourdough Tortilla, Bread, Bread, Bread, Bread, Bread, Bread, Bread, Bread, Bread, Bread, Bread, Bread, Bread, Bread, Bread, Bread, Bread, Bread, Bread, Bread, Bread, Bread, Bread, Bread, Bread, Bread, Bread, Bread, Bread, Bread, Bread, Bread, Bread, Buns; Beverage Related Products: Tea, Tea, Tea, Tea, Tea, Tea</t>
  </si>
  <si>
    <t>Other: Barley, Barley (Ground), Bedding Straw, Blending (Custom Grain Blends), Buckwheat, Cane Sugar, Canola Meal, Canola Oil, Canola Seeds, Corn, Corn (Corn Silage), Corn (Ground Corn), Dried Distillers Grains, Flax, Flax seed Meal, Grain Blend (Ground Barley / Soybean Meal Mix 70/30 (X07)), Grain Blend (Ground Corn / Canola Meal / Ground Roasted Sobyeans 70/15/15 (X08)), Grain Blend (Ground Corn / Canola Meal / Soybean Meal 70/15/15 (X09)), Grain Blend (Ground Corn / Canola Meal Mix 70/30 (X06)), Grain Blend (Ground Corn / Ground Barley Mix 50/50 (X05)), Grain Blend (Ground Corn / Ground Screenings 75/25 (X10)), Grain Blend (Ground Corn / Soybean Meal Mix 70/30 (X02)), Grain Blend (Ground Corn / Soybean Meal Mix 80/20 (X02)), Grain Blend (Ground Corn / Soybean Meal Mix 93/7 (X02)), Great Northern Beans (White Beans), Kelp (Meal), Livestock Feed - Soybeans (Roasted), Livestock Feed - Sunflower Seed, Livestock Feed - Wheat Midds, Livestock Feed - Wheat Midds (Pellets), Oats (Ground Oats), Peas, Rapeseed Meal, Rye, Screenings (Ground), Screenings Livestock Feed (Mixed Screenings), Soybean Meal (Feed), Soybean Oil, Soybeans (Whole), Sugar (Raw), Sunflower Meal, Sunflower Oil</t>
  </si>
  <si>
    <t>Trees/Whole Plant Products/Flowers: Seeds (Oilseeds); Other Grains, Pastas and Cereals: Cleaning Grains, Wheat (Hard Red Wheat); Oils &amp; Oleoresins: Oils (Safflower); Fruits/Vegetables: Beans (Certified in accordance with the terms of the US/Canada Organic Equivalency Arrangement: Pinto Beans), Beans (Legumes), Beans (Pinto Beans), Beans (Pinto Beans Splits)</t>
  </si>
  <si>
    <t>Other: 1002B9K Italian Blend, Tea Cut, 1002C9K Italian Herb Blend, 1003A9K Curry Powder, 1004A9K New Mexico Chile Blend, 1005A9K California Chile Blend, 1006A9K Ancho Chile Blend, 1007A9K Garlic Salt, 1009A9K Chipotle Chile Blend CHPB, 1010AOK Montreal Steak Seasoning, 1016A9K Montreal Steak Seasoning, 1018A9K Poultry Seasoning, 1025A9K Chicken Blend, 1027A9K Mayo Spice Blend, 1028A9K Cajun Spice, 1030A9K Ketchup Spice Blend, 1035A9K Pickling and Seafood Boil, 1044A9K Madras Blend, 1045AOK Greek Garden Salad Grinder Blend, 1046AOK Hot Pepper Spice Grinder Blend, 1047AOV Italian Spice Grinder Blend, 1051A9 Sweet Hot BBQ Seasoning, 1056AOV Pepper Medley, 1059A9K New Mexico Chili Powder, 1060A9V Burnt Sugar Blend, 1061A9K Celery Salt, 1062AOK Beef Blend, 1070A9K Garam Masala, 1071AOK Chili Blend, Powder, 1073B9K Spud Puppy Dry Mix, 1074AOK Stadium Hot Dog Blend, 1076AOK Curry Blend, 1078BOK Stewed Spice Blend, 1079AOK Big Train Spice Blend (BTSB), 1103B9 Velleron French Herb Seasoning, 1111A9V Cuban Style Spice Blend, 1114A9K Fantastic Fajita Seasoning, 1125A9K Chipotle Chile Ground CPS9-GR10, 1126B9K Cuzco Quinoa Spice Blend, 1129A9K Tikka Masala Spice Blend, 1130A9K Korma Blend, 1131A9K Jalfrezi Blend, 1135A9K Turkey Herb Blend, 1136AOK Pasta Blend, 1137A9K Poultry Blend, 1138A9K Seafood Blend, 1138B9K Seafood Blend Without Chives, 1145B9K Herbs de Provence, 1156A9K Chile Powder, 1157AOK Beef Seasoning, 1158A9K Citrus Cinnamon Decaf Black Tea, 1162A9K Pumpkin Pie Spice, 1168A9 Amantani Mushroom and Herbs Spice Blend, 1168A9 Vegetarian Mushroom Herb Spice Blend, 1168C9 Amantani Mushroom and Herbs Spice Blend, 1169A9 Persia Seven Grain Spice Blend, 1171A9K Hot and Spicy Steak Rub, 1175A9K Andouille Seasoning, 1176A9K Country Apple Sausage Seasoning, 1177A9K Spicy Italian Sausage Seasoning, 1178A9K Mild Italian Sausage Seasoning, 1180A9K Spinach Blend, 1182A9K Pasta Blend, 1187A9K Apple Pie Spice, 1188A9K BBQ Blend, 1189AOK Cayenne CYSO-GR 35, 1190AOK Cornbread Stuffing Mix, 1192A9K Falafel Spice Blend, 1192AOK Spicy Falafel Blend, 1201A9K Tuscan Blend, 1202A9K Indian Masala Blend, 1204A9K Original Vegetable Mix, 1205A9 Kielbasa Blend, 1206A9 Andouille Blend, 1206A9K Andouille Blend, 1207A9 Frank Spice, 1209A9K Tandoori, 1211A9K Hot Curry, 1212A9K Chinese Five Spice Blend, Granules, 1215A9K Cayenne, Ground, CYS9-GR-25, 1234A9K Garlic Parsley Mix, 1236A9K Cinnamon Sugar Blend, 1251A9K Everything Blend, 1254A9K Masala Chai Blend, 1263A9K Burnt Sugar Blend, 1271A9K Beef Vindaloo, 1277A9K Beef Hot Dog Blend with Spice, 1280A9K Italian Spice Blend, 1283A9K Sunrise Soya Spice Blend, 1284A9K Thai Red Curry Paste, 1286A9K Spicy Blend BE, 1288AOK Italian Seasoning, 1289AOK Tex-Mex Rub, 1291AOK Cajun Spice Blend, 1291B9K Traditional Cajun, 1292A9K Curry Spice Blend, 1292AOK Curry Spice Blend, 1295A9K Sweet Blend, 1296A9K Asian Blend, 1304AOK Smoked Paprika, 1312A9K Zesty Chipotle Rub, 1313A9K Rosemary Garlic Blend, 1314A9K Cowboy Rub, 1316A9K Chili Mix, 1317A9K Original Vegetable Mix with Cumin, 1321A9K Turkey Hot Dog Blend, 1323A9K Greek Rub, 1324A9K Fresh Tomato Salsa Seasoning, 1328A9K Citrus Pepper, GS, 1330A9K Chinese Five Spice, 1338A9K Masala Chai Blend, Ground, 1343A9K Refried Bean and Spice Blend, 1344A9K Pepperoni Blend, 1348A9K Blackening Spice, 1352A9K Za'atar Blend, 1358A9K Italian Seasoning (P.B.C.), 1378A9K Chinese Five Spice S/A, 1380A9K Mild Italian Seasoning, 1384A9K Feta Cheese Seasoning 4, 1403A9KV1 HQJCM Original Blend, 1408A9K Herbs de Provence, 1417A9K No-Heat Fresh Tomato Salsa Blend, 1423B9K Garam Masala, 1425A9K Coastal Goods Cinnamon Toast Blend, 1426A9K Caribbean Rub, 1435A9K Canadian Steak Rub, 1437A9K Sassy Seasoned Pepper, 1437B9K Sassy Seasoned Pepper, 1438A9K Hot Habanero Seasoning, 1439A9K Tequila and Lime Seasoning, 1441A9K Banger Seasoning, 1443A9K Gearhart Blend aka Mas Guapo, 1448AOK Chili Powder Blend, 1448B9K Chili Powder Light, 1454A9K Mclean Organics Pepperoni Unit, 1455A9K Low Sodium Mclean Griller Spice, 1456A9K Tomato and Basil Seasoning Rub, 1461A9K Garlic Salt, 1469A9K Mrs Dot Seasoning, 1469B9K Monarch Sodium Free Seasoning, 1469B9K Mrs. Dot Seasoning, 1477B9K Spice Blend 11 Curry Powder, 1479A9K Masala Chai Tea w Assam Black Tea, 1482AOK Chai Blend, 1483A9K Tandoori Chicken 6ARTANCHK, 1484A9K Tikka Masala Blend 6ARTIKMASALA, 1485A9K Goan Shrimp Blend 6ARGOANSHRIMP, 1489AOK Cayenne Onion Blend, 1493AOK OW Calabrese Blend, 1502A9K Chili Lime Seasoning Hot, 1502B9 Chili Lime Seasoning Hot 6MCCCHLH, 1519A9K Baked Bean Seasoning, 1527A9K Canadian Steak, 1529A9 Lemon Herb with Thyme, 1535A9K Blackening Spice, 1536A9K Mild Italian, 1537A9K Red and Green Bell Pepper Sprinkle, 1538A9K Tokyo Seasoning, 1543A9K Crouton Seasoning, 1544A9K Taco Seasoning, 1546A9K Lemon Pepper with Lemon Peel, 1547A9K Rosemary Garlic, 1548A9K Santa Maria, 1549A9K San Francisco Bay, 1550A9K Northwest Salmon with Chipotle, 1551A9K Savory Asian Five Spice, 1556A9K Goji Chia HE Blend, 1559A9K Mojo Cuban, 1560A9K Lemon Dill, 1564A9K Mediterranean Seafood Seasoning, 1569A9K Rooibos Chai Blend HE, 1571A9 Buffalo with Hot Sauce, 1579A9K Salt Cure, 1581A9K Organic Hotdog Seasoning, 1583A9K Garlic &amp; Pistachio Panko, 1584A9K Lemon &amp; Almond Panko, 1589A9K New Orleans Seafood w/ Hot Sauce, 1594A9K Rosemary Garlic Panko, 1599A9K Merquez Sausage, 1601A9K Southwest Texas BBQ w Chipotle, 1605A9K Organic Sleep Tea, 1606A9K Organic Detox-Cleanse Tea, 1607A9K Organic Ginger-Digestion Tea, 1611A9K Organic Weight Loss Tea, 1615A9K Organic Antioxidant Tea, 1616A9K Organic Calm Tummy Tea, 1617A9K Organic Congestion-Breathing Tea, 1620A9K Organic Relaxing Tea, 1628A9K Organic Energy Tea, 1635A9K Lemon Herb with Thyme, 1636A9K Herb Rotisserie Rub, 1637A9K Garlic and Pepper, 1638A9K Wasabi Blend, 1644A9K Seasoned Salt, 1650A9K Peppercorn medley, 1651B9 Spicy Southern, 1652A9K Tandoori Seasoning, 1654A9K Maple Pepper, 1655A9K Tuscan Herb, 1659A9K Mrs. Dot Salt Free Seasoning, 1675A9K Spice Blend 9 Italian, 1681A9K Pork Pepperoni Stick, 1682A9K Chorizo Sausage Seasoning, 1683A9K European Style Wieners, 1684A9K Pizza Pepperoni Seasoning, 1688A9K Garlic Shiitake Blend, 1689A9K Italian Blend, 1704A9K Bologna Seasoning, 1717A9K Stadium Hot Dog Blend with Oil, 1728A9K Black Bean Seasoning, 1731A9K Red Bean Seasoning, 1733A9K Herb Mix Apple Spice, 1738A9K Turkey Hot Dog Blend with Oil, 1741A9K Lemon Pepper Grinder Seasoning, 1742A9K Garlic Salt Grinder Seasoning, 1744A9K Vegetable Grinder Seasoning, 1746A9K Seafood Grinder Seasoning, 1749A9K No Salt Seafood Grinder Seasoning, 1751A9K Curry Blend, 1765A9K Pepperoni Sausage Seasoning, 1766A9K Pizza La Spice, 1767A9K Vegetable Broth Blend, 1769A9K Rosemary Sage Blend, 1770A9K Garlic Pepper Grinder Seasoning, 1771A9K RDD Blend #2 (Chorizo), 1774A7K Chili Lemon Seasoning, Made with Organic Spices, 1787A9K Saffron Blend, 1801A9K Everything Nice Mulling Spice, 1819A9K Taco Blend, 1820A9K Mediterranean Taco Seasoning, 1821A9K V Fajita Seasoning, 1822A9K Tzatziki Blend, 1829A9K Organic Onion and Garlic Grinding Blend, 1830A9K Organic MD Grinder Blend, 1831A9K Organic Garden Harvest Grinder Blend, 1832A9K Mediterranean Taco Seasoning, Powder, 1833A9K Mediterranean Taco Seasoning, Herb, 1834A9K Shredded Beef Seasoning, 1836A9K Beet Powder Blend, 1872A9K Banger Seasoning, 1881A9K Chile Verde Seasoning, 1882A9K Vegetable Blend (Petaluma Creamery), 1884A9K Beef Seasoning, 1890A9K Spice Blend 1 No Salt, 1902A9K Spicy Tater Seasoning, 1917A9K Tulsi Blend, 1918A9K Garden Medley, 1919A9K Eggnog Blend, 1923A9K Sweet Green Tea, 1924A9K Citrus Mint Tea, 1925A9K Lemon Rose Tea, 1926A9K Sweet Rooibos Tea, 1927A9K Mild Rooibos Tea, 1928A9K Sweet Lemongrass Tea, 1929A9K Chamomile Tea, 1930A9K Delightful Hibiscus Tea, 1931A9K Summertime Mint Tea, 1948A9K Caribbean Spice Seasoning, 1949A9K Black Pepper Lime Spice Seasoning, 1956A9K ZAT10 Blend, 1957A9K BBQ Seasoning, 1958A9K All-American Steak Rub, 1959A9K Beer Can Chicken Seasoning, 1971 AO Blue Lotus Rooibos Masala Chai, 1974A9K Sausage Seasoning, 1975A9K Fajita Seasoning, 1989A9K Seasoning Formula, 1992A9K Tailgater's Blend, 2003A9K Salsa Snack Seasoning, 2005B9K Mild Curry Entrée Seasoning, 2013A9K Adobo Seasoning with Pepper, 2014A9K Chili with Salt, 2015A9K Curry Blend, 2028A9K Red Hot Blend, 2030A9K Herb Mix, 2037A9K Lime Type Flavor Powder, 2038A9K Gentle Ginger Tea, 2047A9K Santa Fe Chili Type C, 2048A9K Ginger Tea, 2059A9K Pumpkin Pepita Seed Blend, 2068A9K Beef Hot Dog Blend with XHeat, 2069A9K Guacamole Seasoning, 2085A9K Excelsior Superfoods Blend, 2089A9K Ginger Curry Spice Blend, 2093A9K Dragon Sauce (aka Sriracha), 2100A9K Mediterranean Quinoa, 2105A9K Red Thai Curry Quinoa, 2108A9K Garlic Supreme Powder, 2109A9K ZR Tea Blend, 2126A9K Peppercorn Blend, 2157A9K Gentle Ginger Tea, 2191A9K Curry Powder Hot, 2194A9K Za'Atar Blend, 2211A9K Rosemary Seasoning with 20% LS, 2220A9K Basil &amp; Red Bell, 2227A9K Pizza Seasoning, 2245A9K Blend #1 FS TARGET, 2246A9K Blend #2 FS TARGET, 2255A9K Hot &amp; Spicy (with Vinegar Powder), 2259A9K Thai Curry, 2261A9K Beef Hot Dog Blend w/Xheat no OCAP, 2267A9K Fish Seasoning, 2268A9K Steak Seasoning, 2271A9K Forbidden Rice Ramen Spice, 2272A9K Jade Pearl Rice Ramen Spice, 2273A9K Millet &amp; Brown Rice Ramen Spice, 2284A9K Spice Blend 5 Salsa, 2290A9K Spice Blend 12 Apple Pie, 2291A9K Spice Blend 2 Hot No Salt, 2297A9K Teriyaki Seasoning, 2306A9K Veggie Seasoning, 2309A9K Mate KCUP, Pure Energy, 2311A9K Mate KCUP, Revitalize, 2315A9K Green Tea Goji Berry Blend, 2316A9K Istanbul Apple Tea, 2317A9K NP Spice Mix No.1, 2318A9K NP Spice Mix No.2, 2320A9K Bill's Poultry Seasoning, 2330A9K Vata Tea, 2331A9K Chicken Type Instant Broth, 2334A9K Spice Blend 10 Seafood, 2336A9K Gramp's Rub, 2337A9K Spud Puppy Dry Mix with No M&amp;D, 2339A9K Garlic Salt with Parsley, 2353A9K Garden Herb &amp; Citrus Seafood, 2354A9 Fresh Herb and Parmesan Quinoa Seasoning, 2355A9K Green Chile Cilantro Quinoa, 2358A9K Orange Chili Cilantro Seasoning, 2359A9K Savory Steak Seasoning, 2360A9K Hickory BBQ Seasoning, 2363A9K Harvest Maple Pork Seasoning, 2364A9K Rotisserie Roast Chicken Seasoning, 2365A9 Parmesan &amp; Herb Potato Seasoning, 2367A9K Skout BBQ, 2368A9K Skout Pico de Gallo, 2372A9K Spice Blend 7 Poultry, 2384A9K CB Pepper and Sea Salt Blend, 2385A9K CB Sea Salt and Rosemary Blend, 2387A9K CB Chili Blend B, 2391A9K Gentle Ginger Tea, Cut &amp; Sift, 2397A9K Zesty Italian Grinder, 2398A9K Garlic, Pepper, Chili Grinder Seasoning, 2399A9K Bloody Mary Grinder Seasoning, 2400A9K Grilling Spice Grinder, 2404A9K CB BBQ Spice Blend, 2408A9K NO AMLA Goji Chai HE Blend (Spec#100507), 2409A9K Freja's Foods Spice Blend, 2412A9K Kapha Tea, 2413A9K Pitta Tea, 2420A9K Tommy's Spice Blend 1 WO Dill RS 55%, 2429A9K Pickling Spice, 2430A9K Annie's Vegan Blend, 2433A9K Authentic Tikka Masala, 2439A9K Multigrain Thyme, Rosemary and Zatar Blend, 2441A9K Vegetable Soup Base, 2443A9K Curry Blend, 2444A9K New Blend Ref # 90001, 2445A9K Half &amp; Half, 2453A9K KCM Italian Seasoning, 2454A9K Signature Seasoning Shaker, 2455A9 Parmesan Seasoning Shaker, 2456A9K Ginger Teriyaki Seasoning Shaker, 2469A9K Thai AGS, 2470A9K Tuscan AGS, 2478A9K Garlic Herb and Butter Seasoning, 2479A9K Dill Pickle for Snacks, 2487A9K No-Salt Seasoning Blend, 2491A9K Artichoke Lemon Chicken Blend, 2492A9K Sea Salt and Black Pepper, 2498A9K Zesty Harissa Blend, 2501A9K Seasoning Packet Blend, 2508A9K WP-L Spice Blend, 2509A9K Meatball Seasoning, 2510A9K Vegetable Deluxe Soup Blend, 2511A9K Beef Broth, 2518A9K Berbere Spice, 2521A9K Curry Powder Hot Madras Blend, 2522A9K Peppercorn Melange Gourmet Blend, 2524A9K Curry Powder Red Blend, 2533A9K Curry, 2537A9K Chicken Tender Seasoning, 2538A9K Orange Spice Herbal Tea, 2554A9K Breakfast Seasoning Part 2, 2555A9K Breakfast Seasoning Part 1, 2561A9K Ground Psyllium &amp; Flax, 2570A9K Pumpkin Pie Spice, 2572A9K Bratwurst Blend with ROAORG, 2578A9K Herbes de Provence, 2587A9K Chili Powder, 2594A9K Blend #1, 2595A9K Blend #2, 2603A9K Immune Broth, 2604A9K Yummy Tummy Broth, 2612A9K Curry, Cilantro and Garlic, 2625A9K Vitality Broth, 2626A9K Serenade Farms Belgian Waffle Mix, 2628A9K Blend #3, 2629A9K Everything Blend, 2634A9K Organic Texas BBQ with Chipotle, 2638A9K Serenade Farms Belgian Waffle Mix, 2652A9K Serenade Farms French Toast Batter (Egg Free), 2653A9K Serenade Farms Instant Maple Syrup, 2655A9K Serenade Farms Instant Molasses, 2666A9K New Everything Blend, 2667A9K Immune Broth with Green Onion, 2669A9K Vitality Broth with Green Onion, 2670A9K Pepperoni Blend, 2672A9K Chipotle Chorizo Sausage NAS, 2700A9K JYC Spice Blend, 2728A9K T Zesty Nacho Blend, 2732A9K Zesty Nacho Blend, 2733A9K Kool Ranch Blend, 2734A9K R Honey Mustard Blend, 2736A9K Original Blend, 2752A9K Chicken Soup Base with Veggies, 2755A9K Master Recipe #1, 2767A9K Hot Italian Seasoning, 2769A9K HDP Herb Blend, 2771A9K Four Pepper Turkey, 2772A9K Turkey Cranberry Stuffing, 2773A9K Split Pea Soup Seasoning, 2781A9K Mild Italian Seasoning, 2785A9K Garlic &amp; Onion Blend, 2787A9K Blend #2, 2794A9K Hot Chorizo Seasoning for Chicken, 2798A9K Spice Blend, 2803A9K Spicy Jalapeno Blend, 2809A9K Sea Salt and Garlic with Tricalcium Phosphate, 2810A9K JYC Spice Blend #2 Plus Sea Salt, 2813A9K Golden Milk with Ginger, 2813A9K Golden Milk with Ginger (No Vanilla Bean), 2815A9K Blend #1 W Air Dried Tomato, 2817A9K DB Cracker Topping Seed Blend, 2823A9K Pepperoni Sausage Seasoning wo RDCRSH, 2831A9K CFM Pepperoni Blend, 2832A9K Tequila Lime Non-Chinese, 2836A9K Original Blend, 2839A9K Bratwurst 16 Pork and Chicken Seasoning, 2841A9K Breakfast with Sage, 2845A9K Cool and Zesty Harissa Blend, 2850A9K Smoked Paprika &amp; Garlic Beef Spice, 2869A9K Pepper Blend, 2876A9K ORGANIC PEPPERCORN BLEND NO PINK, 2878A9K Natural Nacho Blend, 2879A9K Pumpkin Pie Spice, 2891A9K Buttermilk Ranch Dressing Mix, 2894A9K Pepperoni Sausage Seasoning wo Fennel, 2898A9K Pumpkin Spice Blend, 2900A9K Chef Chuy's Fajita Mix, 2901A9K Chef Chuy's Chorizo Mix, 2904A9K Northern Italian For Grinders, 2905A9K No Salt Added Garlic Herb for Grinders, 2906A9K Chesapeake Bay Type Seasoning, 2909A9K Bunter Pfeffer, 2910A9K Vegetable Broth Blend, 2911A9K Mulling Spice, 2912A9K Curry Blend, 2913A9K Azafran Italian Dressing, 2914A9K Herbes de Provence, 2918A9K Ketchup Blend, 2919A9K Montreal Steak Seasoning, 2920A9K Garlic Herb Black Pepper and Sea Salt, 2921A9K Blend Sea Salt and Garlic for Grinders, 2921A9K Sea Salt and Garlic for Grinders, 2922A9K Garlic Pepper for Grinders, 2923A9K Seasoned Salt, 2928A9K Taco Seasoning, 2929A9K Chili Seasoning Mix, 2942A9K Chipotle Blend, 2946A9K Fajita Seasoning Mix, 2952A9K French Onion Dip Mix, 2957A9K Beef Hot Dog Blend, 2960A9K Sassy Taco Seasoning, 2967A9K Ranch Dip Mix, 2972A9K Kitchari Spice Blend, 2974A9K Everything Seasoning for Bagels, 2983A9K Sassy Taco Seasoning, 2988A9K Adobo Seasoning with Pepper, 2990A9K Madras Curry Blend, 2991A9K Turkey Hot Dog Blend, 2992A9K Beef Hot Dog Blend, 2993A9K Stadium Hot Dog Blend, 2996A9K P-Type Green Chile Brand, 2998A9K P-Type Santa Maria Blend, 2998A9K P-Type Santa Maria Blend No Dill Weed, 2999A9K Chicken Flauta Fill Seasoning, 3006A9K Za Atar Blend High Sumac, 3007A9K Ras El Hanout, 3013A9K Ginger Stir Fry Blend, 3014A9K Thai Spice Blend, 3016A9 Vegan Spicy Beef, 3017A9 Vegan Chicken, 3018A9 Vegan Thai Coconut, 3019A9K Garlic, Onion, Oregano Blend, 3019B9K Garlic, Onion, Oregano Blend, 3021A9K Montreal Steak Seasoning NAS Less Heat, 3036A9K Chai Blend, 3038A9K Raw Whole Seed Blend, 3049A9K Sweet n Spicy Seasoning, 3054A9KV1 Andouille Sausage Seasoning, 3055A9K Sassy Taco Seasoning, 3056A9K Simple Rub Topping 56046 WO Sugar, 3064A9K Umami Mushroom Blend, 3065A9K Mild Taco Seasoning LAS 360-400mg 55% heat reduction, 3066A9K Elote Seasoning Blend, 3067A9KV1 Sea Salt and Garlic Food Service, 3069A9K Traditional Ketchup Blend, 3075A9K Thai Curry Blend, 3078A9K Indian Curry Blend, 3081A9K Honey Mustard Blend, 3082A9K Three Pepper Blend, 3087A9K Everything Bagel Seasoning, 3087A9K Everything Bagel Seasoning, 3087A9K Organic Everything Bagel LAS, 3092A9K Bot Mix, 3097A9K Sweet &amp; Sour Blend, 3098A9K Tangy Bang Spice Blend, 3099A7K Fiesta Seasoning Blend MWO, 3103A9K Pizza Party Dust, 3106A9K Chili Lime Seasoning w/ Veggies - Inc SLT - Less Heat, 3109A9K Vegetable Seasoning with Salt, 3115A9K Beef Spice Kit, 3116A9K Garlic Salt with Parsley, 3121A9K Spice Seasoning Blend 200622-1, 3123A9K Breakfast Sausage Blend, 3124A9K Chorizo Blend, 3125A9K Italian Sausage Blend, 3126A9K Taco Blend, 3131A9K Spicy Everything Bagel LAS, 3132A9KV1-BRN Mild Italian Blend, 3133A9KV1-BRN Hot Italian Blend, 3137A9K-CAS #1 Original Blend, 3138A9K-CAS #2 Spicy Blend, 3141A9K Chaat Masala, 3143A9K Salsa Seasoning for Popcorn, 3147A9KV1-HQO Tandoori Blend, 3148A9KV Spicy Northern Italian Blend, 3149A9K Salsa Macha Blend, 3150A9K - Chili Crisp Blend, 3152A9K Vegan Chicken WO TSTD SO, 3154A9K Ginger Sesame Blend, 3155A9K TBV Cinnamon Blend, 3157A9KV1 Golden Turmeric Spice Blend, 3167A9K Garlic Herb Blend, 3168A9K #1 Original Blend, 3169A9K-CAS #2 Spicy Blend, 3170A9K-CAS Vegetable Herb Blend, 3181A9K Protein Powder WO Pea-Rice Protein, 3188A9 Vegan Spicy Beef WO TSTD SO KCUP, 3195A9K Sub Blend-Botmix (with Rice as a Stand Alone Formula), 3197A9K Hot Sauce Blend (aka Sriracha), 3200A9K Eggnog Blend (w/o Rum Flv.), 3203A9K Teriyaki Blend, 3204A9K BBQ Blend, 3210A9K Tequila Lime, 3211A9K Sweet N Garlic Chili Crisp, 3215A9K CTO Blend, 3216A9K Coconut Kale Spice, 3217A9K Green Chili Coconut Spice, 3218A9K Sweet Potato Spice, 3219A9K Black Lentil Spice, 3220A9K Kidney Bean Spice, 3221A9K Green Garbanzo Spice, 3223A9K Yellow Lentil Spice, 3224A9K MO Pickling Spice Blend, 3225A9K Smokey Bloody Mary Rim Salt, 3227A9K Organic Mint Mojito Rim Sugar, 3228A9K Spicy Margarita Rim Salt, 3231A9K Lemon Drop Rim Sugar, 3232A9K Paloma Rim Sugar, 3260A9K Organic Green Goddess Blend, 6GSCCHPOTA, 6MCCITL - Organic Italian Blend, Ajwain Seeds, Alfalfa, All Purpose Blend - ALPRNS, Allspice, Allspice, ALPRNS All Purpose Seasoning - No Salt, Amaranth, Amber Honey, Amber Honey, Liquid, Angelica Archangelica, Anise Seed, Annatto, Annatto Water Soluble-Powder, Apple Pie Spice - 6GSAPLPIE, ARPUNCHOLE6 Punjabi Chole Blend, ARRAJMAH6 Rajmah Blend, Arrowroot, Arrowroot (Maihot esculenta), Arrowroot (Maranta arundinacea), Arrowroot (Maranta arundinacea), Artichoke Leaves, Ashwagandha, Assam Tea, Astragulus Root, Baked Bean Spice Mix 6EFBKBNSP, Banana, Dehydrated, Barberry Root, Barley Grass, Basil, Basil Leaves, Basil Medium, Basil, Egyptian, Basmati White Rice, Parboiled, Bay Leaves, BBQ Rub BBQRB, Beef Hot Dog Blend - OVBFHD6, Beef Pork Hot Dog Blend, Beet Root Ground, Beet Root, Ground, Beet Root, Powder, Beets, Beets, Beets BEEGNDSI, Bell Pepper Green Ground with Silicon Dioxide - PEPGNGNDSI 2%, Bell Pepper Red Ground with Silicon Dioxide - PEPRDGNDSI 2%, Bell Pepper, Green, Bell Pepper, Red, BGO Blend - CABGO6, Bhindi Masala 6ARBNDMASALA aka Green Veggie Spice, Big Train Spice Blend - 6BTSPCBLND, Bilberry, Bilberry Leaf, Biodynamic True Cinnamon, Bionova Herb Blend - 25BIONOVA, Bison Sausage Blend - 6MCBISON, Bitter Orange, Black Bean, Black Bean Spice 6EFBLKBNSP, Black Beans, Black Pepper, Black Pepper Coarse, Black Pepper Essential Oil, Black Pepper Oil, Black Pepper Water Soluble Extract, Black Tea, Kundaly, Black Turtle Beans, Blackberry Leaf, Blackberry Leaf, Fermented, Blackening Herbs Rub - 25BLKRUB, Blessed Thistle Herb, Bloody Mary Blend - 6SOBLDYMRY, Blue Vervain, Blueberry Flavor, Boletus Edulis (Porcini) Mushroom, Bourbon Vanilla, Bratwurst Blend - 6RMBRAT, Breakfast Sausage Blend - 6GSCBREAK, Broccoli, Brown Basmati Rice, Brown Rice (Non Basmati), Brown Rice Elbow Pasta, Brown Rice Flour, Brown Rice Syrup, Brown Rice, Puffed, Buchu Leaf, Buckthorn Bark, Buckwheat Groats, Burdock Root, Butter Flavor, Butterbur Root, Cabbage, CAJSPI Cajun Spice, Cajun Blend - 6MBCAJUN, Cajun Sausage Blend - 6MCCAJS, Calamus Root, Calendula, California Poppy, Cane Sugar, Cane Sugar, Evaporated, Cannellini Beans, Canola Oil, Capsicum Extract, Caraway Seed, Cardamom, Cardamom, Cardamom Ground, Caribbean Spice Blend - 25CARB, Carob, Carob Roasted, Carrot, Carrot CARPWDSI, Carrot Powder, Cassia (cinnamon), Catnip Herb, Cauliflower, Cayenne Chili, Celandine, Celery Powder, Celery Salt CELSLT, Celery Seed, Chai Blend - 6ICCHAI, Chai BS Water Soluble EXT LIQ, Chamomile, Chamomile Flowers, Chamomile Herb, Chamomile Pollen, Chaste Tree Berry, Chia Seeds, Chicken Herb Blend - 6RTCHKHRB, Chicken Tikka Masala - 6ARTIKMASALA, Chickweed, Chicory Root, Chili - Red Peppers Crushed, Chili - Red Peppers Dried, Chili Ancho, Chili Bird's Eye, Chili Chipotle, Chili Green Pepper, Chili Habanero, Chili Habanero, Chili Jalapeno, Chili Jalapeno, Chili Pepper, Ground, Dark Roast, Chili Pepper, Ground, Light Roast, Chili Pepper, Ground, Medium Roast, Chili Pepper, Red Ground, Chili Powder Blend - 25PWD, Chili Spice Mix 6EFCHILISP, CHILIPWD-NOSILDIOX Chili Powder Blend no Silicon Dioxide, Chinese Five Spice Blend - CH5SP, Chipotle Type Blend - 6GSCCHPOTA, Chive Rings, Freeze Dried, Chives, Chives Air Dried, Chrysanthemum, CHSBAY Chesapeake Bay Seasoning, Cilantro Leaves, Cinnamon, Cinnamon Essential Oil, Cinnamon Ground, Cinnamon Ground, Cinnamon Ground Roasted, Cinnamon, Burmannii/Korinjte, Citronella Essential Oil, Clove Bud Oil, Clove Stem Oil, Cloves, Cocoa Powder, Alkalized High and Low, Cocoa Powder, Natural High and Low, Cocoa Shells (Cacao), Coconut Sugar, Coconut, Toasted, Comfrey Leaf, Comfrey Root, Coriander, Corn Flour, Corn Grits, Corn Meal, Cornflower Flower, Cornsilk Herb, Cornstarch, Cranberry, Freeze Dried, Crushed Red Chili Pepper, Cubeb Berries, Cultured Buttermilk Powder, Cumin Seed, Cumin Seed Ground, Cumin Seed Whole, CURPWDM Curry Powder Medium, Curry Powder - CURPWD, Curry Powder Hot 25CURPWDH, Curry Powder MCCCUR6, Curry Powder STD - CURPWD, Dagoba Chocolate Master Mix DAGCHOSPI6, Damiana, Dandelion Herb, Dandelion Leaf, Dandelion Root, Dextrose Monohydrate, Dill Seed, Dill Weed, Dulse Powder, Echinacea Purpurea Herb, Echinacea Purpurea Root, Egg, Whole, Dried, Elder Flower, Elderberry, Elecampane, Eleuthrococcus Root, Eucalyptus Leaf, Extra Hot Spicy Italian Garlic Mix - 6RCSITLGARX, Extra Virgin Olive Oil, Farro, Fennel Seeds, Fenugreek, Fiery Fiesta Blend - 6QPFFB, Flax Seeds, Fo-Ti, Freekeh, Freeze Dried Peas, Freeze Dried Raspberry, French Classique Spice Blend - 6GSCFRCHCL, Galangal, Garam Masala Spice Blend - GRMASALA, Garbanzo Beans, Garden Vegetable Blend - 6RTGARVEG, Garlic Dried, Garlic Dried, Powder, Garlic Granules, Garlic Minced, Garlic Parsley Salt - 6GSCGPSLT, Garlic Pepper SGARPEP, Garlic Powder, Garlic Powder, Garlic Roasted, Garlic Salt - 25GARSLT, Gentian Root, Ginger, Ginger Ground, Ginger Ground, Dried, Ginger Oil, Gingerbread Blend Water-Soluble Extract, Ginkgo Leaves, Ginseng Root (Ren Shen) Chinese Medicinal, Ginseng Root American, Goan Shrimp Curry - 6ARGOANSHRIMP, Goan Vindaloo, Gobi, Goldenrod Herb, Gotu Kola Herb, Great Pumpkin Pie Spice Blend - GSCPUMPIE, Greek Seasoning - 25GREEK, Green Bean Seasoning - 25GREENBEANSEAS, Green Onion, Green Pepper, Green Tea, Green Tea, Chun Mee, Green Tea, Decaffeinated, Green Tea, Matcha, Green Veggies Blend, Grilling Herbs - HRBGLNS, Ground Ginger, GSCPUMPIE6 Pumpkin Pie Spice, Guacamole Seasoning - 25GUACAMOLESEAS, Guacamole Spice Blend - 25GUAC, Guar Gum, Hawthorne Flower and Leaves, Hawthorne Fruit (Berry), Helichrysum, Hemp Protein, 50%, Hemp Seed, Herb N Pepper Spice Rub - 25HRBNPEP, Herbes De Provence - HRBPRVNS, Herbs de Provence - HRBPRVNS, Herbs de Provence - HRBPRVNS, Hibiscus, High Concentrate Butter Buds, Honeybush, Hops, Horseradish, Horsetail Herb, Hot Italian Blend - 6GSCHOTITL, Hyssop Herb, IMCSPMX ORGANIC IMOS CORP SPICE MIX, Indian Masala (Garam Masala) - 6SUNINMSLA, Italian Herbs - ITLHRBNS, Italian Sausage Blend 6GSCITLSG, Italian Sausage Blend 6OVITL, Italian Seasoning Blend - NITLHRBNS, Jamaican Jerk - 6GSCJAMJRK, Jerusalem Artichoke Inulin Powder, Juniper Berry, Kale, Dried, Kelp Powder, Ketchup Spice Blend - 6GSCKTCHP, Lady's Mantle Herb, Laminara Digitata (Brown Kelp), Lavender Flower, Leeks, Lemon Balm, Lemon Dill Blend - 6GVLEMDIL, Lemon Juice Powder, Lemon Oil, Lemon Peel, Lemon Peel, Lemon Pepper Spice Blend - 6SSFLEMPEP, Lemon Verbena, Lemongrass, Lentil Spice Mix, Licorice Root, Lime Juice Powder, Linden, Linden Flower, LIROSE6 Rosemary Blend, Lucuma, Lycii Berry (Goji), Maca Root, Mace, Mace Essential Oil, Malt Extract, Maltodextrin, Mango, Dried, Maple Flavor Powder, Maple Sugar Powder, Maple Syrup, Maple Syrup Grade A Dark Amber, Marjoram, Marshmallow Leaves, Marshmallow Root, Meadowsweet Herb, Mediterranean Spice Blend - MEDINS (25MEDINS), Mesquite Grill - MESQUITE, Mexican Blend - 6MBMEX, Milk Thistle Seed, Millennium Blend - 25MILLENNIUM, Millet, Mistletoe Herb, Molasses Powder, Montreal Chicken Seasoning (aka Poultry Seasoning) GSCMONCHK6, Montreal Steak Seasoning - GSCMONSTK6, Moroccan Blend - 6LUNMORF, Moroccan Blend - 6LUNMORF, Mulling Spice - 25MULLING, Mulling Spice - 25MULLING, Mushroom Seasoning - 25MUSHROOMSEAS, Mushroom, Champignon, Mushroom, Chanterelle (Cantharellus cibarius), Mushroom, Maitake (Grifola frondosa), Mushroom, Oyster (Pleurotus ostreatus), Mushroom, Porcini (Boletus edulis), Mushroom, Portabello (Agaricus bisporus), Mushroom, Shiitake (Lentinula edodes), Mustard Seed, Brown, Mustard Seed, Yellow, Mustard, Black, Nettle, Nettle Herb, Nettle Leaves, Nettle Root, New Orleans Spice Blend - 6KMNEWORB, Nigella Seed, No Salt All-Purpose Poultry - POULNS, No Salt BBQ - 25NOSALTBBQ, No Salt Blend - NOSALT, No Salt Garlic Herb, No Salt NOSALT, No Salt Seafood - NOSALTSFD, No Salt Spicy, No Sweat Blend - MCSWEAT6, Nonfat Dry Milk Powder, NOSALT No Salt Blend, NOSALT No Salt Blend, NOSALTMEX, NOSALT-Monarch with Vegmix, Nutmeg, Nutmeg Essential Oil, Nutmeg, Ground/TBC, Nutritional Yeast Flakes, Oat Hull Fiber, Oat Straw Herb, Oats, Old World Hot Italian Sausage - 6OWSHTITL2, Old World Mild Italian Sausage - 6OWSITL, Olive Leaf, Onion, Onion Chive Blend - 6GVONCHIV, Onion Chopped, Onion Chopped, Onion Garlic Blend - 6GSCONGAR, Onion Granules, Onion Minced, Onion Powder, Onion Salt - 6RMONSLT, Orange Oil, Orange Peel, Orange Peel, Oregano, Oregano, Oregano Medium, Oregano, Mexican, Papaya Leaf Powder, Papaya, Dehydrated, Paprika, Paprika Extract, Paprika Ground, Paprika Ground, Parmesan Cheese Powder, Parsley, Parsley, Parsley, Parsley, Parsley Flakes, Passion Flower, Pasta Spice Blend - 6AROPASTA, Pepper Ground 28, Pepper, Black, Pepper, Long, Peppermint, Phil's Gooba Dust, Phil's Gooba Dust, Pineapple, Dehydrated, Pink Pepper, Pizza Blend - 6GSCPIZ, Plantain, Plantain Leaf, Poppy Seed, Poppy Seed, Whole, Pork Breakfast Blend - 6OVPRKBRK1, Potato Dehydrated, Potato Starch, Potato Topper Seasoning - 25POTATOSEAS, Poultry Herbs - QP25823, Poultry Seasonings - MJRPOS (GSCMONCHK6), Psyllium Husk, Puffed Brown Rice, Pumpkin, Pumpkin Seed Kernels, Pumpkin Spice Water Soluble EXT LIQ, Quinoa, Quinoa - Baby (Kaniwa), Quinoa Flakes, Raisins Thompson Seedless, Oil-Treated, Ramon Nut (Bread Nut), Ras El Hanout, Raspberry Leaf, RDCHILIGND-BLEND, RDGND Chili Ground Natural, RDGNDDR Chili Ground Natural, Dark Roast, RDGNDMP50M Chili Ground Natural, Medium Roast 50 Mesh, RDGNDMR Chili Ground Natural, Medium Roast, RDPWD Red Pepper Powder, Red Clover, Red Pepper, Crushed, Rhodiola, Rhubarb Root, Rice Concentrate, Rice Protein 80, Roasted Dandelion Root, Roasted Dandelion Root, Roasted Onions, Rogan Josh, Rooibos Herb, Rose Petals, Rosebuds, Rosehips, Rosemary, Rosemary Antioxidant, Rosemary Antioxidant in Olive Oil, Rosemary, Leaves, RWG Thai Snack Seasoning - 6RWTHAI, Saffron, Saffron Blend, Sage, SALMON (Spice Blend), Salsa Fresca Blend - 6RWSLSATWO, Santa Fe Chili Blend - SNTAFE, Santa Fe Spice Blend - 6SSFSNTFE, Sarsaparilla Root, Sassafras Leaf, Savory, Schizandra Berry, Scullcap, Sea Lettuce, Seafood Herb 25SFDHRBNS, Seasoning Salt - SEASSLT, SEASSLT, Senna Leaves, Sesame Seed, Sesame Seed, Sesame Seed, Black, Sesame Seed, Hulled, Shatavari, Sheep Sorrel, Shepherd's Purse, Slippery Elm Bark, Smoke Fish Spice - 6VCSMKFSH, Smoke Fish Spice No Salt - 6VCSMKFSHNS, Smoked Fish Spice (aka Salmon Marinade Original) - 6VCSMKFSH, Smoked Fish Spice No Salt (aka Salmon Marinade - No Salt) - 6VCSMKFSHNS, Smoked Paprika, Southern Fried Chicken Seasoning - SFRYCHK, Southwest Blend - 6LUNSWF, Soybeans, Spaghetti Sauce Spice Mix - 6IMOSSPAG, Spearmint Herb, Spice Mix - IMOSSPAG6, Spiced Mustard Rub - 25SPICMUS, Spicy Italian Garlic Mix - 6RCSPITLGAR, Spinach, Spirulina, Spray Dried Honey Powder, St. John's Wort Herb, Star Anise, Stevia, STPICKLE6 Pickling Spice, Strawberry, Strawberry Leaves, Sumac, Sun Dried Tomato Blend - 6GVSDTOM, Sunflower Oil, Sunflower Oil - High Oleic, Sunflower Seed Kernels, Sweet Italian Blend - 6GSCSWITL, Sweet Lemon Pepper - 25SLEMPEP, Sweet Potato, Sweet Whey Powder, Taco Seasoning, Taco Seasoning - TACO, Taco Seasoning - TACO, Tamari Powder, Tamari Powder, Drum Dried, Tamarind Concentrate, Tamarind Concentrate, Tandoori Blend - TANDOORI, Tandoori Chicken - 6ARTANCHK, Tansy, Tapioca Starch (Novation 9330), Tapioca Starch, Pregel, Tapioca Syrup Solids, Powder, Tarragon Herb, Teff, Thai Curry Blend - THAICUR, Three Cheese Blend - 6RT3CHS, Thyme, Thyme, Thyme Leaves, Toasted Almond Blend - 6RTTSTALM, Tomato Powder, Tomato Powder TOMPWDSI, Tomatoes, Total Mex 1MPTMEX, 25TMEX, Total Mex Chili Powder - TOTMEX, True Cinnamon, Tulsi (Holy Basil), Turmeric, Turmeric Extract, Turmeric Ground, Turmeric Ground, Uva ursi, Valerian Root, Vanilla Bean Type Flavor, Vanilla Beans, Vanilla Extract, Vanilla Extract, Vanilla Flavor, Vegetable Oil (Canola), Vegetable Seasoning - VEGSEAS, Vegetable Spice Blend Rub - VEGSEAS, VEGSEAS, Vetiver Essential Oil, Wasabi Blend #1 - 6GSCWASA1, Wasabi Blend #2 - 6GSCWASA2, West Indies Spice Blend - 25WINDRB, Wheat Grass, Whey Concentrate Powder, White Basmati Rice, White Pepper, White Rice (Non Basmati), White Vinegar Powder, White Willow Bark, Wiener Blend - 6GSCWIEN, Wild Cherry Bark, Wild Lettuce, Wild Mushroom and Herb Blend - 6RTWMUSHRB, Willow Bark, Wood Betony, Wood Smoked Paprika, Wood Smoked Paprika - Extra, Wormwood, Yarrow Flower, Yarrow Herb, Yeast Powder, Yellow Dock, Yerba Mate, Yerba Mate, Toasted, ZBEMO Bell Pepper Field Run</t>
  </si>
  <si>
    <t>Processed  Items: Cereal (Quinoa flakes); Other Grains, Pastas and Cereals: Cereal (Amaranth (Kiwicha), Cañihua), Quinoa (Black quinoa, Red quinoa, Tricolor Quinoa, White quinoa); Nuts/Seeds: Seeds (Chia seeds); Fruits/Vegetables: Powders (Maca powder); Dry/Baking Goods: Flours and Meals (Quinoa flour); Chocolate Goods: Cocoa nibs, Cocoa powder</t>
  </si>
  <si>
    <t>Other Grains, Pastas and Cereals: Beans (Red kidney, Black Turtle), Beans (Garbanzo), Blue corn, Whole Buckwheat, Hi Lysine corn, Hy Lysine cracked corn, Rolled oats, Rye berries, Cracked rye, Rolled flakes rye, Cereal (Eight grain hot cereal, Whole wheat hot cereal), Cereal (Buckwheat groats, Oat groats), Hulled barley, Cracked wheat, Brown flax, Hulled millet, Split green peas, Soft white wheat berries, Raw sunflower kernels, Wheat (Hard red spring); Dry/Baking Goods: Baking Mixes (Golden wheat pancake mix, Harvest grains pancake mix, Hy Lysine Corncake/Waffle mix), Flours and Meals (Flour: Barley, Millet, Spelt, Whole wheat bread, Whole wheat pastry), Flours and Meals (Flour: Buckwheat, Hi Lysine corn, Oat, Pumpernickel, Rye, Sorghum. Cornmeal: Blue, Hi Lysine); Bread/Bakery/Snacks: Bread (Multi Brain mix, Whole wheat mix), Packaged Snacks and Chips (Tortilla chips: Blue corn, Hy Lysine corn), Popcorn (White, Yellow); Other: Golden Flax, Spelt Berries, Sesame Seeds, Whole white sorghum</t>
  </si>
  <si>
    <t>Other Grains, Pastas and Cereals: 1121 Indian Organic Traditional Basmati rice Creamy Sella, Brown Sona Masori Rice, Brown rice, Indian Organic Non Basmati White rice, Indian orgnaic Non Basmati Brown rice, Non Basmati Rice, Organic Broken Rice, Parboiled Rice, Pearl millet / Bajra, Ragi / Finger Millet Grain, Red Rice, Rice Sonamasuri, Sona Masuri White Rice, Sorghum, Soybean, Turmeric Whole dried, Sella Basmati Rice, Wheat, Basmati white rice-1121, Basmati brown rice-1121, Indian Organic Steamed Basmati Rice Grade A-1121, Indian Organic Traditional Basmati Brown Rice, Indian Organic Traditional Basmati White Rice; Condiments and Sweeteners: Bay Leaf, Bay leaf powder, Cardamom, Green Cardamom, Cardamom Large - Black (Amomum), Cardamom Powder,; Other: Ajwain, Almond, Almonds (Shelled), Black Pepper, Black Pepper Powder, Buckwheat (Seed quality), Buckwheat flour, Cashewnut (in shell), Cashew Whole, Chat Masala, Chana masala, Chilli Flakes, Cinnamon bark, Cinnamon powder, Cloves whole, Coriander Powder, Coriander Seed / Whole, Cumin Powder, Cumin seeds, Cumin Whole, Fennel, Fenugreek, Fenugreek seed, Garam Masala powder, Garlic, Gram Flour/Besan, kalonji/nigella, Mango Powder, Mumbai Pav Bhaji Masala, Nutmeg Powder, Nutmeg whole, Peshavari Tikka Masala, Rasam Powder, Rice flakes, raisins/kismis, Red Chilli Flakes, Red Chilli Powder, Red Chilli Whole, Roasted almonds, Saffron, Tandoori masala, Turmeric Powder, Urad Dal / Split Black Gram, Walnut, Walnut Kernels, Wheat flakes, Wheat Flour, White Pepper, White Pepper Powder</t>
  </si>
  <si>
    <t>Other Grains, Pastas and Cereals: Rice (Black rice (paddy), Joyaral rice (paddy)); Health Products: Herbs (Black Cardamom, Cinnamomum bark, Cinnamon leaves, Ginger, Himalayan pepper (Timmur), Nettle, Sage (Salvia officinalis), Turmeric); Fruits/Vegetables: Citrus (Lemon), Vegetables (Beetroot - fresh, Carrot - fresh)</t>
  </si>
  <si>
    <t>Other: Cleaning/Bagging Grains, Oilseeds &amp; Cereals, Drying Grains, Oilseeds, &amp; Cereals, Grain Screenings, Hard red wheat, Sunflowers, Spelt, Popcorn, Soybeans, Oats, Dry Beans, Pearled Farro</t>
  </si>
  <si>
    <t>Trees/Whole Plant Products/Flowers: Seeds (Apricot Kernels ( Bitter / Sweet)), Seeds (Black cumin seeds), Seeds (Blue poppy), Seeds (Cherry seeds), Seeds (Flaxseeds), Seeds (Pistachios), Seeds (Poppy seeds), Seeds (Roasted apricot kernels), Seeds (Sesame seeds), Seeds (Chia seeds), Seeds (grape seeds); Processed  Items: Cacao Beans, Cacao butter, Cacao nibs, Cacao Tea, Coconut dessicated, Coconut milk, Dried apricot paste, Dried mulberry crumble, Dried mulberry mix ( white and black), Fruit bar with cacao tart cherry, Fruitbar with cacao hazelnut, Fruitbar with coconuts, Fruitmix (for baking), Ready to eat dried tomatoes, Sesame paste, Sultana raisins, Trail mix; Preservatives/Extracts/Flavors: Powders ((Dried)Tomato Powder), Powders (Apricot Kernel Powder), Powders (Black cumin seed powder), Powders (Cherry seed powder), Powders (Dried sour cherry powder), Powders (Flax seed powder), Powders (Grape seed powder), Powders (Hazelnut powder ( Raw/ roasted)), Powders (Chia seed powder), Powders (Flax seed protein powder), Powders (Goji berry powder), Powders (Pumpkin seed powder), Powders (Dried mulberry powder); Other Grains, Pastas and Cereals: Brown lentils, Bulgur, Red lentils, Roasted chickpeas, Wheat, Yellow lentils; Oils &amp; Oleoresins: Oils (Almond oil), Oils (Apricot Kernel Oil), Oils (Black cumin seed oil), Oils (Black seed oil), Oils (Black Seed oil ( mild)), Oils (Black seed oil ( strong)), Oils (Black seed oil (unfiltered)), Oils (Cherry seed oil), Oils (Coconut oil), Oils (Flax seed oil), Oils (Grape seed oil), Oils (Hazelnut oil), Oils (Pomegranate seed oil), Oils (Sesame oil), Oils (Walnut oil), Oils (Chia seed oil), Oils (Prune seed oil ( plum kernel oil)), Oils (Pumpkin seed oil); Nuts/Seeds: Cashew Nuts (Cashew (Raw/roasted/salted)), Chestnuts (Chestnut), Nuts (Almond), Nuts (Almond chopped), Nuts (Almond powder), Nuts (Broken walnut), Nuts (Chopped hazelnuts), Nuts (Broken Hazelnuts), Peanuts (Peanut), Poppy white, Raw hazelnuts, Roasted hazelnuts; Fruits/Vegetables: Beans (Chickpeas), Berries (Blueberries), Berries (Goji berry), Date paste, Dates, Dates pitted, Diced dried date, Diced dried figs, Diced dried plum, Diced dried sour cherries, Diced dried tomatoes, Diced prunes, Diced Sultana raisins, Dried Apple, Dried Apricot, Dried dates, Dried fig paste, Dried Figs, Dried plum, Dried sour cherries, Dried Strawberries, Dried tart cherries ( unsweetened), Dried tomato halves, Dried tomatoes, Dried white mulberries, Raisins; Dry/Baking Goods: Baking Sugar Alternative, Flours and Meals (Rice Flour), Powders (Cacao powder), Powders (Chickpeas powder)</t>
  </si>
  <si>
    <t>Other Grains, Pastas and Cereals: Rice (ST25 Organic brown grain rice / Gao lut huu co ST25), Rice (ST25 Organic paddy / Lua huu co ST25), Rice (ST25 Organic white grain rice/ Gao trang huu co ST25)</t>
  </si>
  <si>
    <t>Other Grains, Pastas and Cereals: Rice (Paddy), Rice (Rice Straw), Rice (Purple rice – Hoa Nang, Mua), Rice (Rice – Hoa Nang (Vang Lua Chin, Xanh Ma Non, ST25, Nang keo), Sen Viet, Muoi Thuong, Nang Huong, Mua), Rice (Rice cracker – Original flavor), Rice (Rice cracker – Purple rice flavor), Rice (Broken rice (broken 1, 2, 3) - Hoa Nang, Sen Viet, Muoi Thuong, Nang Huong, Mua), Rice (Brown rice - Hoa Nang, Sen Viet, Muoi Thuong, Nang Huong, Mua), Rice (Color grain rice), Rice (Dried paddy)</t>
  </si>
  <si>
    <t>Other Grains, Pastas and Cereals: Rice (Paddy), Rice (Dried Paddy), Rice Straw</t>
  </si>
  <si>
    <t>Trees/Whole Plant Products/Flowers: Seeds (Amaranth, Hopi Red Dye), Seeds (Barley, Black Tibetan), Seeds (Basil, Genovese), Seeds (Beans- San Luis Fava), Seeds (Beans- Speckled Tepary), Seeds (Beans-Aquadulce Fava), Seeds (Beans--Bolita (Pueblo Seed Co. label)), Seeds (Beans--Colorado River (Pueblo Seed Co. label)), Seeds (Beans--Hopi Black (Pueblo Seed Co. label)), Seeds (Beans--Jade Green), Seeds (Beans--Provider), Seeds (Beans--Purple Gualtemalan), Seeds (Beans-Yellow Indian Women), Seeds (Carrot, Improved Scarlet Nantes (Pueblo Seed Co. label)), Seeds (Carrot, Purple Dragon), Seeds (Carrot, Red Core Chantenay), Seeds (Carrots---Cosmic Purple (Pueblo Seed Co. label)), Seeds (Corn, Concho), Seeds (Corn, Glass Gem), Seeds (Corn, Hopi Turquoise (Pueblo Seed Co. label)), Seeds (Corn, Rio Grande Blue), Seeds (Cucumber, Homeade Pickles (Pueblo Seed Co. label)), Seeds (Cucumber, Lemon Cucumber), Seeds (Cucumber, Sweet Marketmore), Seeds (Cucumber, White Wonder), Seeds (Eggplant, Diamond), Seeds (Eggplant, Ping Tung), Seeds (Fennel, Fino), Seeds (Fennel, Perfection), Seeds (Flowers, Calendula Resina), Seeds (Flowers, Marigold-Crackerjack African), Seeds (Flowers, Poppy-Shirley), Seeds (Flowers, Sunflower-Black Seeded Hungarian), Seeds (Flowers, Zinnia-Mixed Zinnia), Seeds (Grains and Cover Crops), Seeds (Herbs, Cilantro Sunmaster (Pueblo Seed Co. label)), Seeds (Leek, Blue de Solaize), Seeds (Leek, King Richard), Seeds (Lettuce, Bronze Arrowhead), Seeds (Lettuce, Deer's Tongue (Pueblo Seed Co. label)), Seeds (Lettuce, Emerald Fan), Seeds (Lettuce, Jericho (Pueblo Seed Co. label)), Seeds (Lettuce, Nevada (Pueblo Seed Co. label)), Seeds (Lettuce, New Red Fire), Seeds (Lettuce, Plato II), Seeds (Lettuce, Waldman's Dark Green), Seeds (Melon Golden Honey Moon), Seeds (Melon, Ananas), Seeds (Melon, Delicious 51), Seeds (Melon, Huerfano Bliss (Pueblo Seed Co. label)), Seeds (Okra, Khandahar), Seeds (Okra, Red Velvet), Seeds (Onion, Clear Dawn), Seeds (Onion, Rossa di Milano), Seeds (Onion, sweet Spanish Colorado No.6 (Pueblo Seed Co. label)), Seeds (Onion, Valencia), Seeds (Parsley, Italian Flat Leaf), Seeds (Pea, Garbanzo), Seeds (Peas, Speckled Field), Seeds (Pepper, Ancho (Pueblo Seed Co. label)), Seeds (Pepper, Chimayo), Seeds (Pepper-Hot, Early Jalapeno (Pueblo Seed Co. label)), Seeds (Pepper-Hot, Mosco AKA Pueblo Chile (Pueblo Seed Co. label)), Seeds (Pepper-Hot, Pasilla (Pueblo Seed Co. label)), Seeds (Pepper-Sweet, Corno di Toro), Seeds (Pepper-Sweet, Corona (Pueblo Seed Co. label)), Seeds (Pepper-Sweet, King of the North), Seeds (Pepper-Sweet, Sunrise Orange), Seeds (Purple Tomatillo (Pueblo Seed Co. label)), Seeds (Quinoa, Blanca), Seeds (Radish, Black), Seeds (Radish, Watermelon), Seeds (Sorghum, Black Cane), Seeds (Squash, Calabaza Mexicana (Pueblo Seed Co. label)), Seeds (Squash, Cocozelle Zucchini), Seeds (Squash, Costata Romanesco Zucchini (Pueblo Seed Co. label)), Seeds (Squash, Native American Hidatsa), Seeds (Squash, Waltham Butternut (Pueblo Seed Co. label)), Seeds (Squash, Winter Luxury Pumpkin), Seeds (Swiss Wallis Rye), Seeds (Tomato, Afghan Orange (Pueblo Seed Co. label)), Seeds (Tomato, Black Cherry), Seeds (Tomato, Black Plum (Pueblo Seed Co. label)), Seeds (Tomato, Burrell's Special), Seeds (Tomato, Cherokee Purple), Seeds (Tomato, Cosmonaut Volkov), Seeds (Tomato, Crimson Sprinter), Seeds (Tomato, Peacevine Cherry), Seeds (Watermelon, Crimson Sweet), Seeds (Wheat, Austrian Ancient), Seeds (Wheat, Black Einkorn), Seeds (Wheat, Pueblo White (Winter) (Pueblo Seed Co. label)), Seeds (Wheat, Red Fife), Seeds (Wheat, Spelt), Seeds (Zinnia, Purple Prince)</t>
  </si>
  <si>
    <t>Other: Aniseed Powder, Bay leaves, Black Pepper, Ceylon Cinnamon Powder, Ceylon Cinnamon Quills, Chamomile Tea, Chaste Tree Berries, Chia seed, Chilli Red Pepper Flakes, Clove, Coconut Flour, Crushed dried mint, Crushed Dried Sage, Cumin Grain, Cumin Powder, Dried figs, Dried Kiwi, Dried Lavender, Dried Mulberry, Dried Plum, Dried Sage leaves, Dried Strawberries, Dried Thyme, Fennel, Garlic powder, Ginger Powder, Grounded Sumac, Nigella Seeds (black seeds), Onion powder, Oregano, Raw Cacao, Rice flour, Rosemary, Sage Powder, Sun Dried Tomatoes Halves, Sun-dried Apricot, Sweet Red Pepper Powder, Turmeric powder, Whole Aniseed, Whole White Peppercorns, Yellow mustard powder</t>
  </si>
  <si>
    <t>Other: Flowers, Mixed Vegetables, Seeds (Greens, cool weather crops, warm weather crops, onions and roots, herbs, grains, flowers)</t>
  </si>
  <si>
    <t>Seasonings: Spices (Cinnamon (Ground), Turmeric (Ground)), Supplements (Nutritional Yeast, Spirulina); Other Grains, Pastas and Cereals: Cereal (7 Grain Cereal), Grains (Amaranth, Hulless Oats, Spelt (Berries), Wheat (Soft White Berries, Hard Red Berries)), Grains (Barley (Streaker Hulless, Streaker Semi-Pearled, Streaker Flakes, Streaker Berries, Purple Karma Berries, Black Hulless), Buckwheat (Groats), Cornmeal (Blue, Yellow), Emmer Farro, Flint Corn (Whole Grain, Polenta), KAMUT®, Millet (hulled), Oats (Flakes, Groat, Rolled, Hulless, Streaker), Polenta, Popcorn (Dakota Black, Multi Color, White, Yellow), Quinoa (White, Red, Tri-color), Rice (Brown Basmati, White Basmati, Long Grain White, Long Grain Brown, Jasmine Medium Grain White, Short Grain Brown, Sushi, Golden Rose®, Sprouted, Wild), Rye (Cracked, Berries), Spelt, Triticale, Wheat (Soft White, Hard Red Winter, Hard Red Spring, Soft White Berries, Hard Red Winter Berries, hard Red Spring Berries)); Oils &amp; Oleoresins: Oils (Coconut Oil (Virgin, Raw, Refined); Extra Virgin Olive Oil), Oils (Avocado, Canola, Hazelnut (Roasted), Pumpkin Seed, Sesame, Sunflower); Nuts/Seeds: Butter (Nut Butter: Almond Butter, Hazelnut Butter, Tahini (Roasted, Raw); Seed Butter: Sunflower Seed Butter), Butter (Nut Butter: Cashew Butter, Chocolate Hazelnut Butter, Peanut Butter (Crunchy Roasted and Salted, Creamy Roasted and Salted), Pecan Butter (Unsalted, Salted, Maple, Crunchy); Seed Butter: Sunflower Seed Butter), Cream (Coconut Cream, 24%), Nuts (Peanuts (Roasted)), Nuts (Almonds-Roasted Garlic), Nuts (Cashews-Roasted Curry, Roasted Everything Bagel, Roasted Garlic &amp; Herb, Roasted Honey Sriracha, Roasted Sea Salt &amp; Onion, Roasted Cajun, Dark Chocolate Covered Espresso Beans), Nuts (Almonds (Raw), Cashews (Whole)), Nuts (Almonds (Awakened Salted, Awakened Unsalted, Tamari, Dried, Salted, Lightly Roasted &amp; Diced, Roasted, Biodynamic, Toasted, Soaked), Brazil Nuts (Raw, Shelled), Cashews (Large pieced, Roasted &amp; Salted), Hazelnuts (Barcelona, Lewis, Sacajawea, Raw, Roasted, Roasted &amp; Salted), Pecans (Awakened, Halves, Pieces, Roasted, XL Broken Pieces), Macadamia Nuts (Raw, Salted, Whole), Pinenuts, Pistachios (Raw, Roasted, Salted, Kernals, Halves and Pieces, Splits), Walnuts (Awakened, Halves and Pieces)), Seeds (Chia, Flax (Brown, Gold), Hemp (Hulled), Poppy, Pumpkin (Awakened, Hulled, Hulless, Roasted, Simply Salted), Pumpkin Seed Screenings (Pressed), Radish, Sesame, Sunflower Seed), Seeds (Sunflower Seeds, Roasted &amp; Salted); Dry/Baking Goods: Beans (Dry Beans: Adzuki, Black, Cranberry, Flageolet, Garbanzo, Great Northern, Mung, Pinto, Small Red, Yellow Eye; Lentils: Green, Black), Beans (Dry Beans: Kidney, Mung, Mung Dal, Navy, Pink; Lentils: French Green, Red; Peas: Black-Eyed, Green Split, Yellow Split), Butter (Cocoa Butter), Carob Powder, Flours and Meals (Flour: Barley (Streaker), Buckwheat, Corn, Emmer (Whole), Flint Corn, Garbanzo Bean, masa Harina (Yellow, White), Oat, Rice, Rye (Dark Northern, Edison Hard White)), Flours and Meals (Coconut Flour, Durum Flour, Spelt Flour, Wheat Flour, Wheat Flour (White, Unbleached, High Gluten)), Fruit and Vegetable Snacks (Dried Fruit: Apples (Rings), Apricots, Blueberries, Cherries (Bing, Tart), Cranberries, Coconut (Medium Shred, Large Chips, Roasted), Currants, Papaya, Dates (Barhi, Paste, Daglet Noor, Halaway, Pieces, Honey, Medjool, Almond Confection Roll), Figs, Ginger, Gogi Berries, Goldenberries, Mangoes, Nectarines, Peaches, Pears, Persimmons (Fuyu), Pineapple, Prunes, Raisins (Flame, Thompson Seedless), Tomatoes,), Fruit and Vegetable Snacks (Banana Slices, Papaya (Dried)), Palm Shortening; Condiments and Sweeteners: Condiments (Coconut Amino Acids), Sweeteners (Coconut Nectar), Sweeteners (Agave Syrup, Brown Sugar, Cane Sugar Coconut, Palm Sugar Date, Powdered Sugar, Sugar, Honey (Multi-Flora), Maple Syrup, Maple Sugar Crystals, Molasses), Tamari, Vinegar (Apple Cider), Vinegar (Apple Cider, Balsamic, Blackberry, Red Wine, White Wine); Chocolate Goods: Chocolate (Cacao Powder, Cocoa (Butter, Liquor, Powder)), Chocolate (Dark, Milk, White), Chocolate Nibs; Bread/Bakery/Snacks: Confections (Dark Chocolate Covered Almonds, Dark Chocolate Covered Ginger, Dark Chocolate Covered Hazelnuts, Dark Chocolate Covered Raisins, Dark Chocolate Covered Bing Cherries, Chocolate Covered Coffee Beans), Snack Mixes (Awakened Ariel's 'OM Grown, Awakened Nut Trio, Awakened Pumpking Nut and Berry Mix, Dark Chocolate Tropical Blend, Hazel Munch, Hummingbird Cranberries, Oregon Trail Mix, Pacific Coast Blend, Awakened Pecan Munch)</t>
  </si>
  <si>
    <t>Other Grains, Pastas and Cereals: Barley (Hulled Barley, Pearled Barley, Sprouting Barley), Cereal (Apple Cranberry Almond Oatmeal, Banana Walnut Oatmeal, Himalayan Fruit &amp; Nut Oatmeal, Puffed 3 Grain Cereal), Oats (Overnight Oats: Apple &amp; Coconut, Apple Cinnamon, Banana &amp; Coffee, Cinnamon Raisin, Mulberry &amp; Chia, Plain, Pumpkin Spice, Steel Cut Oat Groats, Whole Oat Groats), Pasta (Aged Cheddar Mac N Cheese, White Cheddar Mac N Cheese), Pasta (Organic Aged Cheddar Mac N Cheese), Rice (Cracked Long Grain Brown Rice, Rice Blend, Heat Treated Rice Starch), Wheat (Cracked Hard Red Wheat, Hard Red Wheat, Buckwheat, Kamut, Hard White Wheat, Kibbled Hard White Wheat, Superfood Oatmeal), Wheat (Cracked Spelt, Hard Red Wheat Berries, Spelt Berries); Dry/Baking Goods: Baking Mixes (Chocolate Chip Cookie Mix, Cornbread Mix), Baking Mixes (Hulled Spelt Berries), Flours and Meals (Mountain Country Flour), Flours and Meals (Coconut Flour, Country Mill Flour, Fine Mountain Country Whole Grain Flour, Fine Rice Flour, Hard Red Spring Wheat Flour, Medium Grain Rice Flour, Millet Flour, Mountain Country Whole Grain Flour, Rye Flour, Rye Meal), Flours and Meals (Whole Rye, Whole Triticale), Powders (Heat Treated Organic Rice Starch), Powders (Pea Protein, Pea Starch), Sugar (Coconut Sugar); Other: Process: Tempsure® Heat Treatment</t>
  </si>
  <si>
    <t>Other Grains, Pastas and Cereals: Barley, Beans (Black kidney bean), Beans (Adzuki bean), Beans (Mung bean), Beans (Mung bean dehulled), Beans (Red kidney bean), Beans (White kidney bean), Black soybean, Black soybean (Also called: Black soybean with yellow kernel: Black soybeans with green kernel), Buckwheat kernel, Chickpeas, Corn / Maize, Corn cob, Corn grits, Corn stalk, Cowpea, Cracked corn, Glutinous millet, Green soybeans with green kernels, Hulled millet, Lentil, Oats (Oat kernel), Oats, Pearl barley (Coix), Peas, Quinoa, Rapeseed, Rapeseed cake (Also called: Canola seed cake), Rapeseed meal (Also called: Canola seed meal), Rice (Paddy), Rice, Rice (Rice bran), Rice (Glutinous paddy), Rice (Glutinous rice), Rice (Brown rice), Rice (Black paddy), Rice (Black rice), Sorghum, Sorghum (Sorghum kernel), Soybean, Squashed corn, Wheat (Wheat), Wheat (Black wheat), White sesame; Oils &amp; Oleoresins: Crude Flax oil, Crude Rapeseed oil, Crude Sesame oil, Crude Soybean oil, Crude Sunflower (seed) oil; Nuts/Seeds: Apricot kernels, Black sesame, Hemp seed, Hemp seed hulled, Pine Nuts, Pine Nuts (Pinenut kernels), Seeds (Sunflower seed), Seeds (Perilla seed), Sesame; Fruits/Vegetables: Alfalfa, Berries (Goji berries), Burdock root whole, Chinese date whole, Dried gaba cherry, Garlic pieces, Ginseng red, Ginseng white, Jerusalem artichoke, Kale chopped, Licorice whole, Notoginseng cut, Plums (Plum granule), Potato, Sweet potato, Watermelon; Animal Feed: Blended feed, Flax cake, Flax meal, Flax seed, Sesame cake, Sesame meal, Soybean cake, Soybean meal, Sunflower cake, Sunflower meal; Other: Beans (Pinto bean (Also called: Light red speckled bean)), Millet</t>
  </si>
  <si>
    <t>Other: Rudi's Organic Multigrain with Flax English Muffins, Rudi's Organic Rocky Mountain Sourdough English Muffins, Rudi's Organic White English Muffins, Rudi's Organic Whole Grain Wheat English Muffins</t>
  </si>
  <si>
    <t>Processed  Items: Cereal (Grain defatted, Grain oils, Ricebran defatted, Wheat germ defatted, Wheat germ oil), Ricebran oil, Sunflower protein, Tomato pulp defatted; Preservatives/Extracts/Flavors: Extracts (Amaranth seed extract, Coconut extract, Cumin seed extract, Fenugreek seed extract, Hemp extract, Hop extract, Soy bean extract, Tomato extract); Oils &amp; Oleoresins: Amaranth seeds defatted, Cumin seeds defatted, Elderberry seeds defatted, Fenugreek seeds defatted, Hemp defatted, Hemp protein, Millet seeds defatted, Pumpkin seeds defatted, Rose hip defatted, Saw palmetto defatted, Sea buckthorn defatted, Seeds deffated, Soy bean defatted, Oils (Almond oil, Cashew oil, Elderberry seed oil, Extract-oil mixture, Lupine oil, Millet oil, Pumpkin seed oil, Rose hip oil , Sea buckthorn oil, Seed oils, Sunflower oil); Nuts/Seeds: Nuts (Almonds defatted, Cashew defatted, Cocos defatted), Palm Nuts (Saw palmetto oil); Health Products: Herbs (Hop pellets); Chocolate Goods: Cocoa butter, Cocoa defatted; Other: Algae defatted, Algae extract, Algae extract, Astaxanthin oil, Astaxanthin oil, Lupine defatted</t>
  </si>
  <si>
    <t>Other: Ale (Beestly Honey Golden), Ale (Long Root Pale Ale), Ale (Long Root Wit), Barley Wine (Noggin Floggin), Bitter (Velvet ESB), Brown Ale (Secession Cascadian Dark Ale), Hop Water (Ferocious Hop Water), Lager (Golden Hammer), Pale Ale (Abominable Winter Ale), Pale Ale (Tree Frog), Pale-IPA (Carbon Farmer IPA), Pale-IPA (Earth to Beer West Coast IPA), Pale-IPA (Long Root IPA), Porter (Beestly Porter), Porter-Stout (Motherland Russian Imperial Stout), Porter-Stout (Survival Seven Grain Stout), Red Ale (Galactic Imperial Red Ale), Stout (Chocolate)</t>
  </si>
  <si>
    <t>Other: 5lbs Vacuum Pack Cubed Tofu, 6lbs Vacuum Pack Firm Tofu (O), Beef Flavor Soy Crumble, Beef Flavor Soy Crumble, Bulk Soon Tofu Extra Soft, Bulk Tofu Cutlet, Bulk Tofu Super Firm, Chorizo Flavor Soy Crumble, Extra Firm Cubed Tofu (O), Extra Firm Tofu (O), Firm Tofu (O), Firm Tofu (O) (CA) (Not for Sale in the US), K499, Tempeh, Original (O), K501, Tempeh, 5 Grain (O), K502, Tempeh, Original (O), Medium Firm Tofu (O), Medium Firm Tofu (O) (CA) (Not for Sale in the US), P499, Tempeh, Original (O), Plain Soy Crumble, Pressed Firm Tofu (O), Silken Tofu (O), Silken Tofu (O) (CA) (Not for Sale in the US), Soft Tofu (O), Soy Chorizo, Soy Chorizo without Color, Soy Plain Crumble, Soyrizo, Super Firm Tofu (O), Tofu Cubed Super Firm, Tofu Cutlet, Tofu Cutlet Savory Orange, Tofu Cutlet Teriyaki, Tofu Extra Firm, Tofu Firm, Tofu Grilled Super Firm, Tofu Medium Firm, Tofu Soft, Tofu Super Firm, Tofu Super Firm 8oz, Vacuum Pack Firm Tofu, W499, Tempeh, Original (O), W501, Tempeh, 5 Grain (O), Water Pack Firm Tofu (O)</t>
  </si>
  <si>
    <t>Other: Artichoke seeds, Arugula seed, Basil seed, Bean seed, Boy choy seed, Broccoli seed, Brussels sprouts seed, Cabbage seed, Caoliflower seed, Carrot seed, Celery seed, Chard seed, Chile pepper Seed, Coriander seed, Corn seed, Cucumber seeds, Dill seed, Eggplant Seeds, Flower Seed, Kale seed, Kohlrabi seed, Leek seed, Lettuce seed, Melon Seed, Mizuna seed, Okra seed, Onion seed, Parsley seed, Pea seed, Pepper seed, Plant production and propagation, Pumpkin seed, Radish seed, Red Beet seed, Rumex seed, Seeds of aromatic herbs (Lavender, Oregano), Spinach seed, Tomato Seed, Watermelon seed</t>
  </si>
  <si>
    <t>Processed  Items: 100% Organic Dried Hops; Other Grains, Pastas and Cereals: 100% Organic Buckwheat, 100% Organic Dehulled Einkorn, Oats; Oils &amp; Oleoresins: Oils, Oils, Oils; Nuts/Seeds: 100% Organic Sunflower Seeds; Dry/Baking Goods: Flours and Meals</t>
  </si>
  <si>
    <t>Other Grains, Pastas and Cereals: Barley (Milled Grains or Seeds: Barley Germ), Barley (Milled Grains or Seeds: Barley Screenings), Barley (Milled Grains or Seeds: Barley Flour Siftings), Barley (Whole Grains or Seeds: Barley), Barley (Malted Grains or Seeds: Munich Malt), Barley (Malted Grains or Seeds: Pale Ale Malt), Barley (Malted Grains or Seeds: Barley Malt), Barley (Malted Grains or Seeds: Pale Malt), Barley (Malted Grains or Seeds: Vienna Malt), Barley (Malted Grains or Seeds: Pilsner Malt), Flours and Meals (Milled Grains or Seeds: Buckwheat Screenings), Flours and Meals (Milled Grains or Seeds: Buckwheat Flour Siftings), Flours and Meals (Milled Grains or Seeds: Buckwheat Germ), Flours and Meals (Whole Grains or Seeds: Corn), Flours and Meals (Whole Grains or Seeds: Yellow Dent Corn), Flours and Meals (Whole Grains or Seeds: Milo/Sorghum), Flours and Meals (Flour: Corn Flour), Flours and Meals (Malted Grains or Seeds: Wheat Malt), Flours and Meals (Bran: Milo/Sorghum), Flours and Meals (Meal: Corn Meal), Flours and Meals (Milled Grains or Seeds: Corn &amp; Rye Blend), Flours and Meals (Flour: Pastry Flour), Flours and Meals (Flour: Bread Flour), Flours and Meals (Flour: All Purpose Flour), Flours and Meals (Bran: Wheat), Flours and Meals (Milled Grains or Seeds: Milo Screenings), Flours and Meals (Milled Grains or Seeds: Milo Germ), Flours and Meals (Milled Grains or Seeds: Milo Flour Siftings), Flours and Meals (Milled Grains or Seeds: Corn Screenings), Flours and Meals (Milled Grains or Seeds: Corn Flour Siftings), Flours and Meals (Milled Grains or Seeds: Corn Germ), Flours and Meals (Whole Grains or Seeds: Canola), Flours and Meals (Milled Grains or Seeds: Canola Screenings), Flours and Meals (Flour: Barley Flour), Flours and Meals (Bran: Buckwheat), Flours and Meals (Bran: Corn), Flours and Meals (Flour: Buckwheat Flour), Flours and Meals (Flour: Milo/Sorghum Flour), Flours and Meals (Whole Grains or Seeds: Rye), Flours and Meals (Bran: Barley), Flours and Meals (Milled Grains or Seeds: Rye Screenings), Oats (Whole Grains or Seeds: Oats), Oats (Milled Grains or Seeds: Oat Screenings), Wheat (Milled Grains or Seeds: Wheat Flour Siftings), Wheat (Milled Grains or Seeds: Wheat Screenings), Wheat (Milled Grains or Seeds: Wheat Germ), Wheat (Whole Grains or Seeds: Wheat); Fruits/Vegetables: Dehydrated Foods (Dried: Peas), Dehydrated Foods (Dried: Split Peas), Dehydrated Foods (Dried: Corn); Animal Feed: Barley (Grain: Barley Screenings/Siftings), Livestock Feed (Grain: Canola Screenings/Siftings), Livestock Feed (Grain: Corn Screenings/Siftings), Livestock Feed (Grain: Sorghum Screenings/Siftings), Livestock Feed (Grain: Buckwheat Screenings/Siftings), Livestock Feed (Grain: Pea Screenings/Siftings), Livestock Feed (Grain: Rye Screenings/Siftings), Oats (Grain: Oat Screenings/Siftings), Wheat (Grain: Wheat Screenings/Siftings)</t>
  </si>
  <si>
    <t>Other: Fermented Grain Products, Fermented Grain Products Organic( Fermented Wheat Flour Organic), Organic Fermented Corn Starch, Organic Fermented Wheat Flour, Organic Fermented Wheat Starch</t>
  </si>
  <si>
    <t>Processed  Items: Dehydrated Foods (Schisandra berry whole/tbc, Shiitake mushroom cut/whole), Dehydrated Foods (Burdock root cut/dried, Dandelion cut/dried), Powders (Chlorella powder); Preservatives/Extracts/Flavors: Extracts (Cinnamon extract), Extracts (Barley grass extract, Burdock root extract, Chaga mushroom extract, Chili extract, Dandelion extract, Ginger extract, Ginseng extract, Instant Black tea (Black tea extract), Instant Green tea (Green tea extract), Instant Gunpowder tea (Gunpowder tea extract), Instant Oolong tea (Oolong tea extract), Instant White tea (White tea extract), Licorice extract, Milk thistle extract, Organic Astragalus extract, Organic Butterfly pea flower extract, Organic Red clover extract, Organic Rose hip extract powder, Red ginseng extract, Reishi mushroom (Ganoderma lucidum) extract, Rhodiola rosea extract, Schisandra berry extract, Shiitake mushroom extract, Stevia leaf extract (water extraction), Turmeric root extract); Other Grains, Pastas and Cereals: Cereal (Job's tear), Wheat (Buckwheat); Health Products: Herbs (GLDNT Organic Chrysanthemum dried), Herbs (Black pepper, Ginger cut/dried, Ginkgo leaf, Ginseng cut, Licorice cut/dried, Milk thistle cut/dried, Organic Bamboo leaves cut/tbc, Organic Lavender flower, Red ginseng cut, Rhodiola rosea cut/dried, Star anise (Illicium verum), Stevia leaf cut/dried); Fruits/Vegetables: Powders (Chaga mushroom powder, Cinnamon powder, Organic Astragalus powder, Organic Butterfly pea flower powder, Organic Rose hip powder), Powders (Barley grass powder, Burdock root powder, Chili powder, Dandelion powder, Fennel powder, Ginger powder, Ginseng powder, Licorice powder, Lion's mane mushroom powder, Milk thistle powder, Organic Red clover powder, Red ginseng powder, Reishi mushroom (Ganoderma ucidum) powder, Rhodiola rosea powder, Schisandra berry powder, Shiitake mushroom powder, Stevia leaf powder, Turmeric root powder); Beverage Related Products: Tea (Decaffeinated Black tea, Decaffeinated Green tea, Jasmine tea (Green tea, Black tea, White tea, Oolong tea, Yellow tea)), Tea (Black tea, Dark tea, Genmaicha, Green tea, Gunpowder tea, Oolong tea, Pu Erh tea, Steamed Green tea, Tencha)</t>
  </si>
  <si>
    <t>Other: Repackaging and Labeling of Flours, Fruits, Grains, Legumes, Nuts, and Seeds</t>
  </si>
  <si>
    <t>Processed  Items: Apricots dried, Cumin dehydrated, Cumin Powder, Figs dried, Mushroom dried, plums dried, pomegranate dried; Other Grains, Pastas and Cereals: Rice (Rice Basmati), Rice (Rice basmati brown), Rice (Rice basmati super white), Rice (Rice long grain brown), Rice (Rice long grain white), Wheat (Wheat); Oils &amp; Oleoresins: Almond oil, Apricot kernel oil; Nuts/Seeds: Almonds (Almond ﬂour white), Almonds (Almond kernels), Almonds (Almonds), Cumin seed, Pine nut kernels, Pinenut kernels in shell, Pinenuts, Walnuts (Walnuts); Health Products: Coriander, Cumin, Herbs (Ajwain), Herbs (Alfalfa), Hyssopus oﬃcinalis, Mint; Fruits/Vegetables: Apples, Apricot kernels, Apricots, Cherries, Figs, Grapes black, Grapes green, Mulberries dried, Mulberry, Peaches, Plums, Pomegranate, Red Chilli; Other: Anchusa tinctoria (Alkanut) roots, Carum bulbocastanum, Doiscorea deltoidea, Epehdra procera, Ferula foetida, Glycyrrhiza glabra (Licorice), Juniperus communis, Liquorice, Maize (Corn), Mulberry leaves, Mushrooms, Pistacia integerrima, Podophyllum hexandrum, Polygonum bistorta, Pomegranate ﬂower, Ptychotis ajowan, Russian wild olive (leaves), Russian wild olives (berries), Sea buckthorn, Sea buckthorn leaves, Sea buckthorn pulp, Sea buckthorn seed, Sisymbrium irio, Valerian, Walnut Kernels, Walnut oil</t>
  </si>
  <si>
    <t>Other Grains, Pastas and Cereals: Corn, Roasted Soybeans, Soybeans; Other: Brokering Soybeans, Roasting Soybeans</t>
  </si>
  <si>
    <t>Animal Feed: Blending bagging and delivery of livestock feeds and feed components (Sheep Mineral,
20% Lamb Creep,
18% Lamb Grower,
16% Lamb Grower – no soy,
16% Lamb Grower,
12% Sheep Feed,
34% Sheep Supplement,
Goat Mineral,
Dry Dairy Goat Mineral,
Goat Mineral Pellet,
14% Organic Goat Feed,
16% Organic Goat Feed,
15% Goat Feed No Soy,
13% Kid Grower,
18% Organic Kid Starter,
16% Organic Kid Grower,
24% Doeling Concentrate,
15% Goat Doeling Ration,
14% Goat Gestation Feed
20:10 Dairy Mineral,
16:12 Dairy Mineral,
Dairy Heifer Mineral,
Dry Cow Mineral,
Hi-Phos Mineral,
35% Calf Supplement,
14% Calf Grower,
16% Calf Grower,
16% Calf Grower – no soy,
18% Calf Starter,
33% Dairy Concentrate,
12% Heifer Grower,
Sow-Gilt Premix,
Grow-Finish Swine Premix,
Grow-Finish Hog Concentrate,
21% Early Grower Diet 1,
20% Pig Starter Ration,
18.5% Swine Grower Ration,
18.5% Swine Grower Ration – no soy,
18% Swine Grower Ration – no corn, no soy,
17.5% Swine Grower Ration,
17% Swine Grower Ration – no corn, no soy,
16% Swine Grower Ration,
16% Swine Grower Ration – no corn, no soy,
14% Swine Grower Ration – no corn, no soy,
14% Swine Finisher Ration,
15% Swine Finisher Ration,
12% Sow Maintenance Ration,
17.5% Pasture Pig Ration,
17% Pasture Pig Ration – no soy,
16% Pasture Pig Ration,
16% Pasture Pig Ration – no soy,
14% Pasture Pig Ration,
14% Pasture Pig Ration – no soy,
12% Pasture Pig Ration,
12% Swine Finisher Ration,
14% Swine Lactation Ration,
16% Swine Gestation Ration,
Triple 12 Mineral,
Grazing Mineral,
Hi Mag + A Grazing Mineral,
Finishing Mineral,
15% Beef Calf Creep,
Breeder Mineral,
11% Beef Finisher Mix,
13% Beef Grower Mix,), cleaning bagging and labeling of organic grains for feed (Corn – whole/rolled,
Field Peas,
Wheat,
Whole Barley,
Whole Oats,
Succotash,), Poultry Broiler premix Layer premix Turkey premix Scratch grains Layer concentrate Layer concentrate-no soy 16% Pullet Developer 16% Pullet Developer-no soy 19% PreLay 20% PreLay 16% Layer Ration 17%Layer Ration-non Soy 17% Layer ration 17.5 % Layer Ration 18% Layer Ration 18.5% Layer Ration Broiler Concentrate Broiler Concentrate -no soy 21% Chick Starter 21% Chick Starter-non soy 19% Broiler Grower 19% Broiler Grower-non soy 19% Broiler Grower-no corn , no soy 17% Broiler Finisher 17% Broiler Finisher-non soy 28% Turkey Starter 24% Turkey Starter 22% Turkey Grower 22% Turkey Grower-non soy, no corn 16% Turkey Grower- finisher Turkey Concentrate 14% Duck Layer-no soy 18% Duck Grower 18% Duck Feed 16% No corn No Soy Layer 14% Duck Layer, roasting and extruding soybean/corn (Soybean Meal,
Corn-Soy), Supplements (alfalfa meal, A-D-E Vitamin Premix, Custom Blends, Molasses, Soybean Oil, Flax Oil, Vitamin A 30000, yeast pak); Other: Raw Soybeans, Whole/Rolled/Ground Soybeans, Soybeans, Soybean Meal, Corn-Soy, Worm Food, custom worm food</t>
  </si>
  <si>
    <t>Processed  Items: Importing - Nature's Promise Organic Basmati Rice, Importing - Reganic Organic Basmati Rice, Importing - Reganic Organic Brown Rice with Quinoa, Importing - Reganic Organic Cilantro &amp; Lime Rice, Importing - Reganic Organic Jasmine Rice, Importing - Reganic Organic Whole Grain Brown Rice</t>
  </si>
  <si>
    <t>Other: KH Organic Long Grain Fragrant Rice - Jasmine Broken Rice, Organic Beans and Rice Cakes with Kep Sea Salt, Organic Beans and Rice Cakes, Simply Beans and Rice, Organic Brown Long Grain Rice, Pure Cambodia Jasmine, Organic Brown Rice Cakes, Organic Brown Rice Cakes with Salt, Organic Brown Rice Cakes with Salt and Pepper, Organic Brown Rice Cereal, Organic Cambodian Brown Long Grain Rice, Organic Cambodian Non-Fragrant Brown Cargo Rice, Organic Cambodian Non-Fragrant Rice By-products (Broken Rice, Bran,Husk), Organic Cambodian Non-Fragrant White Broken Rice, Organic Cambodian Non-Fragrant White Cargo Rice, Organic Cambodian Sticky Brown Rice, Organic Cambodian Sticky Rice (Brown, Black, White) and byproducts, Organic Cambodian Sticky White Rice, Organic Parboiled Long Grain White Rice, Organic Phka Rumduol Cambodian Brown Broken Jasmine Rice, Organic Phka Rumduol Cambodian Brown Jasmine Rice, Organic Phka Rumduol Cambodian Rice Byproducts (Broken Rice, Bran, Husk), Organic Phka Rumduol Cambodian Semi-milled Jasmine Rice, Organic Phka Rumduol Cambodian White Jasmine Rice, Organic Semi-Milled Long Grain Rice, Pure Cambodia Jasmine, Organic White Long Grain Rice, Pure Cambodia Jasmine, Organic Wholegrain Rice Cakes with Kep Sea Salt, Organic Wholegrain Rice Cakes with Kep Sea Salt and Kampot Pepper, Organic Wholegrain Rice Cakes, Simply Brown Jasmine rice, Organic Wholegrain Rice Pops, Wholegrain rice pops sweetened with palm sugar</t>
  </si>
  <si>
    <t>Processed  Items: Cereal (Bulgur); Other Grains, Pastas and Cereals: Barley (Barley), Cereal (Corn), Oats (Oat), Wheat (Wheat); Nuts/Seeds: Hazelnut (Hazelnut), Pistachios (Pistachio), Seeds (Flaxseed, Poppy seed ( blue)); Health Products: Herbs (Anise, Black cumin, Paddy Rice, Sunflower seed); Fruits/Vegetables: Apple, Dehydrated Foods (Apricot); Dry/Baking Goods: Flours and Meals (Bread wheat flour, Whole wheat flour); Other: Beans (Kidney Beans, Light speckled kidney bean, Red bean, Soy bean, White bean), Chickpeas, Green lentil, Red lentil, Seeds (Sesame)</t>
  </si>
  <si>
    <t>Other Grains, Pastas and Cereals: Wheat (Wheat); Fiber Textiles: Cotton (Cotton)</t>
  </si>
  <si>
    <t>Other Grains, Pastas and Cereals: India Jammu Flour (1kg, 5kg, 50lb); Other: Elbon Rye Flour (1kg, 5 kg, 50 lb), Organic Functional Flour (1kg, 5kg, 50lb), Organic Rouge de Bordeaux Flour (1kg, 5kg, 50lb), Organic Ryman Rye Flour (1kg, 5kg, 50lb), Organic White Sonora Flour (1kg, 5kg, 50lb), Organic Winter Langin Flour (1kg, 5kg, 50lb), Organic Yecora Rojo Flour (1kg, 5kg, 50lb), Rouge de Bordeaux Berries (2000 lbs), White Sonora Berries (2000 lbs), Yecora Rojo Berries (2000 lbs)</t>
  </si>
  <si>
    <t>Other: Ancient Grain Banana &amp; Coconut Cream Pie Transition Meals, Apple &amp; Ginger, Apple Banana - 2 pack, Apple Berry Blend - 2 pack, Apple Carrot + Ginger, Apple Carrot Mango - 2 Pack, Apple Cinnamon Buckwheat Crumble Baby Blends, Apple Cinnamon Swirl Overnight Oats Smoothies, Apple Mango - 2 Pack, Apple Pear Banana - 2 Pack, Apple Strawberry Banana - 2 Pack, Apple, Butternut Squash, Kale + Quinoa BabyBlends, Apple, Sweet Potato, Red Bell Pepper + Turmeric BabyBlends, Apples &amp; Sweet Potatoes Baby Food, Apples, Bananas, &amp; Strawberries Baby Food, Apples, Pears &amp; Bananas Baby Food, Applesauce - 2 Pack, Avocado Greens Bowl Baby Blends, BABY BOP'S SUPER-DEE-DUPER GREENS SMOOTHIES, Baby Food - Amaranth Banana Raspbery Coconut Ground Flax Carob (LS-3004), Baby Food - Apple (LS-1001), Baby Food - Apple Banana, Baby Food - Apple Banana, Baby Food - Apple Berry Blend, Baby Food - Apple Berry Blend, Baby Food - Apple Berry Blend, Baby Food - Apple Broccoli, Baby Food - Apple Carrot Mango, Baby Food - Apple Carrot Mango, Baby Food - Apple Mango, Baby Food - Apple Mango, Baby Food - Apple Mango, Baby Food - Apple Oats and Cinnamon, Baby Food - Apple Oats and Cinnamon, Baby Food - Apple Oats and Cinnamon, Baby Food - Apple Oats and Cinnamon, Baby Food - Apple Pear Banana, Baby Food - Apple Pear Banana, Baby Food - Apple Pear Banana, Baby Food - Apple Strawberry Banana, Baby Food - Apple Strawberry Banana, Baby Food - Apple Strawberry Banana, Baby Food - Apple Strawberry Banana, Baby Food - Apple Strawberry Banana, Baby Food - Applesauce, Baby Food - Applesauce, Baby Food - Applesauce, Baby Food - Applesauce, Baby Food - Applesauce, Baby Food - Applesauce, Baby Food - Avocado Green Apple Broccoli Spirulina (LS-2006), Baby Food - Banana, Baby Food - Banana, Baby Food - Banana, Baby Food - Banana, Baby Food - Banana, Baby Food - Banana Mango, Baby Food - Beef Pot Roast made with Organic Vegetables &amp; Herbs, Baby Food - Beet Banana Mango (LS-2001), Baby Food - Black Bean Sweet Potato with Avocado Oil &amp; Tomato, Baby Food - Blueberry Spinach, Baby Food - Broccoli Pear, Baby Food - Broccoli Pear (3 pack), Baby Food - Broccoli Pear (6 pack), Baby Food - Broccoli Spinach (LS-2017), Baby Food - Butternut Squash (LS-1006), Baby Food - Butternut Squash White Bean, Baby Food - Carrot Apple Ginger (LS-2002), Baby Food - Carrot Chickpea Ginger (3 pack), Baby Food - Carrot Chickpea Ginger (6 pack), Baby Food - Carrot Chickpea with Ginger, Baby Food - Carrot Mango Coconut Turmeric (LS-2019), Baby Food - Carrot Pumpkin, Baby Food - Carrot Pumpkin (3 pack), Baby Food - Carrot Pumpkin (6 pack), Baby Food - Carrots, Baby Food - Carrots, Baby Food - Carrots, Baby Food - Carrots, Baby Food - Carrots, Baby Food - Cran Apple Pie, Baby Food - Free Range Chicken + Thyme with Parsnip &amp; Beet, Baby Food - Free Range Chicken + Thyme with Parsnip &amp; Beet - 6pk carton, Baby Food - Free Range Chicken with Peas &amp; Carrots, Baby Food - Free Range Chicken with Peas &amp; Carrots - 6pk carton, Baby Food - Free Range Turkey + Rosemary with purple carrots, zucchini and celery, Baby Food - Free Range Turkey Bolognese made with Vegetables &amp; Herbs, Baby Food - Free Range Turkey with Sweet Potato, Pumpkin &amp; Beet, Baby Food - Gingerbread Cookie, Baby Food - Grass Fed Beef + Ginger with Pea, Bell Pepper &amp; Broccoli, Baby Food - Grass Fed Beef + Ginger with Pea, Bell Pepper &amp; Broccoli - 6pk carton, Baby Food - Grass Fed Beef with Kale &amp; Sweet Potato, Baby Food - Grass Fed Beef with Kale &amp; Sweet Potato - 6pk carton, Baby Food - Grass Fed Bison with Kabocha Squash &amp; Spinach, Baby Food - Grass Fed Bison with Kabocha Squash &amp; Spinach - 6pk carton, Baby Food - Kale Carrot Pear (LS-2003), Baby Food - Mango (LS-1002), Baby Food - Mixed Vegetables, Baby Food - Mixed Vegetables, Baby Food - Mixed Vegetables, Baby Food - Mixed Vegetables, Baby Food - Mixed Vegetables, Baby Food - Oatmeal Plum Pear, Baby Food - Orchard Fruit, Baby Food - Pasture Raised Turkey + Rosemary w/Purple Carrots, Zucchini &amp; Celery, Baby Food - Pasture Raised Turkey + Rosemary w/Purple Carrots, Zucchini &amp; Celery - 6pk carton, Baby Food - Pasture Raised Turkey with Sweet Potato, Pumpkin &amp; Beet, Baby Food - Pasture Raised Turkey with Sweet Potato, Pumpkin &amp; Beet - 6pk carton, Baby Food - Pea Basil, Baby Food - Pea Pear Mint (LS-2004), Baby Food - Pea Spinach Pear with Quinoa, Baby Food - Peach Cobbler, Baby Food - Pear, Baby Food - Pear, Baby Food - Pear, Baby Food - Pear, Baby Food - Pear, Baby Food - Pear, Baby Food - Pear (LS-1003), Baby Food - Pear Butternut Squash, Baby Food - Pear Carrot Bluberry, Baby Food - Pear Pea Spinach, Baby Food - Pear Pea Spinach, Baby Food - Peppermint Swirl, Baby Food - Pina Colada, Baby Food - Prunes (LS-1004), Baby Food - Spinach Apple Sweet Potato, Baby Food - Spinach Apple Sweet Potato (3 pack), Baby Food - Spinach Apple Sweet Potato (6 pack), Baby Food - Spinach Mango Banana Hemp (LS-2012), Baby Food - Squash, Baby Food - Squash, Baby Food - Squash, Baby Food - Squash, Baby Food - Squash, Baby Food - Squash, Baby Food - Squash Apple Pear, Baby Food - Sweet Corn &amp; Roasted Bell Pepper Gazpacho, Baby Food - Sweet Potato, Baby Food - Sweet Potato, Baby Food - Sweet Potato, Baby Food - Sweet Potato, Baby Food - Sweet Potato, Baby Food - Sweet Potato, Baby Food - Sweet Potato Apple, Baby Food - Sweet Potato Apple, Baby Food - Sweet Potato Apple, Baby Food - Sweet Potato Apple Corn, Baby Food - Sweet Potato Carrot (LS-2015), Baby Food - Sweet Potato Mango, Baby Food - Sweet Potato Mango (3 pack), Baby Food - Sweet Potato Mango (6 pack), Baby Food - Turkey Bolognese made with Organic Vegetables &amp; Herbs, Baby Food - Turmeric Chicken made with Organic Vegetables &amp; Herbs, Baby Food - White Bean Pumpkin Apple (3 pack), Baby Food - White Bean Pumpkin Apple with Sunflower Seed Butter &amp; Cinnamon, Baby Food - White Bean Pumpkin Apple with Sunflower Seed Butter &amp; Cinnamon (6 pack), Baby Food - Wild Caught Salmon with Butternut Squash &amp; Beet, Baby Food - Wild Caught Salmon with Butternut Squash &amp; Beet - 6pk carton, Baby Food - Zucchini (LS-1007), Banana - 2 Pack, Banana + Pitaya Baby Blends, Banana Baby Blends, Banana Split w/Greek Yogurt Smoothie, Banana, Purple Sweet Potato, Pitaya, Pineapple, Parsnip, Spinach + Coconut Oil BabyBlends, Bananas, Blueberries &amp; Oats Baby Food, Barley Vegetable Minestrone Transition Meals, BARNEY'S TEEEE-RIFFIC PURPLE POWER SMOOTHIES, Beef Carrot Blueberry Coconut Milk, BEEF CHIMICURRI WITH CARROT, PARSLEY, CILANTRO AND GREEN BEANS, BEEF CHIMICURRI WITH CARROT, PARSLEY, CILANTRO AND GREEN BEANS 6-Pack Carton, BEEF KEBAB WITH PARSNIP, SPINACH, CARROT, HERBS &amp; SPICES, BEEF KEBAB WITH PARSNIP, SPINACH, CARROT, HERBS &amp; SPICES 6-Pack Carton, Beef Shawarma Beef made with organic vegetables, carrots &amp; chickpeas, Beet &amp; Carrot with Collagen, Beet Carrot Blueberry - 6 pk carton, Beet Fennel &amp; Kale, Berry Butternut with Collagen, BILLY'S BANANA SUNSHINE SMOOTHIES, Black Bean &amp; Farro Cubano Transition Meals, Blueberry Purple Carrot Overnight Oats Transition Meals, Blueberry Rosemary Tart Baby Blends, Bold Blueberry, Bold Blueberry 10pk Carton, Brain Suppport Baby Blend: Coconut Cauliflower Squash, Broccoli, Pineapple, Banana + Hemp Seed BabyBlends, Butternut Squash &amp; Spinach, Butternut Squash + Blueberry Baby Blends, Butternut Squash Chicken Broth, Butternut Squash Golden Beet Cinnamon Baby Blends, Butternut Squash Thyme - 6 pk carton, Carrot &amp; Pea, Carrot Baby Blends, Carrot Beef Broth, Carrot Beef Rosemary - 6 pk carton, Carrot, Apple, Buckwheat, Pumpkin Seed + Cinnamon Baby Blend, Carrot, Mango, Banana + Chia, Carrot, Spinach &amp; Basil, Carrots, Carrots - 2 Pack, Cauliflower Carrot Smash, Cherry Berry Chia Pudding with Oat Milk Smoothies, Chia Squeeze - Berry Burst Chia Energy, Chia Squeeze - Berry Burst Chia Energy 4 Pack, Chia Squeeze - Blackberry Bliss, Chia Squeeze - Blackberry Bliss 12 Pack, Chia Squeeze - Blackberry Bliss 4 Pack, Chia Squeeze - Blackberry Bliss 8 Pack, Chia Squeeze - Blueberry Acai Prebiotic, Chia Squeeze - Blueberry Acai Prebiotic 4 Pack, Chia Squeeze - Blueberry Acai Prebiotic 8 Pack, Chia Squeeze - Cherry Beet 4 Pack, Chia Squeeze - Cherry Love, Chia Squeeze - Cherry Love 8 Pack, Chia Squeeze - Green Magic, Chia Squeeze - Green Magic 4 Pack, Chia Squeeze - Green Magic 8 Pack, Chia Squeeze - Mango Coconut, Chia Squeeze - Mango Coconut 4 Pack, Chia Squeeze - Mango Coconut 8 Pack, Chia Squeeze - Strawberry Banana, Chia Squeeze - Strawberry Banana 4 Pack, Chia Squeeze - Strawberry Banana 8 Pack, Chia Squeeze - Strawberry Lemonade Prebiotic, Chia Squeeze - Strawberry Lemonade Prebiotic 4 Pack, Chia Squeeze - Strawberry Lemonade Prebiotic 8 Pack, Chia Squeeze - Tangerine Twist Energy, Chia Squeeze - Tangerine Twist Energy 4 Pack, Chia Squeeze - Wild Raspberry, Chia Squeeze - Wild Raspberry 4 Pack, Chia Squeeze - Wild Raspberry 8 Pack, CHICKEN MEXICAN INSPIRED STEW WITH BUTTERNUT AND RED BELL PEPPER, CHICKEN MEXICAN INSPIRED STEW WITH BUTTERNUT AND RED BELL PEPPER 6-Pack Carton, Chicken Pad Thai with made organic vegetables, green beans &amp; sunflower seed butter, CHICKEN TIKKA MASALA WITH CARROT, COCONUT CREAM, GREEN BEANS, HERBS &amp; SPICES, CHICKEN TIKKA MASALA WITH CARROT, COCONUT CREAM, GREEN BEANS, HERBS &amp; SPICES 6-Pack Carton, Chickpea &amp; Red Lentil Curry Transition Meals, Cinnamon Beets &amp; Apples, COCONUT CURRY WITH CHICKEN, SWEET POTATO, RED BELL PEPPER AND COCONUT CREAM, COCONUT CURRY WITH CHICKEN, SWEET POTATO, RED BELL PEPPER AND COCONUT CREAM 6-Pack Carton, Common 10 Pack, Cookies &amp; Cream with Oat Milk &amp; chickpea Smoothies, Corn + Roasted Red Bell Pepper Baby Blends, Curry Vegetable Mango, Curry with Chicken made with organic vegetables, sweet potato &amp; lentils, Golden Apple Pie with golden beet &amp; Oats Smoothies, Golden Beet + Broccoli Baby Blends, Golden Beet Baby Blends, Green Bean Pumpkin - 6 pk carton, Green Bean Pumpkin with Shiitake Mushroom, Green Dream with Chia Smoothies, Guava, Jerk Chicken made with organic vegetables, whole grain rice &amp; mango, Kale + Squash Harvest Bowl Baby Blends, Kale Sweet Potato Apple, Kale Sweet Potato Apple - 6 pk carton, Kale, Apple, Avocado + Chia Baby Blend, Kekoa Foods - 10 pk carton, Kekoa Foods - 5 pk carton, Limited Edition Chocolate Covered Strawberry Smoothies, Limited Edition Holiday Nog Baby Blends, Limited Edition Orange Coconut Creamsicle, Limited Edition Pumpkin Spice Baby Blends, Mango Banana Chia Pudding Baby Blends, Mango Coconut Chia Pudding with Coconut Milk Smoothies, Mango Paprika, Meat &amp; Vegetable 4 Count Multi-Pack Grass Fed Beef and Free Range Chicken, Mediterranean Style Chicken made with organic vegetables, butternut squash &amp; raisins, Mexican Corn &amp; Beans, Mighty Mango, Mighty Mango 10pk Carton, Mixed Vegetables - 2 Pack, Moroccan Squash &amp; Carrots, Paradise Punch, Parsnip, Peach, Peaches &amp; Cream w/Greek Yogurt Smoothie, Peachy Berry Bliss Overnight Oats Smoothies, Pear Butternut Squash - 2 Pack, Pear Pea + Mint, Pear Pea Spinach - 2 Pack, Pear, Beet, Strawberry, Chia + Basil BabyBlends, Pear, Blueberry, Chickpea, Spinach + Rosemary Baby Blend, Pear, Carrot + Kale, Pear, Raspberry, Date, Coconut Cream, Quinoa, Vanilla BabyBlends, Pear, White Bean, Kale, Quinoa, Avocado Oil, Basil Baby Blends, Pears - 2 Pack, Pears &amp; Butternut Squash Baby Food, Pears, Peas &amp; Spinach Baby Food, Peas &amp; Mint, Pediatric Blended Meals Banana and Blue, Pediatric Blended Meals Banana and Blue 12 x 8.45 FL. Oz Carton, Pediatric Blended Meals Mango and Straw, Pediatric Blended Meals Mango and Straw 12 x 8.45 FL. Oz Carton, Pediatric Blended Meals Squash and Carrot, Pediatric Blended Meals Squash and Carrot 12 x 8.45 FL. Oz Carton, Pitaya Coconut Bowl Baby Blends, Pitaya Pineapple Spinach Banana Coconut Oil, Pumpkin &amp; Navy Bean Shawarma, Pumpkin Spice with Collagen, Purple Carrot, Purple Carrot Acai Bowl with Chia Smoothies, Purple Sweet Potato + Pear Baby Blends, Purple Sweet Potato Blueberry Zucchini Baby Blends, Quinoa Raspberry Pudding Baby Blends, Really Raspberry, Really Raspberry 10 pk Carton, Rigby Beef Sweet Potato and Spinach, Rigby Chicken Butternut Squash and Peas, Roast Beef made with organic vegetables, green beans &amp; carrots, Roots, SALMON TERIYAKI WITH SWEET POTATO, PURPLE CARROT &amp; COCONUT AMINOS, SALMON TERIYAKI WITH SWEET POTATO, PURPLE CARROT &amp; COCONUT AMINOS 6-Pack Carton, Savory Squash + Ancient Grains with Chicken Bone Broth, SB &amp; J with Sunflower Seed Butter Smoothies, Shawarma Artichoke &amp; Cauliflower, Smart Pack Variety Baby Purees: Carrot Chickpea, Spinach Apple Sweet Potato, White Bean Pumpkin Apple, Smart Pack Variety Baby Purees: Carrot Pumpkin, Sweet Potato Mango, Pea Spinach Pear, Smart Pack Variety Baby Purees: Sweet Potato Mango, Butternut Squash White Bean, Pea Basil, Smart Pack Variety Baby Purees: Sweet Potato Mango, White Bean Pumpkin Apple, Black Bean Sweet Potato, Squash - 2 Pack, Squash &amp; Kale with Turmeric, Squash Apple Pear - 2 Pack, Squash, Chickpea, Spinach &amp; Chicken, Squashes, Strawberry Banana Japanese Sweet Potato Baby Blends, Strawberry Banana Shake with Coconut Milk Smoothies, Strawberry Basil Gazpacho Baby Blends, Strawberry Rhubarb Baby Blends (Limited Edition), Strawberry, Banana + Murasaki Sweet Potato Baby Blends, Super Strawberry, Super Strawberry 10pk Carton, Sweet Potato, Sweet Potato - 2 pack, Sweet Potato &amp; Parsnip, Sweet Potato &amp; Spinach, Sweet Potato Apple - 2 Pack, Sweet Potato Blueberry Flax Muffin Baby Blends, Sweet Potato Carrot Cake with Flax Seed Smoothies, Sweet Potato Cumin 6pk Carton, Sweet Potato Curry, Sweet Potato Pinto Bean Chicken Broth with Cumin, Sweet Potato Spice with Collagen, Sweet Potato Zucchini Latke, Sweet Potato, Blueberry, Apple + Flax BabyBlends, Sweet Potato, Carrot &amp; Green Bean, Tahini Banana Bread with creamy tahini Smoothies, Triple Berry Parfait w/Greek Yogurt Smoothie, Tropical Bowl Transition Meals, Tropical Greens, Tropical Greens Bowl Baby Blends, Turmeric Sweet Potato Bell Pepper Soup Baby Blends, Tuscan Quinoa + White Bean Soup Baby Blends, Vegetable &amp; Turkey, Veggies + Millet with Chicken Bone Broth, YOGOS Apple Berry Blast with whole milk Greek yogurt, cherry, purple sweet potato + blueberry, YOGOS Peachy Pearadise with whole milk Greek yogurt, pear, apricot + kabocha squash, YOGOS Strawberry Bananza with whole milk Greek yogurt, banana, pumpkin + vanilla bean, YOGOS Tropical Mango Twist with whole milk Greek yogurt, banana, pineapple + golden beet</t>
  </si>
  <si>
    <t>Other: Blueberry Breakfast Biscuit, Blueberry Breakfast Biscuits, Crunchin' Crackers Original, Crunchin' Grahams Honey Sticks, Grain Free Crackers Chile Lime, Grain Free Crackers Sea Salt, Grain Free Crackers Tomato Herb, Letter of the Day Cookies - Oatmeal Cinnamon, Letter of the Day Cookies - Very Vanilla, Pink Himalayan Salt Flaxseed Crackers, Rosemary Flaxseed Crackers, Sunflower Flaxseed Crackers</t>
  </si>
  <si>
    <t>Other: Panela in Blocks or Molded (Piloncillo, Pre-Parted, Round, Square, Fractionated), Panela Powder, Panela, Grained</t>
  </si>
  <si>
    <t>Other: 10 Single Serve Mango Pack, Diced, 10 oz., 63% Single Origin Madagascar Chocolate Bar, Salted Almond, 2.64 Oz, 63% Single Origin Madagascar Chocolate Bar, Sea Salt &amp; Nibs, 2.64 Oz, 70% Ecuador Esmeraldas Chocolate, 1.7 Oz, 70% Nicaragua La Colonia Chocolate with Cacao Nibs &amp; Sea Salt, 1.7 Oz, 73% Single Origin Uganda Chocolate Bar, Crispy Rice, 2.64 Oz, Adaptonic, Strawberry Holy Basil, 12 Fl Oz, Almond Butter Protein Bars, 1.2 Oz (8 Ct), Almond Flour Crackers, Sea Salt, 2.25, Almond Vanilla Bar, 1.8 Oz, Alter Eco Organic Classic Dark Chocolate Truffles, 60 Ct, Alter Eco Organic Grass-Fed Milk Chocolate with Salted Almonds, 2.65 Oz, Alter Eco Organic Medley Chocolate Truffles, 60 Ct, Alter Eco Organic Salted Caramel Christmas Truffles, 10 Ct, Alter Eco Organic Silk Velvet Dark Milk Chocolate Truffles, 60 Ct, Alter Eco, Organic Mint Creme Truffles, 60 Ct, Alter Eco, Organic Salted Caramel Truffles, 60 Ct, Alter Eco, Organic Sea Salt Chocolate Truffles, 60 Ct, Amazing Protein, Glow Unflavored, 12.7 Oz, Amy's, Organic Tomato Basil Pasta Sauce, 25 Oz, Amy's, Tomato Basil Pasta Sauce, 25.5 Oz, Ancient Grain Granola, Original, 12 Oz, Antioxidant Trail Mix, 4 Oz, Apple Sauce Variety Pack - Apple Banana Strawberry and Apple Mango Pineapple Banana, 10ct, Arrowhead Mils, Organic Pearled Barley, 28oz, Artisan Thin Pizza Crust, 12 Oz (2 Ct), Aurora Mills Organic Stone Ground Spelt Flour, 3 Lb, Baby Food Pouch, Just Peaches, 3.5. Oz (6 Ct), Baby Food Pouch, Pea, Kiwi, Pear &amp; Avocado, 3.5. Oz (6 Ct), Baby Food Pouch, Pumpkin, Chickpea, Spinach &amp; Broccoli, 3.5. Oz (6 Ct), Baby Food Pouch, Sweet Potato, Apple, Banana &amp; Carrots, 3.75 Oz (6 Ct), Baby Swiss Block Cheese, 8 Oz, Baked Falafel Bites, Zesty Zucchini, 10 Oz, Banana Bites with Cacao Drizzle, 3oz, Banana Chocolate Chip Energy Bar, 1.7oz, Bare Baked Toasted Coconut Chips, 3.3 Oz, Bare Organics Raw Organic Alfalfa Grass Powder, 8 Oz, Bare Organics Raw Organic Moringa Leaf Powder, 8 Oz, Bare Organics Raw Organic Super Fruit Antioxidant Blend, 4 Oz, BareOrganics Organic Virgin Unrefined Coconut Oil, 15 Oz, Barista Organic Oat Milk, 32 Fl Oz (1 Qt), Barnana Plantain Chips, Pink Himalayan Salt, 4 Oz, Beef Broth Low Sodium, 32 Oz, Beef Jerky, Cracked Pepper, 7oz, Belvoir, Organic Ginger Beer, 8.4oz, Berrytopia Yerba Mate, 16 Fl Oz, Beyond Good Organic Mini Sea Salt and Nibs Chocolate, 1.3 Oz, Black Bean Chili, 14.7 Oz, Black Cherry Lime Organic Sparkling Water, 8 Ct, Blue Corn Taco Kit, 9.4 Oz, Blue Corn Taco Shells, 5.5 Oz, Blueberry Banana Almond Bar, 2 Oz, Bob's Red Mill Gluten Free Organic Creamy Buckwheat Hot Cereal, 18 Oz, Bob's Red Mill Organic 7 Grain Pancake &amp; Waffle Mix, 24 Oz, Bob's Red Mill Organic Cracked Freekeh, 16 Oz, Bob's Red Mill Organic Medium Grind Cornmeal, 24 Oz, Bob's Red Mill, Organic Pumpkin Seeds, 12oz, Broccoli Bites, Sea Salt, 1.4 Oz, Brown Jasmine Rice Heat &amp; Eat, 8oz, Brown Jasmine Rice Pouch, 8 Oz, Brownie Bites, Bombshell Blondie, 10 Oz, Brownie Bites, Classy Chocolate, 10 Oz, Brownie Bites, Rich Raspberry, 10 Oz, Brownie Snaps, Mint Chip, 3.35 Oz, Brownie Snaps, Salted Caramel, 3.35 Oz, Butternut Mountain Farm, Syrup, Amber, 8oz, Cane Sugar, 1.5 Lb, Carbon Neutral Organic 2% Milk, 64 Fl Oz, Carbon Neutral Organic Half &amp; Half, 16 Fl Oz, Carbon Neutral Organic Half and Half, 16 Fl Oz, Carbon Neutral Organic Whole Milk, 64 Fl Oz, Casa Visco, Organic Marinara Sauce, 26oz, Casa Visco, Organic Marinara Sauce, 32oz, Cashew Cinnamon Bar, 1.8 Oz, Castellano, Organic Extra Virgin Olive Oil, 34oz, Cauliflower Bites, Buffalo Ranch, 1.8oz, Cauliflower Bites, Sea Salt, 1.8oz, Cauliflower Bites, White Cheddar, 1.8oz, Celestial Seasonings, Teawell Bags, Honey Lemon, 16ct, Ceremony Coffee Roasters Whole Bean Coffee, Decaf Colombia, 12 Oz, Chai Concentrate, 33.8 Fl Oz, Cheddar Bunnies Baked Snack Crackers, 7.5 Oz, Chewy Chocolate Snack Bar, 1.38 Oz, Chia Bars, Caramel Sea Salt, 15 Ct, Chicken Broth, 8 Oz (4 Ct), Choco Crunch Figgy Pops, 11 Oz, Chocolate Bar, Cashew Butter and Raspberry, 2.1 Oz, Chocolate Bar, Vanilla Crunch, 2.1 Oz, Chocolate Chip Bars, 18 Ct, Chocolate Chip Cookie Dough Bars, 8 Ct, Chocolate Coconut Chips, 2.8 Oz, Chocolate Covered Coconut Milk Caramels with Sea Salt, 4 Oz, Chosen Foods Classic Organic Mayo, 12 Oz, Cilantro Lime Rice Pouch, 8 Oz, Cinnamon Granola, 11.2 Oz, Classic Chicken Bone Broth, 16 Fl Oz, Classic Flatbreads, Olive Oil and Sel Gris, 6 Oz, Coconut Almond, Fit Granola, 12oz, Coconut Cookies, Dark Cacao, 6 Oz, Coconut Cookies, Lemon Ginger, 6 Oz, Colavita, Organic Extra Virgin Olive Oil, 17oz, Cold Brew Latte Pudding, 7 Oz, Cold Brew, Extra Strong, Peppermint, 96 Fl Oz (3 Qt), Collagen Peptides, Unflavored, 10 Oz, Cookie and Brownie Mix, Mint Chocolate, 8 Oz, Cookie and Muffin Mix, Oat Ginger Raisin, 8 Oz, Cookie Mix, Chocolate Chip, 8 Oz, Cottage Cheese, 4% Milkfat, 16 Oz, Cottage Cheese, Low-Fat Classic, 16 Oz, Creamery Organic Grassfed Shelf Stable Whole Milk, Chocolate, 8 Oz (4 Ct), Creamy Tomato Basil Soup, 32 Oz, Crofter's, Organic Spread, Apricot, 10oz, Crofter's, Organic Spread, Four Fruit, 10oz, Crofter's, Organic Spread, Strawberry, 10oz, Crofter's, Organic Spread, Vanilla and Cinnamon Spiced Pumpkin, 10oz, Crunchy Breakfast Biscuits, Cinnamon &amp; Tahini, 5.3 Oz, Crunchy Breakfast Biscuits, Fig &amp; Anise, 5.3 Oz, Crunchy Hazelnut Butter Chocolate Bar, 2.93 Oz, Cucina Pronta Canned Organic Crushed Tomatoes, 28.2 Oz, Cucina Pronta Canned Organic Diced Tomatoes, 28.2 Oz, Cucina Pronta Canned Organic Whole Tomatoes, 28.2 Oz, Curry Roasted Cashews, 8 Oz, Dark Chocolate and Himalayan Pink Salt Popcorn, 6.4 Oz, Dark Chocolate Bar, Hazelnut Butter, 2.1 Oz, Dark Chocolate Bar, Lemon Cookie Crunch, 2.5 Oz, Dark Chocolate Bar, Salty, 2.1 Oz, Dark Chocolate Bar, Sample, Hazelnut Butter, 2.1 Oz, Dark Chocolate Cherry Almond Bars, 4 Ct, Dark Chocolate Cherry and Almond bars, 1.1 Oz, Dark Chocolate Cherry Bar, 2 Oz, Dark Chocolate Covered Dates, Blood Orange, 2 Oz, Dark Chocolate Keto Cereal, 9 Oz, Dark Chocolate Mint Bar, 1.1 Oz, Dark Chocolate Peppermint, Granola Bark, 8oz, Dark Chocolate Pudding, 8 Oz, Dark Chocolate Sunflower Seed Butter, 14 Oz, Date Syrup, 14.1 Oz, Date-Sweetened Chocolate, Mixed Berry, 2.1 Oz, Date-Sweetened Chocolate, Pecan Date, 2.1 Oz, Dave's Killer Bread, Organic Bagel, Plain Awesome, 16.75oz, Debloat Ade, 6 Ct, Deep River Organic Honchos Tortilla Chips, Nacho Cheese, 5 Oz, Deep River Organic Honchos Tortilla Chips, Peach Habanero, 5 Oz, Deep River Organic Honchos Tortilla Chips, Ranch, 5 Oz, DNU Teas Tea, Organic Black Tea, 16.9oz, DNU_Organic Kiwi Green (ct), DNU-Wholesome Sweetener, Organic Cane Sugar, 2lb, Double Chocolate Peanut Butter Cup, 1.3 Oz, Double Cream Classic Chive Cashew Milk Cheese, 6.5 Oz, Dried Lobster Mushrooms, 1 Oz, Dried Pineapple, PiÃ±a Colada, 2.3 Oz, Dunya Harvest Organic Green Lentils, 16 Oz, Dunya Harvest, Organic Basmati Rice, White, 16oz, Dunya Harvest, Organic Basmati Rice, White, 32oz, Dunya Harvest, Organic Jasmine Rice, White, 16oz, Dunya Harvest, Organic Jasmine Rice, White, 32oz, Earth Fare Organic Amber Maple Syrup, 32 Fl Oz, Earth Fare Organic Dark Robust Maple Syrup, 32 Fl Oz, Earth Fare Organic Syrup, Amber, 8oz, Earth Fare, Organic Maple Syrup, Dark Robust Squeeze, 12oz, Earth's Best Organic Butternut Squash Pear Baby Food Puree, 4.2 Oz (6 Ct), Earth's Best Organic Pear Carrot Apricot Baby Food Puree, 4.2 Oz (6 Ct), Earth's Best Organic Vegetable Crackers, 5.3 Oz, Elderflower Lemonade, 8.4 Fl Oz, ElderKids Organic Elderberry Gummies, 60 Ct, Elma Farms, Milas, Organic Caper Non Pareil, 3.5oz, Emmy's Organic Chocolate Covered Vanilla Cookies, 3.5 Oz, Energy Bars, Caramel Macchiato, 12 Ct, Energy Bites, Chai Latte, 1 Oz, Energy+ Immunity Tea, Acerola and Yuzu, 8.28oz, Everything Broccoli Bites, 1.4 Oz, Explore Cuisine Organic Brown Rice Ramen, 8 Oz, Falafel Bites, "Cheddary" Broccoli, 10 Oz, Farm to Table, Organic Pasta Sauce, Garden Vegetable, 24oz, Farm to Table, Organic Pasta Sauce, Garlic and Herb, 24oz, Farm to Table, Organic Pasta Sauce, Marinara, 24oz, Farm to Table, Organic Pasta Sauce, Tomato Basil, 24oz, Feta Cheese Crumbles, 4 Oz, Fiesta Size Blue Corn Tortilla Chips, 22 Oz, Flatbread Bites, Rosemary and Olive Oil, 4 Oz, Flax and Fonio Crackers, Everything, 4.5 Oz, Flax and Fonio Crackers, Garden Vegetable, 4.5 Oz, Flax and Fonio Crackers, Simply Salted, 4.5 Oz, Fresh VeganMozz, 8 Oz, Fried Garlic Chicken Ramen, 2.2 Oz, Frontier, Anise Flavor, 2oz, Frontier, Organic Cinnamon Stick, 1.28oz, Frontier, Organic Green Peppercorn Grinder, 0.92oz, Frosted Buncha Blueberries Toaster Pastriez, 11 Oz (6 Ct), Frosted Toaster Pastry, Chocolate, 6 Ct, Fusilli, 1 Lb, G Organic Drink, Strawberry, 16.9 Oz, G Organic, Mixed Berry, 16.9 Fl Oz, G Organic, Passion Fruit, 16.9 Oz, Gaea Organic Kalamata Olives, 5.6 Oz, Gaea Organic Mixed Olives, 6.2 Oz, Gaea Planet Organic Extra Virgin Olive Oil, 17 Oz, Garden of Eatin' Blue Corn Tortilla Chips, 5.5 Oz, Garden of Eatin' Fiesta Size White Corn Tortilla Chips, 22 Oz, Garden of Eatin' Grain Free Tortilla Chips, Everything Seasoning, 5 Oz, Garden of Eatin' Grain Free Tortilla Chips, Original Citrus &amp; Sea Salt, 5 Oz, Garden of Eatin' Unsalted Blues Tortilla Chips, 10 Oz, Garden of Eatin' White Lime Tortilla Chips, 10 Oz, Garden of Eatin' Wicked Hot Yellow Corn Tortilla Chips, 5.5 Oz, Garden of Eatin' Yellow Corn Tortilla Chips, 5.5 Oz, Garden of Eatin, Blue Tortilla Chips, 8.1oz, Garden of Eatin, White Tortilla Chips, 5.5oz, Ginger Turmeric Chicken Bone Broth, 16 Fl Oz, Gingerbread Dark Chocolate Bar, 2.1 Oz, Gluten Free Organic Old Fashioned Rolled Oats, 32 Oz, Gluten Free Paleo Puffs, No-Cheese Cheesiness, 5 Oz, Gluten-Free Cauliflower Tortilla Chips, 7 Oz, Gluten-Free Cookie Mix, Decadent Dark Chocolate, 9.5 Oz, Gluten-Free Paleo Puffs, Fiery Hot, 5 Oz, Gluten-Free Paleo Puffs, Himalayan Pink Salt, 5 Oz, Gluten-Free Restaurant Tortilla Chips, Sea Salt, 10.1 Oz, Gluten-Free Tortillas, 6 Ct, Gluten-Free Veggie Pasta, Penne, 8 Oz, Gluten-Free Veggie Sticks, Himalayan Pink Salt, 4.5 Oz, Gluten-Free Veggie Sticks, Vegan Ranch, 4.5 Oz, GoGo squeeZ Organic Apple Sauce, 4 Ct, GoGo SqueeZ Organic Fruit and Veggiez Variety Pack (20 Ct), Goji Berries, 8 Oz, Goji Berry TrailMix, 1.8 Oz, Golden Oolong, 16.9 Fl Oz, Good Food For Good, Organic Butter Chicken Sauce, 9.2oz, Good Food For Good, Organic Coconut Curry Sauce, 9.2oz, Good Food For Good, Organic Mild Taco Sauce, 9.2oz, Good Food For Good, Organic Spicy Taco Sauce, 9.2oz, Good Food For Good, Organic Tikka Masala Sauce, 9.2oz, Goodio - Forest Chocolate - 1.7oz, Gorilla Munch Cereal, Corn Puffs, 10 Oz, Graham Crunch Cereal, 9.6 Oz, Grain-Free Classic Brownie Mix, 11.1 Oz, Grain-Free Granola, Dark Chocolate Coconola, 9 Oz, Grain-Free Granola, Original Coconola, 9 Oz, Grain-Free Granola, Super Hemp Coconola, 9 Oz, Grain-Free Sea Salt Veggie Chips, 5 Oz, GrandyOats Organic Crispy Topper Granola, 16oz, GrandyOats Organic Gluten Free Granola, Classic, 16 Oz, GrandyOats Organic Grain Free Coconola, Chocolate Chunk, 9 Oz, GrandyOats Organic Grain Free Coconola, Coffee Crunch, 9 Oz, GrandyOats Organic Grain Free Coconola, Original, 9 Oz, GrandyOats Organic Granola, Coconut with Fruit, 16 Oz, GrandyOats Organic Granola, Maple Mulberry Crunch, 16 Oz, GrandyOats Organic Maple Cranberry Walnuts, 16 Oz, GrandyOats Organic Raw Almonds, 16 Oz, GrandyOats Organic Raw Pecan Pieces, 16 Oz, GrandyOats Organic Raw Walnut Halves, 8 Oz, GrandyOats Organic Roasted Salted Almonds, 8 Oz, GrandyOats Organic Salted Mixed Nuts, 16 Oz, Granny Smith Apple Chips, 3.4 Oz, Granola Minis, Strawberry, 4.25 Oz (5 Ct), Granola Pouches, Banana Nut Crunch, 10 Oz, Granola Pouches, Cinnamon Almond, 10 Oz, Granola, Blueberry Crisp, 10 Oz, Green Goddess Dressing &amp; Marinade, 6 Fl Oz, Happy Kid Organics Apple, Kale &amp; Mango Pouch, 3.17 Oz, Happy Tot Organics Gluten Free Mac &amp; Cheese Bowl With Lentil Pasta &amp; Veggie Sauce, 4.5 Oz, Happy Tot Organics Gluten Free Veggies Straws, Chickpea, Cheddar &amp; Spinach, 0.25 Oz (5 Ct), Happy Tot Organics Gluten Free Veggies Straws, Chickpea, Sweet Potato &amp; Rosemary, 0.25 Oz (5 Ct), Happy Tot Organics Zucchini, Pear, Chickpea &amp; Kale Pouch, 4.22 Oz, Harmony Quinoa, 14.4 Oz, Harvest Black Bean Plant-Based Chili, Health Warrior Caramel Sea Salt Chia Bars, 5 Ct, Health Warrior, Honey Sea Salt Pumpkin Seed Bars, 4ct, Heinz Organic Ketchup, 44 Oz, Heritage Flakes Cereal, 13.25 Oz, Hibuscus Rose Tea, 15 Ct, Imagine, Organic Soup, Potato Leek, 32oz, Imagine, Organic Soup, Super Greens, 32oz, Instant Oatmeal, Organic Variety Pack, 8 Ct, Instant Oatmeal, Original, 14 Oz (8 Ct), Instant Oats, 18 Oz, Italione, Organic Balsamic Vinegar, 17oz, Italione, Organic Extra Virgin Olive Oil, 17oz, Italione, Organic Extra Virgin Olive Oil, 25.5oz, Jack's Quality Organic Butter Beans, 13.7 Oz Tetra Pak Carton, Jasmine Rice, 2 lb., Juice Shots, Immunity Boost Elderberry, 2 Fl Oz, Just About Foods Organic Coconut Flour, 1 Lb, Justin's, Peanut Butter Cup, Dark Chocolate, 1.4oz, Kale Chips, Kool Ranch, 2oz, Kale Chips, Zesty Nacho, 2 Oz, Karine &amp; Jeff, Organic Carrot Puree, 12.3oz, Karine &amp; Jeff, Organic Coconut Milk Soup, 13.2oz, Karine &amp; Jeff, Organic Moroccan Soup, 16.9oz, Karine &amp; Jeff, Organic Zucchini Parsnip Soup, 11.3oz, Kids Cereal, Organic Berry, 9.5 Oz, Kids Cereal, Organic Cinnamon, 9.5 Oz, King Arthur, Organic Whole Wheat Flour, 5lbs, Kitchen &amp; Love RTE Tuna Meal - 4 Bean Medley, Kombucha, Cherry Plum, 15 Fl Oz, Kombucha, Ginger Lemon, 11.2 Fl Oz (4 Ct), Kombucha, Ginger Lemon, 15 Fl Oz, Kombucha, Hibiscus Pulse, 12 Fl Oz, Kombucha, Peach, 15 Fl Oz, Kombucha, Watermelon Bloom, 12 Fl Oz, KOR Shots - Juice Shots - Immune+, 1.7oz, KOR Shots - Juice Shots - Potent-C, 1.7oz, Kurobuta Pork Bratwurst, 12 Oz, La Marca, Organic Extra Virgin Olive Oil, 25.5oz, La Molisana, Organic Pasta, Cavatappi, 16oz, La Molisana, Pasta, Organic Acini Di Pepe, 16oz, Large Eggs, 1/2 Dz, Late July Organic Multigrain Tortilla Chips, Mild Green Mojo, 5.5 Oz, Late July Organic Multigrain Tortilla Chips, Sea Salt, 5.5 Oz, Late July Organic Multigrain Tortilla Chips, Sub Lime, 5.5 Oz, Late July Organic Multigrain Tortilla Chips, Sweet Potato, 5.5 Oz, Late July Organic Sea Salt Popcorn, 4.4 Oz, Late July, Organic BBQ Potato Chips, 5oz, Late July, Organic Potato Chips with Sea Salt, 5oz, Late July, Organic Sea Salt &amp; Vinegar Potato Chips, 5oz, LB's Organic Dijon Mustard, 5.3 Oz, Lemon Flavor Extract, 2 Fl Oz, Lemongrass Green Tea, 16.9 Fl Oz, LesserEvil Organic Sugar Cookie Multi-Pack Popcorn 4.8 oz (8 ct), Live Seltzer, Cucumber Focus, 12 Fl Oz, Live Seltzer, Ginger Energy, 12 Fl Oz, Live Seltzer, Grapefruit Clarity, 12 Fl Oz, Long Grain Brown Rice, 32 Oz (2 Lbs), Love Beets Organic Beet Powder, 16 Oz, Love Crunch Granola Bars, Dark Chocolate Macaroon, 6 Ct, Love Crunch Granola Bars, Dark Chocolate Red Berries, 6 Ct, Low Sodium Butternut Squash Soup, 32 Fl Oz, Low Sodium Garden Tomato Soup, 32 Fl Oz, Low Sodium Lentil Soup, 14.5 Oz, Low Sodium No Chicken Broth, 32 Fl Oz, Luke's Organic Potato Chips, Sea Salt, 1 Oz, Macadamia Chocolate Snack Bars, 6 Ct, Macadamia Coconut Bar, 1.8 Oz, Mango &amp; Orange Gummies, 3.2 Oz, Mango Coconut, Squeeze Vitality Snack, 3.5 Oz, Mango Habanero Kale Chips, 2 Oz, Mango Strips with Cacao Drizzle, 2.8oz, Manitoba Harvest, Hemp Yeah! Bar, Dark Chocolate Cacao, 1.59oz, Mantova Italian, Organic Pasta, Penne Rigate, 16oz, Maple Guild, Organic Original Golden Maple Syrup, 16oz, Maple Hill Creamery Organic Grassfed Shelf Stable Whole Milk, 8 Oz, Maple Hill Creamery Organic Grassfed Shelf Stable Whole Milk, 8 Oz (4 Ct), Maple Syrup, Classic Petite Trio, Maranatha, Organic Peanut Butter, Creamy No Stir with Salt, 16oz, Maranatha, Organic Peanut Butter, Crunchy No Stir with Salt, 16oz, Matcha Powder, 3 Oz, MATI Organic Sparkling Energy Drink, Raspberry Mint, 12 Fl Oz, Medjool Dates, 2 Lb, Mesa Sunrise with Raisins Cereal, 29.1 Oz, Microwavable Quinoa with Sea Salt, 1 Lb, Microwave-Ready Couscous and Quinoa, 8.8 Oz, Microwave-Ready Organic Brown Rice and Lentils, 8.8 Oz, Mild Vinegar Marinated Baby Beets, 6.5 Oz, Milk Chocolate Peanut Butter Cup, 1.3 Oz, Mind + Body Sports Drink, Mango Passionfruit, 16 Fl Oz, Mini Yellow Rounds Tortilla Chips, 7.5 Oz, Miso Broth, 32 Fl Oz, Miso Noodle Bowl 10.75 Oz, Misraises, Organic Roots Olive Oil, 16.91oz, Mixed Berry Granola, No Sugar Added, 10 Oz, Montebello, Organic Extra Virgin Olive Oil, 16.9floz, Montebello, Organic Extra Virgin Olive Oil, 25.4 floz, Moringa Pad Thai Noodles, 8 Oz, Mortal - Prebiotic Sparkling Water - Prickly Pear Watermelon, 12oz, Nacho Tortilla Chips, 7 Oz, NADI, Organic Juice, Wild Rosehip Grape, 10oz, NADI, Organic Juice, Wild Rosehip, 10oz, Napa Valley Heirloom, Organic Pasta Sauce, Garlic &amp; Herb, 24oz, Napa Valley Heirloom, Organic Pasta Sauce, Marinara, 24oz, Napa Valley Heirloom, Organic Pasta Sauce, Tomato &amp; Basil, 24oz, Natural Grocers, Organic Pickles, Bread &amp; Butter, 24oz, Natural Grocers, Organic Pickles, Dill Chips, 24oz, Natural Grocers, Organic Pickles, Dill Spears, 24oz, Natural Grocers, Organic Pickles, Spicy Dill Spears, 24oz, Natural Grocers, Organic Pickles, Whole Dill, 24oz, Natural Grocers, Organic Relish, Sweet, 16oz, Natural Wildflower Honey, 12.35 Oz, Nature's Greatest Foods Organic Hazelnut Spread, 13 Oz, Nature's Greatest Foods Organic Sun-Dried Fruit Medley, 6 Oz, Nature's Greatest Foods Organic White Quinoa, 16 Oz, Nature's Greatest Foods Ready to Eat Brown Rice, 5.29 Oz, Nature's Greatest Foods Ready to Eat White Rice, 5.29 Oz, Nature's Greatest Foods, Organic Coconut Aminos, 8.4oz, Nature's Path, No Sugar Added, Vanilla Almond Butter Granola, 10oz, Neufchatel Cream Cheese, Bars, 8 Oz, nib mor, Organic Snacking Bag, Dark Chocolate Extreme with Cacao Nibs, 3.55oz, Nitro Cold Brew Coffee, Oat Milk Latte, Mocha, 7 Oz, Nitro Cold Brew Latte, Oat Milk Mocha, 10 Fl Oz, North Coast, Organic Apple Sauce Jar, Gravenstein, 24oz, Numi Organic Aged Earl Grey Tea, 18 Teabags, Numi Organic Breakfast Blend Tea, 18 Teabags, Numi Organic Citrus Matcha Stone Ground Green Tea, 1.05 Oz, Numi Organic French Moroccan Mint Tea, 18 Teabags, Numi Organic Golden Tonic Turmeric Tea, 12 Teabags, Numi Organic Gunpowder Green Tea, 18 Teabags, Numi Organic Matcha Green Tea Latte Concentrate, 32 Oz, Numi Organic Turmeric Chai Golden Latte Concentrate, 32 Oz, Numi, Organic Turmeric Cocoa Golden Latte, 2.12oz, Nut Bar, Crunchy Cashew, 1.4 Oz, Nut Bar, Crunchy Pistachio, 1.4 Oz, Nut Butter Bars, Coconut &amp; Almond Butter, 12 Ct, Nut Butter Bars, Maple Almond Butter (5 Ct), Nut Butter Bars, Peanut Butter, 12 Ct, Nut Butter Bites, Banana Chocolate Chip with Peanut Butter, 1.4 oz, Nutiva Organic Manna Coconut Butter, Almond, 6.2 Oz, Nutiva Organic Manna Coconut Butter, Chocolate, 6.2 Oz, Nutiva Organic Virgin Coconut Oil, 14 Oz, Nuttzo Organic Chocolate Power Fuel 7 Nut &amp; Seed Butter 2Go Packs, 0.67 Oz (10 Ct), Nuttzo Organic Power Fuel 7 Nut &amp; Seed Butter 2Go Packs, 0.67 Oz (10 Ct), Oat Milk Chocolate Bar, Holy Fudge, 2.5 Oz, Oat Milk Chocolate Bar, Toffee Time, 2.5 Oz, Oat Milk Cold Brew Latte, 32oz, Oat Milk Cold Brew Latte, Mocha, 32oz, Oat Milk Cold Brew Latte, Vanilla, 32oz, Oat Milk Latte, Earl Grey Tea, 7 Fl Oz, Oat Milk Latte, Nitro Cold Brew, 10 Fl Oz, Oatmeal Cranberry and Almond Bar, 1.1. Oz, Oatmeal Smoothie Pouch, Apple Dreams, 3.2 Oz, Oatmeal Smoothie Pouch, Chocolaty Chocolate, 3.2 Oz, Oatmeal Smoothie Pouch, Strawberry Bananza, 3.2 Oz, Ocho Organic Chocolate Christmas Tree Caramel Mini, 3.88 Oz, Ocho Organic Chocolate Christmas Tree Peanut Butter Mini, 3.88 Oz, Ocho Organic Chocolate, Peppermint Mini, 3.5 Oz, OG Apple - Gala - 100 ct, OG Apricot - Blenheim - Clamshell 9/1 Lb, OG Artichoke - Globe - 24 ct, OG Avocado - Hass - Bagged - 12/7-10ct, OG Avocado - Reed - Jumbo, OG BBQ Blend - 36/3oz, Og Blueberry - Jumbo - 12/9.8oz, OG Carrots - Mystery - Bunch - 24 ct, OG Corn - 12/4ct, OG Eggplant - Graffiti - 32 ct, OG Grapes - Bi-Color - Seedless - 8/2 lb, OG Komatsuna - 10 lb - 24 ct, OG Kumquat - 12/8oz, OG Midnight Tomato - Roma - 8 x 1 lb, OG Mushroom - Mystery Sampler - 12/6oz, OG Nectarine - White - Bagged 12/2 lb, OG Nectarine - Yellow - Bagged 12/2 lb, OG Onion - Red - Large - 40 lb, OG Onion - Sweet - 24/2 lb - Bagged, OG Peach - White - Bagged 12/2 lb, OG Peach - Yellow - Bagged - 12/2 Lb, OG Pepper - Jimmy Nardellos - 10 lb, OG Pepper - Mini Medley - 12/8oz, OG Pluot - Mixed Variety - Bag/Clamshell - 16/1 Lbs, OG Potato - Russet - Jumbo Baker - 30/40 ct, OG Squash - Acorn - Small - 35 lb, 25/30ct, OG Squash - Butternut - Large - 35 lb, 12/14, OG Squash - Butternut - Mini - 35 lb, OG Squash - Butternut - Small - 35 lbs, OG Squash - Delicata - Small - 35 lb, 40/50, OG Squash - Kabocha - Small - 35 lb,18/20, OG Squash - Spaghetti - Small - 35 lb, 18/20, OG Squash - Zucchini - 12/2 ct, OG Tomato - Campari - 10/12 oz, OG Tomato - Purple Crush - 12/2-5ct, OG Wellness Blend - Ginger &amp; Turmeric - 12/12 oz, Olive Oil and Sel Gris Flatbread Bites, 4 Oz, Once Again Nut Butter - Crunchy Peanut Butter - 16oz, Once Again Nut Butter, Creamy Almond Butter, Sweetened and Salted, 16oz, Once Again Nut Butter, Creamy Peanut Butter, Salt Free, 16oz, Once Again Nut Butter, Crunchy Almond Butter, Sweetened and Salted, 16oz, Once Again Nut Butter, Organic Peanut Butter, Smooth (No Stir), 16oz, Organic 1% Low Fat Milk, 32 Fl Oz (1 Qt), Organic 100% Grass-Fed Beef Sirloin Steak, 10 Oz, Organic 17.5% Coconut Milk, 13.5 Fl Oz, Organic 5-Year Aged Cheddar, 6 Oz, Organic 5-Year Aged Cheddar, 6oz, Organic 93% Lean Ground Turkey, 1 Lb, Organic Agave Nectar with Prebiotic Fiber, 23.5 Oz, Organic Aged Cheddar Mac and Cheese, 6 Oz, Organic Alcohol-Free Sparkling Beverage, Hoppy Hibiscus, 12 Fl Oz, Organic All Stars Pasta in Tomato &amp; Cheese Sauce, 15 Oz, Organic Allspice, 2.57 Oz, Organic Almond Extract, 2 Fl Oz, Organic Almond Extract, 4 Fl Oz, Organic Almond Milk Chocolate Bar, 2.5 Oz, Organic Almond Milk Chocolate Bar, Crunchy Cashew, 2.5 Oz, Organic Almond Milk, Black Sesame, 28 Fl Oz, Organic Almond Milk, Original, 32 fl oz., Organic Almond Milk, Unsweetened Original Vanilla Bean, 28 Fl Oz, Organic Almond Milk, Unsweetened Original, 28 Fl Oz, Organic Aloe Vera Drink, Lemon Lime, 16 Fl Oz, Organic Aloe Vera Drink, Mandarin Orange, 16 Fl Oz, Organic Amaranth, 1 Lb, Organic Amber Rich Maple Syrup, 16 Oz (1 Pt), Organic American White Cheese, Sliced, 6 Oz, Organic AMLA (Amalaki) Indian Gooseberry Powder, 8 Oz, Organic Ancient Grains, 8.8 Oz, Organic Antioxidant Rice Blend, 16 Oz, Organic Apple Cider Vinegar &amp; Rice Vinegar Drink Blend, 24 Oz, Organic Apple Cider Vinegar, 16 Fl Oz, Organic Apple Cider Vinegar, 16 Fl Oz, Organic Apple Cider Vinegar, 24 Oz, Organic Apple Cider Vinegar, 32 Fl Oz, Organic Apple Cider, 32 Fl Oz (1 Qt), Organic Apple Cosmic Crisp (ct), Organic Apple Fuji (ct), Organic Apple Gala (2 lb bag), Organic Apple Gala (3 lb bag), Organic Apple Granny Smith (ct), Organic Apple Honeycrisp (2 lb bag), Organic Apple Honeycrisp (ct), Organic Apple Juice, 32 Fl Oz (1 Qt), Organic Apple Juice, 32oz, Organic Apple Pie Tea, 7 Oz, Organic Apple Pink Lady (2 lb bag), Organic Apple Pink Lady (ct), Organic Apple Sauce Pouches, 12 Ct, Organic Apple Sauce with Probiotics, 24 Oz, Organic Apple Sauce, Peach, 4 Ct, Organic Apples Fuji Large (ct), Organic Apples Granny Smith Large (ct), Organic Apricot (1 lb clamshell), Organic Arborio Rice, 2 Lb, Organic Artichoke (ct), Organic Artichoke Baby (ct), Organic Asparagus (ct), Organic Assorted Lollipops, 4.2 Oz, Organic Avocado Hass (5-6 ct bag), Organic Avocado Hass (ct), Organic Bagels, Cinnamon Raisin Remix, 16.75 Oz, Organic Bagels, Epic Everything, 16.75 Oz (5 Ct), Organic Baking Cocoa, 8 Oz, Organic Ball Lollipops, Tropical, 4.4 Oz, Organic Balsamic Vinegar, 16.9 Fl Oz, Organic Balsamic Vinegar, 16.9 Fl Oz, Organic Banana Bitecoins, 5.5 Oz, Organic Banana Nubbins, 8 Oz, Organic Bars, Inca Berry and Almond, 12 Ct, Organic Basil PurÃƒÂ©e, 2.8 Oz, Organic Basmati Rice, 1 Lb, Organic BBQ Sauce, Smoky Maple, 12 Oz, Organic Beef Bone Broth, Grass-Fed, 16 Fl Oz, Organic Beef Broth, 32 Fl Oz, Organic Beef Butcher's Bone Broth, 24 Fl Oz, Organic Beef Hot Dogs, Grass-Fed Uncured, 10 Oz, Organic Beef Ribeye Steak, 100% Grass-Fed, 10 Oz, Organic Beet Chioggia (ct), Organic Beet Gold (bunched), Organic Beet Red (bunched), Organic Bell Pepper Green (ct), Organic Bell Pepper Red (ct), Organic Bell Pepper Suntan (ct), Organic Bell Pepper Yellow (ct), Organic Bernie O's Pasta, Organic Berry Strawberry Frosted Toaster Pastries, 11 Oz, Organic Berry Strawberry Unfrosted Toaster Pastries, 11 Oz, Organic Bionnaise Plant-Based Mayo, 4.8 Oz, Organic Black Bean Sesame Fettuccine Pasta, 8 Oz, Organic Black Beans, 10 Oz, Organic Black Chia Seeds, 12 Oz, Organic Black Lentil Everyday Dal, 10 Oz, Organic Black Quinoa, 16 Oz, Organic Black Refried Beans, 16 Oz, Organic Black Rice Noodles, 7.7 Oz, Organic Black Tea, 16.9 Oz, Organic Black Tea, 30 Teabags, Organic Black Tea, 8 Oz (100 Ct), Organic Black Tea, Sultry Strawberry, 20 Ct, Organic Blackberry (1 half pint), Organic Blastz Fruit and Veggiez Variety Pack, 16 Ct, Organic Blondie Baking Mix - Snickerdoodle, 11.95oz, Organic Blue Agave, 23.5 Oz, Organic Blueberry (1 half pint), Organic Blueberry Bars, 5 Ct, Organic Bodacious Blueberry Vanilla Food Bars, 7.6 Oz (5 Ct), Organic Bok Choy Baby (ct), Organic Bone Broth, Turkey, 24 Fl Oz, Organic Bone Broth, Turmeric Chicken Cup, 10 Fl Oz, Organic Bone-In Chicken Breast, 1 Lb, Organic Bone-In Chicken Thighs, 1 Lb, Organic Boneless Skinless Chicken Breasts, 14 Oz, Organic Borlotti Beans, 13.7 Oz, Organic Brazil Nuts, Raw &amp; Unsalted, 8 Oz, Organic Bread Flour, 2 Lb, Organic Breakfast Biscuits, Almond Butter Cream Filled, 5.3 Oz, Organic Breakfast Biscuits, Double Chocolate, 5.3 Oz, Organic Breakfast Biscuits, Peanut Butter Cream Filled, 5.3 Oz, Organic Breakfast Biscuits, Raspberry Filled, 5.3 Oz (4 Ct), Organic Breakfast Biscuits, Strawberry Filled, 5.3 Oz, Organic Breakfast Biscuits, Strawberry Filled, Sample, 1.32 Oz, Organic Breakfast Blend, 12 Oz, Organic Breakfast Bread, Epic Everything, 18 Oz, Organic Breakfast Sandwich Biscuits, Blueberry, 5.3 Oz (4 Ct), Organic Breakfast Sandwich Biscuits, Hazelnut Cocoa, 5.3 Oz (4 Ct), Organic Broccoli (ct), Organic Broccoli Bites, White Cheddar &amp; Parmesan, 1.4 Oz, Organic Broccoli Florets (8 oz bag), Organic Broccoli Leaves (ct), Organic Broccoli Ninos (ct), Organic Broccoli Sweet Baby (ct), Organic Brown Rice Cakes, Lightly Salted, 8.5 Oz, Organic Brown Rice Pho Noodles, 8 Oz, Organic Brown Rice Stir Fry Noodles, 8oz, Organic Brown Rice Thin Stackers, Lightly Salted, 6 Oz, Organic Brown Rice, 8.8 Oz, Organic Brown Sugar Baked Beans, 10 Oz, Organic Brownie Mix, 15.2 Oz, Organic Brussels Sprouts (16 oz bag), Organic Bucatini, 1 Lb, Organic Bunny Fruit Snacks, Bees, Bugs &amp; Butterflies, 0.8 Oz (5 Ct), Organic Bunny Fruit Snacks, Tropical Treat, 7 Oz, Organic Bunny Graham Smores, 7.5 Oz, Organic Bunny Grahams Chocolate Chip, 7.5 Oz, Organic Bunny Grahams Friends, 7 Oz, Organic Bunny Grahams, Strawberry Shortcake, 12 Oz (12 Ct), Organic Butcher's Bone Broth, Chicken, 24 Fl Oz, Organic Butternut Squash Soup, 32 Fl Oz, Organic Cabbage Green (ct), Organic Cabbage Napa (ct), Organic Cabbage Napa Mini, Organic Cabbage Red (ct), Organic Cabbage Savoy (ct), Organic Cacao Almond Milk Latte, 11 Fl Oz, Organic Cacao Nibs, Unsweetened, 8 Oz, Organic Cacao Powder, 4 Oz, Organic Cacao Powder, 8 Oz, Organic California White Jasmine Rice, 2 Lbs, Organic Candy Cane Pops, 8.7 Oz, Organic Candy Canes, 4.94 Oz, Organic Cane Sugar, 32 Oz (2 Lbs), Organic Canned Beans, Red, 15oz, Organic Canned Black Beans, 15 Oz, Organic Canned Chickpeas, 15 Oz, Organic Canned Red Kidney Beans, 15 Oz, Organic Canned Whole Italian Tomatoes, 14.28 Oz, Organic Canola Oil Spray, 5 Fl Oz, Organic Cantaloupe (ct), Organic Caramel Granola Bars, Chocolate Dipped, 5 Ct, Organic Caramel Pecan Grain-Free Granola, 8 Oz, Organic Carbon Neutral Whole Milk, 64 Fl Oz, Organic Carnitas Slow Cook Sauce, 8 Oz, Organic Carrot (1 lb bag), Organic Carrot (2 lb bag), Organic Carrot (ct), Organic Carrot Baby (1 lb bag), Organic Carrot Nantes (1 bunch), Organic Carrot Rainbow (1 bunch), Organic Carrot Rainbow (1 lb bag), Organic Carrot Sticks, Ranch, 0.6 Oz, Organic Cashew Milk Mozzarella, 8 Oz, Organic Cashewmilk Yogurt, Vanilla Bean, 24 Oz, Organic Cauliflower (ct), Organic Cauliflower Large (ct), Organic Cauliflower White (ct), Organic Celebration Popcorn, Disney Edition, 6.75 Oz, Organic Celery (ct), Organic Celery Heart (ct), Organic Cereal, Mesa Sunrise, 10.6 Oz, Organic Ceylon Cinnamon, 1.4oz, Organic Chai Concentrate, 32 Fl Oz (1 Qt), Organic Chai Tea, 20 Teabags, Organic Chamomile &amp; Mint Herbal Tea, 20 Ct, Organic Chard (ct), Organic Cheddar Bunnies, 7.5 Oz, Organic Cherry (1 lb clamshell), Organic Chewy Bars, Blueberry Vanilla, 6 Oz (5 Ct), Organic Chewy Fruit Bites, Mango + Chili, 1.94 Oz, Organic Chewy Fruit Bites, Mango + Coconut, 1.94 Oz, Organic Chewy Fruit Bites, Pineaple + Passion Fruit, 1.94 Oz, Organic Chewy Granola Bar, Peanut Butter Chocolate Chip, 6 Ct, Organic Chewy Granola Bars, Dark Chocolate Chip, 7.2 Oz (6 Ct), Organic Chia Seeds, 1 Lb, Organic Chia Seeds, 12 Oz, Organic Chicken Bone Broth, 16 Fl Oz, Organic Chicken Bone Broth, Low Sodium, 16 Fl Oz, Organic Chicken Bone Broth, Rosemary Lemon, 16 Fl Oz, Organic Chicken Breast Tenders, 1 Lb, Organic Chicken Breast Tenders, 16 Oz (1 Lb), Organic Chicken Breast, Boneless Skinless, 14 Oz, Organic Chicken Breast, Thick-Cut, Oven Roasted, 6 Oz, Organic Chicken Broth, 32 Fl Oz, Organic Chicken Broth, 32 Fl Oz (1 Qt), Organic Chicken Broth, 32 Oz, Organic Chicken Broth, Low Sodium, 8 Fl Oz (4 Ct), Organic Chicken Drumsticks, 1.25 Lbs, Organic Chicken Noodle Soup, 14 Oz, Organic Chicken Sausage, Apple &amp; Wildflower Honey, 10 Oz, Organic Chicken Sausage, Sriracha Jalapeno, 10 Oz, Organic Chicken Sausage, Sweet Italian, 10 Oz, Organic Chicken Wings, 16 Oz, Organic Chickpea Flour, 1 Lb, Organic Chickpea Puffs, Sriracha Sunshine, 4 Oz, Organic Chickpeas, Tomato, &amp; Onion Everyday Chana, 10 Oz, Organic Chives 1 clamshell (0.5 oz), Organic Choco Chimps Cereal, 10 Oz, Organic Chocolate Almond Crisp Granola, 30 Oz, Organic Chocolate Almond Trail Mix, 16 Oz, Organic Chocolate Banana Brittle, 3.5 Oz, Organic Chocolate Bar Pieces, Almond Cashew &amp; Cranberry Better Bars, 5 Oz, Organic Chocolate Bar Pieces, Cacao Crunch, 4 Oz, Organic Chocolate Bar Pieces, Toffee Almond &amp; Sea Salt, 4 Oz, Organic Chocolate Bar, 55% Coconut Milk, 2.8 Oz, Organic Chocolate Bar, 70% Deliciously Dark, 2.5 Oz, Organic Chocolate Bar, Cacao Crunch, 2.5 Oz, Organic Chocolate Bar, Extreme Dark Chocolate 88%, 2.8 Oz, Organic Chocolate Bar, Raspberry Crunch, 2.5 Oz, Organic Chocolate Bar, Sea Salt and Almond, 2.5 Oz, Organic Chocolate Bar, Toffee Almond &amp; Sea Salt, 2.5 Oz, Organic Chocolate Bark, Sea Salt Almond, 4.2 Oz, Organic Chocolate Bark, Toasted Coconut 4.2 Oz, Organic Chocolate Brownie Bar Crumbles, 7 Oz, Organic Chocolate Cake Mix, 15.2 Oz, Organic Chocolate Chip Cookie Mix , 15.4 Oz, Organic Chocolate Chips, Bittersweet, 10 Oz, Organic Chocolate Chips, No Sugar Added, 7 Oz, Organic Chocolate Covered Almonds, 3.5oz, Organic Chocolate Covered Cashews, 3.5 Oz, Organic Chocolate Covered Cookie Bites, Mint Coconut, 3.5 Oz, Organic Chocolate Covered Cookie Bites, Peanut Butter, 3.5 Oz, Organic Chocolate Covered Hazelnuts, 3.5oz, Organic Chocolate Covered Nuts, 16 Oz, Organic Chocolate Dark Bark with Sea Salt &amp; Almond, 4.2 Oz, Organic Chocolate Fruit &amp; Nut Trail Mix, 14 Oz, Organic Chocolate Fruit &amp; Nut Trail Mix, 14 Oz, Organic Chocolatey Banana Nut Trail Mix, 7 Oz, Organic Chocolatey Banana Nut Trail Mix, 7oz, Organic Chopped Tomatoes, 26.4 Oz, Organic Chunky Peanut Butter, Salted, 16 Oz, Organic Chunky Peanut Butter, Salted, 16 Oz (1 Lb), Organic Chunky Tomato Bisque, 14.5 Oz, Organic Cilantro (ct), Organic Cinnamon Apple Chewy Bars No Added Sugar, 5 Ct, Organic Cinnamon Apple Sauce Pouches,, Organic Cinnamon Crunch Cereal, 9.2 Oz, Organic Cinnamon Raisin Granola, 15.6 Oz, Organic Cinnamon Sticks, 1.13 Oz, Organic Cinnamon Super Loops, 9.5 Oz, Organic Cippolini Onions 1 bag (1.5 lbs), Organic Classic BBQ Sauce, 6 Fl Oz, Organic Classic English Muffins, 13.2 Oz (6 Ct), Organic Classic Granola, 12 Oz, Organic Classic Lemonade, 12oz, Organic Classic Minestrone Soup, 14.5 Oz, Organic Classic Tomato with Basil Soup, 14.5 Oz, Organic Coarse Ground Coffee, 16 Oz, Organic Cocoa Bunnies Cereal, 10 Oz, Organic Cocoa Powder, 8 Oz, Organic Coconut Almond Spread, 11.5 Oz, Organic Coconut Chocolate Spread, 11.5 Oz, Organic Coconut Cream, 13.5 Oz, Organic Coconut Crisps, 3.5 Oz,</t>
  </si>
  <si>
    <t>Other: Amarant (Amaranthus), Amarant (Amaranthus), Camu Camu, Powder, Camu Camu, Powder, Cañihua, Flour, Cañihua, Flour, Cañihua, Grains, Cañihua, Grains, Carob, Carob, Chestnuts, Chestnuts, Chia, Flour, Chia, Flour, Chia, Seeds (Salvia Hispanica), Chia, Seeds (Salvia Hispanica), Cocoa, Cocoa, Cocoa Beans, Enroled In Chocolate, Cocoa Beans, Enroled In Chocolate, Cocoa Butter, Cocoa Butter, Cocoa Powder, Cocoa Powder, Curcuma, Curcuma, Fostail Amaranth Flour, Gelatinazed, Fostail Amaranth Flour, Gelatinazed, Ginger Powder, Ginger Powder, Gingerbread, Gingerbread, Kidney Beans, Kidney Beans, Lucuma, Powder, Dried, Lucuma, Powder, Dried, Maca, Maca, Maize, Maize, Mangos Dried, Mangos Dried, Panela, Panela, Physalis, Physalis, Quinoa, Quinoa, Quinoa Flour, Quinoa Flour, Sacha Inchi (Plukenetia Volubilis) Seeds, Sacha Inchi (Plukenetia Volubilis) Seeds, Yacon Powder, Yacon Powder</t>
  </si>
  <si>
    <t>Processed  Items: Maca powder; Other Grains, Pastas and Cereals: Cereal (Popped Amaranth), Quinoa (Popped Quinoa); Chocolate Goods: Chocolate (Organic Amaranth Crispies - Cocoa /Bites de amaranto orgánico con chocolate, Organic Quinoa Bites - Chocolate &amp; Maca/ Bites de quinua orgánica con chocolate y maca)</t>
  </si>
  <si>
    <t>Other Grains, Pastas and Cereals: black turtle beans, corn, Corn Flour, Corn Grits, corn meal, corn polenta, pinto beans, popcorn, red fife flour, Spelt Berries, spelt flour, spelt hot cereal, Wheat (wheat berries), Wheat (wheat hot cereal); Animal Feed: Livestock Feed (corn), Livestock Feed (spelt), Livestock Feed (Wheat); Other: Labeling Beans, Grain, and Milled Products, Milling Beans, Grain, and other Products, Packaging Beans, Grain, and Milled Products, Processing Beans, Grain, and Milled Products</t>
  </si>
  <si>
    <t>Other Grains, Pastas and Cereals: Rice (Broken rice, Brown rice, Glutionous brown rice, Jasmine Paddy, Kam Glutinous Paddy, Lao organic glutinous rice, Mix Glutinous Paddy, Organic Colour glutinous KAM, Organic non-glutinous riceberry, Organic white Jasmine rice, Riceberry Paddy)</t>
  </si>
  <si>
    <t>Other: Organic &amp; Grain-Free Burrito Tortillas, Organic &amp; Grain-Free Taco Shells, Organic &amp; Grain-Free Tortilla Chips Lemon, Organic &amp; Grain-Free Tortilla Chips Sea Salt, Organic Amazonian Cassava Chips Lemon, Organic Amazonian Plantain Chips Lemon, Organic Amazonian Plantain Squares Lemon, Organic cassava chips lemon, Organic plantain chips lemon, Organic plantain croutons lemon., Organic Amazonian Plantain Chips Sea Salt, Organic Amazonian Plantain Chips Sea Salt, Organic Amazonian Plantain Scoops Sea Salt, Organic Amazonian Plantain Squares Sea Salt, Organic Cassava Chips, Organic Plantain chips, Organic plantain chips Bulk, Organic Plantain croutons.</t>
  </si>
  <si>
    <t>Other: Ezekiel 4:9 - Low Sodium Sprouted Grain Bread, Ezekiel 4:9 - Sprouted 100% Whole Grain Bread, Ezekiel 4:9 - Sprouted Grain Cereal, Low Sodium, Ezekiel 4:9 - Sprouted Whole Grain Cereal, Almond, Ezekiel 4:9 - Sprouted Whole Grain Cereal, Cinnamon Raisin, Ezekiel 4:9 - Sprouted Whole Grain Cereal, Golden Flax, Ezekiel 4:9 - Sprouted Whole Grain Cereal, Original</t>
  </si>
  <si>
    <t>Other: Agave (Raw Dark), Agave (Raw Light), Beans (Black Beans), Beans (Dry Beans Garbanzo), Beans (Kidney Dark Red), Beverage (Almond Milk), Beverage (Coconut Milk), Blackberries, Coconut (Aminos), Coconut (Cream), Coconut (Oil, Expeller Pressed), Dried Fruits (Goji Berries), Eggs (Free Range), Flour (Winter Wheat), Fresh Fruit (Apples, Fuji), Fresh Fruit (Bananas, Green), Fresh Fruit (Lemons), Fresh Fruit (Pineapple), Fresh Produce (Arugula), Fresh Produce (Beets, Red), Fresh Produce (Cabbage, Green), Fresh Produce (Carrot), Fresh Produce (Celery), Fresh Produce (Cucumbers), Fresh Produce (Garlic, Peeled), Fresh Produce (Kale Green), Fresh Produce (Kale Tuscan Black), Fresh Produce (Leeks), Fresh Produce (Lettuce, Romaine), Fresh Produce (Onions, Red), Fresh Produce (Potatoes, Yukon Gold), Fresh Produce (Spinach), Fresh Produce (Tomatoes, Cherry), Fresh Produce (Wheat Grass), Frozen Fruits (Acai Puree Arctic), Frozen Fruits (Acai Smoothie Puree), Frozen Fruits (Bananas Sliced IQF), Frozen Fruits (Blueberries IQF), Frozen Fruits (Jack Fruit), Frozen Fruits (Mango Chunks), Frozen Fruits (Pineapple Chunks, IQF), Hemp Seed, Herbs &amp; Spices (Basil), Herbs &amp; Spices (Chive), Herbs &amp; Spices (Dill), Herbs &amp; Spices (Mint), Herbs &amp; Spices (Tarragon), Honey (Honey Raw Organic), Juice (Apple Cider HPP), Juice (Grapefruit HPP), Juice (Lemon, HPP), Juice (Orange, HPP), Milk (1%), Milk (2%), Milk (Fat Free), Milk (Whole), Nut Butter (Peanut Butter), Oats (Rolled), Olive Oil (Extra Virgin), Olives (Kalamata), Quinoa (Grain Quinoa Mixed Color Organic), Quinoa (Grain Quinoa Red Organic), Quinoa (Grain Quinoa White Organic), Raspberries, Rice (Black Forbidden), Rice (Short Grain Brown), Strawberries, Sugar (Granulated Cane), Sugar (Granulated Dark Brown), Sunflower Oil, Tahini (Tahini Sesame Paste), Tofu (Extra Firm), Tofu (Super Firm), Tomatoes (Processed) (Crushed), Tomatoes (Processed) (Whole Peeled), Tortilla Chips, Vinegar (Apple Cider), Yogurt (Coconut Milk Plain), Yogurt (Dairy Free Plain), Yogurt (Vanilla Whole)</t>
  </si>
  <si>
    <t>Other: ORGANIC GLUTEN FREE BAKING FLOUR, ORGANIC ALL PURPOSE GLUTEN FREE BAKING FLOUR, ORGANIC AND GLUTEN FREE PASTRY FLOUR, ORGANIC AND GLUTEN FREE PIZZA FLOUR, ORGANIC AND GLUTEN FREE
CAULIFLOWER PIZZA FLOUR, ORGANIC ALMOND FLOUR, ORGANIC COCONUT FLOUR, ORGANIC CORN STARCH, ORGANIC POTATO STARCH, ORGANIC RICE FLOUR, ORGANIC CHICKPEA FLOUR, ORGANIC WHITE MILLET FLOUR, ORGANIC GREEN BANANA FLOUR,  ORGANIC GLUTEN FREE OAT FLAKE, ORGANIC PRE COOKED CHICKPEA
FLOUR, ORGANIC CAULIFLOWER FLOUR, ORGANIC GLUTEN FREE OAT FLOUR, ORGANIC AMARANTH FLOUR, ORGANIC WHOLE FLAXSEED, ORGANIC WHOLE CHIA, ORGANIC WHOLE SORGHUM, ORGANIC SESAME SEED, ORGANIC FLAXSEED FLOUR, ORGANIC CHIASEED FLOUR, ORGANIC SORGHUM FLOUR, ORGANIC BUCKWHEAT FLOUR, ORGANIC GREEN LENTIL FLOUR, ORGANIC QUINOA FLOUR, ORGANIC BLACK BEAN FLOUR, ORGANIC PRE COOKED BLACK BEAN FLOUR, ORGANIC PEANUT BUTTER, ORGANIC CASHEW FLOUR, ORGANIC NOPAL FLOUR, ORGANIC BLUE CORN FLOUR, ORGANIC TAPIOCA STARCH, ORGANIC 7 GRAINS BUTTER, ORGANIC ARROWROOT FLOUR</t>
  </si>
  <si>
    <t>Other: Brown Jasmine Rice, Long Grain Brown Rice, Long Grain White Rice, Medium Grain Brown Rice, Medium Grain White Rice, White Jasmine Rice</t>
  </si>
  <si>
    <t>Other Grains, Pastas and Cereals: Barley, Barley Flour, Barley Grass, Buckwheat Grass, Oat Flour, Oat Grass, Oats, Wheat, Wheat Flour; Other: Powders (Alfalfa Grass Powder, Barley Grass Powder, Beetroot Powder, Broccoli Powder, Buckwheat Grass Powder, Cabbage Powder, Carrot Powder, Cauliflower Powder, Celery Powder, Chilli Powder, Chinese Cabbage Powder, Garlic Powder, Ginger Powder, Kale Powder, Leek Powder, Oat Grass Powder, Onion Powder, Potato Powder, Spinach Powder, Wheat Grass Powder, White Radish Powder), Vegetables (Whole, Dehydrated, Sliced, Flaked, Chopped, Granulated or Diced: Alfalfa, Beetroot, Black Soya Bean, Broccoli, Cabbage, Carrot, Cauliflower, Celery, Chilli, Chinese Cabbage, Garlic, Ginger, Kale, Leek, Mungbeans, Onion, Potato, Spinach, White Radish)</t>
  </si>
  <si>
    <t>Other Grains, Pastas and Cereals: Soybean, Wheat; Nuts/Seeds: Pumpkin seed, Sunflower seed; Fruits/Vegetables: Beans (Red kidney bean)</t>
  </si>
  <si>
    <t>Other: Crackers (Ancient Grains Crispbread), Crackers (Buckwheat Crispbread), Crackers (Chestnut Crispbread), Crackers (Quinoa Crispbread), Crackers (Saltines w EVOO), Crackers (Saltines w Rosemary Sesame), Rice Cakes (Thin Cake Corn Salted), Rice Cakes (Thin Cake Multigrain), Rice Cakes (Thin Cake Rice Salted), Rice Cakes (Thin Cake Rice Unsalted)</t>
  </si>
  <si>
    <t>Other: Calf Grain, Close Up, Corn &amp; Barley Mix, Dairy Mix, Grain Screenings, Layer Pellets, Milrun, Poultry Blend, Rolled Barley, Rolled Corn, Rolled Grain Blend, Rolled Oats, Rolled Wheat, Wheat Milrun, Whole Corn, Alfalfa, Almond Hulls, Canola, Grass, Grassy Alfalfa, Rice Bran, Rice Cakes, Rice Hulls, Rice Straw, Safflower Meal, Soybean Meal, Sunflower Seed, Wheat, White Milled Rice, White Quinoa, Triticale, Vetch, Silage, Deniz Organic Dairy Mix</t>
  </si>
  <si>
    <t>Other: Coffee (Roasted) (A.M. Goddess Blend), Coffee (Roasted) (Azorean Cafe Blend), Coffee (Roasted) (BDP), Coffee (Roasted) (Big Apple Organic Breakfast Blend), Coffee (Roasted) (Big Bowl House), Coffee (Roasted) (Big Bowl Organic French), Coffee (Roasted) (Black Cat Espresso), Coffee (Roasted) (Blue Door), Coffee (Roasted) (Bow Tie Dark Roast), Coffee (Roasted) (Bowtie Breakfast Blend), Coffee (Roasted) (Brunch Cafe), Coffee (Roasted) (Chopping Block House), Coffee (Roasted) (Colombia - Tolima), Coffee (Roasted) (Cruz Del Sur Organic Peru), Coffee (Roasted) (Cupcake Counter Blend), Coffee (Roasted) (Decaf El Mago), Coffee (Roasted) (Decaf House), Coffee (Roasted) (El Gallo), Coffee (Roasted) (El Gallo Blend), Coffee (Roasted) (El Gallo Breakfast Blend), Coffee (Roasted) (Ethiopia Benti Nenqa Washed), Coffee (Roasted) (Ethiopia Buku Natural), Coffee (Roasted) (Ethiopia Chelbesa Washed), Coffee (Roasted) (Ethiopia Kirite Washed), Coffee (Roasted) (Ethiopia Metad Alaka Natural Single Origin), Coffee (Roasted) (Ethiopia Metad Alaka Washed), Coffee (Roasted) (Ethiopia Metad Beriti Washed), Coffee (Roasted) (Ethiopia Metad Buku Washed Single Origin), Coffee (Roasted) (Ethiopia Metad Chelbesa Natural), Coffee (Roasted) (Ethiopia Metad Chelbesa Washed), Coffee (Roasted) (Ethiopia Metad Chelchele Washed), Coffee (Roasted) (Ethiopia Washed Buku), Coffee (Roasted) (Flor Azul Limited Release Nicaragua), Coffee (Roasted) (Flor Azul Nicaragua), Coffee (Roasted) (French Roast), Coffee (Roasted) (Glenco Dark Roast Blend), Coffee (Roasted) (Goddess and Grocer Dark Roast), Coffee (Roasted) (Grainger Dark Roast), Coffee (Roasted) (Gralehaus Blend), Coffee (Roasted) (Greecologies Organic Breakfast Blend), Coffee (Roasted) (Illumination Blend), Coffee (Roasted) (Irish Hollow House Blend), Coffee (Roasted) (Jackson Hole Blend), Coffee (Roasted) (Kurimi Ethiopia), Coffee (Roasted) (Lackawanna Coffee Blend), Coffee (Roasted) (Lyfe Kitchen), Coffee (Roasted) (Mexico La Mixteca), Coffee (Roasted) (Mexico La Perla de Oaxaca), Coffee (Roasted) (Milk &amp; Honey Blend), Coffee (Roasted) (Morning Goddess Blend), Coffee (Roasted) (Nicaragua Los Delirios Pacamara), Coffee (Roasted) (Olivia's Organic Blend), Coffee (Roasted) (Peru - El Acerillo), Coffee (Roasted) (Peru Amigos de San Ignacio), Coffee (Roasted) (Peru Cedruyoc), Coffee (Roasted) (Peru Gallito de las Rocas), Coffee (Roasted) (Peru La Conquista), Coffee (Roasted) (Peru La Palestina), Coffee (Roasted) (Peru La Palestina Geisha), Coffee (Roasted) (Peru Marañón River Valley), Coffee (Roasted) (Peru Rayos del Sol), Coffee (Roasted) (Rayos del Sol - Peru Limited Release), Coffee (Roasted) (Red Velvet), Coffee (Roasted) (Santa Teresa), Coffee (Roasted) (Terra Firma), Coffee (Roasted) (The Juice Joint Blend), Coffee (Roasted) (The Warehouse Cafe Blend), Coffee (Roasted) (Tikur Anbessa Ethiopia), Coffee (Roasted) (Tikur Anbessa Ethiopia Single Origin Espresso), Coffee (Roasted) (Wolfbait Blend), Tea (Earl Grey), Tea (Early Spring Green Needles), Tea (Early Spring Snow Sprout), Tea (Early Spring White Peony ), Tea (Emerald Spring), Tea (English Breakfast), Tea (Golden Needles), Tea (Green Needles), Tea (Iced Tea - Classic), Tea (Iced Tea - Ginger Plum), Tea (Iced Tea - King Crimson), Tea (Iced Tea - Lemongrass Mélange ), Tea (Iced Tea - Pure Black ), Tea (Iron Goddess of Mercy), Tea (Jasmine Green), Tea (Jasmine Peach (White)), Tea (Kagoshima Sencha), Tea (Lemongrass), Tea (Masala Chai), Tea (Matcha), Tea (Matcha Genmaicha), Tea (Matcha Travel Sticks), Tea (Moonlight White), Tea (Moroccan Mint), Tea (Ruby Oolong ), Tea (Sencha with Matcha), Tea (Snow Buds), Tea (Snow Sprout), Tea (Spring Nepal), Tea (Turmeric Tonic), Tea (White Peony), Tea (Yunan Purple), Tea (Yunnan Amber), Tea (Yunnan Golden Lily), Tea (Herbal) (Blend 333), Tea (Herbal) (Blue Crane Blend), Tea (Herbal) (Chamomile), Tea (Herbal) (King Crimson), Tea (Herbal) (Peppermint), Tea (Herbal) (Rosehips), Tea (Herbal) (Schizandra Berry)</t>
  </si>
  <si>
    <t>Other: Amaranth Flakes, Amaranth Grains, Amaranth instant powder, Amaranth pop, Amaranth Powder, Black Quinoa Grains, Brazil nut, Cacao Nibs, Cacao Powder, Camu Camu Powder, Canihua Flakes, CAÑIHUA GRAIN, Canihua Powder, Chia Seed, Gelatinized maca powder, Goldenberry dehydrated - dried, Lucuma Powder, Panela, Quinoa Flakes, Quinoa Grains, Quinoa pop, Quinoa Powder, Red Quinoa Grains, Tricolor quinoa, White Quinoa Grains</t>
  </si>
  <si>
    <t>Other: Apples, Avocado, Blackberries, Blueberries, Cantaloupes, Citrus, Corn, Dates, Eggplant, Figs, Green Peppers, Yellow Peppers, Orange Peppers, Red Peppers, Mangoes, Peaches, Pears, Potatoes, Raspberries, Strawberries, Watermelon, Grain, Anise, Fennel, Arugula, Cilantro, Curly Parsley, Italian Parsley, Turmeric, Asparagus, Beets, Bell Peppers, Bok Choy, Broccoli, Broccolini, Brussel Sprouts, Cabbage, Cauliflower, Celery, Chard, Collard Greens, Fennel, Parsley, Gold Beets, Kale, Cabbage, Lettuce Varieties, Chard, Leeks, Onion, Spinach, Spring Mix, Squash, Turnips, Mixed Vegetables, Red Beets, Potatoes</t>
  </si>
  <si>
    <t>Processed  Items: Almond Butter - raw, smooth, Almond Butter - roasted, smooth,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Nutritional Yeast Powder; Preservatives/Extracts/Flavors: Spices, Spices; Other Grains, Pastas and Cereals: Oats, Wheat; Oils &amp; Oleoresins: Oils; Nuts/Seeds: Almonds, Apricot Kernels / Sweet Apricot Kernels / Sweet Apricot Kernels, Austrian Pumpkin Seeds, Brazil Nut, Chia Seeds - black / Go Chia - black chia seeds, Chia Seeds Black, Chia Seeds White, Flax Seeds - Brown, Flax Seeds Brown, Hemp Seed / Go Hemp - hemp seeds, Hemp Seeds Raw Shelled, Nuts, Nuts, Nuts, Nuts, Nuts, Nuts, Nuts, Nuts, Nuts, Nuts, Nuts, Nuts, Nuts, Nuts, Nuts, Nuts, Nuts, Nuts, Nuts, Nuts, Nuts, Nuts, Nuts, Nuts, Nuts, Nuts, Nuts, Nuts, Nuts, Nuts, Nuts, Nuts, Nuts, Nuts, Nuts, Nuts, Nuts, Nuts, Nuts, Nuts, Nuts, Nuts, Nuts, Nuts, Nuts, Nuts, Pumpkin Seeds, Pumpkin Seeds - Austrian / Go Pumpkins - Austrian pumpkin seeds, Pumpkin Seeds - Chinese / Go Pumpkins - pumpkin seeds, Pumpkin Seeds - dry roasted, no salt, Pumpkin Seeds - dry roasted, sea salt / Go Pumpkins - dry roasted pumpkin seeds / Go Roasted Pumpkin Seeds - with sea salt, Pumpkin Seeds, dry roasted, tamari, Sesame Seeds Black, Sprouted Pumpkin Seeds - no salt, Sprouted Pumpkin Seeds with Sea Salt / Go Sprouted Pumpkin Seeds, Sprouted Raw Pumpkin Seeds, Sprouted Raw Pumpkin Seeds Salted, Sprouted Raw Sunflower Seeds, Sprouted Raw Sunflower Seeds Salted, Sprouted Seeds / Go Sprouted Seeds, Sprouted Sunflower Seeds / Go Sprouted Sunflower Seeds, Sunflower Seed - Roasted with Sea Salt / Go Roasted Sunflower Seeds with sea salt, Sunflower Seeds, Sunflower Seeds / Go Sunflower Seeds; Dry/Baking Goods: Flours and Meals, Flours and Meals, Flours and Meals, Flours and Meals, Flours and Meals; Condiments and Sweeteners: Mixed Condiments, Sweeteners; Chocolate Goods: Chocolate, Dark Chocolate, Dark Chocolate, Dark Chocolate, Unsweetened Chocolate, Unsweetened Chocolate; Bread/Bakery/Snacks: Candy,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Beverage Related Products: Coffee</t>
  </si>
  <si>
    <t>Other Grains, Pastas and Cereals: Other Other Grains, Pastas and Cereals - FELICETTI ORGANIC CAVATAPPI, Other Other Grains, Pastas and Cereals - FELICETTI ORGANIC DITALINI, Other Other Grains, Pastas and Cereals - FELICETTI ORGANIC FARFALLE, Other Other Grains, Pastas and Cereals - FELICETTI ORGANIC FUSILLI, Other Other Grains, Pastas and Cereals - FELICETTI ORGANIC LINGUINE, Other Other Grains, Pastas and Cereals - FELICETTI ORGANIC LUMACHE, Other Other Grains, Pastas and Cereals - FELICETTI ORGANIC PENNE RIGATE, Other Other Grains, Pastas and Cereals - FELICETTI ORGANIC RIGATI, Other Other Grains, Pastas and Cereals - FELICETTI ORGANIC SPAGHETTI, Other Other Grains, Pastas and Cereals - FELICETTI ORGANIC SPAGHETTINI, Other Other Grains, Pastas and Cereals - FELICETTI ORGANIC ZITI, Other Other Grains, Pastas and Cereals - LE ASOLANE BIO DITALINI, Other Other Grains, Pastas and Cereals - LE ASOLANE BIO PENNE ELICHE, Other Other Grains, Pastas and Cereals - LE ASOLANE BIO PENNE RIGATE, Other Other Grains, Pastas and Cereals - LE ASOLANE BIO SPAGHETTI, Other Other Grains, Pastas and Cereals - LE ASOLANE BIO TAGLIATELLE, Other Other Grains, Pastas and Cereals - MONOGRANO FARRO DITALINI, Other Other Grains, Pastas and Cereals - MONOGRANO FARRO FUSILLI, Other Other Grains, Pastas and Cereals - MONOGRANO FARRO PENNE RIGATE, Other Other Grains, Pastas and Cereals - MONOGRANO FARRO SPAGHETTI, Other Other Grains, Pastas and Cereals - MONOGRANO KAMUT CHIOCCIOLE, Other Other Grains, Pastas and Cereals - MONOGRANO KAMUT FUSILLI, Other Other Grains, Pastas and Cereals - MONOGRANO KAMUT PENNE RIGATE, Other Other Grains, Pastas and Cereals - MONOGRANO KAMUT SPAGHETTI, Other Other Grains, Pastas and Cereals - MONOGRANO MATT CONCHIGLIONI, Other Other Grains, Pastas and Cereals - MONOGRANO MATT FUSILLONI, Other Other Grains, Pastas and Cereals - MONOGRANO MATT PACHE, Other Other Grains, Pastas and Cereals - MONOGRANO MATT PENNE RITORTE, Other Other Grains, Pastas and Cereals - MONOGRANO MATT SPAGHETTI, Other Other Grains, Pastas and Cereals - MONOGRANO MATT SPAGHETTONI, Other Other Grains, Pastas and Cereals - MONOGRANO MATT TAGLIATELLE ALL'UOVO, Other Other Grains, Pastas and Cereals - ORGANIC FELICETTI CORN AND RICE PENNE RIGATE, Rice (CARNAROLI ORGANIC RICE FOR RISOTTO); Oils &amp; Oleoresins: Oils (EGREGIO ORGANIC EXTRA VIRGIN OLIVE OIL)</t>
  </si>
  <si>
    <t>Other: CHIA FLOUR, Chia grains black/ white, CHIA OIL, Flour sesame, GROUND CHIA, GROUND HEMP, Ground sesame, HEMP FLOUR, HEMP OIL, HEMP SEEDS, Oil sesame, Sterilized black/ white chia grains, STERILIZED GROUND CHIA, Whole sesame sterilized, Whole white sesame</t>
  </si>
  <si>
    <t>Other: Balsamic Vinegar, Brokering (Products listed on certificate/addendum), Chia Seeds, Green Tea, Olive Oil (Extra Virgin), Pinenuts, Quinoa (Tri-Color, White), Rice (Brown) (Long Grain)</t>
  </si>
  <si>
    <t>Processed  Items: Amaranth Powder, Amaranth pre-cooked, Black maca gelatinized powder, Black maca gelatinized premium powder, Black maca powder, Black maca premium powder, Black maca root chips, Black quinoa pre-cooked, Camu Camu Whole Fruit Powder, Cat's claw bark, Cat's claw powder, Dry maca, Dry maca black, Dry maca red, Gelatinized black maca encapsulated, Gelatinized maca mix encapsulated, Gelatinized maca powder premium, Gelatinized red maca encapsulated, Ginger Powder, Ginger slices, Goldenberry dehydrated, Goldenberry powder, Granulated goldenberry, Granulated maca, Granulated maca with goldenberry, Granulated yacon with goldenberry, Guanabana leaves powder, Lucuma Powder, Maca Coffee Powder, Maca flake, Maca Gelatinized Powder, Maca granulated, Maca mix gelatinized organic, Maca mix powder 20:1, Maca mix raw organic, Maca Powder, Maca powder 0.6, Maca powder premium, Maca root chips, Maca Root Instant Roasted Powder Organic, Maca root tea bag cut roasted organic, Mesquite Powder, Mix maca coco, Mix maca yacon, Organic Black Maca Chip, Organic cacao powder, Organic Golden Berry Syrup, Organic Maca Sterilized Powder, Organic natural cacao powder, Organic Premium Maca Chip, Organic Premium Maca Slices, Organic Roasted Maca Chip, Organic Roasted Quinoa Grains, Organic Roasted Sacha Inchi Almonds, Purple corn whole powder, Quinoa Powder, Quinoa powder gelatinized, Quinoa precooked, Quinoa protein powder, Red maca gelatinized powder, Red maca gelatinized premium powder, Red maca powder, Red maca premium powder, Red maca root chips, Red quinoa pre-cooked, Sacha Inchi Powder, Sweet potato powder, Turmeric Powder, Turmeric slices, Yacon root chips, Yacon root powder; Oils &amp; Oleoresins: Organic sacha inchi oil; Nuts/Seeds: Black Quinoa Grains, Chia Seed, Organic Tricolor Quinoa Grains, Quinoa Grains, Red Quinoa Grains, White Quinoa Grains; Fruits/Vegetables: Avocado, Fresh Maca, Ginger Fresh; Condiments and Sweeteners: Coco sugar, Yacon Syrup; Chocolate Goods: Cacao Tea Bag Cut Roasted Organic, Maca flakes covered with chocolate 70% coconut sugar, Mix - Maca Cacao Mesquite, Mix maca cacao (chocomaca), Organic cacao beans, Organic cacao beans raw, Organic cacao butter, Organic cacao mass, Organic cacao nibs, Organic cacao nibs raw, Organic Cacao Shell Crushed, Organic Roasted Cacao Beans, Organic Roasted Cacao Nibs; Other: Amaranth Grains, Canihua Grains, Fresh Goldenberry, Maca Black Root Organic PE, Maca Black Root Organic PE 10:1, Maca Red Root Organic PE, Maca Red Root Organic PE 10:1, Maca Root Organic PE, Maca root organic PE 10:1, Maca root organic PE 20:1, Maca root organic PE 4:1, Maca root organic PE 6:1, Organic Alkalized cocoa powder 10-12% fat content, Organic alkalized cocoa powder 10-12% fat content - A, Organic alkalized cocoa powder 20-22% fat content - A, Organic alkalized cocoa powder 20-22% fat content -A, Organic black alkalized cocoa powder 10-12% fat content, Organic black alkalized cocoa powder 10-12% fat content - A, Organic cocoa bean, Organic cocoa butter, Organic cocoa powder 10-12% fat content, Organic cocoa powder 10-12% fat content - B, Organic cocoa powder 10-12% fat content (A), Organic deodorized cocoa butter, Organic natural cocoa powder 10-12% fat content, Organic natural cocoa powder 20-22% fat content, Organic raw cocoa bean, Organic raw cocoa butter, Organic raw natural cocoa powder 14-16% fat content, Yacon Roots</t>
  </si>
  <si>
    <t>Other Grains, Pastas and Cereals: Rape seeds; Oils &amp; Oleoresins: Oils (High Oleic Sunflower Oil, High oleic sunflower oil refined deodorized winterized, Sunflower Oil, Sunflower oil refined deodorized winterized)</t>
  </si>
  <si>
    <t>Trees/Whole Plant Products/Flowers: Seeds (Organic Chia Seeds); Other Grains, Pastas and Cereals: Quinoa (Organic Tri-Color Quinoa), Quinoa (Organic White Quinoa); Oils &amp; Oleoresins: Oils (Organic Extra Virgin Olive Oil), Oils (Organic Refined Coconut Oil), Oils (Organic Virgin Coconut Oil); Fruits/Vegetables: Organic Dried Apricot, Organic Dried Fig, Organic Sun-dried Tomatoes in Olive Oil; Condiments and Sweeteners: Jam (Organic Apricot Spreadable Fruit), Jam (Organic Fig Spreadable Fruit), Jam (Organic Raspberry Spreadable Fruit), Jam (Organic Sour Cherry Spreadable Fruit), Jam (Organic Strawberry Spreadable Fruit), Jam (Organic Strawberry/Tart Cherry Spreadable Fruit), Organic Non-Pareil Capers; Beverage Related Products: Juice (Organic Beet Juice), Juice (Organic Pomegranate Juice), Juice (Organic Tart Cherry Juice); Other: Organic Coconut Cream, Organic Coconut Milk</t>
  </si>
  <si>
    <t>Other: Beef Gravy, Black Beans, Broth (Beef Bone Broth), Broth (Beef Bone Broth 182834), Broth (Beef Bone Broth No Salt Added), Broth (Chicken Bone Broth), Broth (Chicken Bone Broth Concentrate), Broth (Chicken Bone Broth Mushroom), Broth (Chicken Bone Broth No Salt Added ), Broth (Chicken Bone Broth Original), Broth (Chicken Broth ), Broth (Chicken Tortilla Bone Broth), Broth (Coconut Chicken Bone Broth), Broth (Lemon Pepper Chicken Bone Broth), Broth (Lemon Rosemary Chicken Bone Broth), Broth (Seasoned Chicken Fat), Broth (Shiitake Mushroom), Broth (Slow-Simmered Vegetable), Broth (Spanish Style Sofrito ), Broth (Sweet Corn), Broth (Turkey Bone Broth), Broth (Vegetable), Broth Concentrate (Chicken Bone Broth Concentrate), Broth Concentrate (Chicken Bone Broth, Low Sodium), Chili (Black Bean Chili), Chili (Chunky Chipotle Chili), Chili (Spiced Lentil Chili), Chili (Sweet &amp; Smoky Chili), Garbanzo Beans, Kidney Beans, Misc. Sauce (Green Enchilada Sauce), Misc. Sauce (Red Enchilada Sauce), Mushroom Gravy, Navy Beans, Pinto Beans, Shelf Stable Gravy (Beef Gravy), Shelf Stable Gravy (Mushroom Gravy), Shelf Stable Gravy (Roasted Turkey Gravy), Shelf Stable Gravy (Turkey Gravy), Soup (Broccoli Cheddar Bone Broth Soup), Soup (Broccoli Cheddar Soup), Soup (Butter Chicken Bone Broth), Soup (Butter Curry Soup), Soup (Butternut Squash Bone Broth Soup), Soup (Butternut Squash Soup), Soup (Chicken &amp; Ancient Grains ), Soup (Chicken Bone Broth), Soup (Chicken Mushroom Bone Broth), Soup (Chicken Noodle), Soup (Chicken Noodle Bone Broth Soup), Soup (Chicken Noodle Hearty Bone Broth Soup), Soup (Chili), Soup (Coconut Curry Lime Bone Broth), Soup (Coconut Curry Noodle Soup), Soup (Cream of Chicken), Soup (Cream of Mushroom), Soup (Creamy White Bean Chili), Soup (Engine 2 Firehouse Chili), Soup (Italian Wedding ), Soup (Keto Spicy Cauliflower Bone Broth Soup), Soup (Kitchari Inian Lentil Stew), Soup (Lentil ), Soup (Lentil &amp; Vegetable), Soup (Lentil Vegetable with Kale), Soup (Lower Sodium Black Bean), Soup (Lower Sodium French Lentil), Soup (Lower Sodium Split Pea), Soup (Malaysian Laksa Inspired Noodle Soup), Soup (Minestrone), Soup (Miso Bone Broth Soup), Soup (Miso Noodle Soup), Soup (Mushroom Bisque), Soup (Mushroom Bisque Bone Broth Soup), Soup (Reduced Sodium Classic Chicken Bone Broth), Soup (Southwest Black Bean), Soup (Spicy Cauliflower Soup), Soup (Split Pea &amp; Vegetable Stew), Soup (Supreme Greens), Soup (Sweet Potato Corn Chowder), Soup (Thai Curry Bone Broth Soup), Soup (Three Bean Chili), Soup (Tom Yum Bone Broth Soup), Soup (Tomato Basil), Soup (Tomato Bone Broth Soup), Soup (Tortilla), Soup (Turmeric Ginger Bone Broth), Soup (Vegetable &amp; Quinoa Soup ), Soup Base (Beef Stock), Soup Base (Chicken Stock), Soup Base (Vegetable Stock), Stew (Spicy Cajun Jambalaya), Stew (Thai Carrot Chickpea Stew), Turkey Gravy, Turkey Gravy (Sprout Turkey Gravy)</t>
  </si>
  <si>
    <t>Processed  Items: Cereal (Extruded Quinoa/Quinua extruido, Instand Quinoa Flakes/ Hojuela de quinua instantánea, Organic Andean Mix in grain/ Mix andino (Quinua blanca, roja, negra, cañahua y amaranto), Organic Cañahua Flake/ Hojuela de cañahua, Organic Precooked Cañahua flour, Organic Quinoa Flake/Hojuela de quinua, Organic QuinoavPuffed/Insuflado de quinua, Pre-cooked Amaranth Flour /Harina de amaranto pre-cocido, Pre-cooked cañahua Flour/Harina de cañahua pre-cocida, Pre-cooked Quinoa Flour /Harina de quinua pre-cocida, Pre-cooked Quinoa/Quinua pre-cocida, Puffed cañahua/ Insuflado de cañahua); Other Grains, Pastas and Cereals: Cereal (Amaranth grain /Amaranto en grano, Organic Cañahua in grain/ Cañahua grano), Quinoa (Organic Royal Black Quinoa, Organic Royal Mix Quinoa, Organic Royal Red Quinoa, Organic Royal White Quinoa); Nuts/Seeds: Seeds (Chia seeds); Dry/Baking Goods: Flours and Meals (Organic Cañahua Flour /Harina de cañahua, Organic Quinoa Flour/Harina de quinua)</t>
  </si>
  <si>
    <t>Other: Black chia Flour/ white, Chia oil, Hemp flour, Hemp Grains, Hemp ground, Hemp oil, Sesame grains, White/ black chia ground, White/ Black chia seeds</t>
  </si>
  <si>
    <t>Other: Organic Dehydrated Alfalfa Pellets, Storage and drying of organic grains</t>
  </si>
  <si>
    <t>Other: Bee Pollen, Fruit (Spreadable) (Fruit Compotes), Grains (Cereals and Legumes), Grains (Pearled Farro), Honey, Olive Oil, Olive Oil (Extra Virgin Olive Oil), Pasta, Produce (Products of the horticultural branch), Soups (Cereals and Legumes Soups), Vinegar (Cider Vinegar), Vinegar (Pomegranate Vinegar)</t>
  </si>
  <si>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Basmati Rice, Jaggary Powder, Kodo/Kodon Millet, Lentil, Little Millet, Masoor (Lens Culinaris), Masoor Dal, Masoor Dal-Split With Out Shell, Masur/Masoor Dhuli, Moringa Powder, Non-Basmati Rice, Parboiled Rice (Brown &amp; White), Proso Millet, Ragi/Finger Millets, Red Kidney Beans/Rajma (Phaseolus Vulgaris), Red Rice, Rice Bran, Rice Sonamasuri Brown, Rice Sonamasuri Hand Pound, Rice-Sona Masuri, Sawan/ Barnyard Millet, Sesame, Sesame Seed Black, Sesame Seed Natural, Sesame Seed White, Sesame Seeds Black Meal, Sesame Seeds Natural, Sesame Seeds White Meal,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Traditional Basmati Rice, Yellow Mustard</t>
  </si>
  <si>
    <t>Other: Ajwain, Ajwain Powder, Amaranth / Amaranth Seed / Ramdhana, Amla Powder, Aseptic Alphonso Mango Pulp, Aseptic Dusheri Mango Pulp, Aseptic Kesar Mango Pulp, Aseptic Rajapuri Mango Pulp, Aseptic Totapuri Mango Pulp, Ashwagandha Powder, Ashwagandha Root / Ashwagandha, Bajra Flour / Bajra Atta, Basmati Brown Rice, Basmati Brown Rice Type-3, Basmati White Rice, Basmati White Rice 1121, Basmati White Rice Type-3, Bay Leaf, Bengal Gram Flour, Bengal Gram Split / Chana Dal, Bengal Gram Whole / Kala Chana, Black Cumin, Black Cumin Powder, Black Gram Split Chhilka / Black Gram Split Dehusked, Black Gram Split White / Black Gram Split Dehusked / Urad Dal Washed, Black Mustard Powder / Mustard Black Powder, Black Pepper, Black Pepper Powder, Black Pepper Powder Steam Sterilized, Brown Lentil Whole / Lentil / Masoor, Brown Mustard, Brown Pusa Basmati Rice, Brown Split Lentil Masoor, Brown Sugar / Natural Sugar, Cardamom, Cassia, Celery Powder, Celery Powder Steam Sterilized, Celery Seed / Whole, Chickpea Kabuli Chana / Chhole, Chili Flakes Steam Sterilized, Chilli Crushed, Chilli Flakes, Chilli Powder, Chilli Powder Steam Sterilized, Chilli Whole (Dried), Cinnamon, Clove Powder, Cloves, Coriander Powder, Coriander Powder Steam Sterilised, Coriander Seed / Whole, Coriander Seed / Whole Steam Sterilized, Cumin Powder, Cumin Powder Steam Sterilized, Cumin Seed / Whole, Cumin Seed / Whole Steam Sterilized, Dehydrated Garlic Flakes, Dehydrated Garlic Powder, Dehydrated Ginger Powder, Dill Seed (Aowa), Dill Seed Powder / Dill Powder (Aowa), Fennel Powder, Fennel Powder Steam Sterilized, Fennel Seed / Whole, Fenugreek (Methi) Seed / Whole, Fenugreek Powder (Methi Powder), Fenugreek Powder (Methi Powder) Steam Sterilized, Flaxseed, Foxtail Millet, Garlic, Garlic Powder Steam Sterilized, Ginger Powder Steam Sterilized, Ginger Sliced (Dried), Ginger TBC, Ginger Whole (Dried), Gram Flour / Besan, Green Gram / Chana / Moong (Vigna sp.), Green Gram Split Yellow / Moong Dal-Yellow, Groundnut / Peanut, Groundnut / Peanut Meal, Hasina Sona Masuri Brown Rice, Hasina Sona Masuri White Rice, Hulled Sesame Seed, Jaggery Powder, Kodo Millet, Little Millet, Long Grain Non Basmati 15% Broken Brown Rice, Long Grain Non Basmati 15% Broken White Rice, Long Grain Non Basmati 50% Broken Brown Rice, Long Grain Non Basmati 50% Broken White Rice, Long Grain Non Basmati Brown Rice, Long Grain Non Basmati Parboiled Broken Brown Rice, Long Grain Non Basmati Parboiled Broken White Rice, Long Grain Non Basmati White Rice, Long Grain Parboiled Non Basmati Brown Rice / Parboiled Non Basmati Brown Rice, Long Grain Parboiled Non Basmati White Rice / Parboiled Non Basmati White Rice, Mace, Mace Powder, Maize / Corn Flour, Maize Grain, Medium Grain Non Basmati Brown Rice, Medium Grain Non Basmati White Rice, Medium Grain Parboiled Non Basmati Brown Rice, Medium Grain Parboiled Non Basmati White Rice, Millet Flour, Moong Dal Split Chhilka / Moong Dal Split Dehusked, Moong Dal Whole / Green Gram Whole / Green Gram Whole Moong Sabut, Moringa Powder, Moth Dal, Mustard, Mustard- Black / Black Mustard Seed, Non Basmati 15% Broken Brown Rice, Non Basmati 15% Broken White Rice, Non Basmati Black Rice, Non Basmati Broken Brown Rice / Broken Brown Rice, Non Basmati Broken White Rice / Broken White Rice, Non Basmati Brown Rice, Non Basmati Brown Rice Flour / Brown Rice Flour, Non Basmati Kranti Brown Rice, Non Basmati Kranti White Rice, Non Basmati Parboiled Broken Brown Rice, Non Basmati Parboiled Broken White Rice, Non Basmati White Rice, Non Basmati White Rice Flour, Non-Basmati Paddy, Nutmeg Powder, Nutmeg Whole, Oats (Flakes), Oats (Seed / Grains), Parboiled Brown Rice, Parboiled White Rice, Pigeon Pea / Arhar / Tur, Proso Millet, Psyllium Husk / Isobgul, Psyllium Husk Powder, Psyllium Seed, Pusa Basmati Brown Rice-1121, Pusa Basmati White Rice-1121, Pusa Basmati White Rice-PB-1, Quinoa / Quinoa Bold, Ragi / Finger Millet Grain, Ragi Flour, Rajma Chitra / Chitra Rajma, Rajma Jammu / Jammu Rajma, Red Chilli Flakes, Red Chilli Powder, Red Chilli Whole (Dried), Red Kidney Beans / Rajma (Phaseolus vulgaris) / Rajma, Red Lentil Split / Red Lentil Split Masoor, Red Lentil Whole / Lentil / Masoor, Red Rice, Rice Bran, Rice Sonamasuri Hand Pound, Sawan / Barnyard Millet, Sesame, Sesame Seed Black, Sesame Seed White, Sesame Seeds Black Meal, Sesame Seeds Natural, Sesame Seeds White Meal, Short Grain Non Basmati Brown Rice, Short Grain Non Basmati White Rice, Short Grain Sona Masuri Brown Rice, Short Grain Sona Masuri White Rice, Sona Masuri Brown Rice, Sona Masuri Non Basmati Brown Rice, Sona Masuri Non Basmati White Rice, Sona Masuri Rice, Sona Masuri White Rice, Sorghum / Jowar, Soyabean Meal / Soybean Meal, Soybean, Soybean Cake, Split Pigeon Pea / Toor Dal / Pigeon Pea Split Toor Dal / Arhar Dal, Traditional Basmati Brown Rice / Brown Traditional Basmati Rice, Traditional Basmati Parboiled Brown Rice / Basmati Parboiled Brown Rice, Traditional Basmati Parboiled White Rice / Basmati Parboiled White Rice, Turmeric Dried, Turmeric Ground Steam Sterilized, Turmeric Powder, Turmeric Powder Steam Sterilized, Turmeric TBC, Urad Dal Whole / Black Gram Whole, Wheat Dalia, Wheat Flour / Wheat Atta, Wheat Grain, Wheat Suji, White Pusa Basmati Rice, White Sugar, White Traditional Basmati Rice, Yellow Mustard / Mustard Seed-Yellow, Yellow Mustard Powder / Ground</t>
  </si>
  <si>
    <t>Other: Amla Powder, Arhar Dal (Red Gram/Pigeon Pea), Ashwagandha Powder, Ashwagandha Root, Basmati Rice - White (Pusa - 1121), Basmati Rice - White (Type 3), Basmati Rice-Brown, Basmati Rice-White, Bengal Gram Whole, Bengal Gram(Chana)Flour, Black Gram Split White, Black Gram White Whole, Black Gram/Urd (Vigna sp.), Black Mustard, Black Sesame Seed Meal, Broken Rice, Brown Gram/Gram/Chana (Cicer Arietinum), Brown Mustard, Brown Pusa Basmati Rice, Brown Traditional Basmati Rice, Chana Dal, Chickpea/Kabuli Chana (Garbanzos), Chitra Kidney Beans/Rajma (Phaseolus Vulgaris), Flaxseed, Foxtail Millet, Gram Flour/Besan, Green Gram Split Yellow/Moong Dal-Yellow, Green Gram Whole (Moong Sabut), Green Gram/Chana/Moong (Vigna Sp.), Green Gram/Moong Dhuli, Hulled Sesame Seed, Sesame Hulled, Indian Organic Basmati Rice, Jaggary Powder, Kodo/Kodon Millet, Lentil, Little Millet, Masoor (Lens Culinaris), Masoor Dal, Masoor Dal-Split With Out Shell, Masur/Masoor Dhuli, Moringa Powder, Non-Basmati Rice, Parboiled Rice (Brown &amp;White), Proso Millet, Ragi/Finger Millets, Red Kidney Beans/Rajma (Phaseolus Vulgaris), Red Rice, Rice Bran, Rice Sonamasuri Brown, Rice Sonamasuri Hand Pound, Rice-Sona Masuri, Sawan/ Barnyard Millet, Sesame, Sesame Seed Black, Sesame Seed Natural, Sesame Seed White, Soyabean/Soybean White, Soybean, Soybean/Soybean Meal, Soybean/Soybean Meal (Expeller Variety), Split Green Gram/Moong (Vigna sp.), Sugar, Sugar (Brown/Natural), Urad (Phasleolus Mungo) Black Gram, Urad Black Whole, Urad Dal Split, Urad Dal-Split Without Shell, Wheat, Wheat Flour, Wheat Grain, White Pusa Basmati Rice, White Sesame Seed Meal, White Traditional Basmati Rice, Yellow Mustard</t>
  </si>
  <si>
    <t>Processed  Items: Beans (IQF Bean), Berries (IQF Strawberry), Dehydrated Foods (Dried Mulberry), Dried Tomato, IQF Tomato, Fruit and Vegetable Snacks (IQF Apple, IQF Black Fig, IQF Fig , IQF Grape, IQF Mandarin, IQF Orange, IQF Pear), Stone Fruit (IQF Apricot , IQF Cherry, IQF Sourcherry, Plum (IQF)), Vegetables (IQF Onion); Other Grains, Pastas and Cereals: Oats (Oat), Wheat (Wheat); Oils &amp; Oleoresins: Oils (Sunflower oil); Nuts/Seeds: Seeds (Flaxseed, Poppy seed , Poppy White, Sunflower seed), Walnuts (Chestnut); Health Products: Herbs (Anise, Bay leaf, Caper, Chaste tree berry, Cistus incanus, Coriander, Cumin, Fennel, Licorice root , Linden, Nigella sativa (black cumin), Oregano (Origanum vulgare) , Rosemary , Sage , Sumac, Tarragon, Thyme); Fruits/Vegetables: Apple , Black Fig, Fig , Grapes , Mulberry , Pear , Pomegranate , Quince, Rosehip, Beans (Bean), Berries (Blackberry , Strawberry), Citrus (Mandarine , Orange), Dehydrated Foods (Apricot , Cherry, Dried Apricot , Dried Fig, Plum, Prune (Dried Plum), Raisin, Sour cherry), Vegetables (Beetroot, Broccoli, Carrot - fresh, Cauliflower , IQF Spinach , Onion, Pepper, Pumpkin, Spinach, Tomato); Dry/Baking Goods: Flours and Meals (Rice Flour); Other: Beans (Soybean), Brown Lentils, Chickpeas, Green Lentils, Pea , Red Lentils, Yellow Lentils, Seeds (Sesame)</t>
  </si>
  <si>
    <t>Preservatives/Extracts/Flavors: Concentrates (Apple Juice Concentrate,  Apricot Fruit Purees, Banana (Puree), Carrot Juice Concentrate, Coconut Puree, Pomegranate Juice Concentrate, Sour Cherry Juice Concentrate, Strawberry Fruit Purees,   Strawberry Juice Concentrate); Other Grains, Pastas and Cereals: Barley, Corn, Corn, Wheat; Oils &amp; Oleoresins: Oils (Argan Oil, Black Cumin Oil, Chia Oil,  Clove Leaf Oil, Coconut Oil, Sesame Oil); Nuts/Seeds: Brazil Nut, Cashew Nuts, Hazelnut (Blanched Diced Hazelnut, Blanched Hazelnut Kernels,  Blanched Sliced Hazelnut, Hazelnut Diced Kernel, Hazelnut in Shell, Hazelnut Kernel, Hazelnut Roasted Kernel, Hazelnut With Shell, Natural Chopped Hazelnut, Natural Sliced Hazelnut, Roasted Diced Hazelnut (Minced Hazelnut), Roasted Hazelnut Kernels, Roasted Salted Hazelnut Kernels, Roasted Salted Inshell Hazelnut, Roasted Sliced Hazelnut), Hazelnut (Raw (Natural) Hazelnut Kernels), Walnuts; Other: Almonds (Almonds (Whole, Diced, Powder, Blanched, Paste)), Anise (Dried), Banana (Flakes), Barley grass, Black Cumin, Blue Poppy Seed,  Brown Lentil,  Chamomile,   Cinnamon, Cistus, Cocoa, Cocoa (Nibs, Beans), Coconut flakes, Coconut water, Cube Diced Dates, Cube Diced Dried Apricots, Cube Diced Dried Figs, Cube Diced Raisins, Cumin, Date paste, Dates Chopped, Dates, Dried Apricot Paste,  Dried Fig Paste,  Dried Mango, Dried pomegranates (whole, chopped), Dried Sour Cherry, Elderberries, Fennel, Fenugrek, Grapes, Hazelnut Paste &amp; Puree, Hazelnut Puree (Hazelnut Paste),  Hazelnuts Granulated, (Hazelnut Powder/Meal), IQF Broccoli, IQF Cabbage, IQF Capia Pepper (Green, Red), IQF Cauliflower ,IQF Cherry, IQF Fig, IQF Onion, IQF Pomegranate, IQF Potato, IQF Spinach, IQF Strawberry, Laurel, Lavander, Licorice, Linden Flowers, Maca, Marjoram, Marshmallow, Melissa, Mint (Dried), Myrtle Leaves, Nettle (Dried), Olive Leaves, Oregano - Thyme, Peppermint, Poppy (White, Blue), Poppy seeds, Prepared pepper (roasted), Prune, Rosemary, Saffron, Sage, Savory, Semi Dried Tomatoes In Oil, Semi Dried Tomatoes, Sesame Paste (Tahini), Sesame Seed,  Spruce, St. John’s Wort,   Sumac, Sundried Tomatoes In Oil, Sundried Tomatoes, Sweet cherries (Dried),Table Olives, Thistles, Thyme,Wheat Grass, White Poppy Seed, Whole Red Lentil, Chaste tree, Apricot Kernels (Whole, Meal, Shell, Blanched, Sweet and Bitter Kernels), Apricot Paste, Brown Lentil, Bulghur, Chickpeas, Dried Apricots (Whole, Diced, Paste), Dried Diced Apricots, Dried Diced Figs, Dried Figs (Whole, Diced, Paste), Dried Mulberry Paste, Dried Mulberry, Fig Paste, Green Lentil, Raisin, Raisins Paste, Red Football Lentil, Red Lentils, Roasted Chickpeas,  Sesame,  Sultana Raisins,Sun Dried Mulberries, Yellow Lentil, Apricot,  Mulberry, Beans, Butter (Cocoa Butter, Cocoa Butter Block), Coffee, Flours and Meals (Chickpea flour, Coconut Flour, Lentil flour, Rice flour, Wheat Flour,  Whole Wheat Flour), Juice (Sour Cherry Juice, Strawberry juice,Pomegranate Juice), Juice (Pomegranate Juice), Mustards, Oats, Peanuts, Peanuts, Powders (Acai powder, Banana (Powder), Blanched Hazelnut Powder (Blanced Hazelnut meal), Chia powder, Cinnamon Powder, Cocoa Powder, Ginger Powder, Hazelnut Kernel Powder, Hazelnut Powder (Hazelnut meal), Psyllium Husk Powder, Roasted Hazelnut Powder (Roasted Hazelnut meal),  Turmeric Powder), Quinoa, Rice, Sugar (Coconut Sugar), Syrups (Agave syrup)</t>
  </si>
  <si>
    <t>Other: Kamut Ancient Grain Tortillas, 10 count - Regular, Kamut Ancient Grain Tortillas, 6 count - Regular, Large, Extra Large, Processing, packaging, and distribution of Flour Tortillas and Wraps, Spelt Ancient Grain Tortillas, 10 count - Regular, Spelt Ancient Grain Tortillas, 6 count - Regular, Large, Extra Large, Spinach Garlic Wraps, 10 count - Regular, Spinach Garlic Wraps, 6 count - Regular, Large, Extra Large, Tomato Basil Wraps, 10 count - Regular, Tomato Basil Wraps, 6 count - Regular, Large, Extra Large, Unbleached Wheat Tortillas, 10 count - Regular, Unbleached Wheat Tortillas, 6 count - Regular, Large, Extra Large, Whole Wheat Tortillas, 10 count - Regular, Whole Wheat Tortillas, 6 count - Regular, Large, Extra Large</t>
  </si>
  <si>
    <t>Other: Bred-Mate, Muffin Kote, WDC 1000 AAF, WOR 1000, WSR 2500, Rice-Mate FL, Soft Bake, Verdi, Whole Grain Muffin Kote</t>
  </si>
  <si>
    <t>Animal Feed: Forage (Hay), Livestock Feed (Calf Feed), Livestock Feed (Canola Meal), Livestock Feed (Corn), Livestock Feed (Oats), Livestock Feed (Roasted Soybeans), Livestock Feed (Small Grains), Livestock Feed (Soybean Meal), Livestock Feed (Spelt), Livestock Feed (VZM), Soybean Hulls; Other: Brokering of livestock feed</t>
  </si>
  <si>
    <t>Processed  Items: Cereal (Organic White Quinoa Flakes); Other Grains, Pastas and Cereals: Cereal (Organic Quinoa flakes), Quinoa (Organic Bicolor Royal Quinoa - Organic Bicolor Quinoa, Organic Black Royal Quinoa - Organic Black Quinoa, Organic Red Royal Quinoa - Organic Red Quinoa, Organic Tricolor Royal Quinoa - OrganicTricolor Quinoa, Organic White Royal Quinoa- Organic White Quinoa)</t>
  </si>
  <si>
    <t>Processed  Items: Mixed Condiments (Amaranth seed (Amaranthus) - Semilla de amaranto (Amaranthus) - Amaranth Grains;
Chia Seeds - Semillas de chía - Chia seeds;
Cocoa butter - Manteca de cacao - Cacao Buter (Kibbled);
Coffee - Café - Organic Freeze dried coffee (JV Organic Freeze Dried Jar).;
Coffee - Café - Organic ground coffee (JV Organic Ground Coffee // JV Organic Nespresso Caps);
Coffee - Café - Organic whole bean coffee (JV Organic Whole bean);
Ginger - Jengibre - Fresh Ginger;
Ginger - Jengibre - Organic Ginger;
Nibs Roasted Cacao - Nibs Roasted Cacao - Cacao Nibs;
Nuez de Brasil - Nuez de Brasil - Brazil nut;
Pasta de cacao - - Cacao Paste;
Quinoa - - Black Quinoa Grains;
Quinoa - - Grains White quinoa in grain;
Quinoa - - Organic bicolor quinoa;
Quinoa - - Organic quinoa crisp ;
Quinoa - - Quinoa;
Quinoa - - Quinoa Flakes;
Quinoa - - Quinoa Instant Powder;
Quinoa - - Quinoa Tricolor Mxi;
Quinoa - - Red Quinoa;
Red maca dried - Maca roja seca - Red maca powder;
Sliced dried ginger - Jengibre seco en rodajas - Jenjibre en Hojuelas seco/Dried ginger flakes;
Turmeric (Curcuma) - Cúrcuma - Curcuma en hojuelas seco/Curcuma flakes dried;
Turmeric (Curcuma) - Cúrcuma - Organic Turmeric;), Mixed Fruit (Ginger - Jengibre - Sterilized ginger powder;
Turmeric (Curcuma) - Cúrcuma - Fresh Turmeric;
Turmeric (Curcuma) - Cúrcuma - Sterilized turmeric powder;
Yacon Juice Concentrate - Jugo de Yacon Concentrado Yacon Syrup), Spices (Amaranth Flour - Harina de amaranto - Amaranth instant powder;
Amaranth Flour - Harina de amaranto - Amaranth Powder;
Black maca powder - Polvo – Harina de maca negra - Black maca powder;
Ginger powder - Jengibre en polvo - Ginger Powder;
Lucuma powder - Polvo - harina de lucuma - Lucuma Powder;
Maca gelatine - Maca Gelatinizada - Maca Gelatinized Powder;
Maca powder - Polvo - harina de maca - Maca Powder;
Pure cocoa powder - Cacao criollo en polvo - Cacao Powder;)</t>
  </si>
  <si>
    <t>Other: Beans (Aduki), Beans (Anasazi), Beans (Baby Lima), Beans (Black Turtle), Beans (Cranberry), Beans (Fava), Beans (Garbanzo), Beans (Great Northern), Beans (Kidney, Red), Beans (Kidney, White), Beans (Lentils, Green), Beans (Lentils, Red, Whole), Beans (Lentils, Red, Whole, With Skin On), Beans (Mung), Beans (Navy), Beans (Pinto), Beans (Small Red), Beans (Soy), Cocoa Products (Powder), Cocoa Products (Raw Beans), Dates (Date Paste (Bulk)), Dates (Date Sugar), Dates (Medjool), Dates (Zahidi), Dehydrated Vegetables (Chopped Garlic), Dehydrated Vegetables (Diced Carrots), Dehydrated Vegetables (Diced Red Bell Pepper), Dehydrated Vegetables (Dried Diced Tomatoes), Dehydrated Vegetables (Dried Tomato Slices), Dehydrated Vegetables (Ground Red (Ancho) Chili Pepper), Dried Fruits (Apple Slices), Dried Fruits (Apricots, Sun Dried), Dried Fruits (Apricots, Sun Dried, Hunza), Dried Fruits (Apricots, Sun Dried, Turkish), Dried Fruits (Bananas, Sliced), Dried Fruits (Bananas, Whole), Dried Fruits (Blueberries), Dried Fruits (Cherries), Dried Fruits (Coconut, Chips), Dried Fruits (Coconut, Medium Shred), Dried Fruits (Cranberries), Dried Fruits (Dried Diced Mango), Dried Fruits (Figs, Black Mission), Dried Fruits (Figs, Turkish), Dried Fruits (Goji Berries), Dried Fruits (Goldenberries), Dried Fruits (Mango, Slices), Dried Fruits (Mixed Fruit (Apricots, Black Mission Figs, Apples, Prunes)), Dried Fruits (Mixed Fruit (Apricots, Pears, Apples, Prunes)), Dried Fruits (Mulberries), Dried Fruits (Nectarines), Dried Fruits (Peaches), Dried Fruits (Pears), Dried Fruits (Persimmons), Dried Fruits (Pineapple), Dried Fruits (Prunes, Pitted), Dried Fruits (Prunes, With Pit), Dried Fruits (Raisins, Flame), Dried Fruits (Raisins, Hunza Golden), Dried Fruits (Raisins, Thompson Seedless), Dried Fruits (Zante Currants), Flour (Amaranth), Flour (Brown Rice), Flour (Buckwheat), Flour (Rye, 100%), Flour (Soy), Flour (Spelt), Flour (Unbleached Wheat), Flour (Whole Wheat, 100%), Flour (Whole Wheat, 100%, Pastry), Grains (Amaranth, Whole Grain), Grains (Barley, Hulled), Grains (Barley, Hulless), Grains (Barley, Sprouting), Grains (Buckwheat, Raw Groats), Grains (Buckwheat, Toasted Groats), Grains (Buckwheat, Whole Kernel), Grains (Corn Meal, Yellow), Grains (Corn, Whole Kernel, Yellow), Grains (Millet, Hulled), Grains (Millet, Sprouting), Grains (Multi-Grain Cereal), Grains (Oat Bran), Grains (Oats, Hulled), Grains (Oats, Raw Hulless), Grains (Oats, Rolled), Grains (Oats, Sprouting), Grains (Popcorn), Grains (Quinoa), Grains (Quinoa, Black), Grains (Quinoa, Red), Grains (Rye Berries), Grains (Spelt, Whole Grain), Grains (Wheat Berries, Baking), Grains (Wheat Berries, Pastry), Grains (Wheat Berries, Sprouting), Granola (Cranberry Cashew Pecan), Granola (Tripple Berry), Honey, Nuts (Almonds - Shelled), Nuts (Almonds, In Shell), Nuts (Almonds, Shelled, Imported), Nuts (Apricot Kernels), Nuts (Brazil Nuts - Raw, Shelled), Nuts (Brazil Nuts, Shelled), Nuts (Cashew Pieces), Nuts (Cashews, Shelled, Whole), Nuts (Filberts (Hazelnuts) - Raw, Shelled), Nuts (Filberts, Shelled), Nuts (Macadamia Nuts, In Shell), Nuts (Macadamia Nuts, Shelled), Nuts (Peanuts, In Shell), Nuts (Peanuts, Shelled), Nuts (Pecan Halves), Nuts (Pecans - Raw, Shelled), Nuts (Pecans, In Shell), Nuts (Pine Nuts, Shelled), Nuts (Pistachio Kernels), Nuts (Pistachio Kernels - Raw), Nuts (Pistachios, In Shell), Nuts (Pistachios, In Shell, Roasted Salted), Nuts (Walnut Halves - Raw, Shelled), Nuts (Walnuts, In Shell), Nuts (Walnuts, Shelled), Oils (Specialty) (Crude Sesame Oil), Oils (Specialty) (Imported Olive Oil), Olives (California Sun Dried Greek Black Olives), Olives (California Sun Dried, Pitted Greek Black Olives), Olives (Italian Style Gourmet Pitted Green Olives), Pasta (Elbow Macaroni), Peas (Black-Eyed), Peas (Split, Green), Peas (Split, Yellow), Peas (Whole), Rice (Basmati, Brown), Rice (Basmati, White), Rice (Long Grain, Brown), Rice (Short Grain, Brown), Seeds (Alfalfa), Seeds (Broccoli), Seeds (Cabbage), Seeds (Chia), Seeds (Clover), Seeds (Fenugreek), Seeds (Flaxseed, Brown), Seeds (Flaxseed, Golden), Seeds (Hemp), Seeds (Mustard Seed, Brown), Seeds (Mustard Seed, Yellow), Seeds (Onion), Seeds (Poppy), Seeds (Pumpkin, Hulled), Seeds (Radish), Seeds (Sesame, Black, Unhulled), Seeds (Sesame, Hulled), Seeds (Sesame, Unhulled), Seeds (Sunflower, Black, In Shell), Seeds (Sunflower, Hulled), Snack Foods (Trail Energy Mix), Soy Products (Soymilk Powder), Soy Products (Sweetened Soy Drink Powder)</t>
  </si>
  <si>
    <t>Processed  Items: Vegetables (Garbanzos - Chickpea;
 Cotton wadding roll -  - Raw Cotton;
 Palm nuts and kernels - Nueces y granos de palma - Black gram;
 Seeds - Flax seed;
Seeds - Rapeseed;
String, green beans - Ejote, Vainitas, Judías verdes, Frijoles verdes - Soyabean;)</t>
  </si>
  <si>
    <t>Trees/Whole Plant Products/Flowers: Dhaincha, Sugarcane, Onion - Fresh, Tomato; Other Grains, Pastas and Cereals: Bengal garm whole; Nuts/Seeds: Coconut; Fruits/Vegetables: Bananas, Mango Kesar, Mango Totapuri; Other: Turemric, Red Chilii, Onion seed</t>
  </si>
  <si>
    <t>Other: Ajwain/Carom Seeds, Almond, Amaranth/Amaranthus/Thotakura, Arhar Dal (Red Gram/Pigeon Pea), Bajra Porridge/Dalia, Barley Porridge / Jau Dalia, Barley/Jau Flour, Barley/Jau/Barley Whole, Barnyard Millet Flour, Basmati Brown Rice, Basmati Rice-White, Bengal Gram Whole/Black Chana, Bengal Gram/Chana Dal, Black Eye Cowpea/Chawli, Black Gram/Urad Black Whole, Black Mustard Oil/Kachi Ghani Kali Sarso Ka Tel, Black Mustard Seed, Black Pepper Powder, Black Pepper Whole, Brown Sonamasuri Rice, Brown Top Millet, Buckwheat Flour, Cashew Kernels ( W 240 ), Cashew Kernels ( W 320 ), Cashew Kernels (W210), Chia Seeds, Chickpea/Kabuli Chana, Cinnamom Bark, Cinnamom Bark Powder, Cloves, Coconut Oil, Coriander Powder, Coriander Whole, Cumin Powder, Cumin Whole / Cumin Seeds, Dried Curry Leaves, Dry/Dehydrated Fenugreek Leaves, Fennel/Saunf, Fenugreek, Finger Millet/Ragi Flour, Finger Millet/Ragi Grain, Foxtail Millet, Ginger Powder, Gram Flour/Besan, Green Cardamom, Green Gram Split Yellow/Moong Dal-Yellow, Green Gram Whole (Moong Sabut), Green Moong Dal Split/Split Green Gram/Moong (Vigna Sp.), Green Peas, Groundnut/Peanut, Grountnut/Peanut Oil (Edible Grade), Idli Rice, Jaggery, Kidney Beans/ Rajma Chitra, Kodo Millet, Little Millet/Sama, Maize (Corn), Maize/Corn Flour, Mango Powder/ Aamchur, Masoor Dal-Split Whitout Shell, Masoor Whole (Lens Culinaris), Matki/Moth Whole, Moringa Dried Leaves, Nutmeg Whole, Oats, Oats (Rolled Grain) / Rolled Oats, Oats Flakes, Pearl Millet/Bajra, Proso Millet, Puffed Rice, Pumpkin Seeds, Quinoa, Red Chilli (Whole), Red Chilly Powder, Red Kidney Beans/Rajma (Phaseolus Vulgaris), Red Rice, Rice Sonamasuri Hand Pound, Sawan/Barnyard Millet, Sorghum Porridge / Jowar Dalia, Sorghum/Jowar, Sorghum/Jowar Flour, Split Cashews, Stevia Powder, Sugar, Sugar (Brown/Natural) / Brown Sugar, Suji/Semolina /Cream Of Wheat, Sunflower Oil: Edible Grade, Sunflower Seeds- Dehulled, Turmeric Dried / Turmeric Whole Dried, Turmeric Powder, Urad Dal White Split / Urad Dal Spilit-Whitout Shell, Walnuts, Wheat Flour, Wheat Grain, Wheat Porridge/Dalia, White Pepper, Whole Cashews, Yellow Mustard Oil/Kachi Ghani Pili Sarso Ka Tel, Yellow Mustard Seeds</t>
  </si>
  <si>
    <t>Other: Ajwain, Amaranth Roasted, Amaranth seed/ Ram dhana, Arhar Dal / Toor Dal, Ashwagandha root whole / powder, Barley Grass Powder, Basil, Basmati rice, Bay Leaf / Tej Patta, Bengal Gram Whole, Bengal Gram(Chana)Flour, Black cumin, Black Gram Split, Black Pepper, Black Pepper Powder, Black sesame, Broken rice, Brown Basmati Rice, Brown Flaxseed, Brown Flaxseed Powder, Brown gram / Gram / Chana(Cicer arietinum) / Kala Chana, Cashew Split, Cashew Whole, Chana Dal/ Bengal gram Split, Chia, Chickpea/Kabuli Chana (garbanzos), chilli flakes, Chilli powder, Cinnamon, Cinnamon powder, Clove powder, Cloves, Coriander, Coriander Powder, Cumin Powder, Cumin whole, Fennel Powder, Fennel Seed, Fenugreek, Fenugreek Powder (Methi Powder), Fenugreek Seed (Methi Seed), Flaxseed, Foxtail millet, Garlic Flakes/Powder, Ginger Powder, Ginger Sliced, Ginger whole (dried), Green Cardamom, Green Gram Whole (Moong Sabut), Green gram/Moong dhuli, Green Peas ( Matar/Vatana), Groundnut/Peanut, groundnut/peanut roasted, Hulled Sesame/Sesamum, Idli Rawa, Kalonji/nigella, Malka Whole / Masoor Malka / Masoor Gota, Mango Powder / Amchoor Powder, Masoor / Masur / Masoor Dhuli / Masoor Mogar, Matki/Moth/Turkish Gram, Mix Dal, Moringa Leaves dry / powder, Mustard, Mustard Yellow Whole, Natural sesame seeds, Pearl millet (Bajra), Proso millet, Psyllium Husk, Pumpkin seeds, Quinoa, Ragi/Finger Millet grain, Raisin, Red chilli whole/Flakes/Powder, Red Kidney beans/Rajma (Phaseolus vulgaris), Red Rice, Sonamasoori Rice (Brown), Soybean, Split Lentil / Masoor Dal, Sunflower seeds, Tulsi Leaves dried, Turmeric Powder, Turmeric whole-dried, Urad Dal (White)/Urad Dal (Dhuli), Urad dal / Urad Split (Chilka), Urad Whole(Black) / Urad Sabut, Walnut kernel, Wheat, Wheat flour, Wheatgrass Powder, White Pepper</t>
  </si>
  <si>
    <t>Other Grains, Pastas and Cereals: Barley, Buckwheat, Corn, Corn, Corn, Corn, Corn, Corn, Corn, Oats, Oats, Rye, Rye, Rye, Spelt, Wheat, Wheat, Wheat, Wheat, Wheat, Wheat, Wheat, Wheat, Wheat; Fruits/Vegetables: Beans; Dry/Baking Goods: Flours and Meals, Flours and Meals, Flours and Meals, Flours and Meals, Flours and Meals, Flours and Meals; Other: Grain Handling, Grain Processing, Packaging of Organic Products</t>
  </si>
  <si>
    <t>Other: Medium Grain Rice, Short Grain Rice, Sweet Grain Rice, Garbanzo Bean, Lentil Beluga Black Bean, Lentil French Bean, Corn Masa Blue, Corn Masa White, Corn Masa Yellow, Sesame Black, Genmaicha, Green tea, Twig tea Twig &amp; Leaf Tea, Golden Kraut, Kimchi, Kimchi Juice, Kombu, Kuzu, Mirin, Miso Barley Yamaki, Miso Brown Rice Yamaki, Miso Soybean Hatcho, Mushroom Shitake, Nama Shoyo, Plum Umeboshi, Sauerkraut, Tamari, Vinegar Brown Rice</t>
  </si>
  <si>
    <t>Processed  Items: Cereal (Rice Bran); Other Grains, Pastas and Cereals: Rice (Jasberry Organic Superfood Rice - 9 Grains, Jasberry Organic Superfood Rice - Coconut, Jasberry Organic Superfood Rice - Green Curry, Jasberry Organic Superfood Rice - Original, Ready to eat coconut rice - Jasberry, Ready to eat rice - Jasberry), Rice (Black Glutinous Rice, Black Rice Bran, Chainat Rice, Glutinous Rice, Hom Mali Rice, Red Rice Organic), Rice (Black Cargo Rice - Jasberry, Black Cargo rice and Jasmin brown rice mix - Jasberry, Broken Rice - Jasberry, Jasberry Organic Superfood Rice, Organic Jasberry Rice, Organic Jasberry Rice Mix, Organic Riceberry Rice, Semi-polished Black Rice - Jasberry); Dry/Baking Goods: Flours and Meals (White rice flour), Flours and Meals (Hom Mali Rice Flour), Flours and Meals (Rice flour – Jasberry)</t>
  </si>
  <si>
    <t>Other: Basmati Cream Sella, Basmati Golden Sella, Basmati Paddy, Basmati Paddy (Pusa-1121), Basmati Parboiled 1121 Rice, Basmati Rice- Brown Rice / Traditional Brown Basmati Rice, Basmati Steam Rice, Basmati White Rice Traditional, Basmati-1121 Brown Rice, Black Rice, Broken Rice (Basmati), Broken Rice (Non Basmati), Long Grain Brown Non Basmati Rice, Medium Grain Brown Non Basmati Rice, Non Basmati Brown Rice (Gobindabhog, Kalajira), Non Basmati Brown Sticky Rice, Non Basmati Cream Sella (Long Grain), Non Basmati Cream Sella (Medium Grain), Non Basmati Golden Sella (Long Grain), Non Basmati Golden Sella (Medium Grain), Non Basmati Paddy, Non Basmati Parboiled White Rice (Long Grain), Non Basmati Parboiled White Rice (Medium Grain), Non Basmati Steam Rice (Long Grain), Non Basmati Steam Rice (Medium Grain), Non Basmati White Rice (Gobindabhog, Kalajira), Paddy Husk, Paddy Pusa Basmati, Paddy Traditional Basmati, Parboiled Basmati White Rice, Pusa Basmati Brown Rice, Pusa Basmati Rice, Pusa Basmati White Rice, Pusa-1121 White Basmati Rice, Red Rice, Rice Bran, Sona Moosouri Brown Rice</t>
  </si>
  <si>
    <t>Other: Ajwain 100g, Ajwain 200g, Ajwain 400g, Amaranth Seed 100g, Amaranth Seed 2 lb, Amaranth Seed 200g, Amaranth Seed 400g, Ambe Mohar Rice 2 lb, Ambe Mohar Rice 4 lb, Amla Powder 100g, Amla Powder 170g, Amla Powder 200g, Amla Powder 400g, Ashwagandha Powder 100g, Ashwagandha Powder 170g, Ashwagandha Powder 200g, Ashwagandha Powder 400g, Bajra Flour 10 lb, Bajra Flour 2 lb, Bajra Flour 4 lb, Barnyard Millet/Sawan 2 lb, Barnyard Millet/Sawan 4 lb, Basmati Rice - Brown 10 lb, Basmati Rice - Brown 2 lb, Basmati Rice - Brown 4 lb, Basmati Rice - White 10 lb, Basmati Rice - White 2 lb, Basmati Rice - White 4 lb, Bengal Gram (Chana) Flour 2 lb, Bengal Gram (Chana) Flour 4 lb, Bengal Gram Whole 10 lb, Bengal Gram Whole 2 lb, Bengal Gram Whole 7 lb, Black Eye Bean 2lb, Black Eye Bean 4lb, Black Gram 2 lb, Black Gram 4 lb, Black Gram 7 lb, Black Rice 2 lb, Black Rice 4 lb, Chana Dal 2 lb, Chana Dal 4 lb, Chana Dal 7 lb, Chia 100g, Chia 200g, Chia 400g, Coconut Milk 17% 400ml, Coconut Milk 9% LOW FAT 400ml, Coconut Smiles 100g, Coconut Water 250ml, Coriander Powder 100g, Coriander Powder 170g, Coriander Powder 200g, Coriander Powder 400 g, Coriander Seed 100g, Coriander Seed 200g, Coriander Seed 400g, Coriander Seed 50g, Cumin Powder 100g, Cumin Powder 170g, Cumin Powder 200g, Cumin Powder 400g, Cumin Seed 100g, Cumin Seed 200g, Cumin Seed 400g, Desiccated Coconut Powder 250g, Fenugreek Seed 100g, Fenugreek Seed 200g, Fenugreek Seed 400g, Foxtail Millet 2 lb, Foxtail Millet 4 lb, Garlic Powder 100g, Garlic Powder 170g, Garlic Powder 200g, Garlic Powder 400g, Gluten Free Atta 2lb, Gluten Free Atta 4lb, Green Peas 2 lb, Green Peas 4 lb, Green Peas 7 lb, Groundnut 2 lb, Groundnut 4 lb, Groundnut Oil (1Ltr Oil Bottle), Idli Rice 10 lb, Idli Rice 2 lb, Idli Rice 4 lb, Indrayani Rice 2 lb, Indrayani Rice 4 lb, Jaggery Cube 1 lb, Jaggery Cube 2 lb, Jaggery Powder 2 lb, Jaggery Powder 4 lb, Jowar Flour 10 lb, Jowar Flour 2 lb, Jowar Flour 4 lb, Kabuli Chana 2 lb, Kabuli Chana 4 lb, Kabuli Chana 7 lb, Kasuri Methi 100g, Kasuri Methi 200g, Kasuri Methi 50g, Kodo Millet 2 lb, Kodo Millet 4 lb, Little Millet 2 lb, Little Millet 4 lb, Maida 2 lb, Maida 4 lb, Malka 7 lb, Masoor Dal 2 lb, Masoor Dal 4 lb, Masoor Dal 7 lb, Masoor Malka 2 lb, Masoor Malka 4 lb, Mix Dal 2lb, Mix Dal 4lb, Mix Dal 7 lb, Mong Dal - Split with Shell 7 lb, Moong Dal - Split with Shell 2 lb, Moong Dal - Split with Shell 4 lb, Moong Dal Yellow 2 lb, Moong Dal Yellow 4 lb, Moong Dal Yellow 7 lb, Moong Whole (Green) 2 lb, Moong Whole (Green) 4 lb, Moong Whole (Green) 7 lb, Moringa Powder 100g, Moringa Powder 170g, Moringa Powder 200g, Moringa Powder 400g, Moth Beans 2 lb, Moth Beans 4 lb, Multi Grain Atta 10 lb, Multi Grain Atta 4 lb, Mustard Oil (1Ltr Oil Bottle), Mustard-Black 100g, Mustard-Black 200g, Mustard-Black 400g, Pea-Dried 2 lb, Pea-Dried 4 lb, Pea-Dried 7 lb, Pearl Millet 2 lb, Pearl Millet 4 lb, Proso Millet 2 lb, Proso Millet 4 lb, Puffed Rice Chivda 2 lb, Puffed Rice Chivda 4 lb, Ragi (Finger Millet) Flour 10 lb, Ragi (Finger Millet) Flour 2 lb, Ragi (Finger Millet) Flour 4 lb, Rajma (Chitra) 2 lb, Rajma (Chitra) 4 lb, Rajma (Chitra) 7 lb, Rajma Jammu 2 lb, Rajma Jammu 4 lb, Red Chilli Powder 100g, Red Chilli Powder 170g, Red Chilli Powder 200g, Red Chilli Powder 400g, Red Kidney Beans (Big Rajma) 2lb, Red Kidney Beans (Big Rajma) 4lb, Red Kidney Beans (Rajma) 7 lb, Red Lentil 2 lb, Red Rice 10 lb, Red Rice 2 lb, Red Rice 4 lb, Sattu 2 lb, Sattu 4 lb, Sona Masoori Rice Brown 10 lb, Sona Masoori Rice Brown 2 lb, Sona Masoori Rice Brown 4 lb, Sona Masoori Rice Hand Ponded 10 lb, Sona Masoori Rice Hand Ponded 2 lb, Sona Masoori Rice Hand Ponded 4 lb, Sona Masoori Rice White 10 lb, Sona Masoori Rice White 2 lb, Sona Masoori Rice White 4 lb, Sorghum 2 lb, Sorghum 4 lb, Split Pigeon Pea 2 lb, Split Pigeon Pea 4 lb, Split Pigeon Pea 7 lb, Sugar (Brown/Natural) 2 lb, Sugar (Brown/Natural) 4 lb, Sugar (White) 2 lb, Sugar (White) 4 lb, Suji 2 lb, Suji 4 lb, Sunflower Oil (1Ltr Oil Bottle), Tamarind (Imli) 200g, Tamarind (Imli) 250g, Tamarind (Imli) 400g, Turmeric Powder 100g, Turmeric Powder 170g, Turmeric Powder 200g, Turmeric Powder 400g, Urad Dal Split with Shell 2 lb, Urad Dal Split with Shell 4 lb, Urad Dal Split with Shell 7 lb, Urad Dhuli 2 lb, Urad Dhuli 4 lb, Urad Dhuli 7 lb, Urad Whole (Gota) 2 lb, Urad Whole (Gota) 4 lb, Urad Whole (Gota) 7 lb, Wheat Porridge / Daliya 2 lb, Wheat Porridge / Daliya 4 lb, Whole Wheat Atta 2lb, Whole Wheat Atta 4lb, Yellow Mustard 100g, Yellow Mustard 200g, Yellow Mustard 400g</t>
  </si>
  <si>
    <t>Other Grains, Pastas and Cereals: Corn, Hay, Soybeans, Spelt, Straw, Wheat (Einkorn), Wheat (Wheat); Other: Brokering Grain and Hay/Straw, Roasting Grain, Storing Grain and Hay/Straw</t>
  </si>
  <si>
    <t>Other: Cinnamon Ground Organic 3% VO min Organic Turmeric Organic Long Grain Brown Rice Organic Long Grain White Rice Miss Mary Dry Mix Original Organic Spicy Mama Daddy Crack Tomato Basil Seasoning</t>
  </si>
  <si>
    <t>Other: Exhausted ground vanilla powder debacterized G20020285, Grains de vanille épuisés débactérisés G1806282, Poudre de vanille débactérisée G1604117, Poudre pure de Vanille Madagascar équitable débactérisée G21100014, Vanilla Madagascar ground beans powder debacterized G21100002, Whole Bourbon vanilla seeds G20100067</t>
  </si>
  <si>
    <t>Other: Adhatoda vasica Powder (Vasaka Powder), Ajwain, Ajwain Powder, Alfalfa Powder, Aloe vera extract, Aloe Vera leaves Powder, Amaranth Flour, Amla dried, Amla Powder, Amla TBC, Andrographis paniculata Extract, Anise Seed, Aonla/ Amla Extract, Arrow root powder, Ashwagandha, Ashwagandha Extract, Ashwagandha Leaf, Ashwagandha root, Ashwagandha Root Cut &amp; Sifted, Ashwagandha Root Powder, Ashwagandha TBC, Asparagus racemosus (Shatawari) TBC, Bacopa monnieri (Neera Brahmi), Bacopa monnieri Extract, Bacopa monnieri Powder, Bamboo extract, Barley Flour, Barley Grass Powder, Bay Leaf Powder, Bay Leaves/ Tejpatta, Beet root, Beet Root Powder, Berberis aristata extract/ Daruhaldi, Bhoomi Amla Powder, Black cumin, Black cumin Powder, Black Pepper, Black Pepper Extract, Black Pepper Powder, Black Tea, Boerhaavia diffusa (Root), Boerhaavia diffusa Powder, Boerhaavia diffusia Extract, Boswella serrata Extract, Brown Rice, Buckwheat Flour, Cane Sugar, Cardamom, Cardamom Oil, Cardamom Powder, Cardamom TBC, Celery Powder, Centella asiatica, Centella asiatica Extract, Centella asiatica -whole plant -Powder, Chamomile, Chamomile (Flower) TBC, Chamomile Powder, Chia, Chicory, Chicory Root Powder, Chicory TBC, Chilli Flakes, Chilli whole, Cinnamon, Cinnamon bark extract, Cinnamon Bark Powder, Clove, Clove Powder, Coconut powder/dried coconut powder, Coffee Powder, Coleus root powder, Commiphora whitii (Guggul), Coriander, Coriander Powder, Coriander TBC, Cumin Powder, Cumin whole, Curry leaf powder, Curry Leaf/Leaves, Eclipta alba (Bhrigjraj/Bhringraj), Eclipta alba Powder, Fennel Extract, Fennel Powder, Fennel seed, Fennel Seed TBC, Fenugreek, Fenugreek extract, Fenugreek Powder (Methi powder), Fenugreek TBC, Finger millet flour, Flax Seed, Flax seed powder, Foxtail Millet, Galangal Powder, Galangal TBC, Garcinia cambogia -fruit-dry Extract, Garcinia cambogia powder, Garlic, Garlic Powder, Giloy Powder, Ginger Chips, Ginger Extract Zingiber officinalis, Ginger Flakes, Ginger Powder, Ginger TBC, Ginger whole (dried), Glycyrrhiza glabra- root- extract- dry extract, Gokshura Fruit (Tribulus terrestris), Green Coffee bean Extract Powder, Green tea extract, Green tea powder, Guar gum powder, Guava extracts (Psidium Gauva), Guduchi (Tinospora Cordifolons), Gymnema powder, Gymnema sylvestre extract, Haritaki powder, Hibiscus Cut &amp; Shifted, Hibiscus rosasinensis extract, Hibiscus rosasinensis powder, Hibiscus Sabdariffa Petals Powder, Hibiscus sabdariffa petals TBC, Holy basil extract, Jackfruit, Jaggery powder, Jamun Seed Powder, Jowar Flour, Kalmegh (Andrographis paniculata), Kalmegh powder (Andrographis paniculata), Kalonji/ nigella, Karela Extract (Momordica Charantia), Lemon grass, Lemon grass TBC, Lemon Peel Extract, Lemon Peel TBC, Lemongrass (Leaves) Cut&amp;Sifted, Lemongrass Powder, Liquorice (Root) Cut &amp; Shifted, Liquorice powder, Liquorice TBC, Little millet, Mace, Mace Powder, Maize starch, Maize/ Corn flour, Mango Powder/Aamchur, Manioc (cassava) (Powder), Manjistha/ Rubia cordifolia - Extract, Manjistha/ Rubia cordifolia Powder, Marjoram, Millet flour, Moringa (Leaves/Leaf) Cut &amp; Shifted, Moringa (Leaves/Leaf) TBC, Moringa oleifera Leaf powder, Moringa oleifera Leaves extract, Mucuna pruriens Extract, Mucuna pruriens Powder, Mustard Seed powder, Neem extract, Neem leaf powder, Neem leaves, Noni (Moringa citrifolia) Extract, Noni fruit Powder, Nutmeg Powder, Oat flour, Onion flakes, Onion Powder, Orange peel, Orange peel extract, Orange peel powder, Oregano, Papaya extract (C. papaya), Papaya leaves powder, Paprika/capsicum green (Capsicum annuum), Parsley, Parsley Powder, Peppermint Leaves Cut &amp; Shifted, Peppermint powder, Peppermint tea cut, Pippali powder-Piper longum, Pomegranate Seed Powder, Potato Powder, Psidium guajava extract, Psyllium husk powder, Psyllium seed powder, Punarnava powder, Ragi/Finger Millet grain, Rapeseed/Rai/Rye, Red Chilli (Whole), Red Chilli Powder, Red Rice, Rose Petal TBC, Rose petals powder, Rosemary, Rosemary Oil, Rosemary Powder, Safed Musli - Extract, Safed Musli powder, Saffron, Senna, Senna extract, Senna Leaves Powder, Senna Leaves Tea Bag Cut (TBC), Sesame seeds, Shatavari extract, Shatavari Powder, Shatavari Root, Soyabean/ Soyabean Flour, Spearmint (Leaves/Leaf) Cut &amp; Shifted, Spearmint (Leaves/Leaf) TBC, Spearmint Powder, Star anise, Stevia / Stevia rebaudiana extract, Stevia leaves-dried, Stevia/ Stevia rebaudiana powder, Sugar (Brown/Natural), Tamarind Powder (Imli), Terminalia arjuna (Stem), Terminalia bellirica /baheda, Terminalia bellirica powder, Terminalia chebula Extract, Tinospora cordifolia Extract, Tinospora cordifolia Powder, Tomato Powder (Lycopersicon esculentum), Tribulus terrestris Extract, Tribulus terretris powder, Triphala, Triphala Extract, Triphala Powder, Tulsi Powder, Tulsi TBC/ Tulsi TBC Blend, Turmeric extract, Turmeric fingers, Turmeric Powder, Turmeric Root Cut &amp; Sifted, Turmeric TBC, Valerian roots, Vanilla Powder, Walnut, Wheat grass, Wheat grass powder, White Pepper, White Pepper powder</t>
  </si>
  <si>
    <t>Other: Ajwain, Ajwain Powder, Ajwain Seed Oil, All spice Powder, Almond oil, Amla oil, Amla Powder, Apricot oil, Ashwagandha, Ashwagandha Extract, Ashwagandha Powder, Ashwagandha   Root, Basil oil (Ocimum basillicum), Basil oil (Ocimum sanctum), Basil/Tulsi, Bay Leaf /Tejpatta, Bergamot oil, Bitter Orange oil, Black cumin, Black Mustard Oil, Black Pepper, Black Pepper Crushed, Black Pepper Oil, Black Pepper TBC, Black Pepper  Powder, BRAHMI OIL, Calamus oil, Camphor oil, Caraway oil (carum carvi), Cardamom Oil, Cardamom Powder, Cardamom seed, Cardamom TBC, carrot seed oil, Cashew kernal ( 320), Cashew Whole, Castor Oil, Celery Seed oil, Chana Masala, Chia, Chilli crushed, Chilli Flakes, Chilli powder, Chilli whole, Cinnamon, Cinnamon (Powder), Cinnamon bark, Citronella oil, Clove Oil, Clove Tea Bag Cut/TBC, Cloves, Cloves Powder, Coconut fresh, Coconut oil, Coffee arbica chery, Coffee Robust Cherry, Coriander, Coriander powder, Coriander Seed, Coriander seed oil, Cumin powder, Cumin Seed Oil, Cumin whole, Curry leaf/leaves, Davana Oil, Dementholised oil, Dill oil, Dried Cardamom, Dried Clove, Dried Cocoa Beans, Dried Morinaga Leaves, Dried Nutmeg Shelled, Eucalyptus Citridora oil, Eucalyptus globulus oil, Eucalyptus oil, Fennel seed oil, Fennel/saunf, Fenugreek Powder (Methi Powder), Fenugreek    seed, Fish Masala, Flax Seed, Frankincense oil, Galangal oil, Garam Masala, Garcinia Cambodge fruit, Garcinia combodge dried, Garlic, Garlic Powder, Geranium oil, German Chamomile oil, Ginger Flakes, Ginger Fresh, Ginger Oil, Ginger Powder, Ginger sliced (dried), Ginger TBC, Ginger whole (dried), Grape seed oil, Grapefruit oil, Green Cardamom, Green Gram / Chana / Moong (Vigna sp.), Green pepper fresh, Haritaki/Harad(Terminallia Chebula), Hazelnut oil, Jackfruit, Jaggery, Jaggery Powder, Jasmine oil, Jojoba Oil, Krishna tulsi (Ocimum sanctum), Lavender Oil, Lemon Grass Oil, Lemon oil, Mace, Mace oil (Myrystica fragrans Houtt), Mace powder, Mango fresh, Mango Powder/ Aamchur, Marigold/Tagetes oil, Marjoram sweet oil, Mentha Citrata Oil, Mentha piperata oil, Mentha/mint arvensis oil (M.arvensis), Moringa Dried Leaves/ Moringa Leaves, Moringa oil, Moringa Powder, Mustard, Nagarmotha Oil, Neem oil, Nutmeg fresh, Nutmeg in shell, Nutmeg mace Fresh, Nutmeg Oil, Nutmeg Powder, Nutmeg TBC, Nutmeg Whole, Olive oil, Onion, Onion (Powder), Oregano oil (Origanum vulgare), Palmarosa oil, Patchouli oil, Pearl Millet / Bajra, Pepper Long/Pippali (Piper Longum), Peppermint oil (Mentha Piperita), Pine Oil, Pippali Powder, Pomegranate oil, Proso Millet, Quinoa, Ragi (Finger Millet- Other Than Seed), Ragi Flour, Ragi/ Finger Millet Grain, Raisins/ Kismis, Rama Tulsi-Ocimum sanctum, Rasam Masala, Red Chilli Flakes, Red chilli Powder, Red chilli whole, Rose oil, Rosemary Oil, Sambhar Masala, Sesame Oil/Gingelly oil, Shatavari, Shatavari Powder, Sorghum, Sorghum Flour, Spearmint oil, Star anise, Sugar, Sugar (Brown/Natural), Sunflower Oil: EdibleGrade, Sunflower Seed oil, Tapioca, Terminallia Beliria/Baheda, Thandoori Masala, Thriphala Powder, Tulsi leaves dry, Turmeric Dried, Turmeric fingers, Turmeric flakes, Turmeric Fresh, Turmeric oil, Turmeric Powder, Turmeric TBC, Vana Tulsi (Ocimum gratissimum), Vana tulsi TBC-Ocimum gratissimum, Vanilla, Vanilla oil, Vanilla Powder, Vanilla TBC, Vetiver Oil, Virgin coconut oil, Walnut, Wheat, Wheat Flour, White pepper oil, White Pepper Powder, Wintergreen oil, Yellow Mustard, Ylang Ylang oil</t>
  </si>
  <si>
    <t>Other Grains, Pastas and Cereals: Pinto Beans; Other: Grain Cleaning &amp; Bagging, Bean Cleaning &amp; Bagging, Drying Grain &amp; Beans, Grain &amp; Bean Screenings</t>
  </si>
  <si>
    <t>Other: Common wheat, Grain corn, Soybean</t>
  </si>
  <si>
    <t>Other Grains, Pastas and Cereals: Barley, Yellow corn, Hard red winter wheat; Other: Grain Cleaning, Grain Storage, Grain Transloading</t>
  </si>
  <si>
    <t>Other: 29248 WP ORGANIC SEASONED SEAWEED SNACK (PACK 8 - 2.8 g), 29249 WP ORGANIC SEASONED SEAWEED SNACK (JAR 0.80 OZ), 49203 SUSHI NORI PREMIUM ROASTED SEAWEED (4/12/10SHT), 61487 SUSHI NORI PREMIUM ROASTED SEAWEED (12/10SHT), 62300 JB Sesame Oil (12/5.00 FZ), Cooked White Rice, JASMINE RICE (THAI HOM MALI), Organic Soybeans in Pods (Edamame), Organic Soybeans in Pods (Edamame) Salted &amp; Precooked, Rice, Premium Medium Grain, 2 lbs., Roasted White SESAME SEED, Super Premium Short Grain Rice</t>
  </si>
  <si>
    <t>Other: Apple Cider Vinegar, Black Beans, Capers, Non - Pareil, Capers, Non-Pareil, Chickpeas, Extra Virgin Olive Oil, Freeze Dried Strawberries, Hazelnut Spread with Cocoa &amp; Milk, Kalamata Olives, Pitted, Pitted Dates, Red Peppers, Roasted, Short Grain Brown Rice, Tahini</t>
  </si>
  <si>
    <t>Other: Beans, Brokered Products, Dehydrated Vegetables, Dietary Supplement, Dried Fruits, Extracts, Extracts (Cordyceps extract), Extracts (Lions Mane extract/powder), Extracts (Phycocyanin), Extracts (Reishi extract/powder), Extracts (Shiitake Mushroom extract), Goji Berries, Goji Berries (Goji Powder), Grains, Hemp Powder (Hemp Protein Powder), Hemp Seed, Herbs &amp; Spices, Juice, Nuts, Oils, Powder, Powder (Chlorella), Powder (Cinnamon Powder), Powder (Ginger Powder), Powder (Spirulina), Seeds, Tea (Matcha (Loose, Bags))</t>
  </si>
  <si>
    <t>Other: Chickpeas, Cobs, Flax, Maize, Milk Thistle, Millet, Peanuts, Sesame, Sorghum, Sunflower Seeds, Wheat</t>
  </si>
  <si>
    <t>Trees/Whole Plant Products/Flowers: Alfalfa, Flowers (Sunflower kernel), Flowers (Cauliflower), Herbs (Turmeric), Herbs (White sesame), Herbs (Sesame), Seeds (Sunflower seed kernel), Seeds (Sunflower seed), Seeds (Safflowers seeds); Seasonings: Seasoning Blends (Horseradish); Processed  Items: Alcohol; Preservatives/Extracts/Flavors: Concentrates (Concentrated soybean protein), Extracts (Soybean protein drawing), Extracts (Soybean protein isolate), Extracts (Textured soybean protein), Extracts (Wheat starch), Extracts (Rice protein), Extracts (Pea protein), Flours and Meals (Brown rice flour), Flours and Meals (Buckwheat flour), Flours and Meals (Corn flour), Flours and Meals (Glutinous rice flour), Flours and Meals (Oat flour), Flours and Meals (Rice flour), Flours and Meals (Sorghum flour), Flours and Meals (soybean flour), Flours and Meals (Wheat flour), Ginger, Herbs (Rapeseed), Herbs (Rape), Powders (Beet root powder); Other Grains, Pastas and Cereals: Barley, Black sesame, Buckwheat kernel, Buckwheat shell, Cereal (Quinoa), Cereal (Quinoa kernel), Chickpeas, Coix seed kernel, Hulled millet, Millet, Non-sticky millet, Oats, Oats (Oat kernel), Rice (Red rice), Rice, Rice (Rice bran), Rice (Glutinous rice), Rice (Paddy), Rice (Black paddy), Rice (Black rice), Rice (Glutinous paddy), Rice (Broken rice), Rice (Brown rice), Rice (Red paddy), Sorghum, Sorghum (Sorghum kernel), Sticky millet, Vegetables (Lentil), Vegetables (Hulled hemp seed), Wheat (Wheat gluten meal), Wheat, Wheat (Buckwheat); Oils &amp; Oleoresins: Oils (Borage oil), Oils (Evening primrose oil), Oils (Flax seed oil), Oils (Hemp seed oil), Oils (Peanut oil), Oils (Perilla seed oil), Oils (Pumpkin seed oil), Oils (Rapeseed oil), Oils (Rice bran oil), Oils (Sesame oil), Oils (Soybean oil), Oils (Sunflower oil); Nuts/Seeds: Hazelnut, Peanuts (Peanut kernel), Peanuts, Peanuts (Pinenut kernels), Seeds (Pumpkin seed), Seeds (Pumpkin seed grown without shell), Seeds (Pumpkin seed shine skin), Seeds (Pumpkin seed shine skin kernel), Seeds (Pumpkin seeds kernels), Seeds (Borage seed), Seeds (Coix seed), Seeds (Evening primrose seed), Seeds (Flax seed), Seeds (Hemp seed), Seeds (Perilla seed); Fruits/Vegetables: Apple, Beans (White kidney bean), Beans (Black bean (Also called: Black soybean)), Beans (Black beans with green kernel (Also called: Black soybeans with green kernel)), Beans (Black kidney bean), Beans (Black soybean (Also called: Black soybean with yellow kernel; Black soybean with green kernel)), Beans (Broad bean(fava bean)), Beans (Adzuki bean), Beans (Green soybean(green bean with green kernel)), Beans (Mung bean), Beans (Pinto bean), Beans (Red kidney bean), Beans (Soybean), Beans (Hulled mung bean), Beans (Soybean dehulled), Beet root, Berries (Blueberry), Berries (Cranberries), Berries (Grape), Berries (Goji berries), Berries (Raspberry), Berries (Strawberry), Berries (Acerola cherry), Pear, Seeds (Watermelon seeds), Tomato, Vegetables (Zucchini), Vegetables (Broccoli), Vegetables (Chilli), Vegetables (Garlic), Vegetables (Leek), Vegetables (Onion), Vegetables (Red beet root), Vegetables (Spinach), Vegetables (Pea), Vegetables (Sweet potato), Vegetables (Potato), Vegetables (Carrot), Vegetables (Corn), Vegetables (Corn cobs), Vegetables (Cowpea), Vegetables (Corn grits), Vegetables (Sticky millet hulled), Vegetables (Pea fiber), Vegetables (Pea starch), Vegetables (Potato starch); Animal Feed: Livestock Feed (Soybean cake), Livestock Feed (Soybean meal), Livestock Feed (Sunflower seed cake), Livestock Feed (Sunflower seed meal), Livestock Feed (Wheat bran), Livestock Feed (Borage meal), Livestock Feed (Dried distillers' grain(DDGS)), Livestock Feed (Evening primrose meal), Livestock Feed (Flax cake), Livestock Feed (Flax meal), Livestock Feed (Hemp seed meal), Livestock Feed (Peanut cake), Livestock Feed (Peanut meal), Livestock Feed (Pumpkin meal), Livestock Feed (Rapeseed cake (Also called: Canola seed cake)), Livestock Feed (Rapeseed meal (Also called: Canola seed meal)), Livestock Feed (Rice bran cake), Livestock Feed (Rice bran meal), Livestock Feed (Sesame cake), Livestock Feed (Sesame meal)</t>
  </si>
  <si>
    <t>Other Grains, Pastas and Cereals: Buckwheat Capellini (also called: Big Green Buckwheat Capellini, Organic Proshop Buckwheat Capellini), Buckwheat Linguine (also called: Big Green Buckwheat Linguine, Organic Proshop Buckwheat Linguine), Buckwheat Macaroni (also called: Big Green Buckwheat Macaroni, Organic Proshop Buckwheat Macaroni), Buckwheat Macaroni (shape：Elbow Macaroni Pasta, Penne Pasta, Shell Pasta, Rotini Pasta, Rigatoni Pasta, Rotelle Pasta, Farfalle Pasta, Spiral Pasta) /Buckwheat Corrugated Ramen/ Buckwheat Noodle (Fettuccini, Linguine, Spaghetti, Tagliatelle, Capellini), Buckwheat Penne (also called: Big Green Buckwheat Penne, Organic Proshop Buckwheat Penne), Buckwheat Ramen (also called: Big Green Buckwheat Ramen, Organic Proshop Buckwheat Ramen), Buckwheat Rotini (also called: Big Green Buckwheat Rotini, Organic Proshop Buckwheat Rotini), Buckwheat Shell (also called: Big Green Buckwheat shell, Organic Proshop Buckwheat Shell), Chickpea Macaroni (shape: Elbow Macaroni Pasta, Penne Pasta, Shell Pasta, Rotini Pasta, Rigatoni Pasta, Rotelle Pasta, Farfalle Pasta, Spiral Pasta) Chickpea Corrugated Ramen/ Chickpea Noodles (Fettuccini, Linguine, Spaghetti, Tagliatelle, Capellini), Corn Instant Noodles, Corn Pasta (shape：Elbow Macaroni Pasta, Penne Pasta, Shell Pasta, Rotini Pasta, Rigatoni Pasta, Rotelle Pasta, Farfalle Pasta, Spiral Pasta) / Corn Corrugated Ramen/ Corn Noodle (Fettuccini, Linguine, Spaghetti, Tagliatelle, Capellini), Millet Macaroni (also called: Big Green Millet Macaroni, Organic Proshop Millet Macaroni), Millet Macaroni (shape: Elbow Macaroni Pasta, Penne Pasta, Shell Pasta, Rotini Pasta, Rigatoni Pasta, Rotelle Pasta, Farfalle Pasta, Spiral Pasta) /Millet Corrugated Ramen/ Millet Noodles (Fettuccini, Linguine, Spaghetti, Tagliatelle, Capellini), Millet Pasta Capellini (also called: Big Green Millet Pasta Capellini, Organic Proshop Millet Pasta Capellini), Millet Pasta Linguine (also called: Big Green Millet Pasta Linguine, Organic Proshop Millet Pasta Linguine), Millet Penne (also called: Big Green Millet Penne, Organic Proshop Millet Penne), Millet Ramen (also called: Big Green Millet Ramen, Organic Proshop Millet Ramen), Millet Rotelle (also called: Big Green Millet Rotelle, Organic Proshop Millet Rotelle), Millet Rotini (also called: Big Green Millet Rotini, Organic Proshop Millet Rotini), Millet Shell (also called: Big Green Millet shell, Organic Proshop Millet Shell), Pea Macaroni (shape: Elbow Macaroni Pasta, Penne Pasta, Shell Pasta, Rotini Pasta, Rigatoni Pasta, Rotelle Pasta, Farfalle Pasta, Spiral Pasta) Pea Corrugated Ramen/ Pea Noodles (Fettuccini, Linguine, Spaghetti, Tagliatelle, Capellini), Quinoa (Quinoa pasta (shape:Elbow Macaroni Pasta, Penne Pasta, Shell Pasta, Rotini Pasta, Rigatoni Pasta, Rotelle Pasta, Farfalle Pasta, Spiral Pasta)), Rice (Rice Macaroni (shape：Elbow Macaroni Pasta, Penne Pasta, Shell Pasta, Rotini Pasta, Rigatoni Pasta, Rotelle Pasta, Farfalle Pasta, Spiral Pasta)/ Rice  Corrugated Ramen/ Rice Noodles (Fettuccini, Linguine, Spaghetti, Tagliatelle, Capellini)), Rice (Black Rice Macaroni (shape: Elbow Macaroni Pasta, Penne Pasta, Shell Pasta, Rotini Pasta, Rigatoni Pasta, Rotelle Pasta, Farfalle Pasta, Spiral Pasta) /Black Rice Corrugated Ramen/ Black Rice Noodle (Fettuccini, Linguine, Spaghetti, Tagliatelle, Capellini)), Rice (Brown Rice Macaroni (shape: Elbow Macaroni Pasta, Penne Pasta, Shell Pasta, Rotini Pasta, Rigatoni Pasta, Rotelle Pasta, Farfalle Pasta, Spiral Pasta) /Brown Rice Corrugated Ramen/ Brown Rice Noodle (Fettuccini, Linguine, Spaghetti, Tagliatelle, Capellini)), Sorghum (Sorghum Linguine (also called: Big Green Sorghum Linguine, Organic Proshop Sorghum Linguine)), Sorghum (Sorghum Capellini (also called: Big Green Sorghum Capellini, Organic Proshop Sorghum Capellini)), Sorghum (Sorghum Macaroni (also called: Big Green Sorghum Macaroni, Organic Proshop Sorghum Macaroni)), Sorghum (Sorghum Macaroni (shape: Elbow Macaroni Pasta, Penne Pasta, Shell Pasta, Rotini Pasta, Rigatoni Pasta, Rotelle Pasta, Farfalle Pasta, Spiral Pasta) /Sorghum Corrugated Ramen/ Sorghum Noodle (Fettuccini, Linguine, Spaghetti, Tagliatelle, Capellini)), Sorghum (Sorghum Penne (also called: Big Green Sorghum Penne, Organic Proshop Sorghum Penne)), Sorghum (Sorghum Ramen (also called: Big Green Sorghum Ramen, Organic Proshop Sorghum Ramen)), Sorghum (Sorghum Rotini (also called: Big Green Sorghum Rotini, Organic Proshop Sorghum Rotini))</t>
  </si>
  <si>
    <t>Preservatives/Extracts/Flavors: Extracts (Wheat gluten), Extracts (Pea protein), Herbs (Rape seed); Other Grains, Pastas and Cereals: Barley, Coix, Cracked corn, Cracked soybean, Cracked sunflower kernels, Maize (Corn), Millet, Millet hulled (Dehulled Millet), Millet husk, Millet unhulled, Oats, Oats (Oat kernel), Rice (Paddy（Rice)), Rice (Rice grits), Rice (Non-glutinous rice), Rice (Glutinous rice), Rice (Hulled black rice), Rice (Hulled glutinous rice), Rice (Hulled rice), Rice (Black rice), Rice (Broken glutinous rice), Rice (Broken rice), Rice (Brown rice), Sorghum (Hulled Sorghum), Sorghum, Wheat, Wheat (Buckwheat), Wheat (Buckwheat groats), Wheat (Buckwheat hulled (Dehulled buckwheat)), Wheat (Buckwheat kernelss (also called: hulled buckwheat)), Wheat (Buckwheat shell), Wheat (Buckwheat unhulled (Buckwheat whole)); Oils &amp; Oleoresins: Oils (Flax oil), Oils (Hemp oil crude), Oils (Maize(Corn) oil), Oils (Pumpkin oil), Oils (Sesame oil), Oils (Soybean oil), Oils (Sunflower oil); Nuts/Seeds: Black Sesame Seed, Flax seeds, Golden Flax seeds, Hemp seeds, Hulled hemp seeds, Hulled sesame, Pine Nuts (Pine nut kernels), Sesame, Sunflower kernels, Sunflower seeds, Sunflower shell, White sesame seed; Fruits/Vegetables: Beans (Hulled adzuki beans), Beans (Hulled mungbeans (Moong Dal)), Beans (Hulled soybeans), Beans (Mungbeans), Beans (Pinto Beans (Light Speckled Kidney Beans)), Beans (Red kidney beans), Beans (Soybeans), Beans (White Kidney Beans), Beans (Green soybean), Beans (Adzuki beans), Beans (Black kidney beans), Beans (Black soybean (also called: Black soybean with green kernel)), Beans (Cowpea), Vegetables (Chick pea), Vegetables (Potato), Vegetables (Pumpkins), Vegetables (Pumpkin kernels), Vegetables (Pumpkin seeds), Vegetables (Pea); Dry/Baking Goods: Flours and Meals (Cowpea powder(flour)), Flours and Meals (Flax seed powder(flour)), Flours and Meals (Maize(Corn) powder(Flour)), Flours and Meals (Millet powder (flour)), Flours and Meals (Mungbean Powder (Flour)), Flours and Meals (Oat flour), Flours and Meals (Pinto Beans powder(flower)), Flours and Meals (Pumpkin powder(flour)), Flours and Meals (Adzuki Bean powder (flour)), Flours and Meals (Black kidney beans powder (flour)), Flours and Meals (Brown rice flour), Flours and Meals (Buckwheat powder (flour)), Flours and Meals (Chick pea powder(flour)), Flours and Meals (Sorghum Powder (Flour)), Flours and Meals (Soybean powder (Flour)), Flours and Meals (Wheat powder (Flour)), Powders (Wheat starch), Powders (Corn starch), Powders (Red kidney beans powder(flower)), Powders (Rice Powder (Flour)); Animal Feed: Corn chop, Corn mix powder, Corn skin, Livestock Feed (Flax seed cake), Livestock Feed (Flax meal), Livestock Feed (Hemp seed cake), Livestock Feed (Hemp meal), Livestock Feed (Pumpkin seed cake(meal)), Livestock Feed (Pumpkin seed meal pellet), Livestock Feed (Rice bran (meal)), Livestock Feed (Corn pellet), Livestock Feed (Corn gluten (meal)), Livestock Feed (Soymeal pellet), Livestock Feed (Sunflower meal), Millet bran, Oat bran, Puffed (extruded/expanded) soybean, Puffed (extruded/expanded) soybean meal, Puffed corn, Rolled/crushed corn (also called corn flake), Sesame cake (meal), Soybean hulls, Soybean husk, Soybean meal (also called Defatted soyeban meal), Soybean oil cake (Soy oil cake), Wheat bran, Wheat pellet</t>
  </si>
  <si>
    <t>Other Grains, Pastas and Cereals: Corn, Corn cob, Sesame, Soybean, Sunflower seed, Sunflower seed kernel; Nuts/Seeds: Peanuts (Black peanut in shell), Peanuts (Black peanut kernel), Peanuts (Blanched peanut kernel), Peanuts (Peanut in shell), Peanuts (Peanut kernel); Fruits/Vegetables: Beans (Adzuki), Beans (Black kidney beans (black beans; black turtle beans)), Beans (Light speckled kidney beans (cranberry bean)), Beans (Mung bean), Beans (Red kidney beans (british red/dark red kidney beans)), Beans (White kidney beans (navy bean; medium white kidney beans).)</t>
  </si>
  <si>
    <t>Other: Adzuki Bean, Adzuki Bean, Bean Family, Beans, Brown Rice Flakes, Buckwheat, Buckwheat, Buckwheat Products, Buckwheat Products, Cereals, Cereals, Coix fruit, Coix Seeds, Coix Seeds, Corn Flakes, Flaked Maize, Corn Flakes, Flaked Maize, Grain Maize, Kidney Beans, Kidney Beans, Maize, Maize, Maize Flour, Maize Grits, Maize Grits, Meals, Millet, Millet, Mung(bean), Mung(bean), Mung(bean) Proteiine, Oat, Peanuts, Peanuts, Peanuts Kernels, Peanuts Kernels, Quinoa, Quinoa, Quinoa Dried, Rice, Rice Products, Rice Products, Sesame, Sesame, Sesame Products, Sorghum, Sorghum, Soy Bean, Soy Bean</t>
  </si>
  <si>
    <t>Other: Aamalaki Powder, Aamlaki Powder, Acacia arabica powder, Acorus calamus Powder, Agra Jaljeera Powder, Ajwain, Ajwain Powder, All Spice, All spice powder, Almond, Almond Oil, Aloe Vera Powder, Aloevera leaves, Amaranth Flour, Amaranth seed/ Ram dhana, Amla dried/ Emblica Officinalis(Amla/Indian Gooseberry), Amla powder, Amla TBC, Ananthamool Powder/Sariva Powder(Hemidesimus In.po), Ananthamoola TBC, Anise/Aniseed, Annatto Powder, Apricot oil, Arhar dal (Red gram/Pigeon pea), Arjun bark, Arjun powder (Terminalia arjuna ), Arrow Root, Arrowroot powder, Asafoetida, Ashok (Saraca Indica), Ashoka powder, Ashwagandha, Ashwagandha Powder, Ashwagandha root, Ashwagandha TBC, Asparagus racemosus (Shatawar), Asparagus racemosus/Shatawar TBC, Bajra Flour, Barbeuqe Seasoning, Barley- Dehulled, Barley flour, Barley Grass Powder, Barley Porridge/Dalia, Barley whole, Barnyard Millet Flour, Basil/Tulsi, Basmati Paddy, Basmati Rice, Basmati Rice - White (Pusa - 1121), Basmati rice-brown, Basmati rice-white, Bay Leaf, Bay leaf powder, Bay leaves/Tejpatta, Beet root, Beet Root powder, Bel Powder, Bengal Gram Flour/ Gram Flour/Besan, Bengal gram whole, Bhoomi Amla Powder, Bhringaraja TBC, Bilva Powder (Aegle marmelos), Black Cumin, Black Cumin Powder, black gram split white, Black gram white whole, Black gram/Urd (Vigna sp.), Black mustard oil, Black Mustard Seed, Black Pepper, Black pepper (garbled), Black pepper crushed, Black Pepper Powder, Black pepper TBC, Black sesame, Black tea, Brahmi Powder, Brahmi/Bacopa monnieri, Brahmi/Bacopa monnieri Powder, Brown mustard, Brown mustard oil, Brown Rice, Buck wheat (seed quality), Buckwheat (other than seed), Buckwheat flour, Cane molasses, Cardamom, Cardamom Large (Black), Cardamom Powder, Cardamom Seed, Cardamom TBC, Cashew Whole, Cassia, Cassica fistula Powder, Castor Oil (Edible grade), Castor seeds, Celery Powder, Celery Seed, Centella asiatica, Chamomile (M.chamomile), Chamomile powder, chana Dal, Chana Masala, Chat masala, Chia, Chickpea/Kabuli Chana (garbanzos), Chicory root, Chicory root powder, Chicory TBC, Chilli dried, Chilli powder, Chilli whole (dry), Chitra Kidney beans/Rajma (Phaseolus vulgaris), Chitrak Powder(Plumbago zeylanica), Cinnamon, Cinnamon bark, Cinnamon bark powder, Cinnamon dried, Cinnamon powder, Cinnamon TBC, Clove powder, Clove TBC, Clove whole, Cloves, Coconut oil, Coconut powder/dried coconut powder, Coffee beans, Coffee Powder, Coleus root powder, Coriander Powder, Coriander seed, Coriander seed whole, Coriander split, Coriander TBC, Cowpea, Cowpea split, Cowpea/Lobia whole(V.unguiculata/sinensis), CTC Tea, Cumin Powder, Cumin seed, Cumin whole, Curry Leaf powder, Curry Leaf TBC, Curry leaf/leaves, Curry powder, Cyperus rotundus/Musta powder, Dehydrated onion powder, Dill powder (Aowa), Dill seed (Aowa), Dilli Paneer Masala, Dilli Rajma Masala, Dried Clove, Dried Curry leaves, Dried garlic, Dried nutmeg shelled, Dried Thyme, Dry rose petals-Pink, Dry rose petals-Red, Eclipta alba (Bhrigjraj/Bhringraj), Eclipta alba Powder, Eucalyptus Citriodora Leaves TBC, Eucalyptus globulus powder, Eucalyptus leaves, Fennel (seed quality), Fennel Powder, Fennel tea bag cut, Fennel/saunf, Fenugreek, Fenugreek Crushed, Fenugreek Powder (Methi Powder), Fenugreek Seed (Methi Seed)/ Fenugreek, Fenugreek TBC, Flax seed oil, Flax seed powder, Foxtail Millet, Foxtail Millet flour, Fruit Vinegar, Galangal (Alpinia galanga ), Galangal Powder, Galangal roots, Galangal TBC, Garam Masala, Garam masala powder - medium, Garcinia cambogia powder, Garlic, Garlic flakes, Garlic Granules, Garlic Powder, Giloy powder, Ginger Flakes, Ginger fresh, Ginger Powder, Ginger sliced dried, Ginger TBC, Ginger whole, Ginger whole (dried), Gluten Free Daliya, Gokshura Fruit (Tribulus terrestris), Gokshura powder-tribulus terrestris, Gokshura TBC, Gotukola Powder, Gotukola TBC-Centella asiatica, Gram Flour/Besan, Green Cardamom, Green Cardamom Powder, Green Chilli Powder (dry), Green Gram flour, Green gram powder/ Moong Dal Powder, Green gram spilt yellow/ Moong Dal yellow, Green Gram Whole (Moong Sabut), Green gram/Moong dhuli, Green pepper powder, Green tea dried TBC, Groundnut oil/Peanut Oil, Groundnut/Peanut, Guar seeds, Guggal powder, Gymnema, Gymnema powder, Haritaki Fruit, Haritaki powder/ Terminalia chebula Powder, Haritaki/Harad(Terminalia chebula), Harjor powder, Henna (Lawsonia inermis/alba), Henna Leaves, Henna Powder, Herbal tea, Hibiscus, Hibiscus petal-Tea bag cut, Hibiscus rosa sinensis powder, Hibiscus Sabdariffa petals dry, Hibiscus Sabdariffa petals TBC, Hibiscus sabdariffa Powder, Holy Basil, Holy Basil Powder, Hulled Sesame/Sesamum, Idli Flour/powder, Idly rava, Indigo Powder, Italian Seasoning, Jaggery, Jaggery Cubes, Jaggery powder, Jamun patrai-Eugenia jambalana, Jamun Seed powder, Kalmegh powder (Andrographis paniculata), Kalmegh(Andrographis penniculata), Kalonji/nigella, Kapha spice mix, Karela/Bittergourd Powder, Kasuri methi, Kodo/ Kodon Millet, Krishna Tulsi TBC-Ocimum basilicum, Lemon Grass, Lemon Grass oil, Lemon grass Powder, Lemon Grass root powder, Lemon grass TBC, Lemon peel dried, Lemon peel powder, Lemon Peel TBC, Lemon powder, Liquorice powder, Liquorice roots, Liquorice TBC, Little millet, Mace, Mace Powder, Maize (Corn), Maize/ corn porridge (Dalia), Maize/Corn flour, Mango (sliced dried), Mango dried, Mango Flour / Powder, Mango Powder/ Aamchur, Mango Powder/ Aamchur, Manjista TBC, Manjistha/Rubia cordifolia, Manjistha/Rubia cordifolia Powder, Masala Chai, Masoor Dal, Masur/Masoor dhuli, Matki/Moth Bean, Meat Masala, Mentha arvensis TBC, Mexican Seasoning, Millet, Mimosa pudica Powder, Minced Garlic, Mint Powder, Mix Dal, Mix spices (Dry), Mixed Grain porridge, Mixed seasonings, Moringa dried leaves, Moringa leaves, Moringa Oil, Moringa oleifera Leaf powder, Moringa Powder, Moringa seed, Moringa Tea, moth dal, Mucuna pruriens (Mucuna), Mucuna pruriens Powder, Mulethi (Glycyrrhiza glabra), Multi Grain Flour (Atta), Mumbai Pau Bhaji Masala, Musta TBC, Mustard, Mustard - Black, Mustard black powder, Mustard flour, Mustard Oil (crude), Mustard Powder, Mustard Seeds-Yellow, Neem Leaves, Neem leaves powder, Neem oil, Neem powder, Non-Basmati Rice, Nutmeg (Shelled)/ Dried nutmeg shelled, Nutmeg Powder, Nutmeg Whole, Nutri flour/ Nutra Flour, Oats (Flakes), Onion, Onion flakes, Onion Granules, Onion Minced, Onion Powder, Oregano, Organic saffron Powder, Papaya leaves Powder, Papaya Leaves TBC, Paprika (Capsicum annuum), Parsley, Parsley leaves, Parsley powder, Pepper Long / PippaIi (Piper longum), Peppermint, Peppermint leaves, Peppermint tea cut, Peshawari Biryani Masala, Peshawari Tikka Masala, Pitta spice mix, Poha Flattened Rice, Pomegranate seed powder, Proso Millet, Psyllium husk (isobgul), Psyllium husk powder, Psyllium seed powder, Psyllium seed(isobgul), Punarnava powder, Punarnava root, Punarnava TBC, Quinoa, Ragi (Finger Millet- other than seed), Ragi Flour, Raisins, Rama Tulsi TBC-Ocimum sanctum, Rama Tulsi-Ocimum sanctum, Rapeseed/Rai/Rye, Rasam powder, Red Chilli (whole), Red Chilli Flakes, Red Chilli Powder, Red Kidney beans/Rajma (Phaseolus vulgaris), Red Rice, Red Rice Flour, Rice Flakes, Rice flour, Rice Puffed, Rice-Sona Masuri, Rose Petal TBC, Rose petals powder, Rose Petals T-Cut, Rosemary, Sabji Masala, Safed Musli powder, Safed Musli/Chlorophytum borivilianum, Safflower Seed Oil (Kardi Seed Oil), Saffron, Sambar Mix/ Sambar Powder, Sambhar Powder, Sawan/Barnyard Millet, Senna Leaves Powder, Senna Leaves Tea Bag Cut (TBC), Senna pods, Senna Pods Powder, Senna Pods TBC, Sesame Oil/Gingelly Oil/Sesame Seed Oil, Sesame seeds, Shankapushpi TBC, Shankhaspushpi powder, Shatavari, Shatavari powder, Shikakai, Shikakai powder, Sida cordifolia Powder, Soap Nut/Reetha ( Powder), Soap Nut/Reetha Nuts, Sorghum, Sorghum Flour, Soyabean/Soybean Flour, Spearmint leaves, Special Turmeric Powder, Special turmeric Powder Turmeric saffron latte, Split Green gram/Moong (Vigna sp.), Split Lentil, Star anise, Stevia leaves-dried, Stevia/Stevia rebaudiana powder, Sugar, Sugar (Brown/Natural), Suji/Semolina/ Cream of Wheat, Sunflower oil: edible grade, sunflower seed oil, Sunflower seeds: Of seed quality, Tamarind Powder (Imli), Tandoori Masala, Terminalia bellirica powder, Terminalia bellirica/baheda, Terminalia chebula Powder, Thymes, Triphala, Triphala Powder, Tulsi Cinnamon Rose, Tulsi Detox, Tulsi leaves dry, Tulsi leaves powder/Tulsi Powder, Tulsi Powder, Tulsi TBC/Tulsi TBC Blend, Turmeric Dried, Turmeric flakes, Turmeric Fresh, Turmeric Powder, Turmeric TBC, Turmeric whole-dried, Valerian powder, Vana tulsi TBC-Ocimum gratissimum, Vanilla Bean, Vanilla Powder, Vanilla TBC, Vata spice mix, Vidanga Powder, Vidarikanda (Ipomoea digitata) Powder, Virgin Coconut oil, Walnut, Walnut oil, Wheat flour, Wheat Porridge/Dalia, Wheatgrass, Wheatgrass powder, White Onion, White Pepper, White pepper crushed, White Pepper powder, White Rice flour, Whole Wheat Atta Premium, Yellow Mustard, Yellow Mustard Powder/ ground</t>
  </si>
  <si>
    <t>Processed  Items: Seeds (grain or seed cleaning, bagging and labeling.)</t>
  </si>
  <si>
    <t>Other: Apple Cobbler Cereal Bars, Apple Fruit &amp; Grain Bar, Blueberry Cobbler Cereal Bars, Blueberry Fruit &amp; Grain Bar, Mixed Berry Fruit &amp; Grain Bar, Strawberry Cobbler Cereal Bars, Strawberry Fruit &amp; Grain Bar, This Apple Walks into a Bar Cereal Bars, This Blueberry Walks into a Bar Cereal Bars, This Strawberry Walks into a Bar Cereal Bars</t>
  </si>
  <si>
    <t>Other Grains, Pastas and Cereals: Roasted: Soybeans, Corn, Barley</t>
  </si>
  <si>
    <t>Other Grains, Pastas and Cereals: Oats, Rye, Wheat (Hard Red Spring Wheat); Other: Clover, Soybeans, Triticale</t>
  </si>
  <si>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</si>
  <si>
    <t>Other Grains, Pastas and Cereals: CANOLA SEED, CORN, SUNFLOWER; Fruits/Vegetables: Beans (SOYBEAN)</t>
  </si>
  <si>
    <t>Personal Care: Essential Oils (Peppermint, Lavandin Grosso); Other: Corn (Grain), Wheat</t>
  </si>
  <si>
    <t>Other Grains, Pastas and Cereals: Quinoa (Royal Quinoa Black, Royal Quinoa Red, Royal Quinoa White)</t>
  </si>
  <si>
    <t>Beverage Related Products: Coffee (Roasted and ground coffee (Jurere extraforte, Jurerê gourmet, Jurerê superior, Jurerê thermocoffee, Jurere tradicional, Pingo preto extraforte, Pingo preto tradicional)), Coffee (Roasted grain coffee (Jurere gourmet))</t>
  </si>
  <si>
    <t>Processed  Items: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Coconut Syrup, Organic Dried Mango Strips, Organic Dried Chili Mango Strips, Organic Dried Mango (Brand-BASICALLY) (Mangues Séchées Bio), Organic Dried Chili Mango (Brand-BASICALLY), Organic Dried Pineapple Pieces (Morceaux D'ananas Séchés Bio), Organic Dried Chili Pineapple, Organic Dried Apple Rings, Organic Mango Strawberry &amp; Lemon Bites (Bouchées Bio Mangue Fraise Et Citron), Organic Dried Mango Spicy (Mangues Séchées Bio Épicée), Organic Dried Pineapple Spicy (Morceaux D'ananas Séchés Bio Épicée), Organic Dried Apple Pieces (Morceaux De Pommes Séchés Bio), Organic Dried Mango Diced (Brand-Just About Foods) (Retail). Organic Creamy Peanut Butter Salted, Organic Chunky Peanut Butter Salted, Organic Mango Bites Dried, Organic Mango Slices Dried (Brand-Odds &amp; Ends) (Retail). Gluten-Free Organic Coconut Flour (Brand-Higher Harvest By H-E-B) (Retail). Gluten Free All Purpose Flour Blend (Brand- H-E-B Organics) (Retail). Organic Soft Dried Mangoes, Organic Dried Mangoes Spicy, Organic Dried Pineapple, Spicy Organic Dried Pineapple (Brand-Amphora International) (Retail). Organic Coconut Flour, Organic Coconut Syrup (Brand- Wichy Plantation Company (Pvt) Ltd) (Retail). Organic Tapioca Starch (Brand- Gonçalves &amp; Tortola S/A) (Retail). The products below are “Certified in accordance with the terms of the U.S.-Canada Organic Equivalency Arrangement" Organic Peanut Butter Creamy, Organic Peanut Butter Crunchy, Organic Chia Seeds, Organic Chickpea Flour, Organic Blue Corn Flour, Organic Coconut Flour, Organic Banana Flour, Organic All Purpose Gluten Free 1 To 1 Baking Flour, Organic &amp; Gluten Free Chickpea Crumbs Breading Substitute (Substitut De Chapelure De Pois-Chiches Biologique Sans Gluten Et Sans Grains), Organic &amp; Gluten Free Peanut Crumbs Breading Substitute (Substitut De Chapelure De Arachides Biologique &amp; Sans Gluten), Organic Dried Apple Rings, Organic Dried Mango Strips, Organic Dried Mango (Mangues Séchées Bio), Organic Dried Pineapple Pieces (Morceaux D'ananas Séchés Bio), Organic Dried Apple Pieces (Morceaux De Pommes Séchés Bio), Organic Dried Mango Diced (Brand-Just About Foods) (Retail). Organic Creamy Peanut Butter Salted, Organic Chunky Peanut Butter Salted, Organic Mango Slices Dried (Brand-Odds &amp; Ends) (Retail). Gluten-Free Organic Coconut Flour (Brand-Higher Harvest By H-E-B) (Retail). Gluten Free All Purpose Flour Blend (Brand-H-E-B Organics) (Retail). Organic Soft Dried Mangoes, Organic Dried Pineapple (Brand-Amphora International) (Retail). Organic Coconut Flour, Organic Coconut Syrup (Brand-Wichy Plantation Company (Pvt) Ltd) (Retail).</t>
  </si>
  <si>
    <t>Other: Basmati rice
Black gram/Urd
Brown gram/Gram/Chana
Chickpea/Kabuli Chana
Green Gram Whole (Moong Sabut)
Lentil
Maize grain
Pigeon pea/Arhar whole
Raw Cotton
Soyabean/Soybean White
Wheat</t>
  </si>
  <si>
    <t>Other: Marketing and Distribution: Livestock Feed - Compressed Alfalfa Hay, Marketing and Distribution: Livestock Feed - Compressed Timothy Hay, Marketing and Distribution: Livestock Feed - Grain Corn</t>
  </si>
  <si>
    <t>Other Grains, Pastas and Cereals: Sesame, Soybean</t>
  </si>
  <si>
    <t>Other: Packaging &amp; Labeling, Grain &amp; Bean Extrusion, Pelleting</t>
  </si>
  <si>
    <t>Preservatives/Extracts/Flavors: Spices (Paprika (bulk)); Animal Feed: Dairy Mineral, Livestock Feed (1:1 Heifer Premix Granular), Livestock Feed (16% Dairy Pellet), Livestock Feed (Henhouse Reserve), Livestock Feed (16% Goat Feed Pellets), Livestock Feed (17% Layer Crumbles), Livestock Feed (17% Layer Pellet), Livestock Feed (18% Calf Starter), Livestock Feed (20% Chick &amp; Meatbird Starter-Grower Crumbles (O1040C)), Livestock Feed (20% Chick &amp; Meatbird Starter-Grower Pellets (O1040P)), Livestock Feed (34% Beef Supplement), Livestock Feed (All Season Beef Mineral), Livestock Feed (Chick Food Starter-Grower Crumbles), Livestock Feed (Chicken Food Layer Crumbles), Livestock Feed (Chicken Food Layer Mini Pellets), Livestock Feed (Custom Beef Feed), Livestock Feed (Custom Dairy Feed), Livestock Feed (Custom Goat Feed), Livestock Feed (Custom Poultry Feed), Livestock Feed (Custom Sheep Feed), Livestock Feed (Custom Swine Feed), Livestock Feed (Family Fixin' Sow &amp; Pig Feed Pellets), Livestock Feed (Free-Choice Beef Mineral), Livestock Feed (Layer Feed for Chicken &amp; Ducks), Livestock Feed (Scratch Grains), Molasses, O1P16NPO OT1117 Mixer Pellet (Ingredient), OmEGGa, Soybean Meal, Soybean Oil, Yellow Corn (Bulk)</t>
  </si>
  <si>
    <t>Other: Alfalfa Seeds, Barley Seeds, Buckwheat Seeds, Clover Seeds (Sweet Yellow Blossom), Fava Bean Seeds, Festulolium Seeds, Flax Seed (brown), Oats Seeds, Orchard Grass Seeds, Pea Seeds, Radish Seeds, Red Clover Seed, Rye Grain Seeds, Ryegrass (annual) Seeds, Ryegrass (perennial) Seeds, Timothy Seeds, Triticale Seeds, Various Seeds (Custom Seed Mix), Various Seeds (Custom Seed Mix - Treated), Vetch Seeds, Wheat Seeds</t>
  </si>
  <si>
    <t>Other Grains, Pastas and Cereals: Seeds (Cacao en grano;
Cardamom - Cardamomo - Oro;)</t>
  </si>
  <si>
    <t>Dry/Baking Goods: Flours and Meals (Soybean meal); Other: Contract services provided for grain storage and handling., Yellow corn, Yellow soybeans</t>
  </si>
  <si>
    <t>Other: Grain Storage &amp; Handling</t>
  </si>
  <si>
    <t>Other: Barley, Corn, Soybean, Soybean meal, Soybean Oil, Wheat, Grain, Flax</t>
  </si>
  <si>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</si>
  <si>
    <t>Other: Milk (Raw)</t>
  </si>
  <si>
    <t>Other: Alfalfa Seed, Bean Seed, Celery Seed, Kale Seed, Lettuce Seed, Pepper Seed, Seed (Arugula), Seed (Beets), Seed (Broccoli), Seed (Brussels Sprouts), Seed (Carrot), Seed (Cauliflower), Seed (Celeriac), Seed (Chinese Cabbage), Seed (Coriander), Seed (Corn), Seed (Dill), Seed (Fennel), Seed (Flowers), Seed (Garlic), Seed (Grain), Seed (Greens), Seed (Kohlrabi), Seed (Leeks), Seed (Melon), Seed (Onion), Seed (Parsley), Seed (Radish), Seed (Shallot), Seed (Spinach ), Seed (Turnip), Seed (Cucumber), Seed (Squash), Seed Distributor (Client Profile Products only) (Vegetable, Fruit, Herb, &amp; Cover Crop Seed), Tomato Seed</t>
  </si>
  <si>
    <t>Other: Alfalfa Hay, Hay, Organic Hay Handling</t>
  </si>
  <si>
    <t>Other: BactoCEASE® NV OR 6 Liquid, BactoCEASE® NV OR Liquid, BactoCEASE® NV-K OR 6 Liquid, CA-FORT 1002 OR Liquid, CA-FORT™ 1010 OR Liquid, CA-FORT™ 1015 OR Liquid, CA-FORT™ 1025 OR DRY, CA-FORT™ 1040 OR D Liquid, Luxiva Full Spectrum CBD distillate 1 kg &amp; 5 kg, Luxiva Full Spectrum CBD distillate-Global Friendly 1 kg &amp; 5 kg, Naturox® OR-25 Liquid, Organic Dried Kelp, Organic High Oleic Sunflower Oil #450/452, Organic KEM GLO™ Dry, Organic ORO GLO® Dry, Organic ORO GLO® Dry (Organic Marigold Meal Standardized), Organic Paprika, Organic Rice Flour, Organic Rosemary CA30%, Organic Tagetes Meal (Aztec Marigold; 100% Organic Marigold Pellets), Organic White Distilled Vinegar, 120 Grain, Organic White Distilled Vinegar, 300 Grain</t>
  </si>
  <si>
    <t>Other: Rice (Brown) (Long Grain), Rice (Brown) (Medium Grain), Rice (Brown) (Whole Grain), Rice (White) (Long Grain), Rice (White) (Medium Grain), Rice Milling</t>
  </si>
  <si>
    <t>Processed  Items: Organic Roasted Seaweed With Sea Salt, Vacuum Packed Organic Beets; Other Grains, Pastas and Cereals: Organic Chickpeas - Tetra Pak, pouch orgainc chick peas, pouch organic lentils, Rice (organic brown rice), Rice (organic jasmine rice); Oils &amp; Oleoresins: Oils (coconut oil organic); Nuts/Seeds: Chestnuts (Guiltless Gourmet 4 pk Organic Chesnuts), Chestnuts (Organic Roasted Peeled Chestnuts); Fruits/Vegetables: Organic Red Beets; Dry/Baking Goods: Flours and Meals (coconut flour organic), Sugar (Coconut Sugar), Sugar (Organic Date Sugar); Condiments and Sweeteners: Amino coconut organic, Organic Squeezable Tahini, Organic Tomato Paste In A Tube, Syrups (12 oz Maple Syrup), Syrups (8 oz Maple Syrup), Syrups (Organic Date Syrup), Vinegar (Organic Apple Cider Vinegar); Bread/Bakery/Snacks: Crackers (Ancient Grain Organic Spelt Matzo), Crackers (Organic Spelt Matzo (Jerusalem)), Crackers (Organic Spelt Matzo (Manishevitz)), Crackers (Organic Whole Wheat Matzo), Crackers (Organic Whole Wheat Matzo (passover)), Crackers (Spelt Matzo), Crackers (Spelt Organic Matzo); Beverage Related Products: Cola (Sparkling Organic Cola), Half &amp; Half Lemonade - Small, Juice (Basil Cucumber Watermelon Juice), Juice (Cayenne Lemon Waterlemon Juice), Juice (Organic Grape Juice), Juice (Beet &amp; Berry Juice), Juice (Beet &amp; Cherry Juice), Juice (Beet &amp; Tropical Fruit Juice), Juice (Beet &amp; Veggie Juice), Juice (Beet Lemon &amp; Ginger Juice), Juice (Lemon basil Jalapeno Wonder Lemon), Juice (Lemon Ginger Wonder Lemon), Juice (Lemon Mint Wonder Melon), Juice (Organic Pomogranite Juice), Lemonade - Large, Lemonade - Small, Organic Blood Orange Soda, Organic Lemon Soda, Sparkling Lemonade - Large, Sparkling Lemonade - Small, Tea (Black Tea Iced Tea – Large), Tea (Black Tea Iced Tea – Small)</t>
  </si>
  <si>
    <t>Other Grains, Pastas and Cereals: Barley (Barley (Bulk)), Corn (Bulk), Oats (Oats (Bulk)), Soybeans (Bulk), Wheat (Wheat (Bulk)); Animal Feed: Hay (Bulk), Straw (Bulk)</t>
  </si>
  <si>
    <t>Animal Feed: Livestock Feed (12% Protein Organic Feed), Livestock Feed (16% Protein Organic Feed), Livestock Feed (18% Protein Organic Feed), Livestock Feed (Custom Feed Blend), Livestock Feed (Soybean Meal (48%)), Livestock Feed (Whole Grain Corn)</t>
  </si>
  <si>
    <t>Other: Fermented Grain Products( Fermented Wheat Flour)</t>
  </si>
  <si>
    <t>Other: Various (20498518 Upgrade WS), Various (20704475 Upgrade WS), Various (DuraFresh 2016 AO (20589066, 20684756)), Various (Fermented grain products (Fermented wheat flour)), Various (Upgrade WS WIP Bulk (20684762)), Various (Wheat Based Mold Inhibitor (20663134))</t>
  </si>
  <si>
    <t>Other Grains, Pastas and Cereals: Beans (Soybeans: GL3191,GL3500,GLP3300, GL2980, GL3818); Other: Soybean Cleaning &amp; Bagging, Soybean Storage</t>
  </si>
  <si>
    <t>Other: Long Grain Broken White Rice, Long Grain Brown Rice,, Paddy (basmati), Paddy Long Grain, Paddy Long Grain Rice, Supper Basmathi Broken Brown Rice, Supper Basmathi Broken White Rice, Supper Basmati Rice (Brown), Supper Basmati Rice (White)</t>
  </si>
  <si>
    <t>Other Grains, Pastas and Cereals: Rice (Black Berry rice (Riceberry), Black rice, Broken rice (Brown/White/Black), Buatip - Black rice , Buatip - Broken rice (Brown/White/Black), Buatip - Hommali rice (White,Brown) , Buatip - Red rice , Food nation - Black Berry rice (Riceberry) , Food nation - Hommali rice (White,Brown) , Food nation - Red rice , Four Elephants - Hom Mali Rice / Jasmine Rice, Hommali rice (White,Brown), Red rice)</t>
  </si>
  <si>
    <t>Other: Beans (Black Beans), Beans (Mung Beans), Beans (Red Beans), Buckwheat, Cereal (Mixed), Chestnuts (Peeled, Roasted), Corn, Grains (Coix Seed), Grains (Red Sorghum), Grains (White Sorghum), Millet, Millet (Hulled), Rice (Black Rice), Soy Products (Soy Sauce), Soybeans</t>
  </si>
  <si>
    <t>Dry/Baking Goods: Bakers Flour, Barley (Bran, Flour, Grain, Pearl), Besan (Flour), Brown Rice (Flour, Grain), Buckwheat (Flour, Grain, Husks, Kernels, Unhulled Grain), Cane Sugar, Chickpeas (Split, Brown, White), Grain Mix Concentrate, Khorasan (Flour, Grain), Linseed, Maize (Coarse Grits, Grits, Kibbled, Medium Grits, White Flour, White Grain, Yellow Flour, Yellow Grain, Yellow Meal), Millet (Flour, Hulled, Meal, Pearled, White French), Millrun, Mung Beans, Oat (Bran, Bran Flour, Grain, Groats), Plain Flour (High Protein, High Protein Wholegrain), Popping Corn, Premium Bakers Flour 11.0, Purple Wheat (Grain, Kibbled, Plain Wholegrain Flour), Rice (Kibbled, White Flour, White Grain), Rye (Grain, Kibbled, Wholegrain Flour), Sorghum (Flour, Grain, White Grain), Soya (Bean, Flour, Grits, Splits) Soya Bean Grits Flour (Hulled, Unhulled), Spelt (Flour, Wheat Grain, Whole Grain Flour), Sunflower (Cracked Kernels, Fine Kernels, Kernels, Meal, Cold Pressed Oil, Sprouting Seeds), Stoneground Wholegrain Flour (Khorasan, Plain, Soft Cake, Bakers), Unbleached Flour (Plain, Bread &amp; Pizza, Soft Cake), Wheat (All Purpose Flour, Bran, Strong Flour, Medium Flour, Weak Flour, Grain, Durum, Kibbled, Pollard, Wholemeal Flour) Polenta (Rustic White, Rustic Yellow), Cakes (Pancake Mix (Buckwheat, Original))</t>
  </si>
  <si>
    <t>Other Grains, Pastas and Cereals: Rice (White/brown organic hommali rice)</t>
  </si>
  <si>
    <t>Dry/Baking Goods: Baking Mixes (Happy Campers Gluten Free: Easy Peasy Flour Mix); Bread/Bakery/Snacks: Bread (Happy Campers Gluten Free: Buckwheat Molasses Bread), Bread (Happy Campers Gluten Free: Classy Slice Bread), Bread (Happy Campers Gluten Free: Cravin' Raisin Bread), Bread (Happy Campers Gluten Free: Food Service Long Slice Bread), Bread (Happy Campers Gluten Free: Hemp Hemp Hooray! Bread), Bread (Happy Campers Gluten Free: Yum White Whole Grain Bread), Buns (Happy Campers Gluten Free: Wild Buns)</t>
  </si>
  <si>
    <t>Other: 08004 White Whole Wheat Flour 2#, 200717 Rye Chops 40 #, 210099 Rye Flour, 210378 Medium Rye Flour 40#, 21050 High Gluten Flour 50#, 211380 Organic Masa Harina Flour 2#, 211674 Organic Masa Harina Flour 50#, 22050 Whole Wheat Flour 50#, 22550 White Whole Wheat Flour 50#, 23050 Select Artisan 50#, 23550 Select Artisan Unmalted Flour 50#, 24050 Bakers Classic 50#, 24550 Baker's Classic Unmalted Flour 50#, 25050 Baker's Classic Flour w/ Restored Germ Flour 50#, 26050 PQ Blend Flour 50#, 27050 Hi Extraction Flour 50#, 28050 Pastry Flour 50#, 28150 Type 65 Flour 50#, 28250 Unbleached Cake Flour 50#, 28260 Hard Wheat Berries 25#, 28270 Soft Wheat Berries 25#, 28305 Rye Berries 25#, 28310 Rye Meal 20#, 28315 Whole Rye Flour 20#, 28320 Light Rye Flour 25#, 28325 Dark Rye Flour 20#, 28350 Dark Rye 40#, 28425 White Spelt Flour 25#, 28525 Whole Spelt Flour 25#, 28625 Yellow Corn Meal 25#, 28725 Yellow Corn Grits 25#, 28825 Cracked Wheat Flour 25#, 28925 Super Sprout™ Ancient Grain Flour 20#, 28950 Super Sprout™ Wheat Flour 50#, 29050 Whole Wheat Pastry Flour 50#, 29155 Multigrain 7 Blend Flour 25#, 29160 Multigrain 7 Blend Flour 50#, 308005 All-Purpose Flour 2#, 308006 All-Purpose Flour 5#, 308100 Whole Wheat Flour 2#, 308101 Whole Wheat Flour 5#, 308102 White Whole Wheat Flour 5#, 308103 Bread Flour 2#, 308104 Bread Flour 5#</t>
  </si>
  <si>
    <t>Trees/Whole Plant Products/Flowers: Vegetables (Flowering White Cabbage); Seasonings: Dressing (Salad cream), Dressing (Thousand island), Seasoning Blends (Vegetarian Cooking Sause), Seasoning Blends (Seafood Dipping Sauce), Seasoning Blends (Suki Sauce), Seasoning Blends (Sour Vegetable Curry Paste), Seasoning Blends (French dressing), Seasoning Blends (Japanesse soy sauce cream), Seasoning Blends (Japanesse soy sauce dressing); Processed  Items: Eggs (Egg Tofu), Ready to Eat Foods (Kimchi); Preservatives/Extracts/Flavors: Powders (Chili powder), Seasoning Blends (Panang Curry Paste), Seasoning Blends (Green curry paste), Seasoning Blends (Red curry paste), Seasoning Blends (Massaman Curry Paste), Spices (Old Ginger), Spices (Pepper), Spices (Dried chilli), Spices (Galangal); Other Grains, Pastas and Cereals: Rice (Brown Rice), Rice (Jasmine rice), Rice (Sticky rice); Oils &amp; Oleoresins: Oils (Canola oil); Fruits/Vegetables: Banana (Cavendish), Banana (Cultivated), Banana sun dried, Beans (Mung bean), Berries (Rice Berry), Coconut, Kaffir lime, Kimju Guava, Leafy Greens (Napier Grass), Leafy Greens (Mint), Leafy Greens (Acacia shoot), Leafy Greens (Andrographis paniculata), Leafy Greens (Kaffir Lime leaves), Lime, Mixed Salad Greens (Mild &amp; Crip Salad (Mix Vegetable Salad)), Mixed Salad Greens (Mix Salad (Mix Vegetable Salad)), Mixed Salad Greens (Sweet &amp; Tender Salad (Mix Vegetable Salad)), Mixed Salad Greens (Rocket salad), Mixed Salad Greens (Rocket Salad (Mix Vegetable Salad)), Mixed Salad Greens (Rocket Salad Mix), Mixed Vegetables (Mixed Bell Pepper), Mixed Vegetables (Mixed Bird Chili Pepper), Mixed Vegetables (Mixed Chili), Mixed Vegetables (Mixed Chili Pepper), Mugwort, Papaya (Holland), Passion fruit, Pineapple (Huaymuin), Pineapple (Pattawia), Pineapple (Phulae), Spices (Basil), Stone Fruit (Avocado), Stone Fruit (Avocado Hass), Vegetables (Baby Carrots), Vegetables (Baby Chinese Kale), Vegetables (Baby corn), Vegetables (Baby corn in brine), Vegetables (Baby Cos Lettuce), Vegetables (Baby Spinach), Vegetables (Rosemary), Vegetables (Shallots), Vegetables (Soybean), Vegetables (Spinach), Vegetables (Spring Onions), Vegetables (Kale (Blue Scotch)), Vegetables (Kale Mushroom), Vegetables (Asparagus), Vegetables (Sweet basil), Vegetables (Sweet corn), Vegetables (Sweet Potato (Mix)), Vegetables (Sweet Potato (Orange)), Vegetables (Sweet Potato (Purple)), Vegetables (Thai eggplant), Vegetables (Thai Lettuce), Vegetables (Thyme), Vegetables (Tomas Tomato), Vegetables (Turmeric), Vegetables (Water spinach), Vegetables (Long Cucumber), Vegetables (Beet Root), Vegetables (Bitter melon), Vegetables (Broccoli), Vegetables (Butterhead Lettuce), Vegetables (Cabbage), Vegetables (Carrot), Vegetables (Cauliflower), Vegetables (Celery), Vegetables (Cherry tomato), Vegetables (Chinese Broccoli), Vegetables (Chinese cabbage), Vegetables (Chinese Cabbage-type Pak-Choi), Vegetables (Chinese Celery), Vegetables (Chinese kale), Vegetables (Common Bean), Vegetables (Coriander/cilantro), Vegetables (Cos lettuce), Vegetables (Cucumber), Vegetables (Culantro), Vegetables (Eggplant), Vegetables (Finger roots), Vegetables (Frillice Iceberg Lettuce), Vegetables (Garden Peas), Vegetables (Garlic (Bulb)), Vegetables (Garlic (Clove)), Vegetables (Green Amarath), Vegetables (Green bell pepper), Vegetables (Green Bird Chili Pepper), Vegetables (Green Chili), Vegetables (Green Chilli Pepper), Vegetables (Green oak lettuce), Vegetables (Green Watercress), Vegetables (Holy basil), Vegetables (Japanese Bunching Onion), Vegetables (Japanese cucumber), Vegetables (Japanese Radish), Vegetables (Pomelo), Vegetables (Potato), Vegetables (Pumpkin (Japanese)), Vegetables (Pumpkin (Thai)), Vegetables (Radish), Vegetables (Red amaranth), Vegetables (Red Bell Pepper), Vegetables (Red Bird Chili Pepper), Vegetables (Red cabbage), Vegetables (Red chili), Vegetables (Red Chilli Pepper), Vegetables (Red coral lettuce), Vegetables (Red oak lettuce), Vegetables (Red Watercress), Vegetables (Okra), Vegetables (Onion), Vegetables (Wax gourd), Vegetables (White Sesame), Vegetables (Wildbetal Leafbush), Vegetables (Winged Pea), Vegetables (Yard Long Beans), Vegetables (Yellow Bell Pepper), Vegetables (Young ginger), Vegetables (Zucchini), Vegetables (Lemon grass), Vegetables (Lettuce), Vegetables (Parsley), Vegetables (Peeled Garlic), Vegetables (Pickles), Watermelon; Eggs: Eggs (Chicken Egg), Eggs (Egg-Pasteurized); Beverage Related Products: Juice (Guava juice), Juice (Passion fruit juice), Juice (Pineapple and betroot juice)</t>
  </si>
  <si>
    <t>Other: Buchu, Cutting, Drying, Green Rooibos, Honeybush, Labelling, Lemongrass, Packaging, Pasteurization, Rooibos dust, Rooibos sticks, Rooibos tea, Sealed Product Storage</t>
  </si>
  <si>
    <t>Other: Storage and Distribution of Barley, Corn, Distillers Dried Grain, Oats, Peas, Soybeans, Soybean Meal, and Wheat</t>
  </si>
  <si>
    <t>Other Grains, Pastas and Cereals: Quinoa (Black Royal Quinoa, Pre-cooked dehydrated quinoa, Quinoa Flakes, Quinoa flour, Quinoa Mix, Red Royal Quinoa, Toasted quinua, White Royal Quinoa)</t>
  </si>
  <si>
    <t>Processed  Items: Cereal (Hojuelas de Kiwicha, Hojuelas de quinua, Kiwicha Gelatinizada, Kiwicha pop, Quinua gelatinizada polvo, Quinua pop cubierta con chocolate, Quinua Pop/insuflado de quinua, Quinua precocida deshidratada); Other Grains, Pastas and Cereals: Cereal (Cañihua, granos, Granos de Kiwicha), Quinoa (Granos de quinua, Quinua blanca orgánica Andara x 250g/ 3lb, Quinua mix orgánica Andara x 250g / 3lb, Quinua negra orgánica Andara x 250g / 3lb, Quinua roja orgánica Andara x 250g / 3lb); Nuts/Seeds: Walnuts (Castañas); Health Products: Herbs (Maca gelatinizada); Fruits/Vegetables: Dehydrated Foods (Aguaymanto deshidratado, Aguaymanto seco cubierto con chocolate, Mangos secos); Dry/Baking Goods: Flours and Meals (Harina chia, Harina de cañihua, Harina de Kiwicha, Harina de quinua, Maiz morado en polvo); Condiments and Sweeteners: Sweeteners (Panela); Chocolate Goods: Cacao en grano, Cacao en polvo, Manteca de cacao, Nibs de cacao; Alcohol: Spirits (Licor de cacao); Other: Beans (Algarrobo, polvo (Ceratonia siliqua)), Seeds (Granos de chía)</t>
  </si>
  <si>
    <t>Other: Granola Gainless, Granola Multi Grain Wild Honey Sesame, Granola Multi Grain Lemon Blueberry, Garden Salad with Herbal Dressing, Garden Salad with Roasted Tofu, Granola Multi Grain Oaxacan Chocolate, Pinto Beans and Brown Rice, Millet Burger, Granola Multi Grain Cranberry Orange, Granola Multi Grain Turmeric Goji Berry, Granola Multi Grainless Cinnamon, Blueberry Lemonade, Lemonade, Mango Lemonade, Raspberry Lemonade, Strawberry Lemonade, Mild Salsa, Roasted Tomato Salsa, Roasted Tofu, Black Beans and Brown Rice, Sunflower Tarragon Dressing</t>
  </si>
  <si>
    <t>Processed  Items: Herbs (Ajwain (Trachyspermum amm) - - Organic Ajwain;
Amaranth - Kiwicha – Organic Amaranth/Amaranthus/Thotakura;
Amaranth Flour - Harina de amaranto - Organic Amaranth Flour;
Amaranth seed (Amaranthus) - Semilla de amaranto (Amaranthus) - Organic Amaranth seed/ Ram dhana;
Amla Powder (Phyllanthus emblica) - Amla polvo (Phyllanthus emblica) - Organic Amla poder;
Arroz - Arroz - Organic Basmati rice;
Arroz - Arroz - Organic Basmati rice-white;
Arroz - Arroz - Organic Brown Rice;
Ashwagandha (Withania somnifera) - - Organic Ashwagandha;
Ashwagandha (Withania somnifera) - - Organic Ashwagandha Powder;
Ashwagandha root - Raíz de Ashwagandha - Organic Ashwagandha Root;
Ashwagandha root - Raíz de Ashwagandha - Organic Ashwagandha Root Powder;
Basil (Ocimum basilicum) - Albahaca - Organic Basil seeds;
Beans - Frijol, Habichuelas, judías - Organic Matki/Moth Bean;
Black mustard (Brassica nigra) - Mostaza negra (Brassica nigra) - Organic Black Mustard Seed;
Black pepper - Pimienta negra - Organic Black Pepper;
Celery - Apio - Organic Celery Seed;
Chia - - Organic Chia;
Cinnamon crushed or ground - Canela aplastada o molida - Organic Cinnamon (Powder);
Coriander seed (Coriandrum sativum) - Semilla de cilantro (Coriandrum sativum) - Organic Coriander Powder;
Coriander seed (Coriandrum sativum) - Semilla de cilantro (Coriandrum sativum) - Organic Coriander seed/whole;
Eneldo - - Organic Dill Seed (Aowa);
Estevia - - Organic Stevia leaves-dried;
Fennel - Hinojo - Organic Fennel Powder;
Fennel - Hinojo - Organic Fennel Seed;
Fenugreek seed (Trigonella foenum-graecum) - Semilla de fenogreco (Trigonella foenum-graecum) - Organic Fenugreek;
Fenugreek seed (Trigonella foenum-graecum) - Semilla de fenogreco (Trigonella foenum-graecum) - Organic Fenugreek Powder (Methi Powder);
Fenugreek seed (Trigonella foenum-graecum) - Semilla de fenogreco (Trigonella foenum-graecum) - Organic Fenugreek Seed (Methi Seed);
Flax seed - Lino semilla - Organic Brown Flaxseed;
Flax seed - Lino semilla - Organic Flax Seed;
Flax seed - Lino semilla - Organic Flax Seed Powder;
Flax seed - Lino semilla - Organic Flax Seeds (Grounded);
Flax seed - Lino semilla - Organic Flax/Linseed Meal;
Fruits - - Organic Water Melon Seeds;
Garlic - Ajos - Organic Garlic;
Garlic - Ajos - Organic Garlic Powder;
Ginger - Jengibre - Organic Ginger Whole (Dried);
Ginger powder - Jengibre en polvo - Organic Ginger Powder;
Grain sorghum seed - - Organic Sorghum;
Green peas - Guisantes - Organic Green peas;
Lentils - Lenteja - Organic Lentil;
Lentils - Lenteja - Organic Split Lentil;
Maize/corn (Zea mays subsp. mays) - Maiz (Zea mays subsp. mays) - Organic Maize Grain;
Medical Plants - Plantas de uso médico - Organic Holy Basil Powder;
Medical Plants - Plantas de uso médico - Organic Senna Leaves Powder;), Herbs (Mustard Seed - Semillas de mostaza - Organic Brown Mustard;
Mustard Seed - Semillas de mostaza - Organic Mustard;
Mustard Seed - Semillas de mostaza - Organic Mustard Seed;
Nutmeg crushed or ground - Nuez moscada triturada o molido- Organic Nutmeg Powder;
Organic Rice - Arroz Organico - Organic Basmati rice-brown;
Organic Rice - Arroz Organico - Organic Non-Basmati Rice;
Other oil seeds and oleaginous fruits, whether or not broken Otras semillas y frutos oleaginosos, incluyendo quebrantados- Organic Flax/Linseed;
Peas - Arveja - Organic Bengal Gram Whole;
Peas - Arveja - Organic Lentil dal;
Peas - Arveja - Organic black gram split white;
Peas - Arveja - Organic black gram white whole;
Peas - Arveja - Organic Black gram/Urd (Vigna sp.);
Peas - Arveja - Organic Brown gram/Gram/Chana (Cicer arietinum);
Peas - Arveja - Organic chana Dal;
Peas - Arveja - Organic Chickpea/Kabuli Chana (garbanzos);
Peas - Arveja - Organic Chitra Kidney beans/Rajma (Phaseolus vulgaris);
Peas - Arveja - Organic Cowpea;
Peas - Arveja - Organic Cowpea split;
Peas - Arveja - Organic Cowpea/Lobia whole(V.unguiculata/sinensis);
Peas - Arveja - Organic Green gram split yellow/Moong dal-yellow;
Peas - Arveja - Organic Green Gram Whole (Moong Sabut);
Peas - Arveja - Organic Green gram/chana/Moong (Vigna sp.);
Peas - Arveja - Organic Green gram/Moong dhuli;
Peas - Arveja - Organic Horse gram whole;
Peas - Arveja - Organic Masoor (Lens Culinaris);
Peas - Arveja - Organic Masur/Masoor dhuli;
Peas - Arveja - Organic Mix Dal;
Peas - Arveja - Organic Pigeon pea/arhar whole;
Peas - Arveja - Organic Tur/ Toor Dal;
Peas - Arveja - Organic Urad (phasleolus mungo) Black gram;
Peas - Arveja - Organic Urad dal/Split Black gram;
Peas - Arveja - Organic Urad dal-Whole(White);
Peas - Arveja - Organic VAL DAL;
Plantas Medicinales - Plantas Medicinales - Organic Senna Leaves;
Plantas Medicinales - Plantas Medicinales - Organic Senna Leaves Tea Bag Cut (TBC);
Plantas Medicinales - Plantas Medicinales - Organic Senna Pods;
Plantas Medicinales - Plantas Medicinales - Organic Senna Pods TBC;
Plantas Medicinales - Plantas Medicinales - Organic Stevia/Stevia rebaudiana powder;
Psyllium - - Organic Psyllium husk (isobgul);
Psyllium - - Organic Psyllium husk powder;
Psyllium seed (Plantago ovata) - Semilla de psyllium (Plantago ovata) - Organic Psyllium seed (isobgul);
Quinoa - - Organic Quinoa;
Red kidney beans (Cicer Arietinum) - Frijoles rojos (Cicer Arietinum) - Organic Red Kidney beans/Rajma (Phaseolus
vulgaris);
Safflower seed (Carthamus tinctorius) seeds - Cártamo o alazor - Organic Safflower seeds: Of seed quality;
Sesame (Sesamum indicum) - Sesamo (Sesamum indicum) - Organic Black Sesame/Sesamum;
Sesame (Sesamum indicum) - Sesamo (Sesamum indicum) - Organic Hulled Sesame/Sesamum;
Sesame (Sesamum indicum) - Sesamo (Sesamum indicum) - Organic Natural sesame seeds;
Sesame (Sesamum indicum) - Sesamo (Sesamum indicum) - Organic Sesame/Sesamum;), Spices (Sesame (Sesamum indicum) - Sesamo (Sesamum indicum) - Organic White Sesame/Sesame;
Sesamun Seeds - Semillas de ajonjolí o sésamo - Organic Black sesame;
Sesamun Seeds - Semillas de ajonjolí o sésamo - Organic Sesame seeds;
Spices - Especias - Organic coriander seed;
Spices - Especias - Organic Cumin Powder;
Spices - Especias - Organic Cumin seed;
Spices - Especias - Organic Cumin whole;
Spices - Especias - Organic Kalonji/nigella;
Spices - Especias - Organic Nutmeg Whole;
Spices - Especias - Organic Red Chilli (whole);
Spices - Especias - Organic Red Chilli Powder;
Spices - Especias - Organic Turmeric Powder;
Sunflower seeds, whether or not broken - Semillas de girasol, incluyendo quebrantadas - Organic Sunflower seeds: Of seed quality;
Turmeric (Curcuma) - Cúrcuma - Organic Turmeric Dried;
Turmeric (Curcuma) - Cúrcuma - Organic Turmeric fingers;
Wheat - Trigo - Organic Wheat flour;
Yellow mustard (Sinapis alba) - Mostaza amarilla (Sinapis alba) - Organic mustard Seeds-Yellow;
Yellow mustard (Sinapis alba) - Mostaza amarilla (Sinapis alba) - Organic Yellow mustard;)</t>
  </si>
  <si>
    <t>Other Grains, Pastas and Cereals: Wheat; Nuts/Seeds: Organic Spelt Seed; Animal Feed: Livestock Feed; Other: Organic Custom Spelt Dehulling, Soybean Roasting, Grain Roasting</t>
  </si>
  <si>
    <t>Other: Barley (Black Barley), Barley (Whole Grain), Beans (Black Eyed Peas), Beans (Cafe Afrique Heirloom Varietal), Beans (Garbanzo (Chickpeas)), Oats (Oat Hay; Bulk), Rice (Brown), Rice (Medium Grain Paddy (Unhusked)), Rice (Medium Grain White), Rice (Sho-Chiku-Bai Sweet Rice - White, Brown), Rice (Short Grain Brown Rice), Rice (Short Grain BrownSweet Rice), Rice (Short Grain White Rice), Rice (Short Grain White Sweet Rice), Rice Flour (Mochiko Sweet Rice Flour), Rice Hulls (Bulk, non-retail)</t>
  </si>
  <si>
    <t>Other: Basmati Rice, Basmati Rice Seasoned With Cloves And Cardamom, Brown Basmati Rice, Cilantro &amp; Lime Rice/Cilantro Lime Flavored Rice, Coconut Chili Lime Rice, Long Grain White Rice, White &amp; Red Quinoa Blend, Whole Grain Brown Rice, Whole Grain Brown Rice And Quinoa Garlic Flavored / Brown Rice &amp; Quinoa With Garlic, Whole Grain Brown Rice With Ancient Grains Black Pepper</t>
  </si>
  <si>
    <t>Seasonings: Seasoning Blends (Khichadi Spice Blend), Seasoning Blends (Seasoning Blend - Six Taste Spice Mix); Personal Care: Amla Hair Oil, Body Oils (Ashwagandha Bala Massage Oil), Body Oils (Bhringraj Oil), Body Oils (Brahmi Massage Oil), Body Oils (Detox Massage Oil), Body Oils (Hair &amp; Skin Oil), Body Oils (Kapha Massage Oil), Body Oils (Neem Oil), Body Oils (Pitta Massage Oil), Body Oils (Vata Massage Oil), Oral Detox with Peppermint, Oral Klenz- Organic Oil Pulling with Peppermint, Oral Klenz- Organic Pulling Oil with Clove, Oral Rinse - Swish, Oral Well with Peppermint (8oz); Other Grains, Pastas and Cereals: Grain Blend - Indian Risotto, Grain Blend - Khichadi, Grain Blend - Khichadi (7oz), Grain Blend - Kitchari, Grain Blend - Quinoa Khichadi, Khichadi, Mung Dahl Beans, Quinoa (Premium Quality Quinoa), Quinoa Khichadi, Rice (Khichadi Rice and Yellow Mung Beans Blend), Rice (Long Grain Rice), Yellow Mung Beans; Oils &amp; Oleoresins: Oils (Castor Oil), Oils (Castor Oil), Oils (Coconut Oil), Oils (Detox Oil), Oils (Sesame Oil); Nuts/Seeds: Cashew Nuts (Whole Raw Cashews); Health Products: Haritaki, Herbs (Detox Herbal Fiber), Herbs (Nisha Amalaki), Pure Cleanse, Supplements (Triphala Capsules (30 Capsule Package)), Supplements (Triphala Capsules (60 Capsule Package)); Dairy: Ghee, Ghee; Condiments and Sweeteners: Ashwaganda Lehyam (Herbal Spread), Golden Amalaki Lehyam (Herbal Spread), Golden Shilajit Lehyam (Herbal Spread), Jam (GulKand Rose Herbal Jam), Jam (GulKand Rose Jam), Jam (Herbal Jam), Jam (21st Century Chyawanprash Herbal Jam (9.5oz)), Jam (Herbal Jam - Vital Chyawanprash), Jam (Immunity Boost - Herbal Nutritive Jam), Jam (Jam - Chyawanprash), Jam (Jam - Praas/Chyanwanprash), Jam (Chyawanprash Chyavanprash), Neem-Turmeric Lehyam (Herbal Spread), Turmeric Lehyam (Herbal Spread); Beverage Related Products: Herbal Tonic - Ojas Bliss, Oja Well, Ojas Nightly Tonic, Tea (Golden-T Milk Elixer), Tea (Heart Health Herbal Tea), Tea (Herbal Detox Tea), Tea (Spring Well Immunity Blend Tea (8oz)), Tea (Tea - Detox Herbal Tea), Tea (Tea - Herbal Detox Tea), Tea (Tea - Kapha Energizing Herbal Tea), Tea (Tea - Lymph Herbal Tea), Tea (Tea - Lymph Herbal Tea), Tea (Tea - Pitta Cooling Herbal Tea), Tea (Tea - Shakti Kapha EZ Herbal Tea), Tea (Tea - Shanti Vata EZ Herbal Tea), Tea (Tea - Shanti Vata EZ Herbal Tea), Tea (Tea - Sheetal Pitta EZ Herbal Tea), Tea (Tea - Sheetal Pitta EZ Herbal Tea), Tea (Tea - Vata Calming Herbal Tea), Tea (Tea - Weigh EZ Herbal Tea), Tea (Tea - Weigh EZ Herbal Tea), Tea (Tea - Weight Loss Herbal Tea), Tea (Vital Gold - Golden Milk), Tea (Weight Loss Organic Herbal Tea); Other: Fruit Powder - Amchoor/Raw Mango Powder (1lb), Fruit Powder - Amchoor/Raw Mango Powder (8oz), Fruit Powder - Amchoor/Raw Mango Powder (Non-Retail), Fruit Powder - Amla/Amalaki Powder (1lb), Fruit Powder - Amla/Amlaki (Non-Retail), Fruit Powder - Amla/Amlaki Powder (8oz), Fruit Powder - Haritaki Powder (1lb), Fruit Powder - Haritaki Powder (8oz), Fruit Powder - Haritaki Powder (Non-Retail), Herbs/ Spices - Whole Coriander Seeds, Herbs/Spices - Anantmul Powder (1lb), Herbs/Spices - Anantmul Powder (8oz), Herbs/Spices - Anantmul Powder (Non-Retail), Herbs/Spices - Arjuna Powder (1lb), Herbs/Spices - Arjuna Powder (8oz), Herbs/Spices - Arjuna Powder (Non-Retail), Herbs/Spices - Ashoka Powder, Herbs/Spices - Ashwaganda Powder, Herbs/Spices - Ashwaganda Powder (1lb), Herbs/Spices - Ashwaganda Powder (8oz), Herbs/Spices - Ashwaganda Powder (Non-Retail), Herbs/Spices - Ashwagandha Powder (8oz), Herbs/Spices - Bhumiamla Powder (1lb), Herbs/Spices - Bhumiamla Powder (8oz), Herbs/Spices - Bhumiamla Powder (Non-Retail), Herbs/Spices - Bibhtaki Powder (1lb), Herbs/Spices - Bibhtaki Powder (8oz), Herbs/Spices - Bibhtaki Powder (Non-Retail), Herbs/Spices - Black Cardamom Whole (1lb), Herbs/Spices - Black Cardamom Whole (8oz), Herbs/Spices - Black Pepper Powder (1lb), Herbs/Spices - Black Pepper Powder (8oz), Herbs/Spices - Black Pepper Powder (Non-Retail), Herbs/Spices - Brahmi Powder (1lb), Herbs/Spices - Brahmi Powder (8oz), Herbs/Spices - Brahmi Powder (Non-Retail), Herbs/Spices - Cardamom Seed Powder (1lb), Herbs/Spices - Cardamom Seed Powder (8oz), Herbs/Spices - Cardamom Seed Powder (Non-Retail), Herbs/Spices - Chitrakmool Powder (1lb), Herbs/Spices - Chitrakmool Powder (8oz), Herbs/Spices - Chitrakmool Powder (Non-Retail), Herbs/Spices - Cinnamon Powder (1lb), Herbs/Spices - Cinnamon Powder (8oz), Herbs/Spices - Cinnamon Powder (Non-Retail), Herbs/Spices - Clove Powder (1lb), Herbs/Spices - Clove Powder (8oz), Herbs/Spices - Clove Powder (Non-Retail), Herbs/Spices - Coriander Powder, Herbs/Spices - Cumin Powder (1lb), Herbs/Spices - Cumin Powder (8oz), Herbs/Spices - Cumin Powder (Non-Retail), Herbs/Spices - Cumin Whole (1lb), Herbs/Spices - Cumin Whole (8oz), Herbs/Spices - Cumin Whole (Non-Retail), Herbs/Spices - Fennel Powder (1lb), Herbs/Spices - Fennel Powder (8oz), Herbs/Spices - Fennel Powder (Non-Retail), Herbs/Spices - Fennel Whole (1lb), Herbs/Spices - Fennel Whole (8oz), Herbs/Spices - Fennel Whole (Non-Retail), Herbs/Spices - Fenugreek Powder (1lb), Herbs/Spices - Fenugreek Powder (8oz), Herbs/Spices - Fenugreek Powder (Non-Retail), Herbs/Spices - Fenugreek Whole (1lb), Herbs/Spices - Fenugreek Whole (8oz), Herbs/Spices - Fenugreek Whole (Non-Retail), Herbs/Spices - Ginger Powder (1lb), Herbs/Spices - Ginger Powder (8oz), Herbs/Spices - Ginger Powder (Non-Retail), Herbs/Spices - Gokshura Powder (1lb), Herbs/Spices - Gokshura Powder (8oz), Herbs/Spices - Gokshura Powder (Non-Retail), Herbs/Spices - Gotukola Powder, Herbs/Spices - Gurmar Powder (1lb), Herbs/Spices - Gurmar Powder (8oz), Herbs/Spices - Gurmar Powder (Non-Retail), Herbs/Spices - Jivanti Powder (1lb), Herbs/Spices - Jivanti Powder (8oz), Herbs/Spices - Jivanti Powder (Non-Retail), Herbs/Spices - Licorice/Yamistadh Powder (8oz), Herbs/Spices - Licorice/Yamistadh Powder (Non-Retail), Herbs/Spices - Licorice/Yastimadh Powder (1lb), Herbs/Spices - Manjista Powder (1lb), Herbs/Spices - Manjista Powder (8oz), Herbs/Spices - Manjista Powder (Non-Retail), Herbs/Spices - Musta Powder (1lb), Herbs/Spices - Musta Powder (8oz), Herbs/Spices - Musta Powder (Non-Retail), Herbs/Spices - Nagkeshar Powder (1lb), Herbs/Spices - Nagkeshar Powder (8oz), Herbs/Spices - Nagkeshar Powder (Non-Retail), Herbs/Spices - Neem Powder (1lb), Herbs/Spices - Neem Powder (8oz), Herbs/Spices - Neem Powder (Non-Retail), Herbs/Spices - Pimpli/Pipali Powder (1lb), Herbs/Spices - Pimpli/Pipali Powder (8oz), Herbs/Spices - Pimpli/Pipali Powder (Non-Retail), Herbs/Spices - Punarnava Powder (1lb), Herbs/Spices - Punarnava Powder (8oz), Herbs/Spices - Punarnava Powder (Non-Retail), Herbs/Spices - Shatavari Powder (1lb), Herbs/Spices - Shatavari Powder (8oz), Herbs/Spices - Shatavari Powder (8oz), Herbs/Spices - Shatavari Powder (Non-Retail), Herbs/Spices - Six Taste Spice, Herbs/Spices - Tamalpatra/Bay Leaf Powder (1lb), Herbs/Spices - Tamalpatra/Bay Leaf Powder (8oz), Herbs/Spices - Tamalpatra/Bay Leaf Powder (Non-Retail), Herbs/Spices - Trikatu Blend (1lb), Herbs/Spices - Trikatu Blend (8oz), Herbs/Spices - Trikatu Blend (Non-Retail), Herbs/Spices - Trikatu Powder (2.65oz), Herbs/Spices - Triphala Blend (1lb), Herbs/Spices - Triphala Blend (8oz), Herbs/Spices - Triphala Blend (Non-Retail), Herbs/Spices - Triphala Powder (8oz), Herbs/Spices - Tulsi (1.23oz), Herbs/Spices - Tulsi Powder (1lb), Herbs/Spices - Tulsi Powder (8oz), Herbs/Spices - Tulsi Powder (Non-Retail), Herbs/Spices - Turmeric Powder (1lb), Herbs/Spices - Turmeric Powder (8oz), Herbs/Spices - Turmeric Powder (8oz), Herbs/Spices - Turmeric Powder (Non-Retail), Herbs/Spices - Vasaka Powder, Herbs/Spices - Vidarikand Powder (1lb), Herbs/Spices - Vidarikand Powder (8oz), Herbs/Spices - Vidarikand Powder (Non-Retail)</t>
  </si>
  <si>
    <t>Other: #Production, blending and packaging of distilled organic alcoholic beverages - Production and packaging of mash bills, *Gin: Barreled Gin, *Dry Gin, *Koval Single Barrel Whiskey: Bourbon, *Bourbon Bottled in Bond, *Bourbon Rum Barrel Finished, *Bourbon Special for Japan, *Four Grain, * Jackfruit Barrel Finished Bourbon, *Millet, *Oat, *Koval Single Barrel Whiskey: Rye Whiskey (Amburana Barrel Finished, * Balsamo Barrel Finished, *Bottled in Bond, *Finished with Birch, *Finished with Cacao Nibs, *Finished with Cherry Wood, *Ipe Barrel Finished, *Jackfruit Finished, *Maple Syrup Cask Finish, *Rye/Malt, *Rye/Wheat), *Liqueurs: Cranberry Gin 60 Proof, Brandy: Susan for President Barrel Aged Apple Brandy, Susan for President Pear Brandy, Flower Market Gin, Waggish Riposte Bourbon Whiskey Limited Edition No. 1, Waggish Riposte Bourbon Whiskey Limited Edition No. 2;, Gin: Gin Gift Pack (Organic Barreled Gin, Organic Dry Gin), Koval Blended Whiskey: Grains, Mikkeller Whiskey, Whiskey Gift Pack (Bourbon, Rye and Four Grain), Koval Limited Edition Charred Barrel Whiskeys: Bourbon, Buckwheat, Three Grain, Four Grain, Five Grain, Rye Whiskey (Rye/Malt, Rye/Wheat), Malt, Millet, Oat, Pink Bourbon, Rye, Spelt, Wheat, Whit, Koval Limited Edition Peach Brandy Barrel-Aged: Rye Whiskey, Koval Limited Edition Toasted Barrel Whiskeys: Millet, Oat, Rye, Spelt, Wheat, Koval Limited Edition White Whiskeys: Millet, Oat, Rye, Spelt, Wheat, Koval products for export to Korea: Gin (Dry Gin, Cranberry Gin 60 Proof); Single Barrel Whiskey (Bourbon, Four Grain, Rye [Amburana Barrel Finished, Bottled in Bond, Finished with Birch, Finished with Cacao Nibs, Finished with Cherry Wood, Maple Syrup Cask Finish], Rye/Malt, Rye/Wheat, Millet), Koval Single Barrel Whiskey: Buckwheat, Three Grain, Five Grain, Malt, Wheat, Koval Single Barrel Whiskey: Pink Corn Bourbon, Koval Single Barrel Whiskey: White, Liqueurs: Caraway, Chrysanthemum Honey, Coffee, Ginger, and Rose Hip, Mash bills: Corn-Oat-Malt; Rye-Oat-Wheat., Three Rangers Spirits: Single Barrel Rye Whiskey, Three Barrel Rye Whiskey, Vodka., Thresh and Winnow Spirits: American Single Malt Whiskey, Citrine Gin, Forest Gin, Sylvan Gin, Whiskey 10 Year Old 100% Rye, Whiskey Maple Syrup Cask Finished Rye, Whiskey Millet, Whiskey Sotol Cask Finished Rye;, Vodka: Grain (may include wheat, oats, millet, corn, barley, rye and/or spelt), Whiskey: Grain (may include wheat, oat, rye, spelt, barley, millet, and/or corn)</t>
  </si>
  <si>
    <t>Animal Feed: 14% Stock Feed, 16% Dairy Pellets, 16% Egg Layer Crumble, 16% Egg Layer Crumbles, 16% Egg Layer Mash, 16% Egg Layer Pellet, 16% Goat Pellet, 16% Sheep / Goat Textured, 16% Sow and Pig Pellet, 17% Calf Starter Grower Texture, 19% Chick Starter-Grower, Alfalfa Meal, Alfalfa Pellet, All Flock, All Flock Blend, All Flock Crumbles, All Stock Sweet Pellets, All Stock Treats, All Stock Vitamin &amp; Mineral Pellets, Ancient Scratch Grains &amp; Blue Corn, Broiler Grower Crumbles, Broiler Grower Pellets, Cattle Treats, Chick Starter Crumbles, Chick Starter Grower Crumbles, Chicken Treats (Cinnamon &amp; Raisins), Chicken Treats (Pumpkin Seeds &amp; Cinnamon), Chicken Treats with Ancient Grains and Sunflower Seeds, Chicken Treats with Berry and Whole Grains, Chicken Treats with Blueberries &amp; Whole Grains, Chicken Treats with Oregano, Mairgold, Alfalfa, Chicken Treats with Oregano, Marigold, Alfalfa, Concentrated Calf Pellets M0913P (Bulk), Core Health Short Pellets, Cracked Corn (bulk), Custom Livestock Blended Feeds, Custom Poultry Blended Feed, Dairy Goat Feed, Dream Goat, Duck Crumble, Duck Pellets, Game Bird Crumbles, Goat Treats, Ground Barley (bulk), Ground Corn (bulk), Ground Oats (bulk), Ground Roasted Soybeans (bulk), Hen de la Creme, Hi Pro Soymeal (bulk), Home Fresh Grower Crumbles, Home Fresh Layer Pellets, Home Fresh Starter/Broiler Crumbles, Kelp (bulk), Layer Blend, Layer Crumbles, Layer Mash, Layer Pellet, Layer Pellets, Little Beaks, Meat Bird Pellets, Mini Pig Adult, Mini Pig Senior, Mini Pig Treats, Mini Pig Young &amp; Active, OrganicLife Grower Crumbles, OrganicLife Layer Pellets, OrganicLife Starter/Broiler Crumbles, Piggie Smalls, Poultry Scratch Grains, Rabbit Pellets, Roasted Soybeans (bulk), Scratch Grain Mix, Scratch Grains, Scratch of the Day, Soy Free Broiler Grower Pellets, Soy Free Egg Layer Pellets, Soybean Meal, Starter Grower Crumbles, Starter/Grower Crumbles, Sweet Feed Pellets, Sweet Feed Pellets (Bulk), Turkey Grower Pellets (Bulk), Turkey Starter Crumbles (Bulk), Wheat Midds (bulk), Whole Barley (bulk), Whole Corn (bulk), Whole Oats (bulk), Whole Wheat (bulk)</t>
  </si>
  <si>
    <t>Other Grains, Pastas and Cereals: Rice (Black Broken Rice), Rice (Black Glutinous Milled Rice), Rice (Black Glutinous Rice), Rice (Black Glutinous Rice Bran), Rice (Black Glutinous Rice Vacuum), Rice (Black Glutionous Broken Rice), Rice (Black Milled Rice), Rice (Black Rice), Rice (Black Rice Bran,), Rice (Black Rice Vacuum), Rice (Chainat Broken Brown Rice), Rice (Chainat Broken Rice), Rice (Chainat Brown Rice), Rice (Chainat Milled Rice), Rice (Chainat rice), Rice (Chainat Rice Bran), Rice (Fish Feed), Rice (Gaba Hom Mali Brown Rice), Rice (Gaba Hommali Brown Rice Vacuum), Rice (Gaba Red Rice), Rice (Gaba Red Rice Vacuum), Rice (Gaba Riceberry Rice), Rice (Gaba Riceberry Rice Vacuum), Rice (Glutinous Broken Brown Rice), Rice (Glutinous Broken Rice), Rice (Glutinous brown rice), Rice (Glutinous Milled Rice), Rice (Glutinous rice), Rice (Glutinous Rice Bran), Rice (Glutinous Rice Flour), Rice (Hom Mali Broken Brown Rice), Rice (Hom Mali Broken Rice), Rice (Hom Mali Brown Rice), Rice (Hom Mali Brown Rice Vacuum), Rice (Hom Mali Milled Rice), Rice (Hom Mali Rice), Rice (Hom Mali Rice Bran), Rice (Hom Mali Rice Bran Oil), Rice (Hom Mali Rice Flour), Rice (Hom Mali Rice Vacuum), Rice (Jasmine Brown Rice), Rice (Jasmine Brown Rice Vacuum), Rice (Jasmine Rice (multi-ingredient)), Rice (Jasmine White Rice), Rice (Jasmine White Rice Vacuum), Rice (Long Grain Milled Rice), Rice (Paddy Black Glutinous Rice), Rice (Paddy Black Rice), Rice (Paddy Chainat Rice), Rice (Paddy Glutinous Rice), Rice (Paddy Hom Mali Rice), Rice (Paddy Long Grain Rice), Rice (Paddy Red Rice), Rice (Paddy Riceberry Rice), Rice (Red Broken Rice), Rice (Red Milled Rice), Rice (Red Rice), Rice (Red Rice Bran), Rice (Red Rice Flour), Rice (Red Rice Vacuum), Rice (Rice Bran), Rice (Riceberry Broken Rice), Rice (Riceberry Milled Rice), Rice (Riceberry Rice), Rice (Riceberry Rice Bran), Rice (Riceberry Rice Bran Oil), Rice (Riceberry Rice Bran Powder (Rice Germ)), Rice (Riceberry Rice Flour), Rice (Riceberry Rice Vacuum), Rice (Undermilled Rice)</t>
  </si>
  <si>
    <t>Other: Bread (100% Whole Wheat Bread), Bread (21 Grains &amp; Seeds Bread), Bread (Flax and Chia Bread), Bread (Multi-Seed Bread), Bread (Thin Sliced 100% Whole Wheat Bread), Bread (Thin Sliced 21 Grains &amp; Seeds Bread), Bread (Thin Sliced Ancient Grain Bread), Bread (Thin Sliced Multi-Seed Bread), Bread (Thin Sliced Oats and Honey Bread), Bread (White Bread)</t>
  </si>
  <si>
    <t>Other: Bagel (Multi-Seed), Bagel (Plain ), Bread (100% Whole Wheat), Bread (100% Whole Wheat Bread Thin Sliced), Bread (20 Grains and Seeds), Bread (20 Grains and Seeds Thin Sliced), Bread (Ancient Grains Thin Sliced), Bread (Flax and Chia), Bread (Multiseed), Bread (Multiseed Thin Sliced), Bread (Oats and Honey Thin Sliced), Bread (White ), Roasted Coffee Beans (Andes Midnight Blend), Roasted Coffee Beans (Breakfast Blend), Roasted Coffee Beans (Colombia), Roasted Coffee Beans (Early Bird Blend), Roasted Coffee Beans (Equatoria Blend), Roasted Coffee Beans (Espresso Roast), Roasted Coffee Beans (French Roast), Roasted Coffee Beans (Jambo Blend), Roasted Coffee Beans (Peruvian Sunrise), Roasted Coffee Beans (S.W. Decaf Breakfast), Roasted Coffee Beans (S.W. Decaf French), Roasted Coffee Beans (Turkish Roast)</t>
  </si>
  <si>
    <t>Other: Bread (100% Whole Wheat Bread 26oz), Bread (100% Whole Wheat Bread, Thin Sliced 20oz), Bread (21 Grains + Seeds Bread 26oz), Bread (21 Grains + Seeds Bread, Thin Sliced 20oz), Bread (Ancient Grain Bread, Thin Sliced 20oz), Bread (Flax + Chia Bread 26oz), Bread (Multiseed Bread 26oz), Bread (Multiseed Bread, Thin Sliced 20oz), Bread (Oats + Honey Bread, Thin Sliced 20oz), Bread (White Bread 26oz)</t>
  </si>
  <si>
    <t>Other: Amaranth grain, Amaranth instant powder / Gelatinized amaranth powder / Extruded amaranth flour, Amaranth powder, Banana powder, Black maca powder, Black quinoa grain, Brazil nut, Camu camu powder, Canahua grains, Canahua instant powder / Gelatinized canahua powder, Canahua powder, Cat's claw powder, Chia instant powder, Chia oil, Chia powder, Chia whole seeds, Cocoa beans, Cocoa butter / Cocoa Liquor, Cocoa nibs, Cocoa powder, Dried banana, Dried ginger flakes, Dried goldenberry, Dried mango, Dried pineapple, Dried turmeric flakes, Extra virgin chia oil, Extruded black maca powder / Gelatinized black maca powder / Black maca instant powder, Extruded maca flour / Gelatinized maca powder / Maca instant powder, Extruded red maca powder / Gelatinized red maca powder / Red maca instant powder, Ginger powder, Goldenberry powder, Green banana powder, Grounded chia, Hearty Flakes, Lucuma powder, Maca Chips, Maca extract powder, Maca powder, Mesquite powder, Moringa powder, Pancake Mix 373, Pancake Mix 684, Passion fruit oil, Pineapple powder, Pre-cooked quinoa, Premium mesquite coffee, Protein Shake Powder / Protein Shake Powder (110JP8), Puffed quinoa / Quinoa Crispy Premium, Purple corn powder, Quinoa flakes, Quinoa grain, Quinoa instant powder / Gelatinized quinoa powder / Extruded quinoa flour, Quinoa powder / Desaponified raw quinoa powder, Raw banana powder, Raw black maca powder, Raw maca powder, Raw red maca powder, Red maca powder, Red quinoa grain, Roasted fine granulated maca, Sacha inchi butter, Sacha inchi powder, Sacha inchi snack / Roasted sacha inchi seeds, Sweet potato powder, Tricolor quinoa grain, Turmeric powder, Virgin sacha inchi oil/ Sacha inchi oil, White quinoa grain, Yacon powder, Yacon syrup, Yellow maca gelatinized powder, Yellow maca powder</t>
  </si>
  <si>
    <t>Other Grains, Pastas and Cereals: Screenings; Other: Grain Cleaning</t>
  </si>
  <si>
    <t>Other: Apples, Arugula, Asparagus, Avocados, Basil, Beets, Bell Peppers, Berries (Fresh, Frozen), Bok Choy, Broccoli, Cabbage, Carrots (Fresh, Juice, Pulp, Puree), Cauliflower, Celery, Chard, Cherries, Cilantro, Citrus, Collards, Corn, Cucumbers, Dandelion, Dill, Eggplant, Endive, Escarole, Fresh Fruit, Fresh Herbs, Grains, Grapes, Green Beans, Greens, Jicama, Kale, Leeks, Lettuces, Melons (Cantaloupe, Watermelon), Mint, Onions (Green Onions, Leeks, Shallots), Parsley, Pears, Peppers, Persimmons, Potatoes, Radishes, Rhubarb, Soybeans, Spinach, Squash (Acorn, Butternut, Spaghetti, Yellow), Sweet Potatoes, Tomatoes, Transplants (Strawberry tips, Sweet Potato slips), Turnip, Vegetable Juice (Dehydrated, Juices, Purees), Zucchini</t>
  </si>
  <si>
    <t>Other: Animal Feed (Chick Start &amp; Grow Crumbles), Animal Feed (Cracked Corn), Animal Feed (Hen Scratch), Animal Feed (Layer Crumbles), Animal Feed (Layer Pellets), Animal Feed (Recleaned Corn), Animal Feed (Recleaned Wheat/ Field Run Wheat), Bean Processing (Client Profile Products only) (Cleaning), Beans (Dry - Large Lima, Garbanzo, Bell, Fava), Beans (Dry - Large Lima, Garbanzo, Bell, Fava), Grains (Cracking), Peas (Peas), Seed (Cover Crop Mixes), Seed (Cover Crop Mixes), Seed (Triticale, Oats, Barley, Wheat, Rye), Seed (Vetch), Seed Processing (Client Profile Products only) (Cleaning &amp; Blending)</t>
  </si>
  <si>
    <t>Other: Grain Cleaning, Grain Drying/Storage, Roasted Soybeans</t>
  </si>
  <si>
    <t>Nuts/Seeds: Rice (• Organic Long Grain White/Brown Rice • Organic Parboil Long Grain White Rice • Organic Medium Grain (Crystalline) White/Brown Rice • Organic Medium Grain (Pearled) White/Brown Rice • Organic Short Grain White/Brown Rice • Organic Broken White Rice.)</t>
  </si>
  <si>
    <t>Other: Flours (see Pro-Cert product addendum), Steel Cut Oats, Whole Oat Groats, Soft Wheat berries, Emmer Berries, Rye, Oats Bran, Oat Flakes, Barley Flakes, Durum #35 Semolina, Whet Bran, 3 Grain Mix, 6 Grain Cracked Mix, White Durum Semolina, 8 Grain Mix, Spelt Bran, 214 Grain Mix, Cracked Wheat, Durum Semolina, 12 Grain Cracked Mix, 5 Grain Mix, Cracked Rye, 9 Grain Cracked Mix, 12 Grain Sprouted Mix, Bread Alone grains Mix, Quick Oat Flakes, Hulled Barley, Khorasan Flakes, Spelt, Buckwheat, Khorasan Berries, Spelt Flakes, Wheat Flakes, Hard Wheat Berries, Red Fife Berries, Rye Flakes, Einkorn Kernals. Cracked Brown Flax Seed</t>
  </si>
  <si>
    <t>Other Grains, Pastas and Cereals: Pasta (LIPARI Organic Butternut Squash Ravioli), Pasta (LIPARI Organic Cheese Filled Ravioli), Pasta (LIPARI Organic Cheese Filled Tortelloni), Pasta (LIPARI Organic Mushroom &amp; Cheese Ravioli), Pasta (LIPARI Organic Spinach &amp; Cheese Ravioli), Pasta (LIPARI Organic Tomato, Mozzarella &amp; Basil Ravioli), Pasta (Organic Butternut Squash Ravioli), Pasta (Organic Cheese Ravioli, Egg Dough), Pasta (Organic Mushroom Ravioli, Porcini Stripes), Pasta (Organic Spinach &amp; Cheese Ravioli, Spinach Stripes); Other: Basil Pesto Cream Sauce, Mushroom Sauce, Tuscan-Style Pomodoro Sauce, Vodka Sauce</t>
  </si>
  <si>
    <t>Other Grains, Pastas and Cereals: Barley, CANOLA SEED, Cereal (GRANOLA), CORN, POPCORN, Rice, Sorghum, SUNFLOWER, Wheat; Nuts/Seeds: Chestnuts (CAJU CHESTNUT), CHIA (Salvia hispanica L), CORIANDER, FLAX, Hazelnut, Nuts (WALNUT), SEEDS MIX, SESAME, SQUASH SEEDS; Fruits/Vegetables: Beans (CHICKPEA), Beans (BEAN), Beans (SOYBEAN), Beans (PEA)</t>
  </si>
  <si>
    <t>Other: Low Carb Whole Wheat Tortilla, Organic Wheat Tortilla, Seven Grain With Flax Wrap, Spelt Tortillas, Sprouted Whole Wheat Tortillas, Sprouted Whole Wheat Tortillas, Traditional Flour Tortillas, Traditional Flour Tortillas Burrito Size, Traditional Flour Tortillas Soft Taco Size, Traditional Flour Wrap, Wheat &amp; Corn Flour Tortillas, White Corn &amp; Wheat Tortillas, Whole Wheat Tortillas, Whole Wheat Wrap, Yellow Corn Street Taco Tortillas, Yellow Corn Tortilla, Yellow Corn Tortilla, Yellow Corn Tortillas</t>
  </si>
  <si>
    <t>Other Grains, Pastas and Cereals: Barley, CANOLA SEED, CORN, POPCORN, Sorghum, SUNFLOWER, Wheat; Fruits/Vegetables: Beans (PEA), Beans (SOYBEAN)</t>
  </si>
  <si>
    <t>Other Grains, Pastas and Cereals: Rice (PRE-COOKED AND REFINED ORGANIC SEMI-CREAM RICE FLOUR)</t>
  </si>
  <si>
    <t>Other: Huile d'argan non torréfiée, Huile de graines de figue de barbarie, Hydrolats de fleur d'oranger, Hydrolats de l'eau de rose</t>
  </si>
  <si>
    <t>Other: Barley, Buckwheat, Clover, Corn, Custom seed and grain cleaning, Grain and Seed Brokering, Hairy Vetch, Oats, Peas, Popcorn, Red Clover, Rye, Seed cleaning and bagging, including organic food grade soybeans, Seed Packaging, Seed Repackaging, Soybeans, Wheat</t>
  </si>
  <si>
    <t>Trees/Whole Plant Products/Flowers: Seeds, Seeds, Seeds, Seeds, Seeds, Seeds, Seeds, Seeds, Seeds, Seeds, Seeds, Seeds, Seeds, Seeds, Seeds, Seeds, Seeds, Seeds, Seeds, Seeds, Seeds, Seeds, Seeds, Seeds, Seeds, Seeds, Seeds, Seeds, Seeds, Seeds, Seeds, Seeds, Seeds, Seeds, Seeds; Other Grains, Pastas and Cereals: Barley, Corn, Oats, Peas, Soybeans, Triticale, Wheat</t>
  </si>
  <si>
    <t>Processed  Items: SOYBEAN EXPELLER, SUNFLOWER EXPELLER; Other Grains, Pastas and Cereals: CORN, SUNFLOWER, Wheat; Oils &amp; Oleoresins: Oils (SOYBEAN OIL), Oils (SUNFLOWER OIL); Fruits/Vegetables: Beans (SOYBEAN)</t>
  </si>
  <si>
    <t>Other: Grain/Bean Cleaning, Drying, Storage, Packing &amp; Labeling</t>
  </si>
  <si>
    <t>Other Grains, Pastas and Cereals: Rice (Jasmine Brown, Riceberry, Red Jasmine, Mixed Jasmine, Premium Gift Set, Cooked Riceberry, Cooked Red Jasmine, Cooked Brown Jasmine.); Dry/Baking Goods: Flours and Meals (Brown Jasmine Rice, Riceberry Rice, Green Banana.), Powders (Butterfly Pea, Pandan, Premium Turmeric, Galangal, Moringa, Mango Leaf, Banana Peel, Hibiscus, Lemongrass, Banana Blossom.); Beverage Related Products: Sun Dried Bananas, Hibiscus Flowers, Sun Dried Diced Bananas, Sun Dried Banana Strips, Butterly Pea Flowers, Sun Dried Banana Rolls., Tea (Herbel: Banana Blossom, Thai Lemongrass, Thai Pandan Leaves. Bags: Pandan, Ginger &amp; Lemongrass, Hibiscus, Banana Peel, Pandan Leaf &amp; Ginger, Butterfly Pea &amp; Lemongrass, Mango Leaf, Pandan Lemongrass, Banana Blossom, Lemongrass, Butterfly Pea Flower.)</t>
  </si>
  <si>
    <t>Other Grains, Pastas and Cereals: Flours and Meals (no production at this time.)</t>
  </si>
  <si>
    <t>Other Grains, Pastas and Cereals: Rice (Rice bran, Rice hulls), Rice screenings</t>
  </si>
  <si>
    <t>Other Grains, Pastas and Cereals: Rice (Frozen organic brown rice, Frozen organic Jasmine rice)</t>
  </si>
  <si>
    <t>Processed  Items: Almond Butter, Almond Butter, Blanched, Coconut Milk, Peanut Butter; Other Grains, Pastas and Cereals: Quinoa, Quinoa, Quinoa; Oils &amp; Oleoresins: Oils; Dry/Baking Goods: Sugar; Condiments and Sweeteners: Sweeteners</t>
  </si>
  <si>
    <t>Other: Livestock Feed - Alfalfa Meal, Livestock Feed - Corn, Livestock Pellets - Alfalfa, Packing (Misc. Grains), Wheat, Wheat Millrun Pellets</t>
  </si>
  <si>
    <t>Oils &amp; Oleoresins: Oils (Extra virgin olive oil); Condiments and Sweeteners: Jam (Apricot Preserve), Jam (Blackcurrant Preserve), Jam (Blueberry Preserve), Jam (Grape Preserve), Jam (Orange Preserve), Jam (Raspberry Preserve), Jam (Strawberry Preserve), Mayonnaisse, Mustards (Dijon Mustard), Mustards (Whole Grain Mustard), Mustards (Yellow Mustard), Sweeteners (Honey), Sweeteners (Brown Cane Sugar), Sweeteners (White Cane Sugar), Syrups (Maple Syrup)</t>
  </si>
  <si>
    <t>Other: Custom Cryogenic Milling, Milling, Sifting, Storing, Packaging, and Bulk Labeling of Dehydrated Vegetables, Grains, Herbs, Rice Hulls, Seeds, and Spices, Custom Milling, Sifting, Storing, Sorting, Packaging, and Bulk Labeling of Dehydrated Vegetables, Grains, Herbs, Rice Hulls, Seeds, and Spices</t>
  </si>
  <si>
    <t>Other: Apple &amp; Cinnamon Fruit &amp; Grain Cereal Bars, Apple Cereal Bars, Blueberry Cereal Bars, Blueberry Soft Baked Breakfast Bars, Breakfast Biscuits - Blueberry, Breakfast Biscuits - Cinnamon, Breakfast Cookies - Blueberry, Breakfast Cookies - Oat, Breakfast Cookies -Cinnamon, Cheddar Cheese Crackers, Cheddar Chicks Cheese Crackers, Cheddar Square Crackers, Chewy Granola Bars 2 varieties Chocolate Chip Chewy Granola Bar + Vanilla Chip Chewy Granola Bar (21507), Chocolate Chip Chewy Granola Bar, Chocolate Chip Chewy Granola Bar, Chocolate Chip Chewy Granola Bar #56717, Fruit &amp; Grain Apple Cinnamon Cereal Bars, Fruit &amp; Grain Blueberry Cereal Bars, Fruit &amp; Grain Mixed Berry Cereal Bars, Fruit &amp; Grain Strawberry Cereal Bars, Honey Bear Graham Cookies, Mini Cheddar Cheese Sandwich Crackers, Mini Cheese Sandwich Crackers, Mini Cheese Sandwich Crackers #97066, Mini Cheese Sandwich Crackers #97238 + 09375, Mini Peanut Butter Sandwich Crackers, Mini Peanut Butter Sandwich Crackers #86350, Mini Peanut Butter Sandwich Crackers #97237 + 09369, Mini Sandwich Cheddar Cheese Crackers, Mini Sandwich Crackers - Cheddar Cheese, Mini Sandwich Crackers - Peanut Butter, Mini Sandwich Peanut Butter Crackers, Mixed Berry Fruit &amp; Grain Cereal Bars, Peanut Butter Chocolate Chip Chewy Granola Bar, Peanut Butter Chocolate Chip Chewy Granola Bar, Strawberry Cereal Bars, Strawberry Fruit &amp; Grain Cereal Bars, Vanilla Chip Chewy Granola Bar, White Chocolate Chip Chewy Granola Bar</t>
  </si>
  <si>
    <t>Other: #Packaging, labeling and distribution of whole grains., Buckwheat Groats, Einkhorn, Emmer, Hard Red Wheat Berries, Oat Groats, Oat Groats, Spelt, White Quinoa</t>
  </si>
  <si>
    <t>Other: All Purpose Flour, All Spring Wheat Flour, All Winter Flour, All-Purpose Flour, Coarse Cracked Wheat, Enriched All Winter Flour, Farina, High Gluten Flour, Mill Run, Montana Flour &amp; Grains Custom Milled Organic White Flour, Red Wheat Bran, Special Flour aka White Whole Wheat Flour, Storage Wheat, Strong Bread Flour, Tortilla Flour, Unbleached White Flour, Wheat Germ, Wheat Germ, White Flour, Whole Wheat Flour</t>
  </si>
  <si>
    <t>Other Grains, Pastas and Cereals: Quinoa; Nuts/Seeds: Almonds, Almonds, Almonds, Almonds, Almonds, Cashew Nuts, Cashew Nuts, Cashew Nuts, Cashew Nuts, Cashew Nuts, Pumpkin Seeds, Walnuts, Walnuts, Walnuts, Walnuts; Fruits/Vegetables: Bananas, Dried Fruit, Dried Fruit, Mangos, Stone Fruit, Stone Fruit; Other: Blending of Organic Product, Packaging of Organic Products</t>
  </si>
  <si>
    <t>Other: 100% Whole Wheat Bread, 21 Whole Grain and Seeds Hamburger Buns, 21 Whole Grains Bread, 21 Whole Grains Bread Deli 2Pack, 21 Whole Grains Bread Thin, Boomin Berry Bagels, Burger Buns Done Right, Cinnamon Raisin Remix Bagels, Epic Everything Bagels, Good Seed Deli Bread, Good Seed Deli Bread 2 Pack, Good Seed Deli Bread Thin, Killer Classic English Muffins (Plain), Plain Awesome Bagels, Power Seed Bread Thin, Power Seed Deli Bread, Rockin' Grains English Muffins (Seeded), Thin Sliced Sprouted Whole Grain Bread, White Bread Done Right, White Bread Done Right Deli 2 Pack, White Bread Done Right Thin</t>
  </si>
  <si>
    <t>Processed  Items: Sesame Seeds Hulled, Sesame seeds natural; Other Grains, Pastas and Cereals: Rice (Basmati Paddy), Rice (Long grain parboiled rice), Rice (Non Basmati Paddy), Rice (Super Basmati Brown Rice), Rice (Super Basmati White Rice), Wheat (Wheat)</t>
  </si>
  <si>
    <t>Other: Algae (Algae Powder Mix), Almond Flour (Blanched Almond Flour), Almonds (Blanched Sliced Almonds), Almonds (Blanched Slivered Almonds), Almonds (Blanched Whole Almonds), Almonds (California Natural Whole Almonds), Almonds (Dry Roasted Almonds), Almonds (Roasted &amp; Salted Almonds), Almonds (Toasted Blanched Sliced Almonds), Almonds (Toasted Salted Blanched Sliced Almonds), Almonds (Raw) (Italian Raw Almonds), Amaranth Flour (Amaranth Flour ), Apples (Dried) (Dried Apples), Apricots (Dried) (Dried Apricots), Bakery Items (Panettone), Bananas (Dried) (Banana Chips), Barley (Barley, Hulled), Barley (Barley, Whole), Barley (Pearl Barley), Basil (Basil Leaves, Medium Cut), Basmati Rice (Basmati White Rice ), Basmati Rice (Brown Basmati Rice), Bay Leaves (Whole Bay Leaves), Beans (Adzuki Beans), Beans (Black Turtle Beans), Beans (Cannellini Beans), Beans (Cranberry Beans), Beans (Dark Red Kidney Beans), Beans (Fava Beans), Beans (Garbanzo Beans), Beans (Great Northern Beans), Beans (Large White Kidney Beans), Beans (Mung Beans), Beans (Mung Dal Beans), Beans (Navy Beans), Beans (Pinto Beans), Beans (Red Kidney Beans), Beans (Small Red Chili Beans), Beans (Soy Beans), Beans (Canned) (Black, Cannellini, Chickpeas.), Berries (Mixed Berries), Berries (White Mulberries), Black Pepper (Ground Black Pepper), Black Pepper (Whole Black Pepper), Blueberries (Dried) (Dried Blueberries), Brazil Nuts (Brazil Nuts), Brazil Nuts (Brazil Nuts Roasted), Brazil Nuts (Brazil Nuts Roasted &amp; Salted), Buckwheat (Buckwheat Groats), Buckwheat (Buckwheat Kasha), Bulgur Wheat (Bulgur Wheat), Cacao (Cacao Beans), Cacao (Cacao Paste), Cacao Butter (Cacao Butter), Cacao Nibs (Cacao Nibs), Cacao Nibs (Cacao Nibs with Coconut Sugar), Cacao Powder (Cacao Powder), Cardamom (Green Cardamom Pods), Cashews (Cashew Pieces), Cashews (Cashew Pieces, Roasted), Cashews (Cashews (Size W240)), Cashews (Cashews (Size W320)), Cashews (Cashews Roasted), Cashews (Cashews Roasted &amp; Salted), Cherries (Dried) (Bing Cherries ), Cherries (Dried) (Dried Sour Cherries), Cherries (Dried) (Tart Dried Cherries), Cherries (Rainer) (Rainer Cherries), Chia (Black Chia Seeds), Chia (White Chia Seeds), Cinnamon (Ground Cinnamon), Cloves (Cloves, Whole), Cloves (Whole Cloves), Cocoa Powder (Cocoa Powder), Coconut (Coconut Milk Powder), Coconut (Shredded Coconut), Coconut (Toasted Coconut Chips), Coconut Oil (Coconut Oil Refined), Coconut Oil (Virgin Coconut Oil), Coriander (Coriander Seeds), Corn (Popcorn), Corn (Whole Blue Corn), Corn (Whole Yellow Corn), Corn Flour (Whole Corn Flour ), Cornmeal (Old Fashioned Corn Meal), Couscous (Whole Wheat Couscous), Cranberries (Dried) (Dried Cranberries), Cumin Seed (Black Cumin Seeds), Cumin Seed (Cumin Seeds Whole), Currants (Dried Currants), Dates (Deglet Noor), Dates (Medjool Dates), Dill (Dill Seeds), Dried Fruits (Black Mulberries ), Dried Fruits (Coconut Chips), Dried Fruits (Dried Banana Slices), Dried Fruits (Dried Dragon Fruit (Pitaya)), Dried Fruits (Jackfruit, Dried), Elderberry (Elderberries), Figs (Smyrna Figs), Flax Seed (Brown Milled Flax Seeds), Flax Seed (Brown Whole Flax Seeds), Flax Seed (Golden Milled Flax Seeds), Flax Seed (Golden Whole Flax Seeds), Flour (Barley Flour), Flour (Buckwheat Flour ), Flour (Buckwheat Flour Blend), Flour (Cashew Flour), Flour (Cassava Flour), Flour (Chia Seeds Flour), Flour (Coconut Flour), Flour (Green Pea Flour), Flour (Oat Flour), Flour (Pizza Flour Mix), Flour (Polenta), Flour (Red Lentil), Flour (Seminola), Flour (Sorghum), Flour (Bean) (Fava), Flour (Bean) (Garbanzo Bean Flour), Flour (Whole Wheat) (Whole Wheat Bread Flour), Flour (Whole Wheat) (Whole Wheat Pastry Flour), French Green Lentils (French Green Lentils Whole), Fruit Mix (Berries Paradise Mix with Cranberries, Blueberries, Strawberries, Elderberries, Goji Berries, Golden Berries, and Mulberries), Fruit Mix (Delicious Berries Mix with Cranberries, Blueberries, Strawberries, and Elderberries ), Fruit Mix (Delightful Berries Mix with Cranberries, Cherries, and Strawberries ), Fruit Mix (Essential Berries Mix with Cranberries and Blueberries), Fruit Mix (Frutty Blend with Dried Strawberries, Apples and Pears), Fruit Mix (Yummy Mix with Cranberries, Blueberries, Cherries, and Goji Berries ), Garlic Powder (Garlic Powder), Goji Berries (Goji Berries), Goldenberries (Golden Berries), Grains (Amaranth), Grains (Amaranth Flakes), Grains (Freekeh (Cracked)), Grains (Freekeh (Whole)), Grains (Italian Pearled Farro), Grains (Puffed Amaranth), Grains (Sorghum Grain), Grains (Steel Cut Farro), Grains (Super Grains Mix), Grains (Teff), Grains (White Polenta), Granola (Golden Crunchy Granola), Green Lentils (Green Whole Lentils), Hemp Powder (Hemp Protein Powder), Hemp Seed (Canadian Hemp Seeds), Hemp Seed (Chinese Hemp Seeds), Hemp Seed (Paraguayan Hemp Seeds), Lentils (Black Lentils), Lentils (Red Split Lentils), Lentils (Whole Red Lentils), Lentils (Yellow Split Lentils ), Lucuma Powder (Lucuma Powder), Maca Powder (Black Maca Powder), Maca Powder (Gelatinized Maca Powder), Maca Powder (Red Maca Powder), Maca Powder (Tri-Color Maca Powder Blend), Maca Powder (Yellow Maca Powder), Mangos (Dried) (Dried Mango Stripes), Mangos (Dried) (Mango Cheeks), Millet (Millet Seeds), Millet Flour (Millet Flour), Mushroom Powder (Cordyceps Mushroom Powder), Mushroom Powder (Shiitake Mushroom Powder), Mushroom Powder (Turkey Tail Mushroom Powder), Nuts (Almonds &amp; Cashews Mix), Nuts (Blanched Hazelnuts), Nuts (Deluxe Nuts Mix), Nuts (Four Nuts Mix), Nuts (Hazelnuts), Nuts (Macadamia Nut Pieces), Nuts (Macadamia Nuts), Nuts (Macadamia Nuts Roasted), Nuts (Macadamia Nuts Roasted &amp; Salted), Nuts (Mixed Raw Nuts), Nuts (Roasted &amp; Salted Blanched Hazelnuts), Nuts (Roasted Blanched Hazelnuts), Oats (Instant Rolled Oats), Oats (Oat Bran), Oats (Quick Rolled Oats), Oats (Rolled Oats), Oats (Steel Cut Oats), Oats (Whole Grain Oat Groats), Papaya (Dried) (Dried Papaya Spears), Paprika Powder (Paprika Powder), Pasta (Chickpea Fusilli), Pasta (Farfalle Striped Pasta), Pasta (Farro Pasta), Pasta (Red Lentil Penne), Pears (Dried) (Dried Pear), Peas (Black Eyed Peas), Peas (Brown Speckled Peas), Peas (Whole Dried Green Peas), Peas (Yellow Split Peas), Peas (Yellow Whole Peas), Pecans (Pecan Pieces), Pecans (Pecans), Pecans (Pecans Roasted), Pecans (Pecans Roasted &amp; Salted), Pine Nuts (Pine Nuts), Pineapple (Dried) (Dried Pineapple Rings), Pistachios (Pistachios Roasted and Salted), Pistachios (Raw Pistachios), Potato Products (Potato Starch), Powder (Acai Berry Powder), Powder (Acerola Powder), Powder (Alfalfa Powder), Powder (Amla Powder), Powder (Apple Powder), Powder (Arrowroot Powder), Powder (Ashwagandha Powder), Powder (Banana Powder), Powder (Barley Grass Powder), Powder (Barley Sprout Powder ), Powder (Beet Juice Powder), Powder (Beet Root Powder), Powder (Black Currant Powder), Powder (Black Elderberry Powder), Powder (Blueberry Powder ), Powder (Broccoli Powder ), Powder (Broccoli Sprout Powder ), Powder (Butterfly Pea Powder), Powder (Camu Camu Powder), Powder (Carrot Powder), Powder (Chaga Mushroom), Powder (Cherry Powder), Powder (Chlorella Powder), Powder (Clove Powder), Powder (Cranberry Powder), Powder (Fenugreek Powder), Powder (Ginger Powder), Powder (Goji Berry Powder), Powder (Goldenberry Powder), Powder (Guar Gum), Powder (Guarana), Powder (Hazelnut), Powder (Kale Powder), Powder (Lemon Powder), Powder (Lime Powder), Powder (Lion's Mane Mushroom), Powder (Mango Powder), Powder (Maqui Berry Powder), Powder (Matcha Green Tea Powder), Powder (Mesquite Powder), Powder (Moringa Leaf Powder), Powder (Mulberry Powder), Powder (Orange Powder), Powder (Papaya Powder), Powder (Pineapple Powder), Powder (Pomegranate Powder), Powder (Psyllium Husk Powder), Powder (Pumpkin Powder), Powder (Purple Sweet Potato), Powder (Raspberry Powder), Powder (Raw Pumpkin Seed Protein Powder), Powder (Red Dragon Fruit Powder), Powder (Reishi Mushroom), Powder (Sacha Inchi Protein Powder), Powder (Sea Buckthorn Powder), Powder (Spinach Powder), Powder (Spirulina, Blue Spirulina), Powder (Sprouted Oat Powder), Powder (Strawberry Powder), Powder (Supergrass Powder Mix with Barley Grass, Alfalfa, and Wheatgrass Powder), Powder (Supergreen Powder Mix with Kale, Moringa, Wheatgrass, and Spriulina Powder), Powder (Toasted Pumpkin Seeds Protein Powder), Powder (Tomato), Powder (Turmeric Powder), Powder (Whole Psyllium Husks), Powder (Yacon Powder), Powder (Yellow Pea Protein Powder), Prunes (Pitted Prunes), Pumpkin Seed (Dry Roasted Pumpkin Seeds with Himalayan Salt), Pumpkin Seed (Dry Roasted Pumpkin Seeds with Sea Salt), Pumpkin Seed (Pumpkin Seeds in Shell), Pumpkin Seed (Pumpkin Seeds in Shell, Roasted &amp; Salted), Pumpkin Seed (Pumpkin Seeds Roasted), Pumpkin Seed (Raw Pepitas (Pumpkin Seeds)), Pumpkin Seed (Roasted &amp; Salted Pumpkin Seeds), Pumpkin Seed (Sprouted Pumpkin Seeds), Pumpkin Seed (Sprouted Pumpkin Seeds with Himalayan Salt), Quinoa (Black Quinoa ), Quinoa (Pre-Cooked White Quinoa), Quinoa (Puffed White Quinoa ), Quinoa (Tri-Color Quinoa), Quinoa (White and Red Quinoa Blend ), Quinoa (White Quinoa Flakes), Quinoa Flour (Red Quinoa), Quinoa Flour (Royal White Quinoa), Quinoa Flour (White Quinoa Flour), Radish Seed (Radish Sprouting Seeds), Raisins (California Raisins), Raisins (Sultana Raisins), Raisins (Turkish Raisins), Rice (Black Rice), Rice (Calrose Rice), Rice (Carnaroli Rice), Rice (Glutinous (Sticky) Rice ), Rice (Purple Rice), Rice (Arborio) (White Arborio Rice), Rice (Jasmine) (Jasmine Brown Rice), Rice (Jasmine) (Thai Hom Mali Jasmine White Rice ), Rice (Jasmine) (White Jasmine Rice), Rice (Long Grain Brown) (Long Grain Brown Rice), Rice (Long Grain Brown) (Long Grain Parboiled Brown Rice ), Rice (Long Grain White) (Long Grain White Rice), Rice (Long Grain White) (Parboiled Long Grain White Rice), Rice (Red &amp; Red Mahogany) (Red Rice), Rice (Short Grain White) (Short Grain White Rice ), Rice (Wild) (Wild Rice), Rice Flour (Brown) (Brown Rice Flour), Rye (Cracked Rye Sifted), Rye (Rye Berries), Rye Flour (Dark Rye Flour), Rye Flour (Medium White Rye Flour ), Sage (Sage Leaves), Salad Mix (Salad Mix of Sprouting Seeds), Seed (Mustard) (Black Mustard Seeds), Seed (Mustard) (Yellow Mustard Seeds), Seeds (Ajwain Seeds), Seeds (Alfalfa Sprouting Seeds), Seeds (Anise Seeds), Seeds (Arugula Sprouting Seeds ), Seeds (Broccoli Sprouting Seeds), Seeds (Brown Mustard Seeds), Seeds (Caraway Seeds), Seeds (Clover Seeds), Seeds (Fennel Seeds), Seeds (Fenugreek Seeds), Seeds (FiberFull Flax, Hemp, and Chia Seeds Blend), Seeds (Kaniwa Seeds), Seeds (Omega Power Flax and Chia Seeds Blend), Seeds (Omega Powerseed Blend with Chia, Flax, Hemp, and Coconut), Seeds (Omega-3 Seeds Mix with Flax, Chia and Sesame ), Seeds (Poweful Flax and Hemp Seeds Blend), Seeds (Psyllim Seeds), Seeds (Raw Superseed Mix with Chia, Flax, Hemp, Pumpkin, and Sunflower), Seeds (Super 5 Seeds Mix), Sesame Seed (Black Sesame Seeds), Sesame Seed (Hulled Sesame Seeds), Sesame Seed (Natural Sesame Seeds), Soup (Black Bean Soup Mix), Spelt (Spelt Berries), Spelt (Spelt Flakes), Spelt Flour (Whole Spelt Flour), Spice Blends (Everything Bagel Seasoning), Spices (Black Cumin Seed Powder), Spices (Cayenne Pepper Ground), Spices (Coriander Powder), Spices (Fennel Powder), Spices (Mustard Powder), Spices (Nutmeg Ground), Split Peas (Green Split Peas), Strawberries (Dried Strawberries), Sugar (Coconut Sugar), Sunflower Seed (Roasted and Salted Sunflower Seeds), Sunflower Seed (Sprouted Sunflower Seeds), Sunflower Seed (Sunflower Seeds), Sunflower Seed (Sunflower Seeds in Shell), Sunflower Seed (Sunflower Seeds Roasted), Tapioca (Tapioca Flour), Tea (Hibiscus Petals), Tea (Peppermint Leaves), Tea (Spearmint Leaves), Tomatoes (Sun Dried) (Sun-Dried Tomatoes with Sea Salt), Trail Mix (6-Forces Trail Mix), Trail Mix (Active Life Trail Mix), Trail Mix (Antioxidant Mix of Sprouting Seeds), Trail Mix (Antioxidant Trail Mix), Trail Mix (Coconut and Friends Trail Mix), Trail Mix (Coney Island Nut and Berry Mix), Trail Mix (Crunchy Mix of Sprouting Beans), Trail Mix (Energy Trail Mix), Trail Mix (Go Raw Trail Mix), Trail Mix (Keto Raw Nut Mix), Trail Mix (Raw Munchies Snack Mix), Trail Mix (Raw Nuts and Berries with Pumpkin Seeds Snack Mix), Trail Mix (Raw Power Snack Mix), Trail Mix (Raw Seeds, Nuts, and Raisins Mix), Trail Mix (Raw Sunflower &amp; Pumpkin seeds mix), Trail Mix (Raw Super Nuts and Berries Trail Mix), Trail Mix (Raw Variety Trail Mix), Trail Mix (Roasted &amp; Salted Sunflower &amp; Pumpkin seeds mix), Trail Mix (Roasted Sunflower &amp; Pumpkin seeds mix), Trail Mix (Snack Wise Trial Mix), Trail Mix (Spicy Mix of Sprouting Seeds), Trail Mix (Sprouted Pumpkin and Sunflower Seeds Mix), Trail Mix (Superfood Cereal Topper Mix), Trail Mix (The Magnificent Seven Mix of Raw Nuts and Berries ), Trail Mix (Vitality Snack Mix), Triphala (Triphala Powder), Walnuts (California Walnuts ), Wheat (Cracked Wheat Sifted), Wheat (KAMUT Khorasan Wheat), Wheat (KAMUT Khorasan Wheat Flakes), Wheat (Red Wheat Bran), Wheat Berries (Einkorn), Wheat Berries (Soft White Wheat Berries), Wheat Berries (Wheat Berries), Wheat Flour (Einkorn ), Wheat Flour (KAMUT Khorasan Wheat Flour), Wheat Grass Powder (Wheatgrass Powder), Yacon (Yacon Slices)</t>
  </si>
  <si>
    <t>Other: Frozen Broccoli, Frozen Carrots, Frozen Cauliflowe, Frozen Chinese Cabbage, Frozen Potatoes, Frozen Radish, Frozen Salted Edamame, Frozen Shelled Edamame, Frozen Soybean(Edamame), Frozen Spinach, Frozen Sweet Corn</t>
  </si>
  <si>
    <t>Other Grains, Pastas and Cereals: Corn; Nuts/Seeds: Peanuts (Baked peanut in shell), Peanuts (Baked peanut kernel), Peanuts (Blanched peanut kernel), Peanuts (Blanched split peanuts), Peanuts (Diced peanuts), Peanuts (Peanut in shell), Peanuts (Peanut kernel), Peanuts (Split peanuts)</t>
  </si>
  <si>
    <t>Processed  Items: Organic Soybean Lecithin Fluid, Organic Soybean Lecithin Fluid, Organic Soybean Lecithin Powder, Organic Soybean Lecithin Powder, Organic Sunflower Lecithin Fluid, Organic Sunflower Lecithin Fluid, Organic Sunflower Lecithin Powder, Organic Sunflower Lecithin Powder; Other Grains, Pastas and Cereals: Rice (Organic Brown Rice Protein Powder), Rice (Organic Rice Protein Powder), Rice (Organic Brown Rice Protein Powder), Rice (Organic Rice Protein Powder); Oils &amp; Oleoresins: Oils (Soybean Oil), Oils (Sunflower Seed Oil), Oils (Soybean Oil), Oils (Sunflower Seed Oil); Dry/Baking Goods: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Condiments and Sweeteners: Sweeteners (Xylo-Oligosaccharide Powder 95%),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(Xylo-Oligosaccharide Powder 70%), Sweeteners (Xylo-Oligosaccharide Powder 95%), Sweeteners (Xylo-Oligosaccharide Syrup 70%), Sweeteners (Xylo-Oligosaccharide Syrup 95%), Sweeteners (Xylo-Oligosaccharide Powder 70%), Sweeteners (Xylo-Oligosaccharide Powder 95%), Sweeteners (Xylo-Oligosaccharide Syrup 70%), Sweeteners (Xylo-Oligosaccharide Syrup 95%), Syrups (Glucose Syrup), Syrups (Maltitol Syrup), Syrups (Organic Fructooligosaccharide Syrup), Syrups (Organic Galactooligosaccharide Syrup), Syrups (Organic Isomaltooligosaccharide Syrup), Syrups (Sorbitol Syrup), Syrups (Glucose Syrup), Syrups (Maltitol Syrup), Syrups (Organic Fructooligosaccharide Syrup), Syrups (Organic Galactooligosaccharide Syrup), Syrups (Organic Isomaltooligosaccharide Syrup), Syrups (Sorbitol Syrup); Beverage Related Products: Tea (Black Tea), Tea (Green Tea), Tea (Black Tea), Tea (Green Tea)</t>
  </si>
  <si>
    <t>Other: Barley, Barley Milled, Barley Screenings, Barley Whole Seed, Buckwheat, Buckwheat Groats, Buckwheat Screenings, Buckwheat Whole Seed, Custom Cleaning and Processing of Organic Seeds and Grains, Flax, Flax Lignans, Flax Meal/Cake, Flax Milled, Flax Oil - Virgin Cold Pressed, Flax Screenings, Flax Whole Seed, Hemp Extract, Hemp Hearts, Hemp Hulls, Hemp Pellets, Hemp Protein Powder, Hemp Screenings, Hemp Seed Oil -Virgin Cold Pressed, Hemp Whole Seed, Processing, Handling and Packaging of Organic Seeds and Grains</t>
  </si>
  <si>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Other Grains, Pastas and Cereals: Amaranth, Oats, Oats, Oats, Oats, Oats, Quinoa, Quinoa, Quinoa, Quinoa, Quinoa, Quinoa, Quinoa, Quinoa, Quinoa, Quinoa, Quinoa, Quinoa, Quinoa, Quinoa, Quinoa, Quinoa, Quinoa, Quinoa, Quinoa, Quinoa, Quinoa; Nuts/Seeds: Almonds, Almonds, Almonds, Almonds, Almonds, Almonds, Almonds, Almonds, Almonds, Almonds, Almonds, Almonds, Almonds, Almonds, Almonds, Almonds, Almonds, Almonds, Almonds, Brazil Nut, Brazil Nut, Brazil Nut, Brazil Nut, Brazil Nut, Brazil Nut, Brazil Nut, Brazil Nut,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Nuts, Cashew, Cajun, Cashew, Cajun, Cashew, Cajun, Cashew, Cajun, Chia Seeds, Chia Seeds, Chia Seeds, Chia Seeds, Chia Seeds, Chia Seeds, Chia Seeds, Chia Seeds, Chia Seeds, Chia Seeds, Chia Seeds, Flax Seeds Brown, Flax Seeds Brown, Flax Seeds Brown, Flax Seeds Brown, Flax Seeds Brown, Flax Seeds Brown, Flax Seeds Brown, Flax Seeds Golden, Flax Seeds Golden, Flax Seeds Golden, Flax Seeds Golden, Flax Seeds Golden, Flax Seeds Golden, Flax Seeds Golden, Flax Seeds Golden, Hazelnut, Hazelnut, Hazelnut, Hazelnut, Hazelnut, Hazelnut, Hazelnut, Hemp Seeds, Hemp Seeds, Hemp Seeds, Hemp Seeds, Hemp Seeds, Hemp Seeds, Hemp Seeds, Hemp Seeds, Hemp Seeds, Lemon Roasted Sicilian Almonds, Lemon Roasted Sicilian Almonds, Lemon Roasted Sicilian Almonds, Macadamia, Macadamia, Macadamia, Macadamia, Macadamia, Macadamia, Macadamia, Macadamia, Nuts, Nuts, Nuts, Nuts, Nuts, Nuts, Nuts, Nuts, Nuts, Nuts, Nuts, Nuts, Nuts, Nuts, Nuts, Nuts, Nuts, Nuts, Nuts, Nuts, Nuts, Nuts, Nuts, Nuts, Nuts, Peanuts, Peanuts, Peanuts, Peanuts, Peanuts, Peanuts, Peanuts, Peanuts, Peanuts, Peanuts, Peanuts, Peanuts, Peanuts, Peanuts, Peanuts, Peanuts, Pecans, Pecans, Pecans, Pecans, Pecans, Pecans, Pecans, Pecans, Pecans, Pecans, Pepitas, Pepitas, Pepitas, Pepitas, Pepitas, Pepitas, Pepitas, Pepitas, Pepitas, Pepitas, Pine Nuts, Pine Nuts, Pine Nuts, Pine Nuts, Pine Nuts, Pine Nuts, Pine Nuts, Pine Nuts, Pine Nuts, Pine Nuts, Pistachios, Pistachios, Pistachios, Pistachios, Pistachios, Pistachios, Pistachios, Pistachios, Pistachios, Sunflower Seeds, Sunflower Seeds, Sunflower Seeds, Sunflower Seeds, Sunflower Seeds, Sunflower Seeds, Sunflower Seeds, Sunflower Seeds, Sunflower Seeds, Sunflower Seeds, Walnuts, Walnuts, Walnuts, Walnuts, Walnuts, Walnuts, Walnuts, Walnuts, Walnuts, Walnuts, White Chia Seeds, White Chia Seeds, White Chia Seeds, White Chia Seeds, White Chia Seeds, White Chia Seeds, White Chia Seeds, White Chia Seeds, White Chia Seeds, White Chia Seeds; Chocolate Goods: Dark Chocolate, Dark Chocolate, Dark Chocolate, Dark Chocolate, Dark Chocolate, Unsweetened Chocolate, Unsweetened Chocolate, Unsweetened Chocolate, Unsweetened Chocolate, Unsweetened Chocolate, Unsweetened Chocolate, Unsweetened Chocolate, Unsweetened Chocolate, Unsweetened Chocolate, Unsweetened Chocolate; Bread/Bakery/Snacks: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 Snack Mixes</t>
  </si>
  <si>
    <t>Trees/Whole Plant Products/Flowers: Seeds (Brown Flax Seeds), Seeds (Chia Seeds), Seeds (Chia Seeds Black), Seeds (Chia Seeds White), Seeds (Colorful Popcorn), Seeds (Golden Flax Seeds), Seeds (Hulled Millet Seed), Seeds (Organic Ground Flax Seeds), Seeds (Popcorn Seeds (White, Multicolored, Yellow)), Seeds (Sesame Seeds), Seeds (Sesame Seeds, Hulled), Seeds (Sunflower Seeds), Seeds (White Popcorn), Seeds (Whole Sesame Seeds), Seeds (Yellow Popcorn); Other Grains, Pastas and Cereals: Barley (Barley Flakes), Barley (Barley Pearled), Barley (Hulled Barley), Oats (Oat Bran), Oats (Quick Rolled Oats), Oats (Quick Rolled Oats, GF), Oats (Thick Old Fashioned Rolled Oats, Gf), Oats (Think Old Fashioned Rolled Oats), Quinoa (Quinoa Flakes), Quinoa (Quinoa Seeds), Rice (Brown Rice), Rice (Cream of Rice), Rice (White Rice), Wheat (Cream of Wheat), Wheat (Hulled Buckwheat); Oils &amp; Oleoresins: Oils (Coconut Oil &amp; Shortening), Oils (Coconut Oil &amp; Shortening, Extra Virgin), Oils (Palm Oil &amp; Shortening); Nuts/Seeds: Brazil Nut (Brazil Nuts); Fruits/Vegetables: Beans (Adzuki Beans), Beans (Black Beans), Beans (Chick Peas), Beans (Cholent Bean Mix), Beans (Chulent Mix), Beans (Cream of Barley), Beans (Cream of Buckwheat), Beans (Great Northern Beans), Beans (Green Lentils), Beans (Lima Beans), Beans (Mung Beans), Beans (Navy Beans), Beans (Pinto Beans), Beans (Red Kidney Beans), Beans (Red Split Lentils); Dry/Baking Goods: Baking Chips and Bars (Coconut Chips/Coconut Chips Toasted), Baking Chips and Bars (Coconut Flakes, Medium), Baking Chips and Bars (Coconut Smiles), Baking Mixes (Coconut Fine), Baking Mixes (Organic Fine Shredded Coconut), Baking Mixes (Organic Medium Shredded Coconut), Flours and Meals (Barley Flour), Flours and Meals (Brown Rice Flour), Flours and Meals (Buckwheat Flour), Flours and Meals (Coconut Flour), Flours and Meals (Corn Flour), Flours and Meals (Einkhorn Flour, White), Flours and Meals (Einkhorn Flour, Whole), Flours and Meals (Flaxseed Meal, Golden), Flours and Meals (GF Rice Flour), Flours and Meals (Lite Kamut Flour), Flours and Meals (Lite Pastry Flour), Flours and Meals (Lite Spelt Flour), Flours and Meals (Lite Wheat Flour), Flours and Meals (Millet Flour, Flakes), Flours and Meals (Oat Flour), Flours and Meals (Rorries Organic White Spelt Flour), Flours and Meals (Spelt and Kamut Flour Blend), Flours and Meals (Stoneground Whole Rye Flour), Flours and Meals (White Kamut Flour), Flours and Meals (White Khorasan Flour), Flours and Meals (White Pastry Flour), Flours and Meals (White Red Fife Flour), Flours and Meals (White Spelt Flour), Flours and Meals (White Wheat Flour), Flours and Meals (Whole Cake Flour), Flours and Meals (Whole Kamut Flour), Flours and Meals (Whole Khorasan/Kamut Flour), Flours and Meals (Whole Red Fife Flour), Flours and Meals (Whole Spelt Flour), Flours and Meals (Whole Wheat Flour), Powders (Cocoa Powder), Powders (Cocoa Powder 20/22), Sugar (Coconut sugar), Sugar (Confection/Powdered Sugar), Sugar (Golden Cane Raw Sugar), Sugar (Organic Sugar), Sugar (Organic White Sugar), Sugar (Vanilla Sugar), Sugar (White Cane Sugar); Condiments and Sweeteners: Honey (Honey), Syrups (Agave Syrup), Syrups (Coconut Syrup, Light), Syrups (Rice Syrup); Bread/Bakery/Snacks: Packaged Snacks and Chips (Organic Whole Spelt Matzos), Packaged Snacks and Chips (Organic Whole Wheat Matzos)</t>
  </si>
  <si>
    <t>Other: #Handling, grinding, mixing, pelleting, and storage of grains and grain products for livestock feed; Transloading of grains., Blended Ingredients: Pea Flour Pellet, Yellow Pea Flour;, Dry Peas (Pea Culls, Pea Fiber Hulls, Pea Fiber Powder, Pea Flour, Pea Flour Grits, Pea Flour Screenings, Pea Starch), Yellow Pea Flour, Pea Flour Pellets., Grains: Barley, Flax Screenings, Oats, Oat Barley Flour, Wheat Flour;, Nonfat Dry Milk, Oat Barley Flour, Single Ingredients: Dry Peas (Pea Culls, Pea Fiber Hulls, Pea Fiber Powder, Pea Flour, Pea Flour Grits, Pea Flour Screenings, Pea Starch), Ground Flax Screenings, Non-Fat Dry Milk, Pea Pellets, Whole Yellow Peas, Yellow Pea Fiber;, Yellow Pea Fiber, Yellow Pea Flour</t>
  </si>
  <si>
    <t>Other: Amaranth (Lindley Mills Amaranth), Barley (malted) Flour (Lindley Mills Malted Barley Whole Grain Flour), Blended Flour (All Purpose Flour ), Blended Flour (Lindley Mills Buckwheat Blend), Blended Flour (Lindley Mills High Gluten Flour), Blended Flour (N/O RW Flour), Bread Flour, Bread Flour (Hi-T85 Bread Flour), Bread Flour (Lindley Mills Earth Fare Best Bread Flour), Bread Flour (Lindley Mills Malted X70 White Bread Flour), Buckwheat Flour (Lindley Mills Buckwheat Flour), Corn (Lindley Mills Yellow Corn Grits), Corn (Lindley Mills Yellow Corn Meal), Flax (brown) (Lindley Mills Flax Seed, Brown), Graham Flour (Lindley Mills Whole Wheat Pastry Graham Flour), Grain Blend (Lindley Mills Multi Grain 7 Blend), Grain Blend (Lindley Mills Multigrain 7 Blend), Millet (Lindley Mills Millet - Hulled), Oat Bran (Lindley Mills Oat Bran), Oats (Lindley Mills Rolled Oats), Rye (Lindley Mills Rye Berries), Rye (Lindley Mills Rye Chops), Rye (Lindley Mills Rye Meal), Rye Flour (Lindley Mills Dark Rye Flour), Rye Flour (Lindley Mills Light Rye Flour), Rye Flour (Lindley Mills Medium Rye Flour), Rye Flour (Lindley Mills Whole Rye Flour), Rye Flour (Whole Grain Rye Flour), Spelt (Lindley Mills Spelt Berries), Spelt Flour (Lindley Mills Spelt Flour), Spelt Flour (Lindley Mills White Spelt Flour), Spelt Flour (Lindley Mills Whole Spelt Flour), Spelt Flour (Whole Grain Spelt Flour), Sprouted Blend Flour (Lindley Mills Super Sprout Ancient Grains Flour), Sprouted Blend Flour (Lindley Mills Super Sprout Bread Blend Flour), Sprouted Buckwheat (Super Sprout), Sprouted Flour (Lindley Mills Revolutionary Super Sprout Flour), Sprouted Flour (Lindley Mills Super Sprout From White Wheat), Sprouted Flour (Lindley Mills Super Sprout Spelt Flour), Sprouted Flour (Lindley Mills Super Sprout Sprouted Whole Grain Rye Flour), Sprouted Flour (Lindley Mills Super Sprout Wheat Flour), Sprouted Flour (Lindley Mills Super Sprout Whole Grain Blue Emmer Flour), Sprouted Flour (Lindley Mills Super Sprout Whole Grain Einkorn Flour), Sprouted Flour (Lindley Mills Super Sprout Whole Grain Emmer Flour), Sprouted Flour (Lindley Mills Super Sprout Whole Grain Millet Flour), Sprouted Flour (Lindley Mills Super Sprout Whole Grain Red Fife Flour), Sprouted Flour (Lindley Mills Super Sprout Whole Grain Turkey Red Flour), Sprouted Flour (Super Sprout Ancient Grains), Sprouted Flour (Super Sprout AP Flour), Sprouted Flour (Super Sprout Hard Whole Wheat), Sprouted Flour (Super Sprout Soft Whole Wheat), Sprouted Flour (Super Sprout Whole Spelt), Sprouted Flour (Super Sprout™ - AP Flour), Sprouted Grain Blend (Lindley Mills SF Sprouted Ancient Grains And Seeds Blend), Wheat (Lindley Mills Bran and Germ Blend), Wheat (Lindley Mills Cracked Wheat), Wheat Berries (Lindley Mills Blue Emmer Berries), Wheat Berries (Lindley Mills Einkorn Berries), Wheat Berries (Lindley Mills Hard Wheat Berries), Wheat Berries (Lindley Mills Soft Wheat Berries), Wheat Flour ( All Purpose Flour), Wheat Flour (All-Purpose), Wheat Flour (Lindley Mills All Purpose Flour), Wheat Flour (Lindley Mills All Purpose Malted Flour), Wheat Flour (Lindley Mills Baker's Classic Flour), Wheat Flour (Lindley Mills Bakers Classic Unmalted Flour), Wheat Flour (Lindley Mills Bakers Classic with Restored Germ Flour), Wheat Flour (Lindley Mills Cake Flour), Wheat Flour (Lindley Mills Cracked Wheat), Wheat Flour (Lindley Mills Fine Wheat Bran), Wheat Flour (Lindley Mills Hi Extraction Flour), Wheat Flour (Lindley Mills Malted North Carolina Wheat Bread Flour), Wheat Flour (Lindley Mills North Carolina Wheat Bread Flour), Wheat Flour (Lindley Mills Pastry Flour), Wheat Flour (Lindley Mills PQ Flour), Wheat Flour (Lindley Mills Select Artisan Flour), Wheat Flour (Lindley Mills Select Artisan Unmalted Flour), Wheat Flour (Lindley Mills Stone Ground White Whole Wheat Flour), Wheat Flour (Lindley Mills T55 Flour), Wheat Flour (Lindley Mills T65 Flour), Wheat Flour (Lindley Mills Unbleached 14% Bread Flour), Wheat Flour (Lindley Mills Unbleached All Purpose Flour), Wheat Flour (Lindley Mills Unbleached Bread Flour), Wheat Flour (Lindley Mills Unbleached Bread Flour), Wheat Flour (Lindley Mills Unbleached Bread Flour Malted), Wheat Flour (Lindley Mills Unbleached Pastry Flour), Wheat Flour (Lindley Mills Unbleached with Germ Flour), Wheat Flour (Lindley Mills Unbleached X Bread Flour), Wheat Flour (Lindley Mills Unbleached X Malted Flour), Wheat Flour (Lindley Mills Wheat Bran), Wheat Flour (Lindley Mills Wheat Midds), Wheat Flour (Lindley Mills White Whole Wheat Flour), Wheat Flour (Lindley Mills Whole Grain Blue Emmer Flour), Wheat Flour (Lindley Mills Whole Grain Einkorn Flour), Wheat Flour (Lindley Mills Whole Grain Emmer Flour), Wheat Flour (Lindley Mills Whole Grain Red Fife Flour), Wheat Flour (Lindley Mills Whole Grain Turkey Red Flour), Wheat Flour (Lindley Mills Whole Wheat Coarse), Wheat Flour (Lindley Mills Whole Wheat Flour), Wheat Flour (Lindley Mills Whole Wheat Flour), Wheat Flour (Lindley Mills Whole Wheat Pastry Flour), Wheat Flour (Whole Wheat), Wheat Flour (WS Blend Flour)</t>
  </si>
  <si>
    <t>Other: Cayuse Oat Grain, Danko Winter Rye Grain, Patron Wheat Grain, Screenings, Large Mix, Screenings, Medium Mix, Streaker Hulless Oat Grain, Turkey Red Heirloom, Vetch Seed</t>
  </si>
  <si>
    <t>Other Grains, Pastas and Cereals: Pasta (Organic Brown Rice Noodles, Organic Brown Rice Pad Thai Noodles), Pasta (Organic Soba Ramen (Formula 2), Organic Soba Ramen (Formula 3)), Pasta (Explore Cuisine Organic Brown Rice Stir- fry Noodles, Explore Cuisine Organic Brown Rice Pad Thai Noodles , Explore Cuisine Organic Brown Rice Pho Noodles, Explore Cuisine Organic Brown Rice Ramen (Organic Brown Rice Ramen (Formula 1), Explore Cuisine Organic Brown Rice Vermicelli, Explore Cuisine Organic Red Rice Pad Thai Noodles, Explore Cuisine Organic Red Rice Ramen, Organic Brown Rice Pho Noodles, Organic Brown Rice Ramen (Organic Brown Rice Ramen (Formula 1)), Organic Brown Rice Stir-fry Noodles (Organic Brown Rice Noodles Pad Thai (Formula 1)), Organic Brown Rice Vermicelli, Organic Red Rice Pad Thai Noodles, Organic Red Rice Ramen, Organic Red Rice Vermicelli, Organic White Rice Noodles, Organic White Rice Pad Thai Noodle, Organic White Rice Pho , Organic White Rice Somen), Pasta (Organic Semi-Milled Rice Noodles, Organic Semi-Milled Rice Pad Thai Noodles, Organic Semi-Milled Rice Pho, Organic Semi-Milled Rice Ramen (Organic Brown Rice Ramen,Formula 3), Organic Semi-Milled Rice Somen, Organic Soba Ramen , Organic White Rice Ramen (Formular 1), Organic White Rice Vermicelli), Rice (Organic Black rice (packed in different size; order and purchased as finished goods and pack from suppliers), Organic Black Rice Paddy, Organic Broken Black rice (packed in different size; order and purchased as finished goods and pack from suppliers), Organic Broken Red rice (packed in different size; order and purchased as finished goods and from suppliers), Organic Long Grain – Brown (packed in different size; order and purchased as finished goods and from suppliers), Organic Long Grain – White (packed in different size; order and purchased as finished goods and from suppliers), Organic Long grain paddy, Organic Red rice (packed in difference size; order and purchased as finished goods and pack from suppliers), Organic Red Rice Paddy, Organic Riceberry (packed in different size; order and purchased as finished goods and pack from suppliers), Organic Riceberry Paddy, Organic Thai Hom Mali Paddy, Organic Thai Hom Mali Rice - Brown (packed in different size; order and purchased as finished goods and pack from suppliers), Organic Thai Hom Mali Rice – White (packed in different size; order and purchased as finished goods and pack from suppliers)); Dry/Baking Goods: Flours and Meals (Organic Tapioca Starch (packed in different size; order and purchased as finished goods and pack from suppliers))</t>
  </si>
  <si>
    <t>Trees/Whole Plant Products/Flowers: Herbs (*Rhodiola rosea (cut/powder/chopped/tbc)), Herbs (*Astragalus (whole/powder/cut/slice/tbc)), Herbs (*Milk thistle), Herbs (*Reishi mushroom), Herbs (*Sea buckthorn), Herbs (*Shiitake mushrooms), Herbs (Lavender), Herbs (Agaricus), Herbs (Chaga), Herbs (Cordyceps militaris), Herbs (*Alfalfa), Herbs (*Ginseng red), Herbs (*Ginseng tails red), Herbs (*Schisandra chinensis (fruit/dried/powder/extract)), Herbs (*Maitake mushroom), Seeds (*Sunflower seed); Preservatives/Extracts/Flavors: Extracts (*Soy lecithin), Extracts (*Anethol), Extracts (*Citronellol), Extracts (*Citronellal), Extracts (*Geraniol), Extracts (*Eucalyptol), Extracts (*Ginger crushed), Extracts (*Tapioca starch), Extracts (*Ginger Cut), Extracts (*Ginger TBC),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(*Broccoli Powder/Extract), Extracts (*Lion's Mane Granules), Extracts (Nutritional yeast tablet), Extracts (Yeast beta glucan), Extracts (Yeast cell wall), Extracts (Yeast extract), Extracts (Yeast protein), Extracts (Mannoprotein), Extracts (Goji berry extract (Also called: Gojiberry extract)), Extracts (Rose hip (Rosehip) powder/extract), Extracts (Frankincense (Boswellia) (powder/extract)), Extracts (Ginger Slices), Extracts (Licorice stick), Extracts (Gum Arabic), Extracts (*Alfalfa extract/extract powder), Extracts (Eleuthero root (Siberian ginseng)), Extracts (*Black pepper extract), Extracts (*Ginseng extract/extract powder), Extracts (*Oat protein), Extracts (*Red ginseng extract/extract powder), Extracts (*Beet extract/extract powder), Extracts (*Beet root juice powder/extract powder), Extracts (*Maitake mushroom extract/extract powder), Extracts (*Schisandra chinensis extract/extract powder), Extracts (*Rhodiola rosea extract/extract powder), Extracts (*Astragalus extract/extract powder), Extracts (*Chilli pepper extract/extract powder), Extracts (*Date extract), Extracts (*Garlic extract/extract powder), Extracts (*Ginger extract/extract powder), Extracts (*Milk thistle extract/extract powder), Extracts (*Reishi mushroom extract/extract powder), Extracts (*Shiitake mushroom extract/extract powder), Extracts (*Spirulina extract/extract powder), Extracts (*Stevia rebaudiana extract/extract powder), Extracts (*Turmeric extract), Extracts (*Isomaltooligosaccharide), Extracts (*Anhydrous Glucose(also called Dextrose Anhydrous, glucose syrup powder), Extracts (*Glucose Syrup Solids (Also called: Glucose Syrup Powder)), Extracts (*Lecithin Fluid (Soybean or Sunflower)), Extracts (*Tapioca maltodextrin), Extracts (*Tremella fuciformis extract), Extracts (*Corn starch), Extracts (*Rice starch), Extracts (*Soybean starch), Extracts (*Ginseng (cut/powder/extract)), Extracts (*Brown rice fiber), Flours and Meals (*Oat milk flour/Oat flour), Powders (*Beet root powder), Powders (*Rhodiola rosea powder), Powders (*Flax seed powder), Powders (*Konjac (Amorphophallus konjac) powder), Powders (*Alfalfa powder), Powders (*Apple cider vinegar powder), Powders (*Turmeric Powder), Powders (*Lecithin Powder (Soybean or Sunflower)), Powders (*Walnut protein/protein powder), Powders (*Shiitake mushroom powder), Powders (*Ginger powder), Powders (*Astragalus powder), Powders (*Schisandra chinensis powder), Powders (*Maitake mushroom powder), Powders (*Rice protein/protein powder), Powders (*Soybean protein/protein powder), Powders (*Sunflower seed protein/protein powder), Powders (*Pea protein/protein powder), Powders (*Pumpkin seed protein/protein powder), Powders (*Hemp seed protein/protein powder), Powders (*Mung bean protein/protein powder), Powders (*Brown rice protein/protein powder), Powders (Eleuthero root (Siberian ginseng) powder), Powders (*Alfalfa juice powder), Powders (Frankincense (Boswellia) powder), Powders (Blueberry powder), Powders (Sichuan peper-whole(also called Sichuan pepercorn)), Powders (Tomato powder), Powders (Raspberry powder), Powders (Strawberry powder), Powders (Carrot powder), Powders (Cabbage powder), Powders (Dragon Fruit powder), Powders (Banana Powder), Powders (Lemon Powder), Powders (Agaricus powder), Powders (Chaga powder), Powders (Cordyceps militaris powder), Powders (Cordyceps sinensis powder), Powders (Cordyceps powder), Powders (Lavender powder), Powders (Nutritional yeast powder), Powders (Goji berry powder (Also called: Gojiberry powder)), Powders (*Tapioca resistant dextrin powder), Powders (*Celery(Parsley) powder), Powders (Active yeast powder), Powders (*White Ginseng Root Powder), Powders (*Oyster Mushroom Powder), Powders (*Ginger powder/flakes), Powders (*Wheat grass powder), Powders (*Chinese date (Jujube) powder), Powders (*Chlorella (powder/tablet)), Powders (*Date powder), Powders (*Garlic powder), Powders (*Matcha powder), Powders (*Milk thistle powder), Powders (*Paprika/Sweet pepper powder), Powders (*Reishi mushroom powder), Powders (*Sea buckthorn powder), Powders (*Spirulina (powder/tablet)), Powders (*Spirulina powder (Also called: San sebastian spirulina)), Powders (*Stevia rebaudiana powder), Powders (*Kale powder), Powders (*Tremella fuciformis powder), Powders (*Spinach Powder), Syrups (*Tapioca resistant dextrin syrup); Other Grains, Pastas and Cereals: Rice (*Brown rice), Rice (*Rice), Rice (*Rice fiber); Oils &amp; Oleoresins: Oils (*Star Anise Oil), Oils (*Cassia Oil), Oils (*Howood Oil), Oils (*Wintergreen Oil), Oils (*Citronella Oil), Oils (*Eucalyptus Oil (Eucalyptus Globulus)), Oils (*Lavender Oil (Lavandula Angustifolia)), Oils (*Litsea Cubeba Oil), Oils (*Tea tree oil (Melaleuca alternifolia)), Oils (*Ginger essential oil), Oils (Sea buckthorn oil), Oils (Sea buckthorn fruit oil), Oils (Sea buckthorn seed oil); Nuts/Seeds: Nuts (*Pine nut kernels (Also called: Pine nut kernel seed of Pinus koreansis)), Seeds (*Hemp seed), Seeds (*Hemp seed hulled), Walnuts (*Walnut); Fruits/Vegetables: Beans (*Mung bean), Beans (*Mung bean fiber), Beans (*Soybean), Beans (*Soybean fiber), Berries (Goji berry (Also called: Gojiberry)), Vegetables (*Kale cut), Vegetables (*Beet), Vegetables (*Pea), Vegetables (*Pea fiber), Vegetables (*Pumpkin seed), Vegetables (*Chinese date (Jujube)); Condiments and Sweeteners: Powders (*Inulin (powder)), Spices (*Chilli pepper (Red pepper) powder/crushed/flakes), Spices (*Paprika pod), Spices (*Paprika Chopped), Sweeteners (*Stevia rebaudiana), Sweeteners (*Glucose/Dextrose monohydrate), Sweeteners (*Malt syrup), Sweeteners (*Maltodextrin), Sweeteners (*Xylitol), Sweeteners (*Erythritol), Sweeteners (*Fructooligosaccharide), Sweeteners (*Monk fruit erythritol), Sweeteners (*Allulose), Sweeteners (*Maltitol), Sweeteners (*Maltitol Liquid), Sweeteners (*Sorbitol), Sweeteners (*Sorbitol Liquid), Syrups (*Fructose Syrup/Crystalline fructose), Syrups (*Brown rice syrup), Syrups (*Rice syrup), Syrups (*Inulin (syrup/liquid)), Syrups (*Jerusalem artichoke inulin syrup), Syrups (*Fructose syrup), Syrups (*Glucose syrup)</t>
  </si>
  <si>
    <t>Other: Brokered Products (Oils, Olives and Vinegars: Blackberry Vinegar), Chocolate (Chocolate: Almond Butter Chocolate Bar), Chocolate (Chocolate: Berry Filled Berry Bar), Chocolate (Chocolate: Cacao Butter), Chocolate (Chocolate: Cacao Nibs), Chocolate (Chocolate: Cacao Powder), Chocolate (Chocolate: Cashew Butter Chocolate Bar), Chocolate (Chocolate: Cherry &amp; Honey Dark Chocolate Bar), Chocolate (Chocolate: Chocolate Coconut Barque), Chocolate (Chocolate: Chocolate Fruit and Nut Barque), Chocolate (Chocolate: Dark Chocolate Covered Cherries), Chocolate (Chocolate: Dark Chocolate Covered Hazelnuts), Chocolate (Chocolate: John Muir - Alive Dark Chocolate Bar 81%), Chocolate (Chocolate: Quinoa Crisp Brazil Nut Bliss Chocolate Bar), Chocolate (Chocolate: Some Like It Hot Cayenne Chocolate), Chocolate (Chocolate: Vanilla Chocolate Bar), Chocolate (Dark Chocolate Covered Almonds), Chocolate (Walnut Butter Chocolate Bars), Coffee (French Roast), Dried Fruits (Fruits and Vegetables: Apple Rings), Dried Fruits (Fruits and Vegetables: Apricots), Dried Fruits (Fruits and Vegetables: Banana), Dried Fruits (Fruits and Vegetables: Berry Chocolate Bars Filling (Wholesale)), Dried Fruits (Fruits and Vegetables: Blueberries), Dried Fruits (Fruits and Vegetables: Cherries), Dried Fruits (Fruits and Vegetables: Cherry and Honey Chocolate Bars Filling (Wholesale)), Dried Fruits (Fruits and Vegetables: Coconut Chips), Dried Fruits (Fruits and Vegetables: Coconut Flakes), Dried Fruits (Fruits and Vegetables: Coconut Flour), Dried Fruits (Fruits and Vegetables: Cranberries), Dried Fruits (Fruits and Vegetables: Dates, Black Abbada), Dried Fruits (Fruits and Vegetables: Dates, Halawi), Dried Fruits (Fruits and Vegetables: Dates, Khadrawy), Dried Fruits (Fruits and Vegetables: Dates, Medjool), Dried Fruits (Fruits and Vegetables: Figs, Mission), Dried Fruits (Fruits and Vegetables: Figs, Smyrna), Dried Fruits (Fruits and Vegetables: Goji Berries), Dried Fruits (Fruits and Vegetables: Goldenberries), Dried Fruits (Fruits and Vegetables: Jujubes), Dried Fruits (Fruits and Vegetables: Mango), Dried Fruits (Fruits and Vegetables: Medjool Dates), Dried Fruits (Fruits and Vegetables: Mulberries), Dried Fruits (Fruits and Vegetables: Peaches), Dried Fruits (Fruits and Vegetables: Persimmons), Dried Fruits (Fruits and Vegetables: Pineapple), Dried Fruits (Fruits and Vegetables: Raisins), Flour (Fruits and Vegetables: Garbanzo Flour), Grains (Grains and Pasta: Amaranth), Grains (Grains and Pasta: Berkeley Breakfast Muesli), Grains (Grains and Pasta: Brown Rice), Grains (Grains and Pasta: Buckwheat Groats), Grains (Grains and Pasta: Flint Corn Polenta), Grains (Grains and Pasta: Golden Prairie Gluten Free Rolled Oats), Grains (Grains and Pasta: Hard Red Whole Wheat Flour), Grains (Grains and Pasta: Oat Groats), Grains (Grains and Pasta: Quinoa), Grains (Grains and Pasta: Quinoa, Puffs/Crisps), Grains (Grains and Pasta: Quinoa, Red), Grains (Grains and Pasta: Streaker Barley Flakes), Grains (Grains and Pasta: White Rice), Grains (Grains and Pasta: Wild Rice), Grains (Grains and Pasta: Yellow Corn Meal (Red Cob Variety)), Grains (Tibetan Black Barley), Herbs &amp; Spices (Spices and Powders: Carob Powder), Herbs &amp; Spices (Spices and Powders: Cayenne), Herbs &amp; Spices (Spices and Powders: Cinnamon), Herbs &amp; Spices (Spices and Powders: Ginger Powder), Herbs &amp; Spices (Spices and Powders: Lucuma Powder), Herbs &amp; Spices (Spices and Powders: Maca Powder), Herbs &amp; Spices (Spices and Powders: Mesquite Powder), Herbs &amp; Spices (Spices and Powders: Nutritional Yeast), Herbs &amp; Spices (Spices and Powders: Turmeric), Honey (Honey and Sweeteners: Call of the Wild White Clover Honey), Honey (Honey and Sweeteners: Hawaiian Native Forest Honey), Lentils (Grains and Pasta: Black Beluga Lentils), Lentils (Grains and Pasta: Red Lentils (decoritated)), Nut Butter (Bravezil Butter), Nut Butter (Hemp4Hope Butter), Nut Butter (Inspiration Butter), Nut Butter (Nut and Seed Butter: Zinc Cantata Selenium Sonata), Nut Butter (Nut and Seed Butters: A New Milk of Paradise), Nut Butter (Nut and Seed Butters: Almond Butter Chocolate Bars Filling (Wholesale)), Nut Butter (Nut and Seed Butters: Almond Butter, Alive), Nut Butter (Nut and Seed Butters: Almond Butter, Roasted), Nut Butter (Nut and Seed Butters: Almond Hazelnut Chocolate Spread), Nut Butter (Nut and Seed Butters: Almond, Cashew &amp; Brazil Nut (Innovation Butter)), Nut Butter (Nut and Seed Butters: Brazil Nut Butter), Nut Butter (Nut and Seed Butters: Brazil Nut Butter Chocolate Bar Filling (Wholesale)), Nut Butter (Nut and Seed Butters: Cashew Butter), Nut Butter (Nut and Seed Butters: Cashew Butter Chocolate Bar Filling (Wholesale)), Nut Butter (Nut and Seed Butters: Cashew Butter with Almond Oil), Nut Butter (Nut and Seed Butters: Cashew Butter, Alive), Nut Butter (Nut and Seed Butters: Coconut Butter), Nut Butter (Nut and Seed Butters: Heart Butter), Nut Butter (Nut and Seed Butters: Macadamia Butter), Nut Butter (Nut and Seed Butters: Pecan Butter), Nut Butter (Nut and Seed Butters: Pine Nut Butter), Nut Butter (Nut and Seed Butters: Pistachio Butter), Nut Butter (Nut and Seed Butters: Pistachio Pesto), Nut Butter (Nut and Seed Butters: Walnut Butter), Nut Butter (Nut and Seed Butters: Walnut Butter Chocolate Bar Filling (Wholesale)), Nut Butter (Nut and Seed Butters: Wellnut Butter), Nut Butter (Powerfully Pure Almond Butter), Nut Butter Processing (Client Profile Products only), Nuts (Nuts and Seeds: Almond Flour), Nuts (Nuts and Seeds: Almonds, Raw and Roasted), Nuts (Nuts and Seeds: Blanched Almonds), Nuts (Nuts and Seeds: Brazil), Nuts (Nuts and Seeds: Cashews), Nuts (Nuts and Seeds: Hazelnuts), Nuts (Nuts and Seeds: John Muir Trail Mix), Nuts (Nuts and Seeds: Macadamia), Nuts (Nuts and Seeds: Pecans, Raw), Nuts (Nuts and Seeds: Pine Nuts), Nuts (Nuts and Seeds: Pistachios), Nuts (Nuts and Seeds: Pumpkin Seed Flour), Nuts (Nuts and Seeds: Siberian Pine Nuts), Nuts (Nuts and Seeds: Walnut Flour), Nuts (Nuts and Seeds: Walnuts), Oils (Avocado), Oils (Specialty) (Oils, Olives and Vinegars: Almond Oil), Oils (Specialty) (Oils, Olives and Vinegars: Black Cumin), Oils (Specialty) (Oils, Olives and Vinegars: Black Sesame Oil), Oils (Specialty) (Oils, Olives and Vinegars: Coconut Oil), Oils (Specialty) (Oils, Olives and Vinegars: Flax Oil), Oils (Specialty) (Oils, Olives and Vinegars: Olive (Extra Virgin, Olio Nuovo)), Oils (Specialty) (Oils, Olives and Vinegars: Olive Oil (California Family)), Oils (Specialty) (Oils, Olives and Vinegars: Olive Oil (Eight Fruit Heirloom California)), Oils (Specialty) (Oils, Olives and Vinegars: Olive Oil (Greek Heritage)), Oils (Specialty) (Oils, Olives and Vinegars: Pumpkin Seed Oil), Oils (Specialty) (Oils, Olives and Vinegars: Walnut Oil), Olives (Oils, Olives and Vinegars: Garlic-Stuffed Olives), Olives (Oils, Olives and Vinegars: Pepper-Stuffed Olives), Olives (Oils, Olives and Vinegars: Sundried), Pasta (Grains and Pasta: Quinoa Pasta), Seed Butter (Nut and Seed Butters: Alive Sesame), Seed Butter (Nut and Seed Butters: Black Sesame), Seed Butter (Nut and Seed Butters: Pumpkin Seed Butter (American Seeds)), Seed Butter (Nut and Seed Butters: Sunflower Seed Butter), Seed Butter (Nut and Seed Butters: Turmeric and Honey Butter), Seeds (Nuts and Seeds: Black Cumin Flour), Seeds (Nuts and Seeds: Black Sesame Seed Flour), Seeds (Nuts and Seeds: Chia Seeds, Black), Seeds (Nuts and Seeds: Chia Seeds, White), Seeds (Nuts and Seeds: Cumin Seed, Black), Seeds (Nuts and Seeds: Golden Flax Seeds), Seeds (Nuts and Seeds: Hemp Seeds), Seeds (Nuts and Seeds: Pumpkin Seeds), Seeds (Nuts and Seeds: Sesame Seeds, Black), Seeds (Nuts and Seeds: Sesame Seeds, White), Seeds (Nuts and Seeds: Sunflower Seeds), Sweetener (Honey and Sweeteners: Cane Sugar), Sweetener (Honey and Sweeteners: Coconut Sugar), Sweetener (Honey and Sweeteners: Date Sugar), Sweetener (Honey and Sweeteners: Maple Sugar), Sweetener (Honey and Sweeteners: Maple Syrup), Vanilla (Ingredients: Vanilla Powder), Vegetables (Fruits and Vegetables: Black Beans), Vegetables (Fruits and Vegetables: Cranberry Beans), Vegetables (Fruits and Vegetables: Garbanzo), Vegetables (Fruits and Vegetables: Green Split Peas), Vegetables (Fruits and Vegetables: Sun Dried Tomtoes), Vegetables (Fruits and Vegetables: Yellow-Eye Beans)</t>
  </si>
  <si>
    <t>Other Grains, Pastas and Cereals: Hulled Millet; Oils &amp; Oleoresins: Oils (Sunflower Oil), Oils (Palm Oil); Nuts/Seeds: Flax Seeds, Hemp Seeds, Sunflower Seeds; Dry/Baking Goods: Acacia Fiber, Cinnamon, Flours and Meals (Easy Peasy Flour Mix), Flours and Meals (Base Mix Flour), Flours and Meals (Buckwheat Mix Flour Blend), Flours and Meals (Tapioca Starch), Flours and Meals (Sorghum Flour), Powders (Pea Protein), Powders (VitaFiber Prebiotic from Tapioca Starch (IMO Powder)), Powders (Psyllium husk powder), Raisins, Sugar (Cane Sugar), Sunflower Lecithin; Condiments and Sweeteners: Sweeteners (Molasses), Vinegar (Apple Cider Vinegar); Bread/Bakery/Snacks: Bread (Classy Slice), Bread (Wild Buns), Bread (Whole Grain Yum White Big Pan), Bread (Buckwheat Molasses), Bread (Hemp Hemp Hooray), Bread (Long Slice Food Service Bread), Bread (Cravin' Raisin Cinnamon), Bread (Bread Butts bread (Long Slice ENDS))</t>
  </si>
  <si>
    <t>Other Grains, Pastas and Cereals: Barley, Oats, Pea, Soybean, Wheat (Buckwheat); Oils &amp; Oleoresins: Oils (Crude flaxseed oil), Oils (Crude rapeseed oil), Oils (Crude soybean oil), Oils (Crude sunflower (seeds) oil); Nuts/Seeds: Flaxseed, Rapeseeds, Sunflower seeds; Animal Feed: Livestock Feed (Flaxseed cake/meal), Livestock Feed (Rapeseed cake/meal), Livestock Feed (Soybean cake/meal), Livestock Feed (Sunflower cake/meal)</t>
  </si>
  <si>
    <t>Other Grains, Pastas and Cereals: Wheat; Fruits/Vegetables: Peas; Other: Millet, Soybeans, Sunflower, Sunflower seeds kernels</t>
  </si>
  <si>
    <t>Other Grains, Pastas and Cereals: Barley, Wheat; Other: Rape, Sunflower</t>
  </si>
  <si>
    <t>Other Grains, Pastas and Cereals: Wheat; Fruits/Vegetables: Peas; Other: Linseed, Millet, Sunflower, Sunflower seeds kernels</t>
  </si>
  <si>
    <t>Other Grains, Pastas and Cereals: Hulled spelt, Lentils, Millet, Soybeans, Spelt, Vicia villosa, Wheat; Nuts/Seeds: Linseed, Rape seed, Sunflower seeds kernels, Sunflowers</t>
  </si>
  <si>
    <t>Other Grains, Pastas and Cereals: Wheat; Fruits/Vegetables: Mung Beans; Other: Hulled spelt, Millet, Rape seed, Spelt, Sunflower, Sunflower seeds kernels</t>
  </si>
  <si>
    <t>Other Grains, Pastas and Cereals: Barley, Oats; Nuts/Seeds: Flowers (Sunflower seeds), Seeds (Flaxseed), Seeds (Rapeseed), Seeds (Safflower seed); Fruits/Vegetables: Beans (Green mung beans)</t>
  </si>
  <si>
    <t>Other: Cheese, Cold Storage, Fruits, Grains, Meats, Nuts</t>
  </si>
  <si>
    <t>Other Grains, Pastas and Cereals: Pasta (Organic Broad Threads 有機寬粉, Organic Crystal Noodle 有机粉条, Organic Vermicelli 有機細粉)</t>
  </si>
  <si>
    <t>Other: Milling, Fermenting, Distilling, Bottling, and Labeling of Experimental Series (4 Grain Whiskey, Aquavit 1, Aquavit 2, Bourbon, Christmas 1, Good Rybes, Peppermint 1, R1-1 White Rum), Milling, Fermenting, Distilling, Bottling, and Labeling of Lac Coeur Liqueur (Blueberry, Cinnamon, Coffee, Elderberry, Ginger), Milling, Fermenting, Distilling, Bottling, and Labeling of Loonman (Aquavit, Gin, Gin New World, Rum, Vodka, Loonman White Whiskey), Loonman (products for further processing: Aromatic Bitters, Orange Bitters), Cosmopolitan, Lemon Drop, and Minnesota Organic Old Fashioned, Spent Wheat Barley Mash</t>
  </si>
  <si>
    <t>Other Grains, Pastas and Cereals: Oats, Oats, Wheat, Wheat</t>
  </si>
  <si>
    <t>Other Grains, Pastas and Cereals: Cereal (Mezcla de hojuelas de Kiwicha, Quinua y Cañihua - MIX HOJUELAS = 2.000,00 kg); Baby Food: Purees (Papilla instantánea infantil a base de harina de plátano, granos andinos y coco -BIO BABY CEREAL =  2.200,00 kg)</t>
  </si>
  <si>
    <t>Processed  Items: Buckwheat &amp; Shiitake Rice Ramen with Mushroom Soup Pack (Size 2.8oz), Forbidden Pad Thai Rice Noodles (8 oz), Forbidden Rice (15 oz, 11 lb), Forbidden Rice Ramen (4 Pack, 48 Pack), Forbidden Rice Ramen with White Miso Soup (2.8 oz), Garlicky Veggie Rice Ramen Noodle Soup (2.05 oz), Jade Pearl Rice Ramen - 4 Pack (10 oz), Jade Pearl Rice Ramen with Wakame Miso Soup (2.8 oz), Masala Curry Rice Ramen Noodle Soup, Millet &amp; Brown Rice Ramen (4 Pack, 12 Pack, 48 Pack), Millet &amp; Brown Rice Ramen 12 pk (2.5oz), Millet &amp; Brown Rice Ramen with Red Miso Soup (2.8 oz), Red Miso Rice Ramen Noodle Soup (1.98 oz), Spicy Kimchi Rice Ramen Noodle Soup (1.98 oz), Tom Yum Rice Ramen Noodle Soup (2 oz), White Jasmine &amp; Forbidden Rice Heat &amp; Eat Retort Pouch, White Jasmine Heat &amp; Eat Rice Retort Pouch; Other Grains, Pastas and Cereals: Noodles (Brown Pad Thai Rice Noodles (8 oz)), Noodles (Brown Udon Rice Noodles 8 oz), Noodles (Buckwheat &amp; Brown Soba Rice Noodles), Noodles (Traditional Pad Thai Rice Noodles (8oz)), Noodles (Traditional Pad Thai (White) Rice Noodles (8 oz)), Noodles (Traditional Pho Rice Noodles (8 oz)), Noodles (Brown Pad Thai Noodles (8 oz)), Rice (Black Rice (Size 2200 lbs)), Rice (Brown Basmati Rice (30 oz, 25 lb)), Rice (Brown Jasmine Heat &amp; Eat Rice Retort Pouch), Rice (Brown Jasmine Rice (Sizes 30 oz, 25 lbs)), Rice (Jade Pearl rice (15oz, 11 lb)), Rice (Red Rice (15 oz, 22 lb, 2200 lbs)), Rice (Tricolor Blend Rice (15 oz, 44 lb)), Rice (Tricolor Rice (11 lb)), Rice (White Basmati Rice (30 oz, 25 lb)), Rice (White Jasmine Rice (30 oz, 25 lb)), Rice (White Quick Cook Kalijira Rice (15 oz))</t>
  </si>
  <si>
    <t>Other: Cat Litter Pellets, Hay Pellets, Storage of Grain, Straw Pellets</t>
  </si>
  <si>
    <t>Other: Cereal (Grain Free Cinnamon O's), Cereal (Grain Free Cocoa O's), Cereal (Grain Free Fruity O's), Cereal (Grain Free Honey O's), Cereal (Grain Free Unsweetened O's), Granola (Cinnamon Maple Protein Granola), Granola (Maple Butter Protein Granola), Granola (Original Protein Granola), Ingredient (Cinnamon), Ingredient (Coconut Oil), Ingredient (Fava Bean Protein), Ingredient (Maple Syrup), Ingredient (Naked Oats), Ingredient (Sunflower Butter), Ingredient (Vanilla Extract)</t>
  </si>
  <si>
    <t>Other Grains, Pastas and Cereals: Wheat; Other: Buckwheat, Chickpeas, Corn, Green peas, Millet, Popcorn, Soybean, Sunflower seed, Yellow Peas</t>
  </si>
  <si>
    <t>Other Grains, Pastas and Cereals: Rice (Broken Rice), Rice (Brown Rice), Rice (Color grain rice), Rice (Dried paddy), Rice (Purple Rice), Rice (Rice)</t>
  </si>
  <si>
    <t>Other: Organic Food Solvent, Royal Rose Anise Simple Syrup, Royal Rose Apricot Simple Syrup, Royal Rose Blackberry Syrup, Royal Rose Blueberry Simple Syrup, Royal Rose Cardamom-Clove Simple Syrup/ Spiced Hot Toddy Simple Syrup, Royal Rose Cranberry Spice Syrup, Royal Rose Ginger-Lime Simple Syrup, Royal Rose Hot Ginger-Lime Syrup, Royal Rose Jasmine Simple Syrup, Royal Rose Lavender-Lemon Simple Syrup, Royal Rose Margarita Mix, Royal Rose Natural Cocktail Syrup/ Simple Syrup/ Classic Hot Toddy, Royal Rose Orange Vanilla Simple Syrup, Royal Rose Raspberry Simple Syrup, Royal Rose Real Sour Mix, Royal Rose Rose Simple Syrup, Royal Rose Saffron Simple Syrup, Royal Rose Strawberry-Fennel Simple Syrup, Royal Rose Three Chile Simple Syrup, Spent Grain as Livestock Feed, Split Rock 150 Proof Vodka, Split Rock Aged Whiskey, Split Rock Barrel Rested Gin, Split Rock Blueberry Vodka, Split Rock Bourbon, Split Rock Bourbon Barrel Rested Maple Syrup, Split Rock Dark Rum (Aged), Split Rock Gin, Split Rock Horseradish Vodka, Split Rock Vodka, Split Rock White Rum, Split Rock White Whiskey</t>
  </si>
  <si>
    <t>Trees/Whole Plant Products/Flowers: Seeds (MILLET); Other Grains, Pastas and Cereals: Barley, CANOLA SEED, Cereal (RYE), CORN, Oats (OAT), POPCORN, Sorghum, SUNFLOWER, Wheat, Wheat (BUCKWHEAT); Oils &amp; Oleoresins: Oils (SOYBEAN OIL); Nuts/Seeds: FLAX; Fruits/Vegetables: Beans (PEA), Beans (BEAN), Beans (SOYBEAN), Beans (VETCH)</t>
  </si>
  <si>
    <t>Other: Snack Foods (Ancient Grain Tortilla Chips), Snack Foods (Cheddar Clouds), Snack Foods (Cheddar Lightening Bolts), Snack Foods (Chia Seed Multigrain &amp; Seed Chips)</t>
  </si>
  <si>
    <t>Other: Grain Processing (Client Profile Products only) (Grain Cleaning, Grain Packaging, Grain Conditioning, Grain Storage), Seed Processing (Client Profile Products only) (Seed Cleaning, Seed Packaging, Seed Conditioning, Seed Storage)</t>
  </si>
  <si>
    <t>Other: By-Products (Saponin (from Quinoa)), Quinoa (Antique White), Quinoa (Antique White- Grown in Southern California), Quinoa (Antique White- Grown in Washington), Quinoa (Black (Nonretail)), Quinoa (Red), Quinoa (Tri-Color Blend), Rice (Akitakomachi - Brown, Paddy, Sushi, White), Rice (Arborio - Brown, Paddy, White), Rice (Black Japonica - Brown, Paddy), Rice (Black Pearl), Rice (Black Pearl (Sorted)), Rice (Black Pearl-25lb), Rice (Brokens), Rice (Brown Basmati), Rice (Cal Rose - Brown, White), Rice (Calhikari - Brokens), Rice (Calhikari: Brown, Paddy, White), Rice (California Basmati - Brown, Paddy, White), Rice (California Sushi - White), Rice (Countrywild Rice), Rice (Cracked &amp; Weed Seed), Rice (Golden Rose -  Brown, White), Rice (Greens (Nonretail)), Rice (Jasmine - Brown, Paddy, White), Rice (Koshihikari - Brown, Paddy, White), Rice (Long Grain - Brown, Paddy, White), Rice (Long Grain White - Brokens), Rice (Medium Grain - Brown, Golden Rose, Paddy, White), Rice (Quick Wild Rice), Rice (Red (Jasmine)), Rice (Rescue Rice - White Basmati), Rice (Rescue Rice - White Jasmine), Rice (Screenings (Nonretail)), Rice (Short Grain - Brown, Paddy, Sushi, White), Rice (Sprouted Brown Basmati), Rice (Sprouted Red), Rice (Sprouted Short Brown), Rice (Sprouted Tri-Color Blend), Rice (Sweet - Brown, Mochi, Paddy, White), Rice (Tiger's Eye), Rice (Upcycled White Jasmine), Rice (Wehani - Red, Paddy), Rice (Wild), Rice (Wild Rice Blend), Rice Blends (Brown Basmati &amp; Wild Rice), Rice Blends (California Basmati &amp; Wild Rice ), Rice Blends (Quinoa, Rice, &amp; Seasoning Mix - Garlic &amp; Herb), Rice Blends (Quinoa, Rice, &amp; Seasoning Mix - Rosemary &amp; Olive Oil), Rice Blends (Wehani &amp; Wild Rice), Rice Bran, Rice Cakes (Brown - Multi-Pack Lightly Salted), Rice Cakes (Brown Rice Lightly Salted), Rice Cakes (Brown Rice Salt Free), Rice Cakes (Bulk (Broken)), Rice Cakes (Cinnamon Toast), Rice Cakes (Honey Nut), Rice Cakes (Kettle Corn), Rice Cakes (Minis: Apple Pie), Rice Cakes (Minis: Buffalo Ranch), Rice Cakes (Minis: Fiery Hot), Rice Cakes (Minis: Ginger Seaweed), Rice Cakes (Minis: Sea Salt), Rice Cakes (Minis: Sea Salt Multi-Pack), Rice Cakes (Minis: White Cheddar), Rice Cakes (Salted Caramel), Rice Cakes (Tamari with Seaweed), Rice Cakes (Thin Stackers 5 Grain), Rice Cakes (Thin Stackers Basil &amp; Thyme), Rice Cakes (Thin Stackers Brown Rice Lightly Salted), Rice Cakes (Thin Stackers Brown Rice Salt Free), Rice Cakes (Thin Stackers Cracked Black Pepper), Rice Cakes (Thin Stackers Dark Chocolate Coconut Sprinkle), Rice Cakes (Thin Stackers Decadent Dark Chocolate), Rice Cakes (Thin Stackers Red Rice &amp; Quinoa), Rice Cakes (Thin Stackers White Chocolate Lemon Poppy Seed), Rice Cakes (Wild Rice), Rice Entree (Prepared) (Long Grain White: Chicken &amp; Herb), Rice Entree (Prepared) (Long Grain White: Garlic &amp; Basil), Rice Entree (Prepared) (Long Grain White: Turmeric &amp; Ginger), Rice Entree (Prepared) (Rice Bowls: Countrywild Brown Rice), Rice Entree (Prepared) (Rice Bowls: Long Grain Brown Rice), Rice Entree (Prepared) (Rice Bowls: Short Grain Brown Rice), Rice Entree (Prepared) (Rice Pilaf: Cilantro Lime), Rice Entree (Prepared) (Rice Pilaf: Original), Rice Entree (Prepared) (Rice Pilaf: Spanish Rice), Rice Entree (Prepared) (Whole Grain &amp; Wild Rice: Garlic &amp; Basil), Rice Entree (Prepared) (Whole Grain &amp; Wild Rice: Original), Rice Entree (Prepared) (Whole Grain &amp; Wild Rice: Wild Porcini Mushroom), Rice Entree (Prepared) (Whole Grain Rice Pilaf: Spanish Rice), Rice Entree (Prepared) (Whole Grain Rice Pilaf: Yellow Rice), Rice Flour (Brown, White, Red, Roasted &amp; Specialty Grinds), Rice Flour (Brown) (Parboiled), Rice Hulls, Rice Products (Ready to Heat: Brown Jasmine Rice [No Current  Production]), Rice Products (Ready to Heat: Brown Rice &amp; Quinoa), Rice Products (Ready to Heat: Cilantro Lime Rice), Rice Products (Ready to Heat: Coconut Rice), Rice Products (Ready to Heat: White Jasmine Rice), Rice Products (Rice Chips: Barbecue), Rice Products (Rice Chips: Fiery Hot), Rice Products (Rice Chips: Fiesta Lime), Rice Products (Rice Chips: Sea Salt), Rice Products (Rice Chips: Sesame Seaweed ), Rice Seed (S-102), Risotto (Alfredo), Risotto (Creamy Parmesan), Risotto (Wild Porcini Mushroom), Seed (Quinoa (cherry vanilla, black, rainbow)), Syrup (Rice) (Nonretail), Syrup (Rice) (Sweet Dreams Brown, Regular)</t>
  </si>
  <si>
    <t>Other: Alfalfa Meal, Barley Grass pellets, broccoli Pellets, Buckwheat, Calf Starter, Kale pellets, Lentils - Black Beluga, Mixed Prairie Grass Pellets, Oat Grass Pellets, Oats, Screenings - Peas, Sorghum Sudan, Timothy Meal, Wheat (Canada Western Hard Red Spring, Canada Western Red Winter, Spring Common, Winter), Wheat Grass Pellets, Alfalfa Pellets, Barley/Peas, Flax Meal, Flax Seed Cake, Sorghum Grain, Wheat (Durum, Hard Red Spring, Hard Red Winter), Whole Oats, Barley, Buckwheat, Flax (Brown, Golden, Meal), Lentils (Green, Red), Millet, Mustard, Soybeans, Canola, Canola Meal, Carrot Seed, Clover-Sweet, Fallow, Forage Pasture, Grass, Grass - Other, Ground Oats, Hominy, Lentils (Large Green, Large Red, Small Green , Small Red),  Millet, Milo, Native Grass Pasture, Oats/Peas,  Peas (Green), Phacelia, Pinto Beans, Seed Screenings,  Soy Hulls, Sunflower, Sunflower Meal, Sunn Hemp, Triticale,  Wheat - Canada Western Amber Durum, Whole Oats,, cereals, grains, oilseeds, pulses, screenings (Lentils - French Green, Millrun, Oats, Peas - Yellow, Screenings), Corn, Garbanzo beans, Kabuli Garbanzo Beans, Lentils - Black, Soybean Meal, Soybean Oil (Feed Grade), Soybean Oil (Food Grade)</t>
  </si>
  <si>
    <t>Other: 100% Whole Wheat Bread, 21 Whole Grains and Seeds Bread, 21 Whole Grains and Seeds Bread - Thin Sliced, BOLD BUFFALO SNACK BITES, CINNA ROLL SNACK BITES, EPIC EVERYTHING SNACK BITES, Good Seed Bread, Good Seed Bread - Thin Sliced, HONEY NUT SNACK BITES, PB &amp; CHOCOLATE SNACK BITES, PowerSeed Bread, Powerseed Bread, Thin Sliced, TOASTED GARLIC SNACK BITES, White Bread Done Right, White Bread Done Right Bread, Thin-Sliced</t>
  </si>
  <si>
    <t>Other Grains, Pastas and Cereals: Pasta (Organic linguini), Pasta (Organic mezze gomiti/elbows), Pasta (Organic penne rigate), Pasta (Organic rigatoni), Pasta (Organic shells), Pasta (Organic Spaghetti)</t>
  </si>
  <si>
    <t>Other: Storage (Transload, Storage, and Distribution of Bulk Grains, Pulses, Seeds, Oils, Meals, Sugar Products, Sugar By-Products)</t>
  </si>
  <si>
    <t>Other: Apple Cider Vinegar 60 Grain Blackstrap Molasses COM-EG/O-ACV (Molasses/ACV Blend) COM-FB (Molasses) COM-FE (Molasses) COM-FF/O-ACV (Molasses/ACV Blend) COM-FI (Molasses) COM-GE (Molasses) COSS-5/O-ACV (Molasses/ACV Blend) Dark Molasses Light Corn Syrup Lite Molasses Lite Pancake Syrup Molasses Pancake Syrup Soybean Oil (Organic SO4Z) Sunflower Lecithin Sweet Solution, COSS-5</t>
  </si>
  <si>
    <t>Other Grains, Pastas and Cereals: Corn, Cotton
Soybean
Chickpea, Wheat</t>
  </si>
  <si>
    <t>Other: Maize Grain, Raw Cotton, Soybean/ Soybean White., Wheat,Wheat Grain</t>
  </si>
  <si>
    <t>Other: Ajwain Powder, Ajwain/Bishops Weed, Almond, Almond (In Shelled), Aloe Vera, Amaranth Flour, Amaranth Seed, Amla, Amla Powder, Anise, Annatto, Annatto Powder, Ashwagandha Extract, Ashwagandha Powder, Ashwagandha Root, Bajra Flour/Atta, Bajra Porridge (Dalia), Banana Fresh, Barley Flour, Barley Whole, Basil, Basmati Golden Sella, Basmati Paddy, Basmati Paddy (HBC19), Basmati Paddy (PB 1), Basmati Paddy (Pusa 1121), Basmati Parboiled 1121 Rice, Basmati Parboiled Rice (Pusa -1121), Basmati Rice - White, Basmati Rice Brown, Basmati Rice Cream Sella, Bay Leaf Powder, Bay Leaves / Tejpatta, Beaten Rice, Bel Powder, Bengal Gram (Chana) Flour, Bengal Gram Whole, Black Chana, Black Cumin, Black Cumin Powder, Black Gram, Black Mustard Oil, Black Pepper, Black Pepper Crushed, Black Pepper Powder, Black Pepper TBC, Black Rice, Black Sesame, Black Tea, Brahmi Powder, Broken Rice, Brown Mustard, Brown Pusa Basmati Rice, Brown Rice, Brown Rice Flour, Brown Traditional Basmati Rice, Buckwheat (Other Than Seed), Buckwheat Flour, Cane Jaggery, Cane Sugar, Cardamom, Cardamom Large (Black), Cardamom Powder, Cardamom Seed, Cardamom TBC, Cashew Kernel (Shelled Broken), Cashew Kernel (Shelled Whole), Cashew Kernels (W180), Cashew Kernels (W210), Cashew Kernels (W240), Cashew Kernels (W320), Cashew Kernels (W450), Cashew Nut (In shell), Cashew Nut (Roasted), Castor Oil, Chamomile (Matricaria Chamomilla), Chana Dal, Chia, Chia Seeds, Chicpea / Kabuli Chana (Garbanzos), Chilli Birds Eye, Chilli Flakes, Chilli Powder, Chitra Kidney Beans/Rajma (Phaseolus vulgaris), Cinnamon Bark, Cinnamon Powder, Cinnamon TBC, Clove, Clove Powder, Clove TBC, Cocoa, Cocoa Beans, Coconut (Dried), Coconut Desiccated, Coconut Oil, Coffee Beans (Arabica), Coffee Beans (Rousta), Coffee Powder, Coriander Powder, Coriander Seed/ Whole, Coriander TBC, Cowpea, Cowpea Red, CTC Tea, Cumin Powder, Cumin Seeds, Curry Leaf, Curry Leaf Powder, Dehydrated Fenugreek Leaves, Dehydrated Onion Powder, Dill Powder (Aowa), Dill Seed (Aowa), Dried Cardamom, Dried Clove, Dried Turmeric, Extra Virgin Coconut Oil, Fennel Powder, Fennel Seed, Fenugreek Powder (Methi Powder), Fenugreek Seed (Methi Seed), Fenugreek TBC, Finger Millet Flour, Flax / Linseed Oil, Flax Seed, Foxtail Millet, Garcinia Powder / Extract, Garlic, Garlic Flakes, Garlic Powder, Ginger Flakes, Ginger Fresh, Ginger Oil, Ginger Powder, Ginger Sliced (Dried), Ginger TBC, Ginger Whole Dried, Gram Flour / Besan, Green Chickpea Whole, Green Gram Split Yellow (Moong Dal Yellow), Green Gram Whole (Moong sabut), Green Tea, Groundnut/Peanut, Groundnut/Peanut (Roasted), Groundnut/Peanut Oil (Edible Grade), Hulled Sesame/Sesamum, Indian Curry Leaves, Indian Organic Basmati Rice, Jaggery, Jaggery Powder, Jowar, Kalonji / Nigella, Krishna Tulsi (Ocimum Sanctum), Lemon Dried, Lemon Grass, Lemon Grass (Cymbopogon Citratus) Oil, Lemon Grass TBC, Lentil, Long Grain Brown Rice, Long Grain Non Basmati Rice, Mace, Mace Powder, Maize (Corn), Maize (Corn) Flake, Maize / Corn Flour, Maize Grain, Maize Starch, Mango Powder/ Aamchur, Matki / Moth Bean, Medium Grain Non Basmati Rice, Mint / Mentha, Mint Powder, Moringa Leaves, Moringa Powder, Moth Dal, Multi Grain Atta / Flour, Mustard, Mustard Oil (Refined), Mustard Seed (Yellow), Neem Oil, Neem Seed Oil, Neem Seeds, Non Basmati Brown Rice (Gobindabhog, Kala Jira), Non- Basmati Cream Sella (Long Grain), Non- Basmati Cream Sella (Medium Grain), Non Basmati Golden Sellla (Long Grain), Non Basmati Golden Sellla (Mediam Grain), Non Basmati Paddy, Non- Basmati Steam Rice (Long Grain), Non- Basmati Steam Rice (Medium Grain), Non-Basmati Brown Rice (Medium Grain), Non-Basmati Brown Rice (Sona Masoori), Non-Basmati White Rice (Long Grain), Non-Basmati White Rice/Ponni Rice/Ambemohar Rice/Kali Jeera Rice/Idli Rice/Jeera Samba/Govindbhog/Surtikolam Rice/Indrayani Rice/Rajmudi Rice/Hand Pound Sona Masuri Rice/Dosa Rice, Nutmeg (Whole), Nutmeg Powder, Oats (Flakes), Oats (Seed/Grains), Onion, Onion Dried, Onion Flakes, Onion Powder, Orange Dry Peel, Orange Peel, Orange Peel (TBC), Paprika Powder, Parboiled Basmati Rice, Parboiled Non Basmati Rice, Parboiled Rice, Parboiled White Basmati Rice, Parsley, Pearl Millet Melange, Pearl Millet/ Bajra, Peppermint, Peppermint Leaves, Peppermint Oil (Mentha Piperita), Peppermint Powder, Peppermint Tea Cut, Peppermint Whole Leaves, Pigeon Pea/ Arhar Whole, Pipali (Piper Longum), Poha/Chivda, Pomegranate (Fresh), Psyllium Husk Powder, Psyllium Seed (lsobgul), Pusa Basmati Rice, Quinoa, Ragi / Finger Millet Grain, Rapeseed / Rai, Red Chilli Powder, Red Chilli Whole, Red Chillli Flakes, Red Flattened Rice, Red Gram, Red kidney Beans/Rajma (Phaseolus Vulgaris), Red Lentil, Red Onion Powder, Red Rice, Red Rice Paddy, Rice Bran, Rice Bran Oil, Rice Flakes, Rice Flour, Rice Puffed, Rice Sonamasuri, Rice Sonamasuri Brown, Rice Sonamasuri Handpound, Roasted Gram/Chana, Rosemary, Safed Musli Powder, Safflower Seed Oil (Kardi Seed Oil), Saffron, Senna Leaves Powder, Senna Leaves Tea Bag Cut (TBC), Sesame Oil/ Gingelly Oil, Sesame Seed, Sesame Seed Oil, Sorghum, Sorghum Flour, Soyabean /Soyabean White, Soybean Oil, Spearmint Leaves, Spearmint Oil, Split Black Gram (Vigna spp.), Split Gram (Cicerarietnum), Split Green Gram / Moong (Vigna sp), Split Lentils, Split Pigeon Pea / Arhar/ Red Gram, Stevia, Stevia Leaves (Dried), Sticky Rice, Sugar (Brown / Natural), Suji/Semolina/ Cream Of Wheat, Sunflower Oil: Edible Grade, Sunflower Seed Oil, Sunflower Seed: Of Seed Quality, Tamarind, Tapioca, Tomatoes - Fresh, Tulsi Leaves Powder, Turmeric Fingers, Turmeric Flakes, Turmeric Powder, Turmeric TBC, Urad Dal Split, Vanila, Vanila Powder, Virgin Coconut Oil, Walnut Kernels, Walnut Shelled, Wheat, Wheat Flour, Wheat Porridge / Dalia, White Cane Suger, White Pepper, White Pepper Crushed, White Pepper Powder, White Pusa Basmati Rice, White Rice (Non-Basmati Kalajira/Gobindhog), White Rice Flour, White Sesame, White Traditional Basmati Rice, Yellow Chickpea Flour, Yellow Mustard, Yellow Split Chickpea</t>
  </si>
  <si>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(REFINED SUNFLOWER OIL), Essential Oils (SOYBEAN OIL); Nuts/Seeds: FLAX, SEEDBIRD; Fruits/Vegetables: Beans (PEA), Beans (SOYBEAN); Dry/Baking Goods: Flours and Meals (SOY MEAL)</t>
  </si>
  <si>
    <t>Processed  Items: peanut butter;peanut, cacao and sugar butter; Other Grains, Pastas and Cereals: Cereal, Quinoa, Rice (Rice
Rice flour
Expanded quinoa, kiwicha and rice cereal
Expanded quinoa, rice and cocoa cereal
Expanded cereal of quinoa, kiwicha, rice and maca with yacon honey
Andean grain flour (Quinoa, kiwicha and cañihua) and extruded instant rice
Expanded rice, sweet potato and turmeric cereal
Expanded quinoa and chickpea with chili "Q sticks quinoa + peruvian chili"
Expanded quinoa and chickpea with fine herbs "Q sticks quinoa + andean herhs"
Quinoa and chickpea spread with maras salt
Multigrain flour  
Andean pancake mix); Nuts/Seeds: Peanuts; Fruits/Vegetables: raisins; Dry/Baking Goods: Confections, Flours and Meals, Sugar; Chocolate Goods: cacao powder, Chocolate Nibs; Bread/Bakery/Snacks: Cereal, Cookies, Gluten-free baking mix, Packaged Snacks and Chips</t>
  </si>
  <si>
    <t>Other: Ancient Grains Cereal, Black Bean Flour, Buckwheat Flour, Coarse Rye Flour, Corn Feed, Cracked Oats, Cracked Rye Berries, Cracked Spelt, Crop Rotation Adzuki Beans, Crop Rotation Black Beans, Crop Rotation Cranberry Beans, Crop Rotation Light Red Kidney Beans, Crop Rotation Pinto Beans, Farro, Heritage Einkorn Flour, Heritage Flint Corn Flour, Heritage Flint Cornmeal, Heritage Kamut Berries, Heritage Kamut Flour, Heritage Red Fife Flour, Heritage Red Fife Wheat Berries, Heritage Sirvinta Berries, Heritage Sirvinta Flour, Meal Size Einkorn Farro, Meal Size Polenta, Meal Size Spelt Farro, Oat Feed, Oat Hulls, Polenta, Rolled Oats, Rye Berries, Rye Feed, Rye Flakes, Rye Flour, Sifted Wheat Flour, Spelt Berries, Spelt Feed, Spelt Flour, Spelt Pancake Mix, Wheat Berries, Wheat Bran Flour, Wheat Feed, Wheat Graham Flour, Wheat Middlings Feed, Wheat Pastry Flour, Whole Oat Groats, Whole Wheat Flour, Yellow Pea Flour</t>
  </si>
  <si>
    <t>Other Grains, Pastas and Cereals: Barley, Wheat</t>
  </si>
  <si>
    <t>Other: Brokering, Crushing, Malting, Sprouting, Packaging, Labeling, and Storage of Whole, Sprouted or Malted Grains including Barley*, Buckwheat, Corn*, Flax, Millet, Oats*, Rye*, Spelt*, Triticale*, and Wheat*, Brokering, Importing, and Storage of Dehydrated Citrus including Bitter Orange*, Grapefruit*, Lemon*, and Orange*</t>
  </si>
  <si>
    <t>Other Grains, Pastas and Cereals: Pasta (Broccoli Fettuccine Pasta, Tomato Fettuccine Pasta, Sweet Pepper Fettuccine Pasta, Beetroot Fettuccine Pasta, 
Olive Fettuccine Pasta, Spinach Fettuccine Pasta, Turmeric Fettuccine Pasta, Fettuccine Pasta, Tomato Ravioli, 
Spinach Ravioli, Beetroot Ravioli)</t>
  </si>
  <si>
    <t>Other: Buckwheat Broken Grouts, Buckwheat, Flours and Meals (Buckwheat Flour), Grain Cleaning &amp; Dehulling</t>
  </si>
  <si>
    <t>Animal Feed: Blox in a Box, Soybean Meal (Defatted, Full Fat), Green Chicken (Complete Layer Concentrate, Mini Mix), Green Cow (Mini Mix), Soybean Oil, Green Cow (30% Concentrate, Breeder, Breeder High Protein Pellet, Breeder Pellets PCAS, Dry Stock Lick Loose, Dry Stock Lick PCAS, Feedlot Pellet, High Grain 70% Loose Mix, High Protein Concentrate, High Salt Mulga Dry Stock Lick, Weaner High Protein, Weaner Maintenance, Weaner Maintenance PCAS, Green SHeep &amp; Cattle Nut, Green Sheep Ewe &amp; Lamb Pellet, Green SHeep Lamb Starter</t>
  </si>
  <si>
    <t>Processed  Items: Cereal (Canihua powder, Hojuelas de cañihua / canihua flakes, Hojuelas de kiwicha / Amaranth flakes, Quinoa flakes , Quinoa pop), Dehydrated Foods (Banana en Polvo/ Banana Powder), Purees (Camu camu organic pulp and skin powder); Other Grains, Pastas and Cereals: Cereal (Amaranth grains, Cañihua / Canihua), Quinoa (Black quinoa grains, Quinoa tricolor grain, Quinoa tricolor powder, Red quinoa grains, White quinoa grains); Nuts/Seeds: Pecans (Pecans in shell, Pecans shelled), Seeds (Sacha inchi oil); Health Products: Herbs (Ginger dehydrated, Ginger powder, Goldenberry organic powder, jengibre fresco/ginger fresh, Maca powder, Oregano leaves dehydrated, Oregano powder dehydrated, Turmeric, Yacon powder, Yacon slice); Fruits/Vegetables: Avocado, Balck maca powder, Lucuma fresh fruit, Red maca gelatinized powder, Red maca powder, Dehydrated Foods (Black maca gelatinized powder, Dehydrated aguaymanto_x000D_ (Goldenberry), Maca gelatinized powder, Mango, Mango deshidratado /dehydrated mango); Dry/Baking Goods: Flours and Meals (Chia powder, Harina de kiwicha / Amaranth flour, Lucuma powder, Purple corn dried powder, Quinoa flour, Quinoa gelatinized powder, Sacha inchi gelatinized powder, Sacha inchi powder); Chocolate Goods: Cacao butter, cacao grain/beans, cacao liquor, Cacao nibs / cacao nibs raw, cacao powder, Cacao roasted nibs; Beverage Related Products: Juice (Yacon syrup/yacon concentraed juice); Other: Mesquite organic powder, Seeds (Chia seed)</t>
  </si>
  <si>
    <t>Other: Apple Cider Vinegar, Apple Cider Vinegar Filtered, Apple Cider Vinegar Unfiltered, APPLE CIDER VINEGAR, FILTERED, PASTEURIZED, 60 GRAIN, Balsamic Vinegar, Canola Oil, Canola Oil, Canola Oil, Canola Oil, Canola Oil, Coconut Amino, Coconut Aminos, Coconut Aminos Garlic Sauce, Coconut Aminos Spicy, Coconut Aminos Teriyaki, Coconut Oil, Refined, Distilled White Vinegar, Distilled White Vinegar, Extra Virgin Olive Oil, Extra Virgin Olive Oil, Extra Virgin Olive Oil, Extra Virgin Olive Oil, Extra Virgin Olive Oil, Extra Virgin Olive Oil, Extra Virgin Olive Oil Mediterranean, Golden Balsamic Vinegar, O California Extra Virgin Olive Oil, Olive Oil Cayenne infused, Olive Oil Rosemary infused, Olive Oil,Unrefined Extra Virgin, Peanut Oil, Refined, Peanut Oil, Refined, RBD Coconut Oil, RBD Expeller Oleic Sunflower Oil, Red Wine Vinegar, Refined Peanut Oil, Safflower Oil, Safflower Oil, Safflower Oil, Sesame Oil Garlic and Chili Infused, Sesame Oil, Cold Pressed, Sesame Oil, Toasted, Sesame Oil, Toasted, Sesame Oil, Toasted, Sesame Oil, Toasted, Sesame Oil, Unrefined, Sesame Oil, Un-Refined, Sesame Oil, Un-refined, Sesame Oil, Un-Refined Toasted, Sesame Oil, Un-Refined Toasted, Soy Oil, Refined, Soybean Oil, Soybean Oil, Soybean Oil, Sunflower Oil, Sunflower Oil, Sunflower Oil, Sunflower Oil, Expeller-Pressed, Sunflower Oil, Organic Expeller-Pressed, Sunflower Oil, Organic Expeller-Pressed, Unrefined Sesame Oil, Vegetable Oil, White Distilled Vinegar, White Wine Vinegar</t>
  </si>
  <si>
    <t>Processed  Items: Dehydrated Foods (Organic: Dried goji berry), Powders (100% Organic: Turmeric powder, Camu Camu powder, Wheatgrass powder, Lucuma powder, Chlorella powder, Sacha Inchi powder, Ground black chia pinta.), Powders (Organic: Spirulina powder, Matcha tea powder); Other Grains, Pastas and Cereals: 100% Organic: Cacao Nib, Hemp hearts, Tricolor quinoa grain</t>
  </si>
  <si>
    <t>Other Grains, Pastas and Cereals: Other Other Grains, Pastas and Cereals - Fusilli Pasta 2.0, Other Other Grains, Pastas and Cereals - Pipe Rigate 2.0, Other Other Grains, Pastas and Cereals - Torchiette Pasta 2.0; Bread/Bakery/Snacks: Nutrition Bars (Whole Wheat Fig Bars), Nutrition Bars (Whole Wheat Raspberry Bars), Packaged Snacks and Chips (Almond Vanilla), Packaged Snacks and Chips (Cashew Cinnamon), Packaged Snacks and Chips (Goji Berry Trail Mix), Packaged Snacks and Chips (Macadamia Coconut), Packaged Snacks and Chips (Superfood Seed Bites Acai Hibiscus), Packaged Snacks and Chips (Superfood Seed Bites Maca Cacao), Snack Mixes (Mango Bites Bulk)</t>
  </si>
  <si>
    <t>Nuts/Seeds: Nuts (Ojoche Seco en grano/ Ojoche Dry in grain)</t>
  </si>
  <si>
    <t>Other: Brown &amp; Red Rice with Chia &amp; Kale, Brown &amp; Red Rice with Chia &amp; Kale - 6 ct, Brown and Jasmine Rice with Cilantro and a Hint of Lime, Brown and Wild Rice with Tomato &amp; Roasted Garlic, Brown Basmati Rice, Brown Basmati Rice - 6 ct., Jasmine Rice, Jasmine Rice - 6 ct, Protein Bowl Garden Pesto, Protein Bowl Harvest Herb, Quinoa &amp; Brown Rice with Garlic, Quinoa &amp; Brown Rice with Garlic - 6 ct, Quinoa &amp; Brown Rice with Garlic- Family Size, Quinoa &amp; Brown Rice with Sea Salt, Quinoa &amp; Brown Rice with Sun Dried Tomato, Quinoa, Brown &amp; Red Rice with Flaxseed, Quinoa, Brown &amp; Red Rice with Flaxseed - 6 ct, Seven Whole Grains, Seven Whole Grains - 6 ct, Spanish Style Rice with Quinoa, Red Bell Peppers &amp; Corn, Spanish Style Rice with Quinoa, Red Bell Peppers &amp; Corn - 6 ct, Super Grains Indian Style Sorghum, Finger Millet &amp; Quinoa, Super Grains Smoky Southwest Sorghum, Quinoa, Amaranth &amp; Pearl Millet, Super Grains Tuscan Herbs flavored Pearl Millet, Wheat Berries &amp; Quinoa</t>
  </si>
  <si>
    <t>Other Grains, Pastas and Cereals: Grits, Farro, Wheat, Corn</t>
  </si>
  <si>
    <t>Other: Beans, Beans (Legumes, Seeds), Beans (Legumes, Seeds), Dried Fruits, Dried Vegetables, Fruits (Purees, IQF, Processed, Fresh), Fruits (Purees, IQF, Processed, Fresh), Grains (Milled), Grains (Milled), Herbs &amp; Spices, Herbs &amp; Spices (Herbs and Spices), Juice (Fruit and Vegetable), Juice (Fruit and Vegetable), Juice Concentrate (Fruits and Vegetables ), Juice Concentrate (Fruits and Vegetables ), Nuts (Products and Butters), Nuts (Products and Butters), Oils, Oils, Vegetables (Purees, IQF, Processed, Fresh), Vegetables (Purees, IQF, Processed, Fresh)</t>
  </si>
  <si>
    <t>Oils &amp; Oleoresins: Oils (Oil: Soybean Oil); Animal Feed: Barley (Grain: Barley), Livestock Feed (Grain: Canola Meal), Livestock Feed (Roughage: Alfalfa Pellets), Livestock Feed (Grain: Seed Screenings), Livestock Feed (Grain: Lentils), Livestock Feed (Grain: Millrun), Livestock Feed (Grain: Peas), Livestock Feed (Grain: Flax), Livestock Feed (Grain: Corn), Oats (Grain: Oats), Seeds (Grain: Soybeans), Seeds (Grain: Soybean Meal), Wheat (Grain: Wheat)</t>
  </si>
  <si>
    <t>Other: Apples, Arugula, Asparagus, Avocados, Bagels, Everything, Bagels, Onion, Bagels, Plain, Bagels, Poppy, Bagels, Sesame, Bagels, Whole Wheat Cinnamon Raisin, Bagels, Whole Wheat Everything, Bagels, Whole Wheat Plain, Baguettes, French, Baguettes, Sourdough (San Francisco), Baguettes, Sourdough Flax Sunflower, Bananas, Basil, Beans, Fava, Beans, Green, Beans, Yellow Wax, Beets, Blackberries, Blueberries, Bok Choy, Bread, Challah, Bread, Hamburger Buns, Bread, Hot Dog Buns, Bread, Seven Grain, Bread, Sourdough Flax Sunflower, Bread, Sourdough House Milled Wheat, Bread, Sourdough San Francisco, Bread, White White, Broccoli, Broccoli Rabe, Broccolini, Brussels Sprouts, Brussels Tops, Cabbage, Cantaloupe, Carrots, Cauliflower, Celery, Chard, Cherries, Chicory Mix, Chili Flakes, Chili Powder, Chipotle, Chili Powder, Hot Smoked Paprika, Chili Powder, Sweet Smoked Paprika, Cilantro, Collard Greens, Cookies, Chocolate Chip, Cookies, Ginger Snap, Cookies, Oatmeal Raisin, Cookies, Peanut Butter, Cookies, Vegan Chocolate Chip, Corn Tortillas, Corn, Sweet, Cranberries, Cucumbers, Dandelion Greens, Dates, Medjool, Dill, Edamame, Eggplant, Eggs, Chicken, Escarole, Fennel, Floral: Broomcorn, Floral: Celosia Bunch, Floral: Chrysanthemum, Floral: Dahlia Bunch, Floral: Dahlia Tubers, Floral: Designer Bucket, Floral: Field Bunch, Floral: Gomphrena, Floral: Jumbo Hanging Baskets, Floral: Larkspur, Floral: Lavender, Floral: Lily Bunches, Floral: Lisianthus Bunch, Floral: Mixed Bouquet, Floral: Pussy WillowGrey Paws, Floral: Ranunculus, Floral: Signature Bouquet, Floral: Spring Bouquets, Floral: Sunflowers, Floral: Sweet William Bouquets, Floral: Tulips, Frisee, Garlic, Garlic Scapes, Garlic, Peeled, Ginger, Grapefruit, Grapes, Horseradish, Jicama, Kale, Kohlrabi, Leeks, Lemons, Lettuce, Limes, Mandarins, Mangoes, Melon, Cantaloupe, Melon, Honeydew, Micro-Greens, Mushrooms, Lion's Mane, Mushrooms, Medley/Chef's Mix, Mushrooms, Mixed, Mushrooms, Oyster, Mushrooms, Portabella, Mushrooms, Shiitake, Mushrooms, White Cello, Onions, Oranges, Oregano, Parsley, Parsnips, Pastry, Bittersweet Chocolate Brownies, Pastry, Blueberry Muffins, Pastry, Cranberry Ginger Scones, Peaches, Pears, Peas, Peppers, hot, Peppers, sweet, Persimmons, Pineapples, Pizza Dough, Pizza Dough, Whole Wheat Sourdough, Plums, Pomegranates, Potato, Sweet, Potatoes, Potted Herbs, Basil, Radicchio, Radishes, Raspberries, Rosemary, Rutabaga, Sage, Salad Greens, Scallions, Shallots, Spices: Dried Ginger, Spices: Dried Turmeric, Spices: Mixed Case, Spigariello, Spinach, Squash Blossoms, Squash, summer, Squash, winter, Strawberries, Thyme, Thyme, dried, Tomatillos, Tomatoes, Turmeric, Turnips, Watermelon, Yams</t>
  </si>
  <si>
    <t>Other: Apple Cider Vinegar, Drinking Vinegar (Apple Cider &amp; Rice Vinegar Drink Blend), Rice Vinegar, Rice Vinegar, Rice Vinegar (90 Grain), Rice Vinegar (Seasoned), Rice Vinegar (Sushi Vinegar)</t>
  </si>
  <si>
    <t>Other Grains, Pastas and Cereals: Quinoa (Quinua blanca orgánica)</t>
  </si>
  <si>
    <t>Processed  Items: Brown rice ﬂour, Brown sugar (raw sugar), Date Paste, Dextrose monohydrate, Rice Bran, Rice ﬂour, Rice maltodextrins, Rice milk powder, Rice Protein 45-75%, Tapioca Dexstrose Monohydrate, Wheat Flour, White Rice Flour; Other Grains, Pastas and Cereals: Rice (Long Grain Broken White Rice), Rice (Parboiled Brown Rice), Rice (Basmati Rice - White), Rice (Broken Rice), Rice (Brown Basmati Rice), Rice (Long Grain Broken Brown Rice), Rice (Long Grain Brown Rice), Rice (Long Grain white Rice), Rice (Milled Rice), Rice (Parboiled Basmati Rice), Rice (Parboiled Long Grain Rice), Rice (Parboiled Rice), Rice (Brown Rice organic), Rice (Brown super kernel basmati rice), Rice (Super Basmati Rice (white)), Rice (Super Kernel Basmati Rice), Wheat (Wheat); Condiments and Sweeteners: Brown Rice Syrup 28-64 DE, Clariﬁed Rice Syrup 28-64 DE, Corn Dextrose Monohydrate, Corn Maltodextrin 10-18DE, Corn Starch MAT-AP, Corn Starch MAT-BLANC, Corn Starch MAT-BLANC-0507, Corn Starch MAT-BLANC-1010, Corn Starch MAT-BLANC-1012, Corn Starch MAT-BLANC-1214, Corn Starch MAT-PHARM, Corn Syrup Solid 20-42-DE, Corn Syrup Solid 28-64-DE, Mat Corn Fibre, MAT- Gold Meal 60%, MAT-Corn Germ, Rice syrup solids, Tapioca Maltodextrin (10DE-18DE), Tapioca Syrup 28-64 DE, Tapioca Syrup Solid (20DE-42DE), Waxy Corn Starch; Other: Paddy (basmati), Paddy (non basmati)</t>
  </si>
  <si>
    <t>Other Grains, Pastas and Cereals: Chickpea/Kabuli Chana (garbanzos), Green Gram Whole (Moong Sabut), FlaxSeed; Oils &amp; Oleoresins: Castor Oil, Cumin Seed Oil, extra virgin coconut oil, Flax Seed oil, Groundnut/Peanut oil (Edible grade), Moringa Oil,, Mustard Oil (Refined), Sunflower oil: edible grade, Virgin coconut oil, Neem oil, Sesame Seed Oil; Nuts/Seeds: Pumpkin Seeds; Condiments and Sweeteners: Cardamom Powder; Beverage Related Products: Green Tea; Other: Amla Powder, Ashwagandha Powder, Beet Root Powder, Coriander Powder, Cumin Powder,Ginger Powder, Jaggery Powder, Cinnamon bark, Basmati Rice, Brown Rice,, Bay leaves/Tejpatta,, Chia,, cloves, Black Pepper, Dehydrated Spinach powder, Garlic Powder, Moringa Powder, Cinnamon (Powder), Fennel/saunf, Green gram split yellow (Moong dal-yellow), Masoor Dal, Moong Dal-split, Neem Powder, Onion powder, Tulsi powder,Nutmeg powder, Turmeric Powder,, Non-Basmati Rice, Red Rice, Red Kidiey beans/Rajmä (Phaseolus vulgaris), Red Lentil, Psyllium husk (isobgul), Soyabean</t>
  </si>
  <si>
    <t>Other: Light Amber Honey, Sunflower Oil, Argan Oil, Avocado Oil, Canola Oil, Castor Oil, Divider Oil, Extra Virgin Coconut Oil, Heartland Blend, Hempseed Oil, High Oleic Safflower Oil, MCT, Pan Oil, Sesame Oil, Slicer Oil, Soybean Oil, Soy Lecithin Liquid, Sunflower Oil, Sun Pan Oil, Virgin Coconut Oil, Distilled White Vinegar, Distilled 200 Grain Vinegar, High Oleic Safflower Oil, High Oleic Sunflower Oil, Extra Virgin Olive Oil, Extra Virgin Sesame Oil, Trough Grease, Virgin Coconut Oil, RBDW Avocado Oil, RDW Oleic Sunflower Oil</t>
  </si>
  <si>
    <t>Animal Feed: Livestock Feed (27% Organic Poultry), Livestock Feed (Barley), Livestock Feed (Custom Organic Livestock Feeds), Livestock Feed (Ear Corn), Livestock Feed (Molasses), Livestock Feed (Oats), Livestock Feed (Okara), Livestock Feed (Organic 14% Calf Grower), Livestock Feed (Organic 15% Swine Starter/Grower), Livestock Feed (Organic 16% Calf Starter), Livestock Feed (Organic Chick Grower), Livestock Feed (Organic Chick Starter), Livestock Feed (Organic Turkey Finisher), Livestock Feed (Organic Turkey Grower), Livestock Feed (Organic Turkey Starter), Livestock Feed (Roasted Soybeans), Livestock Feed (Shelled Corn), Livestock Feed (Soybean Meal), Livestock Feed (Soybean Oil), Livestock Feed (Speltz), Livestock Feed (Wheat); Other: Brokering Organic Grains, Beans, and Molasses, Grinding Custom Livestock Feed Mixes, Mixing Custom Livestock Feed Mixes, Packaging Custom Livestock Feed Mixes, Roasting Custom Livestock Feed Mixes, Storing Organic Grains and Organic Livestock Feed, Transporting Organic Livestock Feed</t>
  </si>
  <si>
    <t>Other: Wheat (Alfalfa Hay Grain Hay (Wheat, Barley, Oat, Triticale, Austrian Winter Peas) Grain Straw (Wheat, Barley, Oat, Triticale) Pasture Hay Rice Straw)</t>
  </si>
  <si>
    <t>Other: Feed Ingredient - Middlings, Grains - Corn, Grains - Oats, Grains - Wheat, Soy Products - Soybean Hulls, Soy Products - Soybean Meal, Soy Products - Soybeans, Roasted, Soy Products - Soybeans, Whole</t>
  </si>
  <si>
    <t>Other: Barley (Bulk: Seed, Grain), Wheat (Bulk: Seed, Grain)</t>
  </si>
  <si>
    <t>Other: Beans, Black, 1lb, 5lb, 25lb, Beans, Cayenne Small Red Beans, 1lb, 5lb, Beans, Cranberry, 1lb, 5lb, Beans, Dapple Grey, 1lb, 5lb, Beans, Jacob’s Cattle, 1lb, 5lb, 25lb, Beans, Myriad Mixed, 1lb, 5lb, 25lb, Buckwheat Groats, 15lb, 25lb, 50lb, Corn Grits, White, 2lb, 5lb, 15lb, 25lb, 50lb, Corn Grits, White, Coarse, 2lb, 5lb, 15lb, 25lb, 50lb, Corn Kernels, Red Flint, 2lb, 5lb, 15lb, 25lb, 50lb, Corn Kernels, White Dent, 2lb, 5lb, 15lb, 25lb, 50lb, Corn Kernels, Yellow Flint, 2lb, 5lb, 15lb, 25lb, 50lb, Corn Polenta, Red Flint 2lb, 5lb, 15lb, 25lb, 50lb, Corn Polenta, Red Flint, Coarse, 2lb, 5lb, 15lb, 25lb, 50lb, Corn Polenta, Yellow Flint, 2lb, 5lb, 15lb, 25lb, 50lb, Corn Polenta, Yellow Flint, Coarse, 2lb, 5lb, 15lb, 25lb, 50lb, Corn, Yellow Dent, Distiller Grade, 50lb, Cornmeal, Red Flint, Whole Grain, 2lb, 5lb, 15lb, 25lb, 50lb, Cornmeal, White, Whole Grain, 2lb, 5lb, 15lb, 25lb, 50lb, Cornmeal, Yellow Flint, Whole Grain, 2lb, 5lb, 15lb, 25lb, 50lb, Flax Seed, Golden, 1lb, 5lb, 25lb, Flour, All Purpose, Bolted, 2lb, 5lb, 15lb, 25lb, 50lb, Flour, All Purpose, Whole Wheat, 2lb, 5lb, 15lb, 25lb, 50lb, Flour, Bread, Bolted, 1lb, 2lb, 5lb, 15lb, 25lb, 50lb, Flour, Bread, Whole Wheat, 1lb, 2lb, 5lb, 15lb, 25lb, 50lb, Flour, Buckwheat, Whole Grain, 2lb, 5lb, 15lb, 25lb, 50lb, Flour, Corn, Red Flint, 2lb, 5lb, 15lb, 25lb, 50lb, Flour, Corn, White, 2lb, 5lb, 15lb, 25lb, 50lb, Flour, Corn, Yellow Flint, 2lb, 5lb, 15lb, 25lb, 50lb, Flour, Pastry, Bolted, 2lb, 5lb, 15lb, 25lb, 50lb, Flour, Pastry, White Whole Wheat, 2lb, 5lb, 15lb, 25lb, 50lb, Flour, Red Fife, Heritage, Bolted, 2lb, 5lb, 15lb, 25lb, 50lb, Flour, Red Fife, Heritage, Whole Wheat, 2lb, 5lb, 15lb, 25lb, 50lb, Flour, Rye, Light Bolted, 2lb, 5lb, 15lb, 25lb, 50lb, Flour, Rye, Whole Grain, 2lb, 5lb, 15lb, 25lb, 50lb, Flour, Rye, Whole Grain, Coarse, 50lb, Flour, Snowbird, Bolted, 2lb, 5lb, 15lb, 25lb, 50lb, Flour, Snowbird, Whole Wheat, 2lb, 5lb, 15lb, 25lb, 50lb, Flour, Spelt, Bolted, 2lb, 5lb, 15lb, 25lb, 50lb, Flour, Spelt, Whole Grain, 2lb, 5lb, 15lb, 25lb, 50lb, Flour, Turkey Red, Heritage, Bolted, 2lb, 5lb, 15lb, 25lb, 50lb, Flour, Turkey Red, Heritage, Whole Wheat, 2lb, 5lb, 15lb, 25lb, 50lb, Lonesome Stone Wheat &amp; Rye Pancake Mix, 1lb, 2lb, 5lb, 15lb, 25lb, 50lb, Milling, Mixing, Blending and Packaging of Organic Grains, Oat Groats, 20lb, 40lb, Oats, Raw Rolled, 1lb, 2lb, 5lb, 15lb, 20lb, 40lb, Rye Berries, 2lb, 5lb, 15lb, 25lb, 50lb, Rye, Distiller Grade, 25lb, 50lb, Spelt Berries, 2lb, 5lb, 15lb, 25lb, 50lb, Wheat Berries, All Purpose, 15lb, 25lb, 50lb, Wheat Berries, Bread Blend, 15lb, 25lb, 50lb, Bulk, Wheat Berries, High Protein, 2lb, 5lb, 15lb, Wheat Berries, Red Fife, 15lb, 25lb, 50lb, Wheat Berries, Snowbird, 15lb, 25lb, 50lb, Wheat Berries, Soft Red, 15lb, 25lb, 50lb, Wheat Berries, Soft White Winter, 2lb, 5lb, 15lb, 25lb, 50lb, Wheat Berries, Turkey Red, Heritage, 2lb, 5lb, 15lb, 25lb, 50lb, Wheat Bran, 15lb, 25lb, 50lb, Wheat, Soft Red, Distiller Grade, 50lb, 500lb, Bulk</t>
  </si>
  <si>
    <t>Other: Graines d'hibiscus, Hibiscus Seed Oil, Prickly Pear Seeds, Prickly Pear Seeds Oil, rosemary essential oil</t>
  </si>
  <si>
    <t>Processed  Items: B1 Cold Pressed Rice Bran &amp; Germ Oil, B10 Rizsterols Brown Rice Oil /Rice germ oil/ Rice bran &amp; Germ oil/Whole grain essential oil, B13 Rizsterols Omega Rice Germ Oil, B14 Organic Semi-refine Rice Bran Oil, B15 Organic Vegetable Oil, B2 Cold Pressed Brown Rice Oil, B3 Cold Pressed Rice Bran Oil, B4 Cold Pressed Riceberry Oil, B5 Virgin Brown Rice Oil - VBO, B6 Virgin Phyto Essential Oil – VPO, B7 Whole Grain Essential Oil - WGEO, B8 Brown Rice Essential Oil - BREO, B9 Phyto - Essential Oil, Dehydrated Foods (D8 Banana Powder), The Rice Stuff Box Chicken Mushroom, The Rice Stuff Box Pineapple Fried, The Rice Stuff Box Red Curry; Other Grains, Pastas and Cereals: Rice (A1 Thai Hom Mali Rice, A10 Mixed Rice (Whole Grain Mixed Rice or Parboiled Mixed Rice), A2 Riceberry (Purple Rice, Black Rice) , A3 Red Rice, A4 Long Grain Rice, A5 Glutinous Rice (Sticky Rice): Black &amp; White, A6 Black Rice, A7 Germinated Rice (also Sprouted rice, GABA rice) : Brown Jasmine rice, Red rice, Black rice, Whole Grain Riceberry, A8 Jasmine Rice (Fragrant Rice), A9 Parboiled Rice (also Quick cook rice) : Jasmine rice, Brown Jasmine rice, Red rice, Black rice, Whole Grain Riceberry , Long Grain rice, Long Grain Brown rice, Black Glutinous Rice - in the husk (paddy), Black Rice - in the husk (paddy), C1 Broken Rice (White Rice, Whole Grain Rice (Brown Rice), Parboiled Rice, Germinated Rice (also Sprouted rice, GABA rice)), Hom mali Rice, Jasmine Rice (Fragrant Rice), Red rice, Black rice, Riceberry/Purple rice, Glutinous (Waxy) Rice (Sticky Rice), C10 Purple Rice Protein, C11 Black Rice Protein, C12 Red Rice Protein, C15 Rice Flake/Rice Powder (Baby Rice Flake, Baby Rice Powder), C17 Instant Rice/Instant Broken Rice/Instant Rice Flake/Instant Rice Powder/Instant Rice Flour/Pre-Cooked Rice Flour (Jasmine rice, Brown rice, Purple rice, Black rice, Red rice, Germinated Rice), C18 Instant Rice (Snow Flake Rice, Baby Food Rice or Rice Porridge: Jasmine rice, Brown rice, Purple rice, Black rice, Red rice, Germinated Rice) mixed with Fruit &amp; Vegetable, C19 Supplementary Organic Baby Meal Brown Rice Porridge for Baby/ Complementary Orgnic Baby Meal Brown Rice Porridge, C2 Rice Flour (White Rice, Whole Grain Rice, Parboiled Rice, Germinated Rice (also Sprouted rice, GABA rice)) Homali Rice, Jasmine Rice, Brown Jasmine rice, Red rice, Black rice, Whole Grain Riceberry, C20 Supplementary Organic Baby Meal Brown Rice Porridge with Banana / Complementary Organic Baby Meal Brown Rice Porridge with Banana / Complementary organic baby and young children meal Jasmine rice porridge with banana, C21 Supplementary Organic Baby Meal Brown Rice Porridge with Pumpkin/Complementary Organic Baby Meal Brown Rice Porridge with Pumpkin, C22 Supplementary Organic Baby Meal Brown Rice Porridge with Carrot/Complementary Organic Baby Meal Brown Rice Porridge with Carrot, C23 Complementary Organic Baby Meal Brown Rice Porridge with Sweet Potato, C24 Complementary Organic Baby Meal Brown Rice Porridge with Pumpkin and Morning Glory, C25 Complementary Organic Baby Meal Brown Rice Porridge with Banana, Quinoa and Oat, C26 Rice Wax, C27 Rice Husk, C29 Organic Baby Rice with Banana, C3 Rice Bran, Sterilized Rice Bran, C30 Organic Baby Rice with Banana and Pumpkin, C31 Organic Baby Rice with Broccoli and Carrot, C32 Rice Snack (Jasmine rice, Brown rice, Purple rice, Black rice, Red rice, Germinated Rice), C33 Cereal Rice (Jasmine rice, Brown rice, Purple rice, Black rice, Red rice, Germinated Rice), C34 Rice Pellets (Jasmine rice, Brown rice, Purple rice, Black rice, Red rice, Germinated Rice), C35 Rice Puffs (Jasmine rice, Brown rice, Purple rice, Black rice, Red rice, Germinated Rice), C36 Rice Crumbs/Rice Panko (Jasmine rice, Brown rice, Purple rice, Black rice, Red rice, Germinated Rice), C37 Rice Snack/Rice Puff with Fruit &amp; Vegetable (Jasmine rice, Brown rice, Purple rice, Black rice, Red rice, Germinated Rice) (Spinach/Carrot/Banana/Sweet Potato/Broccoli/Beetroot/Peach/Apple/Strawberry/Raspberry), C38 Rice Cereal with Fruit &amp; Vegetable (Jasmine rice, Brown rice, Purple rice, Black rice, Red rice, Germinated Rice) (Spinach/Carrot/Banana/Sweet Potato/Broccoli/Beetroot/Peach/Apple/Strawberry/Raspberry), C4 Defatted Rice Bran, C42 Rice Milk Powder, C43 Organic Rice Porridge, C44 Organic Jasmine Rice and Brown Jasmine Rice Porridge with Quinoa and Spinach, C45 Organic Jasmine Rice and Brown Jasmine Rice Porridge with Banana and Pumpkin, C46 Organic Brown Jasmine Rice Porridge, C47 Organic Jasmine Rice, Brown Jasmine Rice and Whole grain Riceberry Porridge with Broccoli and Carrot, C48 Organic Rice Puff Strawberry Yogurt Flavour); Fruits/Vegetables: Dehydrated Foods (D3 Fruit &amp; Vegetable Powder (Spinach, Broccoli, Beetroot, Pumpkin, Carrot, Banana, Sweet Potato, Peach, Apple, Strawberry, Raspberry, Other), D3-1 Carrot Powder - R1, D3-2 Carrot Powder - R2, D4 Coconut Flour, D5 Quinoa &amp; Whole Grain Rice Blend with Buckwheat, D6 Quinoa &amp; Whole Grain Rice Blend with Buckwheat)</t>
  </si>
  <si>
    <t>Other Grains, Pastas and Cereals: Barley Whole, Basmati Paddy, Basmati Rice - Brown, Basmati Rice - White, Beaten Rice, Broken Rice, buck wheat (seed quality), foxtail millet, Jowar, Kodo/Kodon Millet, Little Millet, Non Basmati Rice, Pearl millet / Bajra, Proso Millet, Quinoa, Ragi / Finger Millet Grain, Red Rice, Rice - Sona Masuri, Rice Sonamasuri brown, Rice Sonamasuri Handpound, Sona Masuri Paddy, soyabean/soyabean white, Wheat; Oils &amp; Oleoresins: Brown Mustard Oil, Coconut Oil, Extra Virgin Coconut Oil, Groundnut/ Peanut Oil (Edible Grade), Mustard oil (Refined), Sesame Seed Oil, soyabean/soyabean oil, sunflower oil: edible grade; Nuts/Seeds: Almonds, Cashew nut (roasted &amp; salted), Cashew Nut (Roasted), Cashew nut (Salted), Cashew Whole, Chia, Flax Seed, Groundnut/Peanut, Groundnut/ Peanut (roasted), Pomegranate seeds/anardana, Psyllium seed (Isobgul), Walnut, Walnut Kernels; Condiments and Sweeteners: Cane sugar, Cardamom, cardamom large (black), Jaggery, Jaggery Powder, Sugar, Sugar (Brown/Natural); Beverage Related Products: Black Tea, Coffee Powder, CTC tea, Ginger tea, Green Tea; Other: Ajwain, Amaranth flour, Amaranth/Amaranthus/Thotakura, Amla, Amla Powder, Arhar Dal, Arrowroot Powder, Asafoetida, Bajra flour/atta, Bajra Porridge (Dalia), Barley flour, Barley Porridge/ Dalia, Basil/Tulsi, Bay leaves/Tejpatta, Bengal gram (Chana) Flour, Black gram flour, Black Gram Spilt White, Black Gram White whole, black gram/urd (Vigna sp.), Black Pepper, Black Pepper Powder, Black Sesame, Brown gram/Gram/Chana (Cicer arietinum), Brown Mustard, Buckwheat flour, Cardamom Powder, Chana Dal, Chana Masala, Chat Masala, chicken Masala, chickpea/kabuli chana(garbanzos), Chilli Crushed, Chitra Kidney Beans / Rajma (Phaseolus vulgaris), Cinnamon, Cinnamon powder, Cinnamon Quills (Sticks), Clove Powder, Cloves, Coriander Seed / Whole, Coriander crushed, Coriander Cumin Powder, Coriander Powder, Corn daliya/ Corn porridge, Cowpea/ Lobia whole (V. unguiculata/sinensis), Cumin seed, Cumin Powder, Cumin Whole, Curry Powder, Dal Masala Powder - Medium, Dilli paneer masala, Dilli Rajma Masala, Dosa Flour, Dry/Dehydrated fenugreek leaves, Fennel Powder, Fennel/ Saunf, Fenugreek, Fenugreek powder (Methi powder), Garam Masala, Garlic, Garlic Powder, Ginger Powder, Ginger Whole Dried, Gram Flour/Besan, Green Gram Split Yellow (Moong Dal Yellow), Green gram whole (Moong sabut), Green gram/Moong dhuli, Groundnut/Peanut Masala, Haritaki/Harad(Terminalia chebula), Hulled Sesame/Sesamum, Idli rava, Jowar Flour, Jowar Porridge, kalonji/nigella, Lemongrass, Lentil, Lentil flour, Mace, Maize/Corn Flour, Mango dried, mango powder/ aamchur, Masala cashew, Masoor (Lens culinaris), Masoor Dal, Masoor Dall - split without shell, masur/masoor dhuli, Methi atta, Millet porridge, Missa Atta Punjabi, Missa Atta Rajasthani, Mix Dal, Mix Millet Flour, Moringa Powder, Moth Dal, Multi Grain Atta, Mumbai Pau Bhaji Masala, Mustard, Nutmeg Powder, Nutmeg whole, Onion dried, Peshawari Biryani masala, Poha Flattened Rice, Psyllium husk(isobgul), Ragi Flour, raisins/kismis, Rasam powder, Ready to eat product, Red Chilli Flakes, Red Chilli Powder, Red Chilli Whole, red kidney beans/rajma (phaseolus vulgaris), Rice flour, Rice porridge/dalia, Rice Puffed, Roasted almonds, Roasted Gram/Chana, Sabji Masala, Saffron, Sambhar powder, Sattu, Sawan / Barnyard Millet, Sesame seed, split green gram/moong(vigna sp), Star anise, Suji/Semolina/ Cream of Wheat, Sunflower Seed: Of seed quality, tamarind/imli (t.indica, Tandoori masala, Terminalia bellirica Powder, Triphala, triphala extract/powder, Tulsi TBC/Tulsi TBC blend, Turmeric Fingers, Turmeric Powder, Turmeric Whole Dried, Urad (phasleolus mungo) Black gram, Urad Dal Split (Without shell), urad dal/split black gram, Wheat bran, Wheat Flour, Wheat Maida, Wheat Porridge / Dalia (Roasted), Wheat Porridge/ Dalia, Wheatgrass powder, White Pepper, White Pepper Powder, white sesame/sesame, whole wheat atta premium (as wheat flour), Yellow Mustard</t>
  </si>
  <si>
    <t>Other: Beans (Adzuki), Beans (Black), Beans (Black), Beans (Black Turtle), Beans (Cannellini), Beans (Chickpeas (Garbanzo Beans)), Beans (Chickpeas (Garbanzo Beans)), Beans (Cranberry), Beans (Fava), Beans (Great Northern), Beans (Green Split Peas), Beans (Green Split Peas), Beans (Kidney (Dark Red, Red, White)), Beans (Kidney (Dark Red, Red, White)), Beans (Lentils), Beans (Lentils (Black Beluga, French Green, Red Split)), Beans (Lentils (Red Split)), Beans (Mung), Beans (Mung), Beans (Navy), Beans (Pea), Beans (Pinto), Beans (Small Red), Beans (Small Red Chili), Beans (Soybeans), Beans (Soybeans), Dried Fruits (Apple Rings), Dried Fruits (Apples), Dried Fruits (Apples), Dried Fruits (Apricots), Dried Fruits (Apricots), Dried Fruits (Banana), Dried Fruits (Banana), Dried Fruits (Banana Chips), Dried Fruits (Banana Chips), Dried Fruits (Blueberries), Dried Fruits (Cherries), Dried Fruits (Chili Mango), Dried Fruits (Coconut), Dried Fruits (Coconut), Dried Fruits (Coconut (Dessicated)), Dried Fruits (Coconut Chips), Dried Fruits (Cranberries), Dried Fruits (Currants), Dried Fruits (Dates), Dried Fruits (Dates), Dried Fruits (Dragon Fruit), Dried Fruits (Dried Fruit Mix), Dried Fruits (Dried Sun Mix), Dried Fruits (Figs), Dried Fruits (Figs), Dried Fruits (Goji Berries), Dried Fruits (Goldenberries), Dried Fruits (Mango), Dried Fruits (Mango), Dried Fruits (Mixed Berries), Dried Fruits (Mulberries), Dried Fruits (Papaya), Dried Fruits (Papaya), Dried Fruits (Pineapple), Dried Fruits (Pineapple), Dried Fruits (Pineapple Rings), Dried Fruits (Prunes), Dried Fruits (Prunes), Dried Fruits (Raisins), Dried Fruits (Raisins), Dried Fruits (Stone Fruit), Dried Fruits (Strawberries), Dried Fruits (Tomatoes), Dried Fruits (Unsweetened Dried Cranberries), Grains (Barley), Grains (Brown Rice), Grains (Buckwheat), Grains (Buckwheat), Grains (Oat Bran), Grains (Oats), Grains (Oats), Grains (Oats (Flakes)), Grains (Oats (Rolled)), Grains (Oats (Steel Cut)), Grains (Quinoa (Black, Red, White)), Grains (Wheat), Nuts (Almonds), Nuts (Almonds), Nuts (Almonds (Dry Roasted)), Nuts (Brazil Nuts), Nuts (Cashews), Nuts (Cashews (Pasteurized)), Nuts (Cashews (Roasted &amp; Salted)), Nuts (Cranberry Nut Trail Mix), Nuts (Fruit &amp; Nut Medley), Nuts (Hazelnuts), Nuts (Macadamia Nuts), Nuts (Macadamia Nuts), Nuts (Mixed Nuts), Nuts (Nut Trio), Nuts (Nutty Chocolate Cherry Trail Mix), Nuts (Peanuts), Nuts (Peanuts), Nuts (Peanuts (Roasted)), Nuts (Pecans), Nuts (Pecans), Nuts (Pecans (Roasted)), Nuts (Pecans (Roasted, Buttered &amp; Salted)), Nuts (Pine Nuts), Nuts (Pine Nuts), Nuts (Pistachios), Nuts (Pistachios (Light Sea Salt)), Nuts (Pistachios (Roasted &amp; Salted)), Nuts (Pistachios (Roasted &amp; Unsalted)), Nuts (Tigernut), Nuts (Walnuts), Nuts (Walnuts), Seeds (Amaranth), Seeds (Amaranth), Seeds (Chia Seeds (Black, White)), Seeds (Chia Seeds (Black, White)), Seeds (Flax Seeds), Seeds (Flax Seeds), Seeds (Flax Seeds (Milled)), Seeds (Hemp Seeds), Seeds (Hemp Seeds), Seeds (Millet), Seeds (Pepitas), Seeds (Popcorn), Seeds (Popcorn), Seeds (Poppy Seeds), Seeds (Poppy Seeds), Seeds (Pumpkin Seeds), Seeds (Pumpkin Seeds), Seeds (Pumpkin Seeds (Dry Roasted with Salt)), Seeds (Quinoa (Flakes)), Seeds (Quinoa (Puffed)), Seeds (Quinoa (Red, White, Black, Trio)), Seeds (Quinoa (Red, White, Black, Trio)), Seeds (Quinoa (Toasted)), Seeds (Sesame Seeds (White, Black)), Seeds (Sesame Seeds (White, Black)), Seeds (Sorghum), Seeds (Sunflower Kernels), Seeds (Sunflower Kernels), Seeds (Sunflower Kernels (Milled)), Seeds (Watermelon Kernels), Sweetener (Almond Butter), Sweetener (Almond Butter), Sweetener (Almond Meal or Flour), Sweetener (Almond Oil), Sweetener (Apricot Paste), Sweetener (Baking Mix), Sweetener (Cacao Beans), Sweetener (Cacao Butter), Sweetener (Cacao Nibs), Sweetener (Cacao Nibs), Sweetener (Cacao Paste), Sweetener (Cacao Powder), Sweetener (Cashew Nut Butter), Sweetener (Cassava Flour), Sweetener (Cinnamon, Ground), Sweetener (Cocoa Nibs), Sweetener (Cocoa Nibs), Sweetener (Cocoa Powder), Sweetener (Cocoa Powder), Sweetener (Coconut (Flour, Sugar)), Sweetener (Coconut Cream), Sweetener (Coconut Milk), Sweetener (Coconut Milk Powder), Sweetener (Coconut Water), Sweetener (Date Paste), Sweetener (Date Paste), Sweetener (Date Sugar), Sweetener (Date Syrup), Sweetener (Fig Paste), Sweetener (Flour), Sweetener (Green Banana Flour), Sweetener (Hazelnut Paste), Sweetener (Peanut Butter)</t>
  </si>
  <si>
    <t>Other: Alfalfa, Barley, Borage, Canola, Buckwheat, Canola, Corn, Cottonseed, Field Peas, Flax, Flour, Garbanzo, Goji Berries, Grains, Hemp Seed, Hominy, Khorasan Wheat, Lentils, Millet, Milo, Molasses, Mustard, Oat Hulls, Oats, Paprika Powder, Popcorn, Rape Meal, Rice Bran, Rice, Rye, Sesame Meal, Sorgo Meal, Soya Hull, Soybean, Spelt, Sunflower Meal,  Triticale, Wheat</t>
  </si>
  <si>
    <t>Other: 100% Whole Wheat Bread, 100% Whole Wheat Bread, Thin Sliced, 21 Whole Grains and Seeds Bread, 21 Whole Grains and Seeds Bread, Thin-Sliced, Good Seed Bread, Good Seed Thin-Sliced Bread, Powerseed Bread, Powerseed Bread, Thin-Sliced, Raisin the Roof Bread, Sprouted Whole Grains Bread, Sprouted Whole Grains Bread, Thin-Sliced, White Bread Done Right Bread, White Bread Done Right Bread, Thin-Sliced</t>
  </si>
  <si>
    <t>Other: Rice (Brown), Rice (Paddy), Rice (Sushi), Rice (Sushi rice), Rice (Broken) (Broken Rice), Rice (Calrose), Rice (Calrose) (Brown Calrose), Rice (Calrose) (White Calrose), Rice (Short Grain) (Premium Brown Short Grain), Rice Drying, Rice Storage</t>
  </si>
  <si>
    <t>Animal Feed: Livestock Feed (Soybeans (Roasted, Dried)); Other: Packaging grains, Roasting Grains, Including Custom Roasting</t>
  </si>
  <si>
    <t>Other Grains, Pastas and Cereals: Yellow corn, Yellow corn; Other: Drying &amp; Storing Grains, Loading/Transloading Grains</t>
  </si>
  <si>
    <t>Other: Grain Cleaning, Bagging, Storage, Dehulling, Drying, Soybeans, Yellow Corn, Spelt &amp; Spelt Hulls, Spelt chips</t>
  </si>
  <si>
    <t>Other Grains, Pastas and Cereals: Mixed Grains; Other: Grain Bagging, Grain Cleaning</t>
  </si>
  <si>
    <t>Other: Blueberry Pancake, Hearty Grain Pita Bread, Homestyle Pancake, Mini Whole Wheat Pita Bread, Trader Joe's Organic Silver Dollar Pancakes, White Pita Bread, Whole Wheat Pita Bread, Whole Wheat Pita Pockets</t>
  </si>
  <si>
    <t>Other Grains, Pastas and Cereals: Oats; Dry/Baking Goods: Flours and Meals</t>
  </si>
  <si>
    <t>Other: Custom Blending, Inoculating, Packaging and labeling of Seeds and Seed Mixes including Alfalfa, Buckwheat, Clovers, Cowpeas, Grasses, Peas, Radish, Small Grains, Vetch and Winter Peas, Custom Blending, Inoculating, Packaging and Labeling of Seeds and Seed Mixes.  Products listed on certification may be inoculated with Exceed Superior Legume Inoculant Exceed Peat for Peanut/ Cowpea/Lespedeza/Mung Bean Peat, Exceed Superior Legume Inoculant for Pea, Vetch &amp; Lentil Peat, Exceed PreCoat for Alfalfa/True Clover Combination Clay, or Exceed Superior Legume Inoculant Exceed Peat for Alfalfa/True Clover Combination Peat</t>
  </si>
  <si>
    <t>Seasonings: BASE, VEGETABLE ORGANIC GRANULAR 1kg; Processed  Items: Ready to Eat Foods (SNACK, TARALLINI BOX 250gr), TOMATO, PASSATA/PUREE 680gr, TOMATO, PLUM PEELED 3kg; Preservatives/Extracts/Flavors: ORANGE WATER, FROM FRESH FLOWERS 1l, ROSE WATER, FROM FRESH FLOWER 1l, Spices (SPICE, CARDAMOM GREEN SEEDS/GRAINES 250gr), Spices (SPICE, PEPPER BALINESE PIPPALI LONG WHOLE 200 GR), VANILLA BEAN PASTE W/ SEEDS ORGANIC 11-LB, VANILLA BEAN PASTE W/SEEDS ORGANIC PREM 320-GR; Other Grains, Pastas and Cereals: FARRO PICCOLO/MICRO NOT PERLATO 400gr, FARRO SEMIPERLATO WHOLE, GRAIN, MULTIGRAIN 9 CRACKED COARSE MIX 50lb, GRAIN, MULTIGRAIN 9 CRACKED MIX ORGANIC 20 KG, Oats (OATS, ROLLED FLAKES JUMBO 15kg), Pasta (PASTA RICCIOLINA, DOUBLE WHEAT GERM AND FIBER), Pasta (PASTA, CHICK PEA CASARECCE 250gr), Pasta (PASTA, CORN/ RICE PENNE 250gr), Pasta (PASTA, FARRO/SPELT PENNE RIGATE 500gr), Pasta (PASTA, GREEN PEA FUSILLI 250gr), Pasta (PASTA, LASAGNA SHEETS 250gr), Pasta (PASTA, PENNE LISCE TURANICUM DURUM WHEAT 500gr), Pasta (PASTA, PENNE RIGATE WHOLE WHEAT 500gr), Pasta (PASTA, RED LENTIL FUSILLI 250gr), Pasta (PASTA, RICE FUSILLI 250gr), Pasta (PASTA, SEDANI 20 RIGHE TURANICUM DURUM WHEAT 500gr), Pasta (PASTA, SPAGHETTI GLUTEN FREE MIX 12/340-GR), Pasta (PASTA, SPAGHETTI TURANICUM DURUM WHEAT 500gr); Oils &amp; Oleoresins: Oils (OIL, HEMP SEED 6/250 ML), Oils (OLIVE OIL, E.V. 25oz), Oils (OLIVE OIL, E.V. 5lt TIN); Fruits/Vegetables: Beans (BEANS, BLACK CAN 2.5kg), Beans (BEANS, CHICK PEAS CECI-GARBANZO 2.5kg), Beans (BEANS, LUPINI IN BRINE 280ml JAR); Dry/Baking Goods: Flours and Meals (FLOUR, ALL PURPOSE WHITE UNBLEACHED 50lb), Flours and Meals (FLOUR, BREAD SIFTED ORGANIC WHEAT 50lb), Flours and Meals (FLOUR, BREAD TYPE 65 50lb), Flours and Meals (FLOUR, EINKORN WHOLE 50lb), Flours and Meals (FLOUR, KHORASAN WHITE UNBLEACHED 50lb), Flours and Meals (FLOUR, PASTRY UNBLEACHED WHITE 50lb), Flours and Meals (FLOUR, PIZZERIA TYPE 00 55lb), Flours and Meals (FLOUR, RYE WHOLE 50lb), Flours and Meals (FLOUR, SEMOLINA DURUM WHITE 50lb), Flours and Meals (FLOUR, SEMOLINA DURUM WHOLE 50lb), Flours and Meals (FLOUR, SOFT WHEAT PIZZA "SCIROCCO" 25kg), Flours and Meals (FLOUR, SPELT WHITE UNBLEACHED 50lb), Flours and Meals (FLOUR, WHOLE WHEA 50lb), Flours and Meals (FLOUR, WHOLE WHEAT BREAD GOSFORD 50lb), Flours and Meals (SPELT 50lb); Condiments and Sweeteners: SABA 250ml, SABA, REAL 250 ML, Syrups (SYRUP, MALT BARLEY EXTRACT 900gr), Vinegar (VINEGAR, BALSAMIC 5 YEAR 750ml), Vinegar (VINEGAR, BALSAMIC 5 YEAR ORGANIC 250-ML), Vinegar (VINEGAR, BALSAMIC AGRO/DOLCE DI MOSTO 5lt), Vinegar (VINEGAR, BALSAMIC AGRO/DOLCI DI MOSTO 250ml), Vinegar (VINEGAR, BALSAMIC AGRO/DOLCI DI MOSTO 750ml), Vinegar (VINEGAR, BALSAMIC BALSAMELA 250ml), Vinegar (VINEGAR, BALSAMIC BALSAMELA 750ml), Vinegar (VINEGAR, BALSAMIC ESSENZA RISERVA 100ml), Vinegar (VINEGAR, BALSAMIC ESSENZA RISERVA 250ml), Vinegar (VINEGAR, BALSAMIC ESSENZA RISERVA 750ml), Vinegar (VINEGAR, BALSAMIC SIGNORIA GONZAGA ORGANIC 200-ML), Vinegar (VINEGAR, LAMBRUSCO WINE), Vinegar (VINEGAR, RED WINE 250ml), Vinegar (VINEGAR, RED WINE 500ml), Vinegar (VINEGAR, ROSE' WINE), Vinegar (VINEGAR, WHITE WINE 5lt); Beverage Related Products: Juice (JUICE, CARROT &amp; APPLE 500ml), Mixed Drinks (MIX, PEACH BELLINI BASE 200ml), Mixed Drinks (MOCKTAIL, MIMOSA 200ml), Mixed Drinks (MOCKTAIL, SPRITZ 200ml), SODA, BITTER LEMON 6.76oz, SODA, BLOOD ORANGE WITH PULP 12oz, SODA, CHINOTTO 12oz, SODA, CLEMENTINE WITH PULP 12oz, SODA, GINGER BEER 12oz, SODA, GINGER BEER 6.76oz, SODA, LEMON (LIMONATA) WITH PULP 12oz, SODA, ORANGE WITH PULP 12oz, SODA, PINK GRAPEFRUIT 6.76oz, SODA, POMEGRANATE 12oz, SODA, RED GRAPEFRUIT WITH PULP 12oz, SODA, TANGERINE/PRICKLY PEAR WITH PULP 12oz, SODA, TONIC GREEN MANDARIN 6.76oz, SODA, TONIC WATER 6.76oz, Tea (TEA, ICED GREEN 12oz), Tea (TEA, ICED LEMON 12oz), Tea (TEA, ICED PEACH 12oz); Other: Importing Food and Drink Products</t>
  </si>
  <si>
    <t>Processed  Items: Corn cream (Fecomix 212), Corn cream Fecomix 212 BCO, Extruded cornmeal (Fecogelmix BCO), White corn germ (Germix BCO), Whole Cornmeal (Fecomix 425 Integral).; Other Grains, Pastas and Cereals: Canjiquinha White xérem (Flockmix BCO), Canjiquinha (Flockmix Big), Canjiquinha Yellow xérem (Flockmix), Corn fiber (Fibramix), Corn germ (Germix), Corn grits (Snackbeer), Corn grits (Snackmix 200), Corn grits (Snackmix 300), Corn grits (Snackmix 400), Corn Hominy (Cornmix), Hominy (Flakesmix BCO), Hominy (Flakesmix), Hominy (Pipomix BCO), Hominy (Pipomix); Dry/Baking Goods: Flours and Meals (Arepa Flour (Fecomix ARP BCO)), Flours and Meals (Arepa Flour (Fecomix ARP)), Flours and Meals (Cob Flour (Sabmix)), Flours and Meals (Masa Flour Corn Flour (Fecomix Masa Flour)), Flours and Meals (Corn Meal (Fecomix 425)), Flours and Meals (Corn Meal Fecomix 425M), Flours and Meals (Corn Meal (Fecomix 400)), Flours and Meals (Corn Meal (Fecomix 425 I)); Bread/Bakery/Snacks: Popcorn (Popcorn (Organic Popmix M)), Popcorn (Pre-gelatinized corn flour (Fecogelmix))</t>
  </si>
  <si>
    <t>Other Grains, Pastas and Cereals: Corn (Milhomix)</t>
  </si>
  <si>
    <t>Other: Blend (1004859 Serenity Organic Carrot and Beet Puffs), Blend (1004860 Serenity Made with Organic Tomato and Herb Broth Puffs), Blend (1004861 Serenity Made with Organic Broccoli &amp; Spinach Broth Puffs), Blend (1004870 Serenity Organic Pumpkin and Cinnamon Puffs), Blend (1005144 Serenity Organic Cheddar and Cauliflower Spinach Puffs), Blend (5001164 Lovebird Cereal Cinnamon Blend), Blend (5001165 Lovebird Organic Cereal Honey Blend), Blend (5001166 Lovebird Organic Cereal Cacao Blend), Blend (5001167 ODO Brown Rice Crisps UC), Blend (5001168 ODO Brown Rice Crisps Cacao UC), Blend (5001181 Lovebird Unsweet Blend), Blend (5001183 Lovebird Strawberry Blend), Blend (5001185 Serenity Kids Bone Broth Puff Pre-Blend), Blend (5001186 Serenity Kids Veggie Puff Pre-Blend), Blend (5001197 ODO Sprouted Oat Os Pre-Blend), Blend (5001198 Puffworks Corn Puff Pre-Blend), Blend (5001200 ODO Sprouted Oat Cacao Os Pre-Blend), Blend (5001216-1\0003 Rice Rosettes Blend), Blend (5001218 ODO Brown Rice Crisp Cane Sugar Pre-Blend), Blend (Sprout Veggie Base Pre-Blend 5001184 - Intermediate Ingredient), Cereal (Grain Free Cacao Cereal O's (Retail)), Cereal (Grain Free Cinnamon Cereal O's (Retail)), Cereal (Grain Free Honey Cereal O's (Retail)), Cereal (Grain Free Strawberry Cereal O's (Retail)), Cereal (Grain Free Unsweetened Cereal O's (Retail)), Dietary Supplement (Red Superfoods), Milk Products (Bulk Liquid Permeate), Milk Products (Cream), Milk Products (Lactose), Milk Products (Micellar Casein), Milk Products (MPC 70), Milk Products (MPC 80), Milk Products (MPC 85), Milk Products (MPI 85), Milk Products (MPI 90), Milk Products (Nonfat Dry Milk), Milk Products (WPC 80), Protein Supplement (All in One Meal Replacement-Chocolate ), Protein Supplement (All in One Meal Replacement-Vanilla ), Protein Supplement (Chocolate Flavored Protein Powder), Protein Supplement (Plant Based Protein Shake Powder - Peppermint Mocha), Protein Supplement (Plant Based Protein Shake Powder - Vanilla ), Protein Supplement (Plant Based Protein Shake Powder-Chocolate ), Protein Supplement (Plant Protein PIP10 - Chocolate), Protein Supplement (Plant Protein PIP10 - Peppermint Mocha), Protein Supplement (Plant Protein PIP10 - Vanilla), Protein Supplement (Plant Protein PIP11 - Chocolate), Protein Supplement (Plant Protein PIP11 - Vanilla), Protein Supplement (Vanilla Flavored Protein Powder), Rice Protein (Organic PROriz 80 (nonretail)), Snack Foods (1004896-1\0004 Rice Rosettes), Snack Foods (Apple and Kale Puffs (Non-Retail)), Snack Foods (Banana and Pumpkin Puffs (Non-Retail)), Snack Foods (Puff Blend (Non-Retail)), Snack Foods (Puffworks Corn Puff - Adult), Snack Foods (Puffworks Corn Puff - Infant), Snack Foods (Purple Carrot and Blueberry Puffs (Non-Retail)), Snack Foods (Sprout Organics Curlz Extruded Puff - Broccoli (Nonretail)), Snack Foods (Sprout Organics Curlz Extruded Puff - Peas and Carrot  (Nonretail)), Snack Foods (Sprout Organics Curlz Extruded Puff - White Cheddar (Nonretail)), Snack Foods (Sprouted Brown Rice Cacao Crisps (Retail)), Snack Foods (Sprouted Brown Rice Crisps (Retail)), Snack Foods (Strawberry and Beet Puffs (Non-Retail)), Snack Foods (Sweet Potato and Carrot Puffs (Non-Retail)), Whey (Sweet Whey Powder (non-retail))</t>
  </si>
  <si>
    <t>Other Grains, Pastas and Cereals: Forage Peas, Milo, Oats, Organic Screenings, Red Fife Wheat, Rye, Turkey Red Wheat, White Proso Millet; Other: _Processing, packaging, and storage of agricultural products from organic producers</t>
  </si>
  <si>
    <t>Other Grains, Pastas and Cereals: Einkorn Wheat, Forage Peas, Oats, Organic Screenings, Red Fife Wheat, Rye, Turkey Red Wheat; Other: _Processing, packaging, and storage of agricultural products from organic producers</t>
  </si>
  <si>
    <t>Other: Ajwain, Ajwain Powder, Aloe Vera, Ashwagandha Root, Ashwagandha Root Powder, Black Pepper, Cardamom, Cardamom Large (Black), Cardamom Powder, Castor Oil, Chilli Whole, Coconut Dried, Coconut Oil, Coriander Powder, Coriander Seed/Whole, Cumin Powder, Cumin Whole, Dehydrated Garlic Flakes, Dehydrated Garlic Powder, Dehydrated Onion Powder, Fennel/Saunf, Fenugreek, Garlic, Garlic Flakes, Ginger Fresh, Ginger Powder, Groundnut/Peanut, Lemon Fresh, Lemon Powder, Maize (Corn), Maize Fodder, Maize/Corn Flour, Moringa Leaves, Moringa Powder, Mustard Seeds, Neem Powder, Onion (Powder), Onion Flakes, Onion Fresh/ Kanda, Pearl Millet/Bajra, Psyllium Seed (Isobgul), Sesame/Sesamum, Sorghum, Soyabean/Soybean White, Tur/Toor Dal, Turmeric Flakes, Turmeric Fresh, Turmeric Powder, Wheat, Wheat (Seed Quality), Wheat Grain, Yellow Mustard</t>
  </si>
  <si>
    <t>Other Grains, Pastas and Cereals: Pasta (Double Wheat Germ and Fiber), Pasta (Whole Wheat Fusilli); Condiments and Sweeteners: Dressing (Fustinis Balsamic Glaze), Dressing (Seasons Balsamic Glaze)</t>
  </si>
  <si>
    <t>Other: Cleaning and Drying of Grain &amp; Seed, Custom Cleaning and Drying of Grain &amp; Seed</t>
  </si>
  <si>
    <t>Processed  Items: Basmati Brown Rice, Blend of long grain brown rice and red rice (Himalayan natural blend), Mangoes dehydrated, Round White Rice (Arborio/Sushi /Risotto), White Basmati rice; Other Grains, Pastas and Cereals: Red Rice Long Grain; Oils &amp; Oleoresins: Long grain parboiled rice; Fruits/Vegetables: Mangoes; Other: Long Grain Brown Rice, Long Grain white Rice</t>
  </si>
  <si>
    <t>Other: Contract service for filling rail cars with grain.</t>
  </si>
  <si>
    <t>Other: Black Beans, Black Lentils, Brown Jasmine Rice Bowl, Cooked, Brown Rice Bowl, Cooked, Brown Rice Bowl, Cooked, Brown Rice Bowl, Cooked, Brown Rice Bowl, Cooked, Brown Rice Bowl, Cooked, Brown Rice Bowl, Cooked, Clear Film, Brown Rice with Red Quinoa Cup, Garbanzo Beans, Jasmine Rice Bowl, Jasmine Rice Bowl, Long Grain Brown Rice Bowl, Cooked, Quinoa Bowl (bi-color, mixed), Quinoa Bowl, Cooked, Quinoa Bowl, Cooked, Quinoa Bowl, Cooked, Quinoa, Tricolor &amp; Salt, Quinoa, White, Red &amp; White Quinoa Bowl, Short Grain Brown Rice Bowl, Cooked, Steel Cut Oatmeal Bowl, Cooked, Steel Cut Oatmeal with Red Quinoa, Steelcut Oatmeal Cup, White Parboiled Rice, Pouch, White Rice Bowl, Cooked, White Rice Bowl, Cooked, White Rice Bowl, Cooked, White Rice Bowl, Cooked, White Rice Bowl, Cooked, White Rice, Cooked</t>
  </si>
  <si>
    <t>Other Grains, Pastas and Cereals: Soybeans</t>
  </si>
  <si>
    <t>Other Grains, Pastas and Cereals: Cereal (Chia, Amaranth, Canihua), Quinoa (White quinoa, Black quinoa, Red quinoa, Tricolor quinoa grains); Dry/Baking Goods: Flours and Meals (Maca Flour, Quinoa flour, Amaranth Flour, Canihua Flour); Bread/Bakery/Snacks: Cereal (Canihua flakes, Amaranth flakes, Quinoa flakes)</t>
  </si>
  <si>
    <t>Other: Blended Flour (Peanut and Salt Blend), Blended Flour (Peanut Banana Flour Blend), Blended Flour (Peanut Strawberry Flour Blend), Brokering, Nut Flour (Partially Defatted Peanut Flour 12% Fat), Peanut Oil, Rice Flour (Long Grain Rice Flour), Sorghum Flour (Coarse White Pearled Grain Sorghum Flour), Toddler Snacks (Proactive Peanut Puffs), Toddler Snacks (Proactive Peanut Puffs with Banana), Toddler Snacks (Proactive Peanut Puffs with Strawberry)</t>
  </si>
  <si>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</si>
  <si>
    <t>Other: White Distilled Vinegar 100 Grain, White Distilled Vinegar 120 Grain</t>
  </si>
  <si>
    <t>Other: Distilled Vinegar 100 Grain, Distilled Vinegar 120 Grain</t>
  </si>
  <si>
    <t>Other: Almond Hulls Livestock Feed (1498 - Almond Hulls), Canola Oil Livestock Feed (1453 - Canola Oil), Carrots Livestock Feed, Carrots Livestock Feed (4003 - Pelletized), Cull Beans Livestock Feed, Dried Distillers Grains, Dried Distillers Grains (1404 - Dried), Dried Yucca (Yucca Powder), Grain Blend (Worm Feed), Kelp Livestock Feed (1501 - Kelp Meal), Kelp Livestock Feed (212 - Kelp Meal), Kelp Livestock Feed (215 - Kelp Meal), Livestock Feed (1407 - Tapioca), Livestock Feed (5055 Mushroom Feed - Mushroom Mix TOTE), Livestock Feed (5074 Insect Feed - Cockroach 50#), Livestock Feed (5085 Horse Feed - Balancer Plus), Livestock Feed (5086 Horse Feed - Performance Plus), Livestock Feed (753 Duck Feed - Duck Layer Pellets #25), Livestock Feed (756 Duck Feed - Duck Layer Pellets 40#), Livestock Feed (Corn Blend), Livestock Feed (Crab Meal), Livestock Feed (Cricket Mash Mix), Livestock Feed (Duck Feed), Livestock Feed (Herbs), Livestock Feed (Insect Feed), Livestock Feed (Mushroom Feed), Livestock Feed - Alfalfa (106 - Alfalfa Pellets 40#), Livestock Feed - Alfalfa (1411 - Alfalfa), Livestock Feed - Alfalfa (5864 - Alfalfa Pellets TOTE ), Livestock Feed - Alpaca Blend (Alpaca Feed),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(5063), Livestock Feed - Beef Blend (5075 Beef Feed - Beef Finisher TOTE), Livestock Feed - Beef Blend (Beef Feed), Livestock Feed - Calf Blend (Calf Feed), Livestock Feed - Canola Meal (1403 - Canola Meal), Livestock Feed - Canola Meal (1454 - Canola-Rapeseed Meal), Livestock Feed - Canola Seed, Livestock Feed - Corn (126 - Cracked Corn 40#), Livestock Feed - Corn (136 - Whole Corn 40#), Livestock Feed - Corn (1400 - Cracked, Ground, Rolled, Whole), Livestock Feed - Corn (5913 - Whole Corn TOTE), Livestock Feed - Corn (5923 - Cracked Corn TOTE), Livestock Feed - Corn (Corn Pellets),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Flax Seed (Flax Seed),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Llama Blend (Llama Feed), Livestock Feed - Milo (1401 - Whole Milo), Livestock Feed - Milo (146 - Whole Milo 40#), Livestock Feed - Milo (5843 - Whole Milo), Livestock Feed - Mix (1004 Horse Feed - Horse Pellet West 12 Ranch BULK),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(Beans), Livestock Feed - Mix (Horse Feed), Livestock Feed - Mix (Worm Feed), Livestock Feed - Oats (156 - Whole Oats 40#), Livestock Feed - Oats (5865 - Whole Oats TOTE), Livestock Feed - Oats (Oat Flour), Livestock Feed - Oats (Oat Groats), Livestock Feed - Peas (166 - Whole Peas 40#), Livestock Feed - Peas (5858 - Whole Peas TOTE), Livestock Feed - Peas (Chickpeas), Livestock Feed - Poultry Blend (#1531 Harrison's Premium Pellet (5lbs)), Livestock Feed - Poultry Blend (#1532 Harrison's Premium Pellet (1lbs)), Livestock Feed - Poultry Blend (#5130 Harrison's Perfect Pellets (nonretail)), Livestock Feed - Poultry Blend (#5130 Harrison's Premium Pellets (25lbs)),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Starter Grower Crumbles TOTE), Livestock Feed - Poultry Blend (5095 Poultry Non-Corn/Non-Soy Starter Grower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(Gamebird Feed),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Rice Bran (Stabilized), Livestock Feed - Sesame Meal,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Soybean Meal (Transload Soybean Meal), Livestock Feed - Soybeans (Soybeans), Livestock Feed - Spelt, Livestock Feed - Sunflower Seed (073 - Sunflower Seeds), Livestock Feed - Sunflower Seed (079 - Sunflower Seeds), Livestock Feed - Sunflower Seed (Sunflower Seed),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Livestock Feed - Wheat Midds (Transload Wheat Millrun), Livestock Pellets - Dairy (#1009 Nuplen), Molasses Livestock Feed, Molasses Livestock Feed (1497 - Molasses), Molasses Livestock Feed (Molasses), Pumpkin Seeds, Rice Livestock Feed (1499 - Rice Protein Concentrate), Rice Livestock Feed (Rice - Grinding), Soybean Oil Livestock Feed (1451 - Soybean Oil), Sugar, Supplements Livestock Feed (1012 Dairy Feed - Shamrock Dairy Milk Cow Mineral), Toll Processing (Soybeans Meal &amp; Oil (1510 &amp; 1509)), Wheat Millrun Livestock Feed (1496 - Wheat Millrun), Wheat Millrun Livestock Feed (4006 - Wheat Millrun), Wheat Millrun Livestock Feed (5842 - Wheat Millrun TOTE)</t>
  </si>
  <si>
    <t>Other Grains, Pastas and Cereals: CORN, WHEAT; Fruits/Vegetables: Beans (SOYBEAN); Dry/Baking Goods: Flours and Meals (SOY MEAL)</t>
  </si>
  <si>
    <t>Other: Black Cherry, Energy Chews, Blueberry Bliss, Whole Nutrition Bar, Chocolate Brownie, Energy Bar, Chocolate Chip, Baked Whole Grain Energy Snack, Chocolate Chip, Energy Bar, Chocolate Chip, Whole Grain Crispy Snack, Chocolate Dipped Coconut, Whole Nutrition Bar, Chocolate Mint, Whole Grain Crispy Snack, Chocolate Peppermint Stick, Whole Nutrition Bar, Cookies 'n Crème, Energy Bar, Cool Mint Chocolate, Energy Bar, Crunchy Peanut Butter, Energy Bar, Iced Oatmeal Cookie, Baked Whole Grain Energy Snack, LemonZest + Raspberry, Whole Nutrition Bar, LemonZest, Whole Nutrition Bar, Margarita, Energy Chews, Mountain Berry, Energy Chews, Nutz Over Chocolate, Whole Nutrition Bar, Orange, Energy Chews, Peanut Butter Banana with Dark Chocolate, Energy Bar, Salted Watermelon, Energy Chews, Strawberry, Energy Chews, Tropical Punch, Energy Chews, White Chocolate Macadamia Nut, Energy Bar, White Chocolate Macadamia Nut, Whole Nutrition Bar</t>
  </si>
  <si>
    <t>Other: 22 ct Variety Pack (Chocolate Chip / Crunchy Peanut Butter), 22 ct Variety Pack (Chocolate Chip / Crunchy Peanut Butter), 22 ct Variety Pack (Chocolate Chip /Chocolate Almond Fudge), 24 ct Variety Pack (12 Chocolate Chip/12 White Chocolate Macadamia), 24 ct Variety Pack (Chocolate Chip / Crunchy Peanut Butter), 26 ct Variety Pack (13 Chocolate Chip / 13 Crunchy Peanut Butter), 36 pk Variety Pack (Chocolate Brownie / Chocolate Chip / Iced Oatmeal Cookie), Blueberry Almond Crisp, Energy Bar, Blueberry Muffin, Baked Whole Grain Energy Snack, Caramel Chocolate Chip, Energy Bar, Chocolate Almond Fudge Energy Bar (Canadian Formula), Chocolate Brownie Baked Whole Grain Energy Snack, Chocolate Brownie Energy Bar, Chocolate Chip Baked Whole Grain Energy Snack, Chocolate Chip Energy Bar, Crunchy Peanut Butter Energy Bar, Iced Oatmeal Cookie Baked Whole Grain Energy Snack, Peanut Butter Banana with Dark Chocolate Energy Bar, S'mores Baked Whole Grain Energy Snack, Vanilla Almond, Energy Bar, White Chocolate Macadamia Energy Bar</t>
  </si>
  <si>
    <t>Other: Chocolate &amp; Peanut Butter, Chocolate Brownie Energy Bar, Chocolate Brownie, Baked Whole Grain Energy Snack, Chocolate Chip &amp; Peanut Butter, Chocolate Chip Peanut Crunch Energy Bar, Chocolate Chip, Baked Whole Grain Energy Snack, Chocolate Chip, Energy Bar, Cookies &amp; Crème, Energy Bar, Cool Mint Chocolate Energy Bar, Crunchy Peanut Butter, Energy Bar [USA], Iced Oatmeal Cookie, Baked Whole Grain Energy Snack, Oatmeal Raisin Walnut Energy Bar, Peanut Butter, Peanut Butter Banana with Dark Chocolate Energy Bar, Peppermint White Chocolate, Energy Bar, S'mores, Baked Whole Grain Energy Snack, Spiced Pumpkin Pie, Energy Bar, Spooky Choco-Chip, Chocolate Chip Soft Baked Mini Bars, White Chocolate Macadamia, Energy Bar [USA]</t>
  </si>
  <si>
    <t>Other: 14 ct CLIF Nut Butter Bar (Chocolate &amp; Peanut Butter/ Peanut Butter), 15 ct Variety Pack (Chocolate Chip / Chocolate Brownie), 15 ct Variety Pack (Crunchy Peanut Butter / White Chocolate Macadamia Nut), 15pk Variety Pack (Chocolate Chip / Cinnamon Crunch / Cookies'N Crème), 16 ct CLIF Nut Butter Bar (8 Chocolate &amp; Peanut Butter/ 8 Peanut Butter), 16 ct CLIF Nut Butter Bar (8 Chocolate Chip &amp; Peanut Butter/ 8 Chocolate Peanut Butter), 18 ct Variety Pack (Chocolate Chip / Chocolate Brownie), 18 ct Variety Pack (Crunchy Peanut Butter / White Chocolate Macadamia Nut), 18pk Variety Pack (S'Mores / Chocolate Chip / Iced Oatmeal Cookie), 20 pack Variety Pack (Chocolate Chip / Cookies 'N Creme), Whole Grain Crispy Snack Bars, 22 ct Variety Pack (Chocolate Chip / Crunchy Peanut Butter), 24 ct Variety Pack (Chocolate Chip, Iced Oatmeal Cookie), 24 ct Variety Pack (Chocolate Chip/Crunchy Peanut Butter), 24ct Variety Pack (Chocolate Chip / White Chocolate Macadamia Nut), 26 ct Variety Pack (13 Chocolate Chip / 13 Crunchy Peanut Butter), 30 ct Variety Pack (Chocolate Brownie/Chocolate Chip/Iced Oatmeal Cookie), 30 pk Variety Pack (Chocolate Chip/Chocolate Mint), 36 ct Variety Pack (Chocolate Brownie/Chocolate Chip/Iced Oatmeal Cookie), 6ct Variety Pack (LemonZest / Blueberry Bliss), Black Cherry, Energy Chews, Black Cherry, Energy Chews (Aus/NZ Formula), Blueberry Almond Crisp, Energy Bar, Blueberry Bliss Whole Nutrition Bar, Blueberry Muffin, Baked Whole Grain Energy Snack, Chocolate &amp; Peanut Butter, Chocolate Brownie, Baked Whole Grain Energy Snack, Chocolate Brownie, Energy Bar, Chocolate Chip &amp; Peanut Butter, Energy Bar, Chocolate Chip Banana Bread, Baked Whole Grain Energy Snack, Chocolate Chip Peanut Crunch, Energy Bar, Chocolate Chip Whole Grain Crispy Snack Bars, Chocolate Chip, Baked Whole Grain Energy Snack, Chocolate Chip, Energy Bar, Chocolate Chip, Energy Bar (Aus/NZ Formula), Chocolate Cupcake, Whole Nutrition Bar, Chocolate Dipped Coconut, Whole Nutrition Bar, Chocolate Mint, Whole Grain Crispy Snack Bars, Chocolate Peppermint Stick, Whole Nutrition Bar, Cinnamon Crunch, Whole Grain Crispy Snack Bars, Cinnamon Roll, Baked Whole Grain Energy Snack, Cookies &amp; Crème, Energy Bar, Cookies 'N Creme, Baked Whole Grain Energy Snack, Cookies n' Creme, Whole Grain Crispy Snack Bars, Cool Mint Chocolate, Energy Bar, Crunchy Peanut Butter, Energy Bar, Crunchy Peanut Butter, Energy Bar (Aus/NZ Formula), Green Apple, Energy Chews, Iced Oatmeal Cookie Baked, Whole Grain Energy Snack, LemonZest + Blueberry, Whole Nutrition Bar, LemonZest + Raspberry, Whole Nutrition Bar, LemonZest, Whole Nutrition Bar, Margarita, Energy Chews, Mountain Berry, Energy Chews, Nutz Over Chocolate, Whole Nutrition Bar, Oatmeal Raisin Walnut, Energy Bar, Orange, Energy Chews, Original Crackers, Peanut Butter, Peanut Butter Banana with Dark Chocolate, Energy Bar, Peppermint White Chocolate, Energy Bar, Salted Watermelon, Energy Chews, S'mores, Baked Whole Grain Energy Snack, Spiced Pumpkin Pie, Energy Bar, Spiced Pumpkin Pie, Energy Bar, Spooky Choco-Chip, Chocolate Chip Soft Baked Mini Bars, Strawberry Lemonade, Energy Chews, Strawberry, Energy Chews, Tropical Punch, Energy Chews, White Chocolate Macadamia Nut, Energy Bar, White Chocolate Macadamia, Whole Nutrition Bar</t>
  </si>
  <si>
    <t>Other: Beans (Baby Lima: Wholes and Splits), Beans (Black: Wholes and Splits), Beans (Black: Wholes and Splits), Beans (Blackeye: Wholes and Splits), Beans (Blackeye: Wholes and Splits), Beans (Dark Red Kidney: Wholes and Splits), Beans (Feed/Screenings: Baby Lima), Beans (Feed/Screenings: Black Beans), Beans (Feed/Screenings: Black Eyed Peas), Beans (Feed/Screenings: Dark Red Kidney), Beans (Feed/Screenings: Garbanzo), Beans (Feed/Screenings: Navy Beans), Beans (Feed/Screenings: Pinto Beans), Beans (Garbanzo: Wholes and Splits), Beans (Garbanzo: Wholes and Splits), Beans (Light Red Kidney: Wholes and Splits), Beans (Navy: Wholes and Splits), Beans (Pinto: Wholes and Splits), Beans (White Kidney: Wholes and Splits), Beans (White Kidney: Wholes and Splits), Beans (Yellow: Wholes and Splits), Beans (Yellow: Wholes and Splits), Processing (Client Profile Products only) (Edible Bean and Grain Processing / Cleaning), Seed (Black Bean: Compliant Inoculant), Seed (Black Eyed: Compliant Inoculant), Seed (Durum Wheat: Compliant Inoculant), Seed (Garbanzo: Compliant Inoculant), Seed Processing (Client Profile Products only) (Milling, Cleaning, Compliant Seed Coatings/Treatment), Wheat (Durum Wheat), Wheat (Feed/Screenings: Durum Wheat)</t>
  </si>
  <si>
    <t>Trees/Whole Plant Products/Flowers: Seeds (Broccoli Sprouting Seed); Seasonings: Seasoning Blends (Seasoned Salt); Processed  Items: Dehydrated Foods (Apricots), Dehydrated Foods (Banana Chips), Dehydrated Foods (Cranberries), Dehydrated Foods (Dates), Dehydrated Foods (Figs), Dehydrated Foods (Pitted Prunes), Dehydrated Foods (Raisins), Ready to Eat Foods (Sauerkraut); Other Grains, Pastas and Cereals: 7 Whole Grain Mix, Amaranth, Barley (Barley), Buckwheat Hulls, Cereal (7 Grain Puffed Cereal), Cereal (Multi Grain Cereal), Cereal (Raw Oat Bran), Cereal (Spelt Pancake Mix), Corn Grits, emmer (grain), Millet, Oats (Fine Oats), Oats (Oat Berries), Oats (Quick Oats), Oats (Rolled Oats), Oats (Sprouted Fine Oats), Oats (Sprouted Rolled Oats), Oats (Steel Cut Oats), Puffed Buckwheat, Puffed Corn, Puffed Grain Seconds, Puffed Millet, Puffed Rice, Puffed Spelt, Puffed Wheat, Quinoa (Black Quinoa), Quinoa (Quinoa), Quinoa (Red Quinoa), Rice (Long Grain Brown Rice), Rolled Spelt, Rye Berries, Sorghum (Sorghum (grain)), Spelt Berries, Spelt Bran, Sprouted Einkorn Berries, Sprouted Spelt Berries, Wheat (Buckwheat (Hulled)), Wheat (Buckwheat (with Hull)), Wheat (Einkorn Grain), Wheat (Hard Red Wheat Berries), Wheat (Hard White Wheat), Wheat (Kamut), Wheat (Red Fife Wheat Berries), Wheat (Soft Red Wheat Berries), Wheat (Soft White Wheat Berries), Wheat (Sprouted Turkey Red Wheat Berries), Wheat (Turkey Red Wheat Berries), Wheat (Wheat Bran); Oils &amp; Oleoresins: Oils (Virgin Coconut Oil); Nuts/Seeds: Alfalfa Sprouting Seeds, Almonds (Raw Almonds), Cashew Nuts (Cashews), Chia Seeds, Golden Flax Seed, Peanuts (Peanuts), Pumpkin Seeds, Sunflower Seeds; Fruits/Vegetables: Beans (Adzuki Beans), Beans (Black Turtle Beans), Beans (Cranberry Beans), Beans (Garbanzo Beans), Beans (Great Northern Beans), Beans (Green Lentils), Beans (Ground Adzuki Beans), Beans (Kidney Beans), Beans (Lima Beans), Beans (Mung Beans), Beans (Navy Beans), Beans (Pinto Beans), Beans (Red Lentils), Beans (Six Bean Mix), Coconut, Vegetables (Corn (Whole, Lime-Treated)), Vegetables (OP Corn); Dry/Baking Goods: Ceylon Cinnamon, Corn Starch, Flours and Meals (All Purpose Einkorn Flour), Flours and Meals (Bread Flour), Flours and Meals (Brown Rice Flour), Flours and Meals (Buckwheat Flour), Flours and Meals (Coconut Flour), Flours and Meals (Corn Flour), Flours and Meals (Course Oat Flour), Flours and Meals (Einkorn Flour), Flours and Meals (Emmer Flour), Flours and Meals (Flax Seed Meal), Flours and Meals (Golden Pastry Flour), Flours and Meals (Golden White Hard Wheat Flour), Flours and Meals (Golden White Spelt Flour), Flours and Meals (Graham Flour), Flours and Meals (Hard Whole Wheat Flour), Flours and Meals (Local White Pastry Flour), Flours and Meals (Millet Flour), Flours and Meals (Mixed Flour Seconds), Flours and Meals (Oat Flour), Flours and Meals (Ohio Bread Flour), Flours and Meals (Red Fife Wheat Flour), Flours and Meals (Rye Flour), Flours and Meals (Soft Whole Wheat Flour), Flours and Meals (Sorghum Flour), Flours and Meals (Sprouted Einkorn Flour), Flours and Meals (Sprouted Turkey Red Wheat Flour), Flours and Meals (Sprouted Whole Spelt Flour), Flours and Meals (Turkey Red Wheat Flour), Flours and Meals (White Spelt Flour), Flours and Meals (Whole Corn Meal), Flours and Meals (Whole Spelt Flour), Powders (Cocoa Powder), Sugar (Cane Sugar), Sugar (Organic Coconut Sugar), Sugar (Organic Powdered Sugar), Sugar (Sucanat), Tapioca Starch; Condiments and Sweeteners: Homemade Peanut Butter, Sweeteners (White Stevia), Vinegar (Apple Cider Vinegar); Chocolate Goods: Dark Chocolate (Mini Dark Chocolate Chips); Bread/Bakery/Snacks: Popcorn (Lady Finger Popcorn), Popcorn (Popcorn); Animal Feed: Livestock Feed (Bran , Cleanings), Livestock Feed (Flint Corn), Livestock Feed (Hulls), Livestock Feed (Small Grain Cleanings and Byproducts); Other: Custom Cleaning of Grain Products, Custom Milling of Grain Products, Custom Processing and Packaging Grains and Grain Products, Labeling Food Products, Packaging Food Products, Processing Peanut Butter and Sauerkruat, and Blending Food Products, Repackaging Bulk Products</t>
  </si>
  <si>
    <t>Other Grains, Pastas and Cereals: Barley, Buckwheat, Corn, Einkorn, Emmer, Flax - Brown, Flax - Golden, Hay, Lentils, Millet, Oats, Peas, Rye, Screenings - Mixed, Straw, Spelt, Triticale, Wheat - Durum, Wheat - Hard Red, Wheat - Hard White Wheat, Kamut®, Wheat - Soft White Wheat (See Product Addendum for Export Equivalencies and Private Label); Dry/Baking Goods: Flours and Meals (See Product Addendum for Export Equivalencies and Private Label); Animal Feed: Big Sky Organic Feeds (See Product Addendum for Export Equivalencies and Private Label); Other: 100% Organic Specialty Products (See Product Addendum for Export Equivalencies and Private Label), Big Sky Organic Feeds, Other Private Label Feeds (See Product Addendum for Export Equivalencies and Private Label)</t>
  </si>
  <si>
    <t>Other Grains, Pastas and Cereals: Cereal; Dry/Baking Goods: Flours, Cereals, Baking Mixes * (USCOEA) Please see product addendum for product specifics and Private Label
*USCOEA – Denotes US-Canada Organic Equivalency</t>
  </si>
  <si>
    <t>Nuts/Seeds: Seeds (Grain (US, USCOEA, JAS)
EU – Denotes US-European Union Organic Equivalency Arrangement; USCOEA – Denotes US-Canada Organic Equivalency Arrangement; JAS – Denotes Japan Organic Equivalency Agreement;); Dry/Baking Goods: Flours and Meals ((EU, USOCEA, JAS)
EU – Denotes US-European Union Organic Equivalency Arrangement; USCOEA – Denotes US-Canada Organic Equivalency Arrangement; JAS – Denotes Japan Organic Equivalency Agreement;); Animal Feed: Livestock Feed ((EU, USCOEA, JAS)
EU – Denotes US-European Union Organic Equivalency Arrangement; USCOEA – Denotes US-Canada Organic Equivalency Arrangement; JAS – Denotes Japan Organic Equivalency Agreement;)</t>
  </si>
  <si>
    <t>Other Grains, Pastas and Cereals: Basmati Rice, foxtail millet,; Oils &amp; Oleoresins: Almond oil, black mustard oil, Brown Mustard Oil, Coconut Oil, Extra Virgin Coconut Oil, Flax seed oil, Sesame Seed Oil, Sunflower seed oil, Virgin coconut oil, Walnut oil, Groundnut/ peanut oil (crude); Other: Ajwain, Almond, Ashwagandha powder, Bay Leaf Powder, Bay leaves/Tejpatta, Black Pepper, Black Pepper Powder, Black Sesame, Cardamom, Cardamom Powder, chickpea/kabuli chana(garbanzos), cinnamon (powder), Cinnamon bark, Cloves, Coconut,Coconut Desiccated, Coconut milk, Coconut oil cake, Coconut Powder/Dried Coconut Powder, Coriander Powder, Coriander Seed / Whole, Cumin Powder, Cumin Whole, Fennel/ Saunf, Fenugreek, Ginger Powder, Gram Flour/Besan, Green gram whole (Moong sabut), Groundnut/Peanut, Mace powder, masur/masoor dhuli, Moong Dal, Moringa Powder, Mustard black, Mustard cake, Mustard seeds, Nutmeg Powder, Nutmeg whole, Oil Cake and Oil Cake Meal of Groundnut/Peanut Expeller Variety, Pearl millet / Bajra, Ragi / Finger Millet Grain, raisins/kismis, Red chilli (whole), Red Chilli Powder, red kidney beans/rajma (phaseolus vulgaris), Sesame seeds oil cake, Suji/Semolina/ Cream of Wheat, tamarind/imli (t.indica), Tur/Toor Dal, Turmeric Powder, Urad dal split, Walnut, Wheat Flour, White Pepper, White Pepper Powder, Cashew kernel (Shelled broken), Cashew Kernel (Shelled whole)</t>
  </si>
  <si>
    <t>Other: Barley, Barley (Pearled), Barley Cereal (Flakes), Barley Flour, Barley Meal (Black Barley Meal), Bran Cereal (Oat), Buckwheat, Buckwheat (Groats), Buckwheat Flour, Corn (Blue), Corn (Corn Meal, Polenta, Coarse), Corn (Corn Meal, Yellow, Fine), Corn (Cornmeal, Non-degerm, Medium), Corn (Red Corn), Corn (Red Corn Cracked), Corn (Red Corn Meal), Corn (White Corn), Corn (White Corn Grits), Corn (White Corn Meal), Corn (Whole Yellow Corn), Corn (Yellow), Corn (Yellow Corn Cones), Corn Flour, Corn Flour (Blue Corn Flour), Corn Flour (Red Corn Flour), Corn Flour (Yellow Corn Flour), Corn Flour (Yellow Corn Flour, degerminated), Cornmeal (Blue Corn Meal), Cornmeal (Yellow Corn Meal), Durum Flour (Whole Milled Durum Flour), Farro, Flax seed Meal, Flaxseed, Garbanzo Bean Flour, Garbanzo Beans, Graham Flour, Grain Blend (9 Grain Blend), Grain Blend (Flaking Grits), Grain Blend (Long Grain Brown Rice Flour), Grain Blend (Long Grain White Rice Flour), Grain Blend (Medium Grain Brown Rice Flour), Grain Blend (Yellow Corn Grits), Kamut, Kamut Flour, Lentil Flour, Lentils, Livestock Feed - Corn, Livestock Feed - Hominy (Yellow Hominy Corn), Millet, Millet Flour, Oat Flour, Pastry Flour (Whole Wheat), Polenta, Pumpkin Seeds (Meal), Quinoa, Quinoa Flour, Rice (50/50 blend), Rice (Haiga Mai), Rice (Brown), Rice (Brown) (Long grain), Rice (Brown) (Short grain), Rice (Brown) (Sweet), Rice (brown) Flour, Rice (Red) (Long grain), Rice (White), Rice (White) (Brokens), Rice (White) (Long grain), Rice (White) (Short Grain), Rice (White) (Sweet), Rice (white) Flour, Rice Flour (Medium Grain Brown Rice Flour), Rice Flour (Medium Grain White Rice Flour), Rice Flour (White Rice Flour - X-Fine - 906520001342), Rice Flour (White Rice Flour - X-Fine - 906520002657), Rye, Rye (Cracked Rye), Rye (Cracked Rye), Rye (Rye Pumpernickel Meal), Rye Cereal (Flakes), Rye Flour, Rye Flour, Rye Flour (Rye Flour), Rye Meal, Rye Meal, Sesame Seeds, Sorghum (Milo), Soy Flour, Soybeans, Spelt, Spelt (Flour), Spelt (Grain), Spelt Flour, Sunflower Seeds, Triticale, Wheat (Hard red), Wheat (Soft White), Wheat Cereal (Flakes), Wheat Flour (Cracked Wheat), Wheat Flour (Fine), Wheat Flour (Hi-Pro, Coarse), Wheat Flour (Hi-Pro, Fine), Wheat Flour (Soft White Wheat Flour), Wheat Flour (Stone Ground, Hi-Pro, MediumCracked Wheat), Wheat Flour (Stone Ground, Medium), Wheat Flour (Unbleached white pastry flour), Wheat Flour (Whole wheat pastry flour), Whole Wheat Flour (Stone Ground)</t>
  </si>
  <si>
    <t>Other: Apple Cider Vinegar, Brown Mustard Seed, Country Dijon Mustard #238, Creamy White Mustard #18, Creamy Yellow Mustard, Dijon Mustard, Dijon Mustard, Dijon Mustard, Dijon Mustard, Dijon Mustard, Dijon Mustard, Dijon Mustard #166, Dijon Mustard #166, Dijon Mustard w/Cider, Dijon Mustard With Cider #77, Dijon Mustard With Turmeric #172, Distilled Grain Vinegar, German Mustard w/Cider, Gourmet Dijon Mustard #1, Gourmet Dijon Mustard Low Salt, Gourmet Dijon Mustard Low Salt #6, Gourmet Dijon Mustard Lower Salt #3, Gourmet Dijon Mustard No Turmeric #11, Gourmet Dijon Mustard No Turmeric #11, Gourmet Dijon Mustard No Turmeric (#11), Honey Dijon Mustard (Honey Mustard), Honey Mustard, Honey Mustard, Honey Mustard, Honey Mustard, Honey Mustard, Honey Mustard, Honey Mustard Base #110, Horseradish #104, Horseradish (#104), Horseradish Mustard, Horseradish Mustard #185, Horseradish Mustard #57, Horseradish Mustard (German Mustard w/ Cider), Horseradish with Distilled Vinegar #209, Horseradish with Distilled Vinegar #209, Jalapeno Mustard #183, No Color Mustard #173, Octoberfest (Stoneground Mustard), Spicy Brown Mustard, Spicy Brown Mustard, Spicy Brown Mustard, Spicy Brown Mustard, Spicy Brown Mustard (#62A), Spicy Brown Mustard (#62A), Stoneground Mustard, Stoneground Mustard, Stoneground Mustard, Stoneground Mustard, Stoneground Mustard, Stoneground Mustard, Stoneground Mustard, Stoneground Mustard #167, Stoneground Mustard (#167), Stoneground Mustard With Cider #78, Sweet &amp; Hot Mustard #184, Sweet &amp; Spicy Mustard, Whole Grain Dijon Mustard #75, Whole Grain Mustard, Whole Grain Mustard #75, Yellow Mustard, Yellow Mustard, Yellow Mustard, Yellow Mustard, Yellow Mustard, Yellow Mustard, Yellow Mustard, Yellow Mustard, Yellow Mustard, Yellow Mustard, Yellow Mustard #165, Yellow Mustard (#165), Yellow Mustard (#165), Yellow Mustard (#165), Yellow Mustard Seed, Yellow Mustard w/Cider, Yellow Mustard With Cider #79</t>
  </si>
  <si>
    <t>Other: Whole Dark Rye Flour, Whole Grain Barley Flour, Whole Grain Oat Flour, Whole Red Spring Wheat Bread Flour, Whole Short Brown Rice Flour, Whole Spelt Flour, Whole Sweet Brown Rice Flour, Whole Wheat Graham Flour, Whole Wheat Pastry Flour, Whole White Buckwheat Flour, Whole Yellow Corn Flour, Whole Yellow Corn Meal</t>
  </si>
  <si>
    <t>Other: RICE NOODLE (Item#300309) RICE NOODLE (40g) TAPIOCA STARCH THAI HOM MALI RICE RED RICE LONG GRAIN RICE GLUTINOUS RICE (STICKY RICE) BLACK RICE JASMINE RICE (FRAGRANT RICE) PARBOILED RICE INSTANT RICE (JASMINE RICE) INSTANT RICE (BROWN RICE)</t>
  </si>
  <si>
    <t>Processed  Items: Acai Powder, Anise Seed Tea, Barley &amp; Wheatgrass Powder,  Barley Grass Powder (Retail, Bulk), Beetroot Powder, Chia Seeds (Black, White), Black Maca Powder, Brown Rice Protein Powder, Cacao (Nibs, Butter Drops), Camu Camu Powder, Chamomile (Flower Powder, Flower Whole, Tea), Chlorella Tablets, Coconut Water Powder, Echinacea (Powder, Tea, Cut Tea), Fennel (Seed Powder, Seed Tea, Tea), Fenugreek (Bulk Seed, Powder, Tea), Golden Berries, Hibiscus (Powder, Tea), Kale Powder, Lemon Balm Tea Leaves, Licorice Root (Powder, Tea, Cut Tea), Lucuma Powder, Maca Powder, Nettle Powder, Pea Protein Powder, Peppermint (Powder, Tea), Quinoa (Flakes, Grains, Tricolour), Red Maca Powder, Rooibos Tea/Granules, Senna (Leaf Powder, Cut Tea Leaves, Pod Tea, Tea), Spinach Powder, Spirulina (Powder, Tablets), Turmeric Powder, Wheat Grass Powder (Retail, Bulk), Yacon Powder, Ashwagandha Powder, Buckwheat Grass Powder, Carrot Powder, Ginger Powder, Goji Berries, Monk Fruit Powder, Pumpkin Protein Powder, Rosehip Powder, Fava Bean Protein Powder, Packing Organic Products, Sweeteners (Fructo-oligosaccharide Powder, Inulin (Powder, Plus Powder))</t>
  </si>
  <si>
    <t>Other Grains, Pastas and Cereals: Wheat (Wheat); Other: Brokering organic grain, Storing organic grain, Transporting organic grain</t>
  </si>
  <si>
    <t>Other: Hay, Straw, Wheat (Hay: Alfalfa, Oat, Rye Grass, Grain Straw: Wheat)</t>
  </si>
  <si>
    <t>Other: Alfalfa, Barley, Calf Starter Pellets 20%, Corn shell and meal, Custom Grain Mixing, Dairy Pellets 10%, Dairy Pellets 12%, Dairy Pellets 14%, Dairy Pellets 16%, Dairy Pellets 18%, Heifer Pellets 16%, Layer Mash 17%, LinPro-R, Morrison's Yeast Blend, Organic 18% grower mash, Organic 18% grower pellets/crumble, Organic Layer Pellets, Organic Pig Pellets 15%, Organic Pre-Fresh, Organic Scratch Feed, Organic Sheep Pellets 16%, Poultry Grower Pellets/Crumbles 21%, Poultry Grower/Crumbles 18%, Poultry Starter/Grower 21% Mash, Roasted Soybean Meal, Soybean Meal, Soybean Oil, Soybeans, Soy-Free Grower Mash 18%, Soy-Free Layer Pellets 16%, Turkey Starter Mash 28%, Wheat midds</t>
  </si>
  <si>
    <t>Other: Grains (Barley), Grains (Bindweed), Grains (Corn), Grains (Hulled Millet), Grains (Oats), Grains (Red Wheat), Grains (Screenings), Grains (Sorghum), Grains (White Wheat), Grains (Whole Millet)</t>
  </si>
  <si>
    <t>Other: Cacao (Alkalized Black Cacao Powder 10-12% ), Cacao (Alkalized Cacao Powder 20-22%), Cacao (Cocoa Butter (Blocks)), Cacao (Cocoa Liquor Paste Wafers), Cacao (Cocoa/Cacao beans and Cacao raw beans), Cacao (Cocoa/Cacao nibs and Cacao raw nibs), Cacao (Cocoa/Cacao nibs and Cacao raw nibs), Cacao (Cocoa/Cacao powder), Cacao (Cocoa/Cacao powder), Cacao (Natural Cacao powder 10-12% Fat Content), Cacao (Natural Cacao powder 20-22% Fat Content), Cacao (Raw Cacao Beans), Cacao Butter, Cacao Butter (Wafers), Cacao Liquor, Cacao Nibs (Roasted Cacao Nibs Coated with Coconut Sugar), Chia (Chia Seeds), Chia (Meal), Coconut (Coconut Sugar), Coconut (Coconut water powder), Flour (Carob), Flour (Coconut), Fruit Powder (Acai), Fruit Powder (Acerola), Fruit Powder (Acerola 17% Vitamin C Powder), Fruit Powder (Acerola Freeze Dried Powder), Fruit Powder (Freeze Dried Acai Powder), Fruit Powder (Lucuma), Fruit Powder (Lucuma), Fruits (Dehydrated Mango), Fruits (Dried Goji Berries), Fruits (Dried Golden Berries), Fruits (Dried Mango Strips), Fruits (Golden Berries), Fruits (Maqui Berry Freeze Dried Powder), Fruits (Maqui Berry Juice Concentrate), Fruits (Maqui Powder or Maqui Berry Dehydrated Juice Powder), Goji Berries, Grains (Amaranth Powder), Grains (Gelatinized Kiwicha), Grains (Gelatinized Quinoa), Grains (Quinoa), Herbs (Camu Camu Powder), Herbs (Camu Camu Powder), Herbs (Purple Corn Powder), Herbs (Sacha Inchi Powder), Herbs (Sacha Inchi Powder), Herbs (Tarragon (Artemisia dracunculus)), Herbs (Tarragon (Estragon) Dried and Fresh), Maca (0.6% Total Glucosinolates), Maca (Chips), Maca (Gelatinized), Maca (Gelatinized), Maca (Gelatinized (Black)), Maca (Gelatinized (Red)), Maca (Gelatinized in Pellets), Maca (Maca Powder), Maca (Maca Powder), Maca (Powder (Black)), Maca (Powder (Red)), Nuts (Brazil Nuts), Nuts (Brazil Nuts), Oils (Extra Virgin Olive Oil), Oils (Sacha Inchi Oil), Olives (Andaluza Green Olive in Brine), Olives (Black Botija Olive Pitted in Brine), Olives (Black Botija Olive with Pit in Brine), Olives (Black Olives Paste with Oregano), Olives (Cured Dehydrated Black Ascolana Olives), Olives (Cured Dehydrated Black Ascolana Olives with Olive Oil), Olives (Cured Dehydrated Black Botija Olives Pitted), Olives (Cured Dehydrated Black Botija Olives Pitted with Aji), Olives (Cured Dehydrated Black Botija Olives Pitted with Aji), Olives (Cured Dehydrated Black Botija Olives Pitted with Herbs), Olives (Cured Dehydrated Black Botija Olives Pitted with Herbs), Olives (Cured Dehydrated Black Botija Olives with Aji), Olives (Cured Dehydrated Black Botija Olives with Herbs), Olives (Cured Dehydrated Black Botija Olives with Pit), Olives (Cured Dehydrated Green Olives Pitted), Olives (Cured Dehydrated Green Olives with Aji), Olives (Cured Dehydrated Green Olives with Herbs), Olives (Cured Dehydrated Green Olives with Pit), Olives (Cured Dehydrated Pitted Black Botija Olives with Aji), Olives (Green Jumbo Olives in Brine), Olives (Green Olives in Brine), Olives (Green Olives Paste with Herbs), Olives (Manzanilla Green Olives in Brine), Olives (Natural Dried Olives Pitted), Olives (Olives processed dehydrated pitted with Chili), Olives (Olives processed dehydrated with Chili), Peanuts (Jungle Peanuts), Peanuts (Jungle Peanuts), Powder (Goji Berry Juice), Powder (Goji Powder), Quinoa (Crisps), Quinoa (Crisps), Sweetener (Algarroba (Mesquite) Powder), Sweetener (Algarroba (Mesquite) Powder), Yacon (Chips), Yacon (Powder (Leaves, Roots)), Yacon (Syrup)</t>
  </si>
  <si>
    <t>Other Grains, Pastas and Cereals: Wheat (Einkorn Wheat, Hard Red Spring Wheat, Hard Red Wheat Berries, Hard White Wheat); Nuts/Seeds: Seeds ((Seed Cleaning))</t>
  </si>
  <si>
    <t>Other: Bean, Adzuki, Bean, Baby Lima, Bean, Black Turtle, Bean, Black Turtle, Bean, Cannellini, Bean, Cannellini, Bean, Cranberry, Bean, Fava, Bean, Garbanzo, Bean, Garbanzo, Bean, Garbanzo Split, Bean, Great Northern, Bean, Great Northern, Bean, Kidney Dark Red, Bean, Kidney Dark Red, Bean, Kidney Light Red, Bean, Mung, Bean, Mung Dahl, Bean, Navy, Bean, Navy, Bean, Navy, Bean, Pinto, Bean, Pinto, Bean, Red Small (Chili), Bean, Soy Black, Bean, Soy Clear Hilum, Dried Fruit, Apples, Dried Fruit, Apricots, Dried Fruit, Blueberries, Dried Fruit, Cherries, Dried Fruit, Dates, Dried Fruit, Fig, Dried Fruit, Fig Black Mission, Dried Fruit, Goji Berries, Dried Fruit, Pears, Dried Fruit, Pineapple, Dried Fruit, Raisin, Thompson, Dried Nut, Almond, Dried Nut, Brazil, Dried Nut, Brazil Brokens, Dried Nut, Cashew, Dried Nut, Hazelnut, Dried Nut, Macadamia, Dried Nut, Pecan (Whole, Halves, Pieces), Dried Nut, Pine Nuts, Dried Nut, Pistachios, Dried Nut, Walnut, Grain, Amaranth, Grain, Barley Hulled, Grain, Barley Hulless, Grain, Barley Hulless, Purple, Grain, Barley Pearled, Grain, Buckwheat Flour, Grain, Buckwheat Grits, Grain, Buckwheat Hulled/Groats, Grain, Buckwheat Hulls, Grain, Buckwheat Kasha (Roasted), Grain, Buckwheat Kasha (Roasted), Grain, Buckwheat Whole, Grain, Buckwheat Whole, Grain, Bulgur Wheat Coarse, Grain, Bulgur Wheat Fine, Grain, Couscous Regular, Grain, Couscous, Whole Wheat, Grain, Oat Bran, Grain, Oat Bran -GF, Grain, Oat Rolled Quick, Grain, Oat Rolled Quick -GF, Grain, Oat Rolled Regular, Grain, Oat Rolled Regular -GF, Grain, Oat Rolled Thick, Grain, Oat Rolled Thick -GF, Grain, Oat Steel Cut, Grain, Oat Steel Cut, Grain, Oat Steel Cut -GF, Grain, Oat Whole Groat, Grain, Oat Whole Groat -GF, Grain, Quinoa Black, Grain, Quinoa Flakes, Grain, Quinoa Puffed, Grain, Quinoa Red, Grain, Quinoa Tricolor, Grain, Quinoa Tricolor, Grain, Quinoa White, Grain, Quinoa White, Grain, Spelt, Grain, Teff, Grain, Triticale, Grain, Wheat HRS, SW, Grain, Wheat HRS, SW, Lentil, Black, Lentil, Brown, Lentil, Eston, Lentil, French Green, Lentil, French Green, Lentil, Golden, Lentil, Golden, Lentil, Green, Lentil, Green, Lentil, Green (Richleas, Large Laird), Lentil, Red (Football Decorticated), Lentil, Red Split (Decorticated), Lentil, Red Split (Decorticated), Lentil, Red Whole, Pasta, Quinoa Angel Hair, Pasta, Quinoa Ditalini, Pasta, Quinoa Elbow, Pasta, Quinoa Fusilli, Pasta, Quinoa Linguini, Pasta, Quinoa Orzo, Pasta, Quinoa Penne, Pasta, Quinoa Penne, Pasta, Quinoa Shells, Pasta, Quinoa Spaghetti, Pea, Green Split, Peas, Black Eye, Peas, Green Split, Peas, Green Whole, Peas, Green Whole, Peas, Yellow Split, Peas, Yellow Split, Peas, Yellow Whole, Peas, Yellow Whole, Rice, Arborio, Rice, Basmati Brown, Rice, Basmati Brown, Rice, Basmati White, Rice, Basmati White, Rice, Black (Forbidden), Rice, Jasmine Brown, Rice, Jasmine Brown, Rice, Jasmine White, Rice, Jasmine White, Rice, Long Grain Brown, Rice, Long Grain Brown, Rice, Long Grain White, Rice, Long Grain White, Rice, Medium Grain Brown, Rice, Medium Grain White, Rice, Parboiled, Rice, ParBoiled Long Grain White, Rice, Red Thai, Rice, Short Grain Brown, Rice, Short Grain Brown, Rice, Short Grain White, Rice, Sushi White, Rice, Wild, Screenings, Beans, Screenings, Grains, Screenings, Legumes, Screenings, Seeds, Seed, Alfalfa, Seed, Amaranth, Seed, Chia Black, Seed, Chia Black, Seed, Chia Black, Ground, Seed, Chia White, Seed, Chia White, Ground, Seed, Flax Brown, Seed, Flax Golden, Seed, Flax Meal (Brown and Golden), Seed, Flax Milled (Brown and Golden), Seed, Golden Flaxseed Fine Milled, Seed, Golden Flaxseed Whole, Seed, Hemp Hulled, Seed, Milled Flaxseed with Chia Seed, Seed, Millet Hulled, Seed, Millet Whole, Seed, Popcorn Tricolor (Multi.), Seed, Popcorn White, Seed, Popcorn White, Seed, Popcorn Yellow, Seed, Poppy, Seed, Pumpkin, Seed, Rye Berries, Seed, Sesame Black, Seed, Sesame Hulled, Seed, Sesame Natural, Seed, Sunflowers Hulled, Seed, Sunflowers Hulled Roasted, Sweetener, Sugar Cane, Tropical, Cacao Nibs, Tropical, Cacao Powder, Tropical, Coconut Desiccated Chips, Tropical, Coconut Desiccated Medium, Tropical, Coconut Desiccated Medium, Tropical, Coconut Extra Fine, Tropical, Coconut Macaroon, Tropical, Coconut Sugar, Tropical, Coconut Toasted, Tropical, Oil Coconut Refined, Tropical, Oil Coconut Refined, Tropical, Oil Coconut Virgin, Tropical, Oil Coconut Virgin</t>
  </si>
  <si>
    <t>Other: Acacia Gum, Acai Powder, Agrimony, Ajwain Seed, Alfalfa (Leaf), Alfalfa (Powder), Alfalfa Seeds, Allspice, Allspice (Powder), Almond Oil (Sweet, Refined), Almond Oil (Sweet, Unrefined), Almonds (Raw), Aloe Vera (Leaf), Aloe Vera (Powder), Amla (Dehydrated), Amla (Dried, Whole), Amla (Powder), Andrographis (Powder), Angelica (Powder), Angelica (Root), Angelica Root Essential Oil, Anise, Anise (Powder), Anise (Star - Pods), Anise (Star - Powder), Annatto (Powder), Annatto (Seed), Antioxidant (Rosemary Extract), Apple Cider (Vinegar), Apricot Kernel Oil, Argan Oil, Arjuna (Bark Powder), Armoise Essential Oil, Arnica (Flowers), Aroma Blends (Citrus Mint Bathroom Spray), Aroma Blends (Heart Aroma Oil), Aroma Blends (Invigorate Aroma Mist Organic), Aroma Blends (Lavender Twist Linen Mist), Aroma Blends (Reflection Aroma Mist), Aroma Blends (Relaxing Aroma Spray), Aroma Blends (Sleep Ease Aroma Oil), Aroma Blends (Spirit Aroma Oil), Arrowroot (Powder), Artichoke (Leaf), Artichoke (Leaf US Grown), Artichoke Powder, Ashwagandha, Ashwagandha (Powder), Astragalus, Astragalus (Astragalus Root Slices), Astragalus (Powder), Astragalus (Slices), Avocado Oil, Babassu Oil, Balsamic Vinegar, Baobab Oil, Barberry (Root Bark), Barberry (Root Bark Powder), Barley Grass (Powder), Basil, Basil (Lemon Basil Leaf), Basil Essential Oil, Basil Fragrance (Holy Basil (Tulsi)), Bath (Baby's Bath Herbs), Bay Laurel Essential Oil, Bay Laurel Hydrosol, Bay Leaf, Bay Leaf (Whole), Bee Balm, Bee Pollen, Beet (Root), Beet (Root Powder), Benzoin Essential Oil (Resinoid), Bergamot Essential Oil, Bilberry, Bilberry (Leaf), Birch Leaves (Leaf), Bird's Eye Chili Pepper, Bird's Eye Chili Pepper (Powder), Bitter Orange (Peel Powder), Bitter Orange Essential Oil, Black Cohosh, Black Cohosh (Powder), Black Cohosh (Root, Forest Grown), Black Pepper (Cracked), Black Pepper (Ground), Black Pepper (Powder), Black Pepper (Smoked), Black Pepper Essential Oil, Black Seeds, Black Spruce Essentail Oil, Black Tea (Assam), Black Tea (Classic Sampler), Black Tea (Golden), Black Tea (Kumaon), Black Tea (Nepalese), Black Tea (Wachoka Tea ), Blackberry (Leaf), Blackberry (Root), Bladderwrack, Bladderwrack (Powder), Blend (All Purpose Seasoning), Blend (Cacao Chili Powder), Blend (Cajun Seasoning), Blend (Caribbean Blend), Blend (Celery Salt), Blend (Chili Lime Salt), Blend (Chinese 5 Spice), Blend (Curry Powder Blend), Blend (Dream Herbs), Blend (essiac Blend), Blend (Everything Bagel Seasoning), Blend (Garlic and Herb Seasoning), Blend (Garlic Pepper), Blend (Garlic Salt), Blend (Grilling Herbs), Blend (Herbs de Provence), Blend (Italian Seasoning), Blend (Kale Seasoning), Blend (Lemon Pepper ), Blend (Mediterranean Seasoning), Blend (Mesquite Seasoning), Blend (Mexican Seasoning), Blend (Mulling Spice), Blend (Pickling Spice), Blend (Pumpkin Pie Spice), Blend (Salt and Pepper Blend), Blend (Seasoning Salt), Blend (Taco Seasoning), Blend (Thai Curry), Blend (West Indies Rub), Blend (Za'atar Seasoning), Blended Essential Oil (Breathe), Blended Essential Oil (Citrus), Blended Essential Oil (Mint Blend), Blended Essential Oil (Orange Cream), Blended Essential Oil (Pick-Me-Up), Blended Essential Oil (Sheild), Blended Essential Oil (Skin Care), Blended Essential Oil (Sleep), Blended Tea (21st Century), Blended Tea (5th Chakra), Blended Tea (Ancient Forests), Blended Tea (Apple Spice Tea), Blended Tea (Berry Basil Lemonade), Blended Tea (Berry Bramble), Blended Tea (Blossoms of Health), Blended Tea (Chaga Cocoa Chai), Blended Tea (Dawn Chorus), Blended Tea (Dream Blend), Blended Tea (Easy Day), Blended Tea (Echinacea and Elder), Blended Tea (Evening Repose), Blended Tea (Fairytale), Blended Tea (Fecundi), Blended Tea (Fidnemed Nighttime), Blended Tea (Flashes Tea), Blended Tea (Forest Blend), Blended Tea (Forests), Blended Tea (Ginger Peach ), Blended Tea (Golden Milk Tea), Blended Tea (Grateful Heart), Blended Tea (Green Sunrise), Blended Tea (Happy Man), Blended Tea (Happy Tummy), Blended Tea (Hibiscus High), Blended Tea (Holy Basil Chai Tea), Blended Tea (Honeyroo), Blended Tea (Island Moringa), Blended Tea (Lemon Tea Blend), Blended Tea (Love Tea), Blended Tea (Memory Zest), Blended Tea (Mint Chocolate Mate), Blended Tea (Mint Patty Tea), Blended Tea (Moon Ease), Blended Tea (Nurse-Me Rhyme), Blended Tea (Orange Cream Oolong), Blended Tea (Orange Cream Rooibos), Blended Tea (Orange Spice), Blended Tea (Peace Blend), Blended Tea (Peach Cookie Genmaicha), Blended Tea (Persephone), Blended Tea (Pollinator), Blended Tea (Quiet Child), Blended Tea (Root Beer), Blended Tea (Spiced Vanilla Latte), Blended Tea (Study Time ), Blended Tea (Thai Tea), Blended Tea (The Blues), Blended Tea (Tropical Guayusa), Blended Tea (Tulsi Delight), Blended Tea (Turmeric Ginger Tea), Blended Tea (Vanilla Black Tea), Blended Tea (Vanilla Rooibos), Blended Tea (Vita-Blend Tea), Blended Tea (Winter Spice), Blended Tea (Winter Spice), Blended Tea (Wise Woman), Blended Tea (Womans Balancing), Blessed Thistle, Blue Flag, Blue Vervain, Boldo (Leaf), Boldo (Leaf Powder), Boneset, Borage, Borage Oil (Seed Oil), Brahmi, Brahmi (Powder), Broccoli Seeds (Sprouting), Buchu Leaf, Buckthorn bark, Buckthorn bark (Powder), Bugleweed, Bupleurum Root, Bupleurum Root (Powder), Burdock Root, Burdock Root (Powder), Butcher's broom, Butcher's broom (Root Powder), Butterfly Pea Extract (Powder), Butterfly Pea Flowers, Cacao (Bean), Cacao (Cacao Shells Roasted), Cacao (Powder, Roasted), Cacao Nibs (Roasted), Cacao Powder, Cajeput Essential Oil, Calamus (Powder), Calamus (Root), Calendula, Calendula (Powder), Calendula (US Grown), Calendula Fragrance, California Poppy, Camelina Oil, Camellia Oil, Camu Camu Powder, Caraway, Cardamom (Cardamom Pods, Whole), Cardamom (Cardamom Pods, Whole, Black), Cardamom (Cardamom, Hulled), Cardamom (Powder), Cardamom Essential Oil, Cardamom Essential Oil, Carob (Cut), Carob (Powder), Carob (Roasted Carob), Carrot Seed Essential Oil, Cascara Sagrada (Bark), Cascara Sagrada (Bark Powder), Castile Soap, Castor Oil, Catnip, Catnip Fragrance, Cayenne (Powder), Cayenne (Smoked), Cedarwood Essential Oil (Atlas), Cedarwood Essential Oil (Western Red Cedar), Celandine, Celery (Ground), Celery (Seed), Celery (Seed, Cracked), Celery Seed Essential Oil, Centaury, Ceylon Tea, Ceylon Tea (Mango), Chai Tea (Firefly Chai), Chai Tea (Sampler), Chai Tea (Turmeric Chai), Chamomile, Chamomile (Powder), Chamomile Essential Oil (Blue), Chamomile Essential Oil (Roman), Chamomile Fragrance, Chamomile Tea, Chaparral Leaf, Chia Oil, Chia Seeds, Chickweed, Chickweed (Powder), Chicory (Chicory Root Powder), Chicory (Roasted Chicory Root), Chili (Ancho Powder), Chili (Flakes), Chili (Red Chili Powder), Chili (Smoked Flakes), Chili (Whole), Chili Pepper (Gochugaru Chili Powder), Chipotle (Powder), Chives (Rings), Chlorella (Powder, Indian), Chrysanthemum, Chrysanthemum (Powder), Cilantro (Leaf), Cinnamon (Chips Cassia), Cinnamon (Powder Cassia), Cinnamon (Sticks Cassia), Cinnamon (Sweet - Chips), Cinnamon (Sweet - Powder), Cinnamon (Sweet Sticks), Cinnamon Essential Oil (Bark), Cinnamon Essential Oil (Leaf), Cistus Essential Oil, Citronella Essential Oil, Clary Sage Essential Oil, Clary Sage Fragrance, Cleavers, Clove Essential Oil, Clover (Flowers), Clover (Seed), Cloves, Cloves (Powder), Cocoa Absolute, Cocoa Butter (Cocoa Butter Wafers), Cocoa Butter (Cocoa Butter Wafers, Roasted), Cocoa Butter (Roasted), Cocoa Butter (Roasted), Coconut Oil (Coconut Oil, Unrefined), Coconut Oil (Fractionated Coconut (MCT) Oil), Coconut Oil (Refined), Codonopsis, Coltsfoot, Comfrey (Comfrey Root Powder), Comfrey (Leaf), Comfrey (Leaf US Grown), Comfrey (Powder), Comfrey (Root), Comfrey (Root US Grown), Copaiba Balsam Essential Oil, Coriander (Powder), Coriander (Seed), Coriander Essential Oil (Coriander Seed Essential Oil), Cornflowers, Cornmint Essential Oil, Cotinus Essential Oil, Couchgrass (Root), Cramp bark, Cramp bark (Powder), Cranberry Powder (Powder), Cranberry Seed Oil, Cucumber Fragrance, Cumin, Cumin (Black Cumin Seed), Cumin (Powder), Cumin Seed Oil (Black), Curry (Blend), Curry (Leaf), Cypress Essential Oil, Damiana, Damiana (Powder), Dandelion (Dandelion Root Powder Roasted), Dandelion (Leaf), Dandelion (Root), Dandelion (Root Powder), Dandelion (Root, Roasted), Darjeeling Tea, Devils claw, Devils claw (Powder), Dill (Dill Weed), Dill (Seed), Dill Seed Essential Oil, Dong Quai (Powder), Dong Quai (Root), Douglas Fir Essential Oil, Douglas Fir Hydrosol, Dried Apples (Sweet Apples, Diced), Dried Blueberries (Fragments), Dried Coconut (Flakes), Dried Lemon (Diced), Dried Maqui Berries, Dried Melon (Dried Sliced Bitter Melon), Dried Orange (Diced), Dried Pears (Diced), Dried Strawberries (Fragments), Dulse (Flakes), Dulse (Powder), Earl Grey Tea, Earl Grey Tea (Green Earl Grey), Echinacea angustifolia (Root), Echinacea angustifolia (Root Powder), Echinacea purpurea (Herb), Echinacea purpurea (Herb Powder), Echinacea purpurea (Root c/s), Echinacea purpurea (Root Powder), Elderberry, Elderberry (Flower), Elderberry (Powder), Elecampane, Elecampane (Powder), Eleutherococcus (Powder), Eleutherococcus (Root), English Breakfast Tea, Epimedium (Leaf), Epimedium (Powder), Eucalyptus, Eucalyptus (Leaf Powder), Eucalyptus Essential Oil, Eucalyptus Hydrosol, Eucalyptus Lemon Essential Oil, Evening Primrose Oil, Facial Blends (Wild Rose Facial Serum), Facial Cleanser (Lemon Face Wash), Facial Toner (Wild Rose Facial Toner), Fennel (Powder), Fennel (Seed), Fennel Essential Oil, Fenugreek (Seed), Fenugreek (Seed Powder), Feverfew, Figwort, Fir Essential Oil (Fir Needle), Fir Essential Oil (Grand Fir), Flax (Flax Meal), Flax Seeds, Foti (Powder), Foti (Root), Frankincense (Powder), Frankincense (Resin), Frankincense Essential Oil, Frankincense Hydrosol, Freeze Dried Acerola (Powder), Galangal (Powder), Galangal (Root), Garam Masala, Garcinia, Garcinia (Fruit Powder), Garlic Powder (Granules), Garlic Powder (Minced), Garlic Powder (Powder), Gentian, Gentian (Powder), Gentle Oil, Geranium Essential Oil, Ginger (Root), Ginger (Root Powder), Ginger Essential Oil, Ginger Essential Oil (Fresh Ginger), Ginger Hydrosol, Ginkgo biloba, Ginkgo biloba (Powder), Ginseng (American Root Powder), Ginseng (American Root Whole), Ginseng (Asian Root Powder), Ginseng (Forest Grown Leaf), Ginseng (Forest Grown Root), Ginseng (Forest Grown Root &amp; Leaf), Ginseng (Red Ginseng Root Slices), Ginseng (Whole Red Root), Glycerin, Goat's rue, Goji (Berries (Lycii)), Goldenrod, Goldenseal (Root), Goldenseal (Root - Powder), Gotu Kola, Gotu Kola (Powder), Grain Alcohol, Grape Seed Oil, Grapefruit Essential Oil, Grapefruit peel, Grapefruit peel (Powder), Green Tea (Green Pearl), Green Tea (Green Sencha), Green Tea (Gunpowder Green), Green Tea (Jade Snail), Green Tea (Pearl), Green Tea (Snap Dragon), Green Tea (Spring Green Tea), Guar Gum (Powder), Guarana (Seed Powder), Guarana (Seed, Whole), Guduchi (Powder), Guggul Gum, Gymnema (Leaf), Gymnema (Powder), Habanero (Powder), Hair Oil (Invigorating Hair Oil), Hawthorn (Berries), Hawthorn (Berry - Powder), Hawthorn (Leaf and Flower), Hazelnut Oil, Heather Flowers, Helichrysum Essential Oil, Helichrysum Flowers, Helichrysum Fragrance, Hemp Essential Oil, Hemp Oil, Hemp Seeds, Herbal Bitters (Botanical), Herbal Bitters (Chai), Herbal Bitters (Classic), Herbal Extracts (Adapt Care Herbal Extract), Herbal Extracts (Adaptogenic Extract Bundle), Herbal Extracts (Alfalfa Herbal Extract), Herbal Extracts (American Ginseng Herbal Extract, Forest Grown, Whole Plant), Herbal Extracts (Angelica Herbal Extract), Herbal Extracts (Artichoke Herbal Extract), Herbal Extracts (Ashwagandha Herbal Extract), Herbal Extracts (Astragalus Herbal Extract), Herbal Extracts (Barberry Herbal Extract), Herbal Extracts (Black Cohosh Herbal Extract, Forest Grown), Herbal Extracts (Blessed Thistle Herbal Extract), Herbal Extracts (Blue Cohosh Herbal Extract, Forest Grown), Herbal Extracts (Blue Vervain Herbal Extract), Herbal Extracts (Boneset Herbal Extract), Herbal Extracts (Brahmi Herbal Extract), Herbal Extracts (Bupleurum Root Herbal Extract), Herbal Extracts (Burdock Herbal Extract), Herbal Extracts (Calendula Herbal Extract), Herbal Extracts (California Poppy Herbal Extract), Herbal Extracts (Calming Extract Bundle), Herbal Extracts (Cascara Sagrada Herbal Extract), Herbal Extracts (Catnip Herbal Extract), Herbal Extracts (Cayenne Herbal Extract), Herbal Extracts (Chaga Herbal Extract), Herbal Extracts (Chamomile Herbal Extract), Herbal Extracts (Chickweed Herbal Extract), Herbal Extracts (Cilantro Herbal Extract), Herbal Extracts (Cinnamon Herbal Extract), Herbal Extracts (Comfrey Root Herbal Extract), Herbal Extracts (Cornsilk Herbal Extract), Herbal Extracts (Couchgrass Herbal Extract), Herbal Extracts (Cramp Bark Herbal Extract), Herbal Extracts (Damiana Herbal Extract), Herbal Extracts (Dandelion Herbal Extract), Herbal Extracts (Devil's Claw Herbal Extract), Herbal Extracts (Dong Quai Herbal Extract), Herbal Extracts (Echinacea Root Herbal Extract), Herbal Extracts (Elcampane Herbal Extract), Herbal Extracts (Elder Ultra Herbal Extract), Herbal Extracts (Elderberry Herbal Extract), Herbal Extracts (Eleuthero Herbal Extract), Herbal Extracts (Epimedium Herbal Extract), Herbal Extracts (Female Care Herbal Extract Blend), Herbal Extracts (Fennel Herbal Extract), Herbal Extracts (Fenugreek Herbal Extract), Herbal Extracts (Feverfew Herbal Extract), Herbal Extracts (Fo-Ti Root Herbal Extract), Herbal Extracts (Garlic Herbal Extract), Herbal Extracts (Gentian Herbal Extract), Herbal Extracts (Ginger Herbal Extract), Herbal Extracts (Ginkgo Herbal Extract), Herbal Extracts (Ginseng Herbal Extract, American Forest-Grown, Whole Plant), Herbal Extracts (Goldenrod Herbal Extract), Herbal Extracts (Goldenseal Herbal Extract), Herbal Extracts (Gotu Kola Herbal Extract), Herbal Extracts (Green Tea Herbal Extract), Herbal Extracts (Head Ease Care Herbal Extract Blend), Herbal Extracts (Holy Basil (Rama) Herbal Extract), Herbal Extracts (Hops Herbal Extract), Herbal Extracts (Horehound Herbal Extract), Herbal Extracts (Horseradish Herbal Extract), Herbal Extracts (Hyssop Herbal Extract), Herbal Extracts (Immune Care Extract Bundle), Herbal Extracts (Immune Care Herbal Extract Blend), Herbal Extracts (Juniper Herbal Extract), Herbal Extracts (Kava Kava Herbal Extract), Herbal Extracts (Lady's Mantle Herbal Extract), Herbal Extracts (Lemon Balm Herbal Extract), Herbal Extracts (Licorice Herbal Extract), Herbal Extracts (Linden Herbal Extract), Herbal Extracts (Lion's Mane Herbal Extract), Herbal Extracts (Liver Care Herbal Extract Blend ), Herbal Extracts (Lobelia Herbal Extract), Herbal Extracts (Lovage Root Herbal Extract), Herbal Extracts (Maca Herbal Extract), Herbal Extracts (Maitake Herbal Extract), Herbal Extracts (Male Care Herbal Extract Blend), Herbal Extracts (Maqui Berry Herbal Extract), Herbal Extracts (Marshmallow Herbal Extract), Herbal Extracts (Meadowsweet Herbal Extract), Herbal Extracts (Memory Care Herbal Extract Blend), Herbal Extracts (Milk Thistle Herbal Extract), Herbal Extracts (Mineral Care Herbal Extract Blend), Herbal Extracts (Mood Care Herbal Extract Blend), Herbal Extracts (Motherwort Herbal Extract), Herbal Extracts (Mullein Herbal Extract), Herbal Extracts (Mushroom Care Extract Bundle), Herbal Extracts (Mushroom Care Herbal Extract Blend), Herbal Extracts (Myrrh Herbal Extract), Herbal Extracts (Nettle Leaf Herbal Extract), Herbal Extracts (Nettle Root Extract), Herbal Extracts (Nurse Me Care Herbal Extract Blend), Herbal Extracts (Oats Herbal Extract), Herbal Extracts (Olive Leaf Herbal Extract), Herbal Extracts (Oregano Herbal Extract), Herbal Extracts (Oregon Grape Herbal Extract), Herbal Extracts (Passion Flower Herbal Extract), Herbal Extracts (Plantain Herbal Extract), Herbal Extracts (Red Clover Herbal Extract), Herbal Extracts (Red Ginseng Herbal Extract), Herbal Extracts (Red Raspberry Herbal Extract), Herbal Extracts (Rehmannia Herbal Extract), Herbal Extracts (Reishi Herbal Extract), Herbal Extracts (Relax Care Herbal Extract Blend), Herbal Extracts (Rhodiola Herbal Extract), Herbal Extracts (Rosemary Herbal Extract), Herbal Extracts (Sage Herbal Extract), Herbal Extracts (Saw Palmetto Herbal Extract), Herbal Extracts (Schisandra Herbal Extract), Herbal Extracts (Shatavari Herbal Extract), Herbal Extracts (Shepherd's Purse Herbal Extract), Herbal Extracts (Skin Care Herbal Extract Blend), Herbal Extracts (Skullcap Herbal Extract), Herbal Extracts (Sleep Care Herbal Extract Blend), Herbal Extracts (Slippery Elm Herbal Extract), Herbal Extracts (Spilanthes Herbal Extract), Herbal Extracts (St. John's Wort Herbal Extract), Herbal Extracts (Starter Extract Bundle), Herbal Extracts (Tension Care Herbal Extract Blend), Herbal Extracts (Thyme Herbal Extract), Herbal Extracts (Travel Care Herbal Extract Blend), Herbal Extracts (Tummy Care Herbal Extract Blend), Herbal Extracts (Turkey Rhubarb Root Herbal Extract), Herbal Extracts (Turkey Tail Herbal Extract), Herbal Extracts (Turmeric Herbal Extract), Herbal Extracts (Ultra Echinacea Herbal Extract), Herbal Extracts (Valerian Herbal Extract), Herbal Extracts (Vitex (Chaste Tree) Herbal Extract), Herbal Extracts (White Willow Herbal Extract), Herbal Extracts (Wild Cherry Herbal Extract), Herbal Extracts (Wild Lettuce Herbal Extract), Herbal Extracts (Winter Care Herbal Extract Blend), Herbal Extracts (Wood Betony Herbal Extract), Herbal Extracts (Wormwood Herbal Extract), Herbal Extracts (Yarrow Herbal Extract), Herbal Extracts (Yellow Dock Herbal Extract), Herbal Hair Color (Henna), Herbal Hair Color (Henna Black), Herbal Hair Color (Henna Blonde), Herbal Hair Color (Henna Brown), Herbal Hair Color (Henna Chestnut), Herbal Hair Color (Henna Wine Red), Herbal Supplement (Chinese Skullcap Root), Herbal Syrups (Adapt Chocolate Elixir), Herbal Syrups (Elder Berry Syrup), Herbal Syrups (Elder Ultra Syrup), Herbal Syrups (Fuego Chocolate Elixir), Herbal Syrups (Ginger ), Herbal Syrups (River’s Rhapsody Chocolate Elixir), Hibiscus, Hibiscus (Flower, Whole), Hibiscus (Powder), Holy Basil (Krishna), Holy Basil (Rama), Holy Basil (Vana), Honeybush, Honeysuckle (Flowers), Hops, Horehound, Horse Chestnut, Horseradish (Root Powder), Horsetail, Horsetail (Powder), Hyssop, Hyssop (Anise Hyssop), Hyssop Essential Oil, Infused Oil (Arnica Herbal Oil), Infused Oil (Arnica St. John's Wort Herbal Oil), Infused Oil (Calendula Herbal Oil), Infused Oil (Comfrey Herbal Oil), Infused Oil (Ear Oil), Infused Oil (Mullein Herbal Oil), Infused Oil (Plantain Herbal Oil), Infused Oil (Poke Root Herbal Oil), Infused Oil (Rosemary Herbal Oil), Infused Oil (St. John's Wort Herbal Oil), Irish Moss, Irish Moss (Powder), Jalapeno (Flakes), Jalapeno (Powder), Jasmine Tea, Jasmine Tea (Pearls), Jojoba Oil, Juniper Berry, Juniper Berry Essential Oil, Kale (Flakes), Kale (Powder), Kelp (Powder), Kola Nut, Kombu (Flakes), Kudzu (Root), Kudzu (Root Powder), Lady's Mantle, Lavandin Essential Oil (Lavandin Grosso), Lavender (English Lavender Flowers), Lavender (Lavandin Flower Powder), Lavender (Lavandin Flowers), Lavender Essential Oil, Lavender Essential Oil (Spike), Lavender Fragrance (Lavandin), Lecithin (Powder), Lemon Balm, Lemon Balm Essentail Oil, Lemon Balm Fragrance, Lemon Essential Oil, Lemon Peel, Lemon Powder, Lemon Thyme, Lemon Thyme Hydrosol, Lemon Verbena, Lemon Verbena (Powder), Lemon Verbena Fragrance (Lemon Verbena), Lemongrass, Lemongrass (Powder), Lemongrass Essential Oil, Lentils (Red Lentil Sprouting Seed), Licorice (Chinese Licorice Root Slices (Glycyrrhiza uralensis)), Licorice (Powder), Licorice (Root), Lime Essential Oil (Lime Peel Essential Oil), Lime Fragrance, Lime Peel Powder, Linden, Litsea Essential Oil (Litsea Cubeba), Lobelia, Long Pepper, Lovage (Root), Lungwort, Maca Powder, Macadamia Oil, Mace (Powder), Mace Essential Oil, Malva, Mandarin Essential Oil, Mango Butter, Maqui Powder, Marjoram, Marjoram Essential Oil (Spanish), Marjoram Essential Oil (Sweet), Marshmallow (Leaves), Marshmallow (Powder), Marshmallow (Root), Marula Oil, Massage Oil (Massage Oil Base, unscented), Meadowsweet, Meadowsweet (Flower), Meadowsweet (Powder), Mesquite Powder, Milk Thistle (Seed), Milk Thistle (Seed Powder), Mint Essential Oil (Bergamot Mint), Mint Hydrosol (Spearmint), Mint Tea, Misc (Australian Sandalwood Roll-On), Misc (Bulgaria Rose Roll-On), Misc (Clary Sage Roll-On), Misc (Classic Essential Oil Kit), Misc (Crown Chakra Roll-On), Misc (Essential Oil Kit - Home Harmony), Misc (Essential Oil Kitt - Citrus), Misc (Essential Oil Kitt - Lovers), Misc (Eucalyptus Roll-On), Misc (Frankincense Roll-On), Misc (Green Cleaning Essential Oil Kit), Misc (Heart Chakra Roll-On), Misc (Helichrysum Roll-On), Misc (Lavender Roll-On), Misc (Lemon Balm Roll-On), Misc (Menthol Crystals), Misc (Navel Chakra Roll-On), Misc (Neroli Roll-On), Misc (Peppermint Roll-On), Misc (Roman Chamomile Roll-On), Misc (Root Chakra Roll-On), Misc (Solar Plexus Chakra Roll-On), Misc (Tea Tree Roll-On), Misc (Third Eye Chakra Roll-On), Misc (Throat Chakra Roll-On), Misc (Ylang Ylang Roll-On), Misc. Capsules (Astragalus Root), Misc. Capsules (Burdock Root), Misc. Capsules (Cayenne), Misc. Capsules (Dandelion Root), Misc. Capsules (Ginger Root), Misc. Capsules (Ginkgo Leaf), Misc. Capsules (Goldenseal Root), Misc. Capsules (Hawthorn Berry), Misc. Capsules (Kelp), Misc. Capsules (Maca Root), Misc. Capsules (Mushroom Support Brain), Misc. Capsules (Mushroom Support Immune), Misc. Capsules (Mushroom Support Stress), Misc. Capsules (Nettle Leaf), Misc. Capsules (Olive Leaf), Misc. Capsules (Rhodiola Root), Misc. Capsules (Saw Palmetto), Misc. Capsules (Slippery Elm Bark), Misc. Capsules (Spirulina), Misc. Capsules (St. John's Wort), Misc. Capsules (Triphala), Misc. Capsules (Valerian Root), Misc. Capsules (Vitex Berry), Misc. Capsules (White Willow Bark), Misc. Capsules (Winter Care), Misc. Oil (Kukui Nut Oil), Misc. Oil (Sea Buckthorn Oil), Mistletoe, Mixed Seeds (Spicy Sprouting Seeds), Moringa Leaf, Moringa Leaf (Powder), Moringa Oil, Motherwort, Mucuna Pruriens (Powder), Mugwort, Mullein (Flowers, Whole), Mullein (Leaf), Mung Bean Sprouting Seed, Muscle Rub (Muscle Care Rub), Mushroom Dried (Chaga), Mushroom Dried (Maitake), Mushroom Dried (Reishi), Mushroom Dried (Reishi Slices), Mushroom Dried (Shiitake, Whole), Mushroom Dried (Turkey Tail, Whole), Mushroom Powder (Chaga), Mushroom Powder (Chaga Extract), Mushroom Powder (Cordyceps), Mushroom Powder (Cordyceps Extract), Mushroom Powder (Lion's Mane), Mushroom Powder (Lion's Mane Extract), Mushroom Powder (Maitake Extract), Mushroom Powder (Reishi), Mushroom Powder (Reishi Extract), Mushroom Powder (Shiitake), Mushroom Powder (Turkey Tail Extract), Mustard Seeds (Brown), Mustard Seeds (Powder), Mustard Seeds (Yellow), Mustard Seeds (Yellow Ground), Myrrh (Gum Resin), Myrrh (Gum Resin Granules), Myrrh (Gum Resin Powder), Myrrh Essential Oil, Myrtle Essential Oil, Myrtle Leaf, Neem (leaf), Neem (Powder), Neem Oil (Blend), Neroli Essential Oil, Nettle (Leaf), Nettle (Leaf Powder), Nettle (Nettle Leaf US Grown), Nettle (Root), Nettle (Root - Powder), Niaouli Essential Oil, Noni Powder, Nori (Flakes), Nutmeg, Nutmeg (Powder), Nutmeg Essential Oil, Oat Tops, Oatstraw, Oatstraw (Powder), Olive leaf, Olive leaf (Powder), Olive Oil, Olive Oil, Onion (Granules), Onion (Minced), Onion Powder (Powder), Oolong Tea, Oolong Tea (Formosa Oolong Tea), Oolong Tea (Light), Opopanax (Resin), Opopanax Essential Oil, Orange Essential Oil (Blood Orange Essential Oil), Orange Fragrance (Blood Orange Hydrosol), Orange Peel, Orange Peel (Bitter), Orange Powder, Oregano, Oregano (Mexican Oregano Leaf), Oregano (Powder), Oregano Essential Oil, Oregon Grape (Root), Oregon Grape (Root Powder), Orris Root, Orris Root (Root Powder), Osha Root, Osha Root (Whole), Palmarosa Essential Oil, Papaya Leaf, Paprika, Paprika (Powder - Smoked), Parsley, Parsley (Root), Passionflower, Passionflower (Powder), Patchouli Essential Oil, Patchouli Leaf, Penny Royal, Peony (Root - White), Peppercorn (Black), Peppercorn (Green), Peppercorn (Long), Peppercorn (Pink), Peppercorn (Rainbow), Peppercorn (Smoked), Peppercorn (White), Peppercorn Essential Oil (Pink), Peppermint (Leaf), Peppermint Essential Oil, Peppermint Fragrance, Peppermint Powder, Periwinkle, Personal Care - Carnauba Wax, Petitgrain Essential Oil, Petitgrain Essential Oil (Combava Petitgrain), Plantain (Leaf), Plantain (Powder), Poke (Root), Poke (Root Powder), Pomegranate Seed Oil, Ponderosa Pine Fragrance, Poppy Seed, Psyllium husk, Psyllium husk (Powder), Psyllium Seed, Psyllium Seed (Powder), Pumpkin Seed Oil, Radish Seeds (Daikon Radish Sprouting Seed), Radish Seeds (Rambo Radish Sprouting Seed), Raspberry Leaf, Raspberry Seed Oil, Ravensara Essential Oil, Red Clover, Red Clover (Blossom), Red Clover Seeds (Red Clover Sprouting Seed), Red Wine Vinegar, Rehmannia (Root), Rehmannia (Root Slices), Rhodiola (Root), Rhodiola (Root Powder), Rice Starch, Rooibos Tea (Coconut Rooibos), Rooibos Tea (Green), Rooibos Tea (Red), Rooibos Tea (Rooibos Earl Grey), Rooibos Tea (Vanilla), Rose (Pink - Powder), Rose (Pink - Whole), Rose (Pink Petals), Rose (Red ), Rose Essential Oil (Rose Essential Oil, Bulgarian), Rose Fragrance, Rose Fragrance (White Rose Hydrosol), Rose Geranium Fragrance, Rose Hip, Rose Hip (Powder), Rosebuds (Whole), Rosehip Oil (Rosehip Seed Oil), Rosemary, Rosemary (Powder), Rosemary Essential Oil, Rosemary Fragrance, Rue, Sacha Inchi Oil, Safflower Oil, Safflowers, Saffron, Sage (Red Sage (Dan Shen) Root), Sage (Sage Leaf), Sage (Sage Leaf US Grown), Sage (White Sage Bundle), Sage (White Sage, Cultivated Powder), Sage (White Sage, Cultivated Whole), Sage Essential Oil, Sage Hydrosol, Sage Hydrosol (White Sage Hydrosol), Sandalwood Essential Oil (Australian), Savory (Summer Savory), Savory (Winter Savory), Savory Essential Oil, Saw palmetto, Saw palmetto (Powder), Schisandra (Berries), Schisandra (Powder), Scotch Pine Essential Oil, Sea Buckthorn Powder, Sea Lettuce, Self Heal, Senna (leaf powder), Senna (Leaf, Whole), Senna (pods whole), Sesame Oil, Sesame Seeds, Sesame Seeds (Black), Shatavari, Shatavari (Root Powder), Shea Butter (Refined), Shea Butter (Unrefined), Shea Oil (Shea Nut Oil), Sheep Sorrel (Powder), Shepherd's Purse, Skin Care (Restorative Skin Oil), Skullcap, Slippery Elm (Bark), Slippery Elm (Powder), Soap Nut, Soap Pod Powder, Spearmint, Spearmint Essential Oil, Speedwell, Spikenard Essential Oil, Spilanthes, Spinach (Flakes), Spinach Powder, Spirulina, St. John's Wort, St. John's Wort (Powder), St. Johns Wort Essential Oil, St. John's Wort Hydrosol, Stearic Acid, Stevia (Leaf), Stevia (Leaf Powder), Strawberry leaf, Sumac (Berry Powder), Sunflower Oil (Sweet), Sweet Orange Essential Oil, Sweet Woodruff, Sweetgrass Hydrosol, Szechuan Pepper, Tamanu Oil, Tangerine Essential Oil, Tansy, Tapioca Starch, Tarragon, Tarragon Essential Oil, Tea (Dark Roast Yaupon), Tea Tree Essential Oil, Tea Various (Classic Chai), Tea Various (Dao Ren), Tea Various (Genmaicha), Tea Various (Guayusa), Tea Various (Herbal Coffee Tea), Tea Various (Herbal Sampler), Tea Various (Houjicha), Tea Various (Iced Sampler), Tea Various (Kukicha Twig), Tea Various (Lapsang Souchong), Tea Various (Lemon), Tea Various (Matcha), Tea Various (Persephone's Blend), Tea Various (Premium Sampler), Tea Various (Pu'erh), Tea Various (White Peony), Tea Various (White Silver Needles), Thyme, Thyme Essential Oil, Tonic (Fire Cider - Classic), Tonic (Fire Cider - Turmeric), Tonka Beans, Tribulus (Fruit Powder), Tribulus (Fruit Whole), Triphala Guggulu (Powder), Triphala Powder (Powder), Tulsi (Kapoor US Grown), Turkey Rhubarb (Root), Turkey Rhubarb (Root Powder), Turmeric (Powder), Turmeric (Root), Turmeric Essential Oil, Turmeric Hydrosol, Uva Ursi, Valerian, Valerian (Root Powder), Vanilla Bean, Vanilla Bean (Powder), Vanilla Essential Oil (Absolute), Vetiver Essential Oil, Violet Leaf, Vitex (Vitex Berries, Whole), Vitex (Vitex Berry Powder), Vitex Essential Oil, Wakame (Flakes), Walnut Leaf, Wheat Germ Oil, Wheat Grass (Powder), Wheat Grass (Seed), Wheatgrass Sprouting Seed, White pepper, White pepper (Ground), White pepper (Powder), White Tea (Kumaon), White willow bark, White willow bark (Powder), White Wine Vinegar, Wild cherry bark, Wild cherry bark (Powder), Wild lettuce, Wintergreen Essential Oil, Witch Hazel Extract, Wood Betony, Wormwood, Wormwood (Powder), Yarrow (Leaf and Flower), Yarrow (Powder), Yarrow Blue Essential Oil, Yarrow Fragrance, Yellow dock (Root), Yellow dock (Root Powder), Yerba Mate, Yerba Mate (Roasted), Ylang Ylang Essential Oil</t>
  </si>
  <si>
    <t>Seasonings: Bay leaves, Cayenne peppers, Chili de Arbor, Garlic, Oregano, Rosemary, Thyme, Sweet Leaf Basil, Chili Powder, Ground Cinnamon, Cinnamon Sticks, Whole Cloves, Cumin Seeds, Curry Powder, Dill Weeds, Garlic, Garlic Powder, Garlic Salt, Herbes de Provence Blend, Italian Seasoning Blend, Lemongrass, Lemon Pepper Blend, Onion Flakes, Onion Salt, Ground Paprika, Parsley, Black Medium Grind Pepper; Processed  Items: Persimmon sorbet; Preservatives/Extracts/Flavors: Apple Jam, Nectarine Jam (hot), Nectarine Jam, Peach Jam (hot), Peach Jam, Persimmon Jam, Plum Jam (hot), Plum Jam, Strawberry Jam, Pomegranate Jelly, Vegan Honey; Other Grains, Pastas and Cereals: Barley (hulled), Barley (pearled), Wheat Flour, White Flour, Basmati Brown Rice, Long Grain Rice, Short Grain Rice, Sweet Brown Rice; Oils &amp; Oleoresins: Olive Oil (Extra Virgin Filtered), Olive Oil (Extra Virgin Unfiltered), Olive Oil (Extra Virgin with Balsamic and Herbs), Olive Oil (Extra Virgin with Balsamic, Peppers, and Herbs), Olive Oil (Extra Virgin with Balsamic and Roasted Garlic), Olive Oil (Extra Virgin with Basil), Olive Oil (Extra Virgin with Basil and Chili), Olive Oil (Extra Virgin with Basil and Garlic), Olive Oil (Extra Virgin with Garlic and Hot Peppers), Olive Oil (Extra Virgin with Italian Herbs), Olive Oil (Extra Virgin with Kaffar Lime), Olive Oil (Extra Virgin with Lavender), Olive Oil (Extra Virgin with Lemon), Olive Oil (Extra Virgin with Lemon and Garlic), Olive Oil (Extra Virgin with Lemon and Peppers), Olive Oil (Extra Virgin with Mixed Herbs and Lemons), Olive Oil (Extra Virgin with Rosemary), Olive Oil (Extra Virgin with Rosemary and Roasted Garlic), Sesame Oil, Soybean Oil; Nuts/Seeds: Peanuts, Pistachios, Walnuts (caramel), Walnuts (sprouted), Walnuts (sprouted with sea salt); Fruits/Vegetables: Almond Stuffed Olives, Black Olives, Black Olives with Jalapeno, Dried Olives, Garlic Spicy Stuffed Olives, Garlic Stuffed Olives, Pitted Green Olives, Habanero Stuffed Olives, Jalapeno and Garlic Double Stuffed Olives, Jalapeno Stuffed Olives, Hot and Spicy Olives, Pitted with Roasted Garlic and Basil Olives, Spicy with Jalapeno and Garlic Olives, Whole Olives, Olives with Garlic and Oregano, Olives with Habanero, Olives with Hot Peppers, Olives with Hot Peppers and Garlic, Olives with Hot Peppers Sicilian Style, Olives with Lemons, Olives with Lemons and Garlic, Olives with Lemons Peppers and Roasted Garlic, Olives with Mixed Herbs, Olives with Roasted Garlic and Basil, Apple Crunch, Apples (freeze dried), Apple Rings, Garlic (minced, frozen), Goji (dried), Goji (freeze dried), Grapes (frozen), Jujube (dried), Nectarines (dried), Peaches (dried), Peaches (freeze dried), Pear Rings, Persimmons (dried), Persimmons (freeze dried), Plums (freeze dried), Strawberries (frozen), Wheat Grass Juice (frozen), Cranberries (dried), Nectarines (dried spicy), Nectarines (wrap), Peaches (dried, spicy), Persimmons (wrap), Plums (wrap), Raisins, Strawberries (wrap), Tomatoes (dried), Zucchinis (chips, spicy), Apple Juice, Grape Juice, Pear Juice, Pine Needle Juice, Dried Olive Plum Juice, Tomato Juice, Strawberry Juice; Condiments and Sweeteners: (Olives, Citrus, Herbs Salad Dressing), (Olives, Mixed Herbs Salad Dressing), (Olives, Mixed Herbs, Walnuts Salad Dressing), Peach Balsamic Vinegar Salad Dressing, Peach Chutney with Olive Oil Salad Dressing, Strawberry Salad Dressing, Strawberry and Walnut Salad Dressing, Tomato Herb Salad Dressing, Peanut Sauce, Soy Sauce, Chili with Garlic and Tomato Hot Sauce, Chili with Garlic Xtra Hot Sauce, Sweet and Sour Sauce, Sweet and Sour Spicy Sauce, Teriyaki Sauce, Tomato Spaghetti Sauce, Apple Butter, Apple Butter (hot), Pear Butter, Artichoke and Basil Sun-dried Tomato Bruschetta, Basil Pesto in Olive Oil, Basil Pesto in Olive Oil with Walnuts, Garlic Roasted and Basil Sun-dried Tomato Bruschetta, Sun-dried Tomato Bruschetta, Sun-dried Tomato Spicy with Hot Bruschetta, Black Olive Tapenade, Green Olive Tapenade, Hot and Spicy Tapenade with Garlic, Olive Tapenade with Artichoke, Olive Tapenade with Balsamic Vinegar, Olive Tapenade with Mixed Herbs and Tomatoes, Olive Tapenade with Roasted Peppers, Olive Tapenade with Walnuts, Olive Tapenade with Spicy Walnuts; Beverage Related Products: Artichoke Leaf Tea, Cordate Houttuynia Tea, Lavender Tea, Lemon Balm Tea, Lemongrass Tea, Mulberry Leaf Tea, Peppermint Tea, Persimmon Leaf Tea, Shiso Tea, Shiso with Lemon Tea, Thyme Tea, Thyme with Lemon Tea, Apple Cinnamon Tea, Apple Tea, Eden Herbal Tea, Lemon Balm Tea, Pine Herbal Tea, Herbal Vinegar with Jalapeno and Garlic, Herbal Vinegar with Lemongrass and Garlic, Herbal Vinegar with Tarragon and Garlic, Pear Balsamic Vinegar, Strawberry Balsamic Vinegar, Fig Balsamic Vinegar; Other: Adzuki Beans, Mung Beans, Dark Chocolate Chips, Cornstarch, Tomato Ketchup, Tomato Spicy Ketchup, Kimchi, Cucumber Kimchi, Manto, Soy Wheat Milk, Blackstrap Molasses, Chili Xtra Hot with Roasted Garlic Paste, Chili Xtra Hot with Roasted Garlic and Dried Tomatoes Paste, Green Chili Xtra Hot Paste, Persimmons and Walnut Roll, Peach Preserves, Strawberry Preserves, Evaporated Cane Sugar, Peach Syrup, Strawberry Syrup, Canned Tomatoes, Dried Sun-ripened in Olive Oil with Basil Tomatoes, Dried Sun-ripened in Olive Oil with Basil and Jalapeno Tomatoes, Dried Sun-ripened in Olive Oil with Basil Oregano and Roasted Onion Tomatoes, Dried Sun-ripened in Olive Oil with Oregano Tomatoes, Trail Mix, Walnut Stuffed Dates, Nectarine Plum Nougat, Peach Plum Nougat, Cherry Plum with Pit (pickled), Garlic (pickled), Garlic with Herbs (pickled), Garlic with Hot Peppers (spicy, pickled), Garlic with Jalapeno (pickled), Garlic with Lemon (pickled), Jalapeno (pickled), Jalapeno with Garlic (pickled), Jalapeno with Lemon (pickled)</t>
  </si>
  <si>
    <t>Other Grains, Pastas and Cereals: Corn Grits, Oats (Steel Cut Oats), Puffed Spelt, Spelt Berries, Wheat (Wheat Berries); Dry/Baking Goods: Flours and Meals (All-Purpose Spelt Flour), Flours and Meals (All-Purpose Wheat Flour), Flours and Meals (Buckwheat Flour), Flours and Meals (Corn Flour), Flours and Meals (Corn Meal), Flours and Meals (Einkorn Flour), Flours and Meals (Pastry Flour), Flours and Meals (Rye Flour), Flours and Meals (Wheat Flour), Flours and Meals (Whole Grain Spelt Flour), Flours and Meals (Whole Grain Wheat Flour), Oat Groats, Rolled Oats, Spelt Bran; Other: Brokering of Shell Eggs, Grinding of whole grains, Labeling Food Products, Milling of whole grains, including rolled and steel cut oats, Packaging Food Products, Repackaging Food Products</t>
  </si>
  <si>
    <t>Other Grains, Pastas and Cereals: Beans: Baby lima, Black turtle, Garbanzo, Great northern, Dark red kidney, Navy, Pinto. Lentils: Brown, Black, French, Green, Red. Flour: Rye. Berries: Hulled Barley, Soft white winter wheat, Hard red spring wheat, Hard white wheat, Rye. Peas: Green Split, Black Eyed. Pearled barley, Hulled buckwheat, Whole yellow corn, Natural wheat bran, Multi-color Popcorn, Yellow popcorn, Brown Flax seed, Kasha Buckwheat, Yellow cornmeal, Soybeans,, Golden Flax Seed, Rye flour, Oat Flour, Oat Bran, Hulled millet, Rolled Oats, Steel Cut Oats, Oats Hulled, Rice Flour, Spelt berries, Long grain brown rice, Basmati rice, Sunflower Seeds, Multi-Color Popcorn</t>
  </si>
  <si>
    <t>Other: Amaranth seed/ Ram dhana, Bajra flour/ Atta, Barley Flour, Barley whole, Basmati rice, Black gram/Urd (Vigna sp.), Brown gram/Gram/Chana (Cicer arietinum), chana Dal, Chitra Kidney beans/Rajma (Phaseolus vulgaris), Green Gram Whole (Moong Sabut), Green gram/Moong dhuli, Indian Organic Brown Basmati Rice, Masoor Dal, Moong dal-Split, Non-Basmati Rice, Pearl Millet/Bajra, Quinoa, Ragi Flour, Ragi/Finger Millet grain, Red Kidney beans/Rajma (Phaseolus vulgaris), Red Lentil, Rice-Sona Masuri, Sorghum, Sorghum Flour, Soyabean/Soybean White, Urad Dal Split, Urad dhuli, Wheat, Wheat flour</t>
  </si>
  <si>
    <t>Other Grains, Pastas and Cereals: Pasta (ACINI DI PEPE-ORG/G/F), Pasta (CONCHIGLIETTE-ORGANIC/G/F), Pasta (CORNETTI(ELBOWS)ORG/G/F), Pasta (FUSILLI W/W ORGANIC), Pasta (LINGUINE W/W ORGANIC), Pasta (LINGUINE-ORGANIC/G/F), Pasta (MANIGOTTI 767), Pasta (ORG MEZZI RIGATONI), Pasta (ORG SEDANI RIGATI), Pasta (ORGANIC DURUM WHEAT SEMOLINA PASTA - JUMBO SHELLS), Pasta (ORGANIC FETTUCINE), Pasta (ORGANIC LINGUINE), Pasta (ORGANIC MANICOTTI), Pasta (ORGANIC SPAGHETTI), Pasta (PENNE RIG W/W ORGANIC), Pasta (PENNE RIGATE-ORGANIC/G/F), Pasta (PENNETTE-ORGANIC/G/F), Pasta (RIGATONI-ORGANIC/G/F), Pasta (RUOTE DI CARRO), Pasta (SPAGHETTI W/W ORGANIC), Pasta (SPAGHETTI-ORGANIC/G/F), Pasta (SPIRALI-ORGANIC/G/F); Oils &amp; Oleoresins: Oils (EXTRA VIRGIN OLIVE OIL ORGANIC), Oils (IT EV UNFILTERED ORGANIC); Fruits/Vegetables: Beans (ORGANIC BLACK BEANS), Beans (ORGANIC CANNELLINI), Beans (ORGANIC CHICK PEAS), Beans (ORGANIC LENTILS), Beans (ORGANIC RED KIDNEY BEANS); Beverage Related Products: BLOOD ORANGE SODA ORG, CHINOTTO ORG, CLEMENTINE / MANDARINO ORG, Cola (COLA-DECAF ORG), GINGER ALE SODA ORG, GINGER BEER SODA ORG, LEMON SODA ORG, ORANGE SODA ORG, POMEGRANATE SODA ORG, RED GRAPEFRUIT SODA ORG, TANGERINE &amp; PRICKLY PEAR ORG, Tea (GREEN TEA ORG), Tea (LEMON TEA ORG), Tea (PEACH TEA ORG); Alcohol: ORGANIC BELLINI 6/4PK ORG, ORGANIC MIMOSA 6/4PK ORG, ORGANIC SPRITZ 6/4PK ORG</t>
  </si>
  <si>
    <t>Other: Mushroom Spawn (Grain Spawn, Plug Spawn (dowels), Sawdust Spawn, Substrate Spawn, Fruiting Blocks, Petri (Pure Culture), Slants (Pure Culture), Fruiting Kits (Blue Oyster Mushroom, Golden Oyster Mushroom, Pink Oyster Mushroom))</t>
  </si>
  <si>
    <t>Other: Almonds (Blanched Sliced), Almonds (Natural Shelled), Almonds (Whole), Almonds (Raw) (Truly Raw), Apples (Dried) (Crunchables-Apples + Bananas), Apples (Dried) (Crunchables-Smart Apples), Basmati Rice (Brown), Basmati Rice (White), Beans (Garbanzo), Beans (Pinto), Black Beans, Co-packing (Client Profile Products only), Lentils, Quinoa, Quinoa (Tri-Color), Rice (Basmati), Rice (Jasmine) (Long Grain), Rice (Long Grain Brown), Rice (Wild Rice Blend), Split Peas (Green), Walnuts (Shelled Walnuts)</t>
  </si>
  <si>
    <t>Other: Beans, Chiles (Dried) (Aji Amarillo - Crushed, Flakes, Granules, Powder, Whole), Chiles (Dried) (Anaheim Chile (Red Chile, New Mexico Chile) - Crushed, Flakes, Granules, Powder, Whole), Chiles (Dried) (Ancho Chile - Crushed, Flakes, Granules, Powder, Whole), Chiles (Dried) (Bird's Eye Chile - Crushed, Flakes, Granules, Powder, Whole), Chiles (Dried) (Cayenne Chile - Crushed, Flakes, Granules, Powder, Whole), Chiles (Dried) (Chipotle Chile - Crushed, Flakes, Granules, Powder, Whole), Chiles (Dried) (Ghost Chile - Crushed, Flakes, Granules, Powder, Whole), Chiles (Dried) (Green Chile - Crushed, Flakes, Granules, Powder, Whole), Chiles (Dried) (Guajillo - Crushed, Flakes, Granules, Powder, Whole), Chiles (Dried) (Habanero Chile - Crushed, Flakes, Granules, Powder, Whole), Chiles (Dried) (Jalapeno, Green - Crushed, Flakes, Granules, Powder, Whole), Chiles (Dried) (Jalapeno, Red - Crushed, Flakes, Granules, Powder, Whole), Chiles (Dried) (Moruga Scorpion - Crushed, Flakes, Granules, Powder, Whole), Chiles (Dried) (Paprika - Crushed, Flakes, Granules, Powder, Whole), Chiles (Dried) (Paprika (Smoked) - Crushed, Flakes, Granules, Powder, Whole), Chiles (Dried) (Pasilla Chile - Crushed, Flakes, Granules, Powder, Whole), Chiles (Dried) (Red Chile - Crushed, Flakes, Granules, Powder, Whole), Chiles (Dried) (Roasted Red Pepper - Crushed, Flakes, Granules, Powder, Whole), Chiles (Dried) (Thai Bird Chile (chile whole, generic small red chile) - Crushed, Flakes, Granules, Powder, Whole), CSA Produce Box (Mixed Vegetable, Fruit, Mushroom Boxes (Wild-Harvest Excluded)), Dried Flowers, Dried Fruits (Fruits and Berries), Dried Vegetables, Extracts (Chaga - Powder), Extracts (Cordyceps - Powder), Extracts (Lion's Mane - Powder), Extracts (Reishi - Powder), Fresh Produce (Flowers), Fresh Produce (Fruits and Berries), Fresh Produce (Herbs), Fresh Produce (Vegetables), Frozen Fruits (Fruits and Berries), Grains, Herbs &amp; Spices, Mushrooms (Brown Beech (Beech Mushroom, Brown Clamshell, Hon-Shimeji) - Fresh, Frozen), Mushrooms (Chestnut Mushroom (Cinnamon Cap) - Fresh, Frozen), Mushrooms (Crimini (Agaricus, Champignon) - Fresh, Frozen), Mushrooms (King Oyster (King Trumpet, Trumpet Royale) - Fresh, Frozen), Mushrooms (Lion's Mane (Pompom Blanc) - Fresh, Frozen), Mushrooms (Maitake (Grifola frondosa), Fresh), Mushrooms (Nameko - Fresh, Frozen), Mushrooms (Nebrodini Bianco - Fresh, Frozen), Mushrooms (Oyster, Blue - Fresh, Frozen), Mushrooms (Oyster, Pink - Fresh, Frozen), Mushrooms (Oyster, Yellow - Fresh, Frozen), Mushrooms (Pioppini - Fresh, Frozen), Mushrooms (Portabella (Agaricus, Champignon) - Fresh, Frozen), Mushrooms (Reishi - Fresh, Frozen), Mushrooms (Shiitake - Fresh, Frozen), Mushrooms (White Beech (White Clamshell, Alba Clamshell, Hon-Shimeji) - Fresh, Frozen), Mushrooms (White Button Mushroom (Agaricus, Champignon) - Fresh, Frozen), Mushrooms (Dried) (Agaricus (Crimini, White Button, Champignon) - Kibble, Powder, Sliced, Whole), Mushrooms (Dried) (Almond Mushroom (Almond Agaricus) - Kibble, Powder, Sliced, Whole), Mushrooms (Dried) (Black Trumpet (Horn of Plenty, Black Chanterelle) - Kibble, Powder, Sliced, Whole), Mushrooms (Dried) (Blend - Stir-Fry Medley), Mushrooms (Dried) (Blend - Wild Forest Mushroom Melange), Mushrooms (Dried) (Brown Beech (Beech Mushroom, Brown Clamshell) - Kibble, Powder, Sliced, Whole), Mushrooms (Dried) (Chaga (Birch Conk) - Kibble, Powder, Sliced, Whole), Mushrooms (Dried) (Chanterelle - Kibble, Powder, Sliced, Whole), Mushrooms (Dried) (Cordyceps - Kibble, Powder, Sliced, Whole), Mushrooms (Dried) (Crimini (Agaricus, White Button, Champignon) - Kibble, Powder, Sliced, Whole), Mushrooms (Dried) (King Oyster (King Trumpet, Trumpet Royale) - Kibble, Powder, Sliced, Whole), Mushrooms (Dried) (Lion's Mane (Pompom Blanc) - Kibble, Powder, Sliced, Whole), Mushrooms (Dried) (Maitake (Hen of the Woods) - Kibble, Powder, Sliced, Whole), Mushrooms (Dried) (Matsutake - Kibble, Powder, Sliced, Whole), Mushrooms (Dried) (Mixed Mushrooms - Chaga, Reishi, and Turkey Tail - Kibble, Powder, Sliced, Whole), Mushrooms (Dried) (Morel - Kibble, Powder, Sliced, Whole), Mushrooms (Dried) (Nameko - Kibble, Powder, Sliced, Whole), Mushrooms (Dried) (Nebrodini Bianco - Kibble, Powder, Sliced, Whole), Mushrooms (Dried) (Oyster - Kibble, Powder, Sliced, Whole), Mushrooms (Dried) (Pioppini - Kibble, Powder, Sliced, Whole), Mushrooms (Dried) (Porcini (Boletes, Ceps) - Kibble, Powder, Sliced, Whole), Mushrooms (Dried) (Portabella (Agaricus, White Button, Champignon) - Kibble, Powder, Sliced, Whole), Mushrooms (Dried) (Reishi - Kibble, Powder, Sliced, Whole), Mushrooms (Dried) (Shiitake - Kibble, Powder, Sliced, Whole), Mushrooms (Dried) (Truffle (Chinese Truffle, Chinese Black Truffle) - Kibble, Powder, Sliced, Whole), Mushrooms (Dried) (Turkey Tail - Kibble, Powder, Sliced, Whole), Mushrooms (Dried) (White Beech (White Clamshell, Alba Clamshell) - Kibble, Powder, Sliced, Whole), Mushrooms (Dried) (Wood Ear (Black Fungus) - Kibble, Powder, Sliced, Whole), Tea</t>
  </si>
  <si>
    <t>Other: Apples, Arugula, Asparagus, Basil, Beans, Beef, Beets, Blueberries, BokChoi, Braising Greens, Broccoli, Broccoli Raab, Brussel Sprouts, Buttermilk, Cabbage, Carrots, Cauliflower, Celeriac, Celery, Chard, Cider Vinegar, Claytonia, Cold storage, Collards, Corn, Cranberries, Cream, Cress, Cukes, Dandelions, Dry storage, Eggnog, Eggplant, Eggs, Escarole, Fennel, Fermented Products, Flour, Flowers, Garlic, Ginger, Grain, Half &amp; Half, Herbs, Kale, Kefir, Ketchup, Kohlrabi, Leeks, Lettuce, Maple Syrup, Melons, Mesclun, Milk, Miso, Mochi, Mushrooms, Mustards, Natto, Onion, Pac Choi, Parsnips, Peas, Peppers, Polenta, Potatoes, Potted Herbs, Radicchio, Radishes, Raspberries, Rhubarb, Rutabaga, Salsa, Scallions, Shallots, Shoots, Sour Cream, Spigariello, Spinach, Sprouts, Squash, Sriracha, Strawberries, Sunchokes, Sweet Potatoes, Tat Soi, Tea, Tempeh, Tofu, Tomatillos, Tomato Sauce, Tomatoes, Tortillas, Turmeric, Turnips, Watermelons, Yams, Yogurt, Zucchini</t>
  </si>
  <si>
    <t>Other: Cleaning (Client Profile Products only) (Grains, Seeds), Drying (Client Profile Products only) (Grains), Flax Seed (Non-retail), Grains (Wheat ), Processing (Client Profile Products only) (Cracking Grains), Pumpkin Seed, Sesame Seed (Black and Natural), Storage (Grains), Sunflower Seed</t>
  </si>
  <si>
    <t>Other Grains, Pastas and Cereals: Rice ((RD83) Black Jasmine, Black Sticky rice, Hommali 105, RD 15, Red Jasmine rice, Red Sticky rice, Sticky rice); Health Products: Herbs (Curcuma, Turmeric - fresh, Galangal (Alpinia galanga) - fresh, Green Chili - fresh, Lemongrass (Cymbopogon citratus) - fresh, Red Chili - fresh, White Turmeric - fresh); Fruits/Vegetables: Kaffir lime (Citrus hystrix) - fresh, Vegetables (Garlic - fresh, Shallot (fresh))</t>
  </si>
  <si>
    <t>Processed  Items: Spices (Brown gram;
Raw Cotton), Vegetables (String, green beans - Ejote, Vainitas, Judías verdes, Frijoles verdes - Soy Bean); Other Grains, Pastas and Cereals: Cereal (Wheat - Trigo;
Maiz -  - Corn)</t>
  </si>
  <si>
    <t>Other Grains, Pastas and Cereals: Rice (Black rice cargo rice, Black rice paddy, By products (broken rice), By products (rice bran), Chainat (long grain rice) paddy, Chainat (long grain rice) white/brown (cargo) rice, Germinated Rice: Hommali Rice, Red Rice, Black Rice and Riceberry Rice, Half-polished Hom Mali rice, Hommali rice paddy, Hommali white/brown (cargo) rice, Mixed rice (Hommali brown rice mixed with red rice and riceberry rice), RD 15 Rice paddy, RD 15 white/brown (cargo) rice, Red rice paddy, Red rice cargo rice, Rice Berry paddy, Rice Berry cargo rice, Sticky Black rice paddy, Sticky Black rice cargo rice, Sticky Red rice paddy, Sticky Red rice cargo rice, Sticky rice paddy, Sticky rice white/brown (cargo) rice)</t>
  </si>
  <si>
    <t>Other: Vanilla Matcha Matcha Coconut Milk Raspberry Matcha Cinnamon Bun Matcha (Organic) Cream of Earl Grey Matcha (Organic) Key Lime Matcha (Organic) Organic Banana Matcha Organic Blueberry Matcha Organic Candy Cane Matcha Organic Cherry Blossom Matcha Organic Coffee Matcha Organic Gingerbread Matcha Organic Lemonade Mathca Organic Maple Matcha Organic Peach Matcha Organic Pear Matcha Organic Pina Colada Matcha Organic Pistachio Matcha Organic Pumpkin Pie Matcha Organic Strawberry Matcha Organic Sugar Cookie Matcha Organic Super Shroom Matcha Organic Toasted Marshmallow Matcha Organic Vanilla Matcha Organic Vanilla Matcha - Sugar Free Organic Watermelon Matcha Organic Guacamole Seasoning Mix Organic Mild Taco Seasoning Mix Organic Spicy Taco Seasoning Mix Organic Greens Superfood powder Organic Reds Superfood powder Organic Bone broth Organic Pumpkin Blend (Re-pack) Organic Celery Powder Organic Japanese Knotweed Powder Organic Lavender Flower Buds Organic Milk Thistle Powder Organic Pine Bark Powder Organic Raspberry Powder Organic Reishi Powder Organic Strawberry Powder Organic Creamy Vanilla - Heavenly Protein Powder Organic Dreamy Chocolate - Heavenly Protein Powder Organic Plain - Heavenly Protein Powder Buttermilk pancake and waffle mix (mezquite flour) Buttermilk pancake and waffle mix (white sonora) Organic Shichimi Togarashi Organic Vegan Beef Big Bowl of Noodles Organic Vegan Chicken Big Bowl of Noodles Organic Vegan Thai Coconut Big Bowl of Noodles Organic Vegan Thai Coconut spice blend Organic Sweetener Gold Organic Sweetener White Sugar Replacement Perfect Blend Plant-based Protein Powder - Vanilla flavored Perfect Blend, Plant-based Protein Powder - Creamy Chocolate flavored Perfect Meal powder - Chocolate Perfect Meal powder -Vanilla Organic Delicious Greens Superfood Organic Delicious Red &amp; Green Superfood for Kids Organic Grain Free Complete Plant Protein Chocolate Flavored Organic Grain Free Complete Plant Protein Vanilla Flavored Organic Green capsule blend Organic Greens Superfood Unsweetened Organic Prebiotic Fiber Organic Reds Superfood Organic Beet Powder Organic Greens + Electrolytes (Electro Green) Organic Kamut Flour Organic Super powder cocoa powder Organic Hot Chocolate Milk &amp; Cookies Whey Protein</t>
  </si>
  <si>
    <t>Processed  Items: Cereal (Amaranth Grains, Cañihua Flakes, Kiwicha Flakes, Quinoa Flakes, Quinoa Pop), Dehydrated Foods (Pineapples Dehydrated), Yacon molido, Yacon Syrup / Yacon Concentrated Juice, Mango Dehydrated; Other Grains, Pastas and Cereals: Cereal (Cañihua), Quinoa (Black Quinoa Grains, Quinoa Tricolor Grain, Red Quinoa Grains, White Quinoa / Quinua Blanca); Oils &amp; Oleoresins: Oils (Sacha Inchi Oil, Sacha Inchi Toasted / Roasted); Nuts/Seeds: Brazil Nut (Brazil nut), Pecans (Pecans in Shell, Pecans Shelled), Seeds (Chia Seed); Health Products: Herbs (Ginger Dehydrated, Ginger fresh, Oregan Leaves Dehydrated, Turmeric (curcuma) fresh, Turmeric (curcuma) flakes / Hojuelas de cúrcuma); Fruits/Vegetables: Berries (Aguaymanto / Goldenberry, Camu Camu Fresco / Fresh Camu Camu), Dehydrated Foods (Aguaymanto Deshidratado / Dehydrated Goldenberry, Banana Dehydrated, Camu Camu Deshidratado / Dehydrated Camu Camu), Lucuma Fresh Fruit, Mango, Palto / Avocado, Yacon, Powders (Banana powder, Black Maca Gelatinized Powder, Camu Camu Organic Pulp and Powder, Camu Camu Powder, Cañihua Powder, Chia Powder, Ginger Powder, Goldenberry Organic Powder, Lucuma Powder, Maca Gelatinized Powder, Maca Powder, Maiz Morado en Polvo / Purple Maiz Powder, Mesquite Organic Powder, Oregan Powder Dehydrated, Purple Corn Dried Powder, Quinoa Gelatinized Powder, Red Maca Gelatinized Powder, Red Maca Powder, Sacha Inchi Gelatinized Powder, Sacha Inchi Powder, Turmeric (curcuma) powder, Yacon Powder); Dry/Baking Goods: Flours and Meals (Gelatinized Quinoa Flour, Kiwicha Flour, Quinoa Flour); Chocolate Goods: Cacao Beans, Cacao Butter, Cacao Nibs / Cocoa Nibs, Cacao Nibs Raw, Cacao Powder, Cacao Roasted Nibs; Beverage Related Products: Coffee (Coffee Roasted ground / Café tostado y molido, Green Coffee); Alcohol: Spirits (Cacao Liquor)</t>
  </si>
  <si>
    <t>Animal Feed: Livestock Feed (Grain: Layer Rations)</t>
  </si>
  <si>
    <t>Other: Brown Raw Cane Sugar, Brown Sugar, Demerara Sugar, Golden Granulated Light Brown Sugar (P), Light Brown Sugar, Powdered Raw Cane Sugar, Powdered Sugar, Regenerative Organic Brown Raw Cane Sugar (Dark), Regenerative Organic Brown Raw Cane Sugar (Light), Regenerative Organic Certified Long Grain Brown Rice, Regenerative Organic Certified Long Grain White Rice, Regenerative Organic Raw Cane Sugar, Turbinado Sugar</t>
  </si>
  <si>
    <t>Other Grains, Pastas and Cereals: Bulgur Wheat; Oils &amp; Oleoresins: Oils (Extra Virgin Olive Oil), Oils (Extra Virgin Olive Oil); Fruits/Vegetables: Beans (White Beans), Beans (Chickpeas), Beans (Red Lentils)</t>
  </si>
  <si>
    <t>Trees/Whole Plant Products/Flowers: Seeds (MILLET), Seeds (MOHA); Processed  Items: CANOLA EXPELLER, SOYBEAN EXPELLER, SUNFLOWER EXPELLER; Other Grains, Pastas and Cereals: Barley, CANOLA SEED, CORN, Oats (OAT), POPCORN, Quinoa,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(CANOLA FLOUR), Flours and Meals (CHICKPEA FLOUR), Flours and Meals (SUNFLOWER MEAL), Flours and Meals (PEANUT FLOUR), Flours and Meals (BEAN FLOUR), Flours and Meals (SOY MEAL)</t>
  </si>
  <si>
    <t>Other Grains, Pastas and Cereals: Wheat (Bulgur (Non-Retail)); Nuts/Seeds: Pine Nuts (Pine Nuts (Non-Retail)), Poppy Seeds (Non-Retail), Sesame Seeds (Non-Retail), Sunflower Kernels (Non-Retail), Tahini (Non-Retail), Walnuts (Walnuts (Non-Retail)); Fruits/Vegetables: Berries (IQF Blackberries (Non-Retail)), IQF Apricots (Non-Retail), IQF Broccoli (Non-Retail), IQF Carrots (Non-Retail), IQF Cauliflower (Non-Retail), IQF Figs (Non-Retail), IQF Green Bell Peppers (Non-Retail), IQF Kale (Non-Retail), IQF Onions (Non-Retail), IQF Peaches (Non-Retail), IQF Pomegranate Arils (Non-Retail), IQF Red Bell Peppers (Non-Retail), IQF Spinach (Non-Retail), IQF Strawberries (Non-Retail), IQF Sweet Cherries (Non-Retail), IQF Tart (Sour) Cherries (Non-Retail), Tomato Paste (Non-Retail), Vegetables (IQF Black Mulberries (Non-Retail)); Beverage Related Products: Juice (Apple Juice Concentrate - Clear (Non-Retail)), Juice (Apple Juice Concentrate - Cloudy (Non-Retail)), Juice (Black (Purple) Carrot Juice Concentrate (Non-Retail)), Juice (Dark Sweet Cherry Juice Concentrate (Non-Retail)), Juice (Lemon Juice - NFC - Cloudy (Non-Retail)), Juice (Lemon Juice Concentrate - Cloudy (Non-Retail)), Juice (Lemon Juice Concentrate (Non-Retail)), Juice (Lemon Juice NFC - Clear (Non-Retail)), Juice (Orange Concentrate (Non-Retail)), Juice (Orange Single Serve (Non-Retail)), Juice (Pear Juice Concentrate - Clear (Non-Retail)), Juice (Pear Juice Concentrate - Cloudy (Non-Retail)), Juice (Pomegranate Juice - Clear (Non-Retail)), Juice (Pomegranate Juice - Cloudy (Non-Retail)), Juice (Pomegranate Juice Concentrate - Clear (Non-Retail)), Juice (Pomegranate Juice Concentrate - Cloudy (Non-Retail)), Juice (Pomegranate Juice NFC - Cloudy (Non-Retail)), Juice (Strawberry Juice Concentrate - Clear (Non-Retail)), Juice (Strawberry Juice Concentrate - Cloudy (Non-Retail)), Juice (Sweet Cherry Juice NFC - Clear (Non-Retail)), Juice (Sweet Cherry Juice NFC - Cloudy (Non-Retail)), Juice (Tart (Sour) Cherry Juice Concentrate - Clear (Non-Retail)), Juice (Tart (Sour) Cherry Juice Concentrate - Cloudy (Non-Retail)), Juice (Tart (Sour) Cherry Juice NFC - Cloudy (Non-Retail)), Juice (White Grape Juice Concentrate - Clear (Non-Retail)), Juice (White Grape Juice Concentrate - Cloudy (Non-Retail)), Juice (White Grape Juice NFC - Clear (Non-Retail)), Juice (White Grape Juice NFC - Cloudy (Non-Retail)), Purees (Apple Puree (Non-Retail)), Purees (Apricot Puree (Non-Retail)), Purees (Peach Puree (Non-Retail))</t>
  </si>
  <si>
    <t>Processed  Items: Dehydrated Foods (Alfalfa Leaf Juice Powder), Dehydrated Foods (Alfalfa Powder), Dehydrated Foods (Apricots), Dehydrated Foods (Banana Slices), Dehydrated Foods (Barley Grass Juice Powder), Dehydrated Foods (California Golden Fig), Dehydrated Foods (Chaga Mushroom Powder), Dehydrated Foods (Cordyceps Powder), Dehydrated Foods (Date Powder), Dehydrated Foods (Diced Apricots), Dehydrated Foods (Goji Berries), Dehydrated Foods (Lion's Mane Powder), Dehydrated Foods (Maca Root Powder), Dehydrated Foods (Maitake Mushroom Powder), Dehydrated Foods (Mango Slices), Dehydrated Foods (Mission Figs), Dehydrated Foods (Moringa Leaf Powder), Dehydrated Foods (Pitted Deglet Noor Dates), Dehydrated Foods (Raisins), Dehydrated Foods (Red Beet Powder), Dehydrated Foods (Reishi Mushroom Powder), Dehydrated Foods (Shredded Coconut), Dehydrated Foods (Soybeans), Dehydrated Foods (Wheat Grass Juice Powder), Ready to Eat Foods (Icelandic Kelp); Preservatives/Extracts/Flavors: Spices (Vanilla Beans); Other Grains, Pastas and Cereals: Buckwheat, White Hulled, Durum (Couscous), Millet, Quinoa (Quinoa), Rice (Brown Basmati Rice), Rice (Brown Rice), Rice (Long White Rice), Wheat (Hard Wheat), Wheat (Wheat Grass Powder); Nuts/Seeds: Alfalfa Seed, Almonds (Almonds), Amaranth, Hemp Hulled Seed, Pumpkin Seeds; Dry/Baking Goods: Sugar (Maple Sugar), Sugar (Raw Cane Sugar), Sugar (Sucanat); Condiments and Sweeteners: Vinegar (Apple Cider Vinegar); Beverage Related Products: Coffee (Ground Coffee), Coffee (Whole Coffee Beans), Tea (Matcha Green Tea); Other: Labeling Food Products, Repackaging Food Products</t>
  </si>
  <si>
    <t>Trees/Whole Plant Products/Flowers: Seeds (Hemp), Seeds (Hemp Chia &amp; Flax Blend); Seasonings: Seasoning Blends (Everything Bagel Blend), Seasoning Blends (Lemon Pepper), Seasoning Blends (Mesquite Rub), Seasoning Blends (Taco Seasoning); Processed  Items: Dehydrated Foods (Banana coins), Dehydrated Foods (bananas), Dehydrated Foods (Cherries Unsweetened), Dehydrated Foods (Coconut Chips toasted), Dehydrated Foods (Coconut Flakes), Dehydrated Foods (Coconut Shredded), Dehydrated Foods (Cranberries Apple Juice Sweetened), Dehydrated Foods (Cranberries Sugar Sweetened), Dehydrated Foods (Cranberries Tart Apple Juice Sweetened), Dehydrated Foods (Dates Barhi), Dehydrated Foods (Dates Chopped), Dehydrated Foods (Dates Coconut), Dehydrated Foods (Dates Deglet Noor), Dehydrated Foods (Dates Halawi), Dehydrated Foods (Dates Medjool), Dehydrated Foods (Figs Black Mission), Dehydrated Foods (Figs Turkish), Dehydrated Foods (Ginger Crystallized), Dehydrated Foods (Goji Berries), Dehydrated Foods (Goldenberries), Dehydrated Foods (Jackfruit), Dehydrated Foods (Mango), Dehydrated Foods (Mango Chili LIme), Dehydrated Foods (Pineapple Pieces), Dehydrated Foods (Pineapple Rings), Dehydrated Foods (Prunes Pitted), Dehydrated Foods (Raisins Flame), Dehydrated Foods (Raisins Golden), Dehydrated Foods (Raisins Natural Seedless), Dehydrated Foods (Raisins Seedless), Dehydrated Foods (Sun Dried Tomatoes), Dehydrated Foods (Turkish Apricots); Preservatives/Extracts/Flavors: Concentrates (Protein Whey Concentrate), Powders (Broth Beef Flavor Powder), Powders (Broth Chicken Flavor Powder), Spices (Cumin Seed Whole), Spices (Alfalfa Leaf C/S), Spices (Allspice Ground), Spices (Allspice Whole), Spices (Anise Seed Whole), Spices (Anise Star Whole), Spices (Bay Leaf Whole), Spices (Burdock Root C/S), Spices (Cajun Seasoning Blend), Spices (Caraway Seeds Whole), Spices (Cardamom Pods Green), Spices (Cardamom Seeds Ground), Spices (Cardamom Seeds Whole), Spices (Carrots 3/8" Diced), Spices (Catnip Leaf/Flower C/S), Spices (Cayenne 35,000hu), Spices (Cayenne 90,000 Hu), Spices (Celery Seed Ground), Spices (Celery Seed Whole), Spices (Chai Tea Spice Blend), Spices (Chamomile Flowers German Whole), Spices (Chicory Root Roasted Gran), Spices (Chili Pepper Chipotle Powder), Spices (Chili Powder Blend Hot), Spices (Chili Powder Blend Salt Free), Spices (Chili Powder Blend With Salt Medium), Spices (Chili Red Flakes), Spices (Cilantro Leaf C/S), Spices (Cinnamon Ground), Spices (Cinnamon Sticks 6" Whole), Spices (Cinnamon Sticks Whole 2 3/4"), Spices (Cinnamon Vietnamese), Spices (Cloves Ground), Spices (Cloves Whole), Spices (Cocoa Powder), Spices (Coriander Seed Ground), Spices (Coriander Seed Whole), Spices (Cumin Seed Ground), Spices (Curry Powder), Spices (Dandelion Root Natural C/S), Spices (Dill Seed Whole), Spices (Dill Weed), Spices (Elderberries Whole), Spices (Eucalyptus Leaf C/S), Spices (Fennel Seed Ground), Spices (Fennel Seed Whole), Spices (Fenugreek Seed), Spices (Fenugreek Seed Powder), Spices (Five Spice Blend Powder), Spices (Garlic Flakes), Spices (Garlic Granules), Spices (Garlic Minced), Spices (Garlic N Herb Blend), Spices (Garlic Powder), Spices (Garlic Salt), Spices (Ginger Root C/S), Spices (Ginger Root Ground), Spices (Guar Gum), Spices (Hawthorn Berries), Spices (Herbs De Provence Blend), Spices (Hibiscus Flowers C/S), Spices (Horseradish Root Powder), Spices (Italian Seasoning), Spices (Juniper Berries Whole), Spices (Lavender Flowers Whole), Spices (Lemon Balm Leaf), Spices (Lemon Grass), Spices (Lemon Pepper Blend), Spices (Licorice Root), Spices (Marjoram Leaf), Spices (Mesquite Grilling Rub), Spices (Mexican Seasoning Blend), Spices (Milk Thistle Seed Whole), Spices (Mulling Spice), Spices (Mustard Seed Brown Whole), Spices (Mustard Seed Yellow Ground), Spices (Mustard Seed Yellow Whole), Spices (Nettle Leaf), Spices (Nutmeg Ground), Spices (Nutmeg Whole), Spices (Oatstraw), Spices (Onion Flakes White), Spices (Onion Granules White), Spices (Onion Powder White), Spices (Oregano Leaf), Spices (Paprika Ground), Spices (Paprika Ground Smoked), Spices (Parsley Leaf Flakes), Spices (Passion Flower Herb), Spices (Pepper Black Medium Grind), Spices (Pepper Black Whole), Spices (Peppermint Leaf), Spices (Pickling Spice), Spices (Poppy Seeds), Spices (Poultry Seasoning Blend Ground), Spices (Psyllium Husk Powder), Spices (Psyllium Husk Whole), Spices (Psyllium Seed Powder), Spices (Pumpkin Pie Spice Blend), Spices (Rosehips Seedless), Spices (Rosemary Leaf Whole), Spices (Sage Leaf), Spices (Sage Leaf Rubbed), Spices (Slippery Elm Bark Powder), Spices (Spearmint Leaf), Spices (Sweet Basil Leaf C/S), Spices (Tarragon Leaf C/S), Spices (Thyme Leaf Ground), Spices (Thyme Leaf C/S), Spices (Turmeric Root Ground), Spices (Chives Dehydrated), Spices (Red Bell Peppers 3/8"); Pet Products: Pet Products (Dog Treat: Beef Jerky Recipe), Pet Products (Dog Treat: Chicken Jerky Recipe), Pet Products (Dog Treat: Turkey and Sweet Potato Recipe); Other Grains, Pastas and Cereals: Amaranth Grain, Barley (Barley Flakes), Barley (Barley Hulled), Cereal (Granola- Maple Fruit and Nut), Cereal (Granola Pistachio Mulberry), Cereal (Granola- Quinoa Coconut Mango), Cereal (Granola- Raspberry Crunch), Cereal (Granola- Tahitian Vanilla), Cereal (Granola Triple Berry), Cornmeal Blue, Cornmeal Yellow, Couscous, Couscous-Toasted Pearl, Flax Brown, Flax Golden, Millet, Oats (Oat Bran), Oats (Oats Quick Rolled), Oats (Oats Rolled), Oats (Oats Steel Cut), Oats (Oats Thick Rolled), Oats (Oats Whole (Groats)), Polenta, Popcorn White, Popcorn Yellow, Quinoa (Quinoa Flakes), Quinoa (Quinoa Tri-Color), Quinoa (Quinoa White), Rice (Rice Arborio White), Rice (Rice Black Pearl), Rice (Rice Brown Basmati), Rice (Rice Jasmine Brown), Rice (Rice Jasmine White), Rice (Rice Long Brown), Rice (Rice Long Grain White), Rice (Rice Medium Brown), Rice (Rice Short Brown), Rice (Rice Sushi California), Rice (Rice White Basmati), Rice (Rice Wild), Rice (Rice Wild Blend), Rye Flakes, Rye Whole, Spelt Whole, Wheat (Bulgur), Wheat (Wheat Berries Hard Red), Wheat (Wheat Berries Hard Winter), Wheat (Wheat Bran), Wheat (Buckwheat Brown), Wheat (Buckwheat White); Nuts/Seeds: Almonds (Almonds Dark Chocolate), Almonds (Almonds Dry Roasted Salted), Almonds (Almonds Dry Roasted Unsalted), Almonds (Almonds Lemon), Almonds (Almonds Raw Spanish), Almonds (Almonds Tamari Dry Roasted), Almonds (Almonds Whole), Cashew Nuts (Cashew Pieces), Cashew Nuts (Cashews Cocoa Dusted), Cashew Nuts (Cashews Curry), Cashew Nuts (Cashews Dill), Cashew Nuts (Cashews Everything Bagel), Cashew Nuts (Cashews Honey Roasted), Cashew Nuts (Cashews Roasted Salted), Cashew Nuts (Cashews Roasted Unsalted), Cashew Nuts (Cashews Salt and Pepper), Cashew Nuts (Cashews Sriracha Honey), Cashew Nuts (Cashews Whole), Cashew Nuts (Chia Seeds Black), Chia Seeds White, Nuts (Almonds Dragon Fruit), Nuts (Pinon Nuts), Peanuts (Peanut Splits), Peanuts (Peanuts R-S), Peanuts (Peanuts Toasted), Pecans (Pecans Native American), Pecans (Pecan Pieces Raw), Pistachios (Pistachio Raw), Pistachios (Pistachio Roasted Salted), Pumpkin Seeds Raw, Pumpkin Seeds Spicy, Sesame Seeds Black, Sesame Seeds Brown, Sesame Seeds White, Sunflower Seeds Raw, Sunflower Seeds Roasted Salted, Walnuts (Red Walnuts), Walnuts (Walnut Halves and Pieces); Fruits/Vegetables: Beans (Peas Split Green), Beans (Beans Adzuki), Beans (Beans Black Turtle), Beans (Beans Cacao), Beans (Beans Garbanzo), Beans (Beans Great Northern), Beans (Beans Kidney), Beans (Beans Mung), Beans (Beans Navy), Beans (Beans Pinto), Beans (Beans Red), Beans (Beans Refried Black Instant), Beans (Beans Refried Pinto Instant), Beans (Chili Beans Mix), Beans (Lentils Green), Beans (Lentils Red), Beans (Peas Split Yellow), Beans (Soybeans); Dry/Baking Goods: Baking Chips and Bars (Chocolate Chips Bitter Sweet), Baking Chips and Bars (Chocolate Chips Semi-Sweet), Flours and Meals (Amaranth Flour), Flours and Meals (Coconut Flour), Flours and Meals (Garbanzo Flour), Flours and Meals (Green Lentils), Flours and Meals (Spelt Flour White), Flours and Meals (Barley Flour), Flours and Meals (Millet Flour), Flours and Meals (Oat Flour), Flours and Meals (Rye Flour), Flours and Meals (Spelt Flour Brown), Flours and Meals (Wheat Flour: Golden Buffalo), Flours and Meals (Wheat Flour: Semolina), Flours and Meals (Wheat Flour: Stone Ground WW), Flours and Meals (Wheat Flour: Unbleached Unenriched White), Flours and Meals (Wheat Flour: White Strong Bread), Flours and Meals (Wheat Flour: WW Pastry), Flours and Meals (Wheat Flour: WW White Winter), Peanut Butter Stock, Powders (Peanut Butter Powder), Sugar (Coconut Sugar), Sugar (Sugar Cane); Chocolate Goods: Chocolate (Pineapple Dark Chocolate), Dark Chocolate (Coconut Dark Chocolate); Bread/Bakery/Snacks: Candy (Jolly Beans), Snack Mixes (Chews Coconut Mango Pomegranate), Snack Mixes (Chocolate Espresso Beans), Snack Mixes (Cocomels Chocolate Bites), Snack Mixes (Cocomels Coconut Milk Caramels), Snack Mixes (Energy Chunks Carob Greens), Snack Mixes (Energy Chunks Carob Spirulina), Snack Mixes (Energy Chunks Chia), Snack Mixes (Energy Chunks Chocolate Paradise), Snack Mixes (Energy Chunks Cranberry Apricot), Snack Mixes (Energy Chunks Date Flax with Turmeric), Snack Mixes (Energy Chunks Goji Cacao), Snack Mixes (Energy Chunks Lemon Pomegranate), Snack Mixes (Fruity Bears), Snack Mixes (Granola Classic), Snack Mixes (Granola Coconut Almond), Snack Mixes (Granola Coconut Grain-Free), Snack Mixes (Granola Coconut Grain-Free Hemp), Snack Mixes (Granola Coconut Grain-Free with Berries), Snack Mixes (Granola Vanilla Almond), Snack Mixes (Granola Wild Blueberry), Snack Mixes (Mix Deluxe Nut), Snack Mixes (Mix Fruit &amp; Nut Supreme), Snack Mixes (Mix Go Take A Hike), Snack Mixes (Mix Go The Distance Trail Mix), Snack Mixes (Mix Keepin’ It Real), Snack Mixes (Mix Margaret’s), Snack Mixes (Mix Seventh Heaven), Snack Mixes (Mix Snack Attack), Snack Mixes (Mix Tierra Trail Mix), Snack Mixes (Mix Tropical Fruit), Snack Mixes (Mix Tropical Fruit and Nut), Snack Mixes (NGVC CHUNKS OF ENERGY CHOCOLATE ALMOND ORG 12 OZ), Snack Mixes (NGVC CHUNKS OF ENERGY HONEY PISTACHIO ORG 12 OZ), Snack Mixes (Pretzels Greek Yogurt), Snack Mixes (Quinoa Crunch Dark Chocolate); Beverage Related Products: Tea (Earl Grey Tea Blend), Tea (English Breakfast), Tea (Gunpowder Green), Tea (Irish Breakfast), Tea (Jasmine Green), Tea (Rooibos), Tea (Yerba Mate); Baby Food: Fruit and Vegetable Snacks (Dried apples)</t>
  </si>
  <si>
    <t>Other: Amarant (Amaranthus), Bananas, Bananas, Dried, Blueberries Powder, Camu Camu (Myrciaria Dubia), Cañihua, Cañihua, Grains, Cañihua, Powder, Carob, Carob Syrup, Carob Tree, Powder (Ceratonia siliqua), Cat´s Claw (Uncaria Tomentosa), Chestnuts, Chia (Salvia Hispanica), Chia, Seeds, Cocoa, Cocoa Husk, Cocoa Liquor, Cocoa Nibs, Cocoa Powder, Coffee, Coffee Substitute Products, Cranberries, Curcuma, Ginger Dehydrated, Gingerbread, Goldenberries, Guanabana (Annona muricata), Lucuma Egg Fruit, Lucuma Egg Fruit, Dehydrated, Lucuma, Dried, Lucuma, Powder, Dried, Maca, Maize, Mangos, Medicinal Plants, Dried, Panela, Pineapple, Plantain, Flour, Plantains, Quinoa, Quinoa Popped, Sacha Inchi (Plukenetia Volubilis), Sweet Potatoes, Tara, Yacon (Smallanthus sonchifolius), Yacon Syrup</t>
  </si>
  <si>
    <t>Other: Adhathoda Vasica aqueous Extract Powder, Ajwain Powder, Ajwain Whole Seeds, Amla Aqueous Extract Powder, Amla Powder, Andrograhis Powder, Andrographis Ethanol Extract Powder, AP-Bio, Kalmcold), Ashwagandha Aqueous Extract powder (Withania Somnifera Extract), Ashwagandha Ethanol Extract Powder, Ashwapaure, Ashwagandha Powder, Ashwagandha TBC, Bacopa Aqueous extract Powder/Bacopa Extract/Bacopa Monnieri Extract, Bacopa TBC, Bacopa/Brahmi Ethanol Extract Powder (Bacopa Monneiri Extract), Bacomind, Black Cumin Powder, Black pepper powder, Black pepper TBC, Boerhavia Diffusa Powder, Brahmi /Bacopa monneiri Powder, Cardamom Powder, Cardamom TBC, Centella Asiatica Aqueous Extract Powder, Centella Asiatica Ethanol Extract Powder, Centella asiatica powder, Chamomile Tea Bag Cut, Cinnamon bark powder, CinnamonTBC, Clove Powder, Clove TBC, Coleus Powder, Coriander Powder, Coriander TBC, Fennel Powder, Fennel TBC, Fenugreek Ethanol Extract Powder, Fenugreek Powder (Methi Powder), Fenugreek TBC, Ginger Aqueous Extract Powder (Zingiber officinale Extract), Ginger powder, Ginger TBC, Glycyrrhiza Glabra Aqueous Extract Powder, Glycyrrhiza Glabra Ethanol Extract Powder, gutgard, Glycyrrhiza glabra-Licorice powder, Gotukola TBC - Centella asiatica, Gymnema Ethanol Extract Powder, Gymnema Powder, Lemon grass root powder, Lemon grass TBC, Mace Powder, Moringa Aqueous Extract Powder, Moringa oleifera leaf Powder, Moringa TBC, Neem Powder, Nutmeg Tea Bag Cut, Papaya leaves (C. Papaya) TBC, Papaya leaves Powder, Phytocee 100%, Pippali Powder - Piper longum, Psyllium Husk Powder, Ragi/ Finger Millet Grain Powder, Safflower powder, Safflower Tea Bag Cut, Shatavari aqueous Extract Powder (Asparagus Racemosus Extract), Shatavari Ethanol Extract Powder (Asparagus Racemosus), Shatavari root Powder (Asparagus racemosus), Shatavari TBC/Asparagus Racemosus TBC., Star Anise Powder, Star anise tea bag cut, Terminalia Arjuna Powder, Terminalia bellirica Aqueous Extract Powder, Terminalia bellirica powder, Terminalia chebula Aqueous Extract Powder, Terminalia chebula Powder, Tinospora Cordifolia Powder, Tribulus terrestris Ethanol Extract Powder, Tribulus terrestris Powder, Trikatu Powder, Triphala Aqueous Extract Powder, Triphala Powder, Tulsi Powder, Tulsi TBC, Tulsi/Basil Aqueous Extract Powder, Tulsi/Basil Ethanol Extract Powder, ocibest,Holixer, Ocimum Sanctum Extract, Turmeric Aqueous Extract Powder, Turmacin, Turmaforte, Turmeric Extract, Turmeric Ethanol Extract Powder, Turmacin Plus, Turmeric Plus, Turmeric powder, Turmeric TBC</t>
  </si>
  <si>
    <t>Other: Adhathoda Vasica aqueous Extract Powder, Ajwain Whole Seeds, Amla Aqueous Extract Powder, Andrograhis Powder, Andrographis Ethanol Extract Powder, AP-Bio, Kalmcold), Ashwagandha Aqueous Extract powder (Withania Somnifera Extract), Ashwagandha Ethanol Extract Powder, Ashwapaure, Ashwagandha TBC, Bacopa Aqueous extract Powder/Bacopa Extract/Bacopa Monnieri Extract, Bacopa TBC, Black Cumin Powder, Black pepper powder, Black pepper TBC, Cardamom Powder, Cardamom TBC, Centella Asiatica Aqueous Extract Powder, Centella Asiatica Ethanol Extract Powder, Centella asiatica powder, Chamomile Tea Bag Cut, Cinnamon bark powder, CinnamonTBC, Clove Powder, Clove TBC, Coleus Powder, Coriander Powder, Coriander TBC, Fennel TBC, Fenugreek Ethanol Extract Powder, Fenugreek Powder (Methi Powder), Fenugreek TBC, Ginger Aqueous Extract Powder (Zingiber officinale Extract), Ginger powder, Ginger TBC, Glycyrrhiza Glabra Aqueous Extract Powder, Glycyrrhiza glabra-Licorice powder, Gotukola TBC - Centella asiatica, Gymnema Ethanol Extract Powder, Gymnema Powder, Lemon grass root powder, Lemon grass TBC, Mace Powder, Moringa Aqueous Extract Powder, Moringa TBC, Nutmeg Tea Bag Cut, Papaya leaves (C. Papaya) TBC, Phytocee 100%, Psyllium Husk Powder, Ragi/ Finger Millet Grain Powder, Safflower powder, Safflower Tea Bag Cut, Shatavari Ethanol Extract Powder (Asparagus Racemosus), Shatavari TBC/Asparagus Racemosus TBC, Star Anise Powder, Terminalia Arjuna Powder, Terminalia bellirica Aqueous Extract Powder, Terminalia chebula Aqueous Extract Powder, Tinospora Cordifolia Powder, Tribulus terrestris Ethanol Extract Powder, Triphala Aqueous Extract Powder, Tulsi/Basil Aqueous Extract Powder, Turmeric Aqueous Extract Powder, Turmacin, Turmaforte, Turmeric Extract, Turmeric Ethanol Extract Powder, Turmacin Plus, Turmeric Plus, Turmeric powder, Turmeric TBC</t>
  </si>
  <si>
    <t>Other: Powder (Adzuki Bean Powder), Powder (Alfalfa Sprout Powder), Powder (Barley Sprout Powder), Powder (Broccoli Sprout Powder), Powder (Buckwheat Sprout Powder (No current production)), Powder (Fenugreek Sprout Powder), Powder (Kamut Powder), Powder (Millet Sprout Powder), Powder (Mung Bean Sprout Powder), Powder (Oat Sprout Powder (No current production)), Powder (Quinoa Sprout Powder), Powder (Short Grain Brown Rice Powder (No current production)), Powder (Soy Sprout Powder), Powder (Spelt Sprout Powder), Powder (Wheat Sprout Powder)</t>
  </si>
  <si>
    <t>Other: Beans (Black), Beans (Cannellini), Beans (Dark Red Kidney), Beans (Garbanzo), Beans (Lentils), Beans (Pinto), Beans (Refried Black), Beans (Refried Pinto), Coconut (Coconut Cream), Coconut (Coconut Cream (non-retail box)), Coconut (Coconut Milk), Coconut (Coconut Milk (non-retail box)), Coconut (Coconut Milk Lite), Coconut (Coconut Milk Lite (non-retail box)), Coconut (Cream (no guar gum)), Coconut (Cream (no guar gum) - 96 oz. ), Coconut (Milk  (no guar gum)), Coconut (Milk (no guar gum) - 96 oz. ), Coconut (Milk Lite (added guar gum) - 96 oz. ), Coconut (Milk Lite (no guar gum) ), Condiment (Green Sriracha Sauce), Condiment (Ketchup), Condiment (Sriracha Sauce), Condiment (Sriracha Sauce (non-retail box)), Fruit Products (Diced Bartlett Pears in Pear Juice Concentrate (4-4oz bowls)), Fruit Products (Diced Mixed Fruit in Pear Juice Concentrate (4-4oz bowls)), Fruit Products (Diced Peaches in Pear Juice Concentrate (4-4oz bowls)), Fruit Products (Peaches-Chunky (in Fruit Juice from Concentrate)), Fruit Products (Peaches-Sliced (in Fruit Juice from Concentrate)), Fruit Products (Sliced Barlett Pears (in Pear Juice from Concentrate)), Maple Syrup (Grade A - Amber Color), Maple Syrup (Grade A - Dark Color), Maple Syrup (Grade A - Very Dark Color), Mustard (Dijon), Mustard (Honey), Mustard (Horseradish), Mustard (Stoneground), Mustard (Yellow), Noodles (Pad Thai Noodles, Black), Noodles (Pad Thai Noodles, Brown), Noodles (Pad Thai Noodles, Red), Noodles (Pad Thai Noodles, White), Pasta (Angel Hair), Pasta (Bowties), Pasta (Cavatappi), Pasta (Fettuccine), Pasta (Large Elbows), Pasta (Orzo), Pasta (Penne Regatti), Pasta (Rotelli), Pasta (Sea Shells), Pasta (Small Elbows), Pasta (Spaghetti), Pasta (Wagon Wheels), Pasta (Whole Wheat Penne Regatti), Pasta (Whole Wheat Rotelli), Pasta (Whole Wheat Spaghetti), Pasta Sauce (Portabella Mushroom), Pasta Sauce (Roasted Garlic), Pasta Sauce (Tomato Basil), Pasta Sauce (Traditional Marinara), Pineapple (Chunks), Pineapple (Slices), Snack Foods (Ancient Grain Pretzels), Snack Foods (Mini Pretzels), Snack Foods (Pretzel Sticks), Tomato (Puree), Tomato Juice, Tomato Paste, Tomato Sauce, Tomatoes (Crushed) (Fire Roasted), Tomatoes (Crushed) (Peeled Tomatoes in Puree), Tomatoes (Crushed) (With Basil), Tomatoes (Diced) (Fire Roasted), Tomatoes (Diced) (In Juice No Salt), Tomatoes (Diced) (In Tomato Juice), Tomatoes (Diced) (w/ Green Chilies), Tomatoes (Ground Unpeeled), Tomatoes (Ground) (Ground Peeled), Tomatoes (Whole Peeled), Vegetables (Canned) (Green Beans Cut), Vegetables (Canned) (Hominy), Vegetables (Canned) (Peas), Vegetables (Canned) (Yellow Corn, Golden Corn), Vinegar (Apple Cider)</t>
  </si>
  <si>
    <t>Other Grains, Pastas and Cereals: Beans (Black,Cannellini/ White kidney, Dark red kidney, Garbanzo, Navy, Pinto, Red), Cereal (Spelt Bran, Whole grain cream of wheat, Wheat bran), Cereal (7 Grain, 7 Grain quick cooking, Oat bran, Rolled oats, Rolled hulless oats, Steel cut oats, Thick Rolled oats), Hulled Oats, Hulless Oats, Hulled Millet, Long grain brown rice, Red lentils, Raw full fat Soy grits, Soybeans, Whole grain amaranth, Pearled Barley, Brown Basmati Rice, Dehulled buckwheat, Whole buckwheat, Green lentils, Green split peas, Yellow split peas, Cracked wheat, Whole yellow corn, Rye grits, Yellow corn grits, Barley grits; Nuts/Seeds: Seeds (Chia, Quino), Seeds (Brown flax, Golden flax); Dry/Baking Goods: Flours and Meals (Flour: All Purpose Gold, Amaranth, Whole grain amaranth, Barley, Hulled barley, Whole buckwheat, Gold N Lite pastry, Gold N White, Golden Graham, Rye, Pumpernickel Rye, Whole spelt, White spelt, 100% whole wheat , Hard white whole wheat, Whole wheat pastry, Yellow corn Meals: Yellow corn), Flours and Meals (Flour: 6 Grain, Brown rice, Einkorn, Millet, Oat, Soy, Raw full fat Soy. Meals: Brown flax, Golden flax. Sunflower Meats), Pohonka Waffle &amp; Pancake Mix; Beverage Related Products: Juice (Crystalized Cane); Other: Berries (Hulled barley, Unhulled barley, Rye, Spelt, Hard red spring wheat, Hard white spring wheat, Soft white winter wheat), Berries (Einkorn), Pizza dough blend</t>
  </si>
  <si>
    <t>Trees/Whole Plant Products/Flowers: Seeds (Chia Seed), Seeds (Golden Flaxseed), Seeds (Sunflower Seed (Kernel)), Seeds (Amaranth (Kiwicha)), Seeds (Black quinoa), Seeds (Pumpkin Seed (AAA grade)); Processed  Items: Cacao Powder, Camu camu berry powder, Lucuma Powder, Maca Powder, Moringa leaf powder, Organic Lemongrass Powder, Purple Corn Gelatinized Powder, Ready to Eat Foods (Cacao Nibs with Yacon Syrup); Preservatives/Extracts/Flavors: Spices (Ceylon (Sri Lanka) Cinnamon Powder), Spices (Ginger Powder), Spices (Turmeric Powder), Spices (Turmeric with cinnamon black pepper and Nutmeg), Spices (White Pepper Ground), Spices (White Pepper Seed (whole)), Spices (Whole Cloves), Spices (Black Pepper Powder Fine Ground), Spices (Organic Medley Pepper whole), Spices (Organic Black Pepper Crushed); Other Grains, Pastas and Cereals: Instant Quinoa, Lentils, Mung bean, Non-Sticky Millet (Hulled), Quinoa (Tricolour Quinoa (Multi Ingredient)), Quinoa (White quinoa), Quinoa (Red quinoa), Quinoa Flakes, Quinoa Powder, Quinoa Puffs, Sticky Millet (Hulled); Oils &amp; Oleoresins: Oils (Virgin coconut oil); Fruits/Vegetables: Beans (Garbanzo Beans (Chickpeas)), Beans (Adzuki bean), Berries (Dried Goldenberries); Beverage Related Products: Green Rooibos Tea, Hibiscus and Ceylon Cinnamon Tea, Lemongrass and Ginger Tea, Rooibos tea</t>
  </si>
  <si>
    <t>Other: Amaranth gelatinized powder, Amaranth Powder, Amaranth powder OSS, Black maca gelatinized crushed, Black maca gelatinized powder, Black maca gelatinized powder capsules, Black Maca HP Gelatinized Powder, Black Maca HP OSS Powder, Black maca powder, Black Maca Powder OSS, Black quinoa gelatinized powder, Black quinoa powder, Black quinoa powder OSS, Blend Maca gelatinized and Cacao organic powder, Cacao Butter, Cacao grain/beans, Cacao Husk, Cacao Liquor, Cacao nibs raw, Cacao Powder, Cacao Roasted Nib, Camu Camu Powder ] 3 % Vit. C, Camu Camu Powder ] 5 % Vit. C / Camu camu Organic powder ] 5% Vitamina C, Camu Camu Powder ] 8 % Vit. C, Canihua gelatinized powder, Canihua OSS powder, Canihua Powder, Carob Powder, Ginger dehydrated, Ginger Dehydrated Slices Premium OSS, Ginger Dehydrated Slices Standard, Ginger Dehydrated Sundried Slices, Ginger Powder, Ginger Powder OSS, Ginger Powder OSS Sundried, Ginger Sundried Slices, Ginger Sundried Slices OSS, Goldenberry concentrated juice, Goldenberry crushed, Goldenberry dehydrated, Goldenberry organic powder, Goldenberry Syrup, Green Banana OSS Powder, Green Banana Powder, Inca Berries, Lucuma Powder, Maca Blend Powder, Maca chips OSS, Maca gelatinized chips OSS, Maca Gelatinized Crushed, Maca Gelatinized Powder, Maca Gelatinized Powder capsules, Maca gelatinized powder OSS, Maca HP dices / Maca HP Dehydrated Dices, Maca HP gelatinized crushed, Maca HP gelatinized powder, Maca HP OSS dices, Maca HP OSS gelatinized dices, Maca HP OSS gelatinized powder, Maca HP OSS powder, Maca HP OSS powder capsules, Maca HP powder, Maca Powder, Maca powder capsules, Maca powder OSS, Maca powder OSS capsules, Maca Powder Premium 4 Roots, Mango dehydrated cheeks, Mango dehydrated strips, Mesquite dried powder, Mesquite organic powder, Mesquite powder OSS, Peruvian carob /Algarrobo /Mesquite powder OSS, Physalis Dried Whole, Purple Corn Cob Powder, Purple corn dried powder, Purple corn dried powder OSS, Purple corn OSS Cob powder, Purple corn OSS grain powder, Purple Corn OSS Whole Powder, Quinoa Gelatinized Powder, Quinoa Powder, Quinoa powder OSS, Quinoa tricolor powder, Raw Cacao Butter, Red Maca Gelatinized Crushed, Red maca gelatinized powder, Red Maca HP Gelatinized Powder, Red maca powder, Red maca powder capsules, Red maca Powder OSS, Red quinoa gelatinized powder, Red quinoa powder, Red quinoa powder OSS, Ripe banana powder, Ripe banana powder OSS, Sacha inchi gelatinized powder, Sacha Inchi Oil, Sacha Inchi Powder, Sweet Potato OSS Powder, Sweet potato powder, Sweet Potato Root Dehydrated Dices/Slices, White quinoa powder, Yacon cubes, Yacon Powder, Yacon powder OSS, Yacon root powder, Yacon slices, Yacon syrup/ Yacon concentrated juice, Yellow Maca Gelatinized Crushed, yellow maca gelatinized powder, Yellow Maca Powder, Yellow Maca Powder OSS</t>
  </si>
  <si>
    <t>Other: Arugula Seeds, Arugula Seeds (Perennial), Basil Seeds (Genovese), Basil Seeds (Kapoor Tulsi), Basil Seeds (Sacred), Basil Seeds (Sweet Thai), Bean Seeds (Black Turtle), Bean Seeds (Bobis D'Albenga ), Bean Seeds (Golden Rocky ), Bean Seeds (Monte Gusto), Bean Seeds (Provider), Bean Seeds (Royal Burgundy), Bean Seeds (Seychelles), Beans Seeds (Jade), Beet Seeds (Badger Flame), Beet Seeds (Chioggia Guardsmark), Beet Seeds (Golden Grex), Beet Seeds (Sweet Dakota Bliss), Beet Seeds (Touchtone), Borage Seeds, Broccoli Seeds (De Cicco), Broccoli Seeds (Solstice), Brussels Sprouts Seeds (Darkmar), Cabbage Seeds (Amaranth cabbage seeds), Cabbage Seeds (Dottenfelder), Cabbage Seeds (January King), Cabbage Seeds (Nozaki Early Chinese Cabbage), Cabbage Seeds (Red Express), Calendula Seeds (Erfurter / Orange Zinger), Calendula Seeds (Strawberry Blonde Calendula Flower Seeds), Carrot Seeds (Dolciva), Carrot Seeds (Dragon), Carrot Seeds (Leira/Lyra ), Carrot Seeds (Milan Nantes), Carrot Seeds (Red Core Chantenay), Carrot Seeds (Scarlet Nantes), Carrot Seeds (Yellowstone), Catnip Seeds, Celery Seeds (Tango), Celosia Seeds (Flamingo Feather), Chamomile Seeds (Dyer's), Chard Seeds (Fordhook Giant), Chard Seeds (Pink Passion), Chard Seeds (Rhubarb Supreme), Chicory Seeds (Braci Ardenti Radicchio), Cilantro Seeds (Leisure), Cilantro Seeds (Pokey Joe ), Collards Seeds (Champion), Corn Seeds (Dakota Black Popcorn), Corn Seeds (Glass Gem ), Corn Seeds (Painted Hill), Corn Seeds (Top Hat), Corn Seeds (Who Gets Kissed), Cucumber Seeds (Chicago Pickling), Cucumber Seeds (Cucamelon / Mexican Sour Gherkin), Cucumber Seeds (Early Fortune), Cucumber Seeds (Green Finger), Cucumber Seeds (Lemon), Cucumber Seeds (Shintokiwa), Cucumber Seeds (South Wind), Dill Seeds (Bouquet Dill Seeds), Eggplant Seeds (Diamond), Eggplant Seeds (Pingtung Long), Fennel Seeds (Bronze), Flower Seeds (Bee Balm), Flower Seeds (Charlottesville Old Monticello Poppy), Flower Seeds (Dyer's Coreopsis), Flower Seeds (Painter's Palette Gaillardia ), Garlic Seeds, Garlic Seeds (Music), Hemp Seeds (Baox), Kale Seeds (Blue Star Gai Lan), Kale Seeds (Curly Roja), Kale Seeds (Dazzling Blue), Kale Seeds (Siber Frill), Kohlrabi Seeds (Azur Star), Leek Seed (King Richards), Lettuce Seeds (Forellenschluss), Lettuce Seeds (Jericho), Lettuce Seeds (Joker), Lettuce Seeds (Linqua Di Canarino), Lettuce Seeds (Little Gem), Lettuce Seeds (Maule's Philadelphia), Lettuce Seeds (Mayan Jaguar), Lettuce Seeds (Red Iceberg), Lettuce Seeds (Ruby Zoisite), Lettuce Seeds (Sierra), Lettuce Seeds (Vit Mache), Marigold Seeds (Queen Sophia), Melon Seeds (Dakota Sister), Melon Seeds (Emerald Gem ), Melon Seeds (Trifecta), Mustard Seeds (Chijimisai Mustard Green Seeds), Mustard Seeds (Mizuna), Mustard Seeds (Purple Osaka), Mustard Seeds (Ruby Streaks), Nasturtium Seeds (Nasturtium Blend Seeds (Flower)), Nettle Seeds, Nigella Seeds (Miss Jekyll Blue Flower), Okra Seeds (Burgandy), Okra Seeds (Red Okra 98), Onion Seeds (Clear Dawn), Onion Seeds (Clear Dawn Onion ), Onion Seeds (Rossa Di Milano), Onion Seeds (Yellow Cipollini), Oregano Seeds (Greek), Pak Choi (King Richards), Pak Choi (Luck Dragon), Parsley Seeds (Einfache Schnitt 3 ), Parsley Seeds (Krausa), Parsley Seeds (Moss Curled ), Parsnip Seeds (Halblange), Pea Seeds (Record), Pea Seeds (Sugar Magnolia), Pea Seeds (Sugar Snap), Pepper Seeds (Ancho Poblano), Pepper Seeds (Chocolate Cake), Pepper Seeds (Doe Hill), Pepper Seeds (Fatalii), Pepper Seeds (Gatherer's Gold), Pepper Seeds (Shishito), Pepper Seeds (Tempequino Serrano), Pepper Seeds (Thai Bird's Eye), Pumpkin Seeds (W.C. Giant), Pumpkin Seeds (Winter Luxury), Quinoa Seeds (Redhead), Quinoa Seeds (Taiwanese), Radish Seeds (Cherry Belle), Radish Seeds (French Breakfast), Radish Seeds (Watermelon), Rye Grain Seeds (Winter), Sage Seeds (Common), Scabiosa Seeds (Deep Red), Scallion Seeds (Evergreen Hardy), Seed (Japanese Indigo), Spinach Seeds (Butterflay), Spinach Seeds (Good King Henry), Squash Seeds (Butterbush), Squash Seeds (Candystick Delicata), Squash Seeds (Gold Pattypan), Squash Seeds (Golden Bush Scallop), Squash Seeds (Rheinau Gold), Squash Seeds (Thelma Saunder), Sunflower Seeds (Ring of Fire), Sunflower Seeds (Soraya), Sunflower Seeds (Taiyo), Sunflower Seeds (Tarahumara), Sunflower Seeds (Valentine), Thyme Seeds, Tomatillo Seeds (Morado), Tomatillo Seeds (Verde), Tomato Seeds (Amish Paste), Tomato Seeds (Black Cherry), Tomato Seeds (Blush), Tomato Seeds (Brandywine), Tomato Seeds (Cherokee Purple), Tomato Seeds (Early Detroit), Tomato Seeds (Gold Currant), Tomato Seeds (Orange Banana), Tomato Seeds (Paul Robeson), Tomato Seeds (Pink Berkeley Tie Die), Tomato Seeds (Pruden's Purple), Tomato Seeds (Rosella Purple), Tomato Seeds (Solar Flare), Tomato Seeds (Super Snacks), Tomato Seeds (Valencia), Tomato Seeds (Wisconsin 55), Vetch Seeds (Hairy), Watermelon Seeds (Chou Cheh), Watermelon Seeds (Early Moonbeam), Watermelon Seeds (Sweet Dakota Rose), Watermelon Seeds (Sweet Siberian), Winter Squash Seed (Brulee Butternut), Winter Squash Seed (Burgess Buttercup), Zinnia Seeds (Jim Baggett's Choice Mix), Zinnia Seeds (Scarlet Flame), Zucchini Seeds (Dark Star)</t>
  </si>
  <si>
    <t>Processed  Items: GUARANA IN GRAIN; Beverage Related Products: ACAI, ACEROLA JUICE CONCENTRATE, ACEROLA POWDER, CAJU, CASHEW JUICE, DEHYDRATED ACEROLA JUICE, DEHYDRATED AND CRUSHED WATERCRESS, DEHYDRATED AND GROUND ACEROLA FIBER, ECLIPTA ALBA DESHIDRATADA Y MOLIDA, FIBRA DE CAJU, PITAHAYA, PITAHAYA JUICE, PITAHAYA PULP, PULPA DE CAJU, YERBA MATE</t>
  </si>
  <si>
    <t>Other: Ajwain, Almonds Shelled, Amaranth Flour, Amaranth Seed / Ram Dhana, Ashwagandha Powder, Bajra Flour / Atta, Barley Flour, Basmati Rice - Brown, Basmati Rice - White, Basmati Rice - White (Pusa 1121), Basmati Rice - White (Type 3), Basmatti Paddy, Bengal Gram (Chana) Flour, Bengal Gram Whole, BLACK CARGO RICE/BLACK JASMINE CARGO RICE/BLACK FRAGRANT CARGO RICE, Black Cumin Powder, Black Gram / Urd (Vigna sp.), Black Gram Split White, BLACK JASMINE RICE / BLACK RICE / BLACK FRAGRANT RICE, Black Mustard Oil, Black Pepper, Black Pepper Powder, Black Sesame, BROKEN BLACK CARGO RICE/BROKEN BLACK JASMINE CARGO RICE/BROKEN BLACK FRAGRANT CARGO RICE, BROKEN BLACK JASMINE RICE / BROKEN BLACK RICE / BROKEN BLACK FRAGRANT RICE, BROKEN BROWN JASMINE RICE/BROKEN BROWN FRAGRANT RICE/BROKEN FRAGRANT CARGO RICE/BROKEN JASMINE CARGO RICE/ BROKEN BROWN HOM MALI RICE, BROKEN RED JASMINE CARGO RICE/BROKEN RED CARGO RICE/BROKEN RED FRAGRANT CARGO RICE, BROKEN RED JASMINE RICE/BROKEN RED RICE/BROKEN RED FRAGRANT RICE, BROKEN RICE, Broken Rice, BROKEN WHITE JASMINE RICE/BROKEN WHITE FRAGRANT RICE/BROKEN WHITE HOM MALI RICE, BROKEN WHITE RICE, BROWN JASMINE RICE/BROWN FRAGRANT RICE/FRAGRANT CARGO RICE/JASMINE CARGO RICE/BROWN HOM MALI RICE, Brown Mustard, Brown Pusa Basmati Rice,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Cane Sugar, Cardamom Large (Black), Cardamom Powder, Cashew Kernel (W180), Cashew Kernel (W210), Cashew Kernel (W240), Cashew Kernel (W320), Cashew Kernel Natural Wholes, Cashew Kernels Shelled Whole, Cashew Kernels Wholes 450, Castor Meal, Chana Dal, Chia, Chickpea / Kabuli Chana (Garbanzo), Chilli Flakes, Chilli Powder, Chilli Whole, Cinnamon Bark, Cinnamon Powder, Clarified Rice Syrup DE 40, Clarified Rice Syrup DE 42, Clarified Rice Syrup DE 45, Clarified Rice Syrup DE 50, Clarified Rice Syrup DE 55, Clarified Rice Syrup DE 60, Clarified Rice Syrup DE 65, Clove Powder, Cloves, Coriander Powder, Coriander Seed, Cumin Powder, Cumin Whole, Fast Cooking Brown Rice, Fennel Powder, Fennel Seed, Fenugreek Powder (Methi) Powder, Fenugreek Seed (Methi) Seed, Flax/Linseed Meal, Flax/Linseed Oil, Ginger Flakes, Ginger Powder, Ginger Tea Bag Cut (TBC), Ginger Whole, Ginger Whole (Dried), Gram Flour, Green Gram / Chana / Moong (Vigna sp), Green Gram Split Yellow / Moong Dal - Yellow, Green Gram Whole (Moong Sabut), Groundnut / Peanut, Groundnut / Peanut Meal, Groundnut / Peanut Oil (Edible Grade), Hulled Sesame / Sesamum, Jaggery, Jaggery Powder, Lentil, Lentil Dal, Long Grain Non Basmati 15% Broken Brown Rice, Long Grain Non Basmati 15% Broken White Rice, Long Grain Non Basmati 50% Broken Brown Rice, Long Grain Non Basmati 50% Broken White Rice, Maize (Corn) Flake, Maize (Corn-Seed Quality), Maize / Corn Flour, Maize Grain, Medium Grain Non Basmati Brown Rice, Medium Grain Non Basmati White Rice, Millet Flour, Mustard, Mustard Oil (Refined), Mustard Seeds, Non Basmati Black Rice, Non-Basmati Rice, Nutmeg Powder, Nutmeg Whole, Oats Flakes, Oats Seed/Grains, Parboiled Rice, Pea Pulse (Pisum Sativum), Pigeon Pea, Poha / Chivda, Psyllium Husk (Isobgul), Psyllium Husk Powder, Psyllium Seed (Isobgul), Quinoa, Ragi / Finger Millet Grain, Red Chilli Powder, RED CURRY SOUP/SAUCE, RED JASMINE CARGO RICE/RED CARGO RICE/RED FRAGRANT CARGO RICE, RED JASMINE RICE/RED RICE/RED FRAGRANT RICE/ RED JASMINE CARGO RICE/ RED CARGO RICE/ RED FRAGRANT CARGO RICE, Red Kidney Beans / Rajma (Phaseolus vulgaris), Red Lentil, Red Rice, Rice - Sona Masuri, Rice Bran Oil, Rice Flour, Rice Protein Powder 40%, Rice Protein Powder 50%, Rice Syrup Solid (Maltodextrin) DE 20, Rice Syrup Solid (Maltodextrin) DE 25, Rice Syrup Solid (Maltodextrin) DE 30, Rice Syrup Solid (Maltodextrin) DE 40, Rice Syrup Solid (Maltodextrin) DE 45, Rice Syrup Solid (Maltodextrin) DE17, Safflower Seed Oil (Kari Seed Oil),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Sorghum, Sorghum Flour, Soya Lecithin, Soybean / Soyabean Meal, Soybean / Soyabean Oil, Soybean / Soyabean White (Seed Quality), Split Green Gram / Moong (Vigna sp.), Split Lentil, Split Pigeon Pea / Arhar / Red Gram, Stevia, Sugar Brown Natural, Suji / Semolina / Cream of Wheat, Sunflower Oil (Edible Grade), Sunflower Seed Oil, Tapioca, Turmeric Dried, Turmeric Fingers, Turmeric Flakes, Turmeric Powder, Turmeric Tea Bag Cut (TBC), Urad Dal / Split Black Gram, Walnut, Walnut Shelled, Wheat Flour, Wheat Porridge / Dalia, White Cane Sugar, WHITE JASMINE RICE/WHITE FRAGRANT RICE/WHITE HOM MALI RICE, White Pepper, White Pepper Powder, White Rice Flour, White Sesame / Sesame, White Traditional Basmati Rice</t>
  </si>
  <si>
    <t>Other: Ajwain, Almonds (Shelled), Aloe Vera, Amaranth Flour, Amaranth Seed / Ram Dhana, Arrowroot Powder, Bajra Flour / Atta, Barley Flour, Basmati Brown Rice, Basmati Brown Rice Type-3, Basmati Paddy, Basmati Paddy (HBC 19), Basmati Paddy (PB1), Basmati Paddy (Type 3), Basmati Rice-White (Pusa-1121), Basmati White Rice, Basmati White Rice Type-3, Bengal Gram (Chana) Flour / Besan (Gram Flour), Bengal Gram Split / Chana Dal, Bengal Gram Whole / Kala Chana, Black Cumin Powder, Black Gram Split White / Black Gram Split Dehusked / Urd Dal Washed, Black Gram Whole / Urad Dal Whole, Black Pepper, Black Pepper Powder, Black Sesame, Brahmi Powder, Broken Brown Rice, Broken White Rice, Brown Flaxseed, Brown Lentil, Brown Mustard, Brown Rice Flour, Brown Rice Syrup DE 26, Brown Rice Syrup DE 28, Brown Rice Syrup DE 30, Brown Rice Syrup DE 35, Brown Rice Syrup DE 40, Brown Rice Syrup DE 42, Brown Rice Syrup DE 45, Brown Rice Syrup DE 50, Brown Rice Syrup DE 55, Brown Rice Syrup DE 60, Brown Rice Syrup DE 65, Brown Traditional Basmati Rice, Cardamom Large (Black), Cardamom Powder, Cashew Kernel (Shelled Whole) / Cashew Whole, Cashew Kernels (w180), Cashew Kernels (w210), Cashew Kernels (w240), Cashew Kernels (w320), Cashew Kernels Wholes 450 / Cashew W450, Chia Seed, Chickpea / Kabuli Chana (Garbanzos), Chilli Flakes, Chilli Powder, Chilli Whole, Cinnamon (Powder), Cinnamon Bark, Clarified Rice Syrup DE 40, Clarified Rice Syrup DE 42, Clarified Rice Syrup DE 45, Clarified Rice Syrup DE 50, Clarified Rice Syrup DE 55, Clarified Rice Syrup DE 60, Clarified Rice Syrup DE 65, Clove Powder, Cloves, Coriander Powder, Coriander Seed, Cumin Powder, Cumin Whole, Dehulled Sorghum, Fast Cooking Brown Rice, Fennel Powder, Fennel Seed, Fenugreek Powder (Methi Powder), Fenugreek Seed (Methi Seed), Fine Polished Long Grain White Rice, Garlic, Garlic Flakes, Garlic Powder, Ginger Flakes, Ginger Fresh, Ginger Powder, Ginger TBC, Ginger Whole (Dried), Green Gram / Chana / Moong (Vigna sp.), Green Gram Split Yellow / Moong Dal-Yellow, Green Gram Whole /Green Gram Whole (Moong Sabut), Green Split Peas, Groundnut / Peanut, Hulled Sesame / Sesamum, Jaggery, Jaggery Powder, Lentil, Lentil Dal, Long Grain Non Basmati 15% Broken Brown Rice, Long Grain Non Basmati 15% Broken White Rice, Long Grain Non Basmati 50% Broken Brown Rice, Long Grain Non Basmati 50% Broken White Rice, Long Grain Non Basmati Brown Rice, Long Grain Non Basmati White Rice, Long Grain Parboiled Non Basmati Brown Rice, Long Grain Parboiled Non Basmati White Rice, Mace, Mace Powder, Maize (Corn) Flake, Maize / Corn Flour, Maize Grain, Medium Grain Non Basmati Brown Rice, Medium Grain Non Basmati White Rice, Medium Grain Parboiled Non Basmati Brown Rice, Medium Grain Parboiled Non Basmati White Rice, Millet Flour, Mustard, Mustard Oil (Refined), Mustard Seeds, Non Basmati 15% Broken Brown Rice, Non Basmati 15% Broken White Rice, Non Basmati Black Rice, Non Basmati Broken Brown Rice, Non Basmati Broken White Rice, Non Basmati Brown Rice, Non Basmati Brown Rice Flour, Non Basmati White Rice, Non Basmati White Rice Flour/White Rice Flour, Non-Basmati Paddy, Nutmeg Powder, Nutmeg Whole, Oats (Flakes), Oats (Seed / Grains), Onion, Onion (Powder), Onion Flakes, Paddy Traditional Basmati, Paddy-Sona Masuri / Non Basmati Sona Masoori Paddy, Parboiled Basmati Brown Rice, Parboiled Basmati White Rice, Parboiled Non Basmati Brown Rice, Parboiled Non Basmati White Rice, Parboiled Traditional Basmati Brown Rice, Parboiled Traditional Basmati White Rice, Pea Pulse (Pisum Sativum), Pearled Sorghum, Pigeon Pea, Poha / Chivda / Rice Poha, Psyllium Husk (Isobgul), Psyllium Husk Powder, Psyllium Seed (Isobgul), Pusa Basmati Brown Rice-1121, Pusa Basmati White Rice PB-1, Pusa Basmati White Rice-1121, Quinoa, Ragi / Finger Millet Grain, Red Chilli Powder, Red Kidney Beans / Rajma (Phaseolus Vulgaris), Red Lentil Split, Red Lentil Whole / Red Lentil Whole Masoor, Red Onion Powder, Red Rice, Rice Bran, Rice Protein Powder 40%, Rice Protein Powder 50%, Rice Syrup Solid (Maltodextrin) DE 17, Rice Syrup Solid (Maltodextrin) DE 20, Rice Syrup Solid (Maltodextrin) DE 40, Rice Syrup Solid (Maltodextrin) DE 45, Senna Leaves Powder, Senna Leaves Tea Bag Cut (TBC), Sesame Oil / Gingelly Oil, Sesame Seeds, Short Grain Non Basmati Brown Rice, Short Grain Non Basmati White Rice, Short Grain Sona Masuri Brown Rice, Short Grain Sona Masuri White Rice, Sona Masuri Non Basmati Brown Rice, Sona Masuri Non Basmati White Rice, Sona Masuri Rice, Sorghum (Processed Sorghum), Sorghum Flour, Soyabean / Soybean Meal, Soyabean / Soybean White (Seed Quality), Split Green Gram / Moong (Vigna sp.), Split Lentil, Split Pea Pulse, Split Pigeon Pea / Arhar / Red Gram / Toor Dal, Stabilized Rice Bran, Sugar (Brown / Natural), Suji / Semolina / Cream of Wheat, Sunflower Oil: Edible Grade, Traditional Basmati White Rice, Tulsi Powder, Turmeric Dried, Turmeric Fingers, Turmeric Flakes, Turmeric Fresh, Turmeric Powder, Turmeric TBC, Urad Dal / Split Black Gram, Virgin Coconut Oil, Walnuts: Shelled, Wheat Flour, Wheat Porridge / Dalia, White Cane Sugar, White Pepper, White Pepper Powder, White Pusa Basmati Rice, White Sesame / Sesame</t>
  </si>
  <si>
    <t>Other Grains, Pastas and Cereals: Basmati Rice,Basmati Rice - Brown,Basmati Rice - Brown (Taraori),Basmati Rice - White,Basmati Rice - White (Pusa - 1121),Basmati Rice - White (Taraori),Broken Rice,Indian Organic Basmati Rice,Non-Basmati Rice,Organic Broken Rice,Organic Brown Pusa Basmati Rice,Organic Brown Traditional Basmati Rice,Organic White Pusa Basmati Rice,Organic White Traditional Basmati Rice,Red Rice,Rice Sonamasuri,Rice Sonamasuri brown,Rice Sonamasuri Handpound,Rice Sonamasuri Semi Brown; Condiments and Sweeteners: Cardamom; Other: Ajwain,Bay leaf,Black Pepper,Cinnamon bark,Cloves,Coriander Powder,Coriander seed,Cumin Powder,Cumin Seeds,Fennel,Fenugreek seed,Ginger Powder,kalonji/nigella,Mustard,Rice Bran,Turmeric Powder</t>
  </si>
  <si>
    <t>Other Grains, Pastas and Cereals: Flours and Meals (Whole Grains or Seeds: Popped Sorghum - Organic Ghee Butter), Flours and Meals (Whole Grains or Seeds: Organic Popped Sorghum - Coconut Oil &amp; Pink Himalayan Sea Salt), Flours and Meals (Whole Grains or Seeds: DIY Popping Sorghum), Flours and Meals (Whole Grains or Seeds: DIY Black Popping Sorghum), Flours and Meals (Whole Grains or Seeds: Popped Sorghum - Organic Brown Butter Caramel with ghee butter and honey); Dairy: Butter (Butter: Georgetown Pantry Supply - Grass-Fed Ghee), Butter (Butter: Urban Gita Ghee)</t>
  </si>
  <si>
    <t>Other Grains, Pastas and Cereals: Basmati kurnai (broken rice), Basmati Paddy, Basmati Paddy (Pusa 1121), Basmati Rice – Brown, Basmati Rice – White, Basmati Rice - White (Pusa - 1121), Broken Rice, Brown traditional basmati rice, Non Basmati Brown Rice, Non Basmati Paddy, Non Basmati Rice, Non Basmati White Rice, Paddy Sona Masuri, Parboiled Basmati Rice, Parboiled Rice, Pusa Basmati Brown Rice, Pusa basmati paddy, Pusa Basmati White Rice, Red Rice, Red rice paddy, Rice flour, Rice Sonamasuri, Traditional Basmati Brown Rice, Traditional Basmati Paddy, Traditional Basmati White Rice, Parboiled Rice Brown, Parboiled Rice White.</t>
  </si>
  <si>
    <t>Other: Ajwain, Ajwain Powder, Almonds, Amaranth Flour, Amaranth Seed/ Ram Dhana, Amaranth/Amaranthus/Thotakura, Arhar Dal (Red Gram/Pigeon Pea), Basil/Tulsi, Basmati Paddy, Basmati Rice-Brown, Basmati Rice-White, Basmati Rice-White (P-1121), Bay Leaves/Tejpatta, Beaten Rice, Bengal Gram, Black Cumin, Black Gram/Urd (Vigna Sp.), Black Pepper, Black Pepper Crushed, Black Pepper Powder, Black Pepper TBC, Broken Rice, Broken Rice (Traditional Basmati), Brown Traditional Basmati Rice, Cardamom, Cardamom Powder, Cardamom TBC, Cashew Whole, Chana Dal, Chia, Chickpea/Kabuli Chana (Garbanzos), Chilli Crushed, Chilli Powder, Chilli Whole, Chilli Whole (Dry), Chitra Kidney Beans/Rajma (Phaseolus Vulgaris), Cinnamon, Cinnamon (Powder), Cinnamon Dried, Cinnamon TBC, Clove Powder, Clove TBC, Clove Whole, Cloves Crushed, Coriander Powder, Coriander Seed/Coriander Whole, Coriander TBC, Cowpea, Cumin Powder, Cumin TBC, Cumin Whole, Dried Nutmeg Shelled, Fennel Powder, Fennel/Saunf, Fenugreek, Fenugreek Powder (Methi Powder), Fenugreek Seed (Methi Seed), Flax Seed, Foxtail Millet, Garlic, Garlic Powder, Ginger (Dried, Bleached), Ginger Fresh, Ginger Powder, Ginger Sliced (Dried), Ginger TBC, Ginger Whole (Dried), Gram Flour/Besan, Green Cardamom, Green Gram Spilit Yellow/Moong Dal-Yellow, Green Gram Whole (Moong Sabut), Green Gram/Moong Dhuli, Groundnut/Peanut, Indian Curry Leaves, Indian Organic Brown Basmati Rice, Jaggery, Kasuri Methi, Kodo Millet Flour, Lentil, Maize Grain, Masoor (Lens Culinaris), Masur/Masoor Dhuli, Moong Dal-Split, Mustard, Mustard Oil (Crude), Mustard Seeds, Non-Basmati Paddy, Non-Basmati Rice, Nutmeg Powder, Nutmeg Tea Bag Cut, Nutmeg Whole, Onion Flakes, Paddy Pusa Basmati, Paddy-Sona Masuri, Parboiled Basmati Rice, Parboiled Rice (White), Pearl Millet/Bajra, Pipali, Proso Millet, Pusa Basmati Brown Rice, Quinoa, Ragi Flour, Ragi/Finger Millet Grain, Raisins/Kismis, Red Chilli (Whole), Red Gram, Red Kidney Beans/Rajma (Phaseolus Vulgaris), Red Lentil, Red Rice, Red Rice Flour, Red Rice Paddy, Rice Flour, Rice Puffed Chivda, Rice-Sona Masuri, Saffron, Sawan/Barnyard Millet, Senna Leaves, Sorghum, Split Pigeon Pea/Arhar/Red Gram, Sugar (Brown/Natural), Suji/Semolina/ Cream of Wheat, Sunflower Oil: Edible Grade, Sunflower Seeds: Of Seed Quality, Tamarind Dry (Imli), Turmeric Dried, Turmeric Fresh, Turmeric Powder, Turmeric TBC, Urad Dal Black Split, Urad Dal Split, Urad Dal/Split Black Gram, Urad Whole (Black), Vanilla (Cured), Vanilla Powder, Vanilla TBC, Wheat Flour, Wheat Grain, Wheat Porridge/Dalia, White Pepper, White Pepper Crushed, White Pepper Powder, White Pusa Basmati Rice, White Traditional Basmati Rice, Yellow Mustard</t>
  </si>
  <si>
    <t>Other: Extra Firm Style Tofu, Extra Firm Style Tofu, Extra Firm Tofu, Firm Style Tofu, Firm Style Tofu, Firm Tofu, Five Grain Tempeh, Five Grain Tempeh, Medium Firm Style Tofu, Original Tempeh, Original Tempeh, Original Tempeh, Original Tempeh, Pressed Firm Style Tofu, Super Firm Tofu</t>
  </si>
  <si>
    <t>Other: Quinoa (Chenopodium quinoa), Quinoa (Chenopodium quinoa), Quinoa flour, Quinoa flour, Quinoa, flakes, Quinoa, flakes, Quinoa, grains, Quinoa, grains</t>
  </si>
  <si>
    <t>Processed  Items: Apple jam,Mango Jams,Mango pickle,Mix fruit jam,Mix pickle ,pineapple jam; Other Grains, Pastas and Cereals: Barley Whole,Barley-Dehulled,Basmati Paddy (Taraori),Basmati Rice,Broken Rice,Brown Rice,foxtail millet,Indian Organic Brown Basmati Rice,Kodo/Kodon Millet,Little Millet,Maize (Corn),Maize Grain,Non Basmati Rice,Paddy Sona Masuri,Pearl millet / Bajra,Proso Millet,Ragi (Finger millet- other than seed),Ragi / Finger Millet Grain,Red Rice,rice hand pounded,Rice Sonamasuri,Rice Sonamasuri brown,Sawan/Banyard Millet,Unpolished rice,Wheat, Sorghum; Oils &amp; Oleoresins: Coconut Oil,Groundnut/ peanut oil (crude),Mustard oil (crude),Sunflower seed oil ,Almond Oil,Castor Oil,; Nuts/Seeds: Cashew kernels (W320),Cashew nut roasted ,Seed mix, Fennel seed,fenugreek seed (methi seed),Pumpkin Seeds,Sunflower Seeds: Of seed quality,Water Melon Seeds, Walnuts; Fruits/Vegetables: Chilli Whole,Moringa,Moringa Leaves,Red chilli (whole),tamarind/imli (t.indica, Fenugreek,Green peas; Condiments and Sweeteners: Cardamom,cardamom large (black),Cardamom seed,Dried Cardamom,Green Cardamom; Beverage Related Products: Black Tea,Tulsi Green Tea; Other: Ajwain,arhar,Barley Porridge/ Dalia,Beaten Rice,Bengal Gram Whole,Black cumin,Black Gram White whole,black gram/urd (Vigna sp.),Black Pepper,Brahmi (Bacopa monnieri),Brown gram/Gram/Chana (Cicer arietinum),buck wheat (other than seed),buck wheat (seed quality),Chia,chickpea/kabuli chana(garbanzos),Chitra Kidney Beans / Rajma (Phaseolus vulgaris),Cloves,Coriander seed/ whole,Cowpea,Cowpea Red,Cowpea White Dal,Cumin Whole ,Dried clove,dried nutmeg shelled,Fennel/ Saunf ,Green gram whole (Moong sabut),green gram/chana/moong(vigna sp.),Green gram/Moong dhuli,Groundnut/Peanut,Kabuli Chana,kalonji/nigella,Lentil,Lentil dal ,Mace,Maize/Corn Porridge (Dalia),Masoor (Lens culinaris),Masoor Dal,masur/masoor dhuli,Matki / moth bean,Mix Dal,Moth Dal,Moth Dhuli,Mustard,Mustard Black,Nutmeg whole,Pea pulse(Pisum sativum),Pea-Dried,Pigeon Pea/ Arhar Whole,Poha Flattened Rice,Poha/Chivda, Red Flattened Rice ,red kidney beans/rajma (phaseolus vulgaris),Red Lentil,Split Chickpea/Kabuli chana(garbanzos),Split gram (Cicerarietnum),split green gram/moong(vigna sp),Split lentils,Split Pigeon Pea/ Arhar/ Red Gram,Suji/Semolina/ Cream of Wheat,Urad (phasleolus mungo) Black gram,Urad Dal / Split Black Gram,urad dhuli,Urad Whole(black),Wheat Porridge/ Dalia,White Pepper,Yellow lentil,Yellow Mustard ,Aloe Vera Juice ,Amla, Ashwagandha Powder, Beat Root Powder, celery Seeds, Ginger Flakes, Ginger Powder, Jowar Porridge, Liquorice powder, Liquorice/Jesta Madhu,Mint Powder,Moringa Powder,Psyllium husk (isobgul),Rapeseed Meal,Stevia/Stevia rebaudiana powder., Almonds, Aloe vera powder,Amla Candy,Amla juice,Amla Powder,amla whole dried,Arrowroot Powder,Ashwagandha (Withania somnifera) Powder,Barley flour,Barley Grass Powder,Basil/Tulsi,Bay leaves/Tejpatta ,Bengal gram (Chana) Flour,Black gram flour,Black Pepper Powder,Buckwheat flour,Chana masala papad,Cinnamon powder ,Coriander Powder,Cumin Powder ,curry leaf/leaves,Cyperus rotundus (Nagarmootha),Dried chilli,Dried Tomato Slices,Dry Rose Petals,Eclipta alba (Bhringaraj),Fennel Powder,Fenugreek powder (Methi powder),Foxtail Millet Flour ,Fruit vinegar,Garam Masala,Garlic,Garlic chutney,Garlic Pickle,Garlic Powder,Gluten free multi grain atta ,Gram Flour/Besan,Green chilli pickle,Green Gram Powder / Moong Dal Powder,green moong dal flakes,Health Mix,Jamun juice,Jowar Flour,Kasuri Methi ,kodo Millet Flour,Lemon pickle sweet,Mace powder,Maida,Maize (Corn) Flake,Maize/Corn Flour,Mango dried,mango powder/ aamchur,millet flour,Misi atta /flour,Moong Dal Flakes,moringa dried leaves ,Multi Grain Atta,Mustard flour ,neem leaf powder,Nutmeg Powder,Oat Flour,Oats ( Flakes),Onion Powder sterilized ,pepper long/pippali(piper longum),Piper Longum (Fruit),Ragi Flour,raisins/kismis ,Red Chilli Flakes,Red Chilli Powder,Rice Bran,Rice Flakes,Rice flour,Rice Puffed,Roasted almonds,Roasted Brown Flaxseed ,Roasted Gram/Chana,Roasted moong dal,Roasted wheat,Sabji Masala,Saffron,Sattu,Sorghum Millet Popped,Spice mix (Garam Masala),Star anise ,Terminalia bellirica - Powder,Tomato Powder,Triphala Juice ,Triphala Powder,Turmeric Powder,Turmeric whole,Wheat bran,wheat flakes,Wheat Flour,Wheat Pasta,Wheatgrass powder, Ashwagandha,Bajra flour/ Atta,Cashew Whole,Cinnamon,CTC Tea,Ginger (Dried, unbleached),Green Tea,Haritaki/Harad(Terminalia chebula),Jatamansi (Nardostachys jatamansi),Malka Whole,Oats (Rolled grains),Oats (seed/grains),Rajma Jammu in brine,Terminalia bellirica/baheda,Turmeric Dried,Turmeric whole-dried., Quinoa</t>
  </si>
  <si>
    <t>Other: All Purpose Flour, Amazon Frosted Flakes Cereal, Ancient Grains Multigrain Cereal, Ancient Grains Probiotics Granola, Apple Cinnamon Instant Oatmeal, Apple Cinnamon Instant Oatmeal, Baker's Blend Flour, Blue Tortilla Chips, Blueberry Cinnamon Flax Instant Oatmeal, Blueberry Cinnamon Flax Instant Oatmeal, Blueberry Cinnamon Protein Granola, Cacao Superfood Granola, Cacao Superfood Oatmeal, Cereal Waste (Organic By-Product), Cheetah Chomps Berry Blast Cereal, Chia Plus Waffles, Choco Chimps Chocolate Cereal, Choco Chimps Chocolate Cereal 24oz, Chocolate Almond Heritage Flakes Cereal, Coconut &amp; Cashew Butter Granola, Coconut &amp; Cashew Butter Granola, Coconut Chia Granola, Coconut Chia Granola, Cranberry Almond Heritage Flakes Cereal, Crispy Rice Cereal, Dark Chocolate Chip Waffles, Día de los Muertos (Day of the Dead) Tortilla Chips, Flax Plus Cinnamon Cereal, Flax Plus Instant Oatmeal, Flax Plus Maple Pecan Crunch Cereal, Flax Plus Multibran Flakes Cereal, Flax Plus Pumpkin Raisin Crunch Cereal, Flax Plus Raisin Bran Cereal, Flax Plus Red Berry Crunch Cereal, Flax Plus Waffles, Fruit Juice Corn Flakes Cereal, Garden Salsa Tortilla Chips, Gluten Free All Purpose Flour, Gluten Free Brown Sugar Maple Instant Oatmeal, Gluten Free Chocolate Chip Instant Oatmeal, Gluten Free Crispy Rice Cereal, Gluten Free Homestyle Instant Oatmeal, Gluten Free Honey Sunrise Cereal, Gluten Free Maple Sunrise Cereal, Gluten Free Mesa Sunrise Cereal, Gluten Free Nice and Nobbly Blueberries, Raspberries, Strawberries &amp; Yogurt Chunks Granola, Gluten Free Oatmeal - Cinnamon Pumpkin Seed, Gluten Free Oatmeal - Creamy Coconut, Gluten Free Oatmeal - Superseeds &amp; Grains, Gluten Free Old Fashioned Oats, Gluten Free O's Cereal, Gluten Free Spiced Apple &amp; Flax Instant Oatmeal, Gluten Free Steel Cut Oats, Golden Turmeric Cereal, Golden Turmeric Superfood Granola, Golden Turmeric Superfood Oatmeal, Gorilla Munch Corn Puffs Cereal, Grain Free Nacho Tortilla Chips, Grain Free Sea Salt Tortilla Chips, Grain Free Squeeze of Lime Tortilla Chips, Hemp Hearts Granola, Heritage Crunch Cereal, Heritage Flakes Cereal, Heritage O's Cereal, Honey Almond Grain Free Granola, Honey Almond Granola, Honey'd Corn Flakes Cereal, Jalapeno and Lime Tortilla Chips, Keto - All Purpose Flour, Ketola Crunch Keto Blueberry &amp; Cinnamon Nut Granola, Ketola Crunch Keto Dark Chocolate Chip &amp; Nut Granola, Ketola Crunch Keto Toasted Pumpkin Seed &amp; Vanilla Nut Granola, Khorasan Wheat Flakes Cereal, Koala Crisp Chocolate Cereal, Leapin' Lemurs Peanut Butter &amp; Chocolate Puffs Cereal, Love Crunch Apple Chia Crumble Granola, Love Crunch Dark Chocolate &amp; Peanut Butter Granola, Love Crunch Dark Chocolate &amp; Peanut Butter Heart-Shaped Cereal, Love Crunch Dark Chocolate &amp; Red Berries Granola, Love Crunch Dark Chocolate &amp; Red Berries Heart-Shaped Cereal, Love Crunch Dark Chocolate and Coconut, Love Crunch Double Chocolate Chunk Granola, Love Crunch Espresso Vanilla Cream Granola, Love Crunch Organic Dark Chocolate &amp; Hazelnut Butter Granola, Love Crunch Peanut Butter and Dark Chocolate Cereal, Love Crunch Protein Dark Chocolate and Almond Butter Granola, Love Crunch Protein Peanut Butter Granola, Maple Almond Butter Protein Granola, Maple Almond Grain Free Granola, Maple Nut Instant Oatmeal, Maple Pecan Hot Oatmeal, Mesa Sunrise Cereal, Mesa Sunrise with Raisins Cereal, Millet Rice Fruit Juice Sweetened Cereal, Monarch Magic Cereal, Multigrain Oat Bran Flakes Cereal, Nacho Tortilla Chips, Old Fashioned Oats, Optimum Power Blueberry Cinnamon Flax Cereal, Original Instant Oatmeal, Panda Puffs Peanut Butter Cereal, Peanut Butter &amp; Cocoa Crunch Cereal, Peanut Butter Granola, Pumpkin Seed &amp; Flax Granola, Pumpkin Seed &amp; Flax Granola, Pumpkin Spice Waffles, Qi'a Superfood Chia, Buckwheat &amp; Hemp Topper - Cranberry Vanilla, Qi'a Superfood Chia, Buckwheat &amp; Hemp Topper - Original, Quick Cook Instant Oats, Quick Cook Steel Cut Instant Oatmeal, Quick Cook Steel Cut Oats, Red Panda Puffs Cereal, Regenerative Organic Certified Berries &amp; Cream Oatmeal, Regenerative Organic Certified Dark Chocolate and Cocoa Oatmeal, Rhino Rolls Cereal, Rice Puffs Cereal, Smart Bran Cereal, Smoothie Bowl Superfood Granola, Steel Cut Oats, Summer Berries Boost Hot Oatmeal, Summer Berries Granola, Sunrise Crunchy Cinnamon Cereal, Sunrise Crunchy Honey Cereal, Sunrise Crunchy Maple Cereal, Sunrise Crunchy Vanilla Cereal, Sweet &amp; Spicy Ranch Tortilla Chips, Thin &amp; Crispy Nacho Tortilla Chips, Thin &amp; Crispy Sea Salt Tortilla Chips, Thin &amp; Crispy Sweet &amp; Spicy Ranch Chips, Thin &amp; Crispy Twist of Lime Tortilla Chips, Turtle Splash Cereal, Vanilla, Almond &amp; Flax Granola, Variety Pack Cereal: Amazon Flakes, Cheetah Chomps, and Choco Chimps, Variety Pack Gluten Free Instant Oatmeal: Spiced Apple &amp; Flax, Homestyle, Brown Sugar Maple, Variety Pack Instant Oatmeal: Apple Cinnamon, Multigrain Raisin, Flax Plus, Maple Nut, White Tortilla Chips, Whole O's Cereal, Whole Wheat Flour, Yellow Tortilla Chips</t>
  </si>
  <si>
    <t>Other: 7 Reasons Multigrain Cereal, Almonds, Natural (Diced, Sliced), Ancient Grains Multigrain Cereal, Ancient Grains Probiotics Granola, Blueberry Cinnamon Protein Granola, Choco Chimp Chocolate Cereal, Cinna-Maple Almond Protein Cereal, Coconut Chia Granola, Crispy Rice Cereal, Flax Plus Maple Pecan Crunch Cereal, Flax Plus Multibran Flakes Cereal, Flax Plus Pumpkin Raisin Crunch Cereal, Flax Plus Raisin Bran Cereal, Flax Plus Red Berry Crunch Cereal, Frosted Berry Strawberry Toaster Pastries, Frosted Buncha Blueberries Toaster Pastries, Frosted Cherry Pomegranate Toaster Pastries, Frosted Cherry Pomegranate Toaster Pastries, Frosted Granny's Apple Pie Toaster Pastries, Frosted Lotta Chocolotta Toaster Pastries, Frosted Mmmaple Brown Sugar Toaster Pastries, Frosted Pumpkin Toaster Pastries, Frosted Razzi Raspberry Toaster Pastries, Frosted Strawberry Toaster Pastries, Frosted Wildberry Acai Toaster Pastries, Fruit Juice Corn Flakes Cereal, Gorilla Munch Corn Puffs Cereal, Hemp Hearts Granola, Heritage Crunch Cereal, Heritage Flakes Cereal, Heritage O's Cereal, Honey Almond Granola, Kamut Khorasan Wheat Flakes Cereal, Koala Crisp Chocolate Cereal, Leapin' Lemurs Peanut Butter &amp; Chocolate Puffs Cereal, Liberty Tortilla Chips, Love Crunch Apple Chia Crumble Granola, Love Crunch Dark Chocolate &amp; Peanut Butter Granola, Love Crunch Dark Chocolate &amp; Red Berries Granola, Love Crunch Dark Chocolate and Coconut, Love Crunch Double Chocolate Chunk Granola, Love Crunch Espresso Vanilla Cream Granola, Love Crunch Protein Dark Chocolate and Almond Butter Granola, Love Crunch Protein Peanut Butter Granola, Maple Almond Butter Protein Granola, Mesa Sunrise Cereal, Millet Rice Fruit Juice Sweetened Cereal, Multigrain Oat Bran Flakes Cereal, Panda Puffs Peanut Butter Cereal, Peanut Butter &amp; Cocoa Crunch Cereal, Peanut Butter Protein Cereal, Pumpkin Seed &amp; Flax Granola, Salted Corn Tortilla Chips, Smart Bran Cereal, Sunrise Crunchy Cinnamon Cereal, Sunrise Crunchy Honey Cereal, Sunrise Crunchy Maple Cereal, Sunrise Crunchy Vanilla Cereal, Tortilla Chips, Blue, Tortilla Chips, Red, Tortilla Chips, White, Tortilla Chips, Yellow, Unfrosted Berry Strawberry Toaster Pastries, Unsalted Corn Tortilla Chips, Volcanic Stone Ground Corn Tortilla Chips, Whole O's Cereal</t>
  </si>
  <si>
    <t>Preservatives/Extracts/Flavors: Chick pea protein, Fava protein, Hemp protein, Mung bean protein, Pea protein, Pea protein textured, Potato protein, Pumpkin protein, Rice (rice protein), Soybean protein, Soybean protein (textured)., Wheat (Wheat glute); Other Grains, Pastas and Cereals: Oats (Oat powder), Rice (Brown rice); Oils &amp; Oleoresins: Oils (Corn oil/Maize oil), Oils (Corn/Maize germ oil), Oils (Flax seed oil), Oils (Soybean oil), Oils (Soybean refined oil), Oils (Sunflower seed oil), Oils (Soybean crude oil), Oils (Sunflower oil), Oils (Sunflower refined oil), Rapeseed lecithin (crude), Soybean lecithin (crude), Sunflower lecithin (crude); Nuts/Seeds: Seeds (flax seed protein); Dry/Baking Goods: Milk (Soybean milk powder), Pea fiber, Powders (rice powder), Powders (Adzuki bean powder), Powders (Chick pea powder), Powders (Soybean powder), Powders (Tiger nut powder); Animal Feed: Corn/Maize germ cake/meal/expeller, Flax seed cake/meal/expeller, Livestock Feed (Corn/Maize gluten), Pumpkin seed cake/meal/expeller, Rapeseed cake/meal/expeller, Sesame cake/meal/expeller, Soybean cake/meal/expeller, Sunflower seed cake/meal/expeller</t>
  </si>
  <si>
    <t>Trees/Whole Plant Products/Flowers: Bamboo leaf*, Barley grass*, Ginkgo leaf*, Hawthorn (Crataegus spp.)-fresh, Lotus, Mongolian dandelion*, Rose hip fruits*; Processed  Items: Dehydrated Foods (Carrot Dehydrated*), Dehydrated Foods (FD (freeze-dried) bananas (diced/powder/sliced)), Dehydrated Foods (Frozen dried banana (diced/sliced/powder)*), Dehydrated Foods (Potato Dehydrated*), Dehydrated Foods (Roasted buckwheat kernel*), Frozen garlic puree; Preservatives/Extracts/Flavors: Apple pomace*, Concentrates (Apple puree concentrate*), Concentrates (Apricot puree concentrate*), Extracts (Alfalfa powder/extract*), Extracts (Wheat grass exact*), Extracts (Wheat protein*), Extracts (Wheat starch*), Extracts (Bilberry Exact (Powder)), Extracts (Blueberry Exact (Powder)*), Extracts (Beet root (extract)*), Extracts (Black fungus (powder/extract/)*), Extracts (Broccoli extract*), Extracts (Chaga (powder/extract)*), Extracts (Chinese angelica (powder/slice/granule/extract)*), Extracts (Dandelion root extract/powder*), Extracts (Elderberry (Powder/Extract)*), Extracts (Fava protein*), Extracts (Fava starch*), Extracts (Fennel seed extract powder*), Extracts (Garlic powder/extract powder*), Extracts (Ginseng (Ginseng root) extract/powder*), Extracts (Hawthorn fruit (whole/cuts/powder/extract), Extracts (Brown rice protein*), Extracts (Chaga Mushroom (Extract and Powder)*), Extracts (Chinese Date (Extract and Powder)), Extracts (Chrysanthemum (Extract and Powder)*), Extracts (Cinnamon (Extract and Powder)), Extracts (Coix seed (Extract and Powder)*), Extracts (Cranberry Juice (Extract and Powder)), Extracts (Flaxseed protein powder*), Extracts (Ginkgo biloba (Extract and Powder)*), Extracts (Goji Berry (Extract and Powder)), Extracts (Grape Seed (Extract and Powder)*), Extracts (Lion's mane (Extract and Powder)*), Extracts (Maca (Extract and Powder)), Extracts (Maitake Mushroom (Extract and Powder)), Extracts (Matcha (Extract and Powder)*), Extracts (Mongolian dandelion (Extract and Powder)), Extracts (Rapeseed lecithin granulated*), Extracts (Rapeseed Lecithin Powder*), Extracts (Raspberry (Extract and Powder)), Extracts (Rhubarb root (Extract and Powder)*), Extracts (Rice starch*), Extracts (Rose Hips (Extract and Powder)*), Extracts (Soybean lecithin powder*), Extracts (Soybean lecithin granulated*), Extracts (Soybean protein concentrate*), Extracts (Soybean protein(textured)*), Extracts (Soybean protein*), Extracts (Stevia extract*), Extracts (Strawberry (Exact and Powder)), Extracts (Sunflower lecithin powder*), Extracts (Sunflower lecithin granulated*), Extracts (Tapioca maltodextrin*), Extracts (AD broccoli (diced; powder)), Extracts (AD carrot powder*), Extracts (AD carrot*), Extracts (AD carrot; flakes(minced)/powder), Extracts (AD chill powder*), Extracts (AD eddo slices; diced; powder), Extracts (AD garlic pieces/chopped(minced)/powder*), Extracts (AD kale (chopped; powder)*), Extracts (AD onion (chopped/powder)*), Extracts (AD potato (powder/diced)*), Extracts (AD pumpkin (powder/diced)*), Extracts (AD Spinach Chopped; Powder), Extracts (AD sweet potato (powder/diced)*), Extracts (AD tomato (slice; powder)*), Extracts (Coprinus comatus (powder/ extract)*), Extracts (Cordyceps militaris (powder/extract)*), Extracts (Jujube extract*), Extracts (Konjac extract*), Extracts (Lavender (extract /powder)), Extracts (Milk thistle (Extract/Powder)), Extracts (Mung bean protein*), Extracts (Mung bean starch*), Extracts (Naturz organics farpro pea protein*), Extracts (Pea protein(textured)*), Extracts (Pea protein*), Extracts (Pea starch*), Extracts (Perilla Protein Powder*), Extracts (Pineapple (juice powder/fruit powder/exact)*), Extracts (Pleurotus eryngii (powder/extract)*), Extracts (Polyporus umbellatus (extract /powder)*), Extracts (Pomegranate (powder/extract)*), Extracts (Potato protein*), Extracts (Potato starch*), Extracts (Pumpkin Protein Powder*), Extracts (Oat grass extract*), Extracts (Rapeseed lecithin fluid*), Extracts (Red ginseng extract*), Extracts (Reishi mushroom (Dried/extract /powder/tablet)*), Extracts (Rice protein*), Extracts (Rose extract*), Extracts (Rose hip fruits (powder/slice/granule/extract)*), Extracts (Rosehip extract/powder*), Extracts (Schizandra berry (powder/extract)*), Extracts (Sea buckthorn (Powder/extract powder/puree)*), Extracts (Shiitake mushroom extract*), Extracts (Siberian Ginseng Extract/Powder*), Extracts (Siberian ginseng root (powder/slice/granule/extract)*), Extracts (Soybean Lecithin Fluid*), Extracts (Spirulina tablet/powder*), Extracts (Sunflower Lecithin Fluid*), Extracts (Tapioca starch*), Extracts (Tremella fuciformis (powder/extract)*), Extracts (Wheat bran*), Extracts (Wheat gluten*), Herbs (Rape seed*), Herbs (lavender*), Herbs (Coriander*), Herbs (Astragalus root*), Powders (Avocado powder*), Powders (Barley grass powder*), Powders (Astragalus (slice/powder/extract powder)*), Powders (Wheat grass (powder/ juice powder)*), Powders (Apple powder*), Powders (Blueberry juice powder*), Powders (Bilberry juice powder*), Powders (Apple Exact (Powder)), Powders (Hemp protein (powder)*), Powders (Hempseed Protein Powder*), Powders (Fennel seed powder*), Powders (Chlorella tablet/powder*), Powders (Broccoli powder*), Powders (Buckwheat Grass Powder*), Powders (Blackberry powder*), Powders (Beet root powder/jucie powder/extract/granule*), Powders (Alfalfa Grass Powder*), Powders (Kiwi fruit powder*), Powders (Konjac powder*), Powders (Pear juice powder*), Powders (Oat grass (powder/juice powder)*), Powders (Pomegranate juice powder*), Powders (Reishi powder*), Powders (Reishi spore powder (shell broken/not shell broken)*), Powders (Raspberry powder*), Powders (Oat Grass Powder*), Powders (Tomato powder*), Powders (Shiitake mushroom*), Powders (Shiitake powder/extract*), Powders (Strawberry Powder*), Spices (Star anise*), Spices (Peppermint*); Pet Products: Pet Products (Blended feed pellets*); Other Grains, Pastas and Cereals: Barley (Barley*), Buckwheat kernels*, Buckwheat*, Corn (Maize)*, Corn chop*, Corn germ meal (cake)*, Cracked corn*, Flax seed*, Hulled hemp seed*, Hulled millet*, Millet*, Oats (Oat*), Pea*, Pearl barley*, Rice (Rice bran*), Rice (Rice*), Rice (Glutinous rice*), Rice (Black rice*), Rice (Brown rice*), Sesame*, Sorghum (Sorghum*), Sunflower shell*, Wheat (Wheat*); Oils &amp; Oleoresins: Oils (Borage Seed Oil*), Oils (Evening Primrose Oil*), Oils (Flaxseed oil*), Oils (Hempseed Oil*), Oils (Perilla Oil*), Oils (Pomegranate Seed Oil), Oils (Pumpkin seed oil*), Oils (Safflower Seed oil*), Oils (Sea buckthorn seed oil*), Oils (Sea Buckthron oil), Oils (Sunflower Oil (High Oleic)*), Oils (Sunflower oil*), Oils (Walnut Oil), Oils (Rape seed oil*), Oils (Rapeseed lecithin (crude)*), Oils (Sesame oil*), Oils (Soybean oil*), Oils (Sunflower seed crude lecithin (Crude sunflower lecithin)*), Soybean crude lecithin (Crude soybean lecithin)*; Nuts/Seeds: Almonds (Almond*), Bitter apricot seed*, Black sesame*, Borage seed*, Coix seed*, Cracked sunflower kernel*, Evening primrose seed*, Fennel seed*, Sunflower kernel*, Sunflower seed*, Walnuts (Walnut kernels*), Walnuts (Walnut*), White sesame seed*, White sesame*; Health Products: Herbs (Echinacea purpurea (powder)*), Herbs (Mulberry leaf (powder/extract)*), Supplements (Inulin*); Fruits/Vegetables: Alfalfa*, Apple*, Apricot*, Beans (Black kidney bean*), Beans (White kidney bean*), Beans (Wild Yam Powder*), Beans (Black soybean*), Beans (Adzuki bean*), Beans (Fava bean*), Beans (IQF green bean (cut; whole)*), Beans (Green bean*), Beans (Green soybean/Edamame*), Beans (Hulled mung bean*), Beans (Legume fruits), Beans (Lentil*), Beans (Light speckled kidney bean*), Beans (Mung bean*), Beans (Red kidney bean*), Beans (Soybean hulled*), Beans (Soybean*), Berries (Schizandra berry*), Berries (Raisin*), Berries (IQF goji berries*), Berries (Dried mulberry fruit*), Berries (Yang-mei (red bayberry)*), Berries (Goji berry dried (Dried goji berry)), Fresh eddo, Gaba cherry*, Garlic*, Leafy Greens (Spinach*), Mulberry fruit (powder)*, Pear pomace*, Pear*, Pinto bean*, Potato*, Sea buckthorn fruit*, Stone Fruit (Peach*), Stone Fruit (Jujube*), Stone Fruit (Dried jujube*), Taro eddo*, Vegetables (Sweet potato*), Vegetables (Onion*), Vegetables (Pumpkin seed grown without shell/Pumpkin kernels (GWS)), Vegetables (Pumpkin seed kernel*), Vegetables (IQF /frozen carrot (diced; slice; strip）), Vegetables (IQF broccoli*), Vegetables (Eggplant*), Vegetables (Black-eyed pea (Also callde:Cow pea(vigna)*), Vegetables (Broccoli*), Vegetables (Carrot*), Vegetables (Chick pea*), Vegetables (Chilli*), Vegetables (Wild yam*), Vegetables (Black pepper extract/powder*), Vegetables (Fresh carrot), Vegetables (Fresh garlic*), Vegetables (Fresh onion*), Vegetables (Fresh peeled garlic*), Vegetables (Fresh sweet potato), Vegetables (Frozen carrot/IQF carrot*), Vegetables (Frozen chilli*), Vegetables (IQF onion diced*), Vegetables (IQF/frozen chilli/cut/diced/puree), Vegetables (IQF/frozen edamame), Vegetables (IQF/frozen kale), Vegetables (IQF/frozen onion diced/strip; slice), Vegetables (IQF/frozen peeled garlic), Vegetables (IQF/frozen pumpkin diced), Vegetables (IQF/frozen spinach(chopped,cut)), Vegetables (IQF/frozen sweet potato diced); Fiber Textiles: Plant Fibers (Pea fiber*); Dry/Baking Goods: Flours and Meals (Buckwheat flour*), Flours and Meals (Corn starch*), Sugar (Cane sugar*); Condiments and Sweeteners: Sweeteners (Erythritol*), Sweeteners (Xylitol*), Sweeteners (Stevia*), Syrups (Rice malt syrup*), Syrups (Rice syrup*), Syrups (Tapioca syrup*); Beverage Related Products: Juice (Apple juice concentrate*), Juice (Apple juice*), Juice (Blackcurrant juice concentrate*), Juice (Blackcurrant juice*), Juice (Blueberry juice concentrate*), Juice (Blueberry juice*), Juice (Goji berry juice*), Juice (Goji juice concentrate*), Juice (Peach juice concentrate*), Juice (Pear juice concentrate*), Juice (Raspberry juice*), Juice (Strawberry juice*), Juice (Yang-mei (Red bayberry) juice concentrate*), Juice (Yang-mei (Red bayberry) juice*), Juice (Yumberry juice concentrate*), Juice (Blackberry juice*), Juice (Grape juice concentrate*), Juice (Pineapple concentrate juice*), Juice (Pineapple juice*), Juice (Strawberry juice concentrate*), Pulp (Blackberry pulp/puree*), Purees (kiwi puree*), Purees (Raspberry pulp/puree frozen*), Purees (Pear puree concentrate*), Purees (Pear puree*), Purees (Strawberry puree*), Purees (Sweet potato puree*), Purees (Apple puree*), Purees (Apricot puree*), Purees (Black currant puree*), Tea (Matcha*); Animal Feed: Livestock Feed (DDGS*), Livestock Feed (Corn gluten meal*), Livestock Feed (Corn gluten*), Livestock Feed (Corn hull (skin)*), Livestock Feed (Cracked soybean*), Livestock Feed (Flaxseed cake/meal/expeller*), Livestock Feed (Hemp cake/meal/expeller*), Livestock Feed (Mixed feed 1*), Livestock Feed (Mixed feed 2*), Livestock Feed (Rapeseed cake/meal/expeller*), Livestock Feed (Sesame cake/meal/expeller*), Livestock Feed (Soybean cake/meal/expeller*), Livestock Feed (Soybean hull (skin)*), Livestock Feed (Sunflower cake/meal/expeller*), Livestock Feed (Sunflower Protein Powder*), Livestock Feed (Sunflower protein*), Livestock Feed (Sunflower shell pellet*); Other: Hemp seed*, IQF/frozen broccoli</t>
  </si>
  <si>
    <t>Trees/Whole Plant Products/Flowers: Bamboo leaf, Herbs (Astragalus (slice/powder/extract powder)), Herbs (Astragalus root), Herbs (lavender), Herbs (Mongolian dandelion), Herbs (Peppermint), Rose hip fruits, Sea buckthorn fruit, Seeds (Coix seed (Extract and Powder)), Seeds (Grape Seed (Extract and Powder)), Seeds (Grape Seed (Extract and Powder)), Seeds (Bitter apricot seed); Seasonings: Chilli, Coriander; Processed  Items: Dehydrated Foods (Roasted buckwheat kernel), Dehydrated Foods (Dehydrated Carrot), Dehydrated Foods (FD (freeze-dried) bananas (diced/powder/sliced)), Dehydrated Foods (Frozen dried banana(diced/sliced/powder)), Dehydrated Foods (IQF onion diced), Dehydrated Foods (Raisin); Preservatives/Extracts/Flavors: Extracts (Red ginseng extract), Extracts (Reishi mushroom(Dried/extract /powder/tablet)), Extracts (Rose extract), Extracts (Rose hip fruits( powder/slice/granule/extract)), Extracts (Rosehip extract/powder), Extracts (Schizandra berry(powder/extract)), Extracts (Sea buckthorn (Powder/extract powder/puree)), Extracts (Shiitake mushroom extract), Extracts (Shiitake powder/extract), Extracts (Siberian Ginseng Extract/Powder), Extracts (Siberian ginseng root(powder/slice/granule/extract)), Extracts (Soybean Lecithin Fluid), Extracts (Spirulina tablet/powder), Extracts (strawberry Powder), Extracts (Sunflower Lecithin Fluid), Extracts (Tapioca starch), Extracts (Tremella fuciformis (powder/extract)), Extracts (Wheat gluten), Extracts (Wheat grass exact), Extracts (Wheat grass(powder/ juice powder)), Extracts (Wheat protein), Extracts (Wheat starch), Extracts (Apple Exact(Powder)), Extracts (Chinese Date (Extract and Powder)), Extracts (Goji Berry (Extract and Powder)), Extracts (Soybean lecithin powder), Extracts (Soybean lecithin granulated), Extracts (stevia extract), Extracts (Rapeseed lecithin granulated), Extracts (Beet root(extract)), Extracts (Black pepper extract/powder), Extracts (Broccoli extract), Extracts (Chaga (powder/extract)), Extracts (Dandelion root extract/powder), Extracts (Elderberry (Powder/Extract)), Extracts (Fennel seed extract powder), Extracts (Hawthorn fruit(whole/cuts/powder/extract)), Extracts (Hericium erinaceus/lion's mane (powder/ extract)), Extracts (Jujube extract), Extracts (Konjac extract), Extracts (Lavender (extract/powder)), Extracts (Milk thistle (Extract/Powder)), Extracts (Mulberry leaf (powder/extract )), Extracts (Pleurotus eryngii (powder/extract)), Extracts (Polyporus umbellatus(extract /powder)), Extracts (Pomegranate (powder/extract)), Extracts (Oat grass extract), Extracts (Rapeseed lecithin fluid), Herbs (Rhubarb root(Extract and Powder)), Herbs (Ginkgo leaf), Herbs (Ginseng (Ginseng root ) extract/powder), Herbs (Chinese angelica( powder/slice/granule/extract)), Herbs (Ginkgo biloba (Extract and Powder)), Herbs (Maca (Extract and Powder)), Herbs (Chrysanthemum (Extract and Powder)), Herbs (Cinnamon (Extract and Powder)), Powdered Eggs (Fennel seed powder), Powders (Garlic powder/extract powder), Powders (Hempseed Protein Powder), Powders (Oat grass (powder/juice powder)), Powders (Mulberry fruit (powder)), Powders (Konjac powder), Powders (Kiwi fruit powder), Powders (Broccoli powder), Powders (Buckwheat Grass Powder), Powders (blackberry powder), Powders (Rapeseed Lecithin Powder), Powders (Sunflower lecithin powder), Powders (Sunflower lecithin granulated), Powders (Avocado powder), Powders (Beet root powder/jucie powder/extract/granule), Powders (Soybean protein), Powders (Soybean protein concentrate), Powders (Soybean protein(textured)), Powders (flaxseed protein powder), Powders (Inulin), Powders (Lion's mane (Extract and Powder)), Powders (Wild Yam Powder), Powders (Tomato powder), Powders (Shiitake mushroom), Powders (Reishi powder), Powders (Reishi spore powder(shell broken/not shell broken)), Powders (Raspberry powder), Powders (Pear juice powder), Powders (Perilla Protein Powder), Powders (Pumpkin Protein Powder), Spices (star anise), Stevia; Other Grains, Pastas and Cereals: Barley, Barley (Barley grass), Barley (Barley grass powder), Barley (Pearl barley), Buckwheat, Buckwheat kernels, Corn starch, Flours and Meals (Fava protein), Flours and Meals (Fava starch), Flours and Meals (Mung bean protein), Flours and Meals (Mung bean starch), Flours and Meals (Naturz organics farpro pea protein), Flours and Meals (Pea fiber), Flours and Meals (Pea protein), Flours and Meals (Pea protein(textured)), Flours and Meals (Pea starch), Hulled millet, Millet, Oats, Oats (Oat Grass Powder), Potato protein, Potato starch, Rice (Brown rice protein), Rice (Glutinous rice), Rice (Black rice), Rice (Brown rice), Rice, Rice (Rice bran), Rice (Rice protein), Sorghum, Wheat, Wheat (Wheat flour); Oils &amp; Oleoresins: Oils (Sesame oil), Oils (Soybean crude lecithin (Crude soybean lecithin)), Oils (Soybean oil), Oils (Sunflower seed crude lecithin (Crude sunflower lecithin)), Oils (Borage Oil (seed)), Oils (Evening Primrose Oil), Oils (Flaxseed oil), Oils (Hempseed Oil), Oils (Perilla Oil), Oils (Pomegranate Seed Oil), Oils (pumpkin seed oil), Oils (Safflower Seed oil), Oils (Sea Buckthorn oil), Oils (sea buckthorn seed oil), Oils (Sunflower oil), Oils (Sunflower Oil (High Oleic)), Oils (Walnut Oil), Oils (Rape seed oil), Oils (Rapeseed lecithin (crude)); Nuts/Seeds: Almonds, Seeds (Black sesame), Seeds (borage seed), Seeds (Coix seed), Seeds (Evening primrose seed), Seeds (Fennel seed), Seeds (Flax seed), Seeds (Hemp seed), Seeds (Hulled hemp seed), Seeds (Pumpkin seed), Seeds (Pumpkin seed grown without shell/Pumpkin kernels (GWS)), Seeds (Pumpkin seed kernel), Seeds (Rape seed), Seeds (Sunflower seed), Seeds (White sesame seed), Sesame, Sunflower kernel, Walnuts, Walnuts (walnut kernels), White sesame; Health Products: Herbs (Chlorella tablet/powder); Fruits/Vegetables: Apple, Apple pomace, Apricot, Beans (Adzuki bean), Beans (Red kidney bean), Beans (Soybean), Beans (White kidney bean), Beans (Black-eyed pea(Also callde:Cow pea(vigna)), Beans (Black kidney bean), Beans (Fava bean), Beans (Green bean), Beans (Hulled mung bean), Beans (Light speckled kidney bean), Beans (Mung bean), Berries (Jujube), Berries (Dried jujube), Berries (Dried mulberry fruit), Berries (Yang-mei(red bayberry)), Berries (Schizandra berry), Berries (Goji berry dried(Dried goji berry)), Chaga Mushroom (Extract and Powder), Coprinus comatus (powder/ extract), Cranberry (Extract and Powder), Gaba cherry, Legume fruits, Maitake Mushroom (Extract and Powder), Mongolian dandelion (Extract and Powder), Peach, Pear, Potato, pumpkin/squash, Raspberry (Extract and Powder), Strawberry (Extract and Powder), Taro eddo, Vegetables (AD broccoli(diced，powder)), Vegetables (AD carrot), Vegetables (AD carrot powder), Vegetables (AD carrot，flakes（minced）/powder), Vegetables (AD chill powder), Vegetables (AD eddo slices,diced,powder), Vegetables (AD garlic pieces/chopped(minced)/powder), Vegetables (AD kale(chopped,powder)), Vegetables (AD onion(chopped/powder)), Vegetables (AD potato(powder/diced)), Vegetables (AD pumpkin(powder/diced)), Vegetables (AD Spinach Chopped，Powder), Vegetables (AD sweet potato(powder/diced)), Vegetables (AD tomato(slice,powder)), Vegetables (Wild yam), Vegetables (Spinach), Vegetables (Sweet potato), Vegetables (Alfalfa), Vegetables (Alfalfa Grass Powder), Vegetables (Alfalfa powder/extract), Vegetables (Black fungus (powder/extract)), Vegetables (Pinto bean), Vegetables (Lentil), Vegetables (Onion), Vegetables (Pea), Vegetables (Garlic), Vegetables (Eggplant), Vegetables (IQF broccoli), Vegetables (Green soybean/Edamame), Vegetables, Vegetables (Black soybean), Vegetables (Broccoli), Vegetables (Carrot), Vegetables (Chick pea), Vegetables (fresh carrot), Vegetables (fresh eddo), Vegetables (Fresh garlic), Vegetables (Fresh onion), Vegetables (Fresh peeled garlic), Vegetables (fresh sweet potato), Vegetables (Frozen carrot /IQF carrot), Vegetables (Frozen chilli); Dry/Baking Goods: Flours and Meals (wheat bran), Flours and Meals (Buckwheat flour), Powders (Apple powder), Powders (Rice starch), Powders (Tapioca maltodextrin), Sugar (Cane sugar); Condiments and Sweeteners: Sweeteners (Erythritol), Sweeteners (Rice malt syrup), Sweeteners (Rice syrup), Sweeteners (Tapioca syrup), Sweeteners (Xylitol); Beverage Related Products: Dehydrated Foods (Dehydrated Potato), Juice (Grape juice concentrate), Juice (Strawberry juice concentrate), Juice (Blackberry juice), Juice (Pineapple (juice powder/fruit powder/extract)), Juice (Pineapple concentrate juice), Juice (Pineapple juice), Juice (Pomegranate juice powder), Juice (Pear juice concentrate), Juice (Apple juice), Juice (Apple juice concentrate), Juice (Bilberry Exact(Powder)), Juice (Bilberry juice powder), Juice (Blackcurrant juice), Juice (Blackcurrant juice concentrate), Juice (Blueberry juice), Juice (Blueberry juice concentrate), Juice (Blueberry juice powder), Juice (Goji berry juice), Juice (Goji juice concentrate), Juice (Peach juice concentrate), Juice (Raspberry juice), Juice (Strawberry juice), Juice (Yang-mei(Red bayberry)juice), Juice (Yang-mei(Red bayberry)juice concentrate), Pulp (Raspberry pulp/puree frozen), Pulp (Blackberry pulp/puree), Purees (Strawberry puree), Purees (Sweet potato puree), Purees (kiwi puree), Purees (frozen garlic puree), Purees (Pear puree), Purees (Pear puree concentrate), Purees (Apple puree), Purees (Apple puree concentrate), Purees (Apricot puree), Purees (Apricot puree concentrate), Purees (Black current puree), Tea (Matcha); Animal Feed: Fodder (sunflower shell), Fodder (sunflower shell pellet), Fodder (DDGS), Fodder (Cracked corn), Livestock Feed (Cracked soybean), Livestock Feed (Cracked sunflower kernel), Livestock Feed (Flaxseed cake/meal/expeller), Livestock Feed (Hemp cake/meal/expeller), Livestock Feed (mixed feed 1), Livestock Feed (mixed feed 2), Livestock Feed (Corn chop), Livestock Feed (Blended feed pellets), Livestock Feed (corn germ meal(cake)), Livestock Feed (corn gluten), Livestock Feed (corn gluten meal), Livestock Feed (corn hull(skin)), Livestock Feed (Sesame cake/meal/expeller), Livestock Feed (Soybean cake/meal/expeller), Livestock Feed (soybean hull(skin)), Livestock Feed (Soybean hulled), Livestock Feed (Sunflower cake/meal/expeller), Livestock Feed (Sunflower protein), Livestock Feed (Sunflower Protein Powder), Livestock Feed (Rapeseed cake/meal/expeller), Pear pomace; Other: Cordyceps militaris(powder/extract), Rose Hips (Extract and Powder), Spinach, Spirulina tablet/powder, Star anise, Stevia, Strawberries frozen IQF, Strawberry juice concentrate, Strawberry powder, Strawberry puree, Sunflower cake/meal/expeller, Sunflower kernel, Sunflower lecithin fluid, Sunflower protein, Sunflower protein powder, Sunflower seed, Sunflower seed crude lecithin (Also called: Crude sunflower lecithin), Sunflower shell, Sunflower shell pellet, Sweet potato, Sweet potato puree, Tapioca starch, Taro eddo, Tomato powder, Tremella fuciformis powder/extract, Walnut, Walnut kernels, Wheat, Wheat bran, Wheat flour, Wheat gluten, Wheat grass exact, Wheat grass powder/juice powder, Wheat protein, Wheat starch, White kidney bean, White sesame, White sesame seed, Wild mint herb powder/extract, Wild yam, Wild yam powder, Yang-mei (Also called: Red bayberry).</t>
  </si>
  <si>
    <t>Other Grains, Pastas and Cereals: Beans (Mung bean protein), Protein (Pea protein), Protein (Pea protein textured), Protein (Pumpkin protein), Protein (Sunflower protein), Protein (Chickpea protein), Protein (Fava protein), Protein (Hemp protein), Rice (Brown rice protein); Oils &amp; Oleoresins: Oils (Soybean oil), Oils (Sunflower oil); Fiber Textiles: Plant Fibers (Pea fiber); Dry/Baking Goods: Beans (Mung bean starch), Flours and Meals (Sesame meal), Flours and Meals (Soybean lecithin fluid), Flours and Meals (Soybean meal), Powders (Soybean milk powder), Powders (Soybean lecithin powder), Powders (Matcha powder), Powders (Sunflower lecithin powder), Soybean (Soybean protein textured), Starch (Fava starch), Starch (Pea starch); Other: Protein (Sunflower lecithin fluid)</t>
  </si>
  <si>
    <t>Other: African Wormwood, Oil (Artemisia Afra), Allspice, Apricots, Argan Oil, Baobab Oil, Baobab Oil Seeds, Basil, Bay Oil, Bergamot (Citrus Bergamia), Camomile, Camomile, Camomile Seeds, Camphor Tree (Cinnamomum Camphora), Carrier Oil (Vegetable Oil), Carrot Extract, Castor Oil, Cinnamon Leaves, Cinnamon Tree Bark Oil, Citrus Fruits, Clary, Clove Bud Oil, Cloves, Cocoa Butter, Coconut Oil, Coffee Beans, Raw, Cypress, Essential Oil (Cupressus sempervirens), Essential Oils, Essential Oils, Essential Oils Pure, Made Of Medicinal And Aromatic Plants, Eucalyptol, Eucalyptus, Evening Primrose Oil, Foraha (Tamanu) Oil, Ginger (Zingiber officinale), Grape Seed Oil, Grapefruit (Citrus paradisia), Grapefruit, Oil, Hybrid-Lavender, Hydrolate, Hyssop, essential oil (Hyssopus officinalis), Incense, Incense Oil (Boswellia sp.), Jojoba, Lavender (LavAndula angustifolia), Lavender Hydrolate, Lemon (Citrus sp.), Lemon Balm (Melissa officinalis), Lemon Grass, Lemon Mandarin, Lemon-Scented Teatree (Leptospermum petersonii), Litsea Cubeba, Macadamia Nut Oil, Mafura Butter, Marjoram Oil, Marula Oil, Moringa Seed Oil, Oils, Oilseeds, Oilseeds, Oilseeds, Oranges, Palmarosa (Cymbopogon Martinii), Passion Fruit Sauce, Patchouli, Patchouli Leaves, Pepper, Peppermint, Peppermint (Eucalyptus Radiata), Petit Grain, Roman Chamomile (Chamämelum Nobile), Rose Geranium, Rose Geranium, Rose Hips, Products, Rosemary, Safflower Oil, Sheabutter, Spearmint (Mentha spicata var. Crispa), Sunflower Oil, Tea Tree, Thyme, Vanilla Oleoresin, Vegetable Oils, Yarrow Oil, Ylang-Ylang Oil (Cananga odorata)</t>
  </si>
  <si>
    <t>Other Grains, Pastas and Cereals: Corn; Fruits/Vegetables: Beans (Double green beans(Also called: Edamame, Green soybean, Green bean with green kernel)), Beans (Soybean); Animal Feed: Livestock Feed (Extruded soybean meal), Livestock Feed (Flax meal (Also called: Flax cake)), Livestock Feed (Rape seed cake (Also called: Rape seed meal)), Livestock Feed (Soybean meal (Also called: Soya meal; Soymeal; Soybean cake; Soya cake; Soybean expeller; Soya expeller)), Livestock Feed (Soybean oil (Also called: soya oil)), Livestock Feed (Sunflower seed meal)</t>
  </si>
  <si>
    <t>Other Grains, Pastas and Cereals: Soybean crude lecithin (also called: soya crude lecithin); Oils &amp; Oleoresins: Oils (Crude sunflower seed oil), Oils (Crude rapeseed oil), Oils (Crude sesame oil), Oils (Crude soybean oil); Animal Feed: Livestock Feed (Flax meal (also called: flax cake)), Livestock Feed (Rape seed cake (also called: rape seed meal)), Livestock Feed (Sesame cake (also called: sesame meal)), Livestock Feed (Soybean meal (also called: soya meal; soymeal; soybean cake; soya cake;soybean expeller; soya expeller)), Livestock Feed (Sunflower seed meal (also called: sunflower seed cake))</t>
  </si>
  <si>
    <t>Other: Brokering organic grain, Distributing organic grain, Storing organic grain, Wheat</t>
  </si>
  <si>
    <t>Trees/Whole Plant Products/Flowers: Seeds (Organic Raw Pumpkin Seeds), Seeds (Organic Shelled Sunflower seeds), Seeds (Organic Sunflower Seeds), Seeds (Organic Unsalted Dry Roasted Sunflower Kernels); Preservatives/Extracts/Flavors: Extracts (Organic Tart Cherry); Other Grains, Pastas and Cereals: Cereal (Organic Muesli), Quinoa (Organic Quinoa); Nuts/Seeds: Almonds (Organic Almond Raw), Almonds (Organic Almonds Roasted Salted), Almonds (Organic Almonds Roasted Unsalted), Almonds (Organic Almonds with Sea salt), Almonds (Organic Dry Roasted Almonds), Almonds (Organic Raw Almonds), Almonds (Organic Roasted Almonds Lightly Salted), Almonds (Organic Roasted Salted Almonds), Almonds (Organic Roasted Unsalted Almonds), Brazil Nut (Organic Brazil Nut), Cashew Nuts (Orgainc Cashews Dry Roasted Salted), Cashew Nuts (Organic Cashews), Cashew Nuts (Organic Cashews Dry Roasted Unsalted), Cashew Nuts (Organic Cashews Raw), Cashew Nuts (Organic Cashews Roasted Unsalted), Cashew Nuts (Organic Dry Roasted Salted Cashews), Cashew Nuts (Organic Raw Cashews), Cashew Nuts (Organic Roasted Salted Cashews), Cashew Nuts (Organic Roasted Unsalted Cashews), Orgainc Nut Trio Mix, Organic Cranberry Healthy Mix, Organic Cranberry Nut Trail Mix, Organic Dark Chocolaote cashew and Almonds Trail Mix, Organic Dark Chocolate Cherry Trail Mix, Organic Deluxe Mixed Nuts, Organic Dried Cranberries Cashew and Almonds Trail Mix, Organic Fruit and Nut Medley, Organic Heart Healthy Mix, Organic Nature's Mix, Organic Nutty Chocolate Cherry trail Mix, Organic Omega-3 Deluxe Mix, Organic Omega-3 Nut Mix, Organic Pepitas, Organic Power Nut Mix, Organic Pumpkin (Pepitas) Seeds Roasted Unsalted, Organic Roasted Unsalted Mixed Nuts, Organic Salad topper with Nuts and seeds, Organic Salad topper with Seeds, Organic Trail Mix Snack Packs, Organic Unsalted Mixed nuts, Peanuts (Organic Roasted Salted Peanuts), Pecans (Organic Pecans), Walnuts (Organic Raw Walnut Halves), Walnuts (Organic Walnuts), Walnuts (Organic Walnuts Halves and Pieces); Fruits/Vegetables: Berries (Organic Berry Mix), Berries (Organic Blueberries), Berries (Organic Cranberry), Berries (Organic Dried Cranberries), Organic Black Raisins, Organic Sun Dried Turkish Figs, Organic Thompson Raisins, Organic Turkish Apricots, Organic Turkish Figs, Stone Fruit (Organic Mango), Stone Fruit (Organic Medjool dates), Stone Fruit (Organic Pitted Dates); Bread/Bakery/Snacks: Cereal Bars (Organic Classic Granola), Packaged Snacks and Chips (Organic Banana Chips), Packaged Snacks and Chips (Organic cashews and raisins granola), Packaged Snacks and Chips (Organic Coconut Chips), Snack Mixes (Organic Cashew &amp; Raisin Granola), Snack Mixes (Organic Dark Chocolate Cherry Trail Mix), Snack Mixes (Probiotic Peach Mango Yoggies); Beverage Related Products: Juice (Organic Anti Oxidant Force Juice), Juice (Organic Apricot Peach Juice), Juice (Organic Black Mulberry Cranberry Juice), Juice (Organic Pomegranate Juice), Juice (Organic Pomegranate Tart Cherry Juice), Juice (Organic Tart Cherry Apple Juice), Juice (Organic Tart Cherry Juice); Other: Organic Salad Topper</t>
  </si>
  <si>
    <t>Other: Cleaning, Conditioning, and Storing of Feed Grain and Seed, Peas - Black Eyed, Peas - Iron and Clay, Rye - Cereal</t>
  </si>
  <si>
    <t>Dry/Baking Goods: Organic Grains, Flours, and Milled Products. Also Certified in Accordance with the Terms of the U.S.-Canada Organic Equivalency Arrangement.</t>
  </si>
  <si>
    <t>Other: Apple Raisin Walnut Granola, Apple Raisin Walnut Granola, Apple Raisin Walnut Granola, Blueberry Flax Granola, Blueberry Hemp Protein Granola, Blueberry Hemp Protein Granola, Chocolate Hazelnut Granola, Cinnamon Spice and Everything Nice, Fruit &amp; Nut Granola, Gluten Free Berry Coconut Granola, Gluten Free Blueberry Hemp Protein Granola, Gluten Free Everything Granola, Gluten Free Fruit and Nut Granola, Gluten Free Grain Free Cacao &amp; Coffee Granola, Gluten Free Grain Free Original Granola, Gluten Free Grain Free Savory &amp; Seed Granola, Gluten Free Granola, Gluten Free Hot Honey Granola, Gluten Free Hot Honey Granola, Gluten Free House Granola, Gluten Free Maple Granola, Gluten Free Unsweetened Berry Coconut, Gluten Free Vanilla Almond Granola, Goldenberry Turmeric Granola, Goldenberry Turmeric Granola, Grain Free Almond Butter Trails Granola, Grain Free Blueberry Granola, Grain Free Cacao Nib Apricot Granola, Grain Free Cacao Nib Apricot Granola, Grain Free Chocolate Almond Granola, Grain Free Peanut Butter Chocolate Granola, Grain Free Tropical Pineapple Granola, Harvest Trail Mix, Hemp and Flax Granola, Hemp and Flax Granola, Hemp and Flax Granola, Magical Maple Granola, Maple Granola, Muesli, Muesli, Oat and Ancient Grain Granola, Oats and Honey Granola, Organic Gluten Free Cranberry Maple Granola, Organic Gluten Free Nut Butter Banana Granola, Organic Gluten Free Quinoa Maple Granola, Organic Gluten Free Salted Caramel Dark Chocolate Granola, Probiotic Vanilla Almond Granola, Protein Blueberry Harvest Granola, Pumpkin and Flax Seed Granola, Pumpkin and Flax Seed Granola, Triple Berry Granola, Unsweetened Berry Coconut Granola, Unsweetened Berry Coconut Granola, Vanilla Almond Granola, Vanilla Almond Granola</t>
  </si>
  <si>
    <t>Other: Asian Pear Dressing, Banh Mi, Ginger Sesame Dressings, Instant Noodle Cake, Kimchi, Kombu, Maui Onion Style Dressing, Miso Broth, Miso Noodle Bowl Kit, No Beef Broth, No Chicken Broth, No Soy Fish Sauce, No Soy Korean BBQ Sauce, No Soy Less Sodium Soy Free Sauce, No Soy Soy Free Sauce, No Soy Stir Fry Sauce, No Soy Teriyaki Sauce, Organic Noodle Kimbap, Organic Veggie Kimbap, Pho Broth, Pho Noodle Bowl Kit, Pozole Broth, Purple Rice Noodle, Purple Spring Roll Rice Wrap, Purple Sticky Rice, Ramen Broth, Ramen Noodle, Ramen Noodle Bowl Kit, Rice Noodle, Seaweed Salt -Hint of Lime, Seaweed Salt -Original, Seaweed Snack -Bacon Flavored, Seaweed Snack -Chili Lime, Seaweed Snack -Korean BBQ, Seaweed Snack -Maui Style Onion, Seaweed Snack -Sea Salt, Seaweed Snack -Sriracha, Seaweed Snack -Wasabi, Shichimi Togarashi, Spring Roll Rice Wrap, Sticky Rice (Short Grain Rice), Sushi Nori, Sushi Nori, Tangy Thai Dressing, Thai Coconut Broth, Togarashi Seasoning, Vegan Beef Big Bowl, Vegan Chicken Big Bowl, Vegan Thai Coconut Big Bowl, Vegetable Packet (Bulk), Wakame, Wasabi Ranch Dressings, Wasabi Sushi Nori, White Rice Noodle</t>
  </si>
  <si>
    <t>Other Grains, Pastas and Cereals: Oats; Dry/Baking Goods: Baking Mixes, Baking Mixes, Baking Mixes, Baking Mixes, Baking Mixes, Baking Mixes, Baking Mixes, Flours and Meals, Flours and Meals; Dairy: Organic Milk Powder</t>
  </si>
  <si>
    <t>Other: Grain Blend (5508 - 21 Blend 1), Grain Blend (5509 - 21 Blend 2), Grain Blend (5510 - 21 Blend 3), Grain Blend (5539 - 22 Grain &amp; Seed Topping), Grain Blend (5540 - ABO Topping), Grain Blend (5547 - Topper 22 Grain NS), Grain Blend (5548 - ABO Oat &amp; Seed Topping NS), Grain Blend (5550 - 21 Blend 2 (NS)), Grain Blend (5551 - Seed Blend #5), Misc Baking Mixes (5542 - Passione Gluten Free Pizza Crust Mix), Seed Blend (5534 - Seed Blend #4), Vinegar Powder (Inhibit VP ORG), Wheat Flour (Cultured Wheat 3.5X), Wheat Flour (Inhibit 1000CW ORG), Wheat Flour (Inhibit 1200CW ORG), Wheat Flour (Inhibit 950CW)</t>
  </si>
  <si>
    <t>Other: Bread (Challah (Sliced)), Bread (Challah with Poppy Seeds), Bread (Challah with Raisins (Sliced)), Bread (Ciabatta (Italian, Roll, Sliced) ), Bread (Dark Rye (Loaf, Sliced)), Bread (Focaccia), Bread (French (Batards, Batard Mini, Baguettes, Baguettes Mini, Sandwich Rolls, Rustic Rolls, Mini Ficelle, EPI, Boule Mini) ), Bread (Grain Emmer Miche (Half Loaf, Quarter Loaf, Sliced)), Bread (Northwest Whole Grain (Loaf, Sliced)), Bread (Peasant Levain), Bread (Rosemary Sea Salt ( Baguette,Roll, Crostini) ), Bread (Seeded Honey Bread (Roll)), Bread (Seven Grain Artisan (Loaves, Sandwich Roll) ), Bread (Sourdough (Slided, Artisan, Artisan Mini, Rolls, Baguettes, Soup Bowls)), Various Baked Goods (Artisan Bread Croutons), Various Baked Goods (Artisan Bread Stuffing), Various Baked Goods (Bread Crumbs), Various Baked Goods (Cheese Sticks), Various Baked Goods (Crostini)</t>
  </si>
  <si>
    <t>Processed  Items: Processed Items-Other - Complete Blend-Self Balancing Food, Processed Items-Other - Daily Vegetable Blend- Self-Balancing Food-Whole Food Greens Powder with Garlic, Processed Items-Other - Essential Sprout Blend Self-Balancing- Sprouted legume &amp; Ancient Grain powder, Processed Items-Other - Self Balancing Food- Daily Sprouted Energy Powder, Processed Items-Other - Self Balancing Food- Daily Vegetable Supplement Powder; Other Grains, Pastas and Cereals: Other Other Grains, Pastas and Cereals - Millet, Quinoa (Quinoa), Sorghum (Sorghum); Nuts/Seeds: Other Nuts/Seeds - Sprouted, Roasted Sesame Seeds; Fruits/Vegetables: Beans (Adzuki Beans), Beans (Black Soy Beans), Beans (Black Soybean Powder), Beans (Chickpeas), Beans (Mung Beans), Other Fruits/Vegetables - Dried Ginger, Other Fruits/Vegetables - Dried Mandarin Peel, Other Fruits/Vegetables - Ginger Powder, Other Fruits/Vegetables - Organic Jujube Bites Sun-Dried, Other Fruits/Vegetables - Organic Oat Groats, Turmeric - Black Turmeric Capsules (60 Caps), Turmeric - Black Turmeric Powder, Turmeric - Organic Turmeric, Turmeric - Turmeric Powder Dietary Supplement, Turmeric - Turmeric Slices; Dry/Baking Goods: Sugar (Organic Panela); Condiments and Sweeteners: Vinegar (Persimmon Vinegar); Beverage Related Products: Coffee (Guatemalan Coffee), Tea (Golden Latte), Tea (Immuni Tea- Ginger Lemon Turmeric Powder Blend), Tea (Immuni Tea- Ginger Turmeric Lemon Mix -Sugar-Free), Tea (Turmeric Ginger Mandarin Tea)</t>
  </si>
  <si>
    <t>Other: Beans, Grains</t>
  </si>
  <si>
    <t>Other: Baking Mix (Seven Grain Pancake Mix), Beans (Adzuki), Beans (Black Beans), Beans (Cannellini), Beans (Dark Red Kidney), Beans (Garbanzo), Beans (Mung), Beans (Navy), Beans (Northern), Beans (Pinto), Beans (Sprouted Black Beans), Beans (Sprouted Chickpeas), Beans (Sprouted Pinto Beans), Blend (Harmony Soup Blend), Buckwheat (Gluten Free Creamy Hot Cereal), Buckwheat (Gluten Free Groats), Cacao (Cacao Paste), Cacao (Cacoa Beans, Nibs, Butter &amp; Powder), Cacao (Raw Cacao Goji Chunks of Energy), Candy (Candy Drops (Assorted Flavors)), Candy (Cinnamon Gummy Bears), Candy (Fruit Chews), Candy (Fruity Slices), Candy (Gummy Bears), Candy (Gummy Bears (Vegan)), Candy (Gummy Hearts), Candy (Gummy Worms), Candy (Jelly Beans (Jelly Pebbles), Vegetarian), Candy (Lollipops), Candy (Peach Rings (Vegan)), Candy (Red Gummy Fish), Candy (Starlight Mints), Candy (Watermelon Rings (Vegan)), Cereal (High Fiber Hot Cereal), Cereal (Six Grain Hot Cereal), Chia (Sprouted Black Chia), Chocolate (Chocolate Chips), Chocolate (Mini Dark Chocolate Chips), Chocolate (Mint Chocolate Hearts (Vegan)), Chocolate (White Chocolate Chunks), Chocolate Chips (Chocolate Chips (Vegan)), Coffee (Espresso Beans), Confections (Assorted Energy Squares), Confections (Cacao Cashew Clusters), Confections (Carob SuperGreen Chunks of Energy), Confections (Chia Energy Squares), Confections (Chocolate Almonds, Dark &amp; Milk), Confections (Chocolate Coated Nibs), Confections (Chocolate Covered Chia Seeds), Confections (Chocolate Covered Figs), Confections (Chocolate Covered Goldenberries), Confections (Chocolate Covered Mango), Confections (Chocolate Covered Raisins, Dark &amp; Milk), Confections (Chocolate Paradise Chunks of Energy), Confections (Cocoa Dusted Almonds), Confections (Dark Chocolate Chia Seeds), Confections (Dark Chocolate Covered Walnuts), Confections (Dark Chocolate Covered Almonds), Confections (Dark Chocolate Covered Almonds - with Organic Glaze), Confections (Dark Chocolate Covered Banana Bites), Confections (Dark Chocolate Covered Banana Bites - with Organic Glaze), Confections (Dark Chocolate Covered Brazil Nuts), Confections (Dark Chocolate Covered Cacao Nibs), Confections (Dark Chocolate Covered Cashews), Confections (Dark Chocolate Covered Cherries), Confections (Dark Chocolate Covered Coconut Chips), Confections (Dark Chocolate Covered Coconut Chips - with Organic Glaze), Confections (Dark Chocolate Covered Cranberries - with Organic Glaze), Confections (Dark Chocolate Covered Espresso Beans), Confections (Dark Chocolate Covered Espresso Beans - with Organic Glaze), Confections (Dark Chocolate Covered Ginger), Confections (Dark Chocolate Covered Ginger - with Organic Glaze), Confections (Dark Chocolate Covered Goji Berries), Confections (Dark Chocolate Covered Goji Berries - with Organic Glaze), Confections (Dark Chocolate Covered Golden Raisins - with Organic Glaze), Confections (Dark Chocolate Covered Gooseberries), Confections (Dark Chocolate Covered Hazelnuts), Confections (Dark Chocolate Covered Macadamia Nuts), Confections (Dark Chocolate Covered Macadamia Nuts - with Organic Glaze), Confections (Dark Chocolate Covered Mulberries), Confections (Dark Chocolate Covered Mulberries - with Organic Glaze), Confections (Dark Chocolate Covered Pepitas (Pumpkin Seeds)), Confections (Dark Chocolate Covered Pistachios), Confections (Dark Chocolate Covered Raisins), Confections (Dark Chocolate Covered Strawberries), Confections (Dark Chocolate Covered Sunflower Seeds), Confections (Dark Chocolate Cranberries), Confections (Dark Chocolate Java Drops), Confections (Dark Chocolate Sea Salt Cashews), Confections (Date Flax Energy Squares), Confections (Lemon Pop Energy Squares), Confections (Milk Chocolate Almonds), Confections (Milk Chocolate Peanuts), Confections (Milk Chocolate Raisins), Confections (Organic Chocolate Chews), Confections (Organic Coconut Fig Superfood Energy Squares), Confections (Organic Peanut Chocolate Chip Energy Squares), Confections (Pecan Date Rolls), Confections (Sugar Coated Nibs), Confections (Turbinado Sea Salt Almonds), Confections (Walnut Date Rolls), Dried Fruits (Apples), Dried Fruits (Apples, Freeze Dried), Dried Fruits (Apricots), Dried Fruits (Apricots, Turkish), Dried Fruits (Banana Chips), Dried Fruits (Bananas), Dried Fruits (Bananas, Freeze Dried Sliced), Dried Fruits (Bilberries), Dried Fruits (Blueberries), Dried Fruits (Cherries, Bing), Dried Fruits (Chili Lime Mango), Dried Fruits (Chokeberries), Dried Fruits (Coconut), Dried Fruits (Coconut Chips), Dried Fruits (Cranberries), Dried Fruits (Cranberry Apricot Chunks of Energy), Dried Fruits (Crystallized Ginger), Dried Fruits (Dates, Medjool), Dried Fruits (Dates, Pitted), Dried Fruits (Dried Jujubes), Dried Fruits (Dried Pomegranates), Dried Fruits (Figs, Calimyrna), Dried Fruits (Figs, Mission), Dried Fruits (Figs, Turkish), Dried Fruits (Goji Berries), Dried Fruits (Goldenberries), Dried Fruits (Honeydew Melon), Dried Fruits (Jackfruit), Dried Fruits (Mango), Dried Fruits (Mango, Diced), Dried Fruits (Mixed Fruit), Dried Fruits (Mulberries), Dried Fruits (Orange Slices), Dried Fruits (Papaya), Dried Fruits (Peaches), Dried Fruits (Pears), Dried Fruits (Persimmons), Dried Fruits (Pineapple: Chunks), Dried Fruits (Plums), Dried Fruits (Prunes, Pitted), Dried Fruits (Raisins), Dried Fruits (Raisins, Hunza), Dried Fruits (Raisins, Monukka, Sultana), Dried Fruits (Red Sour Cherries), Dried Fruits (Sea Buckthorn Berries), Dried Fruits (Shredded Coconut), Dried Fruits (Strawberries), Dried Fruits (Strawberries, Freeze Dried), Dried Fruits (Strawberry slices), Dried Fruits (Super Jumbo Turkish Apricots), Dried Fruits (Wild Apricot Kernals), Dried Fruits (Wild Barberries), Dried Fruits (Wild Mountain Baby Figs), Dried Fruits (Wild Pear Rings), Dried Fruits (Yacon Slices), Dried Vegetables (Freeze Dried Mix), Dried Vegetables (Sun Dried Tomatoes), Extracts (Almond), Flour (Jerusalem Artichoke Flour), Flour (Sprouted Chickpea Flour), Flour (Sprouted Millet Flour), Flour (Sprouted Sorghum Flour), Flour (Sprouted Wheat Flour), Fruit Powder (Acai), Fruit Powder (Blueberry Powder), Fruit Powder (Coconut Flour (Gluten Free)), Fruit Powder (Goji Berry Powder), Fruit Powder (Hawthorn Berry Powder), Fruit Powder (Lucuma Powder), Fruit Powder (Noni Powder), Fruit Powder (Pomegranate Powder), Fruit Powder (Strawberry Powder), Grains (Amaranth), Grains (Artisan Unbleached White All Purpose Flour), Grains (Black Soy Beans), Grains (Buckwheat Flour), Grains (Buckwheat Groats), Grains (Buckwheat, Toasted (Kasha)), Grains (Chia Flour), Grains (Corn Flour), Grains (Corn Grits), Grains (Cornmeal), Grains (Cracked Rye), Grains (Cracked Wheat), Grains (Dark Rye Flour), Grains (Einkorn), Grains (Graham Flour), Grains (Hard Spring Wheat), Grains (Hard White Wheat Berries), Grains (Hard White Wheat Flour), Grains (Himalayan Grain Blend), Grains (Kamut), Grains (Kamut Cereal), Grains (Kamut Flour), Grains (Kaniwa), Grains (Millet), Grains (Oat Bran), Grains (Pastry Flour Whole Wheat), Grains (Pearled Barley), Grains (Pearled Farro), Grains (Popcorn Kernels), Grains (Purple Corn: Flour &amp; Kernels), Grains (Quick Rolled Oats), Grains (Quinoa), Grains (Quinoa - Black), Grains (Quinoa - Tricolor), Grains (Quinoa Flour), Grains (Quinoa: Flakes, Puffs), Grains (Red Quinoa), Grains (Rolled Oats), Grains (Rye Berries), Grains (Rye Pumpernickel Meal), Grains (Scottish Oatmeal), Grains (Soft White Wheat), Grains (Soy Beans), Grains (Soy Flour), Grains (Spelt), Grains (Spelt Flour), Grains (Sprouted Brown Rice Cacao Crisps), Grains (Sprouted Buckwheat), Grains (Sprouted Corn Flakes Cereal), Grains (Sprouted Grains Blend), Grains (Sprouted Millet), Grains (Sprouted Oat Honey O's), Grains (Sprouted Quinoa), Grains (Sprouted Rice), Grains (Sprouted Sorghum), Grains (Sprouted Spelt), Grains (Steel Cut Oats), Grains (Toasted Quinoa), Grains (Unbleached White Flour), Grains (Wheat Berries), Grains (Whole Oat Groats), Grains (Whole Wheat Flour), Granola, Granola (Apple Raisin), Granola (Cinnamon Spice Granola), Granola (Hemp and Flax), Granola (Maple Granola), Granola (Muesli), Granola (Tiger Nut Granola, Apple Cinnamon), Granola Bar (Coconut Toffee Granola Bark), Granola Bar (Maple Crunch Granola Bark), Granola Bar (Pumpkin Spice Granola Bark), Granola Bar (Strawberry Coconut Granola Bark), Granola Bar (Strawberry Granola Bark), Herbs &amp; Spices (Black Peppercorns), Herbs &amp; Spices (Chili Powder), Herbs &amp; Spices (Cumin Seeds), Herbs &amp; Spices (Curry Powder), Herbs &amp; Spices (Dried Basil), Herbs &amp; Spices (Dried Oregano), Herbs &amp; Spices (Dried Rosemary), Herbs &amp; Spices (Dried Thyme), Herbs &amp; Spices (Garlic Powder), Herbs &amp; Spices (Ground Black Pepper), Herbs &amp; Spices (Ground Cinnamon), Herbs &amp; Spices (Ground Coriander), Herbs &amp; Spices (Ground Cumin), Herbs &amp; Spices (Red Pepper Flakes), Herbs &amp; Spices (Smoked Papprika), Lentils (Black), Lentils (Green), Lentils (Red), Lentils (Sprouted Green Lentils), Lentils (Sprouted Lentil Blend), Mushroom Powder (Cordyceps Mushroom Powder), Nori, Nuts (Almond Flour), Nuts (Almonds), Nuts (Almonds - Blanched), Nuts (Almonds - Natural Sliced), Nuts (Almonds - Natural Slivered), Nuts (Almonds: Roasted and Salted, Roasted and Unsalted), Nuts (Brazil Nuts), Nuts (Cashews), Nuts (Cashews, Whole, Dry Roasted, Salted &amp; Unsalted, 50% Less Salt), Nuts (Macadamia), Nuts (Peanut Butter), Nuts (Peanuts, Raw, In Shell), Nuts (Peanuts, Raw, No Shell), Nuts (Peanuts, Roasted, In Shell), Nuts (Peanuts, Roasted, Shelled, Salted &amp; Unsalted), Nuts (Peanuts, Wild Jungle), Nuts (Pepitas (Pumpkin Kernals)), Nuts (Pine Nuts), Nuts (Pistachios, Raw, Roasted, Salted and Unsalted), Nuts (Pumpkin Seeds, Chinese Shelled), Nuts (Pumpkin Seeds, Dry Roasted), Nuts (Pumpkin Seeds, Tamari Roasted), Nuts (Raw Mixed Nuts), Nuts (Roasted Hazelnuts, Salted &amp; Unsalted), Nuts (Roasted Pecans, Salted &amp; Unsalted), Nuts (Sunflower Seeds), Nuts (Sunflower Seeds, Roasted &amp; Salted), Nuts (Sunflower Seeds, Tamari Roasted), Nuts (Sunflower Seeds: No Shell (roasted)), Nuts (Tiger Nut Flour), Nuts (Tiger Nuts, Peeled), Nuts (Tiger Nuts, Sliced), Nuts (Walnuts), Oats (Sprouted Oats (Hulled)), Oils (Coconut), Oils (Hemp), Pasta (Elbow), Pasta (Orzo), Pasta (Whole Wheat Fusilli), Pasta (Whole Wheat Penne), Peas (Split Green), Powder (Agave Powder (Inulin)), Powder (Alfalfa Grass Powder), Powder (Amla Powder), Powder (Arrowroot Powder), Powder (Ashwagandha Root Powder), Powder (Baobab Powder), Powder (Barley Grass Powder), Powder (Beet Root Powder), Powder (Camu Camu Powder), Powder (Chlorella Powder), Powder (Chocolate Plant Protein Powder), Powder (Coconut Milk Powder), Powder (Date Powder), Powder (Gelatinized Maca Powder), Powder (Ginger Root Powder), Powder (Green Alkalizing Blend), Powder (Green Plant Protein Powder), Powder (Hemp Protein Powder), Powder (Horse Chestnut Powder), Powder (Kelp Powder), Powder (Lion's Mane Mushroom Powder Extract), Powder (Maca), Powder (Mesquite Powder), Powder (Moringa Leaf Powder), Powder (Pea Protein Powder), Powder (Potato Starch), Powder (Psyllium Husk Powder), Powder (Red Maca), Powder (Reishi Mushroom Powder Extract), Powder (Rhodiola Rosea Powder), Powder (Sacha Inchi Protein Powder), Powder (Sea Buckthorn Powder), Powder (Siberian Chaga Mushroom Powder Extract), Powder (Soy Protein (TVP Gluten Free)), Powder (Tapioca Starch), Powder (Triphala Powder), Powder (Turmeric Root Powder), Powder (Wheat Grass), Powder (Wheatgrass Juice Powder), Quinoa (Sprouted White Quinoa), Rice (Brown), Rice (Brown Basmati), Rice (Brown Rice Farina (Gluten Free)), Rice (Long Grain White Rice), Rice (Rice Flour Brown), Rice (Rice Flour White), Rice Protein (Brown Rice Protein Powder), Seed Butter (Hemp Seed Butter), Seed Butter (Sprouted Pumpkin Seed Butter), Seeds (Alfalfa Seeds), Seeds (Austrian Pepitas (Raw)), Seeds (Black Sesame Seeds), Seeds (Chia Seed, Black &amp; White), Seeds (Flax Seed), Seeds (Flaxseed Meal (Gluten Free)), Seeds (Golden Flaxseed Meal (Gluten Free)), Seeds (Hemp Seed), Seeds (Milk Thistle), Seeds (Poppy Seed), Seeds (Sesame (Natural)), Seeds (Sunflower Seeds (Raw, No Shell)), Spices (Cinnamon), Spirulina, Spread (Almond Superfood Spread (Vegan)), Spread (Chocolate Chip Cookie Dough Spread (Vegan)), Spread (Chocolate Hazelnut Spread (Vegan)), Sweetener (Agave Syrup Premium Light), Sweetener (Erythritol), Sweetener (Evaporated Cane Sugar), Sweetener (Light Brown Sugar), Sweetener (Palm Sugar), Sweetener (Stevia), Sweetener (Sucanat)</t>
  </si>
  <si>
    <t>Seasonings: G89033-X2 Organic Chicken Strip Marinade, Seasoning Blends (G43985-X1 Organic Chorizo Seasoning), Seasoning Blends (G66157-X1 Organic Genoa Salami Seasoning), Seasoning Blends (G74542-X1 Organic Hot Chili Seasoning), Seasoning Blends (G77692-X1 Organic Hot Dog Seasoning), Seasoning Blends (G99060-X3 Organic Jalapeno Tortilla Seasoning), Seasoning Blends (S14447-X1 Organic Hot Dog Seasoning), Seasoning Blends (S15784-X3 1514302 Organic Cilantro Lime Rice Seasoning), Seasoning Blends (S15801-X4 1514458 Organic Tomato &amp; Roasted Garlic SSNG), Seasoning Blends (S15881-X3 1532580 Organic Spanish W/O Cilantro Flavor), Seasoning Blends (S16153-X1 Organic Chorizo Seasoning), Seasoning Blends (S16326-X4 1514456 Organic Sundried Tomato Seasoning), Seasoning Blends (S18397-X2 Organic Tuscan Style Seasoning), Seasoning Blends (S18399-X2 Organic Salsa Style Seasoning), Seasoning Blends (S22991-X1 Organic Chorizo Seasoning), Seasoning Blends (S25680-X2 Organic Seasoning For Beef Patty); Preservatives/Extracts/Flavors: Vinegar (R03251 DV OV Made with Organic Vinegar), Vinegar (R03348 NatureIn V OV Made with Organic Vinegar); Other Grains, Pastas and Cereals: G23706-X3 1334702 Organic Brown &amp; Quinoa Premix, G71059-X1 1499486 Organic Seven Grain Premix, Rice (G41611-X3 1149245 Organic Rishikesh Tapovan), Rice (S15692-X2 5040711 Organic Spanish with Gum), Rice (S21361-X1 5040711 Organic Spanish With Gum), S15885-X2 1532549 Organic Brown &amp; Quinoa Premix, S20869-X1 1499486 Organic Seven Grain Premix, S20870-X2 1334702 Organic Brown &amp; Quinoa Premix, S25941-X3 Organic Brown &amp; Quinoa Premix</t>
  </si>
  <si>
    <t>Other: Almonds, Apple Dices, Apricots, Bulgur, Cashew Butter Dry Roasted Cashews, Chia Seeds, Couscous, Flax, Guar Gum Powder, Hemp Seed Whole, Pine Nuts, Pumpkin Seeds, Walnuts, Banana Chips, Basmati Long Grain White Rice, Blueberries, Brown Rice, Cherries, Coconut Chips, Coconut Cream, Coconut Flour, Coconut Sugar, Cranberries, Crispy Wontons, Dates, Farro, Figs, Garbanzo Beans, Goji Berries, Granola, Granola &amp; Coconut Mix, Hemp Protein Powder, Lemon Juice Powder, Lime Juice Powder, Maple Syrup, MicoGuard, Mixed Berries, Orzo, Pecans, Pineapple, Prunes, Pumpkin Seeds, Quinoa, Raisins, Sour Cream Powder, Sundried Tomatoes, Sunflower Kernels, Vinegar Powder, Yellow &amp; Blue Tortilla, Zante Currants</t>
  </si>
  <si>
    <t>Other: Beans (Black Turtle Beans), Beans (Mung), Beans (Pinto), Beans (Red Kidney Beans), Corn (Blue Corn Polenta), Corn (Blue Corn Polenta), Corn (Multi Color Popcorn), Corn (Rainbow Color Popcorn), Corn (White Corn Polenta), Corn (Yellow Popcorn), Quinoa (Rainbow), Quinoa (Tri-Color Quinoa), Quinoa (White), Rice (Brown Calrose), Rice (Brown Jasmine ), Rice (Brown Short Grain), Rice (Brown Short Grain ), Rice (Calroma Paddy (Jasmine)), Rice (Medium Grain Paddy ), Rice (Quickcooking Brown Calrose Rice), Rice (Short Grain Paddy (Sushi)), Rice (Sushi Rice), Rice (White Calrose), Rice (White Calrose), Rice (White Jasmine), Rice (White Jasmine), Rice (White Long Grain), Rice (Wild Rice), Vinegar (Wine) (Cabernet Sauvignon), Vinegar (Wine) (Cabernet Sauvingnon), Vinegar (Wine) (Champagne), Vinegar (Wine) (Chardonnay), Wheat Berries (Hard Red), Wheat Berries (Soft White)</t>
  </si>
  <si>
    <t>Other: Broker/Trader of 100% Organic and Organic Grains, Broker/Trader of Organic Grains</t>
  </si>
  <si>
    <t>Other Grains, Pastas and Cereals: Flours and Meals (Flax Meal), Flours and Meals (Buckwheat), Quinoa (Red Quinoa), Quinoa (Tricolour Quinoa), Quinoa (White Quinoa), Quinoa (Black Quinoa); Nuts/Seeds: Seeds (Chia Seeds), Seeds (Golden Flax Seeds), Seeds (Flax Seeds); Fruits/Vegetables: Berries (Berries Mix), Berries (Goji Berries), Fruit and Vegetable Snacks (Veggie Kids), Mixed Salad Greens (Greens Mix); Dry/Baking Goods: Dehydrated Foods (Dehydrated Coconut), Powders (Elderberry Powder), Powders (Fructo-oligosaccharide Powder), Powders (Goji Berry Powder), Powders (Kale Powder), Powders (Maca Powder), Powders (Maqui Powder), Powders (Pomegranate Powder), Powders (Raspberry Juice Powder), Powders (Spinach Powder), Powders (Spirulina Powder), Powders (Wheat Grass Powder), Powders (Monk Fruit Powder), Powders (Inulin), Powders (Alfalfa Powder), Powders (Acai Powder), Powders (Barley Grass Powder), Powders (Blueberry Juice Powder), Powders (Broccoli Powder), Powders (Camu Camu Powder), Powders (Carrot Powder); Chocolate Goods: Chocolate Nibs (Cacao Nibs Raw), Chocolate Nibs (Cacao Nibs Sweet), Chocolate Nibs (Cacao Roasted Nibs), Powders (Cacao Powder)</t>
  </si>
  <si>
    <t>Other Grains, Pastas and Cereals: Rice (Paddy Chainat Rice), Rice (Paddy Glutinous Rice), Rice (Paddy Hommali Rice)</t>
  </si>
  <si>
    <t>Trees/Whole Plant Products/Flowers: Seeds (MILLET); Processed  Items: CANOLA EXPELLER, PEANUT EXPELLER, SOYBEAN EXPELLER, SUNFLOWER EXPELLER; Other Grains, Pastas and Cereals: Barley, CANOLA SEED, CORN, Oats (OAT), POPCORN, Rice (WHITE RICE), Rice (BROWN RICE), Sorghum, SUNFLOWER, Wheat; Oils &amp; Oleoresins: Essential Oils (CANOLA OIL), Essential Oils (SUNFLOWER OIL), Essential Oils (SOYBEAN OIL), Oils (AVOCADO OIL), Oils (COCONUT OIL); Nuts/Seeds: CHIA (Salvia hispanica L), FLAX, SESAME; Fruits/Vegetables: Beans (CHICKPEA), Beans (BEAN), Beans (SOYBEAN)</t>
  </si>
  <si>
    <t>Animal Feed: Layer Mash (Organic), Layer Mash Cool Season (Organic), Broiler Mash (Organic), Swine Finisher 14% (Organic), Pullet Developer (Organic); Other: Cornmeal (Floriani Red Flint Corn Whole Grain Polenta/Cornmeal-Stone Ground (Organic), Pungo Creek Dent Corn Whole Grain Polenta/Cornmeal-Stone Ground (Organic))</t>
  </si>
  <si>
    <t>Other Grains, Pastas and Cereals: Rye (VNS), Wheat (Buckwheat (VNS)); Other: Bagging seeds and grains, Seed and grain cleaning</t>
  </si>
  <si>
    <t>Processed  Items: Adathoda vasica leaves, Butterﬂy Pea, Centella asiatica (Gotu kola), Coconut Flour, Dehydrated Foods (Mango dehydrated), Dehydrated Foods (Papaya dehydrated), Dehydrated Foods (Banana coins dehydrated), Dehydrated Foods (Banana Dehydrated), Dehydrated Foods (Jackfruit dehydrated), Dried Heen Bovitiya, Dried Thebu, Gotukola coarse cut, Gotukola leaves, Gotukola powder, Guava leaves, Heen bovitiya, Hibiscus petals, Kamaranga (Star fruit) Leaves, Lemon grass powder, Lemongrass, Lemongrass coarse cut, Lemongrass ﬁne cut, Moringa, Moringa leaf powder, Moringa Leaf TBC, Moringa Leaves, Moringa leaves coarse cut, Papaya leaf dried TBC, Pineapple chunks in own juice, Pineapple dehydrated, Pineapple rings dehydrated, Tender Jack fruit dried, Thebu (Costus speciosus); Preservatives/Extracts/Flavors: Spices (Thulsi), Spices (Thulsi coarse cut), Spices (Thulsida), Spices (Turmeric), Spices (Turmeric coarse cut), Spices (Turmeric ﬁne cut), Spices (Turmeric Powder), Spices (Turmeric slices), Spices (Vanilla), Spices (Vanilla coarse cut), Spices (Vanilla Powder), Spices (White pepper coarse cut), Spices (White Pepper Powder), Spices (White Pepper TBC), Spices (White Peppercorn), Spices (Mace), Spices (Mace Fine Cut), Spices (Mace powder), Spices (Nutmeg (Whole)), Spices (Nutmeg Broken), Spices (Nutmeg chips (with shell)), Spices (Nutmeg coarse cut), Spices (Nutmeg dried), Spices (Nutmeg Fine Cut), Spices (Nutmeg ﬁne cut (without shell)), Spices (Nutmeg powder (with shell)), Spices (Nutmeg powder (without shell)), Spices (Nutmeg shell powder), Spices (Pepper), Spices (Pepper dried), Spices (Pepper green dehydrated), Spices (Peppermint), Spices (Peppermint dried), Spices (Black Pepper), Spices (Black Pepper Coarse Cut), Spices (Black pepper granulated), Spices (Black Pepper Powder), Spices (Black Pepper TBC), Spices (Black Peppercorn), Spices (Cardamom), Spices (Cardamom coarse cut), Spices (cardamom pod), Spices (Cardamom powder/ground), Spices (Cardamom TBC), Spices (Cardamom whole dried), Spices (Cinnamon), Spices (Cinnamon Broken and Chips), Spices (Cinnamon coarse cut), Spices (Cinnamon Drink), Spices (Cinnamon ﬁne cut), Spices (Cinnamon powder), Spices (Cinnamon quills), Spices (Cinnamon Sticks), Spices (Clove coarse cut), Spices (Clove Powder), Spices (Clove TBC), Spices (Cloves), Spices (Cloves dried), Spices (Cloves whole), Spices (Dried Thulsi), Spices (Dried Thulsida), Spices (Garcinia), Spices (Garcinia Dried), Spices (Ginger), Spices (Ginger coarse cut), Spices (Ginger ﬁne cut), Spices (Ginger Powder), Spices (Ginger slices), Spices (Curry Leaf powder), Spices (Curry Leaves), Spices (Curry leaves coarse cut), Spices (Curry leaves dried), Spices (Curry leaves TBC); Other Grains, Pastas and Cereals: Paddy; Oils &amp; Oleoresins: Oils (Virgin Coconut Oil), Oils (Nutmeg oil), Oils (Black Pepper Oil), Oils (Cardamom oil), Oils (Cinnamon bark oil), Oils (Cinnamon Leaf Oil), Oils (Clove oil), Oils (Extra Virgin Coconut Oil), Oils (Ginger oil), Oils (Coconut Oil); Nuts/Seeds: Palm Nuts (King coconut), Palm Nuts (Coconuts); Fruits/Vegetables: Bananas, Guava, Jackfruit, Kohila, Papayas, Pineapples, Star fruit (sour); Condiments and Sweeteners: Honey (Kitul treacle), Jaggary (kithul), Syrups (kitul sap); Beverage Related Products: Coconut Water, Coconut Water - raw, King coconut water, Tea (Tea), Tea (Tea green), Tea (White Tea), Tea (Black Tea - Organic), Tea (Black tea chai), Tea (Ceylon Sencha Tea), Tea (Iced tea); Other: Cassava, Mukunuwenna, Pandan leaves</t>
  </si>
  <si>
    <t>Processed  Items: Seeds (Tamarindo - - Tamarind Concentrate;
Tamarindo - - Tamarind Paste;
Tamarindo - - Tamarind Powder;), Spices (Arroz - Arroz - Non-Basmati Paddy;
Black pepper - Pimienta negra - Black Pepper;
Black pepper - Pimienta negra - Black Pepper Powder;
Cardamom - Cardamomo - Cardamom;
Cardamom - Cardamomo - Cardamom Powder;
Cardamom - Cardamomo - Chia;
Cinnamon (Cinnamomum verum) - Canela (Cinnamomum verum) - Cinnamon;
Cinnamon (Cinnamomum verum) - Canela (Cinnamomum verum) - Cinnamon (Powder);
Clove powder - Polvo de clavo - Clove Powder;
Coconut - Coco - Coconut;
Coriander seed (Coriandrum sativum) - Semilla de cilantro (Coriandrum sativum) - coriander;
Flour, meal and powder of the dried leguminous - - Horse gram (Macrotyloma uniflorum);
Ginger - Jengibre - Dry Ginger flakes;
Ginger - Jengibre - Dry Ginger Powder;
Ginger - Jengibre - Ginger Powder;
Ginger - Jengibre - Ginger sliced(Dried);
Legumes - Processed - - Red gram whole;
Long pepper - Pimienta larga (Piper longum) - Pepper long/Pippali (Piper longum);
Maize (corn) flour - Harina de Maíz - Maize/Cornflour;
Mango -  - Mango (fresh);
Millet grain - - Foxtail Millet;
Millet grain -  - Kodo/Kodon Millet;
Millet grain -  - Little Millet;
Millet grain - - Pearl Millet/Bajra;
Millet grain - - Proso Millet;
Millet grain -  - Ragi/Finger Millet grain;
Nutmeg seeds - Semillas de nuez moscada - Nutmeg Powder;
Nutmeg seeds - Semillas de nuez moscada - Nutmeg Whole;
Papaws - Papaya - Papaya (C.papaya);
Peanut - Cacahuate, maní - Groundnut/Peanut;
Peas - Arveja – Cowpea;
Spices - Especias - Cumin Whole/Seed;
Tamarindo - - Tamarind;
Tamarindo - - Tamarind Powder with Maize Starch;
Turmeric (Curcuma) - Cúrcuma - Turmeric Dried;
Turmeric (Curcuma) - Cúrcuma - Turmeric Powder;
White pepper crushed or ground - Pimienta blanca triturada o molida - White Pepper;)</t>
  </si>
  <si>
    <t>Processed  Items: Beans (Mung beans), Buckwheat Kernels roasted, Buckwheat kernels sprouted roasted, Dried jujube, Goji berries dried, Juice (Goji berries juice), Oils (Hempseed oil), Oils (Pumkin seed oil), Peanuts (Peanut kernels), Pine Nuts (Pinenut kernels), Powders (Hemp protein powder), Powders (Buckwheat Kernels powder), Powders (Goji berry powder), Powders (Pumpkin kernels shine skin powder), Powders (Pumkin kernel protein powder), Powders (Sunflower kernels powder), Powders (Sunflower protein powder), Powders (Watermelon seed protein powder), Pumpkin kernels shine skin; Other Grains, Pastas and Cereals: Buckwheat, Buckwheat Kernels, Millet, Soybean; Nuts/Seeds: Seeds (Flax seeds), Seeds (Hempseed), Seeds (Hempseed kernels), Seeds (Pumpkin seeds shine skin), Seeds (Pumpkin seeds grown without shell), Seeds (Sesame), Seeds (Sunflower kernels), Seeds (Watermelon seed kernels); Fruits/Vegetables: Black jujube</t>
  </si>
  <si>
    <t>Other Grains, Pastas and Cereals: Bran Byproduct, Wheat (Wheat Berries); Dry/Baking Goods: Flours and Meals (All Purpose Wheat Flour), Flours and Meals (Organic Millet Flour), Flours and Meals (Organic Wheat Bread Flour), Flours and Meals (Turkey Red Heritage Flour), Flours and Meals (Whole Wheat Flour), Flours and Meals (Clark's Cream Heritage Flour)</t>
  </si>
  <si>
    <t>Other: Freezing (Client Profile Products only) (Grains), Grains (Quinoa, Amaranth, &amp; Millet-Dry), Grains (Wheatberry &amp; Barley Blend-IQF), Packaging (Client Profile Products only) (Grains), Processing (Client Profile Products only) (Cooking Grains), Quinoa (IQF Tri-Color), Quinoa (Quinoa &amp; Kale-IQF), Quinoa (Red &amp; White Blend-IQF), Quinoa (Red/White - IQF), Quinoa (Red/White-Dry), Rice (Brown) (IQF), Rice (Wild) (IQF), Spelt (Farro (Spelt)-IQF), Wheat Berries (IQF)</t>
  </si>
  <si>
    <t>Other Grains, Pastas and Cereals: Cereal (Maize grain), Wheat (Wheat grain), Wheat (Wheat grain); Fiber Textiles: Cotton (Raw Cotton), Cotton (Raw Cotton); Other: Beans (Soyabean/ Soybean white), Beans (Soyabean/ Soybean white)</t>
  </si>
  <si>
    <t>Seasonings: Organic Ground Black Pepper; Preservatives/Extracts/Flavors: Extracts (Alcohol Free Turmeric Extract), Extracts (Ashwagandha Root Liquid Extract), Extracts (Dandelion Leaf and Root Liquid Extract), Extracts (Hawthorn Leaf and Berry Liquid Extract), Extracts (Organic Spagyric Lion's Mane Extract), Extracts (Spagyric Echinacea Purpurea Root Extract), Extracts (Spagyric Maitake Mushroom Extract), Extracts (Spagyric Reishi Mushroom Extract), Extracts (Spagyric Shiitake Mushroom Extract), Extracts (Tumeric Ginger Black Pepper Extract), Powders (Coconut Milk Powder), Powders (Freeze Dried Organic Banana Powder), Powders (Freeze Dried Organic Red Miso Powder), Powders (Freeze Dried Organic Yellow Miso Powder), Powders (Freeze-Dried Organic Acai Powder), Powders (Freeze-Dried Organic Blueberry Powder), Powders (Fresh Freeze Dried Sprout Powder Millet Sprout), Powders (Green Superfood Powdered Blend), Powders (Natural Cocoa Powder), Powders (Organic Ashwagandha Powder), Powders (Organic Barley Grass Powder), Powders (Organic Broccoli Sprout Powder), Powders (Organic Butter Powder), Powders (Organic Cabbage Powder), Powders (Organic Cacao Powder), Powders (Organic Camu Camu Powder), Powders (Organic Chaga Mushroom Powder), Powders (Organic Cinnamon Powder), Powders (Organic Clean Chlorella Powder), Powders (Organic Coconut Milk Powder), Powders (Organic Coconut Water Powder), Powders (Organic Cordyceps Mushroom Powder), Powders (Organic Cranberry Powder), Powders (Organic Daikon Radish Sprout Powder), Powders (Organic Dried Apple Peel Powder), Powders (Organic Freeze Dried Aloe Vera Powder), Powders (Organic Freeze Dried Aronia Powder), Powders (Organic Freeze Dried Elderberry Powder), Powders (Organic Freeze Dried MaquiBerry Powder), Powders (Organic Freeze-Dried Acai Powder), Powders (Organic Freeze-Dried Beet Juice Powder), Powders (Organic Ginger Powder), Powders (Organic Gluten-Free Vegan Plant-Based Pumpkin Seed Protein Powder), Powders (Organic Golden Flax Seed Powder), Powders (Organic Hawthorn Berry Powder), Powders (Organic Heavy Cream Powder), Powders (Organic Hemp Protein Powder), Powders (Organic Lion's Mane Mushroom Powder), Powders (Organic Lucuma Powder), Powders (Organic Maca Root Powder), Powders (Organic Maitake Mushroom Powder), Powders (Organic Matcha Powder), Powders (Organic Monk Fruit Extract Powder), Powders (Organic Monk Fruit Powder), Powders (Organic Moringa Leaf Powder), Powders (Organic Non-Fat Milk Powder), Powders (Organic Nopal cactus Powder), Powders (Organic Onion Powder), Powders (Organic Pea Protein Powder), Powders (Organic Quinoa Sprout Powder), Powders (Organic Reishi Mushroom Powder), Powders (Organic Sacha Inchi Powder), Powders (Organic Shiitake Mushroom Powder), Powders (Organic Spinach Powder), Powders (Organic Spirulina Powder), Powders (Organic Stevia Extract Powder), Powders (Organic Tomato Powder), Powders (Organic Turkey Tail Mushroom Powder), Powders (Organic Turmeric Root Powder), Powders (Organic Vanilla Powder), Powders (Organic Vanilla Pure Powder), Powders (Organic Wheat Grass Powder), Powders (Organic Whey Protein Powder), Powders (Organic White Cheddar Powder), Powders (Organin Curcumin Powder), Powders (Powdered Peanut Butter - Original Flavor), Powders (Organic Carob Powder), Powders (Organic Mesquite Powder), Powders (Organic Nettle Powder), Powders (Orgnaic Arjuna Powder (Terminalia Arjuna)); Personal Care: Deodorant (Organic Lemongrass Deodorant), Lemongrass Shampoo, Shampoo B6 Castile Bath Gel, Tea Tree and Lavender Shampoo; Other Grains, Pastas and Cereals: Oats (Organic Rolled Oats), Quinoa (Organic Quinoa), Quinoa (Organic Quinoa Elbow Pasta), Quinoa (Organic Red Quinoa), Quinoa (Organic Tri-color Quinoa), Quinoa (Organic White Quinoa), Rice (Organic Brown Rice), Rice (Organic Long Grain Brown Rice), Wheat (Organic Methow Red Hard Wheat Berries), Wheat (Organic Wheat bran); Oils &amp; Oleoresins: Oils (Black Cumin Seed Oil), Oils (Organic Cinnamon Bark Essential Oil), Oils (Organic Cinnamon Bark Oil), Oils (Organic Clove Bud Essential Oil), Oils (Organic Clove Bud Oil), Oils (Organic Eucalyptus Essential Oil), Oils (Organic Eucalyptus Radiata Oil), Oils (Organic Extra Virgin Coconut Oil), Oils (Organic Frankincense Serrata Essential Oil), Oils (Organic Golden Jojoba Oil), Oils (Organic Grapefruit Essential Oil), Oils (Organic Hemp Seed Oil - Cold-Pressed), Oils (Organic Lavender Essential Oil), Oils (Organic Lemon Essential Oil), Oils (Organic Lemon Oil), Oils (Organic MCT Oil), Oils (Organic Orange Sweet Essential Oil), Oils (Organic Origanum Oil), Oils (Organic Peppermint Essential Oil), Oils (Organic Rosemary Essential Oil), Oils (Organic Rosemary Oil), Oils (Organic Tea Tree Essential Oil), Oils (Organic Virgin Flax Seed Oil); Nuts/Seeds: Hemp Seeds, Hulled Sesame Seeds, Milled Golden Flaxseed, Nuts (Organic Macadamia Nuts Whole Kernels), Nuts (Organic Raw Cashews), Nuts (Organic Raw Cashews (Whole &amp; Pieces)), Nuts (Organic Sliced Almonds), Nuts (Organic Walnuts), Nuts (Raw Almonds), Nuts (Roasted Unsalted Almonds), Organic Black Chia Seeds, Organic Black Eyed Peas, Organic Brown Flax Seeds, Organic Hulled Hemp Seed, Organic Millet, Organic Pearled Barley, Organic Styrian Pumpkin Seeds, Organic Sunflower Seeds; Fruits/Vegetables: Beans (Organic Adzuki Beans), Beans (Organic Black Beans), Beans (Organic Pinto Beans), Berries (Blueberries Whole Wild - Freeze-Dried), Berries (Freeze Dried Cranberry Pieces), Berries (Freeze-Dried Organic Blackberry Halves), Berries (Freeze-Dried Organic Strawberry Pieces), Berries (Freeze-Dried Organic Whole Blueberries), Berries (Freeze-Dried Organic Whole Raspberries), Berries (Organic Freeze-Dried Strawberry Sliced), Berries (Organic Goji Berries), Berries (Organic Goji Berry), Berries (VitaBerry Fruit Blend), Boku Freeze-dried sprout blend, Chaga (lnonotus Obliquus), Cordyceps (Cordyceps militaris), Dark Northern Rye Flakes, Dehydrated Potato Flakes, Freeze Dried Banana 3/8" Diced Organic, Freeze Dried Organic Apple 3/8 Diced, Freeze Dried Organic Banana, Freeze Dried Organic Whole Corn, Fresh Freeze Dried Sprout Powder Buckwheat Sprout, Lion's Mane (Hericium Erinaceus), Maitake (Grifola Frondosa), Organic Amaranth, Organic Coconut Flakes, Organic Crystallized Ginger, Organic Freeze Dried Pineapple, Organic Freeze-Dried Mango Pieces, Organic Freeze-Dried Mango Slices, Organic Freeze-Dried Peas, Organic Freeze-Dried Pineapple, Organic Purple Karna Barley Flakes, Organic Red Lentils, Organic Thompson Raisins, Organic VitaVeggie, Reishi (Ganoderma Lucidum), Shiitake (Lentinula Edodes), Stone Fruit (Organic Freeze-Dried Sprout Blend), TruServ Organic Fruit Serving Blend, Turkey Tail (Trametes Versicolor), Vegetables (Freeze Dried Organic Broccoli), Vegetables (Organic Freeze-Dried Chopped Kale); Dry/Baking Goods: Coconut Chips, Flours and Meals (Organic Coconut Flour), Flours and Meals (Organic Tapioca Native Starch), Flours and Meals (Organic Tigernuts Flour Extra Fine), Sugar (Organic Maple Sugar), Sugar (Coconut Sugar), Sugar (Date Sugar), Sugar (Organic Coconut Palm Sugar), Sugar (Organic Coconut Sugar), Sugar (Organic Date Sugar); Cleaners: Cleaners (Specialty Cleaner Liquid Sunshine), Soaps (Citrus Body Soap), Soaps (Tea Tree and Lavender Body Soap), Soaps (Unscented Body Soap); Chocolate Goods: Chocolate Nibs (Organic Raw Cacao Nibs); Bread/Bakery/Snacks: Popcorn (Organic Yellow Popcorn Kernels); Beverage Related Products: Coffee (100% Organic Hand-Roasted Whole Bean Coffee (Decaf Honduras)), Coffee (100% Organic Hand-Roasted Whole Bean Coffee (El Guapo Espresso)), Coffee (100% Organic Hand-Roasted Whole Bean Coffee (Ethiopia)), Coffee (100% Organic Hand-Roasted Whole Bean Coffee (Frios Mio)), Coffee (100% Organic Hand-Roasted Whole Bean Coffee (Honey Processed Honduras)), Coffee (100% Organic Hand-Roasted Whole Bean Coffee (Sumatra)), Coffee (Freeze-Dried Fair Trade Organic Instant Coffee), Freeze Dried Banana, Apple and Blackcurrant Smoothie, Freeze Dried Banana, Apple and Cinnamon Smoothie, Freeze Dried Banana, Mango and Passion Fruit Smoothie, Freeze Dried Strawberry/Banana Smoothie; Other: Organic Aquamin F, Organic Bee Pollen, Organic Elderberry &amp; Echinacea</t>
  </si>
  <si>
    <t>Other Grains, Pastas and Cereals: Rice (Broken (Hommali, Brown, Red, Black) rice, Germ Germinated  (Brown Red, Black) rice, Germinated (Brown, Red, Black) rice, Mix rice (Hommali White, Hommali Brown, Red rice, Black rice), RD 15 (White, Brown, Germinated) rice, RD 43 (White, Brown, Germinated) rice, Thai Hommali (White, Cargo) rice)</t>
  </si>
  <si>
    <t>Other Grains, Pastas and Cereals: Rice (Hom Nin Rice, Rice Berry, Thai Black Cargo Rice, Thai Hom Mali Rice, Thai Hom Mali Rice (Cargo Rice), Thai Red Cargo Rice)</t>
  </si>
  <si>
    <t>Other: Cleaning of certified organic seed, Custom cleaning of organic seed and grain, Packaging of certified organic seed</t>
  </si>
  <si>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Extracts (Grape Seed Extract),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Slippery Elm Bark (Powder),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Wheat (Vital Wheat Gluten), Wheat (Wheat Bran), Whey (Whey Protein Powder, Protein Concentrate Powder, Protein Concentrate 80% Powder, Liquid Whey, Liquid Whey Protein)</t>
  </si>
  <si>
    <t>Other: Buckwheat Flour (Livestock Feed), Buckwheat Groats (Livestock Feed), Buckwheat Hulls (Livestock Feed), Buckwheat Screenings (Livestock Feed), Buckwheat, Whole (Livestock Feed), Corn Screenings (Livestock Feed), Corn, Purple Screenings (Livestock Feed), Corn, Purple, Whole (Livestock Feed), Corn, Whole (Livestock Feed), Custom Cleaning of Organic Grain, Flax Hull Lignins (Brown and Gold) (Livestock Feed), Flax Meal (Brown and Gold) (Livestock Feed), Flax Oil (Brown and Gold) (Livestock Feed), Flax Screenings (Brown and Gold) (Livestock Feed), Flax, Milled (Brown and Gold) (Livestock Feed), Flax, Whole (Brown and Gold) (Livestock Feed), Kernza Hulls (Livestock Feed), Kernza Screenings (Livestock Feed), Kernza, Whole (Livestock Feed), Milling, dehulling, cleaning and packaging of organic grains, Mixed Organic Grain Screenings (Livestock Feed), Oats Screenings (Livestock Feed), Oats, Whole (Livestock Feed), Oil extraction of organic flaxseed, Rye Screenings (Livestock Feed), Rye, Whole (Livestock Feed), Wheat Screenings (Livestock Feed), Wheat, Whole (Livestock Feed)</t>
  </si>
  <si>
    <t>Other: 70 % Cacao Dark Chocolate Lions Mane, 70% Cacao Dark Chocolate 5 Mushroom Blend, Almond Agaricus Sawdust Spawn, Black King Fruiting Block, Blewit Sawdust Spawn, Blue Oyster Fruiting Block, Blue Oyster Sawdust Spawn, Blue Oyster Spray and Grow Kit, Boomr Bag sterile substrate, Chestnut Fruiting Block, Chestnut Sawdust Spawn, Chicken of the Woods Sawdust Spawn, Drinking Chocolate with Functional Mushrooms, Golden Oyster Fruiting Block, Golden Oyster Sawdust Spawn, Golden Oyster Spray and Grow, Grain Spawn Bags, Hen of the Woods Sawdust Spawn, Injection Port Bags, Italian Oyster Fruiting Block, Italian Oyster Sawdust Spawn, King Trumpet Fruiting Block, Landscape Morel Sawdust Spawn, Lion's Mane Fruiting Block, Lion's Mane Sawdust Spawn, Lion's Mane Spray and Grow, Liquid Culture, Malt Yeast Agar (approved growth media), Medicinal Tincture (Lions Mane Mushroom Tincture, Immunity Mushroom Blend Tincture, Chaga Mushroom Tincture, Cordyceps Mushroom Tincture, Reishi Mushroom Tincture), Morel Sawdust Spawn, Nameko Fruiting Block, Nameko Sawdust Spawn, Organic millet, Pink Oyster Fruiting Block, Pink Oyster Sawdust Spawn, Pink Oyster Spray and Grow, Pioppino Fruiting Block, Potato Dextrose Agar (approved growth media), Reishi Fruiting Block, Reishi lucidum Sawdust Spawn, Reishi tsugae Sawdust Spawn, Shiitake Fruiting Block, Shiitake Sawdust Spawn, Snow Oyster Fruiting Block, Snow Oyster Sawdust Spawn, Wine Cap Sawdust Spawn, Woodlovr Sterile Substrate</t>
  </si>
  <si>
    <t>Other: Okara, Soy Whey, Tempeh, Tempeh, 5-Grain, Tempeh, Soy, Tofu, Caribbean, Tofu, Extra Firm, Tofu, Firm, Tofu, Firm, Tofu, Lin, Tofu, Smoked, Tofu, Smoked, Tofu, Vacuum Pack, Veggie Bacon</t>
  </si>
  <si>
    <t>Other Grains, Pastas and Cereals: Alfalfa, Barley, Black sesame, Chickpeas, Corn / Maize, Corn cob, Cowpea, Cracked corn, Glutinous millet, Green soybeans with green kernels, Hulled millet, Lentil, Millet, Oats (Oat kernel), Oats, Pea, Pearl barley (Coix), Quinoa (Quinoa/ASIAN TASTE Quinoa), Rice, Rice (Paddy), Rice (Glutinous paddy), Rice (Glutinous rice), Rice (Brown rice), Rice (Black paddy), Rice (Black rice), Sesame, Sorghum (Sorghum/ASIAN TASTE Sorghum), Sorghum (Sorghum kernel), Soybean dehulled, Soybean/ASIAN TASTE Soybean, Squashed corn, Wheat, Wheat (Buckwheat), Wheat (Buckwheat kernel/ASIAN TASTE Buckwheat kernel), White sesame; Nuts/Seeds: Flax seed, Hemp seed, Hempseed hulled, Perilla seeds, Pine Nuts, Pine Nuts (Pinenut kernels), Pumpkin seed, Pumpkin seed kernel, Rapeseed,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(White kidney bean), Berries (Goji berries), Potato, Sweet potato; Animal Feed: Livestock Feed (Copra cake), Livestock Feed (Flax cake), Livestock Feed (Flax meal), Livestock Feed (Rapeseed cake (Canola seed cake)), Livestock Feed (Rapeseed meal (Canola seed meal)), Livestock Feed (Rice bran), Livestock Feed (Rice bran cake), Livestock Feed (Rice bran meal), Livestock Feed (Sesame cake), Livestock Feed (Sesame meal), Livestock Feed (Soybean cake), Livestock Feed (Soybean meal), Livestock Feed (Sunflower cake), Livestock Feed (Sunflower meal), Livestock Feed (Wheat bran)</t>
  </si>
  <si>
    <t>Other Grains, Pastas and Cereals: Flours and Meals (Whole Grains or Seeds: Corn), Wheat (Whole Grains or Seeds: Hard White Spring Wheat), Wheat (Whole Grains or Seeds: Soft White Wheat), Wheat (Whole Grains or Seeds: Dark Northern Spring Wheat), Wheat (Whole Grains or Seeds: Hard Red Winter Wheat); Fruits/Vegetables: Dehydrated Foods (Dried: Chickpeas)</t>
  </si>
  <si>
    <t>Other Grains, Pastas and Cereals: Barley (Whole Grains or Seeds: Barley), Flours and Meals (Flour: Edison Whole Grain Flour), Flours and Meals (Flour: Edison All-Purpose Flour), Flours and Meals (Flour: Whole Grain Expresso Bread Flour), Flours and Meals (Flour: All Purpose Flour), Flours and Meals (Flour: Expresso Artisan Bread Flour), Flours and Meals (Flour: Skagit 1109 Specialty Flour), Flours and Meals (Flour: Expresso Bread Flour), Flours and Meals (Flour: Patagonia Edison All-Purpose Flour), Flours and Meals (Flour: Bread Flour), Flours and Meals (Whole Grains or Seeds: Rye), Wheat (Whole Grains or Seeds: Cara Club Soft White Winter Wheat Berries), Wheat (Whole Grains or Seeds: Edison Hard White Spring Wheat Berries), Wheat (Whole Grains or Seeds: Skagit 1109 Hard Red Winter Wheat Berries), Wheat (Whole Grains or Seeds: JD Club Soft White Wheat Berries), Wheat (Whole Grains or Seeds: Expresso Hard Red Spring Wheat Berries), Wheat (Whole Grains or Seeds: Wheat)</t>
  </si>
  <si>
    <t>Other Grains, Pastas and Cereals: Seeds (Whole Grains or Seeds: Raw Pumpkin Seeds); Nuts/Seeds: Nuts (Brazil Nut: Assorted Varieties), Nuts (Macadamia: Raw Macadamia Nuts), Nuts (Hazelnuts: Assorted Varieties), Nuts (Almonds: Assorted Varieties), Nuts (Walnuts: Assorted Varieties), Nuts (Cashew Nuts: Assorted Varieties), Nuts (Pecans: Assorted Varieties); Fruits/Vegetables: Berries (Raspberries: Assorted Varieties), Berries (Strawberries: Assorted Varieties), Dehydrated Foods (Dried: Goldenberries), Dehydrated Foods (Dried: Wild Blueberries), Dehydrated Foods (Dried: Blueberry Powder), Dehydrated Foods (Dried: Acai Powder), Dehydrated Foods (Dried: Cranberry Fruit Powder), Dehydrated Foods (Dried: Barberry), Dehydrated Foods (Dried: Billberry Fruit Powder), Dehydrated Foods (Dried: Goldenberry Fruit Powder), Dehydrated Foods (Dried: Bing Cherries), Dehydrated Foods (Dried: Tart Cherries), Dehydrated Foods (Dried: Tart Cherry Powder), Dehydrated Foods (Dried: Pineapples), Dehydrated Foods (Dried: Pomegranate Arils), Dehydrated Foods (Dried: Bananas), Dehydrated Foods (Dried: Sea Buckthorn (Whole)), Dehydrated Foods (Dried: Strawberry Powder), Dehydrated Foods (Dried: Lingonberry Powder), Dehydrated Foods (Dried: Aronia Berries), Dehydrated Foods (Dried: Aronia Fruit Powder), Dehydrated Foods (Dried: Black Currants), Dehydrated Foods (Dried: Elderberries), Dehydrated Foods (Dried: Mangos), Dehydrated Foods (Dried: Mango Powder), Dehydrated Foods (Dried: Raspberry Powder), Dehydrated Foods (Dried: Wild Bilberries), Dehydrated Foods (Dried: White Mulberries), Dehydrated Foods (Dried: Black Mulberries), Mixed Fruit (Frozen: Tart Cherries), Mixed Fruit (Frozen: Montmorency Tart Cherries), Mixed Fruit (Frozen: Sweet Cherries), Mixed Fruit (Frozen: Dark Tart Cherries), Mixed Fruit (Frozen: Wild Blueberries), Mixed Fruit (Frozen: Blueberries), Mixed Fruit (Frozen: Black Currants), Mixed Fruit (Frozen: Red Currants), Mixed Fruit (Frozen: Cranberries), Mixed Fruit (Frozen: Strawberries), Mixed Fruit (Frozen: Black Mulberries), Mixed Fruit (Frozen: Super Berry Blend), Mixed Fruit (Frozen: Pomegranate Arils), Mixed Fruit (Frozen: Elderberries), Mixed Fruit (Frozen: Bananas), Mixed Fruit (Frozen: Green Gooseberries), Mixed Fruit (Frozen: Red Gooseberries), Mixed Fruit (Frozen: Bilberries), Mixed Fruit (Frozen: Sea Buckthorns), Mixed Fruit (Frozen: Mangos), Mixed Fruit (Frozen: Peaches), Mixed Fruit (Frozen: Lingonberry), Mixed Fruit (Frozen: Pineapples), Mixed Fruit (Frozen: Honeyberries), Mixed Fruit (Frozen: Raspberries), Mixed Fruit (Frozen: Golden Raspberries), Mixed Fruit (Frozen: Blackberries), Mixed Fruit (Frozen: Aronia Berries), Ready to Eat Foods (Prepared Fruit or Vegetables: Emma's Smoothie Pops - Strawberry), Ready to Eat Foods (Prepared Fruit or Vegetables: Emma's Smoothie Pops - Mango), Ready to Eat Foods (Prepared Fruit or Vegetables: Emma's Smoothie Pops - Blueberry), Vegetables (Frozen: Zucchini (IQF Slices)), Vegetables (Frozen: Kale), Vegetables (Frozen: Goldenberries), Vegetables (Frozen: Rhubarb); Other: Dried: Cascadia Mushrooms - Oyster, Dried: Cascadia Mushrooms - Reishi, Dried: Cascadia Mushrooms - Shiitake, Dried: Lion's Mane, Dried: Oyster, Dried: Reishi, Dried: Shiitake, Frozen: Fresh Frozen Maitake, Frozen: Fresh Frozen Shiitake, Mushrooms: Oyster, Mushrooms: Shiitake</t>
  </si>
  <si>
    <t>Other: Broker &amp; Distribution Services (Alfafla, Alfalfa Pellets, Almond Hulls, Barley, Brown Rice, Brown Rice Flour, Brown Rice Syrup, Buckwheat, Camelina Meal, Canola, Canola Meal, Canola Oil, Chia Seeds, Coconut Oil, Dried Distiller Grains, Faba Beans, Flax Oil, Flax Screenings, Flaxseed, Flaxseed Meal, Grain Screenings, Great Northern Beans, Green Split Peas, Hard Red Spring Wheat, Hard Red Winter Wheat, Hominy, Millet, Molasses, Oats, Peas, Pinto Beans, Popcorn, Quinoa, Rapeseed Meal, Rice Bran, Rice Hulls, Rye, Soft Red Wheat, Soft White Wheat, Sorghum, Soy Hull Pellets, Soy Hulls, Soybean Meal, Soybean Oil, Sugar, Sunflower Oil, Sunflower Seed, Sunflower Seed Meal, Wheat, Wheat Bran, Wheat Flour, Wheat Middlings, Wheat Millrun, Wheat Screenings, Wheat Straw, Whole Corn, Whole Cottonseed, Yellow Split Peas)</t>
  </si>
  <si>
    <t>Other: Agave Nectar Blue Agave Light (NOW Real Food) (6906B), Alfalfa seeds (57210), Allulose (Slender Zero ™), Almond Flour, Almonds, Raw, Amaranth Grain ( 56210) - 6211, Apricots, Dried, Avocado Oil, Beet Sugar, Brazil Nuts, Cacao Nibs, Cacao Powder, Raw, Cane Sugar, Cashews, Whole Raw, Castor Oil, Chia Seeds, Black, Chia Seeds, White, Chlorella Powder, Cocoa Powder, Coconut Dessicated, Coconut Flour, Coconut Milk Powder, Coconut Oil, Coconut Oil (51725) - 1725, 1726, 1735, Coconut Sugar, Date Sugar, Erythritol, Erythritol Confectioner's Powder, Flax Seed Meal, Flax Seeds, Ginger Dices, Crystallized, Golden Flax Seed Meal, Golden Flax Seeds, Goldenberries, Hemp Seeds Hulled (56243) - 6281, Hot Cocoa Mix, Inulin Powder, Jojoba Oil, Jojoba Oil, MCT Oil (Coconut), MCT Oil (Coconut) - 2235N, 2236N, Millet Hulled, Monk Fruit (Organic) with Organic Erythritol (1 to 1 Sugar Replacement) 7124, Non-Fat Dry Milk, Oat Bran, Oat Milk Powder, Pea Protein, Pecans, Pine Nuts, Popcorn, Popcorn (56305), Psyllium Husk Powder, Pumpkin Seeds Unsalted, Quinoa ( 56310) - 6311, Quinoa-Tri-Colored (56314) - 6314, Sesame Seed Oil, Sesame Seeds, Shea butter, Soy Milk Powder (55836) - 5837, Spirulina Powder, Sprouted Brown Rice, Steel Cut Oat, Steel Cut Oats, Stevia Extract Powder, Stevia Extract Powder, Sucanat (56965) - 6965, Sunflower Salted Roasted, Sunflower Seeds Hulled, Tapioca Flour (56184) - 6181, Triple Omega Seed Mix 66323, Triple Omega Seed Mix 66323 - 6323, Vegetable Glycerin - 7684, Walnuts Raw Halves &amp; Pieces, Xylitol</t>
  </si>
  <si>
    <t>Other: Acacia Fiber, Acacia Fiber, Acacia Fiber, Acacia Fiber, Agave Nectar, Amber, Agave Nectar, Light, Agave Powder Inulin, Alfalfa Seeds, Allulose (Slender Zero ™), Allulose Syrup, Allulose Syrup (Slender Zero ™), Almond Flour, Almond Flour, Almond Oil, Almond Oil, Almonds, Raw, Almonds, Raw, Amaranth Grain, Amaranth Grain, Apricots, Dried, Apricots, Dried, Argan Oil, Argan Oil, Argan Oil, Argan Oil, Ashwaganda Liquid Extract, Ashwaganda Liquid Extract (Canada Market Label), Ashwagandha Root Extract (24702), Avocado Oil, Avocado Oil, Avocado Oil, Beet Sugar, Beet Sugar, Bergamot Oil, Better off Red Tea, Better Stevia Monk Fruit, Black Chia Seeds, Black Chia Seeds, Black Tea, Brazil Nuts, Brazil Nuts, Cacao Nibs, Cacao Nibs, Cacao Powder, Cacao powder, Raw, Cane Sugar, Cane Sugar, Cashews Raw Whole, Cashews, Raw Whole, Castor Oil, Castor Oil, Cauliflower Elbow Pasta, Cauliflower Rotini Pasta, Chamomile Tea, Chia Seeds, White, Chlorella Powder, Chlorella Powder, Chlorella Tablets, Chlorella Tablets, Chlorella Tablets, Cinnamon Cassia Essential Oil, Cinnamon Cassia Essential Oil, Clove Bud Oil, Cocoa Lover's™ Slender Hot Cocoa, Cocoa Powder, Coconut Dessicated, Coconut Flour, Coconut Flour, Coconut Milk Powder, Coconut Milk Powder,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Liquid, Coconut Sugar, Coconut Sugar, Coconut, Desiccated, Cordyceps Sinensis Mycelium (Powder, Extract) (53004), Dandelion Tea, Dark Brown Sugar, Dark Brown Sugar, Date Sugar, D-Mannose (Bulk), D-Mannose Pure Powder, D-Mannose Pure Powder, D-Mannose Pure Powder, Erythritol, Erythritol (56923), Erythritol Confectioner's Powder, Erythritol Confectioner's Powder (56901), Erythritol Powder, Eucalyptus EO Roll-On, Eucalyptus Oil, Eucalyptus Oil, Eucalyptus Oil, Eucalyptus Oil, Extra Virgin Olive Oil, Extra Virgin Olive Oil, Fiber, Fiber - 3 (65993) - 5993, Fiber 3, Fiber 3, Fiber 3, Fiber 3, Fiber 3, Fiber 3, Fiber 3, Fiber 3, Fiber 3, Fiber 3, Fiber-3, Flax Seed Meal, Flax Seed Meal, Flax Seed Oil, Flax Seeds, Flax Seeds, Freeze-dried Acai Powder (54806), Geranium Oil, Ginger Dices, Crystallized, Ginger Dices, Crystallized, Ginger Slices, Crystallized, Ginger Slices, Crystallized, Glycerine, Golden Flax Seed Meal, Golden Flax Seed Meal, Golden Flax Seeds, Golden Flax Seeds, Goldenberries, Goldenberries, Green Kick Tea, Green Tranquility Tea, Hemp Seed Oil (51793), Hemp Seeds Hulled, Hemp Seeds Hulled (Hearts), Hip Hibiscus Tea, Hip Hibiscus Tea (Canada Market Label), Hot Cocoa Mix, Inulin Powder, Inulin Powder, Inulin Powder, Inulin Prebiotic Powder, Jojoba Oil, Jojoba Oil, Jojoba Oil, Kelp Powder, Kelp Powder (52682), Lavender EO Roll-On, Lavender Essential Oil, Lavender Oil, Lavender Oil, Lavender Oil, Lemon Essential Oil, Lemon Oil, Lemon Oil, Lemon Oil, Lemongrass Oil, Lemongrass Oil, Lemongrass Oil, Let it Be Organically Organic Essential Oils Kit, Licorice Glycerite, Liofruit 100 - Organic Freeze Dried Acai (54806), Lion's Mane Mushroom 500mg Plantcaps, Lion's Mane Mushroom 500mg Plantcaps®, Lion's Mane Mushroom Extract Powder, Liquid Monkfruit - Chocolate, Liquid Monkfruit - Vanilla, Maca Pure Powder, Maca Pure Powder, Maple Syrup, Grade A Dark Color Formerly Grade B, Maple Syrup, Grade A Medium Amber, Marula Oil, Matcha Tea, MCT (Coconut) Oil, MCT Oil, Millet, Hulled, Millet, Hulled, Monk Fruit Alcohol - Free Liquid, Monk Fruit Extract Powder, Monk Fruit Extract Powder (56841) - 7120, Monk Fruit Extract Powder (Bulk), Monk Fruit Keto Friendly Packets, Monk Fruit Liquid Sweetener - Amaretto, Monk Fruit Liquid Sweetener - Caramel, Monk Fruit with Erythritol (1 to 1 Sugar Replacement), Monk Fruit Zero Calorie Liquid Sweetener, Monk Fruit Zero Calorie Liquid Sweetener, Monk Fruit Zero Calorie Liquid Sweetener, Monk Fruit Zero Calorie Liquid Sweetener, Monk Fruit Zero Calorie Liquid Sweetener, Monk Fruit Zero Calorie Liquid Sweetener, Moringa Leaf 400mg Vcaps, Non-Fat Dry Milk, Non-Fat Dry Milk, Oat Bran, Oat Bran, Oat Milk Powder, Oat Milk Powder, Orange Oil, Orange Oil, Orange Oil, Orange Oil, Oregano Oil, Oregano Oil (57443) - 7443, Pea Protein, Pea Protein, Pea Protein, Pecans, Peppermint EO Roll-On, Peppermint Essential Oil, Peppermint Oil, Peppermint Oil, Peppermint Oil, Peppermint Tea, Pine Nuts, Pine Nuts, Plant Protein Chocolate, Plant Protein Chocolate Powder Mix Bulk, Plant Protein Unflavored, Plant Protein Unflavored Powder Mix Bulk, Plant Protein Vanilla, Plant Protein Vanilla Powder Mix Bulk, Popcorn, Popcorn, Prebiotic Inulin Fiber, Psyllium Husk Powder, Psyllium Husk Powder, Psyllium Husk Powder, Psyllium Husk Powder (55966) - 5966, Psyllium Husk Whole, Psyllium Husk Whole, Psyllium Husk Whole (55968) - 5968, Pumpkin Seed Oil, Pumpkin Seed Oil, Pumpkin Seed Protein, Pumpkin Seed Protein Powder, Pumpkin Seeds Unsalted, Pumpkin Seeds, Unsalted, Quinoa, Quinoa - Tri-Colored, Quinoa (White) 56310, Quinoa Macaroni Pasta, Quinoa Penne Pasta, Quinoa Spaghetti Pasta, Quinoa-Tri-Colored,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(53500D) - 3501, 3500, 3499, Red Yeast Rice Powder, Rice Bran Extract (60068), Rolled Oats, Rolled Oats, Rose Hip Seed Oil, Rose Hip Seed Oil, Rosemary Oil, Rosemary Oil, Senna Mint Tea, Senna Mint Tea (Canada Label), Senna Tea, Senna Tea, Senna Tea (Canada Label), Sesame Oil, Extra Virgin, Sesame Seed Oil, Sesame Seed Oil, Sesame Seeds, Shea Butter, Shea Butter, Soy Milk Powder, Soy Milk Powder (55836), Soy Protein, Textured Granules, Soy Protein, Textured Granules, Spearmint Oil, Spearmint Oil, Spirulina Powder, Spirulina Powder, Spirulina Tablets, Spirulina Tablets, Spirulina Tablets, Spirulina Tablets, Spirulina Tablets, Spirulina Tablets, Spirulina Tablets, Spirulina Tablets, Spirulina Tablets, Spirulina Tablets, Spirulina Tablets, Spirulina Tablets, 1000 MG, Spirulina Tablets, 3000 MG, Sprouted Brown Rice, Sprouted Brown Rice, Steel Cut Oats, Steel Cut Oats, Stevia, Stevia Extract Liquid,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Liquid, Stevia Extract, Liquid, Stevia Extract, Liquid, Stevia Extract, Liquid, Stevia Glycerite (66952B), Stevia Glycerite (66952B), Stevia Packets, Stevia Packets, Stevia Packets, Sucanat, Sucanat Cane Sugar, Sunflower Oil, Refined High Oleic, Sunflower Oil, Refined High Oleic, Sunflower Seeds, Hulled, Sunflower Seeds, Hulled, Tamanu Oil, Tapioca Flour, Tapioca Flour, Tea Tree EO Roll-On, Tea Tree Oil, Tea Tree Oil, Tea Tree Oil, Tea Tree Oil, Triple Omega Seed Mix, Triple Omega Seed Mix, Turkey Tail 500mg Veg Capsules, Turmeric Ginger Tea, Turmeric Liquid Extract, Turmeric Liquid Extract (Canada Label), Vegetable Glycerine, Walnuts, Raw Halves &amp; Pieces, Walnuts, Raw Halves and Pieces, Wheat Grass Powder, Whey Protein Concentrate (WPC-80), Xylitol, Xylitol (57139)</t>
  </si>
  <si>
    <t>Other: Basmati Rice, Bay leaf, Bengal Gram Whole, Black gram /Urad (Vigna Sp), Black gram White, Black pepper, Broken Rice, Chana Dal, Chitra Kidney beans /Rajma, Cinnamon Bark, coconut, coconut oil, Foxtail Millet, Green Cardamom, Green peas, Groundnut / peanut, Idly rava, Jaggery, Jaggery powder, Kabuli chana, Kodo /kodo Millet, Little Millet, Moong dal, NON basmati rice, NON basmati rice (Sonamasoor Brown Rice), NON basmati rice (Sonamasuri Handpound Rice), Non Basmati Rice Broken, Ragi /Finger millet Grain, Red chilli powder, Red chilli Whole, Red Kidney Beans / Rajma, Red rice, Rice handpounded, Rice sona masuri (Idli Rice), Rice sona masuri (Non Basmati Rice), Rice sona masuri (ponni rice), Rice sona masuri (Sonamasuri Brown Rice), Rice sona masuri (Sonamasuri Handpound Rice), Rice sona masuri (Sonamasuri Semi polished rice), Rice sona masuri (Sonamasuri Unpolished Rice), Rice sona masuri (Sonamsuri polished rice), Sawan / Barnyard Millet, Suji / Semolina / Cream of wheat, Tur / toor dal, Wheat Poridge / Daliya (Roasted)</t>
  </si>
  <si>
    <t>Other: Grains (Coarse White Pearled Grain Sorghum Flour), Grains (Coarse White Whole Grain Sorghum Flour), Grains (White Cut Sorghum Grain), Grains (White Pearled Sorghum Flour), Grains (White Pearled Sorghum Grain), Grains (White Pearled Sorgum Meal), Grains (White Popped Sorghum), Grains (White Whole Grain Sorghum Flour), Grains (White Whole Sorghum Grain), Grains (White Whole Sorghum Meal), Oats (NutraEZ Oat Flour (Bulk Non-retail)), Seed Butter (Sunflower Kernel Paste)</t>
  </si>
  <si>
    <t>Other: Alfalfa Leaf Juice Powder, Alfalfa Leaf Juice Powder, Alfalfa Leaf Powder, Algae Juice Powder (100% Klamath Lake Algae Powder), Barley Grass Juice Powder, Barley Grass Juice Powder, Barley Grass Juice Powder, Barley Grass Juice Powder (Barley Grass Juice Powder - 150g), Barley Grass Juice Powder (Barley Grass Juice Powder 150g), Barley Grass Juice Powder (Barley Grass Juice Powder 250g), Barley Grass Juice Powder (Barley Max Alfalfa Free), Barley Grass Juice Powder (Barley Max Berry), Barley Grass Juice Powder (Barley Max Mint), Barley Grass Juice Powder (Barley Max Original), Barley Grass Powder, Barley Grass Powder (Barley Grass Juice Powder With Probiotics), Beet Juice Powder (BioBeet Juice Powder - 150g), Beet Juice Powder (BioBeet Juice Powder Cherry Flavor - 172g), Beet Powder (Beet Juice Powder), Beet Powder (Beet Juice Powder), Beet Powder (Beet Max), Beet Powder (Beet Powder), Beet Powder (Beet Root Juice Powder 150g), Beet Powder (Beta Beet), Beet Root Extract (Beet Vital 60ct), Blended Fruit Powder (Fruits and Berries - Berry Flavored), Blended Fruit Powder (Fruits and Berries Natural), Blended Fruit Powder (Premium Fruits &amp; Berries 90ct / 180ct), Blended Fruit Powder (Premium Super Fruits and Berries Berry), Blended Fruit Powder (Premium Super Fruits and Berries Natural), Blended Fruit Powder (Super Reds 227 Gram), Blended Fruit Powder (Super Reds 30ct - 6 gram Stick Packs), Blended Vegetable Powder (Advanced Superfood Berry), Blended Vegetable Powder (Advanced Superfood Plain), Blended Vegetable Powder (Carrot Plus), Blended Vegetable Powder (Earth Greens), Blended Vegetable Powder (Essential Protein Almost Chocolate), Blended Vegetable Powder (Essential Protein Pure), Blended Vegetable Powder (Essential Protein Sweet Vanilla), Blended Vegetable Powder (Essential Protein Tropical), Blended Vegetable Powder (Fuel PM), Blended Vegetable Powder (Plant Protein Chocolate), Blended Vegetable Powder (Plant Protein Vanilla), Blended Vegetable Powder (Premium Feast), Blended Vegetable Powder (Premium Feast Plus MCT - Cherry / Berry), Blended Vegetable Powder (Premium Feast Plus MCT - Chocolate), Blended Vegetable Powder (Premium Feast Plus MCT - Natural), Blended Vegetable Powder (Premium Super Veggies and Greens Natural), Blended Vegetable Powder (Premium Super Veggies and Greens Pineapple Mint), Blended Vegetable Powder (Premium Veggie Protein Chocolate), Blended Vegetable Powder (Premium Veggie Protein Natural), Blended Vegetable Powder (Premium Veggie Protein Pina Colada), Blended Vegetable Powder (Premium Veggie Protein Vanilla), Blended Vegetable Powder (Premium Veggies &amp; Greens 90ct / 180ct), Blended Vegetable Powder (Trio Max), Blended Vegetable Powder (Veggies and Greens Natural), Blended Vegetable Powder (Veggies and Greens Pineapple Mint), Blue Green Algae (AFA - 100g), Blue Green Algae (AFA - 50g), Carrot Powder (Beta Carrot), Carrot Powder (Carrot Juice Max), Carrot Powder (Carrot Juice Max Grapefruit Ginger), Carrot Powder (Carrot Juice Powder), Carrot Powder (Carrot Powder), Chaga (Chaga  Mushroom Powder 227g), Cherry Juice Powder (Tart Cherry Juice Powder - 150g), Chlorella (Bio Chlorella Powder), Concord Grape Powder (Concord Grape Juice Powder), Drink Mix (7.365 pH Protein Shake - Vanilla Ice Cream), Drink Mix (7.365 pH Protein Shake Chocolate Kiss), Elderberry Extract (Elderberry Syrup 4oz), Greens Powder (Green Blend), Greens Powder (Green Power - Stick Packs), Greens Powder (Jurassic Greens), Greens Powder (Premium Greens Natural), Greens Powder (Premium Greens Pineapple Mint), Herbal Supplement (More-Live 30ct Stick Packs), Herbal Supplement (Plant Aminos), Kale Powder (Kale Juice Powder), Kamut Powder (Kamut Grass Juice Powder), Kamut Powder (Kamut Grass Powder), Lemon Powder (Lemon Juice Powder), Maqui Powder (Maqui Berry Juice Powder), Misc (BioActive B12 1,000mcg), Misc (BioActive B12 5,000mcg), Misc (BioBeet 60ct), Misc (Bio-Iron 7.6oz), Misc (Biotin 10,000 mcg - 2oz), Misc (C-Strum Capsules), Misc (C-Strum Powder), Misc (L-Methylfolate 5-MTHF (7.5 mg) 1oz), Misc (L-Methylfolate 5-MTHF (Childrens) 1oz), Misc (Methylfolate +B12 15mg), Misc (Methylfolate +B12 1mg), Misc (MycoMax Lion's Mane Extract 60ct), Misc (MycoMax Lion's Mane Extract 8oz), Misc (MycoMax Mushroom Extract Complex 60ct), Misc (MycoMax Mushroom Extract Complex 8oz), Misc (Plant 5-HTP), Misc (Plant C Whole Food Vitamin C 8oz), Misc (Plant C Whole Food Vitamin C 90ct), Misc (Plant D3), Misc (Plant D3 + K2 (10,000 iu) 60ct), Misc (Plant D3 + K2 (5,000 iu) 60ct), Misc (Plant D3 10,000iu), Misc (Plant D3 60ct), Misc (Plant D3 Plus K2 (10,000 iu) 1oz), Misc (Plant D3 Plus K2 (5,000 iu) 1oz), Misc (Plant Iodine 60ct), Misc (Saffron RX 30ct), Misc (Total K-2 1oz), Misc (Total K2 60ct), Misc. Grain Powder (ModCarb), Misc. Vegetable Powder (5 Grass Juice Blend 150g), Mushroom Extract (MycoMax Cordyceps Extract 60ct), Mushroom Extract (MycoMax Cordyceps Extract 8oz), Mushroom Extract (MycoMax Reishi Extract 60ct), Mushroom Extract (MycoMax Reishi Extract 8oz), Oat Grass Juice Powder, Oat Grass Powder, Parsley (Powder), Powder (Blue Glow), Powder (Carrot Powder 120ct), Powder (Chai Balance), Powder (Golden Milk + K2 &amp; D3 Powder), Powder (Golden Milk 90g), Powder (Green Fuel ), Probiotic (Flora Biome S. Boulardii (10 billion CFU) 60ct), Protein (Protein + Omegas Chocolate), Protein (Protein + Omegas Vanilla ), Spirulina (Blue Spirulina Powder), Spirulina (Powder), Tablets (Bio Chlorella ), Tablets (Blue-Green Superfood), Tablets (Spirulina), Vitamin Mineral Blend (Plant Iodine), Vitamin Mineral Blend (Plant Iron 90ct), Vitamin Mineral Blend (Plant Magnesium), Vitamin Mineral Blend (Plant Zinc), Vitamin Mineral Blend (Vitamin D3 50,000iu - 2oz), Wheat Grass Juice Powder, Wheat Grass Juice Powder, Wheat Grass Juice Powder (Wheat Grass Juice Powder - Plain 199g), Wheat Grass Juice Powder (Wheat Grass Juice Powder 150g), Wheat Grass Juice Powder (Wheat Grass Juice Powder 199g), Wheat Grass Juice Powder (Wheat Grass Juice Pwd 150g), Wheat Grass Juice Powder (Wheat Grass Juice Pwd Lemon Flavor - 175g), Wheat Grass Juice Powder (Wheatgrass Juice Capsules 150ct), Wheat Grass Powder, Wheat Grass Powder (80: 20 blend), Wheatgrass Powder (Wheat Grass Juice Powder), Wheatgrass Powder (Wheat Grass Juice Powder Berry/Lemon Flavor)</t>
  </si>
  <si>
    <t>Baby Food: Baby Food (Advancing Textures - Pumpkin &amp; Tomato Paella Bowl), Baby Food (Advancing Textures - Sweet Potato &amp; Coconut Curry Bowl), Baby Food (Baby Snack - Puff Variety Pack), Baby Food (Baby Snack - Teether Variety Pack), Baby Food (Baby Snack -Yogi Variety Pack), Baby Food (Beef &amp; Quinoa Fiesta Bowl), Baby Food (Brain Support Blend - Apples, Purple Carrots &amp; Guava ), Baby Food (Brain Support Blend - Bananas, Spinach, Passion Fruit &amp; Oats ), Baby Food (Broccoli &amp; Carrot with Olive Oil and Garlic), Baby Food (Brown Rice Cereal (China Export Only)), Baby Food (Clearly Crafted - Jars - Variety Pack), Baby Food (Clearly Crafted - Pouches - Variety Pack), Baby Food (Creamies: Apple, Spinach, Pea &amp; Kiwi), Baby Food (Creamies: Apple, Sweet Potato &amp; Kiwi), Baby Food (Creamies: Strawberry, Butternut Squash &amp; Banana), Baby Food (Creamies: Strawberry, Raspberry &amp; Carrot), Baby Food (Digestive Support - Apple Pumpkin Prune), Baby Food (Digestive Support - Pear Blueberry Strawberry Oat), Baby Food (Fiber &amp; Protein Bowl-Cheesy Lentil &amp; Quinoa ), Baby Food (Fiber &amp; Protein Gluten Free Oat Bar - Apples &amp; Spinach), Baby Food (Fiber &amp; Protein Gluten Free Oat Bar - Bananas &amp; Carrots), Baby Food (Fiber and Protein - Pouches - Variety Pack), Baby Food (Fruit &amp; Vegetable Pouch - Apple, Beet, Strawberry &amp; Kiwi), Baby Food (Fruit &amp; Vegetable Pouch - Apple, Blueberry &amp; Pomegranate), Baby Food (Fruit &amp; Vegetable Pouch - Apple, Kale &amp; Blueberry), Baby Food (Fruit &amp; Vegetable Pouch - Apple, Kale &amp; Mango), Baby Food (Fruity Sticks - Banana &amp; Mango), Baby Food (Fruity Sticks - Strawberry), Baby Food (Gentle Teethers - Banana &amp; Sweet Potato), Baby Food (Gentle Teethers - Blueberry &amp; Purple Carrot), Baby Food (Gentle Teethers - Pea &amp; Spinach), Baby Food (Greek Yogis - Blueberry Purple Carrot), Baby Food (Greek Yogis - Strawberry Banana), Baby Food (Grow &amp; Shine Strawberry Banana), Baby Food (Grow &amp; Shine Vanilla), Baby Food (Jar- Clearly Crafted Stage 1 Happy Baby Green Beans), Baby Food (Jar- Clearly Crafted Stage 2 Apples, Oats &amp; Cinnamon), Baby Food (Jar- Clearly Crafted Stage 2 Pears &amp; Prunes), Baby Food (Jar- Clearly Crafted Stage 2 Pears, Pineapple &amp; Avocados), Baby Food (Jar- Stage 1 Happy Baby Carrots), Baby Food (Jar- Stage 1 Pears), Baby Food (Jar- Stage 1 Sweet Potatoes ), Baby Food (Jar- Stage 2 Apples &amp; Spinach), Baby Food (Jar- Stage 2 Bananas &amp; Strawberries), Baby Food (Jar- Stage 2 Bananas &amp; Sweet Potatoes), Baby Food (Jar- Stage 2 Carrots &amp; Peas), Baby Food (Love My Veggies - Apple, Zucchini, Green Bean, Spinach), Baby Food (Love My Veggies - Squash, Pumpkin, Banana), Baby Food (Love My Veggies - Variety Pack), Baby Food (Love My Veggies-Mac &amp; Cheese), Baby Food (Multipack: Love My Veggies - Carrots, Bananas, Mangos &amp; Sweet Potatoes and Apples, Zucchini, Green Beans &amp; Spinach), Baby Food (Multipack: Super Morning - Apple Cinnamon, Yogurt &amp; Oats and Banana, Blueberry Yogurt &amp; Oats), Baby Food (Nutty Blends - Apple &amp; Walnut), Baby Food (Nutty Blends - Banana &amp; Almond), Baby Food (Nutty Blends - Pears &amp; Cashew), Baby Food (Oatmilk Pudding Banana Blueberry ), Baby Food (Oatmilk Pudding Banana Sweet Potato), Baby Food (Oatmilk Pudding Mango Pineapple), Baby Food (Organic Formula Stage 1), Baby Food (Organic Formula Stage 1 Sensitive), Baby Food (Organic Formula Stage 2), Baby Food (Pasta Love My Veggies Bowl- Cheese &amp; Spinach Ravioli), Baby Food (Pasta Love My Veggies Bowl- Squash Ravioli), Baby Food (Pouches - Clearly Crafted Stage 1 Mangos (Individual, 8 pack)), Baby Food (Pouches - Clearly Crafted Stage 1 Prunes (Individual, 8 pack)), Baby Food (Pouches - Clearly Crafted Stage 2 Apples, Blueberries &amp; Oats (Individual, 4 pack, 8 pack)), Baby Food (Pouches - Clearly Crafted Stage 2 Apples, Guavas &amp; Beets (Individual, 8 pack)), Baby Food (Pouches - Clearly Crafted Stage 2 Apples, Kale &amp; Avocados (Individual, 4 pack, 8 pack)), Baby Food (Pouches - Clearly Crafted Stage 2 Apples, Pumpkin &amp; Carrot (Individual, 8 pack)), Baby Food (Pouches - Clearly Crafted Stage 2 Apples, Sweet Potatoes &amp; Granola (Individual, 8 pack)), Baby Food (Pouches - Clearly Crafted Stage 2 Bananas, Pineapple, Avocado &amp; Granola (Individual, 8 pack)), Baby Food (Pouches - Clearly Crafted Stage 2 Bananas, Plums &amp; Granola (Individual, 8 pack)), Baby Food (Pouches - Clearly Crafted Stage 2 Bananas, Raspberries &amp; Oats (Individual, 4 pack, 8 pack)), Baby Food (Pouches - Clearly Crafted Stage 2 Bananas, Raspberries &amp; Oats and Apple, Blueberry &amp; Oats Multi-pack), Baby Food (Pouches - Clearly Crafted Stage 2 Bananas, Sweet Potatoes &amp; Papayas (Individual, 8 pack)), Baby Food (Pouches - Clearly Crafted Stage 2 Black Beans, Beets &amp; Bananas (Individual, 8 pack)), Baby Food (Pouches - Clearly Crafted Stage 2 Butternut Squash, Pear &amp; Apricot (Individual, 8 pack)), Baby Food (Pouches - Clearly Crafted Stage 2 Carrots, Strawberries &amp; Chickpeas (Individual, 8 pack)), Baby Food (Pouches - Clearly Crafted Stage 2 Green Beans, Pear &amp; Spinach), Baby Food (Pouches - Clearly Crafted Stage 2 Pears, Kale &amp; Spinach (Individual, 8 pack)), Baby Food (Pouches - Clearly Crafted Stage 2 Pears, Kale &amp; Spinach and Bananas, Raspberry &amp; Oats Multi-pack), Baby Food (Pouches - Clearly Crafted Stage 2 Pears, Pumpkin &amp; Passion Fruit (Individual, 8 pack)), Baby Food (Pouches - Clearly Crafted Stage 2 Pears, Pumpkin, Peaches &amp; Granola (Individual, 8 pack)), Baby Food (Pouches - Clearly Crafted Stage 2 Pears, Squash &amp; Blackberries (Individual, 8 pack)), Baby Food (Pouches - Clearly Crafted Stage 2 Pears, Zucchini &amp; Peas (Individual, 8 pack)), Baby Food (Pouches - Clearly Crafted Stage 2 Peas, Banana &amp; Kiwi (Individual, 8 pack)), Baby Food (Pouches - Clearly Crafted Stage 2 Purple Carrots, Bananas, Avocados &amp; Quinoa (Individual, 8 pack)), Baby Food (Pouches - Clearly Crafted Stage 2 Sweet Potatoes, Mangos &amp; Carrots (Individual, 8 pack)), Baby Food (Pouches - Clearly Crafted Stage 2 Zucchini, Apples, Peas, Quinoa &amp; Basil (Individual, 8 pack)), Baby Food (Pouches - Fiber &amp; Protein - Pear, Blueberry &amp; Spinach-with Pea Protein (Individual, 8 pack)), Baby Food (Pouches - Fiber &amp; Protein - Pear, Kiwi &amp; Kale-with Pea Protein (Individual, 8 pack)), Baby Food (Pouches - Fiber &amp; Protein - Pear, Raspberry, Butternut Squash, Carrot-with Pea Protein (Individual, 8 pack)), Baby Food (Pouches - Fiber &amp; Protein - Pears, Apples, Peaches, Pumpkin and Cinnamon-with Pea Protein (Individual, 8 pack)), Baby Food (Pouches - Greek Yogurt - Kale, Spinach &amp; Apple), Baby Food (Pouches - Greek Yogurt - Orange, Apple &amp; Sweet Potato), Baby Food (Pouches - Greek Yogurt - Pomegranate, Apple &amp; Beet), Baby Food (Pouches - Love My Veggies Banana, Beet, Squash &amp; Blueberry (Individual, 4 pack, 8 pack)), Baby Food (Pouches - Love My Veggies Carrot, Banana, Mango &amp; Sweet Potato (Individual, 4 pack, 8 pack, Variety Pack)), Baby Food (Pouches - Love My Veggies Zucchinis, Pears, Chickpeas &amp; Kale (Individual, 4 pack, 8 pack)), Baby Food (Pouches - Oatmilk Pudding Banana Blueberry), Baby Food (Pouches - Oatmilk Pudding Banana Sweet Potato), Baby Food (Pouches - Oatmilk Pudding Mango Pineapple), Baby Food (Pouches - Stage 1 - Starting Solids - Apples), Baby Food (Pouches - Stage 1 - Starting Solids - Mangos), Baby Food (Pouches - Stage 2 - Simple Combos - Apples, Cherries &amp; Blueberries), Baby Food (Pouches - Stage 2 - Simple Combos - Apples, Spinach &amp; Kale (Individual, 4 Pack, 8 Pack)), Baby Food (Pouches - Stage 2 - Simple Combos - Apples, Strawberries, Beets &amp; Greek Yogurt), Baby Food (Pouches - Stage 2 - Simple Combos - Apricots, Sweet Potato &amp; Banana), Baby Food (Pouches - Stage 2 - Simple Combos - Banana  Pumpkin &amp; Greek Yogurt), Baby Food (Pouches - Stage 2 - Simple Combos - Bananas, Beets &amp; Blueberries (Individual, 4 pack, 8 pack, 12 Pack)), Baby Food (Pouches - Stage 2 - Simple Combos - Bananas, Kiwi &amp; Spinach), Baby Food (Pouches - Stage 2 - Simple Combos - Pears, Mangos &amp; Spinach,  (Individual,  4 Pack, 8 Pack, 12 Pack)), Baby Food (Pouches - Stage 2 - Simple Combos - Pears, Peas &amp; Broccoli (Individual, 4 Pack, 8 Pack)), Baby Food (Pouches - Stage 2 - Simple Combos - Pears, Raspberries &amp; Carrots), Baby Food (Pouches - Stage 2 - Simple Combos - Pumpkin, Apples, Peaches &amp; Cinnamon (Individual, 4 Pack, 8 Pack)), Baby Food (Pouches - Stage 3 - Hearty Meals - Harvest Vegetables &amp; Chicken), Baby Food (Pouches - Stage 3 - Hearty Meals - Root Vegetables &amp; Turkey), Baby Food (Pouches - Stage 4 Pears, Blueberries &amp; Beets), Baby Food (Pouches - Stage 4 Pears, Mangos &amp; Spinach), Baby Food (Pouches - Stage 4 Pears, Peas &amp; Green Beans), Baby Food (Pouches - Super Bellies Organic Bananas, Carrots &amp; Strawberries (Individual, 8 pack)), Baby Food (Pouches - Super Bellies Organic Bananas, Spinach &amp; Blueberries (Individual, 8 pack)), Baby Food (Pouches - Super Bellies Organic Pears, Beets &amp; Blackberries (Individual, 8 pack)), Baby Food (Pouches - Super Bellies Variety Pack ( Bananas, Spinach &amp; Blueberries, Bananas, Carrots &amp; Strawberries) ), Baby Food (Pouches - Super Foods - Apples, Mangos &amp; Kale + Super Chia (Individual, 8 pack)), Baby Food (Pouches - Super Foods  Apples, Sweet Potato, Carrots &amp; Cinnamon (Individual, 4 pack, 8 pack)), Baby Food (Pouches - Super Foods  Bananas, Peaches, Prunes &amp; Coconut (Individual, 8 pack)), Baby Food (Pouches - Super Foods Apples &amp; Butternut Squash (Individual, 8 pack)), Baby Food (Pouches - Super Foods Apples, Spinach, Peas &amp; Broccoli (Individual, 8 pack)), Baby Food (Pouches - Super Foods Pears, Bananas, Sweet Potato &amp; Pumpkin (Individual, 8 pack)), Baby Food (Pouches - Super Foods- Pears, Beets, Blueberries + Super Chia (Individual, 4 pack, 8 pack)), Baby Food (Pouches - Super Foods- Pears, Green Beans, Peas + Super Chia (Individual, 4 pack, 8 pack)), Baby Food (Pouches - Super Foods- Pears, Mangos, Spinach + Super Chia (Individual, 4 pack, 8 pack)), Baby Food (Pouches - Super Foods-Bananas, Peaches &amp; Mangos+Super Chia(Individual, 8 pack)), Baby Food (Pouches - Super Morning - Banana, Blueberry Yogurt &amp; Oats (Individual, 8 pack)), Baby Food (Pouches - Super Morning - Bananas, Dragon Fruit, Coconut Milk, Oats &amp; Super Chia (Individual, 8 pack)), Baby Food (Pouches - Super Morning Apple Cinnamon, Yogurt &amp; Oats (Individual, 8 pack)), Baby Food (Pouches - Super Morning Apples, Acai, Coconut Milk, Oats &amp; Super Chia (Individual, 8 pack)), Baby Food (Protein - Banana, Mango &amp; Spinach ), Baby Food (Puffs - Apple - Gluten Free), Baby Food (Puffs - Banana - Gluten Free), Baby Food (Puffs - Greens - Gluten Free), Baby Food (Puffs - Purple Carrot &amp; Blueberry Puffs (Individual, 6 Pack)), Baby Food (Puffs - Strawberry - Gluten Free), Baby Food (Puffs - Sweet Potato - Gluten Free), Baby Food (Puffs, Apple (China Raw) ), Baby Food (Puffs, Banana (China Raw)), Baby Food (Puffs, Kale &amp; Spinach (China Raw)), Baby Food (Puffs, Purple Carrot &amp; Blueberry (China Raw)), Baby Food (Puffs, Strawberry (China Raw)), Baby Food (Puffs, Sweet Potato ( China Raw)), Baby Food (Purple Carrots &amp; Cauliflower with Avocado Oil and Oregano), Baby Food (Savory Blends Meat Pouches - Beef, Vegetable &amp; Quinoa Stew), Baby Food (Savory Blends Meat Pouches - Chicken, Vegetable &amp; Quinoa Fiesta), Baby Food (Savory Blends Meat Pouches - Turkey, Vegetable &amp; Quinoa Skillet), Baby Food (Squash, Chickpea &amp; Spinach with Avocado Oil and Sage), Baby Food (Stage 2 Homestyle Meals- Grains: Apple Raspberry Amaranth Kale (Individual, 8 Pack)), Baby Food (Stage 2 Homestyle Meals- Grains: Banana Plum Sweet Potato Oats (Individual, 8 Pack)), Baby Food (Super Bellies - Pouches - Variety Pack), Baby Food (Super Foods- Apples, Sweet Potato, Carrots, Cinnamon + Super Chia  ), Baby Food (Super Morning - Pouches - Variety Pack), Baby Food (Super Morning Bowl - Apple &amp; Blueberry), Baby Food (Super Morning Bowl - Banana &amp; Strawberry), Baby Food (Superfood Puffs - Apple &amp; Broccoli), Baby Food (Superfood Puffs - Banana &amp; Pumpkin), Baby Food (Superfood Puffs - Kale &amp; Spinach), Baby Food (Superfood Puffs - Purple Carrot &amp; Blueberry), Baby Food (Superfood Puffs - Strawberry &amp; Beet), Baby Food (Superfood Puffs - Sweet Potato &amp; Carrot), Baby Food (Sweet Potatoes with Olive oil and Rosemary), Baby Food (Teether Crackers - Strawberry &amp; Beet), Baby Food (Teether Crackers- Mango &amp; Pumpkin), Baby Food (Toddler Pasta Bowl - Turkey Bolognese with Lentil Pasta), Baby Food (Value Pack-Gentle Teethers- Banana &amp; Sweet Potato, Blueberry &amp; Purple Carrot), Baby Food (Various Multipack - Pouches), Baby Food (Veggie, Fruit &amp; Grain Puffs Variety Pack (4 pack)Purple Carrot and Blueberry &amp; Sweet Potato and Carrot), Baby Food (Veggies &amp; Wild Rice Bowl), Baby Food (Wheelies - Apple &amp; Pumpkin), Baby Food (Wheelies - Tomato &amp; Carrot), Baby Food (White Rice Cereal (China Export Only)), Baby Food (Yogis - Banana Mango), Baby Food (Yogis - Mixed Berry), Baby Food (Yogis - Strawberry), Baby Food (Yogis Variety Pack (4 pack) - Mixed Berry and Strawberry); Other: Acai (Ingredient - Acai Puree), Amaranth Flour (Ingredient - Amaranth Flour), Apples (Ingredient - Apple Puree), Apples (Ingredient - Apple Puree Concentrate), Apples (Ingredient - Apple Puree Unacidified), Apples (Ingredient - Gala Apple Puree), Apricots (Ingredient - Apricot Puree), Avocados (Ingredient - Avocado), Bananas (Ingredient - Banana Puree), Basil (Ingredient - Basil Powder), Basil (Ingredient - IQF Basil), Beans (Ingredient - Chickpea Puree), Beef (Ingredient - Beef Crumble), Beets (Ingredient - Beet Puree), Black Beans (Ingredient - IQF Black Beans), Black Pepper (Ingredient - Black Pepper), Blackberry (Ingredient - Blackberry Puree), Blueberries (Ingredient - Blueberry Puree), Broccoli (Ingredient - Broccoli Puree), Carrot Juice (Ingredient - Carrot Juice Concentrate), Carrot Juice (Ingredient - Carrot Juice Concentrate HappyBaby Creamies only), Carrot Puree (Ingredient - Carrot Puree, Purple Carrot Puree), Carrots (Ingredient - IQF Carrot), Cauliflower (Ingredient - Cauliflower Puree), Cheese (Ingredient - Cheese Powder), Cheese (Ingredient - Grated Parmesan), Chia (Ingredient - Ground Salba (chia)), Chia (Ingredient - Salba (chia)), Chicken (Meat) (Ingredient - Ground Chicken), Cinnamon (Ingredient - Cinnamon), Coconut (Ingredient - Coconut Milk), Coconut Oil (Ingredient - Refined Coconut Oil), Corn (Ingredient - Whole Kernal Cut Corn), Flavor (Ingredient - Blueberry Flavor), Flavor (Ingredient - Kiwi Flavor), Flavor (Ingredient - Mango Flavor), Flavor (Ingredient - Peach Flavor), Flavor (Ingredient - Romano Cheese Flavor), Flowers (Ingredient - Passion Flower), Food Bar (Coconut Strawberry), Food Bar (Mango Sweet Potato), Food Bar (Raspberry Butternut Squash), Food Bar (Super Foods Gluten-Free Oat Bar - Bananas, Strawberries, &amp; Sunflower Butter), Food Bar (Super Foods Gluten-Free Oat Bar - Blueberries &amp; Oatmeal), Fruit Juice (Ingredient - Passion Fruit Juice NFC), Fruit Puree (Ingredient - Dragonfruit Puree), Fruit Puree (Ingredient - Raspberry Puree), Fruits (Ingredient - Passion Fruit), Fruits (Ingredient - Passion Fruit Puree), Garlic (Ingredient - Garlic Granules), Garlic (Ingredient - Garlic Powder), Green Beans (Ingredient - Green Bean Puree), Green Beans (Ingredient - IQF Green Beans), Guavas (Ingredient - Guava Puree), Guavas (Ingredient - White Guava Puree), Herbs &amp; Spices (Ingredient - Coriander), Herbs &amp; Spices (Ingredient - Cumin), Herbs &amp; Spices (Ingredient - Paprika), Herbs &amp; Spices (Ingredient - Smoked Paprika), Herbs &amp; Spices (Ingredient - Thyme), Ingredient (Ingredient - Magrabar Antifoam 3303), IQF Onions (Ingredient - IQF Onion), IQF Vegetables (Ingredient - IQF Cauliflower ), IQF Vegetables (Ingredient - IQF Winter Squash), Juice (Ingredient - Acai Juice 12%), Kale (Ingredient - Kale Puree), Kiwifruit (Ingredient - Kiwi Puree), Lemon Juice (Ingredient - Lemon Juice Concentrate), Lemons (Ingredient - Lemon Puree), Lentils (Ingredient - IQF Red Lentils), Mangos (Ingredient - Mango Puree), Milk (Dry) (Ingredient - Grade A Nonfat Dry Milk ), Mushrooms (IQF) (Ingredient - IQF Mushrooms), Noodles (Ingredient - Red Lentil Noodles), Nut Butter (Ingredient - Almond Butter), Nut Products (Ingredient - Peanut Flour), Oats (Ingredient - Gluten Free Oat Flour), Oats (Ingredient - Groats), Oats (Ingredient - Quick Oats), Oats (Ingredient - Steel Cut Oats), Oats (Ingredient - Whole Oats), Oats (Ingredient - Whole Rolled Oats), Oils (Ingredient - Avocado Oil), Olive Oil (Ingredient - Olive Oil), Onion Powder (Ingredient - Onion Powder), Orange Juice (Ingredient - Orange Juice Concentrate), Oranges (Ingredient - Orange Puree), Oregano (Ingredient - Oregano), Papayas (Ingredient - Papaya Puree (aseptic)), Papayas (Ingredient - Yellow Papaya Puree), Parsley (Ingredient - Parsley), Parsley (Ingredient - Parsley Powder), Pasta (Ingredient - Butternut Ravioli), Pasta (Ingredient - Orzo, Whole Wheat), Pasta (Ingredient - Spinach and Cheese Ravioli), Peaches (Ingredient - Peach Puree), Pears (Ingredient - Pear Puree), Pears (Ingredient - Pear Puree Unacidified ), Pears (Ingredient - Pear-Cream (Winter) Style Puree), Peas (Ingredient - Green Pea Puree), Peas (Ingredient - IQF Peas), Peas (Ingredient - Pea Protein), Peas (Ingredient - Pea Puree), Peppers (Ingredient - Red Bell Pepper Puree), Pineapple (Ingredient - Pineapple Puree), Plums (Ingredient - Plum Puree), Pomegranate Juice (Ingredient - Pomegranate Juice Concentrate), Potatoes (Ingredient - IQF Potatoes), Potatoes (Ingredient - Potato Flakes), Powder (Ingredient - Fructo Oligosaccharides), Powder (Ingredient - Guar Gum), Prunes (Ingredient - Prune Puree), Pumpkins (Ingredient - Pumpkin Puree), Quinoa (Ingredient - Quinoa Flakes), Quinoa (Ingredient - Sprouted Quinoa), Quinoa (Ingredient - Whole Quinoa), Quinoa Flour (Ingredient - Quinoa Flour), Rice (Wild) (Ingredient - Wild Rice), Rosemary (Ingredient - Rosemary), Sage (Ingredient - Sage Powder), Snack Foods (Calm (Individual, 4 Pack, 8 Pack)), Snack Foods (HappyPuffs - Apple &amp; Broccoli (Korea)), Snack Foods (HappyPuffs - Banana &amp; Pumpkin (Korea)), Snack Foods (HappyPuffs - Kale &amp; Spinach (Korea)), Snack Foods (HappyPuffs - Purple Carrot &amp; Blueberry (Korea)), Snack Foods (HappyPuffs - Strawberry &amp; Beet (Korea)), Snack Foods (HappyPuffs - Sweet Potato &amp; Carrot (Korea)), Snack Foods (Rice Free Puffs - Apple and Kale), Snack Foods (Rice Free Puffs - Banana and Pumpkin), Snack Foods (Rice Free Puffs - Purple Carrot and Blueberry), Snack Foods (Rice Free Puffs - Strawberry and Beet), Snack Foods (Rice Free Puffs - Sweet Potato and Carrot), Snack Foods (Snackers - Creamy Spinach &amp; Carrot), Snack Foods (Snackers - Tomato &amp; Basil), Snack Foods (Snackers - Vegan Cheddar Broccoli), Snack Foods (Strawberry Cookies), Snack Foods (Vanilla Cookies), Snack Foods (Yogis - Mixed Berry (Single Serve)), Spinach (Ingredient - IQF Spinach), Spinach (Ingredient - Spinach Puree), Spinach (Ingredient - Spinach Puree for HappyBaby Creamies only), Squash (Ingredient - Butternut Squash Puree), Starch (Ingredient - Tapioca Starch), Stock (Ingredient - Chicken Stock), Strawberry (Ingredient - Strawberry Puree), Strawberry (Ingredient - Strawberry Puree for HappyBaby Creamies only), Sweet Potatoes (Ingredient - Sweet Potato Puree), Tomatoes (Ingredient - Tomato Paste), Tomatoes (Ingredient - Tomato Puree), Turkey (Ingredient - Ground Turkey), Turmeric (Ingredient - Turmeric Powder), Vanilla (Ingredient - Vanilla Extract), Vegetables (Frozen) (Ingredient - IQF Broccoli), Walnuts (Ingredient - Walnuts), Wheatgrass (Ingredient - Wheatgrass Powder), Yogurt (Ingredient - Greek Yogurt), Zucchini (Ingredient - Zucchini Puree)</t>
  </si>
  <si>
    <t>Other: Ashwagandha Capsules (Be Well Ashwagandha ), Baby Cereal - Oatmeal (Banana Apple Oatmeal with 9 Allergen Blend), Baby Cereal - Oatmeal (Original Oatmeal with 9 Allergen Blend), Baby Cereal - Oatmeal (Peanut Butter Banana Oatmeal with 9 Allergen Blend), Baby Cereal - Oatmeal (Peanut Butter Oatmeal with 9 Allergen Blend), Baby Cereal - Oatmeal (Peanut Butter Strawberry Oatmeal with 9 Allergen Blend), Baby Cereal - Oatmeal (RSF Oatmeal S2 Banana v01), Baby Cereal - Oatmeal (RSF Oatmeal S2 Original v01), Baby Food - Fruit &amp; Grain Blends (Oatmeal Pumpkin Cinnamon with 9 Allergen Blend), Mushroom Capsules (Be Well Mushroom Blend ), Nut Blend (Tree Nut, Soy, Sesame, and Wheat Blend ), Oats (Quick Oats), Oats (Rolled Oats)</t>
  </si>
  <si>
    <t>Other: Acacia (Arabica Powder), Acai (Juice Powder, Freeze-Dried Powder, Powder), Agave (Inulin Powder, Nectar), Alfalfa (Extract, Grass, Grass Juice Powder, Grass Powder, Leaf Powder), Algae (Chlorella, Chlorella Powder, Chlorella (Cracked Cell) Powder, Chondrus Crispus (Irish Moss), Fucus - Ascophyllum Blends, Laminaria Digitata), Almonds (Powder), Aloe Vera (Leaf Powder), Amla (Aonia/Amla Extract, Fruit Powder), Anise (Anise Seed, Anise Seed Powder, Star Anise Ground), Annatto (Ground), Apples (Fiber, Juice Concentrate, Puree Concentrate, Powder), Apricots (Juice Concentrate, Kernal Powder, Kernal Oil, Puree Concentrate), Arrowroot (Powder), Artichokes (Artichoke Leaf C/S, Artichoke Leaf Powder, Jerusalem Artichoke, Jerusalem Artichoke Root), Ashwagandha (Powder, Root), Asparagus (Root Powder), Astragalus (Root, P.E. 10:1), Bananas (Dried) (Powder, Flakes), Barley (Grass, Grass Powder, Grass Juice Powder), Basil (Basil, Basil Leaf), Bay Leaves (Extract, Powder), Beans (Adzuki Sprouted Powder), Beans (Mung Beans, Mung Bean Fiber, Mung Bean Powder, Mung Bean Protein, Mung Bean Seed), Beets (Powder, Root Powder ), Bell Peppers (Bell Pepper Green, Bell Pepper (Dried) Green, Bell Pepper (Dried) Red), Bilberry Fruit (Leaf C/S, Leaf Powder, Powder, Seed Oil), Blackberry (Juice Concentrate, Nutri-Powder Flour (Seed Powder), Powder, Seed Oil), Blueberries (Extract, Fiber Powder, Juice Concentrate, Juice Powder, Juice Stock, Pomace, Powder, Puree, Seed Flour, Seed Meal, Seeds Dried, Wild Blueberry Powder Dried), Broccoli (Powder, Seed, Sprouted Powder), Cabbage (Powder), Calendula Flower (Dried), Cardamom (Black, Extract, Powder), Carob (Powder, TBC), Carrots (Juice Powder, Powder), Catnip (Leaf &amp; Flower), Cauliflower (Cauliflower Sprout Powder), Cauliflower (Powder), Celery (Extract, Powder, Seed Whole, Seed Ground, Stalk Granules), Chamomile (Chamomile, Chamomile Flowers Powder), Cheese (Cheddar Cheese Powder, Monterey Jack Cheese Powder), Cherries (Juice Concentrate Dark Sweet, Juice Concentrate Sour, Dark Sweet Pomace, Powder), Chia (Milled, Seed, Powder), Chicory (Root, Root Powder), Chilies (Complete, Habanero, Jalapeno), Cilantro (Cilantro Powder), Cinnamon (Ceylon Powder, Bark Powder, Chips, Extract, Oleoresin, Quiling, Ground), Cloves (Powder, Stem Oil, Ground), Cocoa Products (Butter, Nibs, Nibs Raw, Powder, Powder Alkaline, Black Alkaline, Dark Brown Alkaline, Natural, Powder Raw), Coconut (Dried Fine, Milk Powder, Flour, Juice Flour, Sugar, Water, Water Powder, Freeze Dried Water Powder), Coconut Oil (Virgin, Extra Virgin Oil, RBD, Fractionated), Coffee (Green Coffee Bean Extract), Collards (Greens Powder), Coriander (Powder, Seed), Corn (Purple) (Powder), Cranberries (Juice Concentrate, Juice Powder, Oil, Powder, Protein Powder, Seed Flour, Seed Meal, Seed Oil, Seed Oil Virgin, Seeds, Seeds Dried, Tea Cuts), Cucumbers (Powder), Cumin Seed (Black Cumin Seed, Black Cumin Seed Oil, Cumin Seeds), Currants (Black Current Powder, Black Current Seed Oil, Black Currants Fresh, Black Current Juice Concentrate), Curry Powder (Curry Powder), Dandelion (Leaf, Leaf Powder, Powder, Powder Extract, Root, Root Powder), Dates (Chinese Date Powder), Dietary Supplement (Acerola, Acerola Freeze Dried Powder, Acerola Cherry Extract), Dietary Supplement (Adhatoda Vasica Extract (Kali Basuti), Adhatoda Vasica Powder (Vasaka)), Dietary Supplement (Ajwain Powder), Dietary Supplement (Aloysia), Dietary Supplement (Amaltas/Cassica Fistula Extract), Dietary Supplement (Anantmool (Hemidesmus Indicus)), Dietary Supplement (Andrographis Paniculata Extract/Powder), Dietary Supplement (Arjun Powder (Terminalia Arjuna)), Dietary Supplement (Ashoka Bark, Ashoka Powder), Dietary Supplement (Atibala), Dietary Supplement (Bach), Dietary Supplement (Bai Vidang (Embelia Ribes)), Dietary Supplement (Bakuchi Powder), Dietary Supplement (Baobab Powder), Dietary Supplement (Bel/Bael/Aegle Marmelos), Dietary Supplement (Bitter Melon Powder, Bitter Melon Extract), Dietary Supplement (Black Cohosh), Dietary Supplement (Boswellia Serrata), Dietary Supplement (Brahmi (Bacopa Monnieri) Extract/Powder), Dietary Supplement (Buckthorn Bark), Dietary Supplement (Burdock Root, Burdock Root Powder, Burdock Root Granules, Burdock Root Extract), Dietary Supplement (Camu Camu (Dried, Powder, Extract)), Dietary Supplement (Cassia Tora (Charota), Cassia Fistula (Amaltas)), Dietary Supplement (Chaste Tree Berries), Dietary Supplement (Cissus Quadrangularis Extract), Dietary Supplement (Coleus Forskohili Powder/Extract), Dietary Supplement (Cordyceps Sinensis Extract), Dietary Supplement (Dong Quai), Dietary Supplement (Feverfew), Dietary Supplement (Fo-Ti Root), Dietary Supplement (Garcinia Cambogia Dry Extract/Powder), Dietary Supplement (Giloy Powder), Dietary Supplement (Guduchi (Tinsopora Cordifolons)), Dietary Supplement (Guggal), Dietary Supplement (Gymnema Powder/Extract), Dietary Supplement (Haritaki/Harad (Terminalia Chebula)), Dietary Supplement (He Shou Wu), Dietary Supplement (Holy Basil (Tulsi), Holy Basil Extract), Dietary Supplement (Jatamansi (Nardostachys Jatamansi)), Dietary Supplement (Kali Musli), Dietary Supplement (Kalmegh Powder), Dietary Supplement (Karela Extract), Dietary Supplement (Krishna Tulsi), Dietary Supplement (Longa Piper Extract), Dietary Supplement (Maqui Berry Dehydrated Juice Powder, Maqui Berry Freeze Dried Powder, Maqui Berry Freeze Juice Concentrate), Dietary Supplement (Marshmallow Leaf, Marshmallow Root, Marshmallow Root Powder), Dietary Supplement (Morinda Citrifolia Extract, Noni Fruit Powder, Noni P.E. 5:1), Dietary Supplement (Moringa, Moringa Powder, Moringa Leaf, Moringa Leaf Powder), Dietary Supplement (Mucuna Pruriens Seed Dry Extract), Dietary Supplement (Mugwort), Dietary Supplement (Mulberry Powder), Dietary Supplement (Nardostachys Grandiflora), Dietary Supplement (NBlend - Super Blend Organic Premix 01), Dietary Supplement (Nishoth), Dietary Supplement (Nopal Powder), Dietary Supplement (Oat Straw), Dietary Supplement (Passion Flower, Passion Fruit Juice Concentrate, Passion Fruit Powder), Dietary Supplement (Pine Bark Extract), Dietary Supplement (Pippali (Piper Longum) Powder), Dietary Supplement (Polygonum Cuspidaturm Extract), Dietary Supplement (Psyllium Husk, Psyllium Husk Powder, Psyllium Seed, Psyllium Seed Powder), Dietary Supplement (Punarnava Powder), Dietary Supplement (Rama Tulsi Powder - Ocimum Sanctum), Dietary Supplement (Red Yeast Powder), Dietary Supplement (Rhodiola Rosea Powder), Dietary Supplement (Sacha Inchi Oil, Sacha Inchi Oil Powder, Sacha Inchi Protein Powder, Sacha Omega), Dietary Supplement (Safed Musli Extract, Safed Musli Powder), Dietary Supplement (Salacia Reticulata Extract), Dietary Supplement (Sarpgandha Powder/Rauwolfia Serpentina), Dietary Supplement (Sea Buckthorn Extract/Powder/Juice Powder), Dietary Supplement (Shatavari Extract/Powder), Dietary Supplement (Skullcap), Dietary Supplement (Taro Powder), Dietary Supplement (Terminalia Arjuna Extract), Dietary Supplement (Terminalia Bellirica/Baheda), Dietary Supplement (Terminalia Chebula Extract), Dietary Supplement (Tribulus Terrestris Extract), Dietary Supplement (Vana Tulsi Powder-Ocimum Gratissimum), Dietary Supplement (Vitex Negundo Powder), Dietary Supplement (Yucca Root), Dill (Dill Seed, Dill Weed), Echinacea (Angustifolia, Angustifolia Root, Purpurea Herb, Purpurea Root), Elderberry (Elderflower), Elderberry (Juice Concentrate, Powder, Seed Oil), Essential Oil (Basil, Cinnamon Leaf, Citronella, Clove Bud, Ginger, Grapefruit, Juniper Berry, Lavender, Lemon, Lemongrass, Lime, Mandarin, Orange, Oregano, Spearmint, Thyme Sweet White), Extracts (Chamomile Flower Extract 2:1), Extracts (Lemon Balm Extract 2:1), Extracts (Linden Flower Extract 2:1), Extracts (Marshmallow Extract 4:1), Extracts (Passion Flower Extract 2:1), Extracts (Thyme Extract 4:1), Extracts (Valerian Extract 2:1), Fennel (Extract, Ground Whole, Powder, Seed, Seed Powder, Seed Powder), Fenugreek (Ground, Powder, Seed, Seed Powder), Figs (Ficus Carica/Fig, Fig Dried), Flax (Flax, Seed, Powder), Food Additives (Erythritol), Food Additives (Gum Arabic, Maltodextrin, Soy Lecithin), Food Additives (Sunflower Lecithin - Liquid), Fruits (Quinces), Garlic (Extract, Oleoresin, Powder), Ginger (Extract, Ground, Powder, Root Powder, Sliced, Whole), Ginkgo (Leaf), Ginseng (American), Goji Berries (Powder, Seed Oil, Extract, Juice Powder, Dried), Gotu Kola (Centella Asiatica Extract, PE 6%, Powder), Grains (Amaranth, Amaranth Powder), Grapefruit (Extract, Peel, Powdered Juice), Grapes (Concord Fiber, Concord Juice Concentrate, Concord Pomace, Concord Seed Fiber, Juice Powder, Seed Extract, Seed Oil Virgin, Red Seed Flour, Red Seed Meal, Red Seed Oil, Red Juice Concentrate, White Juice Concentrate), Guarana (Powder, Seed, 10% Caffeine), Guavas (Juice Concentrate, Juice Powder), Hawthorn, Hemp (Protein Powder, Seed Oil, Seed Protein), Herbs &amp; Spices (Allspice), Herbs &amp; Spices (Black Pepper, Black Pepper Powder, White Pepper, White Pepper Powder, Peppercorn Black, Peppercorn Pink, Peppercorn White, Three Peppercorn Blend), Herbs &amp; Spices (Kasuri Methi), Herbs &amp; Spices (Mace), Herbs &amp; Spices (Nutmeg, Nutmeg Extract, Nutmeg Powder), Hibiscus (Hibiscus Rosasinensis Powder, Flower Powder), Honey Powder (Spray Dried), Hops, Horsetail (Whole/Cuts/Powder/Extract/Extract Powder), Inulin (Inulin of Agave Liquid, Powder (Agave Fructans)), Jam (Pineapple and Yacon Jam, Lucuma and Yacon Jam, Camu Camu and Yacon Jam), Kale (Powder), Kale Sprouts (Sprouted Kale Powder), Kiwifruit (Fruit Powder), Lavender (Powder, Flower), Lemon Balm, Lemon Verbena, Lemongrass, Lemons (Juice Concentrate, Juice Powder, Oil, Oleoresin, Peel, Peel Powder, Peel Granulates), Lentils (Sprouted Powder), Licorice (Extract, Root, Root Powder, Ground), Limes (Juice Concentrate, Juice Powder, Oil, Powder), Lucuma (Lucuma, Powder), Maca (Extract, Powder, Powder Extract, Gelatinized, Root), Mangos (Flakes, Fruit Powder, Juice Powder, Seed Oil, Dried, Clarified Juice Concentrate), Maple Syrup (Powder), Marjoram, Mesquite (Powder), Milk Thistle (Milk Thistle 1.5% Silibinin, Extract, Powder, Seed, Seed Powder), Milk Thistle (Milk Thistle Powder Extract 80% Silymarin ), Mint (Powder, Leaves), Molasses (Powder), Mushrooms (Agaricus Blazei Extract, Chagamushroom Extract, Coriolus Versicolor Extract, Lion's Mane Extract, Maitake, Maitake Extract, Poria Cocos Powder, Reishi Extract, Reishi Powder, Reishi P.E. 4:1, Shitake, Shitake Extract, Shitake Powder, Shitake P.E 4:1), Neem (Leaf Powder, Azadirachta Indica Dry Extract), Nettles (Leaf, Leaf Powder, Root), Oats (Grass, Grass Juice Powder, Grass Powder), Oils (Macadamia Nut, Palm Fruit, Safflower High Oleic, Soybean, Sunflower Oil, Walnut, Borage, Argan, Camellia (Tea Seed), Eucalptus, Evening Primrose, Jojoba Golden, Neem, Rosehip), Olives (Olive Leaf, Dry Extract of Olive Leaves, Oil Virgin, Oil Extra Virgin, Oil RBD), Onions (Bulb Powder, Extract, Powder), Oranges (Bitter, Juice Concentrate, Oil, Peel, Peel Granulates, Peel Powder), Oregano (Ground Whole, Mediterranean, Mediterranean Powder, Leaf Powder), Papayas (Juice Powder, Leaf, Powder, Seed Oil), Paprika (Paprika, Sweet Paprika), Parsley (Powder), Parsley (Powder, Leaf Powder, Flakes), Peaches (Juice Concentrate, Pits, Puree Concentrate), Pears (Juice Concentrate, Juice Single Strength, Powder), Peas (Green Peas Sprouted Powder, Fiber, Protein), Peppermint (Whole, Cuts, Extract Powder, Extract, Powder), Personal Care (Menthol Crystal), Personal Care (Rosehips, Rosehip Oil, Rosehip Powder), Personal Care (Soapnut), Pineapple (Powder, Juice Powder), Plums, Pomegranates (Extract, Juice Concentrate, Juice Powder, Powder, Seed Oil, Seed Powder, Seeds Dried, Clarified Juice), Potatoes (Flakes, Sweet Potato Powder), Protein Supplement (Rice Protein Powder, Brown Rice Protein Powder, Tara Protein Powder), Pumpkins (Powder, Seed Butter, Seed Flour, Seed Kernals, Seed Oil, Seed Oil Extra Virgin, Seed Powder, Seed Protein), Quinoa (Grains, Powder), Radishes (Sprouted Powder), Raspberry (Juice Concentrate, Juice Powder, Leaf, Leaf Powder, Leaf TBC, Puree, Seeds Dried, Nutri-Powder Flour (Seed Powder)), Red Clover (Blossom), Rhubarb, Rooibos, Rose Hips, Rosemary (Dry Extract, Ground, Oleoresin, Powder), Sage (Dry Extract of Sage Leaves), Saw Palmetto (Berries, Berries C/S, Berries Powder), Schizandra (Berries), Sea Vegetables (Dulse, Dulse Powder), Sea Vegetables (Fucus Vesiculosus (Bladderwrack), Bladderwrack Powder), Sea Vegetables (Kelp Powder (Ascophyllum Nodosum), Dried Kelp, Kelp Meal), Seed (Caraway), Seed (Mustard) (Yellow Seed, Powder/Ground), Senna (Extract, Leaf Powder), Sesame (Flour, Meal, Powder, Seed Black, Seed White, Seed Flour, Seed Oil Virgin, Seed Extract), Shea Butter (Virgin), Slippery Elm Bark (Powder), Soy Products (Sauce Powder), Spearmint (Leaf C/S, Leaf Powder, Powder), Spelt (Grass Powder), Spice Blends (Cajun Spice Blend, Curry Spice Blend), Spinach (Powder, Freeze Dried Powder, Fresh), Spirulina (Spirulina, Powder (Chinese), Powder (Indian)), St. John's Wort, Stevia (Stevia 90%, Extract Powder 97%, Leaf C/S, Leaf Powder, Leaf TBC), Strawberry (Juice Concentrate, Juice Powder, Powder, Seed Oil), Sugar (Cane Sugar), Sweetener (Glucose Powder), Sweetener (Jaggery, Panela), Tamarind (Powder), Tarragon, Tea (Green Tea, Green Tea Extract, Green Tea Powder, Instant Black Tea Powder, Instant Green Tea Powder, Instant Jasmine Tea Powder, Instant Oolong Tea Powder, Seed Meal), Tea (Matcha Green Tea Powder, Matcha Tea Powder Fair Trade, Matcha NO-C, Matcha OR-1, Matcha OR-2, Matcha OR-3, Cafe Matcha 2, Cafe Matcha 3), Tea (Mate Dry Extract, Yerba Mate), Thyme (Oleoresin), Tomato Powder, Triphala (Dry Extract, Powder), Turmeric (Extract, Ground, Root Powder, Whole (Dried), Curcuma Longa Rhizome Powder, Curcumin, Curcumin Oleoresin), Valerian Root, Vanilla (Bean, Extract, Extract 1x Madagascar Boubon, Extract Powder), Vinegar (Vinegar Powder, Apple Cider Vinegar Powder), Watercress (Herb Powder), Watermelon (Juice Concentrate), Wheatgrass (Powder, Juice Powder), Yacon (Chips, Leaves Dry, Powder, Syrup, Root), Yams (Wild Yam Powder)</t>
  </si>
  <si>
    <t>Trees/Whole Plant Products/Flowers: Alfafa Grass*, Aloe*, Bamboo*, Barley Grass*, Flowers (Butterfly Pea flowers*), Flowers (Chamomile flower*), Flowers (champak flower*), Flowers (chrysanthemum*), Flowers (Gomphrena globosa Flower*), Flowers (Hibicus rose*), Flowers (Honeysuckle*), Flowers (Jasmin flower*), Flowers (Lily/Lancelesf Lily Bulb*), Flowers (Lotus*), Flowers (myosotis*), Flowers (Pagodatree flower bud*), Flowers (Passion Flower*), Flowers (Rose*), Flowers (osmanthus), Oat Grass*, Roses (Roses*), tataricum*, Trees (Pine*); Processed  Items: Fava bean protein (Wet)*, Mung Bean Fiber*, Mung Bean Protein (Wet)*, Oak Nuts (Textured pea protein*), Pea Fiber*; Preservatives/Extracts/Flavors: Extracts (D-Mannose), Extracts (Mung Bean Protein (Dry)*), Extracts (Pea protein*), Extracts (Pea protein (Dry)*), Extracts (Pea protein (Wet)*), Extracts (Pea protein peptide*), Extracts (Polydextrose powder*), Extracts (Pumpkin seed protein*), Extracts (Resistant dextrin powder (Also called: Soluble fiber powder)*), Extracts (Resistant dextrin syrup (Also called: Soluble fiber syrup)*), Extracts (Rice Protein*), Extracts (Sunflower seed protein*), Extracts (AD broccoli (diced; powder)), Extracts (AD eddo slices; diced; powder), Extracts (AD garlic pieces/chopped (minced)/powder), Extracts (AD onion chopped; powder), Extracts (Ad potato (powder; diced)), Extracts (AD| garlic; minced), Extracts (American ginseng root(powder/slice)), Extracts (Astragalus powder/extract), Extracts (Thyme powder/extract), Extracts (Crystalline Allulose (D-psicose)/ Allulose Crystalline Powder*), Extracts (Crystalline fructose*), Extracts (Fava bean protein (Dry)*), Extracts (Galacto-oligosaccharide powder*), Extracts (Hydrolyzed Rice Protein*), Extracts (Isomaltooligosaccharide powder (Also called: IMO-900 powder;High DP IMO powder)*), Extracts (Black cohosh extract /powder), Extracts (Boswellia powder/extract/ powder), Extracts (Chamomile powder/extract), Extracts (Chaste tree berry powder/extract), Extracts (Chaste vitex powder/extract), Extracts (Chlorella tablet*), Extracts (Citrus aurantium powder/extract), Extracts (Coconut powder/extract), Extracts (Cucumber powder/extract), Extracts (Curly kale), Extracts (Eyebright extract/extract powder), Extracts (Feverfew leaf powder/extract), Extracts (Ginkgo biloba extract), Extracts (Ginseng extract), Extracts (Green coffee bean powder/ extract), Extracts (Griffonia seed powder/extract powder), Extracts (Guava fruit powder/extract), Extracts (Mullein leaf powder/extract), Extracts (Mung bean starch), Extracts (Neem leaf powder/extract), Extracts (Oregon grape root powder /extract), Extracts (Phycocyanin*), Extracts (Red ginseng ;dried), Extracts (Red ginseng extract), Extracts (Red ginseng tails; dried), Extracts (Reishi mushroom powder/extract), Extracts (Rhodiola rosea powder/extract /powder), Extracts (Sophora japonica powder/extract), Extracts (Spirulina tablet*), Extracts (Spirulina-chlorella tablets*), Extracts (Stevia extract/powder), Extracts (Turmeric extract), Extracts (White ginseng; dried), Extracts (White ginseng extract), Extracts (White ginseng tails; dried), Extracts (White/red ginseng(powder/slice)), Extracts (Brown Rice Protein*), Extracts (MCT oil powder/extract), Extracts (Milk thistle extract), Extracts (Vanilla*), Herbs (Hibiscus), Herbs (Ginkgo leaf/ginkgo biloba), Herbs (Ginseng sliced;dried), Herbs (Evening primrose), Herbs (Garcinia Cambogia), Herbs (Ginkgo leaf), Herbs (Slippery Elm), Herbs (spearmint), Herbs (Agnus castus), Herbs (Senna Leaf), Herbs (Verbena Officinalis), Herbs (Holy Basil), Herbs (Wild Green Tea), Herbs (Wild Rhizoma Atractylodis), Herbs (Mullein), Maltodextrin*, Mixed Sweeteners*, Powders (Chlorella powder*), Powders (Fructooligosaccharide powder*), Powders (Tremella Fuciformis Extract), Powders (Undaria pinnatifida Powder/extract), Powders (Virgin Coconut Oil Powder.), Powders (Allulose powder*), Powders (Ginseng powder), Powders (Lomatium dissectum powder), Powders (MCT coconut oil powder), Powders (Ginkgo biloba powder), Powders (Avocado oil powder), Powders (Cocoa Alkakized Powder), Powders (Coconut Oil Powder), Powders (Flaxseed Oil Powder), Powders (High oleic acid sunflower oil powder), Powders (MCT Coconut Oil Powder), Powders (Medium Chain Triglycerides Powder (MCT Oil Powder)), Powders (Safflower Seed Oil Powder), Powders (Saw palmetto Powder/Extract), Powders (Sunflower Oil Powder), Powders (Beet root powder), Powders (Wheat Grass Powder*), Powders (Mucuna pruriens powder), Powders (Wild lettuce powder), Powders (Barley Grass Powder*), Powders (Turmeric powder), Powders (Virgin coconut oil powder), Powders (Spirulina powder*), Spices (Black pepper*), Spices (Chilli*), Spices (Cinnamon*), Spices (Clove*), Spices (Coriander*), Spices (Eucalyptus*), Spices (Fennel*), Spices (Fenugreek*), Spices (Galangal*), Spices (Juniper seed*), Spices (Lavende*), Spices (Paprika*), Spices (Peppermint*), Spices (Rosemary*), Spices (Sage herb*), Spices (Star anise fruit*), Spices (Szechuan pepper*), Spices (Turmeric*); Other Grains, Pastas and Cereals: Fagopyrum*, Oats (Oat*); Nuts/Seeds: Almonds (Almond*), Camellia seed*, Candlenuts (Chinese chestnut*), Cassia Seed*, Daucus carotta seed*, Lotus seed*; Health Products: Herbs (Wild Rhizoma Atractylodis*), Herbs (Manyprickle acanthoroot/ acanthopanax senticosus), Herbs (Ashwagandha*), Herbs (Astragalus*), Herbs (Atractylodes*), Herbs (Rhizoma Coptidis*), Herbs (Rhizoma Chuanxiong*), Herbs (Chaga Mushroom*), Herbs (Auricularia auricula*), Herbs (Bacopa*), Herbs (Black cohosh*), Herbs (Boletus Edulis*), Herbs (Bupleurum root*), Herbs (Burdock*), Herbs (Cat’s Claw herb*), Herbs (Centella*), Herbs (Chaga*), Herbs (Common Hop*), Herbs (Common morel*), Herbs (Coprinus comatus*), Herbs (Cordyceps militaris*), Herbs (Cornus officinalis*), Herbs (Dandelion*), Herbs (Danshen root*), Herbs (Echinacea purpurea*), Herbs (Eleuthero root (Siberian Ginseng)*), Herbs (Epimedium herbs*), Herbs (Forsythia Fruit*), Herbs (Fructus cnidii*), Herbs (Giant Knotweed*), Herbs (Gotu kola*), Herbs (Gynostemma pentaphyllum*), Herbs (Hawthorn fruit*), Herbs (Horse Chestnut*), Herbs (Horsetail*), Herbs (Hyperforin perforatum/St John's Wort*), Herbs (Irish moss*), Herbs (Ivy Leaf*), Herbs (Kudzu root*), Herbs (Lady's Mantle Herb*), Herbs (Lemon Balm Herb*), Herbs (Lemongrass*), Herbs (linden*), Herbs (lion's mane*), Herbs (Lovage*), Herbs (Maca*), Herbs (Maitake Mushroom*), Herbs (Marshmallow*), Herbs (Milk thistle*), Herbs (Moringa*), Herbs (Mullein*), Herbs (Nettle*), Herbs (Noni*), Herbs (Ophiopogon root*), Herbs (Perilla*), Herbs (Phellinus igniarius*), Herbs (Phyllanthus urinaria*), Herbs (Physalis alkekengi*), Herbs (Polygonum multiflorum*), Herbs (Poria*), Herbs (Psyllium*), Herbs (Radix ophiopogonis*), Herbs (Red Clover*), Herbs (Rehmannia*), Herbs (Reishi mushroom*), Herbs (Rhodiola*), Herbs (Rhubarb*), Herbs (Rose hips*), Herbs (Safflower*), Herbs (Shiitake mushroom*), Herbs (Snow fungus*), Herbs (Sweet Wormwood*), Herbs (Taibai notoginseng root*), Herbs (Tongkat Ali*), Herbs (Tribulus terrestris fruit*), Herbs (Turkey Tail Mushroom*), Herbs (Valerian*), Herbs (Wheat Grass*), Herbs (White peony root*), Herbs (White willow*); Fruits/Vegetables: Amla*, Avocado*, Banana*, Beans (Fava bean fiber*), Berries (Goji berry*), Berries (Chokeberry*), Berries (Cranberry*), Berries (Elderberries*), Berries (Lingoberry*), Berries (Mulberry*), Berries (Maqui berry*), Berries (Aronia berry*), Berries (Bilberry*), Berries (Black goji berry*), Berries (blackberry*), Berries (blackcurrant*), Berries (Blueberry*), Berries (Acai berry*), Berries (Acerola*), Berries (Raspberry*), Berries (Rowen berry*), Berries (Strawberry*), Berries (waxberry*), Blood orange, Citrus (Lemon*), Citrus (Citrus Aurantium/Lime*), Citrus (Grapefruit*), Coix Seed*, Coix seed*, Crab apple*, Fig, Ginger, Gorgon Fruit*, Gorgon Fruit*, Grape*, Jackfruit, Kiwi Fruit*, Leafy Greens (Kale*), Leafy Greens (Spinach*), Leafy Greens (Red spinach*), Lingoberry, Mango*, Mangosteen, Melons (Water melon*), Monk Fruit*, Olive*, Orange/Tangerine, Passion fruit*, Pawpaw/Papaya*, pear*, Persimmon*, Pineapple*, Pitaya*, Plantain*, Pomegranate*, Schisandra fruit*, Sea Buckthorn*, Soapberry*, Sorbus Pohuashanensis*, Stone Fruit (Tart Cherry*), Stone Fruit (Plum/Prune*), Stone Fruit (Peach*), Stone Fruit (Cherries*), Stone Fruit (Chinese date*), Stone Fruit (Apricot*), Vegetables (Artichoke*), Vegetables (Beet Root*), Vegetables (Brussels*), Vegetables (Bugleweed*), Vegetables (Carrot*), Vegetables (Celery*), Vegetables (Pumpkin), Vegetables (Chlorella – fresh), Vegetables (Spirulina – fresh), Vegetables (Broccoli), Vegetables (Okra), Vegetables (Sweet Potato), Vegetables (Chilis red/green bell pepper), Vegetables (Leek*), Vegetables (Horseradish*), Vegetables (Jerusalem artichoke*), Vegetables (purple carrot*), Vegetables (Radish*), Vegetables (Scallion/shallot*), Yacon*, Yam*; Dry/Baking Goods: Flours and Meals (Fava bean starch*), Flours and Meals (Pea Starch*); Condiments and Sweeteners: Sweeteners (Isomaltulose*), Sweeteners (Stevia Leaf*), Syrups (Polydextrose syrup*), Syrups (Allulose syrup*), Syrups (Fructooligosaccharide syrup*), Syrups (Galacto-oligosaccharide syrup;*), Syrups (Isomaltooligosaccharide syrup (Also called: IMO-900 syrup;High DP IMO syrup)*); Bread/Bakery/Snacks: Tea (Wild Green Tea*), Tea (White Tea*); Beverage Related Products: Tea (Black tea*), Tea (Genmaicha*), Tea, Tea (Oolong tea*); Alcohol: Alcohol; Other: Agaricus, Cantaloupe, Sarsaparilla, Snow fungus</t>
  </si>
  <si>
    <t>Other: All Purpose Flour, All Purpose Flour 020612 US, Canadian Western Red Spring Wheat, Canadian Western Red Winter Wheat, Cracked Wheat, Crushed Wheat, Lily White Flour, Mill Feed Pellets, Millfeed, NutraBake All Purpose Flour 020612GM, Screenings, Snowbird All-Purpose Flour US, Strong Bakers Flour 020610 US, Unbleached Bread Flour (High Gluten), Unbleached Enriched Flour, Unbleached Flour 020601 US, Unbleached Untreated Enriched Flour, Unbleached Untreated Flour, Unbleached Untreated Unenriched White Flour, Unbleached Untreated Unenriched White Flour (Unbleached Untreated White), Unbleached White Flour, Untreated White Whole Wheat Flour, Untreated White Whole Wheat Snowbird Flour (Snowbird Whole Grain Flour), Untreated Whole Wheat Flour, Wheat Bran, White Whole Wheat Berries (Snowbird), Whole Wheat Flour</t>
  </si>
  <si>
    <t>Other: Rolled Oats with Ancient Grain &amp; Seeds (Hot Cereal)</t>
  </si>
  <si>
    <t>Other: Ajwain, Aloe Vera leaves powder, Amaranthus seed, Amla Dried, Amla Powder, Anise/Aniseed, Ashwagandha powder, Banana dehydrated, Banana powder, Barley (of seed quality), Barley (Other than seed), Basmati rice, Bay leaves/Tejpatta, Beaten rice, Beet sugar cubes, Beetroot powder, Bengal Gram Whole, Bitter gourd powder, Black gram/urd(vigna sp), Brahmi powder, Broken rice, Brown rice, Buckwheat dehulled, Buckwheat( other than seed), Cardamom large (Black), Cardamom small (elettaria), Carrot Dehydrated, Chickpea/Kabuli Chana(garbanzos), Chilli dried, Chilli whole(dry), Cinnamon, Cloves, Coriander Leaf Dehydrated, Coriander Powder, Coriander seed/ whole, Cowpea Red, Cumin whole, Dehydrated Curry leaves powder, Dehydrated Garlic Flakes, Dehydrated Garlic powder, Dehydrated Ginger powder, Dehydrated Mango, Dehydrated Mint powder, Dehydrated Onion powder, Dehydrated Pineapple, Dehydrated Spinach powder, Dehydrated Tomato powder, Dried Curry leaves, Dried Mango slices, Dried Pineapple slices, Dry/Dehydrated Fenugreek leaves, Fennel seed, Fenugreek seed (methi seed), Foxtail millet, Garlic, Garlic Granules, Giloy powder, Ginger Flakes, Green Chilli Flakes, Green Chilli powder (dry), Green Gram Whole (Moong Sabut), Jaggery, Jaggery cube, Jaggery powder, Jamun Seed powder, Lemon peel dried, Lemon peel powder, Lemon powder, Lentils, Little millet, Mace, Maize (Corn), Mango Flour/Powder, Matki/Moth Bean, Mentha/Mint flakes, Mint/Mentha leaves, Moringa oleifera Leaf powder, Mustard seeds, Nutmeg (In shell), Nutmeg (Shelled), Nutmeg shell, Onion flakes, Onion Granules, Pearl Millet/Bajra, Proso millet, Pumpkin Seeds, Quinoa, Ragi/Finger Millet grain, Red Chilli Flakes, Red Chilli Powder, Red Chilli( whole), Red Gram, Rice Sona Masuri, Safed Musli powder, Sawan/Barnyard Millet, Shatavari powder, Sorghum, Soybean, Soybean whole, Spinach dehydrated, Star anise, Tulsi leaves powder, Turmeric fingers, Turmeric Powder, Urad Whole(black), Wheat, Wheat grass powder</t>
  </si>
  <si>
    <t>Nuts/Seeds: Cashew Nuts (Pasteurized whole cashew nuts, Raw cashew kernels broken; pieces; butts; slipt; grains, Raw cashew nut meal (flour).), Cashew Nuts (Cashew nut butter raw or roasted – light or dark), Cashew Nuts (Roasted and salted cashew kernels broken; pieces; butts; slipt; grains, Roasted andsalted cashew kernels whole, Roasted cashew kernels broken; pieces; butts; slipt; grains,Roasted cashew kernels whole, Roasted cashew nut meal (flour)</t>
  </si>
  <si>
    <t>Processed  Items: Ready to Eat Foods (Cashew Butter (bulk)), Ready to Eat Foods (Cocoa Butter, Natural (bulk)), Ready to Eat Foods (Organic Deodorized Cacao Butter (bulk)); Other Grains, Pastas and Cereals: Quinoa (Quinoa (Crisp Quinoa QUIN-021), (bulk)); Nuts/Seeds: Almonds (Almonds (bulk)), Peanuts (Peanuts (Peanut Butter), (bulk)); Fruits/Vegetables: Stone Fruit (Dates, Powdered (bulk)); Chocolate Goods: Chocolate (DÄT ORGANIC DARK CHOCOLATE Almond Crunch), Chocolate (DÄT ORGANIC DARK CHOCOLATE Cashew Butter), Chocolate (DÄT ORGANIC DARK CHOCOLATE Peanut Butter), Chocolate (DÄT ORGANIC DARK CHOCOLATE Simply Dark Chocolate); Alcohol: Liqueurs (Cocoa Liquor (bulk)), Liqueurs (Cocoa Liquor (bulk))</t>
  </si>
  <si>
    <t>Other Grains, Pastas and Cereals: Quinoa (Organic Black Royal Quinoa), Quinoa (Organic Chickpea Pasta), Quinoa (Organic Red Royal Quinoa), Quinoa (Organic Tri-Color Royal Quinoa), Quinoa (Organic White Royal Quinoa); Nuts/Seeds: Other Nuts/Seeds - Hemp Hearts, Other Nuts/Seeds - Organic Chia</t>
  </si>
  <si>
    <t>Processed  Items: Cereal (Bulghur), Dehydrated Foods (Dried sourcherry, Dried sweet cherry, IQF Sourcherry), Diced tomato (cube and strip), Dried tomatoes; Other Grains, Pastas and Cereals: Wheat (Wheat); Nuts/Seeds: Nuts (Apricot kernel), Pistachios (Diced pistachio, Pistachio paste), Seeds (Poppy seed (blue), Poppy seed (white)), Walnuts (Walnut); Health Products: Herbs (Grinded poppyseed, Oregano, Pomagranate seeds/grains); Fruits/Vegetables: Dehydrated Foods (Diced dried apricot, Diced dried fig, Dried apricot, Dried apricot paste, Dried fig, Dried fig paste), IQF Cherry, Vegetables (Tomatoes); Beverage Related Products: Juice (Sour cherry juice); Other: Chickpea, Lentil (Brown), Lentil (Green), Lentil (Red), Lentil (Yellow), Seeds (Sesame)</t>
  </si>
  <si>
    <t>Other Grains, Pastas and Cereals: Barley, Corn, Soybean Meal, Soybean Oil, Wheat</t>
  </si>
  <si>
    <t>Other Grains, Pastas and Cereals: Rice (Black Semi-Polished Rice, Broken Rice (Hom Mali Rice, White Rice, Brown Rice, Red Rice, Black Rice), Cargo Black Rice/Paddy, Cargo Red Rice/Paddy, Cargo Rice Berry, Mixed Fragnat Brown Rice, Red Semi Polished Rice, Rice berry semi-polished , Rice Bran, Thai Cargo Mixed Extra Rice, Thai Cargo Special Mixed Rice, Thai Hom Mali Rice (Cargo Rice), Thai Hom Mali Rice (Cargo Rice)/Brown Rice, Thai Hom Mali Rice (Semi Polished Rice), Thai Hom Mali White Rice/Paddy, Trio Nutritioust Brown Rice); Other: Beans (Mung bean (Bulk product), Mung bean (Green gram; Vigna radiata))</t>
  </si>
  <si>
    <t>Processed  Items: 100% organic:  Freeze Dried Banana Powder, Hemp Hearts, Red Maca Powder, Black Maca Powder, Yellow Maca Powder, Pearl White Quinoa Grain, Crispy Quinoa, Amaranth Grain, Sacha Inchi Powder, Tricolor Quinoa Grain, Pearl Red Quinoa , Pearlized black quinoa grains, Dehydrated grated coconut, Chlorella powder, Pinto black chia, Pinto white chia, Cocoa Chunk (Nibs), Camu Camu Powder, Cocoa Powder, Puffed Amaranth, Turmeric Powder, Lucuma Powder, Ginger Powder, Reishi Mushroom Powder, Lion's Mane Mushroom Powder, Chaga Mushroom Powder, Organic: Acerola powder, Atomized Acai berry powder, Elderberry powder, Matcha Tea powder, Spirulina powder, Freeze-dried Acai Berry powder, Pea protein concentrate powder, Brown rice protein concentrate powder, Coconut sugar, Dehydrated goji berry, Agave inulin powder, Quinoa flour, Coconut flour, Amber agave syrup, Agave syrup clear agave, 100% Organic Blue Agave Syrup, 100% Raw Organic Blue Agave Syrup.</t>
  </si>
  <si>
    <t>Preservatives/Extracts/Flavors: Flours and Meals (Corn Flour), Powders (Garlic Powder); Other Grains, Pastas and Cereals: Crackers (Cracked Corn), Herbs (Coix), Seeds (Black Sesame), Seeds (White Sesame); Fruits/Vegetables: Beans (Adzuki Beans), Beans (Mung Beans), Berries (Goji Berries), Vegetables (Millet Hulled), Vegetables (Soybeans), Vegetables (Black Soybeans), Vegetables (Garlic Granulated), Vegetables (Garlic Minced)</t>
  </si>
  <si>
    <t>Other Grains, Pastas and Cereals: Soybeans, Oats, Sunflowers, Pinto beans, Black beans</t>
  </si>
  <si>
    <t>Other: Calophyllum oil, Essential oil of cloves (buds, claws, leaves), Essential oil of Geranium, Essential oil of ginger, Essential oil of Helichrysum bracteiferum, Essential oil of Hélichrysum gymnocephalum, Essential oil of Katrafay, Essential oil of Ravensara aromatica, Essential oil of Saro, Eucalyptus citriodora essential oil, Huile essentielle Bigarade petit grain, Huile essentielle de Combava, Huile essentielle de Lantana Camara, Huile essentielle de Palma Rosa, Huile essentielle de Patchouli, Huile essentielle Vetiver, Mandarine petit grain, Niaouly essential oil, Ravintsara essential oil, Tagetes bipinnata essential oil, Ylang-ylang essential oil</t>
  </si>
  <si>
    <t>Preservatives/Extracts/Flavors: Herbs (Basilico secco), Herbs (Origano), Spices (Peperoncino Macinato), Spices (Rosmarino Secco); Other Grains, Pastas and Cereals: Pasta (100% Corn Pasta), Pasta (Amaranth, teff &amp; quinoa Organic Pasta), Pasta (Brown Rice Pasta Organic), Pasta (Brown Rice, Quinoa and Amaranth Pasta), Pasta (Buckwheat Pasta), Pasta (Chickpea Corn &amp; Rice Flour), Pasta (Chickpea pasta 100%), Pasta (Chickpeas, Corn, and Rice pasta), Pasta (Corn &amp; Rice Pasta 100%), Pasta (Green Pea Pasta), Pasta (Lentil and Green Peas Pasta), Pasta (Mais &amp; Quinoa Pasta), Pasta (Mixed Legumes Pasta), Pasta (Passata di Pomodoro), Pasta (Pasta di Semola), Pasta (Pasta di Semola Integrale), Pasta (Red lentil pasta), Pasta (Red Lentils, Wholemeasl, Red, Rice, andTumeric), Pasta (Rice and Vegetables Pasta); Oils &amp; Oleoresins: Essential Oils (Olio essenziale di Limone), Oils (Olio Extra Vergine di Oliva); Condiments and Sweeteners: Aglio, Campo D’Oro - Organic Green Pesto, Campo D’Oro Organic Red Pesto, Concentrato di Pomodoro, Condimento al Tartufo, Vinegar (Aceto Balsamico), Vinegar (Apple Vinegar Organic), Vinegar (Apple Vinegar with Honey), Vinegar (Balsamic Vinegar of Modena), Vinegar (Glaze with Balsamic Vinegar of Medena and basil), Vinegar (Glaze with Balsamic Vinegar of Medena with Raspberry), Vinegar (Glaze with Balsamic Vinegar of Modena), Vinegar (Pomegranate Vinegar), Vinegar (Red Wine Vinegar 100%), Vinegar (Vinegar Condiment for glazes), Vinegar (Vinegar With Condiment 100%), Vinegar (White Glaze with Lemon), Vinegar (White Wine Vinegar 100%)</t>
  </si>
  <si>
    <t>Other Grains, Pastas and Cereals: Sesame seed, White quinoa, Red quinoa, Black quinoa, Black chia seed, Tricolor quinoa</t>
  </si>
  <si>
    <t>Other: Apple Cider Vinegar, 100 Grain, Apple Cider Vinegar, 102 Grain, Apple Cider Vinegar, 40 Grain, Apple Cider Vinegar, 50 Grain, Apple Cider Vinegar, 60 Grain, Apple Cider Vinegar, 80 Grain, Apple Cider Vinegar, 90 Grain, Brown Mustard Seed, Coarse Ground Mustard, Dijon Mustard, Dijon Mustard, Dijon Mustard, Dijon Mustard, Dijon Mustard, Dijon Mustard, Dijon Mustard, Dijon Mustard, Dijon Mustard, Dijon Mustard, Dijon Mustard, Dijon Mustard, Dijon Mustard, Dijon Mustard, Dijon Mustard, Dijon Mustard, Distilled White Vinegar 5% Acidity, Hard Cider, Honey Dijon Mustard, Honey Mustard, Honey Mustard, Honey Mustard, Original Dijon Mustard, Original Yellow Mustard, Prepared Dijon Mustard, Prepared Dijon Mustard, Prepared Dijon Mustard, Prepared Yellow Mustard, Prepared Yellow Mustard, Prepared Yellow Mustard, Spicy Brown Mustard, Spicy Brown Mustard, Spicy Brown Mustard, Spicy Brown Mustard, Spicy Brown Mustard, Spicy Brown Mustard, Spicy Brown Mustard, Spicy Brown Mustard, Spicy Brown Mustard, Stone Ground Honey Dijon Mustard, Stone Ground Mustard, Stone Ground Mustard, Stone Ground Mustard, Stone Ground Mustard, Stone Ground Mustard, Stone Ground Mustard, Stone Ground Mustard, Stone Ground Mustard, Stone Ground Prepared Mustard, Stone Ground Prepared Mustard, White Distilled Vinegar 5% Acidity, White Vinegar, 100 Grain, White Vinegar, 120 Grain, White Vinegar, 50 Grain, White Vinegar, 60 Grain, White Vinegar, 80 Grain, Yellow Mustard, Yellow Mustard, Yellow Mustard, Yellow Mustard, Yellow Mustard, Yellow Mustard, Yellow Mustard, Yellow Mustard, Yellow Mustard, Yellow Mustard, Yellow Mustard, Yellow Mustard, Yellow Mustard, Yellow Mustard, Yellow Mustard, Yellow Mustard Seed</t>
  </si>
  <si>
    <t>Other Grains, Pastas and Cereals: Barley, Chana Dal, Chickpea, Corn, Durum (Durum Wheat), Lentil, Millet, Oats, Quinoa, Red Lentils, Ribs (Brown Rice), Rice (Broken Rice), Rice (White Rice), Rye, Sorghum, Wheat (Spring Wheat), Wheat (Winter Wheat); Nuts/Seeds: Chia, Flax Seed, Sesame, Sesame Seed, Sunflower; Fruits/Vegetables: Beans (Black Beans), Beans (Great Northern Beans), Beans (Kidney Beans), Beans (Pinto Beans), Black Eyed Peas, Green Peas; Dry/Baking Goods: Flours and Meals (Brown Rice Flour), Flours and Meals (Chickpea Flour), Flours and Meals (Flaxseed Meal), Flours and Meals (Sunflower Meal); Other: Peas, Soybeans, White Corn, Yellow Corn, Yellow Peas, Yellow Split Peas</t>
  </si>
  <si>
    <t>Other: Breakfast Biscuits Cinnamon Tahini Breakfast Biscuits Fig Anise Breakfast Biscuits Hazelnut Carob Breakfast Sandwich Biscuits Hazelnut Breakfast Sandwich Biscuits Yogurt Blueberry Breakfast Sandwich Biscuits Dark Chocolate Cream Filled Breakfast Biscuits Double Chocolate Cream Filled Breakfast Biscuits Almond Butter Cream Filled Breakfast Biscuits Peanut Butter Fruit &amp; Grain Bites Strawberry Fruit &amp; Grain Bites Raspberry Fruit &amp; Grain Bites Blueberry Fruit &amp; Grain Bites Fig Fruit &amp; Grain Bites Apple Cinnamon Fruit &amp; Grain Bites Date &amp; Honey Breakfast Sandwich Biscuits Vanilla</t>
  </si>
  <si>
    <t>Other: Flours, Teas, Herbs, Nuts, Nut butters, Dried Fruits, Grains, Seeds</t>
  </si>
  <si>
    <t>Other: Blend (A2/A2 Whole Milk Smoothie - Banana Crème), Blend (A2/A2 Whole Milk Smoothie - Strawberry Crème), Blend (A2/A2 Whole Milk Smoothie - Triple Berry), Blend (Advanced Nutrition - Ancient Grains &amp; Greens), Blend (Advanced Nutrition - Ancient Grains &amp; Greens/Power Bowl (4 pack)), Blend (Advanced Nutrition - Cauliflower Fields), Blend (Advanced Nutrition - Cauliflower Fields/Oats &amp; Roots (4 pack)), Blend (Advanced Nutrition - Oats &amp; Roots), Blend (Advanced Nutrition - Power Bowl), Blend (Apple Blend 4-pack - Apple &amp; Sweet Potato + Apple &amp; Blueberry), Blend (Apple Cinnamon Applesauce), Blend (Apple Strawberry Applesauce), Blend (Baby Fruit &amp; Veggie Blend - Apple &amp; Sweet Potato), Blend (Baby Fruit &amp; Veggie Blend - Apple, Banana &amp; Kale (with Flax Seed)), Blend (Baby Fruit &amp; Veggie Blend - Apple, Carrot, Beet &amp; Ginger), Blend (Baby Fruit &amp; Veggie Blend - Apple, Sweet Potato, Blueberry &amp; Coconut Milk), Blend (Baby Fruit &amp; Veggie Blend - Pear, Apple, Cranberry &amp; Beet),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Coconut Yogurt Alternative - Ba-nilla), Blend (Dairy-Free Coconut Yogurt Alternative - Mixed Berry), Blend (Dairy-Free Coconut Yogurt Alternative - Strawberry Banana), Blend (Dairy-Free Smoothie - Berry Berry), Blend (Dairy-Free Smoothie - Berry Berry (4 pack)), Blend (Dairy-Free Smoothie - Coco for Mangoes), Blend (Dairy-Free Smoothie - Go Go Greens), Blend (Dairy-Free Smoothie - Peach Sunrise), Blend (Dairy-Free Smoothie - Strawberry Banana Swirl), Blend (Dairy-Free Smoothie - Strawberry Banana Swirl (4 pack)), Blend (Dairy-Free Smoothie - Tropical Twirl), Blend (Fruit &amp; Veggie Blend - Apple &amp; Sweet Potato), Blend (Fruit &amp; Veggie Blend - Apple, Banana &amp; Kale with Hemp Seed), Blend (Fruit &amp; Veggie Blend - Apple, Banana, Spinach &amp; Avocado), Blend (Fruit &amp; Veggie Blend - Apple, Sweet Potato, Blueberry &amp; Coconut Milk ), Blend (Fruit &amp; Veggie Blend - Blueberry Buckle  ), Blend (Fruit &amp; Veggie Blend - Cran-Berry Smash), Blend (Fruit &amp; Veggie Blend - Farmer Jen's Pumpkin Apple Pie), Blend (Fruit &amp; Veggie Blend - Farmer Jen's Pumpkin, Apple &amp; Carrot), Blend (Fruit &amp; Veggie Blend - Green Kale &amp; Apples), Blend (Fruit &amp; Veggie Blend - Mama Blueberry), Blend (Fruit &amp; Veggie Blend - Mango, Coconut &amp; Carrot), Blend (Fruit &amp; Veggie Blend - OhMyMega Veggie!), Blend (Fruit &amp; Veggie Blend - Peach, Mango, Apple &amp; Squash with Basil), Blend (Fruit &amp; Veggie Blend - Pineapple, Banana &amp; Kale with Flax Seeds), Blend (Fruit &amp; Veggie Blend - Pineapple, Banana, Apple, Avocado &amp; Mint), Blend (Fruit &amp; Veggie Blend - Pineapple, Banana, Avocado &amp; Mint), Blend (Fruit &amp; Veggie Blend - Strawberry Patch), Blend (Fruit &amp; Veggie Blend - Strawberry, Squash, Coconut &amp; Vanilla), Blend (Fruit &amp; Veggie Blend - Wild Rumpus Avocado), Blend (Fruit &amp; Veggie Blend Bowl - Apple, Banana &amp; Kale), Blend (Fruit &amp; Veggie Blend Bowl - Apple, Blueberry &amp; Sweet Potato), Blend (Fruit &amp; Veggie Blend Bowl - Apple, Strawberry &amp; Zucchini), Blend (Fruit &amp; Veggie Blend Bowl - Apple, Strawberry, Banana &amp; Beet), Blend (Fruit &amp; Veggie Blend Bowl - Pear, Carrot &amp; Mango), Blend (Fruit &amp; Veggie Blend Bowl - Pear, Pumpkin &amp; Mango), Blend (Fruit &amp; Veggie Blend Bowl - Pear, Squash &amp; Raspberry), Blend (Fruit &amp; Veggie Blend Bowl - Pear, Strawberry &amp; Carrot), Blend (Fruit Blend - Apple &amp; Blueberry), Blend (Fruit Blend - Mango), Blend (Fruit Blend - Pear with Ginger), Blend (Immunity Blend - Apple, Cherry &amp; Elderberry), Blend (Immunity Blend - Blueberry, Banana &amp; Ginger), Blend (Immunity Blend - Mango, Banana &amp; Spirulina), Blend (Immunity Blend - Pineapple, Banana &amp; Dragon Fruit), Blend (Oatmeal Blend - Apple), Blend (Oatmeal Blend - Banana), Blend (Oatmeal Blend - Pear &amp; Blueberry ), Blend (Overnight Oats - Apple &amp; Cinnamon), Blend (Overnight Oats - Blueberry), Blend (Overnight Oats - Strawberry), Blend (Smart Blend - 4 pack), Blend (Smart Blend - Bananas for Apples &amp; Greens), Blend (Smart Blend - Pear-y Blueberry &amp; Spinach), Blend (Smart Blend - Pine-Apple Berry Punch), Blend (Smart Blend - Ras-Pear-y Kale), Blend (Veggie Blend - Butternut Squash with Cinnamon), Blend (Whole Milk Smoothie - Banana Blueberry Blast), Blend (Whole Milk Smoothie - Mango Pear-adise), Blend (Whole Milk Smoothie - Orange Squeeze), Broker (Client Profile Products only) (Ingredients), Frozen Entrees (Meal Starters - Grains - Ancient Grain Bowl), Frozen Entrees (Meal Starters - Grains - Sweet Spinach &amp; Barley), Frozen Entrees (Meal Starters - Legumes - Cajun Beans), Frozen Entrees (Meal Starters - Legumes - Curried Carrot &amp; Beans), Frozen Entrees (Meal Starters - Legumes - Greens &amp; Beans), Frozen Entrees (Meal Starters - Legumes - Mexican Black Beans), Frozen Entrees (Meal Starters - Legumes - Mint to be Mediterranean), Frozen Entrees (Meal Starters - Legumes - Reds, Greens &amp; Black Beans), Frozen Entrees (Meal Starters - Legumes - Veggie Burrito Bowl), Frozen Entrees (Meal Starters - Veggies - Golden Cauliflower &amp; Carrot), Frozen Entrees (Meal Starters - Veggies - Mango &amp; Sweet Potato Medley), Frozen Entrees (Meal Starters - Veggies - Papaya Sunrise), Frozen Entrees (Meal Starters - Veggies - Peas Pass the Greens), Frozen Entrees (Meal Starters - Veggies - Ratatoulle), Frozen Entrees (Meal Starters - Veggies - Sofrito &amp; Cauliflower), Frozen Entrees (Meal Starters - Veggies - Veggie Pot Pie), Frozen Entrees (Oatmeal &amp; Fruit - Banana Berry Acai), Frozen Entrees (Oatmeal &amp; Fruit - Mixed Berry Crumble), Frozen Entrees (Pasta Meals - Cauli-fredo &amp; Spinach), Frozen Entrees (Pasta Meals - Pomodoro), Ingredient (Acai Powder), Ingredient (Agave Inulin), Ingredient (Apple), Ingredient (Apple Flake Powder), Ingredient (Apple Gel Pieces), Ingredient (Apple Puree), Ingredient (Apple, Diced), Ingredient (Apple, Green), Ingredient (Avocado IQF), Ingredient (Avocado Oil), Ingredient (Banana IQF), Ingredient (Banana Paste), Ingredient (Banana Powder, Freeze Dried), Ingredient (Banana Puree), Ingredient (Banana Puree, No Acid Aseptic), Ingredient (Banana with Lime IQF), Ingredient (Barley, Hulled), Ingredient (Basil IQF), Ingredient (Beet IQF), Ingredient (Black Beans Cooked IQF), Ingredient (Blueberry IQF), Ingredient (Blueberry Powder), Ingredient (Blueberry Puree, Frozen), Ingredient (Broccoli IQF), Ingredient (Butternut Squash IQF), Ingredient (Cacoa Liquor FT), Ingredient (Cardamom Powder), Ingredient (Carrot IQF), Ingredient (Cauliflower IQF), Ingredient (Cherries Dark Sweet IQF), Ingredient (Chia Seeds, White), Ingredient (Chlorella Powder), Ingredient (Cilantro IQF), Ingredient (Cinnamon, Ground), Ingredient (Cocoa Butter), Ingredient (Cocoa Liquor), Ingredient (Coconut Butter), Ingredient (Coconut Cream, Aseptic), Ingredient (Coconut Oil), Ingredient (Cranberry IQF), Ingredient (Cranberry Seed Oil), Ingredient (Cumin, Ground), Ingredient (Date Paste, Deglet), Ingredient (Date Powder), Ingredient (Dates), Ingredient (Eggplant IQF), Ingredient (Elderberry Powder), Ingredient (Flax Seed), Ingredient (Garlic Powder), Ingredient (Garlic, Diced), Ingredient (Ginger Powder), Ingredient (Green Bell Pepper), Ingredient (Hemp Seed), Ingredient (Kale IQF), Ingredient (Kale Powder), Ingredient (Lemon Extract), Ingredient (Lemon Juice), Ingredient (Lemon Juice Powder Spray Dried), Ingredient (Lucuma Powder), Ingredient (Mango IQF), Ingredient (Mango Powder, Freeze Dried), Ingredient (Mango, Diced IQF), Ingredient (Milk Protein Concentrate), Ingredient (Milled Flax Seed, Brown), Ingredient (Mint IQF), Ingredient (Moringa Leaf Powder), Ingredient (Navy Bean, Cooked IQF), Ingredient (Nutmeg), Ingredient (Oats, Quick Flakes Gluten-Free), Ingredient (Oats, Rolled Gluten-Free), Ingredient (Olive Oil, Extra Virgin), Ingredient (Onion Powder), Ingredient (Orange Juice, NFC Pasteurized), Ingredient (Papaya IQF), Ingredient (Pasta, Wheat Elbow IQF), Ingredient (Peach Puree, Frozen), Ingredient (Pear), Ingredient (Pear Purree), Ingredient (Peas IQF), Ingredient (Pepper, Black Ground), Ingredient (Pepper, Red Bell IQF), Ingredient (Pineapple IQF), Ingredient (Pitaya IQF), Ingredient (Psyllium Husk Powder), Ingredient (Pumpkin Puree, Golden Delicious, Frozen), Ingredient (Pumpkin Seed), Ingredient (Pumpkin Seed Butter, Roasted), Ingredient (Quinoa, White IQF), Ingredient (Raspberry IQF), Ingredient (Raspberry Powder), Ingredient (Rosemary), Ingredient (Sacha Inchi Oil), Ingredient (Sage, Ground), Ingredient (Smoked Paprika), Ingredient (Spinach IQF), Ingredient (Spirulina Powder, Green), Ingredient (Steel Cut Oats), Ingredient (Strawberry IQF), Ingredient (Strawberry Powder, Freeze Dried), Ingredient (Strawberry Puree, Frozen), Ingredient (Strawberry, Sliced IQF), Ingredient (Sunflower Lecithin), Ingredient (Sweet Potato IQF), Ingredient (Sweet Potato Powder, Dried), Ingredient (Sweet Potato Puree, Frozen), Ingredient (Sweet Potato, Diced IQF), Ingredient (Tomato, Diced IQF), Ingredient (Turmeric, Ground), Ingredient (Vanilla Pure Extract, 2-Fold Bourbon), Ingredient (Wheatgrass Powder), Ingredient (Whey Protein Concentrate), Ingredient (While Milk Dry Powder, Grassfed), Ingredient (White Onion IQF), Ingredient (Whole Milk Dry Powder, A2/A2), Ingredient (Zucchini, Green IQF)</t>
  </si>
  <si>
    <t>Preservatives/Extracts/Flavors: Powders (Chia Protein Powder), Powders (Flax Protein Powder), Powders (Psyllium Husk Powder), Powders (Pumpkin Protein Powder), Powders (Sunflower Protein Powder), Powders (Watermelon Protein Powder); Other Grains, Pastas and Cereals: Amaranth, Flakes, Amaranth, Whole, Oats (Oats, Rolled), Quinoa, Quinoa (Quinoa, Black), Quinoa (Quinoa, Flakes), Quinoa (Quinoa, Flour), Quinoa (Quinoa, Red), Quinoa (Quinoa, Tri-Color), Rice (Rice, Arborio), Rice (Rice, Basmati), Rice (Rice, Brown Medium Grain), Rice (Rice, Jasmine), Rice (Rice, Long Grain), Teff; Oils &amp; Oleoresins: Oils (Chia Oil), Oils (Flax Oil), Oils (Pumpkin Oil), Oils (Sunflower Oil), Oils (Watermelon Oil); Nuts/Seeds: Chia Seeds, Chia Seeds (Black/White), Chia, Nitro-milled, Flax Seed, Brown, Flax Seed, Golden, Flax Seeds, Flax, Nitro-milled, Poppy Seeds, Pumpkin Seeds, Pumpkin, Defatted, Pumpkin, Nitro-milled, Sunflower Kernels, Sunflower Kernels, Defatted, Sunflower Kernels, Nitro-milled, Watermelon Kernels, Watermelon, Nitro-milled; Dry/Baking Goods: Flours and Meals (Cassava Flour), Flours and Meals (Flax Meal), Powders (Tapioca Starch); Chocolate Goods: Cocoa Powder</t>
  </si>
  <si>
    <t>Other Grains, Pastas and Cereals: Rice (Black rice - in the husk (paddy), Hommali rice - in the husk (paddy), Native (Nang Roi) Rice - in the husk (paddy), Native (Small Grain) Rice - in the husk (paddy), Paka Um-puen Rice - in the husk (paddy), RD 15 rice - in the husk (paddy), Red Rice - in the husk (paddy), Rice Berry Rice - in the husk (paddy), Sticky Black Rice in the husk (paddy), Sticky Red Rice in the husk (paddy), Sticky White Rice in the husk (paddy)); Other: Beans (Mung bean)</t>
  </si>
  <si>
    <t>Seasonings: Herbs (Dried: Motherwort, C/S), Herbs (Dried: Gotu Kola, C/S), Herbs (Dried: Damiana Leaf, whole, C/S), Herbs (Dried: Linden, C/S), Herbs (Dried: Mugwort, C/S), Herbs (Dried: California Poppy, C/S), Herbs (Dried: Eyebright, C/S), Herbs (Dried: Feverfew, C/S), Herbs (Dried: Stevia Leaf, C/S), Herbs (Dried: Lavender Flowers, whole), Herbs (Dried: Lavandin Flowers, whole), Herbs (Dried: Cloves, whole), Herbs (Dried: Goldenseal, C/S), Herbs (Dried: Goldenrod, C/S), Herbs (Dried: Calendula Flowers, whole, C/S), Herbs (Dried: Catnip, C/S), Herbs (Dried: Dried Chilies), Herbs (Dried: Yarrow Flower, whole, C/S), Herbs (Dried: Yarrow Leaf, C/S), Herbs (Dried: Plantain Leaf, C/S), Herbs (Dried: Elderberries, whole), Herbs (Dried: Rosemary, whole), Herbs (Dried: Slippery Elm Bark, C/S), Herbs (Dried: Fennel Seeds, whole), Herbs (Dried: Ginger, powder, C/S), Herbs (Dried: Sassafras, C/S), Herbs (Dried: Star Anise Seed, whole, powder), Herbs (Dried: Anise Seed, whole), Herbs (Dried: Nettle Leaf, C/S, powder), Herbs (Dried: Nettle Root, C/S), Herbs (Dried: Burdock, C/S, TBC), Herbs (Dried: Elderflower, whole), Herbs (Dried: Wormwood, C/S), Herbs (Dried: Cinnamon, powder, C/S), Herbs (Dried: Skullcap, C/S), Herbs (Dried: Juniper Berries, whole), Herbs (Dried: Meadowsweet, C/S), Herbs (Dried: Sage, C/S), Herbs (Dried: Rhodiola Root, C/S), Herbs (Dried: Peppermint Leaf, C/S), Herbs (Dried: Angelica, C/S), Herbs (Dried: Valerian, C/S), Herbs (Dried: Lemon Balm, C/S), Herbs (Dried: Lobelia, C/S), Herbs (Dried: Witch Hazel Bark, C/S), Herbs (Dried: Witch Hazel Leaf, C/S), Herbs (Dried: Lemon Verbena, C/S), Herbs (Dried: White Oak Bark, C/S), Herbs (Dried: Black Walnut Leaf, C/S), Herbs (Dried: Wild Cherry Bark, C/S), Herbs (Dried: Red Clover Flowers, whole, TBC), Herbs (Dried: Rose Buds, Pink, whole), Herbs (Dried: Shatavari Root, C/S), Herbs (Dried: Black Walnut Hull, cracked, powder), Herbs (Dried: Passionflower, C/S), Herbs (Dried: Schisandra Berry, whole), Herbs (Dried: Goat's Rue), Herbs (Dried: Psyllium Seed Husk, whole), Herbs (Dried: Artichoke Leaf, C/S), Herbs (Dried: Yellow Dock Root, C/S), Herbs (Dried: Rose Petals, Red or Dark Pink, whole), Herbs (Dried: Stone Root, C/S), Herbs (Dried: Oregon Grape Root, C/S), Herbs (Dried: Pau D'Arco, C/S), Herbs (Dried: Agrimony, C/S), Herbs (Dried: Eucalyptus Leaf, whole, C/S), Herbs (Dried: Rose Hips, cracked shells, Tea bag cut), Herbs (Dried: Black Haw, C/S), Herbs (Dried: Lemon Peel, C/S), Herbs (Dried: Wild Lettuce, C/S), Herbs (Dried: Uva Ursi Leaf, whole, broken leaf, C/S), Herbs (Dried: Wild Yam Root, C/S), Herbs (Dried: Celery Seed, whole), Herbs (Dried: Cleavers, C/S), Herbs (Dried: Hibiscus Flowers, whole, C/S, TBC), Herbs (Dried: Blue Cornflowers), Herbs (Dried: Sarsaparilla, C/S), Herbs (Dried: Cramp Bark, C/S), Herbs (Dried: Poke Root, C/S), Herbs (Dried: Eleuthero Root, C/S, TBC), Herbs (Dried: Pleurisy Root, C/S), Herbs (Dried: Myrrh Gum Resin), Herbs (Dried: Senna Leaf, C/S, TBC), Herbs (Dried: Horse Chestnut Seeds, whole), Herbs (Dried: Chicory Root, Roasted, C/S, TBC), Herbs (Dried: Chicory Root, C/S, TBC), Herbs (Dried: Moringa Leaf, whole), Herbs (Dried: Cornsilk, pieces, C/S), Herbs (Dried: Hawthorn Berry, whole), Herbs (Dried: Cascara Sagrada, C/S), Herbs (Dried: Chaparral Leaf, whole), Herbs (Dried: Jasmine Flowers, whole), Herbs (Dried: Dong Quai Root, C/S), Herbs (Dried: Chickweed, C/S), Herbs (Dried: Blackberry Leaf, C/S), Herbs (Dried: Helichrysum Flowers, whole), Herbs (Dried: Milk Thistle Seed, whole), Herbs (Dried: Orange Peel, C/S), Herbs (Dried: Raspberry Leaf, C/S), Herbs (Dried: Hawthorn Flowers and Leaves, C/S), Herbs (Dried: Thyme, whole), Herbs (Dried: Comfrey Root, C/S), Herbs (Dried: Comfrey Leaf, C/S), Herbs (Dried: Sheep Sorrel, C/S), Herbs (Dried: Cardamom, decorticated seed), Herbs (Dried: Chastetree Berry, whole), Herbs (Dried: Boneset, C/S), Herbs (Dried: Ashwagandha, C/S), Herbs (Dried: Parsley Root, C/S), Herbs (Dried: Blessed Thistle, C/S, powder), Herbs (Dried: Figwort C/S), Herbs (Dried: Ginkgo, C/S, TBC), Herbs (Dried: Elecampagne Root, C/S), Herbs (Dried: Pennyroyal, C/S), Herbs (Dried: Marshmallow Root, C/S), Herbs (Dried: Devil's Claw, C/S), Herbs (Dried: Ginseng, C/S), Herbs (Dried: Red Root, C/S), Herbs (Dried: White Willow Bark, C/S), Herbs (Dried: Oregano, whole, C/S), Herbs (Dried: Holy Basil), Herbs (Dried: Alfalfa, C/S), Herbs (Dried: Black Cohosh Root, C/S, TBC), Herbs (Dried: Blue Cohosh, C/S), Herbs (Dried: St. John's Wort, C/S), Herbs (Dried: Echinacea Angustifolia Root, C/S), Herbs (Dried: Echinacea Purpurea Root, C/S), Herbs (Dried: Chamomile Flowers, whole, C/S, TBC), Herbs (Dried: Hops Flowers, whole), Herbs (Dried: Astragalus, shredded, C/S), Herbs (Dried: Horehound, C/S), Herbs (Dried: Spearmint, C/S), Herbs (Dried: Dandelion Leaf, C/S, TBC, MC), Herbs (Dried: Dandelion Root, Roasted, C/S), Herbs (Dried: Dandelion Root, C/S), Herbs (Dried: Basil, C/S), Herbs (Dried: Licorice Root, C/S, TBC), Herbs (Dried: Arnica Flower, whole, C/S), Herbs (Dried: Arnica, Herb in Flower), Herbs (Dried: Mullein Leaf, C/S), Herbs (Dried: Mullein Flowers, whole), Herbs (Dried: Coltsfoot, C/S), Herbs (Dried: Lemongrass, C/S); Personal Care: Body Care Products (Personal Care: Rosehip Seed Oil), Body Care Products (Personal Care: Pure Lavender Oil), Body Care Products (Personal Care: Mocha Suede Lip Balm), Body Care Products (Personal Care: Cocoa Butter), Body Care Products (Personal Care: Pure Calendula Oil), Body Care Products (Personal Care: Shea Butter), Body Care Products (Personal Care: Beeswax Granules), Body Care Products (Personal Care: Pure Calendula Salve), Body Care Products (Personal Care: Pure Arnica Oil), Body Care Products (Personal Care: Pure Castor Oil Salve), Body Care Products (Personal Care: Pure Mullein Oil), Body Care Products (Personal Care: Pure Cocoa Butter Salve), Body Care Products (Personal Care: Pure Comfrey Oil), Body Care Products (Personal Care: Red Velvet Lip Balm), Body Care Products (Personal Care: Pure Arnica Salve), Body Care Products (Personal Care: Pure Chamomile Oil), Body Care Products (Personal Care: Crème Brulee Lip Balm); Other Grains, Pastas and Cereals: Oats (Whole Grains or Seeds: Oat Tops, Whole); Oils &amp; Oleoresins: Essential Oils (Essential Oil: Clary Sage), Essential Oils (Essential Oil: Peppermint), Essential Oils (Essential Oil: Blue Chamomile), Essential Oils (Essential Oil: Clove Bud), Essential Oils (Essential Oil: Basil), Essential Oils (Essential Oil: Bay Laurel), Essential Oils (Essential Oil: Lavender), Essential Oils (Essential Oil: Eucalyptus, Lemon (Eucalyptus citriodora)), Essential Oils (Essential Oil: Helichrysum), Essential Oils (Essential Oil: Lemon), Essential Oils (Essential Oil: Bergamot), Essential Oils (Essential Oil: Orange), Essential Oils (Essential Oil: Carrot Seed), Essential Oils (Essential Oil: Citronella), Essential Oils (Essential Oil: Black Pepper), Oils (Oil: Sunflower Oil), Oils (Oil: Avocado Oil), Oils (Oil: Grapeseed Oil), Oils (Oil: Coconut Oil), Oils (Oil: Castor Oil), Oils (Oil: Jojoba Oil); Fruits/Vegetables: Dehydrated Foods (Dried: Lycii Berry, whole), Dehydrated Foods (Dried: Bilberry Fruit, whole); Beverage Related Products: Tea (Loose Leaf Tea: Hazy Morning Tea), Tea (Loose Leaf Tea: Roasted Yerba Mate TBC), Tea (Loose Leaf Tea: Yerba Mate TBC), Tea (Loose Leaf Tea: Hibiscus Cooler Tea), Tea (Loose Leaf Tea: Time Out Tea), Tea (Loose Leaf Tea: Nursing Support Tea), Tea (Loose Leaf Tea: Happy Tract Tea), Tea (Loose Leaf Tea: Tummy Tea), Tea (Loose Leaf Tea: Aller-Geez! Tea), Tea (Loose Leaf Tea: Daily Tonic Tea), Tea (Loose Leaf Tea: Em's Herbal Tea), Tea (Loose Leaf Tea: Blessed Woman Tea), Tea (Loose Leaf Tea: Mommy To Be Tea), Tea (Loose Leaf Tea: Open Air Tea), Tea (Loose Leaf Tea: Winter Defense Tea); Other: Dried: Maitake Mushrooms, whole, Dried: Reishi Mushrooms, whole, Other: Vegetable Glycerin, liquid, Other: Witch Hazel, liquid</t>
  </si>
  <si>
    <t>Other Grains, Pastas and Cereals: Barley, Clover, Hay, Oats, Rye, Straw, Soft red winter wheat, Soft white winter wheat, Soybeans,Yellow corn, Barley, Clover, Rye, Soft red winter wheat, Soft white winter wheat, Yellow corn, Oats, Beans (Edible Dry Beans, Black beans, Soybeans, Feed grade soybeans, Food grade soybeans), Beans (Black, White kidney, Great northern, Navy, Pinto); Other: Grain &amp; Bean Screening</t>
  </si>
  <si>
    <t>Other: Black chia flour, Black chia ground, Black chia seeds, Chia oil, Hemp flour, Hemp flour, Hemp grains, Hemp oil, Sesame grains, White chia flour, White chia ground, White chia seeds</t>
  </si>
  <si>
    <t>Other Grains, Pastas and Cereals: Rice (Basmati Rice - Brown), Rice (Basmati Rice - White), Rice (Broken Basmati Brown Rice), Rice (Broken Basmati White Rice), Rice (Broken Long Grain Brown Rice), Rice (Broken Long Grain White Rice), Rice (Broken Rice), Rice (Long Grain Brown Rice,), Rice (Long grain steamed rice), Rice (Long Grain white Rice), Rice (Parboiled Basmati White Rice), Rice (Parboiled brown rice), Rice (Parboiled LG Brown Rice), Rice (Parboiled LG White Rice), Rice (Steamed basmati rice), Wheat (Wheat); Other: Basmati Paddy, Paddy (long grain)</t>
  </si>
  <si>
    <t>Processed  Items: Cereal (Soybean cake/meal/expeller(also called:Soya expeller)), Mung bean protein, Pea protein, Sunflower lecithin powder, Sunflower seed cake/meal/expeller, Rapeseed cake/meal/expeller, Rice protein, Soybean lecithin fluid, Soybean lecithin powder, Sunflower lecithin fluid; Other Grains, Pastas and Cereals: Cereal (Corn); Oils &amp; Oleoresins: Oils (Peanut cake/meal/expeller); Nuts/Seeds: Peanuts (Peanut), Seeds (Sunflower seed); Other: Beans (Mung bean, Soybean/Soya/Soya beans), Seeds (Sesame)</t>
  </si>
  <si>
    <t>Trees/Whole Plant Products/Flowers: Hibiscus Flower Dried, Hibiscus sabdariffa Petal TBC, Jasmine flowers dried, Pomegranate flower, Rose, Rose Dried Flowers, Rose Petals Powder, Rose Petals Tea Cut, Vinca rosea; Preservatives/Extracts/Flavors: Curcumin Extract, Garcinia Powder/Extract; Other Grains, Pastas and Cereals: Basmati Rice, Basmati Rice White, Brown Basmati Rice, Little Millet, Pearl millet / Bajra, Black Rice, Brown Rice, foxtail millet, Kodo Millet, Red Rice, Sawan / Barnyard Millet, White Basmati rice; Oils &amp; Oleoresins: Basil oil, Coconut Oil, Extra Virgin Coconut Oil, Groundnut/ peanut oil (crude), Mustard oil (Refined), sunflower oil: edible grade, Tulsi Essential Oil, Tulsi oil,, Peppermint Oil (Mentha piperita), Virgin coconut oil; Nuts/Seeds: Almonds, Cashew Kernels, Chia, Flax / Linseed, Flaxseed, Psyllium Seed, Chia Seed,; Health Products: Amalaki Capsule, Amlaki Capsule, Amrita capsule/Giloy capsule/Guruchi capsule, Ashwagandha Capsule, Bowel Care Capsule, Brahmi (Gotukola) Capsule, Breathe Free Capsule, Complete Flexibility Capsule, Immunity Capsule, Immunity Capsule/Essential Immune, Immune Support Daily Pack, Immunity Spice blend, Joy capsule, Kalmegh Capsule, Liver Kidney capsule, Memory Capsule, Mens Well Being Capsule/Essential Male, Moringa Capsule, Neem Capsule, Peaceful sleep capsule, Psyllium Fiber Capsule, Psyllium Husk &amp; Black Seed Powder (Capsule), Psyllium Pre &amp; Probiotic Fiber Cinnamon Spice, Psyllium Pre &amp; Probiotic Fiber Orange, Psyllium Pre &amp; Probiotic Fiber Original, Shatavari capsule, Sugar balance capsule, Supplements (Clean 21)/ Supplements (Clean 7), Supplements (Clean 7), Trikatu capsule, Triphala capsule, Tulsi holy basil capsule, Vitality Capsule/Energy Restore, Womens well being capsule, Turmeric formula capsule; Condiments and Sweeteners: Jaggery, Jaggery Powder, Stevia, Stevia Leaves Dried, Stevia TBC, Stevia/stevia rebaudiana powder; Beverage Related Products: Assam Black Tea, Assam Tea, Ayush Kwath, Moringa Hibiscus, Tulsi brahmi/gotukola, Tulsi Breakfast, Tulsi breakfast tea, Tulsi Cinnamon Giloy, Tulsi Focus, Tulsi Ginger, Tulsi Green Tea, Tulsi Green Tea 5 Flavours Assortment, Tulsi green tea classic, Tulsi lax, Tulsi masala chai, Tulsi mix, Tulsi moringa, Tulsi original, Tulsi peppermint, Tulsi Sleep - New, Tulsi Turmeric Chai, Tulsi turmeric ginger, Tulsi Turmeric Ginger Premium, Tulsi wellness, Turmeric Latte, Black Tea,, Cleanse Shake - Plain flavor (Clean 21)/Cleanse Shake - Plain flavor (Clean 7), Daily Shake Plain, Daily Shake Vanilla, Health Mix, Herbal Laxative, Holiday Gift Box, Immune aid, Tulsi Ashwagandha, Tulsi Ashwagandha Green, Tulsi Ashwagandha Turmeric, Tulsi Calm, Tulsi cleanse, Tulsi gift box, Tulsi green, Tulsi Green Tea Ashwagandha, Tulsi Green Tea Honey Lemon, Tulsi green tea lemon ginger, Tulsi Green Tea Sweet Rose, Tulsi Hibiscus, Tulsi honey chamomile, Tulsi lemon ginger, Tulsi Licorice Spice, Tulsi Peppermint Green, Tulsi pomegranate green, Tulsi pomegranate green - New, Tulsi raspberry peach, Tulsi Rose Cinnamon, Tulsi sleep, Tulsi Spearmint Green, Tulsi sweet lemon tea, Tulsi sweet rose, Tulsi Sweet Rose Assam Black Tea, Tulsi Tea, Tulsi Tea Bags, Tulsi tummy, Darjeeling Green Tea, Green Tea,Tulsi Sweet Rose .; Other: Amalaki Powder, Amalaki Tea Bag Cut, Amla, Amla Dried, Amla TBC, Amlaki (goose berry) - Phyllanthus emblica, Aonla, Arhar dal (red gram/pigeon pea, Ashwagandha (Withania somnifera), Ashwagandha powder, Ashwagandha Root, Ashwagandha Root Powder., Ashwagandha TBC, Bel (Aegle marmelos) Leaf, Bel (Aegle marmelos) Powder, Bengal Gram Whole, Bhumyamalaki (Phyllanthus niruri), Bhumyamalaki Leaf, Bhumyamalaki Powder, Black Gram Spilt White, black gram/urd (Vigna sp.), Black Mustard Seed, Black Pepper, Black Pepper Powder,Bougainvillea, Bougainvillea Leaf, Bougainvillea Powder, Brahmi/Gotukola Powder, brown chana, Brown gram/Gram/Chana (Cicer arietinum), cardamom large (black), Chamomile, Chamomile Powder, Chamomile tea, Chana Dal, chickpea/kabuli chana(garbanzos), Chitra Kidney Beans / Rajma (Phaseolus vulgaris), Cinnamon, Cinnamon (TBC), Cinnamon bark, Cinnamon powder, Clove (Syzygium aromaticum) Powder, Cloves, cocoa powder (without sugar/sweetening matter), Convolvulus pluricaulis (Shankhapuspi), Coriander, Coriander Powder, Cyperus rotundus (Nagarmootha), Emblica officinalis (Indian gooseberries), Eucalyptus leaf, Eucalyptus TBC/TC, Fennel seed, Fennel/ Saunf, Fenugreek powder (Methi powder), Ginger (TBC), Ginger Powder, Ginger Sliced (Dried), Ginger Whole, Gluten free atta, Gotu Kola (Centella asiatica) Powder, Guruchi Bark, Guruchi powder, Haritaki (Aralu) powder, Haritaki fruit, Haritaki/Harad(Terminalia chebula), Harjor (Cissus quadrangularis), Harjor powder, Inula racemosa powder, Kabuli Chana White Chickpea, Kali musli (Curculigo orchioides), Kalmegh (Andrographis paniculata), Kalmegh Powder, Katuki powder, Krishna tulsi (Ocimum sanctum), krishna tulsi powder-ocimum basilicum, Krishna Tulsi Seed, Krishna tulsi TBC-Ocimum basilicum), Kutki (Picrorhiza kurroa), Lemon grass, Lemongrass dried, Lemongrass TBC, Liquorice powder, Liquorice/Jesta madhu, Mace, Mace powder, Manjeet (Rubia cordifolia), manjistha/ rubia cordifolia powder, mint/mentha, Moong Dal Split, Moringa Leaves, Moringa oleifera, Moringa Powder, Motha (Cyperus rotundus), Mulethi (Glycyrrhiza glabra), Mustard Black, Mustard oil (crude), Mustard seeds, Neelkamal (Nymphaea stellata), Neem flower, Neem Leaves, Neem Leaves Powder, Neem twigs, Nutmeg (Whole), Nutmeg Powder, Nutmeg TBC, pepper long/pippali(piper longum), Peppermint Leaves, Peppermint Powder, Peppermint Tea Cut, Pigeon Pea/ Arhar Whole, Pipali, Piper longum (Pippali) Powder, Psyllium Husk Powder, Psyllium husk(isobgul), Psyllium Lift, Psyllium Organic Whole Husk Fiber, Psyllium seed powder, Punarnava Root, Pushkarmool (Inula racemosa), Pushkarmool Root Powder, Rama tulsi (Ocimum sanctum), Rama tulsi powder-Ocimum sanctum, Rama Tulsi Seed, Rama Tulsi TBC-Ocimum sanctum, Red Gram, Roasted chicory, Safed musli (Chlorophytum borivilianum), Sahijan leaf, Senna Leaves, Senna Leaves Powder, Senna Leaves Tea Bag Cut (TBC), Shankhapushpi Powder, Shatavari, Shatavari Powder, Shweta/Safed musli (Asparagus adscendens), Soap Nut/Reetha (Nuts), Spearmint Leaves, Spearmint powder, Spearmint Tea Cut, Split Pigeon Pea/ Arhar/ Red Gram, Terminalia arjuna stem powder (Bark), Tinospora cordifolia (Guduchi) Powder, Tinospora cordifolia (Guruchi), Tinospora Cordifolia T-Cut, Tinospora Cordifolia(Guduchi) TBC, Trikatu Powder, Triphala Powder, Tulsi seed, Turmeric dried, Turmeric Fingers (Curcuma longa), Turmeric Powder, Turmeric TBC, Urad black gram, Urad Dal (Dhuli), Vana Tulsi (Ocimum gratissimum), Vana tulsi powder (Ocimum gratissimum, Vana tulsi seed, Vana tulsi TBC, Vibhitaki (Terminalia belerica), Vibhitaki powder, Yellow Mustard,Arjun Bark, Arjuna Powder,Bay leaves/Tejpatta,Bimbi (Coccinia indica), Bimbi (Coccinia indica) Leaf, Bimbi (Coccinia indica) Powder, Boerhavia diffusa (Punarnava/Pitasudu Sarana), Brahmi (Bacopa monnieri), Brahmi (Bacopa monnieri) powder, Brahmi Powder, Brown Mustard, Centella asiatica, Chandrasoor (Lepidium sativum), Chicory, Chicory TBC,glyzerizha glabra (licorice),Kalonji Whole (Black Seed),, Amla Fruit Powder,Ceylon cinnamon, Cocoa powder (with sugar/sweetening matter), fenugreek seed (methi seed), Gram Flour/Besan, Green Cardamom, Green gram whole (Moong sabut), Green gram/Moong dhuli, , Lentil dal, Lentils, Masoor (Lens culinaris), Masoor Dal, Masoor Dal Whole (Whole With Skin), Masoor Dhuli, Masoor Whole, Masur Sabut, Mattar Dal, Picrorhiza kurroa (Kutki), Psyllium Whole husk Organic, Red Chilli Powder, red kidney beans/rajma (phaseolus vulgaris), Special Turmeric Powder, Split Chickpea/Kabuli chana(garbanzos), Split gram (Cicerarietnum), split green gram/moong(vigna sp), Split lentils, Urad Dal / Split Black Gram, Urad Sabut, Urad whole black, Wheat Flour, Wheat Porridge/ Dalia, Arjun Bark, Arjuna Powder,Bay leaves/Tejpatta,Bimbi (Coccinia indica), Bimbi (Coccinia indica) Leaf, Bimbi (Coccinia indica) Powder, Boerhavia diffusa (Punarnava/Pitasudu Sarana), Brahmi (Bacopa monnieri), Brahmi (Bacopa monnieri) powder, Brahmi Powder, Brahmi Gotukola powder, Brown Mustard, Centella asiatica, Chandrasoor (Lepidium sativum), Cardamom powder/ground, Cardamom seeds,Cinnamon Sticks, Cinnamon tamala (Leaves), Cinnamon thick bark,Cumin, Cumin Powder, Cumin seed, Cumin Whole (Jeera), Dry rose petals,Gram Flour/Besan,Saffron,Wheatgrass powder.</t>
  </si>
  <si>
    <t>Other: Amla Dried*, Arjun bark Course Cut*, Arjun bark TBC *, Arjun bark TC *, Arjun Bark*, Ashwagandha root Course Cut *, Ashwagandha root TBC *, Ashwagandha root TC *, Ashwagandha Root*, Bacopa monnieri (Neera Brahmi) Course Cut *, Bacopa monnieri (Neera Brahmi) TBC *, Bacopa monnieri (Neera Brahmi) TC *, Bacopa Monnieri (Neera Brahmi)*, Bacopa monnieri Dried*, Bay Leaf*, Bel leaf TBC *, Bel leaf TC *, Bhumiamalaki (Phyllanthus Niruri)*, Bhumiamalaki(Phyllanthus niruri) Course Cut*, Bhumiamalaki(Phyllanthus niruri) TBC *, Bhumiamalaki(Phyllanthus niruri)TC*, Bimbi (Coccinia Indica)*, Bimbi(Coccinia indica) Course Cut*, Bimbi(Coccinia indica) TBC *, Bimbi(Coccinia indica) TC *, Black Cumin Powder*, Black Cumin TBC*, Black Cumin TC*, Black Pepper, Bougainvillea Leaf Course Cut *, Bougainvillea Leaf Dried*, Bougainvillea Leaf TBC*, Bougainvillea Leaf TC *, Brahmi (Bacopa Monnieri)*, Brahmi/Bacopa monnieri TBC *, Brahmi/Bacopa monnieri TC *, Brahmi/Gotukola/Centella asiatica Dried*, Brown Mustard*, Cardamom, Centella Asiatica*, Chamomile (M.chamomile) Course Cut*, Chamomile (M.chamomile) TBC *, Chamomile (M.chamomile) TC *, Chamomile Dried *, Chandrashoor (Lipidium Sativum)*, Chia*, Chicory Cube/Chicory TBC/Chicory Dried, Cinnamon*, Clove, Convolvulus pluricaulis (Shankpushpi) Course cut *, Convolvulus pluricaulis (Shankpushpi) TBC *, Convolvulus pluricaulis (Shankpushpi) TC *, Coriander*, Cumin Seed*, Eclipta alba (Bhrigjraj Dried)*, Eclipta Alba (Bhrigjraj/Bhringraj)*, Emblica Officinalis (Indian Gooseberry)*, Emblica Officinalis(Amla/Indian Gooseberry) Course Cut *, Emblica Officinalis(Amla/Indian Gooseberry) TBC *, Emblica Officinalis(Amla/Indian Gooseberry) TC *, Fennel Course Cut*, Fennel Seed*, Fennel TBC*, Fennel TC*, Fennel/Saunf*, Fenugreek Course Cut*, Fenugreek TBC *, Fenugreek TC *, Fenugreek*, Flax Seed*, Ginger Sliced (Dried)*, Ginger TBC*, Ginger Whole*, Gokhru Small (Tribulas Terrestris)*, Green Gram Whole (Moong Sabut)*, Guruchi (Tinospora Cordifolia)*, Haritaki Fruit Course Cut *, Haritaki Fruit TBC *, Haritaki Fruit TC *, Haritaki Fruit*, Harjor (Cissus quadrangularis) Course Cut*, Harjor (Cissus quadrangularis) TBC*, Harjor (Cissus quadrangularis) TC*, Harjor (Cissus Quadrangularis)*, Hibiscus Dried Flower*, Hibiscus Flower Dried*, Hibiscus Sabdariffa petals Course Cut*, Hibiscus Sabdariffa petals TBC*, Hibiscus Sabdariffa petals TC*, Jasmine Course Cut*, Jasmine Dried Flower*, Jasmine Flower Dried *, Jasmine Powder*, Jasmine TBC*, Jasmine TC*, Jatamansi (Nardostachys Jatamansi)*, Kali Musli (Curculigo orchioides) Course Cut*, Kali Musli (Curculigo orchioides) TBC*, Kali Musli (Curculigo orchioides) TC *, Kali Musli (Curculigo Orchioides)*, Kalmegh (Andrographis Penniculata)*, Kalmegh (Andrographis penniculata)Course Cut*, Kalmegh (Andrographis penniculata)TBC *, Kalmegh(Andrographis penniculata) TC *, Kalmegh(Andrographis penniculata)Dried*, Kalonji Whole (Black Seed)*, Kalonji/Nigella Course Cut*, Kalonji/Nigella TBC *, Kalonji/Nigella TC *, Katuki Powder*, Katuki TBC*, Katuki TC *, Krishna Tulsi (Ocimum Sanctum)*, Krishna Tulsi Coarse Cut*, Krishna Tulsi Dried*, Krishna Tulsi Powder-Ocimum Basilicum/Krishna Tulsi Powder*, Krishna Tulsi Seed*, Krishna Tulsi TBC-Ocimum Basilicum*, Kutki (Picrorhiza kurroa) Course Cut*, Kutki (Picrorhiza kurroa) TBC *, Kutki (Picrorhiza kurroa) TC *, Kutki (Picrorhiza Kurroa)*, Lemongrass Course Cut*, Lemongrass Dried*, Lemongrass TBC *, Lemongrass TC *, Lentil*, Liquorice Course Cut*, Liquorice TBC *, Liquorice TC *, Liquorice/Jesta Madhu*, Mace, Mandukapami-Centella asiatica Course Cut *, Mandukapami-Centella asiatica TBC *, Mandukapami-Centella asiatica TC *, Manjeet (Rubia Cordifolia)*, Mentha Spicata Leaf/Spearmint Course Cut*, Mentha Spicata Leaf/Spearmint TBC *, Mentha Spicata Leaf/Spearmint TC *, Moringa leaves Course cut *, Moringa leaves Dried*, Moringa leaves TBC *, Moringa leaves TC *, Moringa Leaves*, Motha (Cyperus rotendus) Course Cut*, Motha (Cyperus rotendus) Dried*, Motha (Cyperus rotendus) TC*, Motha (Cyperus Rotendus)*, Motha (Cyperus rotendus)TBC*, Mulethi (Glycorrhiza Glabra)*, Neelkamal (Nymphaea stellata) Course Cut *, Neelkamal (Nymphaea stellata) TBC*, Neelkamal (Nymphaea stellata) TC *, Neelkamal (Nymphaea Stellata)*, Neem flower Course Cut *, Neem flower Dried*, Neem Flower TBC *, Neem Flower TC *, Neem Flower*, Neem Leaves Course Cut*, Neem leaves Dried*, Neem Leaves Powder*, Neem Leaves TBC*, Neem Leaves TC *, Neem Leaves*, Neem twig Course Cut *, Neem twig Dried*, Neem twig TBC*, Neem twig TC *, Neem Twig*, Non-Basmati Paddy*, Nutmeg Whole*, Pea Pulse*, Pearl Millet/Bajra*, Pepper Long/Pippali (Piper Longum)*, Peppermint Course Cut*, Peppermint Dried*, Peppermint TBC *, Peppermint tea cut*, Peppermint*, Pigeon Pea/Arhar Whole*, Pippali Course Cut*, Pippali TBC*, Pippali TC*, Pomegranate flower Dried*, Pomegrante flower Course Cut*, Pomegrante flower TBC *, Pomegrante flower TC *, Pomegrante Flower*, Psyllium husk (isobgul)*, Punarnava (Red Hogweed) Course Cut*, Punarnava (Red Hogweed) TBC*, Punarnava (Red Hogweed) TC*, Punarnava root Course cut *, Punarnava root TBC *, Punarnava Root*, Pushkarmool/Inula Racemosa*, Pushkarmool/Inula racemose TC *, Quinoa*, Rama Tulsi Coarse cut*, Rama Tulsi Dried*, Rama Tulsi Powder-Ocimum Sanctum*, Rama Tulsi Seed*, Rama Tulsi TBC-Ocimum Sanctum/TBC*, Rama Tulsi-Ocimum Sanctum*, Red Chilli (Whole)*, Rose Dried Flower*, Rose Petal Course Cut*, Rose Petal TBC*, Rose Petal TC*, Sahijan Leaf*, Senna leaves Course Cut*, Senna leaves TBC *, Senna leaves TC *, Senna*, Shankpushpi Dried*, Shatavari Course Cut*, Shatavari Dried*, Shatavari TBC *, Shatavari TC *, Shatavari*, Shweta/Safed Musli (Asparagus Adscendens)*, Soap Nut/Reetha (Nuts) Course Cut *, Soap Nut/Reetha (Nuts) TBC *, Soap Nut/Reetha (Nuts) TC *, Soap Nut/Reetha (Nuts)*, Spearmint Leaves Dried*, Spearmint Leaves*, Spices*, Stevia leaves Course Cut*, Stevia leaves TBC*, Stevia Leaves-Dried*, Tinospora cordifolia (Guruchi) Course Cut*, Tinospora cordifolia (Guruchi) TBC*, Tinospora cordifolia (Guruchi) TC *, Tulsi Powder (By Product)*, Turmeric Fingers (Curcuma Longa)*, Urad Whole (Black)*, Vana Tulsi (Ocimum Gratissimum)*, Vana Tulsi Dried*, Vana Tulsi Powder-Ocimum Gratissimum*, Vana Tulsi Seed*, Vana Tulsi TBC-Ocimum Gratissimum/TBC *, Vibhitaki Fruit Course Cut *, Vibhitaki Fruit Dried*, Vibhitaki Fruit TBC *, Vibhitaki Fruit TC *, Vibhitaki Fruit*, Vinca rosea Dried*, Vinca rosea Powder *, Vinca Rosea*, Vinca rosea/Sadabahar Course cut*, Vinca rosea/Sadabahar TBC *, Vinca rosea/Sadabahar TC*, Wheat Grain*, White Sesame/Sesame*, Yellow Mustard*</t>
  </si>
  <si>
    <t>Other Grains, Pastas and Cereals: Rice (WHITE RICE), Rice (BROWN RICE), Rice (BLACK RICE), Rice (RICE SHELL); Dry/Baking Goods: Flours and Meals (RICE FLOUR), Flours and Meals (CHICKPEA FLOUR), Flours and Meals (BEAN FLOUR)</t>
  </si>
  <si>
    <t>Other Grains, Pastas and Cereals: Rice; Nuts/Seeds: CHIA (Salvia hispanica L), FLAX, SESAME; Fruits/Vegetables: Beans (PEA), Beans (LENTIL), Beans (CHICKPEA), Beans (BEAN); Dry/Baking Goods: Flours and Meals (CORN FLOUR), Flours and Meals (RICE FLOUR), Flours and Meals (CHICKPEA FLOUR), Sugar (CANE SUGAR)</t>
  </si>
  <si>
    <t>Other: Mixed Vegetables</t>
  </si>
  <si>
    <t>Other: Allspice, Whole, Almond Butter, Almond Meal, Natural, Almonds, Almonds, Blanched, Almonds, Blanched, Almonds, Raw, Almonds, Roasted, Almonds, Sliced, Amaranth, Amaranth, Amaranth, Puffed, Apple Juice Concentrate, Apple Juice NFC, Apple Powder, Arabic Gum, Aseptic Pineapple Juice, Ashwagandha Powder, Banana Powder, Freeze-Dried, Basil Powder, Bay Leaf, Bay Leaf, Beans, Beans, Adzuki, Beans, Anasazi, Beans, Baby Lima, Beans, Black, Beans, Black, Beans, Black Eyed, Beans, Canellini, Beans, Christmas Lima, Beans, Cranberry, Beans, Dark Red Kidney, Beans, Dark Red Kidney, Beans, Garbanzo, Beans, Garbanzo, Beans, Garbanzo Splits, Beans, Great Northern, Beans, Kidney Light Red, Beans, Kidney White, Beans, Lima, Beans, Lima, Baby, Beans, Mung, Beans, Mung, Beans, Navy, Beans, Pink, Beans, Pinto, Beans, Pinto, Beans, Red, Small, Beans, Red, Small, Beans, Soybeans, Beans, White Kidney, Beans, White Kidney, Beans, Yellow Eyed, Beet Root Powder, Beets, Bell Pepper, Red, Blueberries, Dried, Blueberry, IQF, Breakfast Sausage Blend, Broccoli, IQF, Buckwheat, Berries, Butternut Squash, IQF, Butternut Squash, Puree, Camu Camu Powder, Carrots, Carrots, IQF, Carrots, IQF, Cashew Butter, Cashew Kernels, Cashew Pieces, Cashew Pieces, Cashews, Cauliflower, Celery, Diced, Celery, IQF, Celery, IQF, Chia Seeds, Black, Chia Seeds, White, Chia Seeds, White, Chili Powder, Red, Chili, Ancho, Chipotle Powder, Chives, Chives, Chorizo Seasoning, Cinnamon, Cinnamon Powder, Cinnamon Powder, Cocoa Butter, Cocoa Liquor, Cocoa Nibs, Cocoa Nibs, Roasted, Premium, Cocoa Powder, Cocoa Powder, Black, Cocoa, Alkalized Butter, Cocoa, Alkalized Liquor, Cocoa, Alkalized Liquor, Cocoa, Alkalized Powder, Cocoa, Alkalized Powder, Coconut Butter, Raw, Coconut Chips, Coconut Chips, Fine, Coconut Cream, 24%, Coconut Cream, 30%, Aseptic, Coconut Flakes, Medium, Coconut Flour, Coconut Flour, Coconut MCT Oil, Coconut Milk, Coconut Milk Powder, 50%, Coconut Smoothie, Coconut Sugar, Coconut Water, Coconut, Desiccated, Coconut, Desiccated, Coconut, Fine, Coconut, Medium, Coriander, Ground, Corn, IQF, Corn, Super Sweet, Couscous, Couscous, Whole Wheat, Crude High Oleic Sunflower Oil, Cumin Seed, Ground, Cumin Seed, Whole, Egg Powder, Dry Whole, Egg Powder, Whole, Egg White, Frozen, Egg White, Powder, Egg Whites, Frozen, Egg Yolk, Frozen, Sugared, Egg Yolk, Powder, EGG YOLKS, 10% SUGAR, Egg Yolks, Liquid Sugared, Egg, Whole, Frozen, Fava Beans, Fava Beans, Figs, Flax Meal, Brown &amp; Golden, Flax Seed, Black, Flax Seed, Brown, Flax Seed, Golden, Flax, Brown, Flour, Artisan Bakers Craft Plus, Flour, Brown Rice, Flour, Brown Rice, Flour, Chia, Flour, Corn, Flour, Corn, Flour, Durum, Flour, Durum, Flour, Durum, Whole Wheat, Flour, Garbanzo, Flour, Green Lentil, Flour, Green Lentil, Flour, Long Grain Brown Rice, Flour, Medium Brown Rice, Flour, Peanut, Flour, Quinoa, Flour, Rice, Flour, Rice, White, Flour, Sesame, Flour, Sorghum, Flour, Teff, Flour, Type 00 Normal, Flour, Wheat, Artisan Bakers Craft, Flour, Wheat, Unbleached, Flour, Whole Wheat, Fruit Powders, Garlic Powder, Garlic, Minced, Ginger, Ginger, Fresh, Green Beans, IQF, Green Beans, IQF, Hazelnut Paste, Hazelnut Paste, Hazelnuts, Hazelnuts, Hazelnuts, Roasted, Diced, Heavy Cream, Herbs &amp; Spices, Italian Sausage Blend, Juice, Grape NFC, Juice, Pineapple, Frozen, Pasteurized, Kale, Dried, Kale, IQF, Kale, IQF, Lavender Flowers Extra, Lemon Juice Concentrate, Lentils, Lentils, Black, Lentils, Black, Lentils, Black Beluga, Lentils, Brown, Lentils, Eston/Green, Lentils, Eston/Green, Lentils, French Green, Lentils, Green, Lentils, Green, Lentils, Laird, Lentils, Red, Lentils, Red Split, Lentils, Red Split, Maca Powder, Maca Powder, Macadamia Nuts, Mace Powder, Mango Puree - Alphonso, Mango, Freeze Dried, Diced, Mango, IQF, Maple Sugar, MCT Powder, Milk Powder, Whole, Milk, Dry, Whole, Non-Fat, Milk, Pasturized Non Fat (Skim Milk), Milk, Ultra Pasturized Non Fat, Milled Flaxseed (Flour), Milled Flaxseed, Golden, Millet, Millet Flour, Millet, Hulled, Millet, Whole, Mushrooms, IQF, Nutmeg Powder, Nutmeg Powder, Nutritional Yeast Powder, Oat Bran, Oat Flakes Rolled, Oat Flour, Oat Flour, Oat Groats, Oat Groats, Oats, Hulless, Oats, Old Fashioned, Oats, Rolled, Oats, Rolled, GF, Oats, Rolled, GF, Oil, Canola, Oil, Canola, Oil, Coconut, Oil, Coconut, Oil, Coconut RBD, Oil, Coconut RBD, Oil, Coconut Refined, Oil, Coconut Unrefined, Oil, Coconut Virgin, Oil, Coconut Virgin, Oil, Olive, Extra Virgin, Oil, Olive, Extra Virgin, Oil, Safflower, Refined, Oil, Sesame, Unrefined, Oil, Soybean, Refined, Oil, Soybean, Refined, Oil, Sunflower, Oil, Sunflower, Oil, Sunflower, High Oleic, Oil, Sunflower, RBDW Expeller High Oleic, Old Fashioned Oats, Onion, Onion Powder, Onions, Diced, IQF, Onions, Minced, Orange Juice NFC, Oregano, Oregano, Oregano Powder, Palm RBD/S (Shortening), Parsley Flakes, Parsley Flakes, Pea Fiber, Peanut Butter, Peanut Butter, Peanut Extract, Peanut Extract, Peanut Oil, Peanut Splits, Roasted, Peanut Splits, Roasted, Peanut, Roasted, Peanuts, Blanched, Peas, Black Eyed, Peas, Green, Peas, Green, IQF, Peas, Green, Split, Peas, Green, Split, Peas, Green, Whole, Peas, Pigeon, Peas, Pigeon, Peas, Yellow Split, Peas, Yellow Split, Pepper Black Powder, Pepper, Black, Pepper, Cayenne, Pepper, Cayenne, Ground, Popcorn, Popcorn, Popcorn, Golden Harvest, Popcorn, Yellow (Butterfly), Potato Flakes, Potato Flour, Potato Starch, Potato Starch, Potato, IQF, Potato, Russet, Diced, Peeled, IQF, Potato, Sweet, Flakes, Potato, Sweet, Flakes, Potatoes, Dehydrated (Flakes, Flour, Sliced, Diced), Potatoes, Dehydrated (Flakes, Flour, Sliced, Diced), Potatoes, Dehydrofrozen (Sliced, Diced), Potatoes, Gold, Diced, IQF, Potatoes, Roasted, Potatoes, Sliced, Diced, IQF, Potatoes, Sweet, IQF, Powders - Various, Prune Paste, Prunes, Prunes, Psyllium Seed, Whole/Powder, Psyllium Seed, Whole/Powder, Pumpkin Powder, Pumpkin Seed Butter, Puree, Carrot, Aseptic, Puree, Pear, Quinoa, Quinoa, Black, Quinoa, Flakes, Quinoa, Puffed, Quinoa, Red, Quinoa, Tricolor, Quinoa, White, Quinoa, White, Raisins, Thompson, Raisins, Thompson, Raisins, Thompson Seedless, Oil-Treated, Raspberry, IQF, Red Beans, Red Bell Peppers, Diced, IQF, Red Bell Peppers, IQF, Red Chili Powder, Rice Protein Powder, 80%, Rice Syrup, Rice Syrup, Rice, Arborio, Rice, Basmati Brown, Rice, Basmati Brown, Rice, Basmati White, Rice, Brown, Long Grain, Rice, Brown, Puffed, Rice, Brown, Puffed, Rice, Hom Mali, Rice, Jasmine Brown, Rice, Jasmine White, Rice, Long Grain White, Rice, Long Grain White, Rice, Long Grain, Brown, Rice, Long Grain, Brown, Rice, Long Grain, Brown, Parboiled, Rice, Medium Grain, Brown, Rice, Non-Basmati, Rice, Parboiled, Rice, Parboiled, Rice, Puffed, Rice, Puffed, Rice, Red, Rice, Red, Rice, Short Grain Brown, Rice, Short Grain White, Rice, White, Jasmine, Seeds, Broccoli, Seeds, Caraway, Seeds, Daikon Radish, Seeds, Fennel, Powder, Seeds, Flax, Seeds, Poppy, Seeds, Pumpkin, Seeds, Pumpkin Kernel, Roasted - Shine Skin, Seeds, Pumpkin, AA, Seeds, Pumpkin, AA, Seeds, Pumpkin, Shine Skin, Hulled, Seeds, Sesame, Seeds, Sesame, Black, Seeds, Sesame, Black, Seeds, Sesame, Hulled, Seeds, Sesame, Natural, Seeds, Sesame, Natural, Seeds, Sesame, Natural, Black, Seeds, Sunflower, Seeds, Sunflower Kernels, Raw, Semolina Flour, Soy Lecithin, Spelt, Spinach, Spinach Powder, Spinach, IQF, Spinach, IQF, Spirulina Powder, Starch, Corn, Starch, Corn, Starch, Tapioca, Starch, Tapioca, Stevia Extract, Strawberries, Freeze Dried, Strawberries, IQF, Strawberry Powder, Freeze-Dried, Strawberry Powder, Freeze-Dried, Sugar, Sugar, Sugar, Cane, Sugar/ Evaporated Cane Juice, Sunflower Butter, Sunflower Seed Meal, Sunflower Seed, Black Oil, Taco Blend, Taco Seasoning, Tahini Paste, Tahini Paste, Tapioca Syrup, Tapioca Syrup, Teff, Brown, Thyme, Thyme, Turmeric Powder, Turmeric Powder, Vital Wheat Gluten, Walnuts, Walnuts, Walnuts, Halves, Walnuts, Halves and Pieces, Watermelon Juice, Zucchini, IQF</t>
  </si>
  <si>
    <t>Other: Brokering of Organic Grains &amp; Grain products, Brokering of Organic Grains &amp; Grain products</t>
  </si>
  <si>
    <t>Other: Beans (Adzuki (Small Red)), Beans (Black Bean with Green Kernel), Beans (Black Turtle Bean (Black Kidney Bean)), Beans (Chickpeas), Beans (Cowpea), Beans (Dark Red Kidney), Beans (Green Mung Bean), Beans (Half Split Mung Bean), Beans (Light Speckled Kidney Beans (Cranberry Bean Pinto Bean)), Beans (Peeled Mung Bean), Beans (Roasted Black), Beans (Roasted Mung Bean), Beans (White Kidney), Buckwheat, Buckwheat (Flour), Buckwheat (Roasted Kernels), Corn, Corn (Corn Chop (Corn Grits)), Corn Flour, Flax Seed, Grains (Job's Tear Kernel (Coix Seed Kernel)), Grains (Sorghum Kernels), Grains (Steamed Job's Tear Kernel (Coix Seed Kernel)), Millet (Hulled), Millet (Hulled Broomcorn Millet (Hulled Sticky Millet)), Millet (Steamed), Millet Flour, Oats, Oats (Kernel), Pasta (Black Rice Macaroni), Pasta (Brown Rice Macaroni), Pasta (Buckwheat Macaroni), Pasta (Chickpea Macaroni), Pasta (Corn), Pasta (Corn Instant Noodles), Pasta (Millet Macaroni), Pasta (Pea Macaroni), Pasta (Quinoa Pasta), Pasta (Rice Macaroni), Pasta (Sorghum Macaroni), Rice (Black), Rice (Brown), Rice (Hulled), Rice (Steamed), Rice (Steamed Black), Rice (Steamed Brown), Rice (Steamed Glutinous), Rice Flour, Rice Flour (Black Rice), Rice Flour (Brown), Rice Flour (Sweet), Seeds (Perilla), Sesame (Black Sesame Powder), Sesame (Black/White), Sesame (Roasted), Sesame (Roasted Sesame Flour), Soybeans, Soybeans (Black), Soybeans (Flour), Soybeans (Hulled), Soybeans (Roasted), Soybeans (Roasted Black Soybean with Green Kernel), Soybeans (Roasted Soybean Flour), Soybeans (Steamed), Sunflower Seed, Sunflower Seed (Kernels), Sunflower Seed (Roasted), Wheat Flour</t>
  </si>
  <si>
    <t>Other: Almonds, Beans (Adzuki), Beans (Garbanzo), Beans (Lentils), Dried Fruits (Cranberries), Dried Fruits (Raisins), Grains (Barley), Grains (Oat Bran), Grains (Quinoa), Grains (Wheat), Nuts (Brazil), Nuts (Cashews), Nuts (Hazelnut), Nuts (Peanuts), Nuts (Walnuts), Peas (Green), Seed (Mustard Seed), Seeds (Alfalfa), Seeds (Arugula), Seeds (Broccoli), Seeds (Flax), Seeds (Kale), Seeds (Pumpkin), Seeds (Radish), Seeds (Red Clover), Seeds (Sesame), Seeds (Sunflower), Seeds (Sunflower kernels)</t>
  </si>
  <si>
    <t>Other Grains, Pastas and Cereals: Barley (barley rolled flakes), Barley (Barley, Hulled), Barley (Barley Dalia), Barley (Barley Flour), Oats (oats rolled flakes), Quinoa (Organic Quinoa Rolled Flakes), Quinoa (Organic Quinoa Tri-Color), Quinoa (quinoa dalia), Wheat (Emmer Wheat), Wheat (Emmer Wheat Flour), Wheat (Hard Wheat), Wheat (Hard Wheat Flour), Wheat (Kamut Wheat), Wheat (Kamut Wheat Flour); Oils &amp; Oleoresins: Oils (Coconut Oil), Oils (Coconut Oil - Extra Virgin), Oils (Olive Oil Extra Virgin), Oils (Safflower Oil High Oleic), Oils (Sesame Seed Oil - Virgin); Nuts/Seeds: Amaranth, Organic, Chia Seeds, Sesame Seeds; Dry/Baking Goods: Flours and Meals (Amaranth, Organic flour), Powders (Coconut Powder); Condiments and Sweeteners: Sweeteners (brown sugar)</t>
  </si>
  <si>
    <t>Other Grains, Pastas and Cereals: Basmati Rice Brown,Basmati Rice White,Kodo/Kodon Millet,Maize (Corn),Ragi (Finger millet- other than seed),Rice Sonamasuri,Rice Sonamasuri brown,Sorghum,, Pearl millet / Bajra; Oils &amp; Oleoresins: Coconut Oil,Groundnut/ Peanut Oil (Edible Grade),Moringa oil,Mustard oil (Refined), Sunflower oil (edible grade); Nuts/Seeds: Psyllium seed (Isobgul), Water Melon Seeds; Fruits/Vegetables: Chilli- bird eye, Chilli Whole, Coleus,curry leaf/leaves,Gokshura Fruit (Tribulus terrestris), Haritaki fruit,Moringa Leaves,Red chilli (whole); Other: Ajwain,Ajwain Powder,Aloe vera leaves powder,Amaranth flour,amaranth seed/ ram dhana,Amla Powder,Amla Dried,Arrowroot Powder,Ashwagandha powder,Ashwagandha Root,Barley Grass Powder,Barley Whole, Basil/Tulsi,Bay Leaf,Beet Root Powder,Bel/Bael fruit Dry,Bengal gram (Chana) Flour,Bengal Gram Whole,Bhoomi Amla Powder,Black cumin,Black gram flour,Black Gram Split White,Black Gram White whole,Black Pepper,Black Pepper Powder,Black Mustard Seed, Brahmi Powder,Brahmi/Bacopa monnieri, Brown gram/Gram/Chana (Cicer arietinum),Brown Mustard,buck wheat (seed quality),Buckwheat flour,cardamom large (black),Centella asiatica,Cinnamon TBC,Centella asiatica powder,Chana Dal,Chia,chickpea/kabuli, chana(garbanzos),Chicory root, Chicory Root Powder, Chilli Powder,Chitra Kidney beans/Rajma (Phaseolus vulgaris)/Rajma Chitra,Cinnamon,cinnamon (powder),Clove,Clove powder,Curry Leaf powder ,Cloves,Coriander Powder,Coriander seed,Cowpea,Cumin Powder,Cumin Whole,Curry Leaf TBC,Cyperus rotundus (Nagarmootha),Cyperus Rotundus/Musta Powder,Dry Rose Petals,Eclipta alba Powder,Eclipta alba(Bhrigjraj/bhringraj),Eucalyptus citridora leaves TBC,Eucalyptus leaf,Fennel seed,Fennel Powder,Fenugreek powder (Methi powder),fenugreek seed (methi seed),Flax Seed,Galangal powder,Galangal roots,Garcinia cambogia Powder,Garlic Flakes,Garlic granules,Garlic Powder,Giloy Powder,Ginger Powder,Ginger Sliced (Dried),Ginger TBC,Ginger Whole Dried,Gokshura Powder-Tribulus Terrestris,Gotukola TBC-Centella asiatica,Green gram whole (Moong sabut),Green gram/Moong dhuli,Green gram Flour,Groundnut/Peanut, Guduchi (Tinospora Cordifolons),Gymnema,Gymnema Powder,Haritaki Powder, Hibiscus,Hibiscus petal-TBC,Hibiscus rosa-sinensis powder, Jaggery,Jaggery Powder,Jamun Seed Powder,Jowar Flour,Kalmegh, (Andrographis paniculata),Kalmegh Powder (Andrographis Paniculata),kalonji/nigella,Krishna tulsi TBC-Ocimum basilicum),Lemon grass,Lemon Grass TBC,Lemon Peel (TBC),Lemon Peel Dried,Lemon Powder,Lentil,Liquorice powder,Liquorice Root, Liquorice TBC,Mace,Mace powder, Maize/Corn Flour,Malka whole,mango powder/ aamchur,manjistha TBC,manjistha/ rubia cordifolia powder,masur/masoor dhuli,Mix Dal,Moong Dal,Moringa Powder,Moth Dal,Mucuna pruriens (Mucuna),Mucuna pruriens Powder,Mustard , Mustard seed- yellow, Matki/moth bean, Nutmeg Powder,Nutmeg whole,Oats ( Flakes),Onion Flakes,Onion granules,Onion Powder,Orange peel,Orange Peel Powder/Extract,Pepper long/pippali (Piper longum) dried,Peppermint,pippali powder-piper longum,Psyllium husk(isobgul),Psyllium seed powder,Punarnava Powder,Quinoa,Ragi Flour,Rama Tulsi TBC-Ocimum sanctum,Red Chilli, Neem Leaves Powder ,Red Chilli Powder, red kidney beans/rajma (phaseolus vulgaris),Red Lentil,Red onion powder,Safed Musli Powder,Safed Musli/Chlorophytum borivilianum,Senna Leaves,Senna Leaves Powder,Shatavari Powder,Soap Nut/Reetha (Powder),Sorghum Flour,split green gram/moong(vigna sp),Split lentils,Stevia,Stevia/stevia rebaudiana powder,Suji/Semolina/ Cream of Wheat, Tamarind Powder (Imli),Terminalia arjuna,Terminalia bellirica Powder,Terminalia bellirica/baheda,Triphala Powder ,Tulsi Powder,Tulsi TBC/Tulsi TBC blend,Turmeric dried,Turmeric Fingers,Turmeric Flakes,Turmeric Powder,Turmeric TBC,Urad dal split,Urad Whole(black),Vana tulsi TBC-Ocimum gratissimum), Wheat Porridge/Dalia,Wheatgrass powder, Psyllium Husk Powder, Wheat Maida,White Pepper Powder, ,Yellow Mustard Powder/ Ground , Arahar Dal (red gram/ pigeon pea), Neem Leaves,Saffron, Red chilli flakes, Maize (Corn) Flake</t>
  </si>
  <si>
    <t>Processed  Items: CANOLA EXPELLER, SOYBEAN EXPELLER, SUNFLOWER EXPELLER; Other Grains, Pastas and Cereals: Barley, CANOLA SEED, Cereal (RYE), CORN, POPCORN, Rice (WHITE RICE), Rice (BROWN RICE), Sorghum, SUNFLOWER, Wheat, Wheat (BUCKWHEAT); Oils &amp; Oleoresins: Essential Oils (CANOLA OIL), Essential Oils (SUNFLOWER OIL), Essential Oils (SOYBEAN OIL); Nuts/Seeds: FLAX; Fruits/Vegetables: Beans (SOYBEAN); Dry/Baking Goods: Flours and Meals (SOY MEAL), Flours and Meals (WHEAT FLOUR), Sugar (CANE SUGAR); Condiments and Sweeteners: Syrups (MOLASSES), Syrups (SYRUP WITH MAPLE); Alcohol: CANE ALCOHOL</t>
  </si>
  <si>
    <t>Other: Acacia Arabica (Babul), Acacia Arabica (Babul) Powder, Acacia Arabica (Babul) TBC, Ajwain, Ajwain Powder, Almond, Almond Oil, Aloevera Powder, Amla Dried/ Dried Amla Whole, Amla Powder, Amla TBC, Anantmool Powder, Anantmool TBC, Arhar, Arhar Dal/ Toor Daal, Arjuna Powder, Arjuna TBC, Arjuna/Terminalia Arjuna, Ashwagandha (Withania Somnifera), Ashwagandha Powder (Withania Somnifera Powder), Ashwagnadha TBC (Withania Somnifera TBC), Ayush Kwath / Ayuttva Ayush Kwath, Baheda / Bibhitaki, Baheda Powder, Baheda TBC, Bajra, Barley, Basil Seeds, Basil/Tulsi, Basmati Rice, Bay Leaves / Tejpatta, Beet Root Powder, Bengal Gram (Chana) Flour / Besan, Bengal Gram Whole, Berberis Aristata(Daru Haldi), Besan, Bhoomi Amla Dried Whole, Bhoomi Amla Powder, Bhoomi Amla TBC, Bhringraj Powder, Bhringraj TBC, Bhringraj Whole/Eclipta Alba, Black Cumin, Black Gram / Urd (Vigna sp.), Black Gram Urad Dal / Split Black Gram, Black Pepper Powder, Black Pepper Whole, Black Tea, Black Tea TBC, Brahmi (Bacopa Monnieri), Broken Rice, Buck Wheat (Other Than Seed), Cardamom, Cardamom Large (Black), Cashew Nut Roasted, Cashew Whole, Centella Asiatica (Gotukola) / Brahmi, Chaat Masala, Chamomile (M.Chamomile), Chamomile TBC, Chana / Kala Chana, Chana Dal, Chickpea / Kabuli Chana (Garbanzos), Chicory Root Powder, Chilli Flex, Chilli Powder, Chilli Whole, Chitra Kidney Beans / Rajma (Phaseolus Vulgaris), Cinnamon Bark Powder/Cinnamon Powder, Cinnamon Bark TBC/Cinnamon TBC/Cinnamon Cut &amp; Sifted, Cinnamon Bark/Cinnamon Quils/Cinnamon Whole, Cinnamon Cleanse /Ayuttva Cinnamon Cleanse, Cinnamon Digest /Ayuttva Cinnamon Digest, Cinnamon Indian Rose /Ayuttva Cinnamon Rose, Cinnamon Liquid Yoga, Cissus/Hadjod, Clove Powder, Clove Whole, Coconut Oil, Convolvulus Pluricaulis (Shankpushpi), Coriander Powder, Coriander Seeds, Cumin Powder, Cumin Seeds, Curry Leaf / Leaves, Cyperus Rotundus (Nagarmootha), Dant Manjan, Daru Haldi Powder, Detox, Dried Cardamom, Dried Nutmeg Shelled, Dry Rose Petals-Red, Fennel Powder/Fennel Seed Powder, Fennel Seed, Fennel TBC, Fenugreek Powder/Methi Powder, Fenugreek Seed/Methi Seed, Flax Seed, Garam Masala, Garcinia Cambogia (Fruit), Garcinia Cambogia (Fruit) Powder, Garlic, Garlic Powder, Ginger Chai, Ginger Powder, Ginger TBC/Ginger Cut &amp; Sifted, Ginger Whole (Dried), Gokshura, Gokshura Powder, Gokshura TBC, Gotukola Cut &amp; Sifted /Centella Aciatica TBC/ Brahmi Cut &amp; Sifted/ Brahmi TBC, Gotukola Powder/ Centella Asiatica Powder / Brahmi Powder, Green Cardamom Whole, Green Gram / Moong Dhuli, Green Gram Whole (Moong Sabut), Green Tea, Green Tea TBC, Groundnut / Peanut, Groundnut / Peanut Oil, Guduchi / Giloy TBC, Guduchi /Giloy, Guduchi /Giloy Powder, Gurmar Gymnema Leaves / Gymnema, Gurmar Powder/Gymnema Powder, Gurmar TBC /Gurmar Cut &amp; Sifted/ Gymnema TBC, Harad / Haritaki, Harad Powder, Harad TBC, Henna Leaves, Henna Powder, Henna TBC, Hibiscus Powder, Hibiscus TBC/Hibiscus Cut &amp; Sifted, Hibiscus/Dried Hibiscus Flower, Holy Basil, Indigo Leaves Powder / Indigo Powder, Jaggery, Jaggery Powder, Jatamansi, Jatamansi Powder, Jatamansi TBC, Jowar, Jowar Flour, Kalmegh Powder, Kalmegh(Andrographis Penniculata), Kasuri Methi, Kasuri Methi Powder, Khichdi, Krishna Tulsi Dried, Krishna Tulsi Powder/Ocimum Sanctum Powder, Krishna Tulsi TBC/Krishna Tulsi Cut &amp; Sifted/Ocimum Sanctum TBC, Kutti Mirch, Lemongrass, Lemongrass Powder, Lemongrass TBC/Lemongrass Cut &amp; Sifted, Liquorice (Mulethi), Liquorice Powder, Liquorice TBC/Licorice Cut &amp; Sifted/Mulethi TBC, Lodhra (Symplocos Recemosa), Lodhra Powder, Mace, Mace Powder, Maize (Corn) Flake, Maize Grain, Malka Whole / Masoor Malka / Masoor Gota, Mango Powder / Aamchur, Manjishtha TBC, Manjistha Powder (Rubia Cordiflora Powder), Manjistha Root, Masala Chai, Masoor / Masur / Masoor Dhuli / Masoor Mogar, Masoor Dal Split, Masoor Dal Whole, Mint Powder/Mentha Powder, Mix Dalia, Moringa Leaves Dried/Moringa Oleifera Leaves, Moringa Leaves Powder, Moringa Powder, Moringa TBC/Moringa Cut &amp; Sifted, Mucuna Powder, Mucuna Whole, Mustard, Mustard Black, Mustard Oil, Neem Leaf, Neem Powder, Neem TBC, Nettle Leaf, Nettle Powder, Nettle TBC, Nutmeg, Nutmeg Powder, Om Shanti, Pancharatna Dal / Mix Daal, Peppermint, Peppermint Leaves TBC/Peppermint Cut &amp; Sifted, Peppermint Powder, Piper Longum (Fruit), Psyllium Husk (Isobgul) / Psyllium Husk, Punarnava Powder, Pushkarmool Powder, Pushkarmool/Inula Racemosa, Quinoa, Quinoa Flour, Raisins / Kismis, Rama Tulsi Powder, Rama Tulsi TBC/Rama Tulsi Cut &amp; Sifted, Rama Tulsi-Ocimum Sanctum, Red Chilli Powder, Red Chilli Whole, Red Kidney Beans / Rajma (Phaseolus Vulgaris), Red Rose Petal Powder, Red Rose Petal TBC/ Rose Petal Cut &amp; Sifted, Reetha Powder, Rice, Roasted Chana, Safed Musli Powder, Safed Musli/Chlorophytum Borivilianum, Saffron, Senna Leaves, Senna Leaves Powder, Senna Leaves TBC/Senna Leaves Cut &amp; Sifted, Sesame Seed, Sesame Seed Oil, Shatavari, Shatavari Root Powder, Shatavari Root TBC/Shatavari Root Cut &amp; Sifted, Shikakai, Soapnut / Reetha (Nuts), Spearmint Leaves, Spearmint Powder, Spearmint TBC/Spearmint Cut &amp; Sifted, Star Anise, Stevia Leaves Powder, Stevia Leaves TBC/Stevia Cut &amp; Sifted, Stevia/Stevia Leaf/Dried Stevia Leaves, Sugar, Sugar (Brown / Natural), Sunflower Seed Oil, Tamarind/Imli (T.indica), Tamarind/Imli (T.indica) Powder, Tandoori Masala, The Original Tulsi, Tinospora Cordifolia (Guruchi), Triphala Powder, Tulsi Brahmi, Tulsi Ginger, Tulsi Green Tea Classic, Tulsi Green Tea Premium, Tulsi Indian Rose, Tulsi Leaves Dry, Tulsi Lemon, Tulsi Moringa, Tulsi Powder/Tulsi Leaves Powder, Tulsi TBC/Tulsi Cut &amp; Sifted, Turmeric Fingers, Turmeric Powder, Turmeric Powder - 5% Curcumin, Turmeric TBC/Turmeric Cut &amp; Sifted, Turmeric Whole, Vana Tulsi (Ocirnum Gratissimum), Vana Tulsi Powder, Vana Tulsi TBC/Vana Tulsi Cut &amp; Sifted, Virgin Coconut Oil, Walnut, Wheat, Wheat Dalia, Wheat Flour, Wheatgrass, Wheatgrass Powder, White Basmati Pusa, White Pepper, Wild Basil Leaf, Yellow Mustard</t>
  </si>
  <si>
    <t>Processed  Items: Apple juice powder, Chickpea protein, Fava Bean Protein, Mung Bean Protein powder, Papaya juice powders, Pumpkin Seed Protein, Soy protein, Sunflower seed protein, Dehydrated Foods (Chaga (Inonotus obliquus) - dried, Dehydrated Beetroot (Slice/Flakes/Diced),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Pomegranate seed extract, Reishi/Ganoderma Lucidum extract, Rhodiola Rosea extract, Schisandra Extract, Siberian ginseng/Eleutherococcus extract, Stevia leaf extract), Extracts (Gingseng extract, Ginkgo Leaves/ Ginkgo biloba leaf Extract, Green Tea extract, Red Ginseng extract, Shiitake/Lentinus Edodes extract, Turmeric extract, White Ginseng extract); Other Grains, Pastas and Cereals: Cereal (Coix seed kernels); Oils &amp; Oleoresins: Oils (Hemp oil, Hulled Hemp Seeds); Nuts/Seeds: Seeds (Hemp seed); Health Products: Herbs (Astragalus cut, Lotus Seed, Milk Thistle powder, Red Ginseng cut, White Ginseng Cut), Herbs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Maca powder, Matcha powder, Pomegranate Juice powder, Pomegranate powder, Reishi/Ganoderma Lucium powder, Rhodiola Rosea powder, Schisandra Powder, Siberian ginseng/Eleutherococcus powder, Spirulina chlorella tablets, Stevia leaf powder, Strawberry Powder, Wheat Grass Powder), Powders (Ginkgo Leaves/ Ginkgo biloba leaf powder, Ginseng powder, Green tea powder, Red Ginseng powder, Shiitake/Lentinus Edodes powder, Turmeric powder, White Ginseng powder); Fiber Textiles: Pea fiber; Dry/Baking Goods: Flours and Meals (Corn Starch, Inulin powder, Mung bean Starch, Potato Starch); Condiments and Sweeteners: Sweeteners (Allulose powder, Allulose syrup, Cane sugar, Crystalline allulose, Crystalline fructose, Erythritol, Erythritol &amp; Monk Fruit Extract Blends, Fructooligosaccharide powder, Fructooligosaccharide syrup, Galactooligosaccharides, Glucose (Dextrose), High fructose corn syrup, Isomaltitol, Isomaltooligosaccharide, Isomaltooligosaccharide syrup, Isomaltulose, Maltodextrin, Polydextrose powder, Xylitol), Sweeteners (Polydextrose syrup, Resistant dextrin powder, Resistant dextrin syrup); Beverage Related Products: Juice (Goji Berry Juice); Other: Beans (Soybean), Chlorella (Powder, Tablet), Spirulina powder, Spirulina tablet</t>
  </si>
  <si>
    <t>Processed  Items: Dehydrated Foods (Asian Mix, Italian Mix, Mesclun Mix); Other Grains, Pastas and Cereals: Cereal (Amaranth); Nuts/Seeds: Seeds (Japanese mustard); Health Products: Herbs (Basil, Chocomint, Chrysanthemum, Corainder, Edible Flower, Phlox, Lime leaves, Mint, Oregano, Parsley curl/flat, Rosemary, Thyme); Fruits/Vegetables: Banana, Leaf mustard, Micro, Mix, Beans (Green french bean), Citrus (Lime fruit), Vegetables (Artichoke, Beetroot, Beetroot Baby, Broccoli, Cabbage white, Carrot, Carrot Baby, Cauliflower, Celery, Cucumber, Daikon, Gourd, Kale curl, Kale Tuscano, Kohlrabi, Lollo green/rosso, Luffa, Malabar spinach, Mesclun, Oakleaf green/red, Okra, Pak Choi, Romaine Lettuce, Roquette Wild, Snow pea, Spinach, Spinach Baby, Swiss chard, Tomato Cherry red/yellow, Tomato Chocolate, Winter gourd, Zucchini green)</t>
  </si>
  <si>
    <t>Other: Ajwain/Bishop Weed Seed, Almond, Almond Oil, Amaranth Seed/ Ram Dhana, Amchoor Powder/Mango Powder, Amla Powder, Amla Whole Dried, Ashwagandha Powder, Ashwagandha Root, Bajra Flour/ Atta, Barley Flour, Barley Whole, Basil/Tulsi, Basmati Rice-Brown, Basmati Rice-White, Bay Leaves/Tejpatta, Bengal Gram Whole/ Bengal Gram, Bengal Gram(Chana)Flour, Black Gram Split White, Black Gram/Urd (Vigna Sp.), Black Pepper Powder, Black Pepper/ Kali Mirch, Black Sesame, Brown Gram / Chana, Brown Rice/Non Basmati Brown, Cardamom, Cardamom Large (Black), Cashew Whole, Chana Dal, Chia, Chickpea/Kabuli Chana, Chilli Whole, Chitra Kidney Beans/Rajma (Phaseolus Vulgaris), Cinnamon (Powder), Cinnamon Bark, Clove/ Long, Coconut (Dried), Coconut Desiccated, Coconut Oil, Coffee Beans (Arabica), Coffee Beans (Rousta), Coffee Powder, Coriander Powder, Coriander Seed/Whole, Corn Daliya/ Corn Porridge, Cowpea, Cumin/ Jeera, Dried Cardamom, Dried Curry Leaves, Dried Garlic, Dried Nutmeg Shelled, Dry Rose Petals-Red, Eclipta Alba (Bhrigjraj/Bhringraj Powder), Extra Virgin Coconut Oil, Fennel/Saunf, Fenugreek Seed (Methi Seed), Flax Seed, Foxtail Millet, Fresh Turmeric, Garlic Powder, Ginger Oil, Ginger Powder, Ginger Sliced (Dried), Gluten Free Daliya, Green Cardamom, Green Gram Split Yellow/Moong Dal-Yellow, Green Gram Whole (Moong Sabut), Groundnut/Peanut, Groundnut/Peanut Oil (Edible Grade), Hibiscus Powder, Idli Rice, Jaggery, Jaggery Powder, Kalonji/Nigella, Kasuri Methi, Kodo/Kodon Millet, Lemon Grass Root Powder, Little Millet, Mace/ Javitri, Mace/ Javitri Powder, Maize (Corn), Maize/Corn Flour, Masoor Dal / Red Lentil Split, Moth Dal, Mustard - Black, Mustard Seeds, Non Basmati Rice, Oats, Onion, Onion Flakes, Onion Powder, Parboiled Basmati Rice, Parboiled Non Basmati Rice, Parboiled Rice, Pearl Millet/Bajra, Pigeon Pea/Arhar Whole, Poha Flattened Rice/ Red Rice Poha/Red Flattened, Proso Millet, Quinoa, Ragi Flour, Ragi/Finger Millet Grain, Raisins/Kismis, Red Chilli (Whole), Red Chilli Flakes, Red Chilli Powder, Red Kidney Beans/Rajma (Phaseolus Vulgaris), Red Rice, Red Rice Flour, Rice Sonamasuri Brown, Rice Sonamasuri Hand Pound, Rice-Sona Masuri, Rosemary, Saffron, Sesame/Sesamum, Sorghum, Split Pigeon Pea/Arhar/Red Gram, Star Anise, Sugar, Sugar (Brown/Natural), Suji/Semolina/ Cream Of Wheat, Sunflower Oil: Edible Grade, Tamarind Dry (Imli), Tamarind Powder (Imli), Tapioca, Tomatoes (Fresh), Turmeric Powder, Turmeric Whole-Dried, Urad Dal Black Split, Urad Dal-Spilt With Shell, Urad Dhuli, Virgin Coconut Oil, Walnut/ Akhrot, Wheat, Wheat Flour, Wheat Porridge/Dalia, Wheatgrass Powder, White Cane Sugar, White Sesame/Sesame, Yellow Mustard</t>
  </si>
  <si>
    <t>Processed  Items: Cereal (Bulgur(Yellow, Brown), Freekeh), Dehydrated Foods (Dreid Mulberry), Dried Tomatoes; Other Grains, Pastas and Cereals: Cereal (Corn), Quinoa (Quinoa(Red-White-Black,Tricolor)), Rice (Rice), Wheat (Wheat); Nuts/Seeds: Seeds (Brown Flax Seeds , Chia Seeds, Flax Seeds, Golden Flax Seeds , Pumpkin Seeds, Rapeseed, Rapeseed Meal, Sunflower Seed, Sunflower Seeds Hulled, White Poppy Seed); Health Products: Herbs (Blue Poppy Seeds); Fruits/Vegetables: Dehydrated Foods (Dried Apricot , Dried Fig, Dried Raisins, Sultanas); Fiber Textiles: Flax Meal; Dry/Baking Goods: Flours and Meals (Wheat Flour); Condiments and Sweeteners: Seasoning Blends (Soybean Meal); Other: Beans (Adzuki Bean, Black Bean, Great Northern Beans, Light Speckled Beans, Navy Beans , Red Beans, Soybean, White Bean), Black Eyed Beans, Green Lentils , Brown Lentils , Chickpeas, Red Split Lentils , Red Football Lentil, Yellow Peas, Green Peas, Yellow Football Lentils , Yellow Split Lentils, Seeds (Hulled Sesame Seeds)</t>
  </si>
  <si>
    <t>Other: Almond (Sweet A.) vegetal oil, Almond Bitter (Prunus armeniaca) vegetal oil, Angelica, Angelica essentiel oil, Angelica hydrolate, Anis, Argan, Argane vegetal oil, Artemisia white sage, Ash tree, Atlas cedar essential oil, Atlas cedar hydrolate, Bell heather, Bergamot Citrus bergamia, Bergamot Citrus bergamia essential oil, Bergamot Citrus bergamia hydrolat, Bigaradier (Citrus aurantium v. amara), Bigaradier (Citrus aurantium v. amara) essential oil, Bitter almond (Prunus armeniaca), Bitter orange hydrolate, blackcurrant, Blue tansy essential oil, Blue Tansy hydrolate, Borage, Borage vegetal oil (Borrago officinalis), Bramble (Rubus fruticosus), Butcher's broom, Camomille matricaire essential oil (Matricaria chamomilla), Carob tree seed, Cedar, Chamomile (German C.) hydrolate, Chamomile (German), Chamomile (Ormenis multicaulis or mixta) essential oil, Chamomile (Ormenis multicaulis) hydrolate, Chamomile (Roman C.) hydrolate, Chamomile (Roman), Chamomile Blue (B. Tansy), Chamomile roman essential oil, Chaste tree, Chaste Tree essential oil, Chaste tree hydrolate, Cistus (Gum rockrose), Cistus (Gum rockrose) essential oil, Cistus (Gum Rockrose) hydrolate, Clementin (citrus clementina), Clementine essential oil, Climbing ivy, Cumin graines, Cypress, Cypress essential oil, Cypress hydrolate, Dandelion, Dill, Eucalyptus globulus, Eucalyptus globulus essential oil, Eucalyptus globulus hydrolate, Fennel, Fig tree, Fumitory, Géranium (Pelargonium graveolens), Geranium essential oil, Geranium hydrolate, Hawthorn, Helichrysum (Helichrysum italicum), Helichrysum essential oil (Helichrysum italicum), Hibiscus, Hydrolate of clementine, Hydrolate of Helichrysum (Helichrysum italicum), Iris (Iris germanica), Jasmine, Jasmine essential oil, Jasmine hydrolate, Khella, Khella essential oil, Khella hydrolate, Laurel (Bay L.), Laurel essential oil, Laurel hydrolate, Lavandin grosso essential oil, Lavandin grosso hydrolate, Lavender grosso, Lemon, Lemon balm, Lemon essential oil, Lemon hydrolate, Majoram essential oil, Majoram hydrolate, Mallow (Malva sylvestris), Malva neglecta, Maritime scille, Marjolaine (Origanum marjorana), Mastic tree, Mastic tree essential oil, Mastic tree hydrolate, Mistletoe, Mullein ('white boiler'), Myrtle (Common M.) essential oil, Myrtle (Myrtus communis), Myrtle (myrtus communis) hydrolate, Nigella essential oil, Nigella grain, Nigella hydrolat, Nigella oil, Oak moss, Olive oil, Olive tree, Orange (Sweet O.), Orange (sweet O.) essential oil, Orange sweet hydrolate, Oregano, Oregano essential oil, Organo hydrolate, Pennyroyal mentha, Pennyroyal mint essential oil, Pennyroyal mint hydrolate, Peppermint, Peppermint essential oil (mentha piperita), Peppermint hydolate, Poppy (Corn P.), Prickly pear, Prickly pear vegetal oil, Pyrèthre d'Afrique (Anacyclus pyrethrum), Rescus, Rosa canina, Rose buds/petals (Rosa centifolia), Rose buds/petals (Rosa damascena), Rose centifolia hydrolate (Rosa centifolia), Rose de Damas hydrolate (rosa damascena), Rose essential oil (rosa damascena), Rosemary, Rosemary (cinéole type) hydrolate, Rosemary essential oil, Rue (Ruta graveolens), Sage (Common S.), Sage (Common S.) essential oil, Sage (Common S.) hydrolate, Sage (Wild S.), Sage (Wild S.) essential oil, Sage (Wild S.) hydrolate, Saponaria, Souci (Calendula officinalis), Spearmint (nanah m.), Spearmint (nanah m.) essential oil, Spearmint (Nanah mint) hydrolate, Stevia, Stinging nettle, Strawberry tree, Sweet almond, Sweet clover, Thyme (Thymus satureioïdes), Thyme (Thymus vulgaris), Thyme essential oil (Thymus satureioïdes), Thyme hydrolate (Thymus satureioides), Thymus Serpyllum, Tree wormwood hydrolate, Verbena (Lemon V) hydrolate, Verbena (Lemon V.), Verbena (Lemon V.) essential oil, Walnut tree, Wild camomile (Ormenis Multicaulis), Wormwood (White W.) essential oil, Wormwood (White W.) hydrolate, Wormwood essential oil, Wormwood tree</t>
  </si>
  <si>
    <t>Processed  Items: Ready to Eat Foods (GAZPACHO BIOTERRANEO Organic Gazpacho Fresh Tomato &amp; Vegetable Soup 1000 ml), Ready to Eat Foods (GAZPACHO BIOTERRANEO Organic Gazpacho Fresh Tomato &amp; Vegetable Soup 500 ml (16.9 Fl. Oz)); Other Grains, Pastas and Cereals: Pasta (Fettuccine BIO), Pasta (Fettuccine Integrali BIO), Pasta (Fettuccine Lenticchie Rosse ZERO+), Pasta (Fettuccine Mix Legumi ZERO+); Oils &amp; Oleoresins: Oils (.Bellucci Olio di Roma PGI Organic EVOO 16.9 fl oz (500 ml)), Oils (Bellucci 100% Italian Organic Organic Extra virgin olive oil 16.9 fl oz (500 ml)), Oils (Bellucci 100% Italian Organic Organic Extra virgin olive oil 25.5 fl oz (750 ml)), Oils (Bellucci Sicilian PGI Organic Organic Extra virgin olive oil 16.9 fl oz (500 ml)), Oils (Bellucci Tuscan PGI Organic Organic Extra virgin olive oil 16.9 fl oz (500 ml)), Oils (ORGANIC EXTRA VIRGIN OIL OCAL Valderrama Organic Ocal Extra Virgin Olive Oil 250ml/8.4 Fl. Oz), Oils (ORGANIC EXTRA VIRGIN OLIVE OIL), Oils (ORGANIC Extra Virgin Olive Oil Casas de Hualdo Organic Extra Virgin Olive Oil 16.9 fl oz (500 ml)), Oils (Romanico Extra virgin olive oil org. 500 ml.); Condiments and Sweeteners: ACEITUNA HOJIBLANCA, AJO Y ORÉGANO AJO Y ORÉGANO - Campomar Nature Organic Hojiblanca Olives/Garlic&amp;Oregano, ACEITUNA NEGRA DE ARAGÓN Campomar Nature Organic Dried Black Aragon Olives, ACEITUNA PICOLIMÓN ALIÑO INTENSO Campomar Nature Organic Picolimon Olives, ACEITUNA VERDE DESHUESADA Campomar Nature Organic Pitted Green Olives, ACEITUNA VERDE RELLENA DE ANCHOA Campomar Nature Organic Green Olives Stuffed w/Anchovy., ACEITUNA VERDE RELLENA DE PASTA DE PIMIENTO Campomar Nature Organic Green Olives Stuffed w/Pepper, AJO EN SALMUERA Campomar Nature Organic Pickled Garlic, ALCAPARRA SABOR NATURAL Campomar Nature Organic Nonpareil Capers, ALCAPARRÓN SABOR NATURAL Campomar Nature Organic Caperberry 370g. (13 oz), GUINDILLAS VERDES PICANTES Campomar Nature Organic Green Chili Peppers, Honey (Campomar Nature Raw Organic Heather Honey), Honey (Campomar Nature Raw Organic Honey rich in Rosemary), Honey (Toca Organic Eucalyptus Honey), Honey (TOCA RAW ORGANIC CHESTNUT HONEY), Honey (TOCA RAW ORGANIC CHESTNUT POLLEN), Honey (TOCA RAW ORGANIC HEATHER HONEY), Honey (TOCA RAW ORGANIC HONEY &amp; PROPOLIS), Honey (TOCA RAW ORGANIC HONEY &amp; ROYAL JELLY), Honey (TOCA RAW ORGANIC MOUNTAIN HONEY), PEPINILLOS AGRIDULCES Campomar Nature Organic sweet &amp; Sour Dill Pickles, PEPINILLOS CON COMINO Y PIMIENTA NEGRA Campomar Nature Organic Pickles with Cumin, PIMIENTO Campomar Organic Sliced Hot Jalapeno Peppers, QUINCE PASTE Santa Teresa Organic Quince Paste /Membrillo organico, VINAGRE DE VINO BLANCO Campomar Nature Organic White Wine Vinegar; Other: Bonito del Norte (White tuna) in EV Organic Olive oil Olasagasti White Tuna (Bonito del Norte) in Organic Extra Virgin Olive Oil, Toca Organic Multifloral Pollen</t>
  </si>
  <si>
    <t>Other: Broker (Client Profile Products only), Quinoa, Quinoa (Rainbow), Quinoa (Red), Quinoa (RTS Quinoa), Quinoa (RTS Red Quinoa), Quinoa (Tricolor (white, red, black)), Quinoa (White Quinoa), Rice (Basmati), Rice (Brown), Rice (Jasmine), Rice (Long Grain Brown), Rice (Long Grain White)</t>
  </si>
  <si>
    <t>Processed  Items: Banana (Dried / IQF/ Semi Dried / Semi Dried IQF), Coconut chips, Coconut Milk, Desiccated Coconut, Dragon Fruit (Drien / IQF/ Semi Dried / Semi Dried IQF), Dried Tomato (Sun Dried, Semi Dried, Whole, Chopped, Diced, Cube, Strip, Halves, Sliced, Granule, Powder, Rte), Dried Tomatoes And Semi Dried Tomatoes (With Olive Oil) , Fruit Balls &amp; Bites &amp; Bars &amp; Disks, Fruit Bars Dried&amp;Paste, Fruıt Mıx Balls Bıtes Bars Organic Dısks, Fruit&amp;Nuts Balls &amp; Bites &amp; Bars &amp; Organic Disks, Hazelnut Cream With Tahini, IQF Banana, IQF Blackberry (Calibrated, Uncalibrated, Crumbs, Powder), IQF Blueberries, IQF Peach (Diced, Sliced), IQF Pomegranate, IQF Strawberry (Whole,Diced,Calibrated,Uncalibra Ted,Sliced), Jackfruit (Drien / IQF/ Semi Dried / Semi Dried IQF), Kiwi (Drien / IQF/ Semi Dried / Semi Dried IQF), Melon (Drien / IQF/ Semi Dried / Semi Dried IQF), Orange (Drien / IQF/ Semi Dried / Semi Dried IQF), Papaya-Pawpaw (Drien, IQF, Semi Dried, Semi Dried), Peppers in Brine, Pomegranate, Pomegranate Sour, Semi-Dried Tomatoes (whole, chopped), Sun Dried (Julienne-Strip Cut, Diced,Half Cut) Tomatoes, Sun Dried Tomatoes, Sun dried tomatoes powder, Sun Dried Tomatoes with Olive Oil (Half Cut - Diced - Strip), Tomato Paste, Cereal (Brown Bulgur, Bulgur (Yellow, Brown), Wheat Bran), Concentrates (Apricot Compote), Dehydrated Foods (Apple (Dried / IQF/ Semi Dried / Semi Dried IQF), Apples Dried(With/Without Skin, Rings, Sliced, Diced, Granules, Powder), Beet (Drien / IQF/ Semi Dried / Semi Dried IQF), Blackberries, Blackberry (Drien / IQF/ Semi Dried / Semi Dried IQF), Broccoli (Drien / IQF/ Semi Dried / Semi Dried IQF), Carrot (Drien / IQF/ Semi Dried / Semi Dried IQF), Cauliflower (Drien / IQF/ Semi Dried / Semi Dried IQF), Cherry (Drien / IQF/ Semi Dried / Semi Dried IQF), Date (Drien, IQF, Semi Dried , Semi Dried IQF, Whole,Pitted, Paste, Diced, Granule, Powder, Rte(Ready To Eat)), Dehydrate White Onion Powder , Dried Cherry (Powder, Crunchy, Whole, Chopped), Dried Mandarin (Tangerine) Peel (Chopped) , Dried Pear (Powder, Crunchy, Sliced, Diced, Rte(Ready To Eat)), Dried Sour Cherry (Unpitted&amp;Pitted, Paste, Infused ,Diced), Dried Strawberry (Whole, Diced, Infused), Dried Sweet cherry (Unpitted&amp;Pitted, Infused, Paste, Diced), Dried Tart Cherries (Whole), Dried/Sun Dried Mulberry, Freeze Dried Strawberry (Cubes), Garlic, Gojiberry (Drien / IQF/ Semi Dried / Semi Dried IQF), Golden Strawberry (Drien / IQF/ Semi Dried / Semi Dried IQF), IQF Cherry, IQF Plum (Halves, Diced), Lemon (Drien / IQF/ Semi Dried / Semi Dried IQF), Mulberries Dried Colored With Organic Juice Concentrate,Crumbles,Paste, Mulberry, Pear (Drien / IQF/ Semi Dried / Semi Dried IQF), Pineapple (Drien / IQF/ Semi Dried / Semi Dried IQF), Pomelo (Drien / IQF/ Semi Dried / Semi Dried IQF), Potato (Drien Semi Dried, Semi Dried, IQF), Pumpkin (Drien, Semi Dried, Semi Dried, IQF), Quince Dried,Sliced,Diced, Soft &amp; Dried Fruit Medley (Apricot- Organic Tart Cherry- Apple Flavored Raisin-Strawberry) , Soft Dried Smyrna Figs, Soft Dried Turkish Apricots, Soft Dried White Mulberries, Soft&amp;Dried Dark Sweet Cherries, Soft&amp;Dried Fruit Medley , Soft&amp;Dried Strawberries , Soft&amp;Dried Tart Cherries , Squash (Drien / IQF/ Semi Dried / Semi Dried IQF), Stuffed Vine Leaves, Sweet Cherries Dried, Vine leaves in brine), Jam (Apricot Jams (Preserves), Blackberry Jam (Preserves), Fig &amp; Apricot Jam (Preserves), Fig &amp; Ginger Jam (Preserves), Fig Preserve Jam-Marmalade (Preserves), Raspberry &amp; Cabernet Jam/Marmalade (Preserves), Raspberry Jam (Preserves)), Purees (Apple Pure, Apricot (Paste, Puree), Apricot marmalade, Blackberry (Marmalade, Jam), Fig &amp; Apricot Marmalade, Fig &amp; Ginger Marmalade, Puree pieces - apple (chopped, shapes), Puree pieces - apricot (chopped, shapes), Puree pieces - banana (chopped, shapes), Puree pieces - blackcurrant (chopped, shapes), Puree pieces - blueberry (chopped, shapes), Puree pieces - fig (chopped, shapes), Puree Pieces - Lemon (Diced, Chopped, Shapes) , Puree pieces - mango (chopped, shapes), Puree pieces - orange (Diced,chopped, shapes), Puree Pieces - Pomegranate (Chopped, Shapes), Puree pieces - raisin (chopped, shapes), Puree pieces - raspberry (chopped, shapes), Puree Pieces Pomegranate (chopped, shapes) , Puree Pieces Sourcherry (chopped, shapes) , Puree Pieces Strawberry (chopped, shapes)), Vinegar (Grape Vinegar, Vinegar); Preservatives/Extracts/Flavors: Extracts (Carob , Carob Extract, Fig Extract, Pomegranate Extract); Other Grains, Pastas and Cereals: Barley (Barley), Cereal (Corn), Oats (Oat), Pasta (Pepper Paste), Rice (Rice Broken), Wheat (Bread Wheat, Durum Wheat, Durum WheatFflour, Freekeh, Wheat); Oils &amp; Oleoresins: Oils (Coconut Oil, Hulled Sesame, Olive oil, Roasted peppers in olive oil, Sunflower oil); Nuts/Seeds: Hazelnut (Blanched Broken Hazelnut Kernel, Blanched hazelnut kernel, Coconut Hazelnut Spread, Hazelnut, Hazelnut (with shell), Hazelnut Kernel (Natural, Blanched), Hazelnut Paste, Hazelnut Puree, Hazelnut Roasted, Hazelnut Spread, Hazelnuts In Shell), Nuts (Acorn Whole, Roasted,Diced, Almond (Inshell, Kernel, Raw, Roasted), Apricot Kernel (Shelled, Without Shell), Nuts Processed), Pistachios (Diced Pistachio, Pistachio, Pistachios (Inshell, Kernels, Raw, Roasted, Salted, Salted, Paste)), Seeds (Brown flaxseed, Flaxseed, Grinded Poppyseed, Poppy seed (Blue-White)), Walnuts (Chestnut, Walnut (Inshell, Kernels,Halves,Quarters, Pieces,Diced,Flour)); Health Products: Herbs (Bayleaf, Black cumin, Black Pepper Powder, Capers (Capers in brine), Capia Pepper (Drien / IQF/ Semi Dried / Semi Dried IQF), Ceylon Cinnamon Powder, Ceylon Cinnamon Quills, Chamomile, Chamomile (Leaves, Flowers, Whole, Ground), Chaste Tree Berry (Whole, Seed) (Wild Collection), Cistus (Leaves, Whole, Ground) (Wild Collection), Cumin Powder, Ginger Powder, Laurel (Leaves, Seeds, Whole, Ground)(Wild Collection), Lavender (Leaves, Whole, Ground), Linden (Leaves, Flowers, Whole, Ground), Marjoram (leaves,whole,ground) , Mint, Nettle (Seed, Leaves), Oregano (Leaves, Whole, Ground), Roasted Peppers in brine , Rosemary (Leaves, Whole, Ground, Broken) , Sage (Leaves, Whole, Ground, Broken), Savory (Leaves, Whole, Ground), St. John'S Wort , Sumac (Leaves, Seeds, Whole, Ground) (Wild Collection), Thyme (leaves, whole, ground) (wild collection), Turmeric powder, Whole Black Pepper); Fruits/Vegetables: Berries (Blueberries (Drien / IQF/ Semi Dried / Semi Dried IQF), Raspberry and cocoa two layer puree pieces diced), Citrus (Grape (Dried / IQF/ Semi Dried / Semi Dried IQF), Grape Extract (Molasses), Lemon, Tangarine), Dehydrated Foods (Apricot, Apricot and cocoa two layer puree pieces diced, Apricots Dried, Diced,Halves, Paste, Rte(Ready To Eat), Black Mulberry (Drien / IQF/ Semi Dried / Semi Dried IQF), Dried Fig (Diced, Paste, Powder, Crunchy, Halves,Clipped,Roas Ted, Rte(Ready To Eat), Dried Plum-Prune (Powder, Crunchy, Whole Unpitted, Pitted Halves and Pieces, Diced, Paste, Diced Halves, Rte(Ready To Eat)), Dried/Sun Dried Apricot(Diced Cut, Paste,Julian Cut ), Fig (dried), Happy Village Dark Sweet Cherries , Happy Village Fig &amp; Nut Bar - Apricot, Happy Village Fig &amp; Nut Bar - Date, Happy Village Fig &amp; Nut Bar - Original Fig , Happy Village Fig &amp; Nut Bar - Strawberry , Happy Village Fig &amp; Nut Bar - Sweet Cherry , Happy Village Fig &amp; Nut Bar - Tart Cherry , Happy Village Fig&amp;Nut Bites - Apricot, Happy Village Fig&amp;Nut Bites - Dates , Happy Village Fig&amp;Nut Bites - Original Fig , Happy Village Fig&amp;Nut Bites - Strawberry , Happy Village Fig&amp;Nut Bites - Sweet Cherry, Happy Village Fig&amp;Nut Bites - Tart Cherry , Happy Village Gently Dried Strawberries , Happy Village Hydrated Apricots , Happy Village Hydrated Figs, Happy Village Hydrated Pitted Dates , Happy Village Hydrated Pitted Prunes , Happy Village Mini Fig &amp; Nut Bar - Doypack , Happy Village Mini Fig &amp; Nut Bar - Original Fig, Happy Village Mini Fig &amp; Nut Bar - Strawberry , Happy Village Mini Fig &amp; Nut Bar - Tart Cherry, Plum (Drien / IQF/ Semi Dried / Semi Dried IQF), Raisins(Sultana; Thompson Raisin)(Pastorized, Paste, Rte, Diced, Dipped-Undipped), Sour cherry , Sour cherry and cocoa two layer puree pieces diced, Sour Organic Sultanas-Aromatised With Apple Flavour, Sour Sultanas- Organic Aromatised With Strawberry Flavour - Sour, Sour Sultanas- Organic Aromatised With Watermelon Flavour, Sultanas- Aromatied With Organic Blackcherry Flavour, Sultanas- Aromatised Organic With Orange Flavour, Sultanas- Aromatised Organic With Pineapple Flavour, Sultanas- Aromatised Organic With Strawberry Flavour, Sweet Dark Cherries), IQF Apricot (Halves,Diced), IQF Fig (Whole, Diced, Halves, Slices) , IQF Lemon, IQF Melon, IQF Pear (Diced), IQF Pineapple, IQF Quinces (Diced, Sliced), IQF Raspberries( Calibrated, Uncalibrated, Crumbs, Powder), IQF SourCherry (Pitted, Unpitted), IQF Sweetcherries (Whole, Pitted,Unpitted), Kumquat (Drien / IQF/ Semi Dried / Semi Dried IQF), Mandarin (Drien / IQF/ Semi Dried / Semi Dried IQF), Melon (Drien / IQF/ Semi Dried / Semi Dried IQF), Nectarine (Drien / IQF/ Semi Dried / Semi Dried IQF), Pear (Fruits, Leaves), Pomegranate piece, Watermelon (Drien / IQF/ Semi Dried / Semi Dried IQF), Powders (Dried Peach (Powder, Crunchy, Halves, Pieces, Diced, Sliced)), Stone Fruit (Dried Olive (Without Seeds, Rings, Dices, Granules,Black&amp;Green), Olive (leaves, fruit, whole,ground), Olive Without Seeds İn Brine), Vegetables (Boiled pepper, Cucumber in brine, Fresh Peppers, Grilled Eggplant in olive oil, IQF Tomato (Diced), Onions, Pepperoni Pepper, Whole Pepper); Dry/Baking Goods: Flours and Meals (Chickpeas Flour, Hazelnut Flour, Rice Flour, Wheat Flour); Condiments and Sweeteners: Seasoning Blends (Menemen sauce , Sesame Paste Tahini), Sweeteners (Carob Molasses (Syrup), Mulberry Molasses/Extract/Syrup , Pomegranate Molasses, Pomegranate Molasses (concentrate), Tahini); Chocolate Goods: Cacao Powder, Raw Cacao Powder; Beverage Related Products: Juice (Apple Juice, Apple Juice Concentrate, Black Carrot Juice Concantrate, Blackberry Juice, Blackmulberry And Apple Juice, Fruit Juice Infused Dried Apricot (whole, chopped)  , Fruit Juice Infused Dried Banana (whole, chopped)  , Fruit Juice Infused Dried Blackcurrant (whole, chopped)  , Fruit Juice Infused Dried Pomegranate (Whole, Chopped), Fruit Juice İnfused Dried Sourcherry (Whole, Chopped), Fruit Juice İnfused Dried Strawberry (Whole, Chopped), Infused Dried Orange (Whole, Chopped), Infused Dried pomegranate (whole, chopped), IQF Black Currants, Pomegranate Juice, Pomegranate Juice With Pomegranate Seeds, Sour cherry juice concentrate); Other: Beans (Adzuki Bean, Beans (Broad,White Dried, Black,Black Eye,Red ), Kidney Bean, White Beans), Broken Red Lentil, Brown (Shelled) Lentil, Brown Lentils, Brown red lentil, Chickpeas, Chickpeas Broken, Lentil (Red, Red Split,Red Football,Green, Yellow, Brown), Pulses, Seeds (Chia seeds, Sesame)</t>
  </si>
  <si>
    <t>Other Grains, Pastas and Cereals: Oats (Oat Herb); Nuts/Seeds: Seeds (Caraway); Health Products: Herbs (Anise, Basil, Black seeds (Nigella), Calendula, Chamomile, Cilantro, Coriander, Dillweed, Fennel, Fenugreek, Hibiscus, Lemon Balm, Lemongrass, Liqourice, Marjoram, Moringa, Nettle leaves, Oregano, Parsley leaves, Peppermint, Red clover, Rosemary, Spearmint, Thyme); Fruits/Vegetables: Vegetables (Chicory); Beverage Related Products: Tea (Calm (for babies))</t>
  </si>
  <si>
    <t>Dry/Baking Goods: Baking Mixes (Grain-Free Ultimate Cookie Mix; Grain-Free Classic Brownie Mix; Paleo Double Chocolate Brownie Mix), Flours and Meals (Cassava Flour), Powders (Dutch Cocoa Powder Ingredient; Natural Cocoa Powder Ingredient), Sugar (Cane Sugar Ingredient; Coconut Sugar Ingredient; Light Brown Sugar Ingredient; Maple Sugar Ingredient)</t>
  </si>
  <si>
    <t>Other: Beans (Light Red Kidney), Rice (Arborio Rice), Rice (Basmati Rice), Rice (Jasmine Rice), Rice (Long Grain Brown Rice), Rice (Long Grain White), Rice (Wild Rice Blend)</t>
  </si>
  <si>
    <t>Other Grains, Pastas and Cereals: Corn, Soybeans, Wheat (Wheat); Other: Brokering Grain, Cleaning Grain, Drying Grain, Hay, Storing Grain, Straw</t>
  </si>
  <si>
    <t>Other: Rice (Brown Rice), Rice (Dried and Milled Brown Rice - Non-retail (Bulk Totes)), Rice (Dried and Milled White Rice - Non-retail (Bulk Totes)), Rice (Paddy Rice - Bulk), Rice (Short Grain White Rice), Rice (White Rice)</t>
  </si>
  <si>
    <t>Seasonings: Spices; Other Grains, Pastas and Cereals: Grains; Nuts/Seeds: Seeds; Condiments and Sweeteners: Sugar; Other: Herbs various dried, Legumes</t>
  </si>
  <si>
    <t>Other: 12% Organic Distilled (grain) Vgr, Arrabbiata Sauce, Blackstrap Molasses (Pasteurized), Blended Orange Heirloom Tomatoes, Blended Purple Heirloom Tomatoes, Blended Red Heirloom Tomatoes, Calabrian Style Superfood Pasta Sauce, California Organic Garlic Powder, California Organic Onion Powder, Cane Sugar, Caramel Color, Cayenne Ground10-20K, Celery Seed Ground, Chipotle Salsa, Chopped Garlic, Chopped Ginger, Chopped Shallots, Cinnamon Ground, Classic Marinara Sauce, Cloves Ground, Crushed Chilies, Fire Roasted Cream, Fire Roasted Garlic Salsa, Garlic Granules, Garlic Minced, Garlic Minced Roasted, Ginger Frozen Puree, Ginger Ground, Gluten-Free Tamari Soy Sauce, Hearty Marinara, Heritage Red Vegan Pasta Sauce, Hot Salsa, Jalapeno Nacho Slices, Jalapeno Nacho Slices, Jalapeno Nacho Slices Hot, Jalapeno Nacho Slices Mild, Jalapeno Red Frozen Organic Puree F 40#, Marinara Sauce, Marinara Superfood Pasta Sauce, Medium Salsa, Microgard 200 CO Cultured Dextrose Powder, Microgard CS1-50 Cultured Dextrose, Mild Salsa, Minced Garlic, Minced Garlic, Mustard Ground, Organic Corn Starch, Paste Tomato Fancy 31% 033, Pepper Black 60 Mesh, Pepper Ground 28 Mesh, Pico de Gallo Salsa, Pomodoro Sauce, Red Chili Crushed, Red Heirloom Pasta Sauce, Red Pepper (Cayenne), Roasted Garlic, Roasted Garlic &amp; Sweet Basil Sauce, Salsa Roja, Salsa Verde Medium, Salsa Verde Medium, Signature Extra Hot Salsa, Signature Medium Salsa, Signature Mild Salsa, Simply Red Pasta Sauce, Soy Sauce, Spicy Heirloom Marinara, Spicy Heritage Red Vegan Pasta Sauce, Spicy Marinara Sauce, Sun Dried Tomatoes in Extra Virgin Olive Oil, Sun Dried Tomatoes, Julienne Cut, Sweet and Spicy BBQ Sauce, Sweet and Spicy Habanero Sauce, Toasted Mechanically Hulled Sesame Seed, Toasted Sesame Oil, Tomato Basil Sauce, Tomato Ketchup, Vodka Cream Sauce, Wild Mushroom Pasta Sauce, Yellow Mustard</t>
  </si>
  <si>
    <t>Other: Adzuki Beans, Anasazi Beans, Black Beans, Black Valentine Beans, Cannellini White Kidney Beans, Cranberry Beans, Dark Red Kidney Beans, European Soldier Beans, Fava Beans, Flageolet Beans, Garbanzo Beans, Great Northern Beans, Brown Lentils, Eston Lentils, French Green Lentils, Green Lentils, Laird Lentils, Red Lentils, Black Beluga Lentils, Yellow Lentils, Light Red Kidney beans, Mung Beans, Navy Beans, Peas, Pink Beans, Pinto Beans, Soybeans, Tapioca Starch, Amaranth, Barley, Millet, Popcorn, Quinoa, Red Rice, Rye Berries, Flaxseed, Rye, Sesame, Autumn Blend, Black Eyed Peas, Jacob's Cattle, Christmas Lima Beans, Baby Lima Beans, Oink Beans, Salad Blend, Tri Color Blend, Yellow Eyes Beans, Oat Flour, Brown Long Grain Rice, Blue Corn, Yellow Corn, White Corn, Medium Grain Rice, White Long Grain Rice, White Popcorn, Yellow Popcorn, Canola Oil, Sunflower Oil, Brown Flaxseed, Flax Meal, Rye, Flaxseed Golden, Sunflower, Sunflower Seed Meal, Sesame  Black, Sesame Hulled, Sesame Natural, Chia Seeds Black, Pumpkin Seed Kernels, Couscous Whole Wheat, Einkorn, Sunflower Seeds Roasted, Green Split Pea Flour,
Pumpkin Seed Meal</t>
  </si>
  <si>
    <t>Other: Corn Starch Purity Bio 201, Dry Sweet Whey Powder, Grain Fee Puffs Tomato &amp; Herb, Grain Free Puffs Broccoli &amp; Spinach, Grain Free Puffs Carrot &amp; Beet, Grain Free Puffs Cheddar &amp; Cauliflower Spinach, Grain Free Puffs Pumpkin &amp; Cinnamon, Novation 9230, Novation 9260, Novation Prima 309, Oat Base Powder, Oat Milk Powder GF Low Flavor, Oat Milk Powder GF Low Sugar, Oat Milk Powder Low Flavor, Oatmilk Powder GF, Purity Bio 301, Rice - Free Puffs (Uncoated) WIP, Rice- Free Puffs, Apple Broccoli, Rice -Free Puffs, Mixed Berry &amp; Sweet Pea, Rice -Free Puffs, Strawberry Basil, Roquette Pea Starch, Topical Oil Mix 1 (WIP), Topical Oil Mix 2 (WIP), Unseasoned Vegetable Puff Base (WIP), VITESSENCE Pulse 1803 Pea Protein 37422E01</t>
  </si>
  <si>
    <t>Other: Calf Feed (Whole Grain), Grower (Whole Grain, Mash), Layer (Whole Grain, Mash), Scratch (Whole Grain), Starter (Whole Grain, Mash), Swine Grower SF (Whole Grain)</t>
  </si>
  <si>
    <t>Processed  Items: Sesame, Sesame white, Wheat bran, Wheat Flour; Other Grains, Pastas and Cereals: Rice (Broken Basmati Brown Rice), Rice (Broken Basmati White Rice), Rice (Broken Long Grain Brown Rice), Rice (Broken Long Grain White Rice), Rice (Long Grain Brown Rice,), Rice (Long Grain white Rice), Rice (Parboiled Rice), Rice (Rice basmati brown), Rice (Rice Basmati white), Rice (Rice Bran), Rice (Rice broken), Rice (Rice brown), Rice (Rice ﬂour), Rice (Rice white), Wheat (Wheat); Other: Paddy (basmati), Paddy (Round grain)</t>
  </si>
  <si>
    <t>Other Grains, Pastas and Cereals: Rice (Brown Hommali rice, Germinated Brown rice, Glutinous rice, Half polished Rice, Mixed brown rice, Red rice, White Hommali rice)</t>
  </si>
  <si>
    <t>Other: Almonds (Wholesale), Anise (Wholesale), Apples (Juice, Puree - Wholesale), Barley (Wholesale), Beans (Boiled Chickpeas - Wholesale), Beans (Boiled, Various - Wholesale), Beans (Chickpea - Broken, Splits, Flour - Wholesale), Beans (Various - Wholesale), Beans (Various, Cooked - Wholesale), Beets (Juice, Puree - Wholesale), Berries (Mulberry Puree - Wholesale), Blueberries (Puree - Wholesale), Buckwheat (Whole, Groats, Hulled - Wholesale), Bulgur Wheat (Coarse, Fine - Wholesale), Carrot Juice (Orange Carrot, Black Carrot - Wholesale), Cherries (Juice, Puree - Wholesale), Citrus (Various Citrus Juice - Wholesale), Coconut (Coconut Cream - Wholesale), Coconut (Coconut Milk - Wholesale), Coconut (Coconut Water - Wholesale), Corn (Boiled - Wholesale), Corn (Flour, Meal - Wholesale), Corn (Juice, Puree - Wholesale), Corn (Popcorn - Wholesale), Cucumbers (Juice, Puree - Wholesale), Dried Fruits (Freeze Dried Strawberry Powder - Wholesale), Dried Fruits (Various - Wholesale), Dried Vegetables (Various - Wholesale), Fennel (Wholesale), Figs (Juice, Puree - Wholesale), Flax (Various - Wholesale), Flour (Bean Mung Flour - Wholesale), Flour (Navy Beans Flour - Wholesale), Flour (Semolina - Wholesale), Fruit Puree (Apricot Puree - Wholesale), Fruit Puree (Banana Puree - Wholesale), Fruit Puree (Black Carrot Puree - Wholesale), Fruit Puree (Guava Puree - Wholesale), Fruit Puree (Lychee Puree - Wholesale), Fruit Puree (Papaya Puree - Wholesale), Fruit Puree (Peach Puree - Wholesale), Fruit Puree (Plum Puree - Wholesale), Fruit Puree (Prune Puree - Wholesale), Fruit Puree (Quince Puree - Wholesale), Ginger Juice (Wholesale), Grains (Sorghum - Wholesale), Grape Juice (Red Grape Juice, White Grape Juice - Wholesale), Import Services (Client Profile Products only), IQF Fruit (IQF Oranges - Wholesale), IQF Fruit (IQF Strawberries - Wholesale), IQF Fruit (IQF Strawberries, Chunky - Wholesale), IQF Fruit (IQF Strawberry Cubes - Wholesale), IQF Fruit (IQF Strawberry Slices - Wholesale), IQF Fruit (Various - Whole, Diced, Sliced, Chopped, Pitted - Wholesale), IQF Vegetables (Various - Whole, Diced, Sliced, Chopped, Pitted - Wholesale), Juice (Lime Juice - Wholesale), Juice (Lychee Juice - Wholesale), Juice (Mulberry Juice - Wholesale), Juice (Ocra Juice - Wholesale), Juice (Passionfruit Juice - Wholesale), Juice (Quince Juice - Wholesale), Juice (Sweet Potato Juice - Wholesale), Lemon Juice (Wholesale), Lentils (Various - Wholesale), Lentils (Various, Cooked - Wholesale), Mangos (Juice, Puree - Wholesale), Millet (Wholesale), Oats (Wholesale), Oils (Rapeseed - Wholesale), Oils (Various - Wholesale), Onions (Wholesale), Orange Juice (Wholesale), Oranges (Freeze-dried Orange Crunch - Wholesale), Oranges (Freeze-dried Oranges - Wholesale), Pears (Juice, Puree - Wholesale), Peas (Boiled - Wholesale), Peas (Juice, Puree - Wholesale), Peas (Various - Wholesale), Pepper Seed (Wholesale), Pineapple (Juice, Puree - Wholesale), Pistachios (Wholsale), Pomegranates (Freeze-dried Pomegranates - Wholesale), Pomegranates (Juice - Wholesale), Poppy Seed (Wholesale), Potatoes (Juice, Puree - Wholesale), Pumpkin Seed (Wholesale), Raspberries (Puree - Wholesale), Rice (Wholesale), Rye (Wholesale), Sesame (Wholesale), Soy Products (Meal, Oil, Beans - Wholesale), Strawberries (Freeze-dried Strawberries - Wholesale), Strawberries (Freeze-dried Strawberries, Chunky - Wholesale), Strawberries (Freeze-dried Strawberry Crunch - Wholesale), Strawberries (Freeze-dried Strawberry Cubes - Wholesale), Strawberries (Freeze-dried Strawberry Powder - Wholesale), Strawberries (Freeze-dried Strawberry Slices - Wholesale), Strawberries (Puree - Wholesale), Strawberries (Strawberries - Wholesale), Sunflower Oil (Wholesale), Sunflower Seed (Wholesale), Tomatoes (Paste, Diced, Peeled - Wholesale), Vegetable Puree (Kale Puree - Wholesale), Vegetable Puree (Ocra Puree - Wholesale), Vegetable Puree (Spinach Puree - Wholesale), Vegetable Puree (Zucchini Puree - Wholesale), Wheat (Various - Wholesale), Wheat (Vital Wheat Gluten - Wholesale)</t>
  </si>
  <si>
    <t>Other: 101 - 7 Sprouted Grains Bread, 115 - Genesis 1:29 Sprouted Whole Grain &amp; Seed English Muffins, 116 - 7 Sprouted Grains English Muffins, 117 - Ezekiel 4:9 Cinnamon Raisin Sprouted Grain English Muffins, 118 - Ezekiel Sprouted Grain Flax English Muffins, 119- Ezekiel 4:9 Sprouted Grain English Muffins, 120 - Ezekiel 4:9 Sprouted Grain Bread, Whole Grain, 123 - Ezekiel 4:9 Sprouted Grain Bread, Sesame, 124 - Ezekiel 4:9 Sprouted Grain Flax Bread, 126 - 7 - Sprouted Grain Cinnamon Raisin Bread, 131 - Ezekiel 4:9 Sprouted Grain Bread, Cinnamon Raisin, 141 - Genesis 1:29 Sprouted Grain &amp; Seed Bread, 153 - Ezekiel 4:9 Sprouted Grain Bread, Low Sodium</t>
  </si>
  <si>
    <t>Other Grains, Pastas and Cereals: BULK GRAINS, SERVICES PROVIDED: OFF LOADING AND TRANSPORT OF CERTIFIED ORGANIC BULK GRAINS</t>
  </si>
  <si>
    <t>Other: Almond Meal, Blanched Extra Fine, Blue Corn Masa, Blue Corn Masa, Brown Flax Seed, Cassava Flour, Cassava Flour, Coconut Flour, Coconut Flour, Flour - All Purpose Flour, Flour - Baker's Classic Flour, Flour - Bread Flour, Flour - Kamut All Purpose Flour, Flour - Select Artisan Flour, Flour - Unbleached, All Purpose, Flour - White Whole Wheat Flour, Masa Harina Flour, Old Fashioned Cornbread and Muffin Mix, Organic Amaranth Whole Grain, Organic Buckwheat Groats, Organic Kamut All Purpose Flour, Organic Pearled Barley, Organic Sorghum Whole Grain, Pura Vida Blue Masa, Purely Made Organic AP Flour, Purely Made Organic Bread Flour, Purely Made Organic Coconut Flour, Seven Grain Pancake and Waffle Mix, Sweet Potato and Ancient Grain Pancake and Waffle Mix, Tapioca Flour, Tapioca Flour, Tapioca Starch, Unbleached All Purpose Flour, White Quinoa, White Sorghum Flour, Whole Amaranth Flour, Whole Dark Buckwheat Flour, Yellow Corn Meal</t>
  </si>
  <si>
    <t>Dry/Baking Goods: ALL-PURPOSE FLOUR, ANCIENT GRAIN ALL-PURPOSE FLOUR, BARLEY, BARLEY PEARLED, BARLEY FLOUR, BREAD FLOUR, FARINA, FARINA (COARSE) FLAX, FLAX- BROWN, FLAX- BROWN GROUND, HIGH GLUTEN FLOUR, MILLET FLOUR, MILLET- HULLED, MULTIGRAIN BUTTERMILK PANCAKE MIX, OATS, OATS- GROATS, OATS- STEEL CUT, PLANT STRONG ORG CORNBREAD MIX TOTE-LB, PLANT STRONG ORG SEVEN GRAIN MIX TOTE-LB, PLANT STRONG ORG SWEET POTATO &amp; ANCIENT GRAIN MIX TOTE-LB`, QUINOA FLOUR, RYE, RYE FLOUR, SORGHUM, SORGHUM FLOUR, SPELT, SPELT FLOUR, TORTILLA FLOUR, WHEAT- MILL FEED, WHOLE WHEAT FLOUR- STONE GROUND, ARROWHEAD MILLS ALL-PURPOSE FLOUR UNBLEACHED, BUTTERNUT MOUNTAIN FARM ORGANIC BUTTERMILK PANCAKE MIX, CADIA ALL-PURPOSE FLOUR, CLEARLY BY BEST CHOICE ALL-PURPOSE FLOUR, CLEARLY BY BEST CHOICE WHOLE WHEAT FLOUR, GOOD &amp; GATHER ORGANIC ALL-PURPOSE FLOUR, KING ARTHUR ORGANIC ALL-PURPOSE FLOUR, KING ARTHUR ORGANIC BREAD FLOUR, RALEY’S PURELY MADE ALL-PURPOSE FLOUR, RALEY’S PURELY MADE BREAD FLOUR, RALEY’S PURELY MADE COCONUT FLOUR, RALEY’S PURELY MADE WHOLE WHEAT FLOUR, TEXAS PURE MILLING ANCIENT GRAIN ALL-PURPOSE FLOUR, TEXAS PURE MILLING ALL-PURPOSE FLOUR, TEXAS PURE MILLING CORNBREAD MIX, TRADER JOE’S ORGANIC UNBLEACHED ALL-PURPOSE FLOUR, AMARANTH FLOUR, ALL-PURPOSE FLOUR, BREAD FLOUR, FOOD NANNY KAMUT ALL-PURPOSE WHITE FLOUR, HOMETOWN FOODS BULK ORGANIC BREAD FLOUR (WHEAT), KAMUT, KAMUT FLOUR, KAMUT WHOLE WHEAT FLOUR, KAMUT KHORASAN FLOUR, KING ARTHUR ORGANIC BAKERS CLASSIC FLOUR, KING ARTHUR ORGANIC SELECT ARTISAN FLOUR, MALTED WHEAT FLOUR, MONTANA F&amp;G ORG KAMUT, PREMIUM HIGH GLUTEN FLOUR, SUNRISE FLOUR, TORTILLA FLOUR, WHEAT (SPRING), WHEAT FLOUR, WHEAT FLOUR (HARD RED, HARD WHITE, SOFT WHITE, SPRING) WHOLE ANCIENT 7- GRAIN FLOUR BLEND, WHOLE WHEAT FLOUR, SERVICES PROVIDED: BLENDING ORGANIC FLOURS INTO MIXES, MILLING OF ORGANIC PRODUCT INTO FLOUR, PACKAGING OF ORGANIC PRODUCT INTO BULK SIZE CONTAINERS/PACKAGING, PACKAGING ORGANIC PRODUCT INTO RETAIL PACKAGING, DRY STORAGE OF ORGANIC PRODUCT, CLEANING OF ORGANIC RAW AGRICULTURAL PRODUCT</t>
  </si>
  <si>
    <t>Processed  Items: CANOLA EXPELLER, SOYBEAN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</si>
  <si>
    <t>Processed  Items: Rice (Organic brown rice protein), Rice (Organic rice protein), Rice (Organic brown rice protein), Rice (Organic hydrolyzed Rice Protein), Rice (Organic rice protein); Other Grains, Pastas and Cereals: Organic pea protein; Nuts/Seeds: Seeds (Organic pumpkin seed protein), Seeds (Organic sunflower seed protein)</t>
  </si>
  <si>
    <t>Processed  Items: Vinegar; Other: Agave Syrup, Agave Syrup Light Standard, Annatto Oil, Ascophyllum Nodosum, Beeswax, Beeswax Pellets (Yellow), Black Walnut Hull Powder, Brown Rice Flour (Heat Treated), Canola Oil, Cassava Flour, Castor Oil, Castor Oil, Chamomile Flower Extract, Chamomile Flower Powder, Cloves (Ground), Cocoa Powder, Corn Starch, Corn Syrup, Cranberry Juice Concentrate, Dandelion Root Powder, Glycerin, Glycerin, Golden Seal Root c/s, Hibiscus Flower Powder, Laminaria Digitata, Marshmallow Root Powder, Nettle Leaf Powder, Palm Shortening, Pomegranate Extract, Potato Flour, Potato Starch, Potato Starch, Psyllium Husk Powder, Safflower Oil, Soybean Oil, Sunflower Lecithin Liquid, Sunflower Lecithin Powder, Sunflower Oil, Sunflower Protein, Tapioca Native Starch/ Flour, Tapioca Syrup Solids, Trading/Brokering of finished goods, Trading/Brokering of finished goods--Balsamic Vinegar of Modena (6% Acidity), Trading/Brokering of finished goods--Raw Cane Sugar (Evaporated Cane Juice), Trading/Brokering of finished goods--Red Wine Vinegar (50 Grain), Trading/Brokering of finished goods--White Wine Vinegar, Vital Wheat Gluten, Yellowdock Root Powder</t>
  </si>
  <si>
    <t>Other: Grain cleaning, Packaging &amp; Labeling, Grain drying, Grain Storage</t>
  </si>
  <si>
    <t>Bread/Bakery/Snacks: Crackers (Prepared Goods: Patagonia Provisions - Margherita Pizza), Crackers (Prepared Goods: Central Market Grazeboard Crackers – Savory Seeded), Crackers (Prepared Goods: Patagonia Provisions - Sourdough Sea Salt), Crackers (Prepared Goods: Patagonia Provisions - Vegan Cheddar Cheeze), Crackers (Prepared Goods: Patagonia Provisions - Rosemary Garlic), Crackers (Prepared Goods: Ancient Provisions - Fair &amp; Square Gluten Free Crackers - Sea Salt), Crackers (Prepared Goods: Ancient Provisions - Fair &amp; Square Gluten Free Crackers - Cinnamon Sugar), Crackers (Prepared Goods: Ancient Provisions - Fair &amp; Square Gluten Free Crackers - Honey Flavored), Crackers (Prepared Goods: Moonshot - Sourdough Sea Salt), Crackers (Prepared Goods: Moonshot - Margherita Pizza), Crackers (Prepared Goods: Moonshot - Rosemary Garlic), Crackers (Prepared Goods: Central Market Grazeboard Crackers – Cyprus Sea Salt), Crackers (Prepared Goods: Central Market Grazeboard Crackers – Hot Honey Corn), Crackers (Prepared Goods: Central Market Grazeboard Crackers – Sourdough Dill), Crackers (Prepared Goods: Central Market Grazeboard Crackers – Rye &amp; Fennel Seeds), Crackers (Prepared Goods: Central Market Grazeboard Crackers – Sourdough Sea Salt), Crackers (Prepared Goods: Blue Star Farms - Rustic Whole Wheat), Crackers (Prepared Goods: Pacific Coast Organic - Multi Grain &amp; Flax Artisan Crackers), Crackers (Prepared Goods: Ancient Provisions - Fair &amp; Square Gluten Free Crackers - Cheddar Cheeze), Crackers (Prepared Goods: Blue Star Farms - Multigrain &amp; Flax Crackers)</t>
  </si>
  <si>
    <t>Other Grains, Pastas and Cereals: Pasta (Pasta: Fiore Semolina Pasta (Fresh, Frozen, Dried)), Pasta (Pasta: Fettucine Vegan Semolina Pasta (Fresh, Frozen, Dried)), Pasta (Pasta: Penne Spinach Pasta (Fresh, Frozen, Dried)), Pasta (Pasta: Pappardelle Undulate Semolina Pasta (Fresh, Frozen, Dried)), Pasta (Pasta: Fusilli Vegan Semolina Pasta (Fresh, Frozen, Dried)), Pasta (Pasta: Gemelli Spinach Pasta (Fresh, Frozen, Dried)), Pasta (Pasta: Amori Vegan Semolina Pasta (Fresh, Frozen, Dried)), Pasta (Pasta: Trottole Vegan Spinach Pasta (Fresh, Frozen, Dried)), Pasta (Pasta: Trottole Semolina Pasta (Fresh, Frozen, Dried)), Pasta (Pasta: Amori Semolina Pasta (Fresh, Frozen, Dried)), Pasta (Pasta: Penne Vegan Spinach Pasta (Fresh, Frozen, Dried)), Pasta (Pasta: Bucatini Semolina Pasta (Fresh, Frozen, Dried)), Pasta (Pasta: Taglialine Spinach Pasta (Fresh, Frozen, Dried)), Pasta (Pasta: Cavatelli Semolina Pasta (Fresh, Frozen, Dried)), Pasta (Pasta: Campanelle Semolina Pasta (Fresh, Frozen, Dried)), Pasta (Pasta: Lasagna Spinach Pasta (Fresh, Frozen, Dried)), Pasta (Pasta: Cavatelli Vegan Semolina Pasta (Fresh, Frozen, Dried)), Pasta (Pasta: Orecchiette Vegan Spinach Pasta (Fresh, Frozen, Dried)), Pasta (Pasta: Bucatini Vegan Spinach Pasta (Fresh, Frozen, Dried)), Pasta (Pasta: Gemelli Vegan Spinach Pasta (Fresh, Frozen, Dried)), Pasta (Pasta: Casarecce Vegan Semolina Pasta (Fresh, Frozen, Dried)), Pasta (Pasta: Grattata Spinach Pasta (Fresh, Frozen, Dried)), Pasta (Pasta: Tagliatelle Vegan Semolina Pasta (Fresh, Frozen, Dried)), Pasta (Pasta: Pappardelle Semolina Pasta (Fresh, Frozen, Dried)), Pasta (Pasta: Casarecce Spinach Pasta (Fresh, Frozen, Dried)), Pasta (Pasta: Orecchiette Semolina Pasta (Fresh, Frozen, Dried)), Pasta (Pasta: Taglialine Vegan Spinach Pasta (Fresh, Frozen, Dried)), Pasta (Pasta: Spaghetti Semolina Pasta (Fresh, Frozen, Dried)), Pasta (Pasta: Orzo Vegan Spinach Pasta (Fresh, Frozen, Dried)), Pasta (Pasta: Fettucine Vegan Spinach Pasta (Fresh, Frozen, Dried)), Pasta (Pasta: Amori Vegan Spinach Pasta (Fresh, Frozen, Dried)), Pasta (Pasta: Pappardelle Vegan Semolina Pasta (Fresh, Frozen, Dried)), Pasta (Pasta: Fusilli Vegan Spinach Pasta (Fresh, Frozen, Dried)), Pasta (Pasta: Conchiglie Spinach Pasta (Fresh, Frozen, Dried)), Pasta (Pasta: Cavatelli Spinach Pasta (Fresh, Frozen, Dried)), Pasta (Pasta: Gemelli Semolina Pasta (Fresh, Frozen, Dried)), Pasta (Pasta: Rigati Vegan Semolina Pasta (Fresh, Frozen, Dried)), Pasta (Pasta: Spaghetti Spinach Pasta (Fresh, Frozen, Dried)), Pasta (Pasta: Pappardelle Spinach Pasta (Fresh, Frozen, Dried)), Pasta (Pasta: Tagliatelle Vegan Spinach Pasta (Fresh, Frozen, Dried)), Pasta (Pasta: Spaghetti Vegan Semolina Pasta (Fresh, Frozen, Dried)), Pasta (Pasta: Grattata Vegan Spinach Pasta (Fresh, Frozen, Dried)), Pasta (Pasta: Lasagna Semolina Pasta (Fresh, Frozen, Dried)), Pasta (Pasta: Grattata Semolina Pasta (Fresh, Frozen, Dried)), Pasta (Pasta: Campanelle Spinach Pasta (Fresh, Frozen, Dried)), Pasta (Pasta: Trottole Vegan Semolina Pasta (Fresh, Frozen, Dried)), Pasta (Pasta: Campanelle Vegan Spinach Pasta (Fresh, Frozen, Dried)), Pasta (Pasta: Rigati Semolina Pasta (Fresh, Frozen, Dried)), Pasta (Pasta: Casarecce Semolina Pasta (Fresh, Frozen, Dried)), Pasta (Pasta: Taglialine Semolina Pasta (Fresh, Frozen, Dried)), Pasta (Pasta: Taglialine Vegan Semolina Pasta (Fresh, Frozen, Dried)), Pasta (Pasta: Rigatoni Vegan Spinach Pasta (Fresh, Frozen, Dried)), Pasta (Pasta: Trottole Spinach Pasta (Fresh, Frozen, Dried)), Pasta (Pasta: Pappardelle Undulate Vegan Spinach Pasta (Fresh, Frozen, Dried)), Pasta (Pasta: Rigati Vegan Spinach Pasta (Fresh, Frozen, Dried)), Pasta (Pasta: Campanelle Vegan Semolina Pasta (Fresh, Frozen, Dried)), Pasta (Pasta: Orecchiette Vegan Semolina Pasta (Fresh, Frozen, Dried)), Pasta (Pasta: Gemelli Vegan Semolina Pasta (Fresh, Frozen, Dried)), Pasta (Pasta: Amori Spinach Pasta (Fresh, Frozen, Dried)), Pasta (Pasta: Fiore Vegan Spinach Pasta (Fresh, Frozen, Dried)), Pasta (Pasta: Conchiglie Vegan Semolina Pasta (Fresh, Frozen, Dried)), Pasta (Pasta: Pappardelle Undulate Spinach Pasta (Fresh, Frozen, Dried)), Pasta (Pasta: Spaghetti Vegan Spinach Pasta (Fresh, Frozen, Dried)), Pasta (Pasta: Rigati Spinach Pasta (Fresh, Frozen, Dried)), Pasta (Pasta: Lasagna Vegan Semolina Pasta (Fresh, Frozen, Dried)), Pasta (Pasta: Fiore Vegan Semolina Pasta (Fresh, Frozen, Dried)), Pasta (Pasta: Orzo Vegan Semolina Pasta (Fresh, Frozen, Dried)), Pasta (Pasta: Zite Semolina Pasta (Fresh, Frozen, Dried)), Pasta (Pasta: Rigatoni Spinach Pasta (Fresh, Frozen, Dried)), Pasta (Pasta: Bucatini Vegan Semolina Pasta (Fresh, Frozen, Dried)), Pasta (Pasta: Orzo Semolina Pasta (Fresh, Frozen, Dried)), Pasta (Pasta: Conchiglie Semolina Pasta (Fresh, Frozen, Dried)), Pasta (Pasta: Fusilli Semolina Pasta (Fresh, Frozen, Dried)), Pasta (Pasta: Cavatelli Vegan Spinach Pasta (Fresh, Frozen, Dried)), Pasta (Pasta: Lasagna Vegan Spinach Pasta (Fresh, Frozen, Dried)), Pasta (Pasta: Bucatini Spinach Pasta (Fresh, Frozen, Dried)), Pasta (Pasta: Penne Semolina Pasta (Fresh, Frozen, Dried)), Pasta (Pasta: Rigatoni Vegan Semolina Pasta (Fresh, Frozen, Dried)), Pasta (Pasta: Tagliatelle Semolina Pasta (Fresh, Frozen, Dried)), Pasta (Pasta: Conchiglie Vegan Spinach Pasta (Fresh, Frozen, Dried)), Pasta (Pasta: Grattata Vegan Semolina Pasta (Fresh, Frozen, Dried)), Pasta (Pasta: Fusilli Spinach Pasta (Fresh, Frozen, Dried)), Pasta (Pasta: Fiore Spinach Pasta (Fresh, Frozen, Dried)), Pasta (Pasta: Orzo Spinach Pasta (Fresh, Frozen, Dried)), Pasta (Pasta: Zite Spinach Pasta (Fresh, Frozen, Dried)), Pasta (Pasta: Zite Vegan Spinach Pasta (Fresh, Frozen, Dried)), Pasta (Pasta: Pappardelle Vegan Spinach Pasta (Fresh, Frozen, Dried)), Pasta (Pasta: Fettucine Spinach Pasta (Fresh, Frozen, Dried)), Pasta (Pasta: Zite Vegan Semolina Pasta (Fresh, Frozen, Dried)), Pasta (Pasta: Pappardelle Undulate Vegan Semolina Pasta (Fresh, Frozen, Dried)), Pasta (Pasta: Rigatoni Semolina Pasta (Fresh, Frozen, Dried)), Pasta (Pasta: Tagliatelle Spinach Pasta (Fresh, Frozen, Dried)), Pasta (Pasta: Penne Vegan Semolina Pasta (Fresh, Frozen, Dried)), Pasta (Pasta: Casarecce Vegan Spinach Pasta (Fresh, Frozen, Dried)), Pasta (Pasta: Fettucine Semolina Pasta (Fresh, Frozen, Dried)), Pasta (Pasta: Orecchiette Spinach Pasta (Fresh, Frozen, Dried)), Pasta (Pasta: Fusilli Vegan Colorati Pasta (Dried)), Pasta (Pasta: Pappardelle Undulate Colorati Pasta (Dried)), Pasta (Pasta: Orzo Colorati Pasta (Dried)), Pasta (Pasta: Lumache Vegan Semolina Pasta (Dried)), Pasta (Pasta: Macaroni Vegan Semolina Pasta (Dried)), Pasta (Pasta: Cavatelli Vegan Colorati Pasta (Dried)), Pasta (Pasta: Fusilli Colorati Pasta (Dried)), Pasta (Pasta: Pappardelle Undulate Vegan Colorati Pasta (Dried)), Pasta (Pasta: Cavatelli Colorati Pasta (Dried)), Pasta (Pasta: Orzo Vegan Colorati Pasta (Dried)); Other: Marketing and Distribution: Semolina Flour</t>
  </si>
  <si>
    <t>Other Grains, Pastas and Cereals: Pasta (Calamarata), Pasta (Campanelle), Pasta (Casarecce), Pasta (Conchiglie), Pasta (Fusilli), Pasta (Garganelli), Pasta (Gnocchetti Sardi), Pasta (Macaroni), Pasta (Mafaldine), Pasta (Rigatoni), Pasta (Zucca)</t>
  </si>
  <si>
    <t>Other: Applesauce with Maqui Berry, Banana, Black Bean &amp; Sweet Corn, Breakfast Oat Melts Blueberry, Breakfast Oat Melts Strawberry, Oats Mango n Strawberries: Ancient Grain Cereal, Oats-n-Berries, Organic Apple Coconut Carrot Raspberry 20MM, Organic Apple CoconutBanana Kale 20 mm, Organic Apple PWD, Organic Banana Coconut Berries 20MM, Organic Banana FLK, Organic Banana PWD, Organic Black Bean Granules, Organic Blueberry PWD, Organic Carrot PWD, Organic Cinnamon, Ground, Organic Coconut Blueberry Banana Oat Drink 20 mm, Organic Coconut Strawberry Oat Drink 20 mm, Organic Coconut Strawbery 20MM, Organic Mango Coconut Carrot 20MM, Organic Mango Coconut Spinach 20MM, Organic Mango FLK, Organic Maqui PWD, Organic Onion PWD, Organic Pea PWD, Organic Pear PWD, Organic Potato FLK, Organic Puffed Amaranth (grain size piece), Organic Pumpkin FLK, Organic Quick Rolled Oats, Grain Miller, Organic Raspberry PWD, Organic Raspberry PWD (COR), Organic Strawberry PWD, Organic Strawberry PWD (COR), Organic Strawberry, DX 6MM, Organic Sweet Corn FLK, Organic Sweet Potato FLK, Organic Whole Oat Flour, Grain Miller, Organic Yoghurt Beet Root Berries 20MM, Potato Kale Veggie Mash, Pumpkin &amp; Pear, Smoothie Melts Apple Kale Fruit Bites, Smoothie Melts Beets n' Berries, Smoothie Melts Carrot Raspberry, Smoothie Melts Mango Carrot, Smoothie Melts Mighty Sweet Greens, Smoothie Melts Mixed Red Berries, Smoothie Melts, Strawberry Bites, Strawberries &amp; Cream, Smoothie Melts, Strawberry Bites, Sweet Strawberry, US, Sweet Potato Raspberry, Tropical Mango, Veggie Blend: Peas, Corn &amp; Carrots</t>
  </si>
  <si>
    <t>Other Grains, Pastas and Cereals: CORN, Rice, SUNFLOWER, Wheat (BUCKWHEAT); Nuts/Seeds: CHIA (Salvia hispanica L), Peanuts (PEANUT), SESAME; Fruits/Vegetables: Beans (PEA), Beans (LENTIL), Beans (BEAN), Beans (SOYBEAN)</t>
  </si>
  <si>
    <t>Other: Black Beans, Brokering Organic Grains, Buckwheat, Corn, Food Grade Soybeans, Popcorn, Soybeans, Transporting Organic Grains</t>
  </si>
  <si>
    <t>Seasonings: Herbs (Dried: Lavender Blossom), Herbs (Dried: Clove - 2-4MM), Herbs (Dried: Rosehips), Herbs (Dried: Rosemary C/S), Herbs (Dried: Ginger - 2-4MM), Herbs (Dried: Ginger - Coarse Cut), Herbs (Dried: Rose Petals), Herbs (Dried: Lemon Myrtle), Herbs (Dried: Raspberry Pieces), Herbs (Dried: Cinnamon - 2-4MM), Herbs (Dried: Turmeric - Coarse Cut), Herbs (Dried: Blackberry Leaf), Herbs (Dried: Orange Peel - 2-4MM), Herbs (Dried: Osmanthus Flowers), Herbs (Dried: Licorice Root), Herbs (Dried: Lemongrass); Other Grains, Pastas and Cereals: Flours and Meals (Puffed Grains or Seeds: Toasted &amp; Popped Rice); Fruits/Vegetables: Dehydrated Foods (Dried: Aronia Pieces), Dehydrated Foods (Dried: Strawberry Pieces), Dehydrated Foods (Dried: Blackberry Pieces), Dehydrated Foods (Dried: Coconut Flake), Dehydrated Foods (Dried: Cranberry Pieces), Dehydrated Foods (Dried: Apple Pieces), Dehydrated Foods (Dried: Goldenberry Pieces), Dehydrated Foods (Dried: Blueberry Pieces); Beverage Related Products: Tea (Loose Leaf Tea: Sencha Premium), Tea (Loose Leaf Tea: Jasmine Silver Tip), Tea (Loose Leaf Tea: Chun Mee), Tea (Loose Leaf Tea: Mao Feng), Tea (Loose Leaf Tea: Chinese Sencha), Tea (Loose Leaf Tea: Genmai Cha), Tea (Loose Leaf Tea: Jungjak), Tea (Loose Leaf Tea: Raspberry Rose), Tea (Loose Leaf Tea: Gunpowder), Tea (Bagged Tea: Irish Breakfast), Tea (Bagged Tea: Ginger Twist), Tea (Bagged Tea: Darjeeling Monteviot), Tea (Bagged Tea: Darjeeling 2nd Flush), Tea (Bagged Tea: Victorian Cream), Tea (Bagged Tea: Earl Grey), Tea (Bagged Tea: English Breakfast), Tea (Bagged Tea: Blackberry Bergamot), Tea (Bagged Tea: Darjeeling Ambootia), Tea (Bagged Tea: Yunnan), Tea (Bagged Tea: Yunnan Pu'erh), Tea (Bagged Tea: Iced Tea Blend), Tea (Loose Leaf Tea: Yunnan Pu'erh), Tea (Loose Leaf Tea: Blackberry Bergamot), Tea (Loose Leaf Tea: Irish Breakfast), Tea (Loose Leaf Tea: Yunnan), Tea (Loose Leaf Tea: Rwanda Rukeri), Tea (Loose Leaf Tea: Ginger Twist), Tea (Loose Leaf Tea: Darjeeling 2nd Flush), Tea (Loose Leaf Tea: Earl Grey), Tea (Loose Leaf Tea: Darjeeling Monteviot), Tea (Loose Leaf Tea: Iced Tea Blend), Tea (Loose Leaf Tea: Victorian Cream), Tea (Loose Leaf Tea: Ceylon Blackwood), Tea (Loose Leaf Tea: Darjeeling Ambootia), Tea (Loose Leaf Tea: English Breakfast), Tea (Bagged Tea: Peppermint), Tea (Bagged Tea: Chamomile), Tea (Bagged Tea: Ginger Lemon), Tea (Bagged Tea: Spearmint), Tea (Bagged Tea: Uber Tart Infusion), Tea (Bagged Tea: Golden Raspberry), Tea (Bagged Tea: Garden Mint), Tea (Bagged Tea: Hibiscus - Coarse Cut), Tea (Loose Leaf Tea: Golden Raspberry), Tea (Loose Leaf Tea: Hibiscus - Coarse Cut), Tea (Loose Leaf Tea: Uber Tart Infusion), Tea (Loose Leaf Tea: Peppermint), Tea (Loose Leaf Tea: Garden Mint), Tea (Loose Leaf Tea: Spearmint), Tea (Loose Leaf Tea: Chamomile), Tea (Loose Leaf Tea: Rooibos - Short Cut), Tea (Loose Leaf Tea: Ginger Lemon), Tea (Loose Leaf Tea: Hibiscus - 2-4MM), Tea (Bagged Tea: Mao Feng), Tea (Bagged Tea: Jungjak), Tea (Bagged Tea: Raspberry Rose), Tea (Bagged Tea: Gunpowder), Tea (Bagged Tea: Jasmine Silver Tip), Tea (Bagged Tea: Chun Mee), Tea (Bagged Tea: Sencha Premium), Tea (Bagged Tea: Genmai Cha), Tea (Loose Leaf Tea: Narcissus)</t>
  </si>
  <si>
    <t>Other Grains, Pastas and Cereals: Sorghum (Milo), Wheat (Wheat); Other: Buying and Selling Grain, Cleaning grains, Corn, Drying grains, Soybeans, Storing grains, Transporting grains</t>
  </si>
  <si>
    <t>Other: Fruit &amp; Veggie Bites - Apple Apricot Carrot, Fruit &amp; Veggie Bites - Apple, Strawberry &amp; Beet with Chia Seeds, Fruit &amp; Veggie Bites - Apple, Strawberry, Beetroot with Chia Seeds, Grain Puffs for Babies - Apple and Strawberry, Grain Puffs for Babies - Broccoli and Spinach, Grain Puffs for Babies - Purple Carrot and Blueberry, Jars- Apple &amp; Prunes (Baby), Jars- Apple &amp; Spinach (Baby), Jars- Apple &amp; Strawberry (Baby), Jars- Apple, Banana &amp; Kiwi (Baby), Jars- Apple, Mango &amp; Banana (Baby), Jars- Apple, Nectarine &amp; Banana (Baby), Jars- Banana &amp; Blueberry (Baby), Jars- Banana (Baby), Jars- Banana, Oat &amp; Cinnamon (Baby), Jars- Butternut Squash &amp; Apple (Baby), Jars- Carrot &amp; Apple (Baby), Jars- Pear, Apple, Mango, Zucchini &amp; Yogurt (Baby), Jars- Sweet Potato &amp; Apple (Baby), Pouch Apple, Banana and Blueberry, Pouch Apple, Cinnamon and Oat, Pouch Banana, Kiwi, Spinach and Oat, Pouches- Apple &amp; Sweet Potato (Baby), Pouches- Apple, Banana &amp; Mixed Berries (Baby), Pouches- Apple, Carrot, Butternut Squash with Chia Seeds (Baby), Pouches- Apple, Mango &amp; Spinach (Baby), Pouches- Banana, Mixed Berries &amp; Oat (Baby), Pouches- Blueberry, Banana, Kale &amp; Spinach (Baby), Pouches- Variety Pack- Apple &amp; Sweet Potato + Apple, Mango &amp; Spinach (Baby), Puffs - Apple &amp; Strawberry Puffed Grain Snack, Puffs - Apple Strawberry, Puffs - Mango Carrot, Puffs - Purple Carrot &amp; Blueberry Puffed Grain Snack, Puffs - Purple Carrot and Blueberry, Puffs Cereal Snack Apple &amp; Strawberry, Puffs Cereal Snack Purple Carrot &amp; Blueberry, Puffs Grain Snack Apple &amp; Strawberry, Puffs Grain Snack Purple Carrot &amp; Blueberry, Puffs- Whole Grain Apple Strawberry, Puffs- Whole Grain Broccoli Spinach, Puffs- Whole Grain Purple Carrot Blueberry, Rice Cakes (Mini) Apple (Baby), Rice Cakes (Mini) Blueberry (Baby), Rice Rusks- Apple (Baby), Rice Rusks- Apple Sweet Potato (Baby), Rice Rusks- Banana (Baby), Rice Rusks- Blueberry Purple Carrot (Baby), Rice Rusks- Carrot Strawberry (Baby), Rice Rusks- Mango Pumpkin (Baby), Rice Rusks- Pea Spinach (Baby), Rice Rusks- Pumpkin Carrot Spinach (Baby), Rice Rusks- Strawberry (Baby), Rice Rusks- Strawberry Beet (Baby), Rice Rusks- Sweet Potato Banana (Baby), Rice Rusks- Vegetable (Baby), Rice Rusks-Blueberry Purple Carrot/Sweet Potato Banana (Baby), Smoothie Melts- Freeze Dried Banana Mango Passion Fruit (Baby), Smoothie Melts- Freeze Dried Banana Strawberry (Baby), Teething Wafers - Mango &amp; Sweet Potato, Teething Wafers - Raspberry &amp; Beet</t>
  </si>
  <si>
    <t>Other Grains, Pastas and Cereals: Wheat; Condiments and Sweeteners: Cardamom, Cardamom ground, Cardamom Powder, Cardamom TBC, Cardamom Tea Bag Cut; Beverage Related Products: Black Tea; Other: Alpinia galanga slices steam sterilized, Alpinia Galanga Steam Sterilized, Arabica coffee powder, Black Pepper, Black Pepper (garbled), Black Pepper (MG1), Black pepper (TGEB), Black pepper (TGSEB), Black Pepper (Ungarbled), Black Pepper Coarse Ground, Black Pepper Coarse Ground Steam Sterilized, Black Pepper Cracked, Black Pepper Cracked Steam Sterilized, Black Pepper Crushed, Black Pepper Crushed Steam Sterilized, Black Pepper Fine Ground Steam Sterilized, Black Pepper Ground Steam Sterilized, black pepper ground/powder sterilized, Black pepper Malabar Ungarbled (MUG), Black Pepper Medium Ground Steam Sterilized, Black Pepper MG1 Steam Sterilized, Black Pepper MG2, Black Pepper Powder, black pepper powder ground steam sterilized, Black Pepper TBC Steam Sterilized, Black pepper Tea Bag Cut Steam Sterilized, Black Pepper TGEB Steam Sterilized, Black Pepper TGSEB Steam Sterilized, Black Pepper Ungarbled Light (UGL), Black Pepper whole, Black Pepper Whole MG1 Steam Sterilized, black pepper whole MGI, Black Pepper Whole Steam Sterilized, Black Pepper Whole Sterilized, Black pepper whole superior Malabar Steam sterilized, black pepper whole TGEB, Black Pepper Whole TGEB Steam Sterilized, Black Pepper Whole TGSEB, Black Pepper Whole TGSEB Steam Sterilized, Black Tea, Caryota Urens L. (Umbrella Palm), Cinnamon, cinnamon (powder), Cinnamon bark, Cinnamon Ground, Cinnamon Splits, Cinnamon TBC, Cinnamon tea bag cut, Clove Ground, Clove Loose Tea Cut, Clove Powder, Clove TBC, Clove teabag cut, Clove Whole, Cocoa beans, Coffee Beans, Coffee Beans (Arabica), Coffee beans (Robusta), Coffee Cherry - Arabica, Coffee Cherry - Robusta, Coffee Powder, CTC Tea, Cumin Whole, Curcuma Zedoaria (Kachur), Curcuma Zedoaria Slices Steam Sterilized, Curry leaves dried, Dehydrated Green pepper Whole, Dried clove, Galangal (Alphinia galanga), Galangal Cracked, Galangal Cracked Steam Sterilized, Galangal Crushed, Galangal Crushed Steam Sterilized, Galangal powder, Galangal powder steamsterilized, Galangal slices steam sterilized, Galangal TBC, Galangal TBC steam sterilized, Garcinia cambogia, garcinia cambogia (fruit), Garcinia cambogia dried, Ginger Cracked, Ginger Cracked Steam Sterilized, Ginger crushed, Ginger Crushed Steam sterilised, Ginger Flakes, ginger flakes steam sterilized, Ginger Fresh, Ginger Ground Steam Sterilized, Ginger Ground Sterilized, Ginger Loose Tea Cut, Ginger Loose Tea Cut Steam Sterilized, Ginger Powder, Ginger powder steam sterillized, Ginger Sliced (Dried), Ginger Slices Steam Sterilized, Ginger TBC, Ginger TBC steamsterilized, Ginger tea bag cut, Ginger Tea Bag Cut Steam Sterilized, Ginger Whole Dried, Ginger whole steam sterilized, Green pepper (Preserved in Brine), Green Pepper Dehydrated, green pepper fresh, green pepper whole dehydrated, Green Tea, Ginger Ground Steam Sterilized., Ginger Sliced (Dried)., Ginger Slices Steam Sterilized., Turmeric Dried., Turmeric Ground Steam Sterilized., Turmeric Whole Steam Sterilized., Mace, Nutmeg (Shelled), Nutmeg Mace Dried, Nutmeg Powder, Nutmeg Shell, Nutmeg Tea Bag Cut, Nutmeg whole, Nutmeg whole without shell, peppercorns black, peppercorns black coarse ground, peppercorns black coarse ground steam sterilized, Peppercorns Black Cracked Steam Sterilized, peppercorns black crushed, peppercorns black crushed steam sterilized, peppercorns black fine ground steam sterilized, peppercorns black garbled, peppercorns black medium ground steam sterilized, peppercorns black powder, peppercorns black TBC steam sterilized, peppercorns black whole MGI, peppercorns black whole MGI steam sterilized, Peppercorns Black whole Steam Sterilized, peppercorns black whole TGEB, Peppercorns Black Whole TGEB Steam Sterilized, Peppercorns Black whole TGSEB, Peppercorns Black Whole TGSEB Steam Sterilized, peppercorns dehydrated green whole, peppercorns white powder steam sterilized, peppercorns white steam sterilized, Peppercorns White Whole, Peppercorns White whole steam sterilized, Tamarind, Tamarind Dry, Tamarind dry (IMLI), Tulsi Leaves Dry, turmeric cracked, Turmeric Cracked Steam Sterilized, turmeric crushed, Turmeric Crushed Steam Sterilized, Turmeric dried, Turmeric Fingers, Turmeric Fingers Steam Sterilized, Turmeric Flakes, turmeric flakes steam sterilized, Turmeric Fresh, Turmeric Ground AFT Steam Sterilized, turmeric ground orissa steam sterilized, Turmeric Ground Steam Sterilized, Turmeric Powder, Turmeric Sliced Dried, Turmeric Slices Steam Sterilized, Turmeric Steam Sterilized, Turmeric TBC, Turmeric TBC Steam Sterilized, Turmeric Tea Bag Cut, turmeric tea bag cut steam sterilized, Turmeric whole, Turmeric whole steam sterilized, Vetiver roots, Vinegar, White Pepper, White Pepper Light Berries, White Pepper Powder Steam Sterilized, white pepper steam sterilized, White Pepper Whole Steam Sterilized, white pepper whole sterilized</t>
  </si>
  <si>
    <t>Other Grains, Pastas and Cereals: Barley (Barley), Cereal (Amaranth, Corn, Millet), Rice (Chumyza), Wheat (Wheat); Oils &amp; Oleoresins: Oils (High Oleic Sunflower Oil , High oleic sunflower oil refined deodorized winterized (obtained from pressed) mark P, Sunflower Oil , Sunflower oil refined deodorized winterized (obtained from pressed) mark P); Nuts/Seeds: Seeds (Mustard seeds, Rapeseed, Sunflower seeds); Animal Feed: Livestock Feed (Sunflower cake); Other: Beans (Kidney beans, Soybean), Chickpeas, Peas</t>
  </si>
  <si>
    <t>Other: Annatto, Arrow Root, Arrowroot Powder, Bengal Gram Whole, Black Cumin, Black Gram/Urd (Vigna Sp.), Black Pepper, Black Sesame, Brown Gram/Gram/Chana (Cier Arietinum), Brown Mustard, Cashew Whole, Centella Asiatica, Chana Dal, Chia, Chickpea/Kabuli Chana (Garbanzos), Chicory Roots, Chilli Whole (Dried), Chilli-Bird Eye, Cinnamon, Cinnamon Bark, Cloves, Coriander Powder, Coriander Seed/ Whole, Cumin Whole, Dried Clove, Fennel/Saunf, Fenugreek Seed (Methi Seed), Flax Seed, Foxtail Millet, Ginger Fresh, Ginger Sliced (Dried), Ginger Whole (Dried), Green Cardamom, Groundnut/Peanut, Jaggery, Jaggery Powder, Kalonji /Nigella, Kodo/Kodon Millet, Little Millet, Mace, Maize (Corn), Masur/Masoor Dhuli, Matki/Moth Bean, Moringa Leaves, Moth Dal, Mustard, Mustard Seeds-Yellow, Nutmeg Mace (Dried), Nutmeg Whole, Pearl Millet/Bajra, Pepper Long/Pippali (Piper Longum), Pippali Powder-Piper Longum, Proso Millet, Psyllium Husk (Isobgul), Psyllium Seed (Isobgul), Quinoa, Ragi (Finger Millet- Other Than Seed), Ragi/Finger Millet Grain, Raisins/Kismis, Red Chilli (Whole) Dried, Red Chilli Powder, Red Gram, Red Kidney Beans/Rajma (Phaseolus Vulgaris), Red Rice, Sarsaparilla Root / Anantmool Root / Hemidesmus Indicus Root, Sawan/Barnyard Millet, Sorghum, Sorghum Flour, Sugar, Sugar (Brown/Natural), Tinospora Cordifolia (Guruchi), Turmeric Dried, Turmeric Fresh, Turmeric Powder, Turmeric TBC, Turmeric Whole-Dried, Urad Dal Split, Virgin Coconut Oil, White Pepper</t>
  </si>
  <si>
    <t>Other Grains, Pastas and Cereals: Rice (Hangimuththan Rice), Rice (Kaluhinati Rice), Rice (Kuruluthuda rice), Rice (Pachchaperumal Rice), Rice (Rice blend), Rice (suwadal Rice)</t>
  </si>
  <si>
    <t>Other: BLACK BEANS, BROWN &amp; WILD RICE, BROWN RICE COUSCOUS LEMON&amp; HERB, BROWN RICE COUSCOUS ORIGINAL, Brown Rice Pasta Shells PM 95R, CHICKPEA, CHICKPEA &amp; GREEN PEA RICE, CHICKPEA &amp; RED LENTIL COUSCOUS ORIGINAL, CHICKPEA &amp; RED LENTIL LEGUME RICE, CHICKPEA GLUTEN FREE FUSILLI, CHICKPEA GLUTEN FREE SPAGHETTI, CHICKPEA PENNE, CHICKPEA RICE ORIGINAL, CHICKPEA ROTINI, CHICKPEA SHELLS, CHICKPEA SPAGHETTI, CHICKPEAS AND LENTILS ELBOWS, CHICKPEAS AND LENTILS LASAGNA, CHICKPEAS AND LENTILS PENNE, CHICKPEAS AND LENTILS SHELLS, CHICKPEAS AND LENTILS SPAGHETTI, CHICKPEAS AND LENTILS SPIRALS, CILANTRO LIME FLAVORED RICE, CORN RICE ELBOWS, FUSILLI, GARLIC &amp; HERB RICE PILAF, GARLIC &amp; OLIVE OIL COUSCOUS, GARLIC &amp; OLIVE OIL PEARLED COUSCOUS, GARLIC RICE, GLUTEN FREE BROWN RICE TURMERIC SEDANI, GLUTEN FREE MAC &amp; CHEESE, GLUTEN FREE PANT-BASED MAC, GLUTEN FREE VEGAN MAC CHEDDAR STYLE, GLUTEN FREE YELLOW LENTIL CASERECCE, ITALIAN BARLEY, ITALIAN FARRO, ITALIAN PEARLED FARRO, LEGUME RICE ITALIAN HERB, LEGUME RICE ORIGINAL, LEMON HERB PEARLED COUSCOUS, LENTILS, LINGUINE, LONG GRAIN &amp; WILD RICE PILAF, MAC &amp; CHEESE MACARONI PASTA WITH REAL CHEDDAR CHEESE, ORIGINAL RICE PILAF, PENNE PASTA WITH TURMERIC, RED LENTIL GLUTEN FREE FUSILLI, RED LENTIL GLUTEN FREE PENNE, RED LENTIL RICE, RED LENTIL RICE SPANISH STYLE, RED LENTIL SPAGHETTI, RICE &amp; QUINOA LASAGNE, RICE PILAF GARLIC &amp; HERB, RICE PILAF ORIGINAL, RICE PILAF SPANISH STYLE, RICED LENTIL, PEA &amp; CHICKPEA GARLIC &amp; HERBS, RICED LENTIL, PEA &amp; CHICKPEA SPANISH STYLE, ROASTED CHICKEN FLAVOR &amp; HERB RICE PILAF, Semolina Pasta Shells, SEVEN GRAIN &amp; LENTIL, SHELLS &amp; PLANT-BASED CHEESE, SPAGHETTI, SPAGHETTI PASTA WITH TURMERIC, SPANISH RICE PILAF, SPANISH STYLE RICE, SPELT, LENTIL &amp; BROWN RICE, TRI-COLOR LEGUME RICE, TURMERIC PENNE, VEGAN MAC CHEDDAR STYLE, WHOLE GRAIN BULGUR WHEAT, WILD MUSHROOM &amp; HERB RICE PILAF</t>
  </si>
  <si>
    <t>Other Grains, Pastas and Cereals: CORN, SUNFLOWER; Oils &amp; Oleoresins: Essential Oils (SUNFLOWER OIL); Nuts/Seeds: Peanuts (PEANUT); Fruits/Vegetables: Beans (SOYBEAN)</t>
  </si>
  <si>
    <t>Other Grains, Pastas and Cereals: Ground Barley, Ground Corn, Ground Wheat, Mixed Grain, Soybean Meal, Wheat Middlings, Whole Cottonseed, Whole Wheat, Whole Yellow Corn</t>
  </si>
  <si>
    <t>Other: Blended Feed (Soybean Meal), Canola Meal, Chickpeas, Corn Bran Pellets, Cracked Corn, Flax Seed, Ground Barley, Ground Corn, Ground Peas, Ground Soybeans, Ground Triticale, Ground Wheat, Red  Lentils, Pearled Wheat, Peas, Rapeseed, Soybean Meal, Soybean Oil, Sunflower Meal, Sunflower Oil, Whole Barley, Whole Corn, Whole Mixed Grain, Whole Safflower, Whole Soybeans, Whole Sunflower Seeds, Whole Triticale, Whole Wheat</t>
  </si>
  <si>
    <t>Other Grains, Pastas and Cereals: Rice (Chainat 1 Rice - in the husk (paddy), Chor Ratree Rice - in the husk (paddy), Hommali Rice - in the husk (paddy), Pitsanulok 4 Rice - in the husk (paddy), RD 79 Rice - in the husk (paddy), Riceberry Rice - in the husk (paddy), Sin Lek Rice - in the husk (paddy))</t>
  </si>
  <si>
    <t>Other Grains, Pastas and Cereals: Soy meal, Soybean, Soybean, Soybean meal, Wheat, Wheat; Oils &amp; Oleoresins: Soybean oil; Nuts/Seeds: Canola seed; Other: Canola seed, Corn, Corn, Sunflower seed</t>
  </si>
  <si>
    <t>Other Grains, Pastas and Cereals: Brokering/Distributing of Organic: Corn, Soybeans, Wheat; Dry/Baking Goods: Brokering/Distributing of Organic: Corn, Soybeans, Wheat</t>
  </si>
  <si>
    <t>Other: Handling &amp; Storage of Canola &amp; Grains</t>
  </si>
  <si>
    <t>Other: Handling &amp; Storage of Oil Seeds &amp; Grains</t>
  </si>
  <si>
    <t>Other: Boneless Skinless Chicken Breast Strips with Rib Meat, Boneless Skinless Chicken Breast Trim with Rib Meat, Boneless Skinless Chicken Breasts with Rib Meat - Tops and Bottoms 53325, Breaded Chicken Nugget Whole Grain, Breaded Chicken Tenders Whole Grain, Chicken Breast Nuggets Breaded Dinosaur Shaped Patties with Rib Meat (44439) (WIP), Crispy Strips Breaded White Meat Chicken Strips, Diced Boneless Skinless Chicken Breast with Rib Meat, Gluten Free Breaded Chicken Breast Dinosaur Shape with rib Meat 4440 (WIP), Gluten Free Breaded Chicken Breast Nuggets, Gluten Free Breaded Chicken Breast Nuggets, Gluten Free Breaded Chicken Breast Patties with rib Meat 44438 (WIP), Gluten Free Breaded Chicken Breast Strips, Gluten Free Breaded Chicken Breast Tenders, Lightly Breaded Chicken Breast Dino Nuggets, Lightly Breaded Chicken Breast Strips, Lightly Breaded Chicken Breast Strips, Lightly Breaded Chicken Cutlet, Lightly Breaded Chicken Nuggets</t>
  </si>
  <si>
    <t>Other: 100% Whole Wheat Bread, 100% Whole Wheat Bread, Ancient Grain Bread, Ancient Grains Bread, Multiseed Bread, Multi-seed Bread, White Bread, White Bread</t>
  </si>
  <si>
    <t>Other: Amarant (Amaranthus), Camu Camu, Powder, Cañihua, Grains, Chilis, Chocolate Drops, Cocoa, Cocoa Beans, Cocoa Beans, Dried, Cocoa Butter, Cocoa Husk, Cocoa Liquor, Cocoa Powder, Cretan Dittany (Origanum dictamnus), Ginger (Zingiber officinale), Ginger Dehydrated, Ginger Powder, Lucuma Powder, Maca,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</si>
  <si>
    <t>Processed  Items: Camu-camu dehydrated, Lúcuma (Pouteria lucuma) dried in pieces, Maca dried, Physalis; Cape gooseberry; Inca berry; Golden berry dehydrated, Cereal (Canihua flakes, Extruded pop Canihua, Kiwicha flakes, Kiwicha pop, Quinoa flakes, Quinoa pop), Powders (Chondracanthus Chamissoi powder / Irish sea moss powder), Soursop (Annona muricata) - dried leaves; Other Grains, Pastas and Cereals: Cereal (Canahua; canihua grains), Quinoa (White quinoa); Nuts/Seeds: Seeds (Sacha inchi (Plukenetia volubilis) seeds); Health Products: Herbs (Cat's claw tea), Herbs (Curcuma, Turmeric flakes, Curcuma, Turmeric fresh, Ginger flakes, Ginger fresh); Fruits/Vegetables: Arracacha root, Lucuma (Pouteria lucuma) powder, Berries (Camu camu fresh), Powders (Camu-camu powder, Canahua; canihua powder, Curcuma, Turmeric powder, Ginger powder, Kiwicha powder, Locust bean powder, Maca (Peruvian Ginseng; Lepidium meyenii) powder, Mesquite; Algarrobo (Prosopis spp) powder, Quinoa powder, Red Quinoa powder); Chocolate Goods: Cocoa butter, Cocoa nibs, Cocoa powder; Beverage Related Products: Coffee (Coffee, other - roasted and/or ground)</t>
  </si>
  <si>
    <t>Other: Agave Syrup, Algarroba (carob/mesquita) powder, Black maca powder, Camu camu extract, Camu Camu Powder, Canihua gelatinized powder, Canihua Grains, Canihua Powder, Goldenberry Raisins, Lucuma Powder, Maca dried, Maca extract, Maca Gelatinized Powder, Maca Powder, Maca Premium Powder, Purple corn extract, Purple Corn Powder, Red maca powder, Sacha Inchi Oil, Sacha Inchi Powder, Yacon slices, Yacon Syrup</t>
  </si>
  <si>
    <t>Processed  Items: Butter (Cacao Butter*), Butter (Raw Cacao Butter*), Chocolate Nibs (Cacao nibs raw*), Chocolate Nibs (Cacao Roasted Nib*), Dehydrated Foods (Ginger dehydrated), Dehydrated Foods (Ginger Dehydrated Slices Premium OSS*), Dehydrated Foods (Ginger Dehydrated Slices Standard*), Dehydrated Foods (Ginger Dehydrated Sundried Slices*), Dehydrated Foods (Maca dried*), Dehydrated Foods (Mango dehydrated strips*), Dehydrated Foods (Mesquite (Algarroba) Dried Powder), Dehydrated Foods (Oregano leaves dehydrated*), Dehydrated Foods (Oregano powder dehydrated*), Dehydrated Foods (Purple corn dried (coronta)), Dehydrated Foods (Purple corn dried powder*), Dehydrated Foods (Purple corn dried powder OSS*), Dehydrated Foods (Sweet Potato Root Dehydrated Dices/Slices*), Dehydrated Foods (Mango Dehydrated Cheeks*), Dehydrated Foods (Aguaymanto (goldenberry) dehydrated*), Dehydrated Foods (Black maca dried*); Oils &amp; Oleoresins: Oils (Sacha Inchi Oil*); Fruits/Vegetables: Black maca fresh*, Goldenberry, Inca Berries*, Lucuma fresh fruit*; Beverage Related Products: Syrups (Yacon syrup/ Yacon concentrated juice*); Other: Algarrobo/Mesquite powder OSS, Amaranth gelatinized powder, Amaranth Grains, Amaranth Powder, Amaranth powder OSS, Bio maca*, Black maca gelatinized crushed*, Black maca gelatinized powder capsules, Black maca gelatinized powder*, Black Maca HP Gelatinized Powder*, Black Maca HP OSS Powder*, Black Maca Powder OSS*, Black maca powder*, Black maca root powder*, Black maca superfood powder, Black quinoa gelatinized powder, Black Quinoa Grains, Black quinoa powder, Blend Maca gelatinized and Cacao organic powder*, Cacao grain/beans*, Cacao Husk*, Cacao Liquor, Cacao Powder*, Camu camu organic pulp and skin powder*, Camu camu organic whole fruit powder capsules, Camu camu organic whole fruit powder*, Camu Camu Powder / Camu Powder, Camu Camu Powder ] 3 % Vit. C*, Camu Camu Powder ] 5 % Vit. C / Camu camu Organic powder ] 5% Vitamina C*, Camu Camu Powder ] 8 % Vit. C*, Camu Camu powder capsules, Camu Camu powder min 3% vit C capsules, Camu Camu powder min 5% vit C capsules, Camu Camu powder min 8% vit C capsules, Canihua gelatinized powder, Canihua Grains, Canihua OSS powder, Canihua Powder, Carob Powder, Chia OSS powder, Chia Powder, Chia Seed, Chondracanthus chamissoi dried*, Chondracanthus Chamissoi OSS Powder - Irish Sea Moss OSS Powder*, Chondracanthus Chamissoi OSS Powder*, Chondracanthus Chamissoi Powder - Irish Sea Moss Powder*, Chondracanthus chamissoi powder*, Chondrus canaliculatus dried*, Gelatinized maca crushed*, Gelatinized maca powder mix, Ginger Dehydrated Chunks, Ginger Fresh, Ginger Powder, Ginger powder capsules, Ginger Powder OSS Capsule, Ginger Powder OSS Sundried*, Ginger Powder OSS*, Ginger Sundried Slices OSS*, Ginger Sundried Slices*, Goldenberry concentrated juice*, Goldenberry crushed*, Goldenberry organic powder*, Goldenberry Syrup*, Green Banana Flour, Green Banana OSS Powder, Green Banana Powder, Irish Sea Moss Powder (Chondracanthus Chamissoi Powder)*, Lucuma Powder*, Maca, MACA BLACK GELATINIZED ORGANIC POWDER, MACA BLACK GELATINIZED ORGANIC POWDER x 500 mg CAPSULES, Maca Blend Powder*, Maca chips OSS*, Maca Chips*, Maca Extract 10:1, Maca Extract 20:1, Maca Extract 4:1, Maca fresh*, Maca gelatinized chips OSS*, MACA GELATINIZED ORGANIC POWDER CAPSULES, MACA GELATINIZED ORGANIC POWDER x 500 mg CAPSULES, Maca Gelatinized Powder capsules, Maca gelatinized powder OSS*, Maca Gelatinized Powder*, Maca HP dices / Maca HP Dehydrated Dices*, Maca HP gelatinized crushed*, Maca HP gelatinized powder*, Maca HP OSS dices*, Maca HP OSS gelatinized dices*, Maca HP OSS gelatinized powder*, Maca HP OSS powder capsules, Maca HP OSS powder*, Maca HP powder*, Maca powder capsules, Maca powder OSS capsules, Maca powder OSS*, Maca Powder Premium 4 Roots*, Maca Powder*, Maca Red Gelatinized Crushed*, MACA RED GELATINIZED ORGANIC POWDER, MACA RED GELATINIZED ORGANIC POWDER x 500 mg CAPSULES, Maca root powder, Maca root superfood powder, Maca tuber powder, Maca Yellow Gelatinized Crushed*, Mesquite organic powder, Panca chilli crushed*, Panca chilli powder*, Peruvian carob /Algarrobo /Mesquite powder OSS, Physalis Dried Whole*, Precooked quinoa grains, Purple Corn Cob Powder*, Purple corn OSS Cob powder*, Purple corn OSS grain powder*, Purple Corn OSS Whole Powder*, Quinoa, Quinoa black OSS powder, Quinoa Gelatinized Powder, Quinoa Powder, Quinoa powder OSS, Quinoa red OSS powder, Quinoa tricolor grain, Quinoa tricolor powder, Raw black maca powder, Raw maca powder mix, Raw red maca powder, Raw red maca powder, Red maca dried*, Red maca fresh*, Red maca gelatinized powder capsules, Red maca gelatinized powder*, Red Maca HP Gelatinized Powder*, Red maca powder capsules, Red maca powder OSS*, Red maca powder*, Red maca root powder*, Red maca superfood powder, Red quinoa gelatinized powder, Red Quinoa Grains, Red quinoa powder, Ripe banana OSS powder*, Ripe banana powder*, Rocoto chilli crushed*, Rocoto powder*, Sacha inchi gelatinized powder*, Sacha Inchi Powder*, Sweet Potato OSS Powder*, Sweet potato powder*, Sweet Potatoe Flour, Triple maca root powder*, White Quinoa Grains, White quinoa powder, Yacon cubes*, Yacon powder OSS*, Yacon powder*, Yacon root powder*, Yacon slices*, Yellow chilli crushed*, Yellow chilli powder*, Yellow maca gelatinized powder, Yellow maca gelatinized powder capsules, Yellow maca powder capsules, Yellow Maca Powder OSS*, Yellow maca powder*</t>
  </si>
  <si>
    <t>Other Grains, Pastas and Cereals: Barley, Black Beans, Brown Lentils, Cereal, Chickpeas, Cranberry Beans, Cranberry Beans, Dark Red Kidney Beans, Green Peas, Light Red Kidney Beans, Navy Beans, Oats, Oats, Peas, Austrian Winter, Peas, Austrian Winter, Peas, Purple, Pinto Beans, Rye, Small Red Beans, Triticale, Triticale, Wheat, Wheat, Wheat, Wheat, Wheat; Dry/Baking Goods: Sugar</t>
  </si>
  <si>
    <t>Other: 12% Swine, 14% Sheep &amp; Goat, 16% Beef, 16% Dairy, 16% No Soy Layer, 16% Swine Grower, 18% Layer, 18% No Soy Broiler/Grower, 19% Broiler/Grower, 20% No Soy Chick Starter, 21% Chick Starter Feed, Corn, Cracked Corn, Cracked Peas, Custom Vital Layer, Dehydrated Alfalfa Pellets, Flax, Milo, Molasses, Oats, Organic All Grain Mix, Peas, Soybean Meal, Sunflower Meal, Sunflower Oil, Wheat</t>
  </si>
  <si>
    <t>Processed  Items: CANOLA EXPELLER, SOYBEAN EXPELLER, SUNFLOWER EXPELLER; Other Grains, Pastas and Cereals: Barley, CANOLA SEED, CORN, POPCORN, Sorghum, SUNFLOWER, Wheat; Oils &amp; Oleoresins: Oils (CANOLA OIL), Oils (SUNFLOWER OIL), Oils (SOYBEAN OIL); Fruits/Vegetables: Beans (PEA), Beans (SOYBEAN); Dry/Baking Goods: Flours and Meals (SOY MEAL)</t>
  </si>
  <si>
    <t>Other Grains, Pastas and Cereals: BARLEY, CANOLA SEED, CORN, POPCORN, Sorghum, SUNFLOWER, Wheat; Fruits/Vegetables: Beans (PEA), Beans (SOYBEAN)</t>
  </si>
  <si>
    <t>Other Grains, Pastas and Cereals: CANOLA SEED, CORN, POPCORN, Sorghum, SUNFLOWER; Fruits/Vegetables: Beans (PEA), Beans (SOYBEAN)</t>
  </si>
  <si>
    <t>Other: Annatto Powder, Brown Crisp Rice 235-OR, Brown Crisp Rice 255-OR, Brown Crisp Rice 417-OR, Brown Crisp Rice 422-OR, Brown Rice Crisp (388-OR), Brown Rice Syrup (60DE), Chickpea Protein (834-OR), Cocoa Powder (processed with alkali), Crisp Rice 197-OR, Crisp Rice 243-OR, Evaporated Cane Sugar (Golden Granulated Raw Cane Sugar), Hemp Hull Fiber (7743-OR), Honey, LG Brown Rice Meal (1632-OR), Long Grain Brown Rice Flour, Long Grain Brown Rice Flour Coarse 4532-OR, Long Grain Brown Rice Flour Soy-Free, Long Grain White Rice Flour, Long Grain White Rice Flour Soy-Free, Medium / Short Grain Brown Rice Flour Fine (7012-OR), Medium / Short Grain Brown Rice Flour Superfine (20012-OR), Medium / Short Grain White Rice Flour Coarse (4511-OR-HG), Medium/Short Grain White Rice Flour Coarse 45111-OR-HG, Medium/Short Grain White Rice Flour Coarse 4511-OR, Medium/Short Grain White Rice Flour Fine 7011-OR, Medium/Short Grain White Rice Flour Fine 7011-OR-HG, Medium/Short Grain White Rice Meal 2011-OR, Pac-Fresh PFR70-OR-WG, Pac-Gel 70 PG70-OR, Pea Protein Crisp (510-OR), Pea Protein Crisp 502-OR, Raisin Juice Concentrate, Rice Breading 224-OR, Rice Breading B-224-OR, Sweet Brown Rice Flour Fine 7022-OR, WIP Long Grain Brown Rice Flour (WIP-325-OR), WIP Long Grain White Rice Flour (WIP-315-OR), WIP Medium Grain Brown Rice Flour (WIP-125-OR), WIP Medium Grain White Rice Flour (WIP-115-OR)</t>
  </si>
  <si>
    <t>Other: Agnimantha bark cut, Agnimantha bark Dried, Agnimantha bark TBC, Agnimantha Powder, Ajwain Powder, Ajwain Seed Dried, Ajwain TBC, Alphonso Mango, Alphonso Mango Pulp, Alphonso Mango Puree, Amla cut, Amla Jam (Chyvanaprasha), Amla powder, Amla Powder Freeze Dried, Amla Shred, Amla TBC, Amla Whole Dried, Amla Without Seed, Ananthamool cut, Ananthamool Dried, Ananthamool Powder, Ananthamool TBC, Annatto Powder, Annatto Seeds Dried, Arabica coffee beans roasted, Arjuna Bark cut, Arjuna Bark Dried, Arjuna Bark Powder, Arjuna bark TBC, Arrow root cut, Arrow root dried, Arrow root TBC, Arrowroot powder, Ashoka Bark cut, Ashoka Bark Dried, Ashoka Bark TBC, Ashoka powder, Ashwagandha Powder, Ashwagandha Root cut, Ashwagandha Root Dried, Ashwagandha TBC, Avipattikar cut, Avipattikar Powder, Avipattikar TBC, Bala powder, Bala -Sida cordifolia cut, Bala -Sida cordifolia dried, Bala TBC -Sida cordifolia, Banana Fresh, Banana Powder, Barley, Barley Flour, Barnyard Millet, Basmati Rice, Basmati Rice-Brown, BBQ Jackfruit Shreds, Bengal Gram Whole Dried, Besan(Bengal Gram)Powder, Bhumiamalaki cut, Bhumiamalaki Dried, Bhumiamalaki powder, Bhumiamalaki TBC, bibhitaki cut, Bibhitaki Shell, Bibhitaki Shell Powder, Bibhitaki Shell TBC, Bibhitaki TBC, bibhitaki Whole Dried, Bilva Bark cut, Bilva Bark Dried, Bilva Bark Powder, Bilva Bark TBC, Bilva Fruit cut, Bilva Fruit Dried, Bilva Fruit Powder, Bilva Fruit TBC, Bird eye chilli Powder, Bird Eye Chilli Whole Dried, Bird eye chilly Flakes, Biryani Mix, Bisibelebath Powder, Bitter Gourd cut, Bitter Gourd Dried, Bitter Gourd Powder, Bitter Gourd Slice Dried, Bittergourd TBC, Black Mustard Powder, Black Mustard TBC, Black Mustard Whole Dried, Black Pepper Corns, Black pepper cut, Black pepper oil, Black Pepper Powder, Black Pepper Powder Steam Sterilized, Black pepper TBC, Black Pepper Whole, Black Pepper Whole Smoked, Black Pepper Whole Sterilized, Black urad split, Black urad whole, Brahathi Powder, Brahathi -Solanum Indicum cut, Brahathi -Solanum Indicum Dried, Brahathi TBC, Brahmi Areial Part, Brahmi Powder, Brahmi TBC, Brahmi-Bacopa monnieri cut, Brahmi-Bacopa monnieri Dried, Broken Wheat - Daliya, Brown sugar, Byadagi chilly flake, Byadagi Chilly Paste (Smash), Byadagi chilly powder, Byadagi Chilly Whole Dried, Cardamom Oil, Cardamom Powder, Cardamom seed, Cardamom TBC, Cardamom Whole Dried, Cashew Butter, Cashew nut (without shell), Cassava Flour, Cassava Powder, Celery Dried, Celery Powder, Celery Seed, Celery Seed Powder, Channa Dal, Channa Masala Mix, Chat masala, Chia Seed, Chia Seed TBC, Chickpea, Chickpea Flour, Chicory Dried, Chicory Roasted Powder, Chicory Roasted TBC, Chicory Roasted whole, Chilli crushed, Chilli flakes, Chilli powder, Chilli whole, Chunk Shredded jackfruit less soft, Chutney Powder - Chana Dal, Chutney Powder - Coconut, Chutney Powder - Coriander, Chutney Powder - Groundnut, Chutney Powder - Horse Gram, Cinnamon Bark cut, Cinnamon Bark Dried, Cinnamon Bark Oil, Cinnamon Bark Powder, Cinnamon Bark TBC, Cinnamon Leaf Oil, Clove cut, Clove Oil, Clove Powder, Clove TBC, Clove Whole Dried, Cocoa Beans Dried, Cocoa Powder, Coconut chips, Coconut Copra Dried, Coconut Desiccated, Coconut Flakes, Coconut Flour, Coconut Fresh, Coconut Milk, Coconut Oil, Coconut Oil Extra Virgin, Coconut Oil Virgin, Coconut Powder, Coconut Shred, Coconut Water Vineger, Coffee Arabica Cherry (Clean Bulk), Coffee Arabica Parchment (clean bulk), Coffee Decoction - Bold, Coffee Decoction - Smooth, Coffee Powder - Bold, Coffee powder smooth, Coffee Powder(Arabica), Coffee Powder(Robusta), Coffee Robusta Cherry (Clean Bulk), Coffee Robusta Parchment(Clean Bulk), Coriander Leaves, Coriander Leaves Dehydrated, Coriander Powder, Coriander Seed Dried, Coriander Split, Coriander TBC, Corn starch, Cumin cut, Cumin Oil, Cumin Powder, Cumin TBC, Cumin Whole Dried, Curry Leaf TBC, Curry Leaves cut, Curry Leaves Dried, Curry Leaves Powder, Dashamoola Cut pieces, Dashamoola Powder, Dashamoola TBC, Dashamoola Whole, Dementholised Oil, Dosa Mix, Fennel cut, Fennel Dried, Fennel Oil, Fennel Powder, Fennel TBC, Fenugreek cut, Fenugreek Powder, Fenugreek TBC, Fenugreek Whole Dried, Fermented coconut water, Fieldmint Leaves -Mentha arvensis cut, Fieldmint Leaves -Mentha arvensis Dried, Fieldmint Leaves -Mentha arvensis TBC, Fieldmint Leaves Powder -Mentha arvensis, Fieldmint Oil, Fieldmint Paste, Filter coffee powder, Flax Seed, Flax Seed Powder, Flax Seed TBC, Foxtail Millet, Frankincence with rice Powder, Frankincense, Frankincense Powder, Freeze Dried Green Pepper, Galanga Cut, Galanga Powder, Galanga TBC, Galanga Whole Dried, Gambari-Shivane bark cut, Gambari-Shivane bark Dried, Gambari-Shivane bark Powder, Garam Masala Powder, Garlic cut pieces Dried, Garlic Flakes, Garlic Granules, Garlic Paste, Garlic Powder, Garlic Slice, Garlic Whole Dried, Ginger CO2 Extract, Ginger cut, Ginger ExtractZingiber officinalis, Ginger Fresh, Ginger Garlic Paste, Ginger granuals, Ginger Oil, Ginger oleoresin, Ginger Paste, Ginger Powder, Ginger Powder Steam Sterilized, Ginger Slice Dried, Ginger TBC, Ginger Whole Dried, Gokshura Fruit cut -Tribulus terrestris, Gokshura Fruit Dried -Tribulus terrestris, Gokshura Powder, Gokshura TBC, Gokshuradi Guggulu Powder, Gotukola cut, Gotukola Dried, Gotukola Powder, Gotukola TBC, Green Banana Flour, Green chilli fresh, Green Chilly Flakes, Green Curry Paste, Green Gram, Green Gram Split, Green Moong Dal, Green pepper (dehydrated), Green Pepper Fresh, Groundnut Dried, Groundnut Oil, Guduchi Powder, Guduchi TBC-Tinospora cordifolia, Guduchi -Tinospora cordifolia cut, Guduchi -Tinospora cordifolia Dried, Guggul, Guggulu Powder, Guntur Chilli Powder, Guntur Chilli Whole Dried, Guntur Chilly Flake, Gurmur Leaves cut, Gurmur Leaves Dried, Gurmur Leaves Powder, Gurmur Leaves TBC-Gymnema sylvestre, Haritaki cut, Haritaki Powder, Haritaki Shell, Haritaki Shell Powder-Terminalia chebula, Haritaki TBC, Haritaki Whole Dried, Hibiscus Sabdariffa cut, Hibiscus Sabdariffa Dried, Hibiscus Sabdariffa Petals Powder, Hibiscus Sabdariffa Petals TBC, Horse Gram, Idli rice, Idly Rava, Jack Fruits Dehydrated, Jackfruit BBQ, Jackfruit Chilli, Jackfruit chips, Jackfruit chunk shred water reduced, Jackfruit chunks, Jackfruit cubes, Jackfruit Flour, Jackfruit in brine, Jackfruit lightly seasoned, Jackfruit long shred water reduced, Jackfruit patties/Jackfruit Balls/Jackfruit Sausage/Jackfruit Jerky, Jackfruit pieces, Jackfruit plain, Jackfruit powder, Jackfruit Seed Flour, Jackfruit shreds, Jackfruit Stew, Jaggery, Jaggery Powder, Jaggery Syrup, Jowar, Jowar flour, Kabuli Chana, Kaisora Guggulu Powder, Kalmegh cut, Kalmegh Dried, Kalmegh Powder, Kalmegh TBC, Kanchanara Guggulu Powder, Kanchanara Powder, Kantakari cut-Solanum xanthocarpum, Kantakari Dried-Solanum xanthocarpum, Kantakari Powder, Kantakari -Solanum xanthocarpum-TBC, Kapikachu Seed Dried, Kapikachu Seed Powder, Kapikachu Seed Roasted, Kapikachu TBC, Kidney Beans, Kitchen and love organic jackfruit BBQ, Kitchen and love organic jackfruit chilli, Kitchen and love organic jackfruit lightly seasoned, Kitchen and love organic jackfruit stew, Kodo/Kodon Millet, Krishna Tulsi cut, Krishna Tulsi Dried, Krishna Tulsi Granules, Krishna Tulsi Powder, Krishna Tulsi TBC, Lemon grass oil, Lemon Juice, Lemon Oil, Lemongrass cut, Lemongrass Dried, Lemongrass Powder, Lemongrass TBC, Lime Oil, Liquorice cut, Liquorice Dried, Liquorice Granules, Liquorice Powder, Liquorice TBC, Little millet, Maida, Maize (Grain), Mandara Dried, Mango Fresh, Manjista TBC, Manjistha Powder, Manjistha -Rubia cordifolia cut, Manjistha -Rubia cordifolia Dried, Masoor Dal, Mature Whole Jackfruit Flour, Menthol Crystals, Milk Mix Powder, Millet Bisibele Bath, Millet Dosa Mix, Millet Khichdi, Mint Oil, Moong Dal, Moong Dal Yellow, Moringa Leaves cut, Moringa Leaves Dried, Moringa Leaves Powder, Moringa Leaves TBC, Multi Grain Flour, Multi Millet Biryani, Multi Millet Kheer, Mustard Oil, Neem Leaves cut, Neem Leaves Dried, Neem Leaves Powder, Neem Leaves TBC, Neem Seed Dried, Neem Seed Oil, Neem seed powder, Non-Basmati Rice, Noni Fruit cut, Noni Fruit Dried, Noni Fruit Juice, Noni Fruit Powder, Nutmeg Cracked Halves, Nutmeg Mace cut, Nutmeg Mace Dried, Nutmeg Mace Powder, Nutmeg Oil, Nutmeg Powder, Nutmeg TBC, Nutmeg Whole cut, Nutmeg Whole Dried, Onion Flakes, Onion Paste, Onion Powder, Onion Slice Dried, Oregano, Oregano TBC, Pad Thai, Palmarosa Oil, Paprika, Patala Cut, Patala Dried, Patala Powder, Patala TBC, Pearl Millet/Bajra, Peppermint Leaves Cut, Peppermint Leaves Dried, Peppermint Leaves Powder, Peppermint Leaves TBC, Peppermint Oil, Pippali -Piper longum cut, Pippali -Piper longum Dried, Pippali Powder, Poha Mixture, Polished Rice, Pooni rice, Potatoes (Sweet), Prishniparni cut, Prishniparni Dried, Proso millet, Psyllium husk (isobgul), Pulav Masala, Pumpkin cubes, Punarnava Guggulu Powder, Punarnava powder, Punarnava Root cut, Punarnava Root Dried, Punarnava TBC, Ragi Dosa Mix, Ragi flakes, Ragi flour, Ragi Idli Mix, Ragi Porridge, Ragi powder, Ragi/Finger Millet grain, Rajma chitkabra, Raktha Kanchanara cut, Raktha Kanchanara Dried, Rama Tulsi cut, Rama Tulsi Dried, Rama Tulsi Granules, Rama Tulsi Powder, Rama Tulsi TBC, Rasam Powder, Red Chilly paste, Red Curry Paste, Red Pepper, Red pepper powder, Red Poha, Red Rice, Rice Dosa Mix, Rice Dosa Mix –Gluten Free, Rice Flour, Rice Idli Mix, Rice Vermicelli, Roasted cashew butter, Roasted Chana, Robusta Coffee beans Roasted, Rose Petal TBC, Rose Petals cut, Rose Petals Dried, Rose petals powder, Saffron Cut, Saffron Powder, Saffron TBC, Saffron Whole, Salaparni cut, Salaparni Dried, Sambar Powder, Seasoning Powder, Semi Polished Rice, Senna leaves cut, Senna leaves Dried, Senna Leaves Powder, Senna Leaves TBC, Shallaki churna, Shallaki powder, Shatavari granules, Shatavari powder, Shatavari Root cut, Shatavari Root Dried, Shatavari TBC, Shudda Guggulu Powder, Shyonaka Bark Powder, Shyonaka Bark TBC, Shyonaka bark-Oroxylum indicum cut, Shyonaka bark-Oroxylum indicum dried, Sitopaladi powder, Smoked chilli flakes, Smoked chilli powder, Smoked Chilly, Soapnut cut, Soapnut Powder, Soapnut TBC, Soapnut Whole Dried, Soapnut Without Seed, Sonamasoori brown rice, Sonamasoori rice, Spearmint - Mentha spicata- TBC, Spearmint Leaves Cut, Spearmint Leaves -Mentha spicata Dried, Spearmint -Mentha spicata -Powder, Spearmint Oil, Spice Mix, Spicy Mexican Jackfruit Shreds, Stevia Leaves cut, Stevia Leaves Dried, Stevia Leaves TBC, Stevia Powder, Sugar, Sugar Powder, Sugarcane, Suji/Semolina/ Cream of Wheat, Sunflower Oil, Sweet Corn -(Maize corn), Sweet Potato Powder, Tamarind Fruit cut, Tamarind Fruit Dried, Tamarind paste, Tamarind Powder, Tapioca, Tapioca Chips, Tapioca flakes, Tapioca Flour, Tapioca Powder, Tapioca starch, Tejpatra Leaves cut, Tejpatra Leaves Dried, Tejpatra Powder, Tejpatra TBC, Teriyaki Jackfruit Cubes, Thai Jackfruit Cubes, Tom Yum Paste, Tomato cut pieces Dried, Tomato Fresh, Tomato paste, Toor Dal, Totapuri Mango, Totapuri Mango Pulp, Totapuri Mango Puree, Trikatu Cut, Trikatu Powder, Trikatu TBC, Trikatu whole, Triphala cut, Triphala Guggulu Powder, Triphala Powder, Triphala TBC, Triphala Whole, Trivrath Dried, Trivrath Powder, Tulsi Blend(Krishna+Vana), Tulsi Blend(Rama+Krishna), Tulsi Blend(Rama+Krishna+Vana), Tulsi Blend(Rama+Vana), Tulsi Cut, Tulsi Granuals, Tulsi TBC, Tulsi TBC Blend (Krishna+Vana), Tulsi TBC Blend (Rama+Krishna+Vana), Tulsi TBC Blend (Rama+Vana), Tulsi TBC Blend(Rama+Krishna), Turmeric cut, Turmeric Extract, Turmeric flakes, Turmeric Fresh, Turmeric Granuals, Turmeric Ground Steam Sterilized, Turmeric Juice, Turmeric Latte powder, Turmeric paste, Turmeric Powder, Turmeric Slice Dried, Turmeric TBC, Turmeric Whole Dried, Vana Tulsi cut, Vana Tulsi Dried, Vana Tulsi granules, Vana Tulsi Powder, Vana Tulsi TBC, Vangibath Powder, Vanilla Bean, Vanilla Beans(Cured), Vanilla Powder, Vanilla TBC, Vasaka Leaves cut, Vasaka Leaves Dried, Vasaka Powder, Vasaka TBC, Vegetable Upma, Vidanga -Embelia Ribes cut, Vidanga -Embelia Ribes Dried, Vidanga Powder, vidarikanda cut, Vidarikandha Powder, Vidarikandha TBC, Vidarikandha Whole Dried, Wheat Flour, White Pepper Powder, White Pepper TBC, White Pepper Whole, White Poha, White urad split, White Urad whole, Yellow Curry Paste, Yellow mustard powder, Yellow mustard whole, Yogaraja Guggulu Powder, Zingiber officinale CO2 Extract</t>
  </si>
  <si>
    <t>Other: Ajwain Seed Powder, Ajwain Seeds, Aloo Bujiya, Alphonso Mango, Amla Jam (Chyvanaprasha), Amla Powder, Amla Whole Dried, Annatto Powder, Annatto Seeds Dried, Arabica Coffee Beans Roasted, Arrowroot Powder, Ashwagandha Powder, Ashwagandha Root Dried, Bajra Flour, Bala/Sida Cordifolia, Banana Chips, Banana Powder, Barley, Basil/Tulsi Oil, Basmati Rice, Bengal Gram Dal, Bengal Gram Whole Dried, Besan(Bengal Gram)Powder, Bhumiamalaki(Phyllanthus Niruri), Bibitaki Whole Dried, Bilva Bark Dried, Bird Eye Chilli Powder, Bird Eye Chilli Whole Dried, Bird Eye Chilly Flakes, Biryani Mix, Bisibelebath Powder, Bitter Gourd Powder, Bitter Gourd Slide Dried, Black Cardamom Powder, Black Gram/Urd (Vigna Sp.), Black Mustard Powder, Black Mustard Whole Dried, Black Pepper, Black Pepper Powder, Black Pepper Whole, Black Rice, Black Sesame, Black Tea Powder, Black Urad Whole, Bombay Masala Mixture, Brahmi-Bacopa Monnieri Dried, Broken Rice, Byadagi Chilly Flake, Byadagi Chilly Paste (Smash), Byadagi Chilly Powder, Byadagi Chilly Whole Dried, Cardamom (Black) Whole Dried, Cardamom Powder, Cardamom Seed, Cardamom Whole Dried, Carrot, Cashew Butter, Cashew Nut (Without Shell), Castor Oil, Celery, Celery Dried, Celery Seed Powder, Celery Powder, Chaispice Blend (TBC), Chakli, Chana Dal, Channa Masala, Chia Seeds, Chickpea / Kabuli Chana (Garbanzos), Chicory Dried, Chicory Roasted Powder, Chicory Root Powder, Chilli Paste, Chilli Powder, Chilly Flakes, Chilly Whole, Chutney Powder - Chana Dal, Chutney Powder - Coconut, Chutney Powder - Coriander, Chutney Powder - Groundnut, Chutney Powder - Horse Gram, Cinnamon Bark Cut, Cinnamon Bark Dried, Cinnamon Bark Powder, Cinnamon TBC, Clelery Seed, Clove Whole Dried, Coconut (Dried), Coconut Butter, Coconut Desiccated, Coconut Flakes, Coconut Flour, Coconut Milk, Coconut Oil, Coconut Oil Virgin, Coconut Powder, Coconut Sugar, Coffee Beans - Arabica, Coffee Decoction - Bold, Coffee Decoction - Smooth, Coffee Powder (Arabica), Coffee Powder Smooth, Coffee Powder(Robusta), Coriander Powder, Coriander Seed Dried, Coriander Split, Corn Flour, Cumin Powder, Cumin Whole Dried, Curry Leaves Dried, Curry Leaves Powder, Curry Powder, Curry Powder (Mexican), Curry Powder (Moroccan Harmony), Curry Powder(Drink Me Up Blend), Curry Powder(Jamaican), Curry Powder(Lebanese), Dosa Mix, Dosa Rice, Fennel Oil, Fennel Powder, Fennel Whole Dried, Fenugreek Powder, Fenugreek Whole Dried, Fieldmint Leaves Cut, Fieldmint Leaves -Mentha Arvensis Dried, Fieldmint Leaves -Mentha Arvensis TBC, Fieldmint Leaves Powder - Mentha Arvensis, Filter Coffee Powder, Flax Seed, Flax Seed Powder, Foxtail Millet, Galanga Cut, Galanga Powder, Galanga Whole Dried, Garam Masala, Garam Masala Powder, Garlic Paste, Garlic Powder, Garlic Slice, Garlic Whole Dried, Ghee, Ginger Fresh, Ginger Garlic Paste, Ginger Paste, Ginger Powder, Ginger Slice Dried, Ginger TBC, Ginger Whole Dried, Gokshura Fruit (Tribulus Terrestris), Green Banana Flour, Green Cardamom, Green Chilli Flakes, Green Chilli Fresh, Green Chilly Dried, Green Curry Paste, Green Gram Split/Moong Dal Yellow, Green Gram Whole, Green Peas, Green Pepper Dried, Green Tea, Groundnut Dried, Groundnut Oil, Guduchi -Tinospora Cordifolia Dried, Guntur Chilli Flakes, Guntur Chilli Powder, Guntur Chilli Whole Dried, Haritaki/Harad(Terminalia Chebula), Honey, Horse Gram, Horse Gram Powder, Idli Rice, Idly Rava, Jackfruit Flour, Jackfruit Plain (Pieces)/Cubes, Jackfruit Shreds, Jaggery, Jaggery Powder, Jaggery Syrup, Jowar, Jowar Flour, Kabuli Chana/Chickpea Flour, Khara Boondi, Khara Sev, Kidney Beans, Kodbale, Kodo/Kodon Millet, Krishna Tulsi Cut, Krishna Tulsi Dried, Krishna Tulsi Seed, Krishna Tulsi TBC, Lemon Juice, Lemon Leaves, Lemon Oil, Lemon Peel Dried, Lemon Peel Powder, Lemongrass Dried, Lemongrass Powder, Lime Leaves Dried, Lime Leaves Powder, Lime Oil, Lime Peel Dried, Liquorice Powder, Little Millet, Maida, Maize (Corn), Mango (Fresh), Mango Shred (Alphanso), Masala Boondi, Masala Peanut, Masoor Dal, Mentha Arvensis Oil, Mentha Piperita Cut, Mentha Piperita Oil, Mentha Piperita Powder, Mentha Piperita TBC, Mentha Piperita Whole, Mentha Spicta Cut, Mentha Spicta Oil, Mentha Spicta Powder, Mentha Spicta TBC, Mentha Spicta Whole, Menthol Crystal, Methi Leaf / Fenugreek Leaf, Methi Sticks, Milk Mix Powder, Millet Bisibele Bath, Millet Dosa Mix, Millet Khichdi, Moong Dal, Moong Dal Green, Moringa Leaves Dried, Moringa Leaves Powder, Multi Grain Flour, Multi Millet Biryani, Multi Millet Kheer, Musta, Mustard Oil, Neem Seed Oil, Nippat, Non-Basmati Rice, Noni Fruit Dried, Noni Fruit Powder, Nutmeg Mace Dried, Nutmeg Mace Powder, Nutmeg Whole Dried, Onion Flakes, Onion Paste, Onion Powder, Orange Peel Dried, Orange Peel Powder, Oregano Leaves Dried, Oregano TBC, Pad Thai, Palak Chakli, Panchratna Dal, Papaya Leaves Powder, Pav Bhaji Masala, Pearl Millet/Bajra, Peri Peri Chakli, Pineapple Pulp, Pippali Whole, Poha Mixture, Ponni Rice, Potatoes, Proso Millet, Psyllium Husk (Isobgul), Pulav Masala, Punarnava Root, Quinoa, Quinoa Flour, Quinoa TBC / Quinoa Powder, Ragi Dosa Mix, Ragi Flour, Ragi Idli Mix, Ragi Porridge, Ragi/Finger Millet Grain, Raisins/Kismis, Rama Tulsi Cut, Rama Tulsi Dried, Rama Tulsi Seed, Rama Tulsi TBC, Rasam Powder, Rava, Rava Idly(Mix) A, Rava Idly(Mix) B, Raw Honey, Raw Sugar, Red Curry Paste, Red Gram Whole, Red Poha, Red Rice, Rice Dosa Mix, Rice Dosa Mix –Gluten Free, Rice Flour, Rice Idli Mix, Rice Sonamasuri, Rice Vermicelli, Rice/Basmati Brown Rice, Roasted Bengalgram Dal, Roasted Channa, Robusta Coffee Beans Roasted, Saffron Powder, Saffron Whole, Sambar Powder, Sapota Dried, Sawan/Barnyard Millet, Sesame Oil, Sesame White, Shatavari Root Dried, Solanum Xanthocarpum (Kantakari), Sonamasoori Brown Rice, Sonamasuri Rice Brown, Soya Bean, Soyabean Flour, Spinach/Palak (Fresh), Star Anise, Stevia Leaves Dried, Stevia Powder, Sugar Powder, Suji/Semolina/ Cream Of Wheat, Sunflower Oil, Sunflower Seeds: Of Seed Quality, Sweet &amp; Salt Chiwda, Sweet Potato Flour, Sweet Potato Powder, Tamarind Extract, Tamarind Fruit Dried/Tamarind dry (Imli)/T.Indica, Tamarind Paste, Tamarind Powder, Tamarind Pulp, Tapioca, Tejpata Leaves Dried, Tejpatra Powder, Tom Yum Paste, Tomato Cut Pieces Dried, Tomato Sauce, Tomatoes (Fresh), Toor Dal, Triphala Powder, Triphala Whole, Turmeric Fresh, Turmeric Powder, Turmeric Slice Dried, Turmeric TBC, Turmeric Whole-Dried, Urad Dal, Urad Dal Flour, Urad Dal/Split Black Gram, Vana Tulsi Cut, Vana Tulsi Seed, Vana Tulsi TBC, Vangibath Powder, Vanilla Bean, Vanilla Powder, Vegetable Upma, Vidari, Wheat Flour, Wheat Vermicelli, White Pepper Powder, White Pepper Whole, White Poha, White Urad Dal Whole/Black Gram Whole White, Yellow Curry Paste, Yellow Mustard Dried, Yellow Mustard Powder</t>
  </si>
  <si>
    <t>Other: Macaroni and Cheese (4 Cheese Italian Macaroni &amp; Cheese ), Macaroni and Cheese (Ancient Grain Elbows &amp; White Cheddar), Macaroni and Cheese (Arthur Macaroni &amp; cheese), Macaroni and Cheese (Bacon Cheddar Macaroni &amp; Cheese), Macaroni and Cheese (Bunny Pasta &amp; Yummy Cheddar), Macaroni and Cheese (Cheddar Mac &amp; Cheese), Macaroni and Cheese (Cheddar Macaroni and Cheese Elbows), Macaroni and Cheese (Cheese Lovers Pasta - Wheat and Pea Pasta), Macaroni and Cheese (Classic Cheddar), Macaroni and Cheese (Classic Cheddar), Macaroni and Cheese (Creamy Deluxe Aged Cheddar), Macaroni and Cheese (Creamy Deluxe Cheddar), Macaroni and Cheese (Creamy Deluxe Four Cheese), Macaroni and Cheese (Creamy Deluxe White Cheddar), Macaroni and Cheese (Creamy Deluxe Whole Wheat &amp; Cheddar), Macaroni and Cheese (Deluxe Cheddar Shells &amp; Cheese), Macaroni and Cheese (Deluxe Cheese Sauce White Cheddar Shells &amp; Cheese ), Macaroni and Cheese (Deluxe Mild Cheddar),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(Deluxe Rich and Creamy Yummy Bunnies &amp; Cheddar), Macaroni and Cheese (Deluxe Sharp Cheddar), Macaroni and Cheese (Disney Mickey &amp; Friends (pasta &amp; cheddar)), Macaroni and Cheese (Disney Pasta &amp; Cheddar), Macaroni and Cheese (Disney Pasta &amp; Cheddar (Moana)), Macaroni and Cheese (Fall Harvest Shapes &amp; Cheddar), Macaroni and Cheese (Farm Friends &amp; Cheddar), Macaroni and Cheese (Farmer's Reserve Deluxe Guinness Mac 'n Cheese), Macaroni and Cheese (Farmer's Reserve Deluxe Mac 'n Cheese - Yellow Cheddar), Macaroni and Cheese (Farmer's Reserve Deluxe Mac 'n Cheese- Buffalo Cheddar), Macaroni and Cheese (Grass Fed Classic Mild Cheddar), Macaroni and Cheese (Grass Fed Shells &amp; Real Aged Cheddar), Macaroni and Cheese (Grass Fed Shells &amp; White Cheddar), Macaroni and Cheese (Guinness Caramelized Onion Macaroni &amp; Cheese), Macaroni and Cheese (Guinness Cracked Black Pepper), Macaroni and Cheese (Halloween Pasta &amp; Cheddar), Macaroni and Cheese (Llama Adventure Macaroni &amp; Cheese), Macaroni and Cheese (Macaroni &amp; Cheddar Cheese), Macaroni and Cheese (Macaroni &amp; Cheese), Macaroni and Cheese (Macaroni &amp; Cheese Reduced Sodium), Macaroni and Cheese (Macaroni &amp; Cheese with 20 Percent More Protein), Macaroni and Cheese (Marvel Spidey Pasta &amp; Cheddar), Macaroni and Cheese (Penne &amp; Four Cheese), Macaroni and Cheese (Pepper Jack  Macaroni &amp; Cheese), Macaroni and Cheese (Planet Pals &amp; Cheddar), Macaroni and Cheese (Puppies &amp; Kitties &amp; White Cheddar), Macaroni and Cheese (Seriously Sharp Shells &amp; Premium Aged Cabot Cheddar Macaroni &amp; Cheese), Macaroni and Cheese (Shells &amp; Real Aged Cheddar), Macaroni and Cheese (Shells &amp; Real Aged Cheddar), Macaroni and Cheese (Shells &amp; White Cheddar), Macaroni and Cheese (Shells &amp; White Cheddar),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(White Cheddar - Macaroni and Cheese Shells), Macaroni and Cheese (White Cheddar Mac &amp; Cheese), Macaroni and Cheese (White Cheddar Shells &amp; Cheese), Macaroni and Cheese (Whole Grain Shells &amp; Cheddar), Macaroni and Cheese (Yellow Cheddar Macaroni &amp; Cheese ), Macaroni and Cheese (Yummy Bunnies &amp; Cheddar), Pasta (Durum &amp; whole wheat blend pasta- various shapes), Pasta (Durum Blend Pasta - Various Shapes), Pasta (Durum hard wheat blend pasta- various shapes), Pasta (Macaroni w/Egg White), Pasta (Noodle with Egg White), Pasta (Semolina/Various Shapes), Pasta (Whole Wheat/Various Shapes), Pasta Meal (Alfredo Shells &amp; Cheddar), Pasta Meal (Bunny Tails with Butter &amp; Parmesan), Pasta Meal (Cheddar &amp; Herb Chicken Skillet), Pasta Meal (Cheeseburger Macaroni Skillet), Pasta Meal (Cheesy lasagna Skillet), Pasta Meal (Creamy Tuna Spirals Skillet), Pasta Meal (Curly Fettucine w/White Cheddar &amp; Broccoli Sauce), Pasta Meal (DW Whole Wheat Pasta &amp; Alfredo), Pasta Meal (Peace Pasta with Parmesan), Pasta Meal (Penne Pasta w/Alfredo Sauce), Pasta Meal (Rotini Pasta w/Three Cheese), Pasta Meal (Semolina and Yellow Pea Elbow Pasta &amp; Cheddar), Pasta Meal (Shells &amp; Cheddar with Taco Seasoning), Pasta Meal (Spirals with Butter &amp; Parmesan), Pasta Meal (Stroanoff Skillet)</t>
  </si>
  <si>
    <t>Trees/Whole Plant Products/Flowers: Alfalfa; Preservatives/Extracts/Flavors: Extracts (Corn starch), Extracts (Potato protein), Extracts (Potato starch), Extracts (Brown rice protein*), Extracts (Hydrolyzed rice protein*), Extracts (Pea protein*), Extracts (Rice protein*), Extracts (Wheat starch*), Extracts (Dextrose), Extracts (Molasses), Herbs (Flax seed), Herbs (Rapeseed*), Spices (Garlic*), Spices (Ginger*); Other Grains, Pastas and Cereals: Barley, Buckwheat, Buckwheat kernel, Corn grits*, Corn/Maize, Glutinous millet, Hulled millet*, Millet, Noodles (Beetroot millet noodles), Noodles (Beetroot rice noodles), Noodles (Black bean with green kernel millet noodles), Noodles (Black bean with green kernel rice noodles), Noodles (Black rice noodles), Noodles (Black soybean millet noodles), Noodles (Black soybean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(Rice and brown rice noodles), Noodles (Rice noodles), Noodles (Soybean millet noodles), Noodles (Soybean rice noodles), Noodles (Spinach millet noodles), Noodles (Spinach rice noodles), Noodles (Sweet potato millet noodles), Noodles (Sweet potato rice noodles), Oats (Oat kernel), Oats (Oats*), Pearl barley (Coix), Quinoa, Rice (Brown rice), Rice (Black rice flour), Rice (Paddy*), Rice (Red paddy*), Rice (Glutinous paddy*), Rice (Black paddy), Rice (Black rice*), Rice (Glutinous rice*), Rice (Red rice*), Rice (Rice*), Sorghum (Sorghum kernel*), Sorghum, Wheat (Wheat*); Oils &amp; Oleoresins: Oils (Corn germ oil), Oils (Sesame oil), Oils (Soybean oil), Oils (Sunflower oil), Oils (Hemp seed oil*), Oils (Peanut oil*), Oils (Rapeseed oil*), Oils (Rice bran oil*); Nuts/Seeds: Black sesame, Peanuts, Perilla seed*, Pine Nuts (Pinenut*), Pine Nuts (Pinenut kernels*), Safflowers seeds*, Sesame, Sunflower kernel, Sunflower seed*, Watermelon seeds*, White sesame; Fruits/Vegetables: Beans (Green soybeans with green kernels), Beans (Lentil), Beans (Mung bean), Beans (Pinto bean (Also called: Light red speckled bean)), Beans (Red kidney bean), Beans (Soybean), Beans (White kidney bean), Beans (Beet root*), Beans (Black soybean (also called:Black soybean with yellow kernel;Black soybeans with green kernel)), Beans (Hulled mung bean*), Beans (Soybean dehulled*), Berries (Goji berries*), Vegetables (Pumpkin seed grown without shell, Pumpkin seed shine skin kernel), Vegetables (Pumpkin seed grown without shell, Pumpkin seed shine skin kernel), Vegetables (Pumpkin seed grown without shell, Pumpkin seed shine skin kernel), Vegetables (Sweet potato*), Vegetables (Pea*), Vegetables (Potato*), Vegetables (Chickpea), Vegetables (Cowpea); Dry/Baking Goods: Flours and Meals (Brown rice flour), Flours and Meals (Buckwheat flour), Flours and Meals (Rice flour), Flours and Meals (Wheat flour), Flours and Meals (Glutinous rice flour*), Flours and Meals (Oat flour*), Flours and Meals (Sorghum flour*), Flours and Meals (Wheat gluten meal*), Sugar (Sugar beet granules), Sugar (White granulated sugar); Condiments and Sweeteners: Sweeteners (Maltodextrin), Syrups (Glucose syrup); Bread/Bakery/Snacks: Cereal Bars (Corn cob); Animal Feed: Livestock Feed (Corn gluten meal), Livestock Feed (Corn germ cake), Livestock Feed (Cracked corn), Livestock Feed (Flax cake), Livestock Feed (Flax meal), Livestock Feed (Mixed feed), Livestock Feed (Rice bran), Livestock Feed (Rice bran cake), Livestock Feed (Rice bran meal), Livestock Feed (Sesame cake), Livestock Feed (Sesame meal), Livestock Feed (Soybean cake), Livestock Feed (Soybean Hulls (Soybean Skin)), Livestock Feed (Soybean meal), Livestock Feed (Squashed corn), Livestock Feed (Sunflower cake), Livestock Feed (Sunflower meal), Livestock Feed (Wheat bran), Livestock Feed (Rapeseed cake (Also called: Canola seed cake)*), Livestock Feed (Rapeseed meal (Also called: Canola seed meal)*), Livestock Feed (Sunflower seed cake*), Livestock Feed (Sunflower seed meal*), Livestock Feed (Dried distillers' grain (Also called: Distiller's dried grain with solubles; DDGS)); Alcohol: Alcohol*; Other: Hemp seed meal*, Hemp seed*, Hulled hemp seed*</t>
  </si>
  <si>
    <t>Other Grains, Pastas and Cereals: Rice, Rice (Brown rice), Rice (Black rice), Rice (Glutinous rice), Rice (Germinated rice); Animal Feed: Broken rice, Rice bran, Rice husk</t>
  </si>
  <si>
    <t>Preservatives/Extracts/Flavors: Extracts (Wheat starch); Other Grains, Pastas and Cereals: Noodles (Wheat noodle (Chinese type)); Dry/Baking Goods: Flours and Meals (Wheat flour), Flours and Meals (Wheat gluten meal); Animal Feed: Livestock Feed (Wheat bran)</t>
  </si>
  <si>
    <t>Other Grains, Pastas and Cereals: Rice (Black Cargo Rice and Paddy, By Products (broken rice, rice bran, color defected rice), Hommali White/Brown Rice and Paddy, Red Cargo Rice and Paddy)</t>
  </si>
  <si>
    <t>Trees/Whole Plant Products/Flowers: Essential Oils (Essential oils (Immortal, Tansy, Bitter orange blossom (Neroli), Bitter orange leaf (petit grain), Rose Centifolia &amp;
Damascena, Wild Chamomile, Roman Chamomile, Inula, Rosemary, Verbena, Green &amp; Red Myrtle, Mimosa, Mint,
,Thyme, mastic, cistus).)</t>
  </si>
  <si>
    <t>Other: Barley (Purple), Beans (Dry Beans (Anasazi, Black Turtle, Calypso, Hutterite, Nightfall, Vermont Cranberry, Zuni Gold)), Corn Flour (Blue), Cornmeal (Floriani), Wheat Berries (Iraqi Durum), Wheat Flour (Whole Wheat Flour), Wheat Flour (Whole Wheat Flour - Senator Cappelli)</t>
  </si>
  <si>
    <t>Other Grains, Pastas and Cereals: Seeds (Milled Grains or Seeds: Ground Flax Seeds); Fruits/Vegetables: Dehydrated Foods (Dried: Baked Crunchy Cinnamon Apple Chips), Dehydrated Foods (Dried: Baked Crunchy Crispy Reds Apple Chips)</t>
  </si>
  <si>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</si>
  <si>
    <t>Processed  Items: Apricot kernels, Sesame seed, Sesame Seeds Hulled, Sesame seeds natural; Other Grains, Pastas and Cereals: Rice (Sushi Rice Brown), Rice (Sushi Rice Parboiled), Rice (Sushi Rice White), Rice (Rice basmati brown), Rice (Rice Basmati parboiled), Rice (Rice Basmati white), Rice (Rice long grain broken brown), Rice (Rice long grain broken white), Rice (Rice long grain brown), Rice (Rice long grain parboiled), Rice (Rice long grain white), Rice (Round rice brown (swati)), Rice (Round rice parboiled (swati)), Rice (Round rice white (swati)), Rice (Hunza Rice Brown), Rice (Hunza Rice Parboiled), Rice (Hunza Rice White), Rice (Japonica Rice Brown), Rice (Japonica Rice Parboiled), Rice (Japonica Rice White); Nuts/Seeds: Almonds (Almond), Pine Nuts (Pine nut), Walnuts (Walnut); Fruits/Vegetables: Apple, Apricots, Black raisins, Cherries, Figs, Green raisins, Mulberry, Peach; Other: Paddy (basmati), Paddy (long grain), Paddy (Round grain), Swati Paddy (Hunza Paddy), Swati Paddy (Japonica Paddy), Swati Paddy (Sushi Paddy)</t>
  </si>
  <si>
    <t>Other Grains, Pastas and Cereals: Rice (Wholegrain rice)</t>
  </si>
  <si>
    <t>Other Grains, Pastas and Cereals: Rice (By products (Broken rice, rice bran), Chainat Rice (White and Brown), Hommali rice (white and brown) , Local rice (white and brown) , RD15 rice (white and brown), Sticky rice (white and brown))</t>
  </si>
  <si>
    <t>Other Grains, Pastas and Cereals: Rice (Broken rice, Rice bran, Surin Hommali Brown Rice, Surin Hommali White Rice)</t>
  </si>
  <si>
    <t>Other: Barley (Streaker), Beans (Bell), Beans (Black Turtle (nonretail Cafe Yumm)), Beans (Dark Red Kidney), Beans (Dried), Beans (Garbanzo), Beans (Pinto), Beans (Small Red), Black Beans ((Nonretail)), Cleaning (Client Profile Products only) (for Seeds, Pulses, Beans, and Grain), Corn (Blue Corn), Corn (Blue Popcorn), Corn (Flint ), Corn (Multicolor Popcorn (Mix of Red, Blue, White, and Yellow Popcorn)), Corn (Mushroom popcorn), Corn (Popcorn), Corn (Red Popcorn), Corn (White Popcorn), Corn (whole dried white corn), Corn (Yellow), Corn (Yellow Popcorn), Flax (Flax Seed), Fumigation (Client Profile Products only) (CO2 fumigation), Grains (Grain Screenings), Grains (Sorghum), Grains (Teff), Green Lentils, Lentils (Large Green), Lentils (Red), Oats (Seed, Montezuma), Rice (White, Red), Safflower, Split Peas (Green), Split Peas (Yellow), Sunflower Seed, Triticale (food grade, and seed), Vetch (Seed - Harry Vetch, Common), Vetch (Seed - Purple ), Wheat, Wheat (Red Hard Wheat)</t>
  </si>
  <si>
    <t>Other: Bagging (Client Profile Products only) (White and Brown Rice), Olive Oil (Extra Virgin Olive Oil), Olive Oil (Extra Virgin Olive Oil - Arbequina Elixir ), Olive Oil (Extra Virgin Olive Oil - Koroneiki Elixir), Olive Oil (Extra Virgin Olive Oil (non-retail)), Olive Oil (Extra Virgin; Koroneiki, Arbosana, Arbequina), Packaging (Client Profile Products only) (White and Brown Rice Repackaging), Processing (Client Profile Products only) (White and Brown Rice), Rice (Golden Rose Medium Grain (Non-retail)), Rice (Long Grain (Non-retail)), Rice (Premium Short Grain (Non-retail)), Rice (Short Grain Brown), Rice (Sweet Grain (Non-retail)), Rice (Sweet Grain, Golden Rose Medium Grain, Premium Short Grain), Rice Bran (Golden Rose Medium, Long, Premium Short, Sweet (Non-retail)), Rice Flour (Golden Rose Medium, Long, Premium Short, Sweet Rice, Brown &amp; White (Non-retail)), Rice Hulls (Golden Rose Medium, Long, Premium Short, Sweet (Non-retail)), Vinegar (Balsamic) (Traditional Balsamic Vinegar)</t>
  </si>
  <si>
    <t>Other Grains, Pastas and Cereals: Soybeans, Yellow corn</t>
  </si>
  <si>
    <t>Processed  Items: Cereal (Amaranth, Amaranth (Kiwicha) Flour, Amaranth Flakes, Amaranth pop, Bicolor quinoa flour, Black quinoa powder, Black rice powder, Black sesame meal, Buckwheat flour, Buckwheat groats, Buckwheat hulled, Buckwheat hulled grits, Buckwheat husk, Buckwheat kernel, Buckwheat shell, Canihua flakes, Chia seed powder, Corn flour, Corn germ cake, Corn gluten meal, Corn mix pellet 2, Corn mix powder, Corn pellet, Corn skin, Craked corn, DDGS (distillers dried gains with soulubles), Dehydrated precooked red quinoa, Dehydrated precooked white quinoa, Dyhydrated quinoa flour, Extruded quinoa natural flavor, Extruded quinoa with chocolate coating, Gelatinized quinoa powder, Germinated quinoa, Germinated quinoa flour, Glutinous Millet, Green Soybean (with green kernels), Hulled adzuki beans, Hulled black rice, Hulled black soybean with green kernel, Hulled Glutinous millet powder (flour), Hulled glutinous rice, Hulled sorghum, Instant quinoa flakes with cocoa and kiwicha, Maize (corn) powder (flour), Millet bran, Millet flour, Millet hulled / dehulled millet, Millet powder (flour), Millet unhulled, Oat Flour, Oat kernel, Pearly quinoa, Precooked amaranth, Pre-cooked amaranth flake, Pre-cooked quinoa dehydrated, Precooked Quinoa flakes, Pre-cooked toasted quinoa, Puffed corn, Pumpkin seeds, Q’Flakes, Qanihua flakes, Quinoa bicolor flakes, Quinoa bicolor flour, Quinoa fiber, Quinoa flake, Quinoa Flour, Quinoa light, Quinoa pancakes, Quinoa pearled, Quinoa pop, Quinoa pop with chocolate / Puka pop with chocolate, Quinoa pop with chocolate coverage, Quinoa pre-cooked dehydrated, Quinoa pre-cooked flake, Quinoa pre-cooked roasted, Quinoa roasted, Quinoa sprout, Quinoa sprout powder, Red quinoa flake, Red quinoa grains, Red quinoa pre-cooked dehydrated, Rice bran meal, Rice grits, Roasted buckwheat hulled, Roasted corn, Roasted maize (corn), Roasted sesame, Rolled / crushed corn / corn flake, Sorghum , Sorghum flour, Sorghum meal, Sorghum powder, Toasted quinoa, Tricolor quinoa grains, Wheat gluten, Wheat Grass Powder, White quinoa flake, White quinoa powder, White quinoa pre-cooked dehydrated), Coconut meat, Coconut water, Crude sunflower seed lecithin, Dried Maca, Gelatinized maca powder, Golden Berry, Hemp protein powder, Honey fungus (Armillaria mellea) - dried, Hulled sesame, Hulled watermelon seed, Lime, Maca chips, Maca dried, Maca powder geleatinized, Pea protein, Phellinus pini dried, Pickled Garlic, Pickled Ginger, Puffed soybean/Extruded soybean, Rice bran, Rice Protein powder, Roasted buckwheat kernel, Roasted pumpkin kernels, Roasted pumpkin seeds, Roasted sunflower kernels, Steamed banana ready to eat, Toasted black chia seeds, Toasted chia , Toasted white chia seeds, Concentrates (Tomato concentrate), Dehydrated Foods (Ad Broccoli (diced’ powder), AD Carrot flakes (sliced/flake/chopped/granule/diced), AD Garlic Pieces (chopped (minced)/powder), Ad Garlic roasted, minced, AD Ginger root (sliced,chopped (minced)), AD Kale chopped, AD Onion chopped, Ad Pumpkin diced, AD Spinach chopped, AD Sweet potato diced, Agrocybe aegerila dried, Cantharellus cibarius / chanterelle (whole, granules), Chaga dried, Chilli flakes, Coprinus comatus , Cordyceps militaris dried, Cordyceps sinensis dried, Crisp eggplant, Dehydrated carrot, Dehydrated leel, Dehydrated potato, Dried Agaricus bisporus / champignons mushrooms (powder, sliced, granules), Dried Auricularia/black fungus (whole, sliced, granules, cubes), Dried Boletusedulis / porcini (powder, sliced, granules), Dried Boletusedulis / porcini (sliced, granules), Dried Grifola frondose / maitake (whole, sliced, granules), Dried Hericium erinaceus / lion’s mane (whole, sliced), Dried Lentinusedodes / shitake (whole, sliced, granules, stem), Dried Morchellaconica / morel (whole, granules), Dried Tuber indicum / black truffle (slices, granules), Dry edamame, Fresh Boletusedulis / porcini (powder, sliced, granules), Ganoderma applanatum dried, Ginger flour, Goji Berry (dried), Legume fruits edmame, Legume fruits green bean, Maitake dried, Meshima dried, Mixed legums, Oat bran, Oyster mushroom dried, Pleurotus eryngii dried, Poria cocos dried, Pyropolyporus fomentarius dried, Roasted edamame, Steamed beetroot ready to eat, Steamed butternut ready to eat, Steamed carrot ready to eat, Steamed Japanese pumpkin ready to eat, Steamed orange sweet potato ready to eat, Steamed purple sweet potato ready to eat, Steamed sweet corn ready to eat, Sticky vacuum carrot ready to eat, Suillus granulatus / bolete (slices, granules), Trametes versicolor / turkey tails (whole, granules), Trametes versicolor coriolus versicolor (turkey tails), Tremella fuciformis dried, Tuber Indicum (Black Truffle) , White Radish (dehydrated/AD White Radish/Slice/Flake/Chopped/Granule, Diced)), Purees (Apricot puree concentrate); Preservatives/Extracts/Flavors: Extracts (Agarikon extract, Agrocybe aegerila extract, Chaga extract, Cordyceps militaris extract, Coriolus versicolor (mycelium extract), Ganoderma applanatum extract, Lion’s mane extract, Maitake extract, Meshima extract, Organic eight mushroom blend extract, Oyster mushroom extract, Phellinus pini extract, Pleurotus eryngii extract, Poria cocos extract, Pyropolyporus fomentarius extract, Reishi spore oil, Tremella fuciformis extract); Other Grains, Pastas and Cereals: Barley (Barley, Barley (Pearl Barley), Winter Barley), Cereal (Canihua, Coix, Coix seed, Corn, Corn chop, Corn cob, Green Amaranth, Maize (corn), Millet, Millet Husk, Red Amaranth, Sweet corn, Young corn / Babycorn), Oats (Oat), Quinoa (Bicolor quinoa flake, Black Quinoa grains, Quinoa, Quinoa API, Quinoa bicolor, Quinoa easy, Quinoa Mix, Red quinoa powder, White quinoa grain, Yellow quinoa grains), Rice (Black rice , Broken glutinous rice, Broken rice, Brown rice, Brown rice flour, Glutinous rice, Glutinous rice grits, Hulled rice, Non-glutinous rice, Rice), Wheat (Buckwheat, Buckwheat unhulled / Buckwheat whole, Wheat, Wheat bran); Oils &amp; Oleoresins: Oils (Flax oil, Hemp oil, Hemp oil (crude), Maize (corn) oil, Pumpkin oil, Sacha Inchi Oil, Sesame oil, Soybean oil , Sunflower oil); Nuts/Seeds: Coconut, Fresh coconut, Nuts (Nibs of roasted cocoa), Peanuts (Blanched peanuts, Peanut shell , Peanut kernels , Pine nut kernels, Steamed mixed grains ready to eat (adzuki beans / sweet corn / millel / white beans / black beans / red beans / chick pea)), Pine Nuts (Pine nut), Seeds (Chia seeds/ Black chia, Cracked sunflower kernel, Flaxseed, Golden flax seeds, Hemp seed, Hemp seed hulled, Linseed , Pumpkin Kernel GWS/ Pumpkin seed grown without shell, Pumpkin seed Kernel, Pumpkin seed shine skin (also called : Pumpkin seed SS), Pumpkin seed snow white, Pumpkin seed SS (also called : Pumpkin seed shine skin), Rape seed, Rape seed cake, Rape seeds/Canola seeds, Sunflower kernels, Sunflower meal, Sunflower seed); Health Products: Herbs (Agarikon dried, Alfalfa seeds, Apricot kernel, Banana blossom , Buckwheat sprouts, Chilli, Chilli/ Bird chilli, Coriander, Evening primrose seeds, Galangal, Ginger , Herb (fritilary), Holy basil, Lemongrass , Mint, Perilla, Perilla seed, Semen cassiae, Sunflower shell, Sweet basil, Sweet Pepper, Tamarind, Watermelon seed, White mugwort); Fruits/Vegetables: Ad eddo slices, diced, Banana , Cacao grain / beans, Dragon fruit, Fred red dragon, Fresh bananas, Fresh Eddo, Fresh Mango , Grapes , Maca fresh, Mango, Papaya, Passion fruit, Peruvian Ginseng, Pomegranate , Potato fresh, Purple sweet corn, Sweet Potato, Taro, Watermelon, Beans (Green Bean), Berries (Fresh Elderberry , Goji berry , Pea eggplant), Citrus (Leech lime/ Kaffir lime, Pomelo), Dehydrated Foods (Ad Potato diced, Apricot, Banana bud, Dehydrated banana slices, Dehydrated goldenberry, Dehydrated pineapple, Dry Organic Kaffir lime leaves, Jujube dried, Kaffir Lime (Fresh and dried Leaf), Madan (Garcinia schomburgkiana), Raisin), Powders (AD Carrot flakes powder, AD Chili powder, Ad Eddo powder, AD Ginger root powder, AD Kale powder, AD Onion powder, Ad Potato powder, AD Pumpkin powder, AD Spinach powder, AD Sweet potato powder, AD Tomato (sliced, powder), Agaricus blazei murill powder, Agarikon powder, Agrocybe aegerila powder, Alfalfa grass powder, Armillaria mellea (dried, powder), Auricularia / black fungus powder, Barley grass powder, Black Quinoa Flakes, Boletusedulis / porcini powder, Broccoli, Buckwheat grass powder, Camu Camu (whole fruit powder), Cantharellus cibarius / chanterelle powder, Chaga powder, Chickpea powder, Chilli powder, Cordyceps militaris powder, Cordyceps sinesis powder, Coriolus versicolor (mycelium powder), Flax seed powder (flour), Ganoderma applanatum powder, Ganoderma lucidum (mycelin powder), Ginger powder , Goji berries powder, Grifola frondose / maitake powder, Hericium erinaceus / lion’s mane powder, Kale powder, Lentinusedodes / shitake powder, Lucuma powder, Maca powder , Maitake powder, Morchellaconica / morel powder, Mushroom coffee extract powder, Mushroom coffee powder, Oat grass powder, Organic eight mushroom blend powder, Oyster mushroom powder, Phellinus pini powder, Pleurotus eryngii powder, Poria cocos powder, Potato powder, Pumpkin powder (flour), Purple corn dried powder, Pyropolyporus fomentarius powder, Reshi spore powder (shell broken or not shell broken), Sacha inchi powder, Suillus granulatus / bolete powder, Trametes versicolor / turkey tails powder, Tremella fuciformis powder, Tuber indicum / black truffle powder, White radish powder, Yacon powder), Vegetables (Angled loofah, Asparagus , Baby carrot, Baby cos salad, Beet, Beet root fresh, Bitter gourd, Broccoli fresh, Cabbage, Carrot , Cauliflower , Celery , Cherry tomato, Chinese cabbage , Cos salad, Cucumber , Curly kale, Daikon, Dinosaur kale, Edamame, Eggplant, Fresh carrot, Fresh peeled garlic, Fresh Pumpkin, Frillice iceberg, Frozen garlic pure, Garlic, Green oak / Green oak salad, Heart cabbage, Iceberg, IQF Broccoli, IQF Carrot (Diced, Slice, Strip), IQF chilli (cut/diced/puree), IQF Corn , IQF edamame , IQF ginger diced, IQF Green bean (cut, whole), IQF Kale, IQF Onion diced, IQF Organic Garlic Diced, IQF Peeled garlic, IQF Pumpkin Diced, IQF Spinach (Chopped, Cut), IQF Sweet potato diced, Japanese cucumber, Kailan, Kale , Lettuce, Long cucumber, Michilli cabbage, Okra, Onion , Pakchoi, Physalis fresh, Pumpkin, Purple Eggplant , Red coral lettuce, Red oak / Red oak salad, Rocket salad, Scarlet kale, Spinach, Squash, Tomato, Water morning glory, Wax gourd, White radish (Daikon), Zucchini); Dry/Baking Goods: Flours and Meals (Banana flour, Camu Camu flour, Eldelflower flour, Glutinous rice flour, Mung Bean powder (Flour), Pea starch, Rice Flour, Rice powder (flour), Rice starch, Wheat Flour, Wheat powder (flour), Wheat Starch); Chocolate Goods: Cacao beans roasted, Cacao nibs, Cacao powder , Cocoa grains, Cocoa powder; Beverage Related Products: Juice (Goji berry juice, Grape juice concentrated, Pomegranate juice concentrated, Yacon syrup / yacon concentrate juice); Animal Feed: Livestock Feed (Alfalfa grass, Animal feedstuff, Beet pulp pellet, Blended feed, Blended feed, pellets, Morning glory, Pellet feed stuff 2, Pellet feed stuff 3, Pellet feed stuff 4, Pellet feed stuff 5 or Pumpkin seed meal pellet, Pellet feed stuff or Soymeal pellet, Premix 2WB, Premix 3WB, Premix feedstuff, Premix feedstuff 2, Premix feedstuff 3, Premix feedstuff 4, Premix feedstuff 5, Puffed (Extrused / Expanded) Soybean, Puffed (Extrused / Expanded) Soybean meal, Soybean meal feed stuff, Soymeal pellet, Wheat pellet); Alcohol: Alcohol; Other: Agaricus bisporus / champignons mushrooms (sliced, granules), Auricularia / black fungus (whole, sliced, cubes), Beet pulp, Black soybean cake/meal/oilcake, Boletusedulis / porcini sliced, Cantharellus cibarius / chanterelle (whole), Cha-om (Acacia pennata L.), Cowpea meal, Flax (seed) powder (flour), Flax cake / Cake meal / Oilcake, Flax seed cake, Flax seeds meal, Flaxseed meal, Fresh Grifola frondose / maitake (whole, sliced), Fresh Hericium erinaceus / lion’s mane (whole, sliced), Fresh Suillus granulatus / bolete (slices), Fresh Tuber indicum / black truffle (slices), Hemp (seed) cake, Hemp Cake, Hemp flour, Hemp meal, Lentinusedodes / shitake (whole, sliced, stem), Morchella conica (Morel), Oyster Mushroom, Peanut cake (meal), Peanut cake/meal/oilcake, Peanut meal, Pumpkin (seed) cake (meal), Rape (seed) cake (meal), Reishi (Ganoderma lucidum), Sesame cake/ meal/oilcake, Shitake (Lentinula edodose), Shuillus granulatus (bolete), Soybean cake/meal/oilcake, Soybean hulled, Soybean hulls, Soybean husk, Soybean meal / defatted soybean meal, Soybean oil cake, White sesame meal, Beans (Adzuki Bean Meal, Adzuki bean powder (flour), Adzuki Beans, Black bean powder (flour), Black eye beans, Black Kidney beans, Black kidney beans powder (flour), Black Soya bean , Black soybean with green kernel, Black soybean with green kernel powder (flour), Borlotti (speckled kidney bean), Chickpea, Corn Starch, Cowpea powder (flour), Cowpeas, craked soybean, Crude soy lecithin, Green Soybean, Green soybean with green kernel meal, Hulled lentil beans, Hulled munbeans, Hulled soybean, Lentil, Ma Kok Nam (Elaeocarpus hygrophilus), Mung bean , Mung bean Hulled, Mung Bean Husk, Mung bean meal, Pea, Peanut, Pinto bean powder (flour), Pumpkin (seed) cake (meal) pellet, Red Kidney Bean, Red kidney bean (also called : Dark red kidney bean), Red kidney bean meal, Red kidney bean powder (flour), Rose Apple, Soybean, Soybean black with green kernels, White kidney bean, White kidney bean meal, Yard long bean), Seeds (Black chia, Black Sesame, Chia, Sesame, White chia)</t>
  </si>
  <si>
    <t>Other Grains, Pastas and Cereals: Rice</t>
  </si>
  <si>
    <t>Other: Bran Flakes Cereal, Cinnamon Squares Cereal, Cocoa Dots Cereal, Crispy Cinnamon Crunch Cereal, Crunchy Cinnamon Squares Cereal, Frosted Corn Flakes Cereal, Frosted Flakes Cereal, Frosty Flakes Cereal, Golden Flakes &amp; Oat Clusters Cereal, Honey &amp; Oats Medley Cereal, Honey Crunch 'n Oats Cereal, Multigrain Squares Unfortified Cereal, Raisin Bran Cereal, Sugar Coated Corn Dots Cereal, Wheat Squares Cereal, Wheat Waffles Cereal, Whole Grain Bran Plus Cereal, Whole Grain Cinnamon Crunch Cereal, Whole Grain Raisin Bran Cereal, Whole Grain Wheat Squares Cereal</t>
  </si>
  <si>
    <t>Other: Custom Grain Cleaning, Extruded Soybean Meal, Bulk, Pfeiffer Wheat, General Purpose Flour 2lbs, 5lbs, 10lbs, 25lbs, 50lbs, Pfeiffer Wheat, Whole Wheat Flour 2lbs, 5lbs, 10lbs, 25lbs, 50lbs, Pfeiffer Wheat, Whole Wheat Flour Extra Fine 2lbs, 5lbs, 10lbs, 25lbs, 50lbs, Seed - Rye, Bulk</t>
  </si>
  <si>
    <t>Other Grains, Pastas and Cereals: Wheat (Einkorn, Khorasan); Nuts/Seeds: Vegetables (Seeds: Arugula, Basil, Corn, Kale, Lettuce, Tomato, Wheatgrass, Zucchini)</t>
  </si>
  <si>
    <t>Other: Almond Hulls, Almonds (Hulled and Shelled), Grains (Wheat, Barley, Safflower), Oats, Olive Oil (Basil Crush (Bulk/Non-retail)), Olive Oil (Clementine Crush (Bulk/Non-retail)), Olive Oil (Eureka Lemon Crush (Bulk/Non-retail)), Olive Oil (Extra Virgin Olive Oil (Bulk/Non-retail)), Olive Oil (Fresno Chili Crush (Bulk/Non-retail)), Olive Oil (Olive Oil Sediment (Bulk/Non-retail)), Olive Oil Processing (Client Profile Products only) (Mill, Press), Olives (Olive Pomace (Bulk/Non-retail)), Storage (Almond Storage, Cold Storage)</t>
  </si>
  <si>
    <t>Other Grains, Pastas and Cereals: CANOLA SEED, CORN, SUNFLOWER, Wheat; Fruits/Vegetables: Beans (SOYBEAN); Dry/Baking Goods: Flours and Meals (SOY MEAL)</t>
  </si>
  <si>
    <t>Other Grains, Pastas and Cereals: Screenings; Other: Grain Distribution, Mobile Grain Cleaning, Packaging of Organic Products, Warehousing of Organic Products</t>
  </si>
  <si>
    <t>Baby Food: Baby Food (100% Veggie Blend), Baby Food (Applesauce with Maqui Berry), Baby Food (Banana), Baby Food (Black Beans &amp; Sweet Corn), Baby Food (Oats n' Berries), Baby Food (Oats, Mango n' Strawberries Ancient Grain Cereal), Baby Food (Potato Kale Mash), Baby Food (Pumpkin &amp; Pear), Baby Food (Sweet Potato Raspberry), Baby Food (Tropical Mango); Other: Algae (Blue Green Algae- Aphanizomenen Flos-Aquae Brain ON), Beverage (Brain Wash), Beverage Powder (Alkalize Detoxifying Greens Powder), Beverage Powder (Cacao Boost), Beverage Powder (Cacao Calm), Beverage Powder (Chai Latte), Beverage Powder (Coffee Latte), Beverage Powder (Elixir - Boost), Beverage Powder (Elixir - Calm), Beverage Powder (Elixir - Focus), Beverage Powder (Elixir - Gut Health), Beverage Powder (Focus Coffee Latte - Vanilla), Beverage Powder (Golden Latte), Beverage Powder (Hydration Mix - Chocolate), Beverage Powder (Hydration Mix - Citrus), Beverage Powder (Hydration Mix - Mixed Berry), Beverage Powder (Instant Coffee - Achieve), Beverage Powder (Instant Coffee - Calm), Beverage Powder (Instant Coffee - Focus), Beverage Powder (Instant Coffee - Gut Health), Beverage Powder (Instant Coffee - Shield), Beverage Powder (Juice Cleanse Variety Pack), Beverage Powder (Matcha Latte), Beverage Powder (Pineapple Chia Cleanse), Beverage Powder (Pressed Greens), Beverage Powder (Revive Beets &amp; Roots), Beverage Powder (Vegan Vanilla Proteini), Chia (Chia Seeds), Powder (PBfit Peanut Butter Powder - Regular), Seeds (Super Seeds), Spice Blends (Secret Sauce Peanut Curry), Spirulina (Blue Majik), Tea (Calm Herbal Tea with Reishi Mushroom), Tea (Chaga Energy Elixir Tea Crystals), Tea (Chai Tea Crystals), Tea (Cinnamon Fasting Tea Crystals), Tea (Electric Turmeric 2 Tea Crystals), Tea (Ginger Fasting Tea Crystals), Tea (Happy Gut Herbal Tea with Probiotics &amp; Turkey Tail), Tea (Holi Hoji Hojicha Tea Crystals), Tea (La Ginger Tea Crystals), Tea (Matcha Fasting Tea Crystals), Tea (Mood Herbal Tea with Reishi Mushroom), Tea (Nandaka Tea Crystals), Tea (Protect Herbal Tea with Chaga Mushroom), Tea (Reishi Calm Elixir Tea Crystals), Tea (Sun Goddess Matcha Tea Crystals), Tea (Think Black Tea with Lion's Mane Mushroom)</t>
  </si>
  <si>
    <t>Other: Cambodia Organic black sesame, Cambodia Organic broken brown jasmine rice, Cambodia Organic broken white jasmine rice, Cambodia Organic brown jasmine rice long grain, Cambodia Organic Red Jasmine Paddy, Cambodia Organic red jasmine rice long grain, Cambodia Organic Shelled peanut, Cambodia Organic white jasmine rice long grain, Cambodia Organic white sesame</t>
  </si>
  <si>
    <t>Other: 3 Minute Meal Coconut Chickpea Turmeric Curry (10 oz) + Basmati Rice (8.8 oz 6 ct), Ancient Grains (8.8 oz 6 pk), Basmati Rice (8.8 oz 12 pk), Basmati Rice (8.8 oz 6 ct), Basmati Rice Family Size (16 oz 6 pk), Brown Rice (8.8 oz 12 pk), Brown Rice Lentil (8.8 oz 6 pk), Channa Masala (10 oz 6 pk), Channa Masala (10 oz 8 ct), Chickpea Tikka Masala (10 oz 6 ct), Chickpea Tikka Masala (10 oz 6 pk), Coconut Chickpea &amp; Turmeric Curry (10 oz 6 pk), Coconut Rice (8.8 oz 6 pk), Coconut Squash Dal (10 oz 6 pk), Coconut Squash Dal (10 oz 8 ct), Garlic Brown Rice (8.8 oz 6 pk), Jasmine Rice (8.8 oz 12 pk), Long Grain Rice (8.8 oz 6 pk), Madras Lentils - 3 Bean (10 oz 6 pk), Madras Lentils - Hot &amp; Spicy /10 oz 6 pk), Madras Lentils (10 oz 6 pk), Madras Lentils (10 oz 8 ct), Madras Lentils Family Size (17.7 oz 6 pk), Split Pea &amp; Turmeric Curry (10 oz 6 pk), Sticky Rice (8.8 oz 6 pk), Sweet Potato Korma (10 oz 6 pk), Tandoori Rice (8.8 oz 6 pk), Thai Lime Rice (8.8 oz 6 ct), Thai Lime Rice (8.8 oz 6 pk), Turmeric Rice (8.8 oz 6 pk), Turmeric Rice (8.8 oz 8 ct)</t>
  </si>
  <si>
    <t>Other: #Private label handling of feed and mineral mixes. Receiving, mixing, rolling, bagging, pelleting, drying, crumbling, grain bank storage, and delivering organic grains and custom feed blends, Custom Feed Blends (for individual producers, using organic agricultural and approved nonagricultural ingredients)., Dairy Feed Blends: “O” BioBaby Mixer Pellet, “O” BioBaby Calf Starter, “O” BioBaby Base Pellet, Dairy Feed Blends: Bluff Country Organic Calf 16, Bluff Country Organic Calf 18 Farm, Bluff Country Organic Developer 28, Dairy Feed Blends: Brood Cow 7.0, Brood Cow Hi Mag,14% Dairy, 16% Calf Starter, 18% Calf Pellet, 18% Calf Starter, 26% Calf Grow Pellet, Dairy 35%, 35% Calf Pellet, 16% Calf LOL;, Dairy Feed Blends: McNess Org 18 Calf Pellet, Feed Blends: 18% Rabbit Pellet, 20% Lamb Starter, 16% Goat Ration, 14% No Soy Goat Ration, 16% Hog, RCS Dry Goat Pellet, RCS Kid 18 St/Gr Pellet w/ Farmatan, Organic Cattle Grower Pellet, Organic 21 Goat Creep Pellet, RCS Goat Concentrate 32%., Feed Blends: ST Biologicals 36% Dairy Calf Conc, Hill High Dry Cow Pellet MP, McNess Org 18 Calf, McNess Org 34 Conc Pellets, McNess Org Goat Lac Pllt;, Mineral Blends (with Organic Ingredients): Ag Partners Organic Goat Mineral, Fertrell Aloe Pellets, Apex Mixer Pellet, Premium 2:1 Mineral, Premium 1:1 Mineral, Dairy Supreme 1:1, HiCal Supreme 2:1, Dry Cow Supreme Premix, RCS Goat Mineral, Sheep Mineral, Dairy Micro Premix, Fine Feathered Premix, Sow Premix, Free Choice Mineral, Dairy Micro Premix 2X, Hog Grow/Finish Premix, Poultry Builder, Poultry Builder NMTH, RCS Goat 24 Blend Pellet, 13862 McNess Org Heifer Mineral Non-Lactating Dairy Cattle, 13861 McNess Org Dry Cow Min Non-Lactating Dairy Cattle, Hi Cal w/Agolin Lactating Dairy, Dry Cow w/Agolin;, Mineral Blends (with Organic Ingredients): Aloe Pellets, 901710 Clean Start Pellet, 13235 Equi Clean PelletClean Start Pellet Herbal Digestive Cleanse, Mineral Blends (with organic Ingredients): Dairy 1.5:1 Mineral, Dairy 3:1 Mineral, Dry Cow Mineral, Klaphake Custom Mineral, Schneider Dry Cow Mineral, Schneider Lactation Mineral, Schneider Summer Lactation Mineral, Mineral Blends (with Organic Ingredients): Essential Solutions Green 1:1, Essential Solutions Yellow 2:1, Mineral Blends (with Organic Ingredients): 'O' AF Goat Conc 30 P, 'O' AF Calf Conc 30 P;, Poultry Feed Blends: 14% Layer, 16% Layer, 16% Whole Grain Layer, 16% No Soy Layer, 16% Layer Pellets, 18% Layer,18% Layer Pellet, 18% No Soy Layer, 18% No Soy Layer Pellets, 19% Fine Finish, 21% Start N Grow, 24% Turkey Grower, 16% Chick Grower, 19% Chick Starter, Hartwig Org. Layer Base, Hartwig Org. Pullet Base, Scratch Grain, Willy Street 16% No Soy Layer;, Poultry Feed Blends: Family Flock Organic Layer, Family Flock Organic Broiler, Swift Start Calf Pellets OA, Swift Start Organic 16% Calf Grower, Swift Start Organic 18% Calf Starter., Single-ingredient products: alfalfa pellets, alfalfa meal, barley, corn, corn rolled, flax meal, flax seed, molasses, oats, peas, soybean meal, soybeans roasted, soy oil, wheat, wheat midds, wheat midds pellets.</t>
  </si>
  <si>
    <t>Trees/Whole Plant Products/Flowers: Seeds (Black Sesame Seeds), Seeds (Brown Flax Seeds), Seeds (Hemp Seeds), Seeds (Pumpkin Seeds), Seeds (Sunflower Seeds-Raw Hulled), Shredded Coconut; Other Grains, Pastas and Cereals: Rice (Brown Rice Long Grain); Nuts/Seeds: Brazil Nut (Raw Brazil Nuts), Cashew Nuts (Raw Cashews), Organic Pumpkin Seeds, Pine Nuts (Pine Nuts), Walnuts (Raw Walnuts); Dry/Baking Goods: Flours and Meals (Coconut Flour), Flours and Meals (Tapioca Starch), Powders (Matcha Powder)</t>
  </si>
  <si>
    <t>Other: Agnimantha Bark, Agnimantha Bark Cut, Agnimantha Bark Dried, Agnimantha Bark TBC, Agnimantha Powder, Ajwain Powder, Ajwain TBC, Ajwain/Bishop Weed/Ajwain Seed Dried, Alphonso Mango, Alphonso Mango Pulp, Alphonso Mango Puree, Amla Cut, Amla Dried Deseeded, Amla Jam (Chavanprash), Amla Powder, Amla Shred, Amla TBC, Amla Whole Dried, Ananthamool Cut, Ananthamool Dried, Ananthamool Powder, Ananthamoola TBC, Annatto Powder, Annatto Seeds Dried, Arjuna Bark Cut, Arjuna Bark Dried, Arjuna Bark Powder, Arjuna Bark TBC, Arrow Root Cut, Arrow Root Dried, Arrow Root TBC, Arrowroot Powder, Ashoka Bark Cut, Ashoka Bark Dried, Ashoka Bark TBC, Ashoka Powder, Ashwagandha Cut, Ashwagandha Powder, Ashwagandha Root, Ashwagandha TBC, Asparagus Racemosus (Shatawari) TBC, Avipattikar Cut, Avipattikar Powder, Avipattikar TBC, Bala Powder, Bala -Sida Cordifolia Cut, Bala -Sida Cordifolia Dried, Bala TBC -Sida Cordifolia, Bamboo Powder, Bamboo Shoot, Bamboo Stem, Bambusa Bambos, Banana Powder, Basil/Tulsi Oil, Bay Leaves TBC, BBQ Powder, Bengal Gram Whole Dried, Bhumiamalaki Cut, Bhumiamalaki Dried, Bhumiamlaki Powder, Bhumiamlaki TBC, Bibhitaki Cut, Bibhitaki Shell, Bibhitaki Shell Powder, Bibhitaki Shell TBC, Bibhitaki TBC, Bibhitaki Whole Dried, Bibitaki Powder, Bilva Bark Cut, Bilva Bark Dried, Bilva Bark Powder, Bilva Bark TBC, Bilva Fruit Cut, Bilva Fruit Dried, Bilva Fruit Powder, Bilva Fruit TBC, Bitter Gourd Cut/Karela Cut, Bitter Gourd Dried/Karela Dried, Bitter Gourd Powder/Karela Powder, Bitter Gourd Slice Dried/Karela Fruit Slice Dried, Black Cardamom TBC, Black Mustard Powder, Black Mustard TBC, Black Mustard Whole Dried, Black Pepper, Black Pepper Cut, Black Pepper Oil, Black Pepper Powder, Black Pepper TBC, Black Urad Whole, Brabathi -Solanum lndicum Cut, Brahathi -Solanum lndicum Dried, Brahmi Areial Part, Brahmi Powder/Brahmi Churna, Brahmi TBC, Brahmi-Bacopa Monnieri Cut, Brahmi-Bacopa Monnieri Dried, Byadagi Chilly Flake, Byadagi Chilly Paste (Smash), Byadagi Chilly Powder, Byadagi Chilly Whole Dried, Cardamom (Black) Whole Dried, Cardamom Oil, Cardamom Powder, Cardamom Seed, Cardamom TBC, Cardamom Whole Dried, Castor Oil, Castor Seeds Dried, Centella Asiatica Dried, Chicory Dried, Chicory Roasted, Chicory Roasted Powder, Chicory Roasted TBC, Chicory Roasted Whole, Chicory Root Powder, Chicory Root Roasted Cut, Chicory TBC, Chicory Whole/ Chicory, Chilli - Bird Eye Flakes, Chilli - Bird Eye Whole Dried, Chilli Powder, Chilli Powder - Bird Eye, Chilli Whole, Chilly Flakes, Chunk Shredded Jackfruit Less Soft, Cinnamon Bark Cut, Cinnamon Bark Dried, Cinnamon Bark Oil, Cinnamon Bark Powder, Cinnamon Bark TBC/Cinnamon TBC, Cinnamon Leaf Oil, Cinnamon Leaves Cut, Cinnamon Leaves Dried, Cinnamon Leaves Powder, Cinnamon Leaves TBC, Clove Cut, Clove Oil, Clove Powder, Clove TBC, Clove Whole Dried, Coconut (Dried), Coconut (Fresh), Coconut Flour/Coconut Powder, Coconut Oil, Coconut Oil Extra Virgin, Coconut Oil Virgin, Coconut Sugar, Coconut Water Vinegar/ Fermented Coconut water, Coffee Arabica Cherry, Coffee Arabica Cherry (Clean Bulk), Coffee Arabica Parchment, Coffee Arabica Parchment (Clean Bulk), Coffee Robusta Cherry, Coffee Robusta Cherry (Clean bulk), Cumin Cut, Cumin Oil, Cumin Powder, Cumin TBC, Cumin Whole Dried, Curry Leaf Oil, Curry Leaf TBC, Curry Leaves Cut, Curry Leaves Dried, Curry Leaves Powder, Dashamoola TBC, Dashamula Cut, Dashamula Powder, Dashamula Whole, Dementholised Oil, Eucalyptus Citridora Oil, Fennel Cut, Fennel Oil, Fennel Powder, Fennel TBC, Fennel Whole Dried, Fenugreek Cut, Fenugreek Powder (Methi Powder), Fenugreek TBC, Fenugreek Whole Dried, Fieldmint Leaves - Mentha Arvensis Dried, Fieldmint Leaves -Mentha Arvensis TBC, Fieldmint Leaves Powder -Mentha Arvensis, Fieldmint Leaves-Mentha Arvensis Cut, Fieldmint Oil, Galanga Cut, Galanga Powder, Galanga TBC, Galanga Whole Dried, Gambari-Sbivane Bark Dried, Gambari-Shivane Bark Cut, Garcinia Cambogia Dried, Garcinia Cambogia Powder, Garcinia Peel Dried, Garcinia Peel Powder, Garcinia Peel TBC, Ginger Cut, Ginger Oil, Ginger Powder, Ginger Slice Dried, Ginger TBC, Ginger Whole (Dried), Gokshura Fruit Cut -Tribulus Terrestris, Gokshura Fruit Dried -Tribulus Terrestris, Gokshura Powder, Gokshura TBC, Gokshuradi Guggulu Powder, Gotukola Cut, Gotukola Dried, Gotukola Powder/Centella Asiatica Powder, Gotukola TBC/Centella Asiatica TBC, Green Banana Flour, Green Cardamom, Green Cardamom Powder, Green Cardamom TBC, Green Gram Whole, Groundnut Dried, Groundnut/Peanut Oil (Edible Grade), Guduchi Powder, Guduchi TBC-Tinospora Cordifolia, Guduchi -Tinospora Cordifolia Cut, Guduchi -Tinospora Cordifolia Dried, Guggul, Guggul-Comnifera Mukul, Guggulu Powder-Comnifera Mukul, Guntur Chilli Powder, Guntur Chilli Whole Dried/Guntur Chilli, Guntur Chilly Flake, Haritaki Cut, Haritaki Powder, Haritaki Shell, Haritaki Shell Powder-Terminalia chebula, Haritaki TBC, Haritaki Whole Dried, Henna Leaves Cut, Henna Leaves Dried, Henna Powder, Jack Fruits Dehydrated, Jackfruit BBQ, Jackfruit Chilli/Kitchen And Love Organic Jackfruit Chilli, Jackfruit Chips, Jackfruit Chunk Shred Water Reduced, Jackfruit Chunks, Jackfruit Cubes, Jackfruit Dried, Jackfruit Flour, Jackfruit Lightly Seasoned/Kitchen And Love Organic Jackfruit Lightly Seasoned, Jackfruit Long Shred Water Reduced, Jackfruit Patties/Jackfruit Balls/Jackfruit Sausage/Jackfruit Jerky, Jackfruit Pieces, Jackfruit Plain, Jackfruit Powder, Jackfruit Seed Flour, Jackfruit Shreds, Jackfruit Stew/Kitchen and Love Organic Jackfruit Stew, Jaggery, Jaggery Cubes, Jaggery Powder, Jowar, Kabuli Chana/Chickpea, Kabuli Chana/Chickpea Flour, Kaisora Guggulu Powder, Kalmegh Cut, Kalmegh Dried, Kalmegh Powder (Andrographis Paniculata), Kalmegh TBC, Kanchanara Guggulu Powder, Kantakari Cut-Solanum Xanthocarpum, Kantakari Dried-Solanum Xanthocarpum, kantakari Powder, Kantakari -Solanum Xanthocarpum-TBC, Karela TBC/Bitter Gourd TBC, Krishna Tulsi Cut, Krishna Tulsi Dried, Krishna Tulsi Granules, Krishna Tulsi Powder, Krishna Tulsi TBC - Ocimum Basilicum, Lemon Oil, Lemongrass Cut, Lemongrass Dried, Lemongrass Oil, Lemongrass Powder, Lemongrass TBC, Lime Oil, Liquid Jaggery, Liquorice Cut, Liquorice Dried, Liquorice Granules, Liquorice Powder, Liquorice TBC, Mature Whole Jackfruit Flour, Menthol Crystal, Mint Oil, Moringa Dried Leaves, Moringa Leaves Cut, Moringa Leaves Powder/Moringa Powder, Moringa Leaves TBC, Mustard Oil, Mustard Powder, Neem Leaves Cut, Neem Leaves Dried, Neem Leaves Powder, Neem Leaves TBC, Neem Seed Cut, Neem Seed Dried, Neem Seed Oil, Neem Seed Powder, Noni Fruit Cut, Noni Fruit Dried, Noni Fruit Juice, Noni Fruit Powder, Nutmeg Cracked Halves, Nutmeg Mace Cut, Nutmeg Mace Dried, Nutmeg Mace Powder, Nutmeg Oil, Nutmeg Powder, Nutmeg Shell Powder, Nutmeg Shell/Dried Nutmeg Shelled, Nutmeg TBC, Nutmeg Whole Cut, Nutmeg Whole Dried, Nutmeg Without Shell, Palmarosa Oil, Palmyra Sugar, Parchment Coffee-Robusta, Parchment Coffee-Robusta Clean Bulk, Patala Cut, Patala Dried, Patchouli Oil, Peppermint Leaf/ Tea Bag Cut, Peppermint Leaves Cut, Peppermint Leaves Dried, Peppermint Leaves Powder, Peppermint Oil (Mentha Piperita), Pippali Cut, Pippali -Piper Longum Dried, Pippali Powder, Prishniparni Cut, Prishniparni Dried, Punarnava Guggulu Powder, Punarnava Powder, Punarnava Root Cut, Punarnava Root Dried, Punarnava TBC, Ragi Flakes, Ragi Flour/Ragi Powder, Ragi/Finger Millet Grain, Rajma Chitkabra /Kidney Beans, Raktha Kanchanara Cut, Raktha Kanchanara Dried/Mandara Dried, Rama Tulsi Cut, Rama Tulsi Dried, Rama Tulsi Granules, Rama Tulsi Powder, Rama Tulsi TBC, Red Gram Whole, Rose Petals Cut, Rose Petals Dried, Rose Petals Powder, Rose Petals TBC, Saffron Cut, Saffron Leaves, Saffron Powder, Saffron TBC, Salaparni Cut, Salaparni Dried, Senna Leaves Cut, Senna Leaves Dried, Senna Leaves Powder, Senna Leaves TBC, Shallaki Powder/Shallaki Churna/Frankincense Powder, Shallaki Whole, Shatavari Granules, Shatavari Powder, Shatavari Root, Shatavari Root Cut, Shudda Guggulu Powder, Shyonaka Bark-Oroxylum Indicum Cut, Shyonaka Bark-Oroxylum Indicum Dried, Sitopaladi Churna/Sitopaladi Powder, Smoked Chilly, Soapnut Deseeded, Soapnut Powder, Soapnut TBC, Soapnut Whole Dried/Soapnut Cut, Soapnut Without Seed, Soybean, Spearmint - Mentha Spicata- TBC, Spearmint Leaves Cut, Spearmint Leaves -Mentha spicata Dried, Spearmint Oil, Spearmint Powder, Steam Sterile Steavia Leaves Dried, Stevia Leaves Cut, Stevia Leaves Dried, Stevia Leaves TBC, Stevia Powder, Sunflower Oil, Sunflower Seeds: Of Seed Quality, Sweet Potato Powder/Sweet Potato Flour, Tamarind Fruit Cut, Tamarind Fruit Dried, Tamarind Paste, Tamarind Pulp, Tapioca, Tapioca Chips, Tapioca Flakes, Tapioca Flour/Cassava Flour/Tapioca Powder/Cassava Powder, Tejpatra Leaves Cut/Bay Leaves Cut, Tejpatra Leaves Dried/Bay Leaves Dried, Tejpatra Powder/Bay Leaves Powder, Tejpatra TBC, Trikatu Cut, Trikatu Powder, Trikatu TBC, Trikatu Whole, Triphala Churna, Triphala Cut, Triphala Guggulu Powder/Churna, Triphala Powder, Triphala TBC, Triphala Whole, Trivrath Dried, Tulsi Blend (Krishna+Vana), Tulsi Blend (Rama+ Krishna), Tulsi Blend (Rama+Vana), Tulsi Blend (Rama+Vana+krishna)/Tulsi Mix, Tulsi Cut, Tulsi Granules, Tulsi TBC, Tulsi TBC Blend (Krishna+Vana), Tulsi TBC Blend (Rama+ Krishna), Tulsi TBC Blend (Rama+Vana), Tulsi TBC Blend (Rama+Vana+Krishna)/ Tulsi TBC Blend, Turmeric Cut, Turmeric Fresh, Turmeric Latte Powder, Turmeric Oil, Turmeric Powder, Turmeric Slice Dried, Turmeric TBC, Turmeric Whole Dried, Vana Tulsi, Vana Tulsi Cut, Vana Tulsi Granules, Vana Tulsi Powder, Vana Tulsi TBC, Vanilla Bean, Vanilla Cut, Vanilla Powder, Vanilla TBC, Vasaka Leaves Cut, Vasaka Leaves Dried, Vasaka Powder, Vasaka TBC, Vetiver Oil, Vetiver Root Oil, Vidanga -Embelia Ribes Dried, Vidanlla -Embclia Ribcs Cut, Vidarikanda Cut, Vidarikandha TBC, Vidarikandha Whole Dried, Vidarikhanda Powder, Whole Cane Sugar, Whole Cane SugarPowder, Yellow Mustard Dried, Yellow Mustard Powder, Yogaraja Guggulu Powder/Churna</t>
  </si>
  <si>
    <t>Other: Hard Cider (Apple and Quince), Hard Cider (Sparkling Apple), Olive Oil, Walnuts, Wine (2019 Barbera), Wine (2019 Carignane), Wine (2019 Cinsaut), Wine (2019 Grenache), Wine (2019 L.Preston), Wine (2019 Mourvedre), Wine (2019 Nero D'Avola ), Wine (2019 Petite Sirah), Wine (2019 Sauvignon Blanc), Wine (2019 White Wine), Wine (2019 Zinfandel), Wine (2020 Grenache Blanc), Wine (2020 Madam Preston), Wine (2020 Petite Sirah), Wine (2020 Vin Gris), Wine (2020 Viognier), Wine (2020 White Wine), Wine (2020 Zinfandel), Wine (2021 Barbara Reserve), Wine (2021 Barbera), Wine (2021 Carignane), Wine (2021 Cinsaut), Wine (2021 Grenache), Wine (2021 L. Preston), Wine (2021 Madam Preston), Wine (2021 Nero D'Avola), Wine (2021 Petite Sirah), Wine (2021 Sauvignon Blanc), Wine (2021 Vermentino), Wine (2021 Vin Gris), Wine (2021 White Wine), Wine (2021 Zinfandel), Wine (2022 Barbera), Wine (2022 Carignane), Wine (2022 Grenache), Wine (2022 Mourvedre), Wine (2022 Sauvignon Blanc), Wine (2022 Schioppettino), Wine (2022 Syrah), Wine (2022 Vin Gris), Wine (2022 Zinfandel), Wine (2023 Cinsaut), Wine (2023 Nero D'Avola), Wine (2023 Schioppettino), Wine (2023 Vermentino), Wine (2023 Vin Gris)</t>
  </si>
  <si>
    <t>Other: Ajwain Powder, Ajwain Seed, All spice powder, Aloe Vera, Aloe Vera leaves, Aloe Vera leaves powder, Aloe Vera Powder, Amla Candy, Amla powder, Amla TBC, Anise/Aniseed, Arhar dal (Red gram/Pigeon pea), Arjun powder (Terminalia arjuna), Arrowroot powder, Asafoetida, Asafoetida powder, Ashwagandha, Ashwagandha Leaf, Ashwagandha Powder, Ashwagandha root, Ashwagandha Root Powder, Ashwagandha TBC, Asparagus racemosus (Shatawar), Asparagus racemosus (Shatawari) TBC, Asparagus racemosus Powder, Azadirachta indica (Neem), Bajra flour/ Atta, Bala powder, Barley Flakes, Barley Grass Powder, Barley Porridge/Dalia, Barley whole, Basil seeds, Basil/Tulsi, Bay Leaf, Bay leaf powder, Bay leaves/Tejpatta, Beet Root powder, Bel/Bael/Aegle marmelos, Bengal gram (Chana) flour, Bengal gram Whole, Bitter Gourd, Black cumin, Black Cumin Powder, Black Mustard Seed, Black Pepper, Black Pepper cracked, Black Pepper Powder, Black pepper TBC, Black Tea, Brahmi Powder, Brahmi/Bacopa monnieri, Brahmi/Bacopa monnieri Powder, Brown mustard, Buckwheat Flour, Butter Chicken Masala, Cane Sugar, Cardamom, Cardamom Large (Black), Cardamom Powder, Cardamom seed, Cardamom small (elettaria), Cardamom TBC, Celery Powder, Celery Seeds, Centella asciatica Powder, Centella asiatica, Chai Spice Blend, Chamomile (M.chamomile), Chamomile powder, chana Dal, Chana Masala, Chat masala, Chia, Chicken Masala, Chickpea/Kabuli Chana (garbanzos), Chicory Root Powder, Chicory roots, chilli flakes, Chilli powder, Chilli whole, Chilli whole (dry), Chitra Kidney beans/Rajma (Phaseolus vulgaris), Cinnamon, Cinnamon (Powder), Cinnamon bark, Cinnamon dried, Cinnamon Tamala (Leaves), Cinnamon TBC, Cinnamon Zeylanicum Bark, Clove powder, Clove TBC, Clove whole, Cloves, Coconut (Dried), Coconut Desiccated, Coconut flakes, Coconut oil, Coriander, Coriander Powder, coriander seed, Coriander seed/whole, Coriander TBC, Cowpea, Cowpea Red, Cowpea split, Cowpea white dal, Cowpea/Lobia whole(V.unguiculata/sinensis), CTC Tea, Cumin Powder, Cumin seed, Cumin whole, Curry Leaf powder, Curry Leaf TBC, Curry leaf/leaves, curry powder, Darjeeling Black Tea, Darjeeling Green Tea, Dehydrated Curry leaves powder, Dilli Rajma Masala, Earl grey Tea, Eclipta alba (Bhrigjraj/Bhringraj), English Breakfast Tea, Eucalyptus Citriodora Leaves TBC, Eucalyptus citriodora Powder, Fennel Powder, Fennel Seed, Fennel tea bag cut, Fenugreek, Fenugreek Powder (Methi Powder), Fenugreek Seed (Methi Seed), Fenugreek TBC, Foxtail Millet, Garam Masala, Garlic, Garlic flakes, Garlic Granules, Garlic paste, Garlic Powder, Giloy Powder, Glycyrrhiza, Gokshura Fruit (Tribulus terrestris), Gokshura powder-tribulus terrestris, Gotukola TBC-Centella asiatica-, Green gram split yellow/Moong dal-yellow, Green Gram Whole (Moong Sabut), Green peas, Green pepper powder, Green Tea, Guar gum powder, Guduchi (Tinospora Cordifolons), Gumari (Gymnema sylvestre), Gymnema, Gymnema powder, Gymnema Sylvestre (Leaves), Haritaki powder, Haritaki/Harad(Terminalia chebula), Henna Leaves, Henna Powder, Hibiscus, Hibiscus petal/tea bag cut, Hibiscus rosasinensis powder, Hibiscus sabdariffa Powder, Horse gram (Macrotyloma uniflorum), Indigo Powder, Jaggery, Jaggery cube, Jaggery powder, Jamun Seed powder, Jatamanasi, Kalmegh(Andrographis penniculata), Kalonji/nigella, Kasuri methi, Kodo/Kodon Millet, Krishna tulsi (Ocimum sanctum), Krishna Tulsi TBC-Ocimum basilicum, Lemon Grass Flavoured Green Tea, Lemon grass root powder, Lemon grass TBC, Lemon peel dried, lemon peel powder, Lemon Peel TBC, Lemongrass, lemongrass dried, Lemongrass powder, Lentil dal, Liquorice powder, Liquorice roots, Liquorice TBC, Liquorice/Jesta Madhu (Glycyrrhiza), Little millet, Mace, Mace Powder, Maize (Corn) Flake, Maize/Corn flour, Mango (sliced dried), Mango Powder/ Aamchur, Manjistha/Rubia cordifolia Powder, Masala black tea, Masala Chai, Masala Tea with Spices, Masoor Dal, Masur/Masoor dhuli, Mint Powder, Mint/Mentha leaves, Mix Dal, Mix millet flour, Moong Dal, Moong dal-Split, Moringa (M.oleifera), Moringa dried leaves, Moringa leaves, Moringa oleifera Leaf powder, Moringa Powder, Moringa Tea, moth dal, Mucuna pruriens (Mucuna), Mucuna pruriens Powder, Multi grain Atta, Muskmelon seeds, Mustard, Mustard - Black, Mustard black powder, Mustard Powder, mustard Seeds-Yellow, Neem leaf powder, Neem leaves, Nutmeg Powder, Nutmeg Whole, Oats (Flakes), Oats (Rolled grains), Ocimum basilicum (Krishna/Vana Tulsi), Onion (Dried), Onion (Powder), Onion flakes, Onion Granules, Orange Peel, Orange peel powder/extract, Oregano, Oregano leaves, Organic Black Tea, Organic Green Tea, Orthodox Black Tea, Parsley, Pearl Millet/Bajra, Pepper long/Pippali (Piper longum), Peppermint, Peppermint leaf/ tea bag cut, Peshawari Tikka Masala, Pigeon pea, Poha / Chivda, Poppy seeds, Proso millet, Pumpkin Seeds, Ragi Flour, Rama Tulsi TBC-Ocimum sanctum, Red Chilli (whole), Red Chilli Flakes, Red Chilli Powder, Red Kidney beans/Rajma (Phaseolus vulgaris), Rice bran, Rice Flour, Rice Porridge/dalia, Rose, Rose Petal TBC, Rose petals powder, Rosemary, Sabji Masala, Safed Musli powder, Safed Musli/Chlorophytum borivilianum, Sattu, Sawan/Barnyard Millet, Senna leaves, Senna Leaves Powder, Senna Leaves Tea Bag Cut (TBC), Senna pods, Shatavari, Shatavari powder, Sorghum, Sorghum Flour, Spearmint - Mentha spicata- TBC, Special Turmeric Powder, Speciality tea – silver blossom, Speciality tea – silver tips, Speciality tea-Oolong, Speciality tea-White tea, spice, Spice Mix (Garam Masala), Spice Mix (Tea Masala), Spice Mix 1, Star anise, Stevia, Stevia leaves-dried, Stevia/Stevia rebaudiana powder, Sugar, Sugar (Brown/Natural), Suji/Semolina/ Cream of Wheat, Tamarind dry (Imli), Tamarind Powder (Imli), Tandoori Masala, Terminalia arjuna, Terminalia bellirica powder, Terminalia bellirica/baheda, Thyme, Trikatu powder, Triphala, Triphala Powder, Tulsi Powder, Tulsi TBC/Tulsi TBC Blend, Tur/ Toor Dal, Turmeric Dried, Turmeric fingers, Turmeric flakes, Turmeric Fresh, Turmeric Powder, Turmeric slice dried, Turmeric TBC, Turmeric whole-dried, Urad (phasleolus mungo) Black gram, Urad Dal Split, Urad dhuli, Urad Whole(black), Vana Tulsi (Ocimum gratissimum), Vana Tulsi Powder-Ocimum gratissimum, Vana tulsi TBC-Ocimum gratissimum, Vanilla Bean, Water Melon Seeds, Wheat flour, Wheat Porridge/Dalia, Wheatgrass powder, White Cane Sugar, White Pepper, White Pepper powder, White tea, Yellow mustard, Yellow Mustard Powder/ ground</t>
  </si>
  <si>
    <t>Other Grains, Pastas and Cereals: Pasta (GENTILE PASTA BUCATINI 500 gr.), Pasta (GENTILE PASTA BUCATINI BULK), Pasta (GENTILE PASTA CALAMARETTI 500 gr.), Pasta (GENTILE PASTA CASERECCE 500 gr.), Pasta (GENTILE PASTA ELICHE LARGE FUSILLI), Pasta (GENTILE PASTA GNOCCHETTI 500 gr.), Pasta (GENTILE PASTA LINGUINE 500 gr.), Pasta (GENTILE PASTA LINGUINE BULK), Pasta (GENTILE PASTA LUMACHINE 500 gr.), Pasta (GENTILE PASTA MAFALDE 500 gr.), Pasta (GENTILE PASTA MEZZE MANICHE 500 gr.), Pasta (GENTILE PASTA MEZZE PACCHERI), Pasta (GENTILE PASTA MISTA CORTA 500 gr.), Pasta (GENTILE PASTA PACCHERI 500 gr.), Pasta (GENTILE PASTA PACCHERI BULK), Pasta (GENTILE PASTA PACCHERI RIGATI 500 g), Pasta (GENTILE PASTA PAPIRI 500 gr.), Pasta (GENTILE PASTA PAPPARDELLE 500 gr.), Pasta (GENTILE PASTA PENNINE RIGATE 500 gr), Pasta (GENTILE PASTA PENNINE RIGATE BULK), Pasta (GENTILE PASTA PENNONI RIGATE 500 gr), Pasta (GENTILE PASTA RIGATONI 500 gr.), Pasta (GENTILE PASTA RIGATONI BULK), Pasta (GENTILE PASTA SCIALATIELLI 500 gr.), Pasta (GENTILE PASTA SPAGHETTI 12 MIN BULK), Pasta (GENTILE PASTA SPAGHETTI 12 MIN.), Pasta (GENTILE PASTA SPAGHETTI 8 MIN.), Pasta (GENTILE PASTA SPAGHETTI FINI 4 MIN), Pasta (GENTILE PASTA SPAGHETTONE 15 MIN), Pasta (GENTILE PASTA TRECCE 500 gr.), Pasta (GENTILE PASTA VESUVIO 500 gr.); Oils &amp; Oleoresins: Oils (BARBERA E.V. OLIVE OIL ORGANIC 5 Lt), Oils (BARBERA EV OIL ORGANIC CARETTO TIN), Oils (LORENZO NO.1 E.V. OIL CERASUOLA), Oils (LORENZO NO.3 E.V. OIL BIANCOLILLA), Oils (PRUNETI MONOCULTIVAR FRANTOIO 500ml), Oils (PRUNETI MONOCULTIVAR LECCINO 500ml); Fruits/Vegetables: RIGONI ORGANIC FRUIT APRICOT, RIGONI ORGANIC FRUIT BLUEBERRY, RIGONI ORGANIC FRUIT CHERRY, RIGONI ORGANIC FRUIT FIG, RIGONI ORGANIC FRUIT LEMON, RIGONI ORGANIC FRUIT ORANGE SEVILLE, RIGONI ORGANIC FRUIT RASPBERRY, RIGONI ORGANIC FRUIT STRAWBERRY, RIGONI ORGANIC FRUIT STRAWBERRY 1oz; Beverage Related Products: ARANCIA ROSSA CAROTA NERA MIRTILLO BEVANDA ANALCOLICA FRIZZANTE, ARANCIATA CON POLPE BEVANDA ANALCOLICA FRIZZANTE, ARANCIATA ROSSA BEVANDA ANALCOLICA FRIZZANTE, BITTER BEVANDA ANALCOLICA FRIZZANTE, BLOOD ORANGE 16% SPARKLING FRUIT BEVERAGE, CHINOTTO BEVANDA ANALCOLICA FRIZZANTE, GINGER ALE BEVANDA ANALCOLICA FRIZZANTE, GINGER BEER BEVANDA ANALCOLICA FRIZZANTE, LIMONATA BEVANDA ANALCOLICA FRIZZANTE, MANDARINO &amp;FICO D'INDIA BEVANDA ANALCOLICA FRIZZANTE, MELAGRANA BEVANDA ANALCOLICA FRIZZANTE, POMPELMO ROSA BEVANDA ANALCOLICA FRIZZANTE, Tea (FARRO PEARLED ORGANIC AGRIBOSCO 5Kg), Tea (MIGHTY LEAF HERBAL ORGANIC MINT MELANGE), Tea (MIGHTY LEAF ICED TEA ORG BLACK 3gal), Tea (MIGHTY LEAF TEA ORG. GREEN DRAGON), Tea (MIGHTY LEAF TEA ORG. SPRING JASMINE), Tea (MIGHTY LEAF TEA ORGANIC BREAKFAST), Tea (MIGHTY LEAF TEA ORGANIC DARJEELING), Tea (MIGHTY LEAF TEA ORGANIC EARL GREY), THE AL LIMONE BEVANDA ANALCOLICA, THE ALLA PESCA BEVANDA ANALCOLICA, THE VERDE BEVANDA ANALCOLICA</t>
  </si>
  <si>
    <t>Preservatives/Extracts/Flavors: Herbs (Ajwain / Bishop weed seed), Herbs (Bay leaves/ Tej Patta), Herbs (Fennel/ Saunf), Powders (Cinnamon powder), Spices (Cinnamon/ Cinnamon Dried), Spices (Cloves), Spices (Saffron), Spices (Black Pepper), Spices (Cardamom), Spices (Cardamom large (Black)); Other Grains, Pastas and Cereals: Bengal gram whole, Black gram, split and skinned, Black gram, split with skin/ Urad dal- split with shell, Black gram, whole, Chana Dal, Chick pea/ Kabuli Chana (Garbanzos), Flax Seed, Foxtail millet, Green gram split and skinned/ Moong dal- yellow, Green gram, split and with skin, Green gram, whole, Green peas, Kodo/ Kodon millet, Lentil, Little millet, Masoor Dal, Pacharatna dal, Pearl millet/ Bajra, Proso millet, Quinoa, Rice (Red Poha Medium), Rice (Red Rice), Rice (Rice- Sona masuri), Rice (Poha Flattened Rice), Rice (Idli rava), Rice (Idli rice), Rice (Sona masoori semi polished rice), Rice (Sonamasuri brown rice), Rice (Basmati Rice- Brown), Rice (Basmati Rice- White), Roasted Gram/chana, Sorghum (Sorgum/ Jowar), Urad dal-Whole (White); Oils &amp; Oleoresins: Oils (Groundnut Oil), Oils (Mustard Oil), Oils (Sesame Oil), Oils (Sunflower oil); Nuts/Seeds: Almonds (Almond), Coriander seed/ whole, Fenugreek seed (Methi seed), Mustard Seeds; Fruits/Vegetables: Beans (Chitra Kidney beans/Rajma (Phaseolus vulgaris)), Beans (Cowpea), Beans (Matki/Moth Bean), Beans (Red Kidney beans/ Rajma (Phaseolus vulgaris)), Beans (Split pigeon pea/ Arhar/ Red gram), Vegetables (Masoor (Lens Culinaris)); Dry/Baking Goods: Flours and Meals (Rice flour), Flours and Meals (Suji/ Semolina/ Cream of Wheat), Flours and Meals (Wheat Maida), Powders (Jaggery powder), Sugar (Jaggery)</t>
  </si>
  <si>
    <t>Other: Ajwain, Almond, Amla, Amla Powder, Arhar Dal (Red Gram/Pigeon Pea), Arrowroot Powder, Ashwagandha Powder, Basmati Rice-White, Bay Leaf, Bay Leaf Powder, Black Gram/Urd (Vigna Sp.), Black Pepper, Black Pepper Powder, Brahmi/Bacopa Monnieri, Broken Rice, Cardamom, Cardamom Powder, Cashew Whole, Castor (Other Than Seed Quality), Chia, Chilli-Bird Eye, Cinnamon, Cinnamon (Powder), Clove Powder, Cloves, Coconut, Coffee Arabica Parchment, Coffee Arabica-Cherry, Coffee Powder, Coffee Robusta Cherry, Dried Cardamom, Fennel Powder, Fennel Seed, Fenugreek, Fenugreek Powder (Methi Powder), Flax Seed, Foxtail Millet, Garlic, Garlic Powder, Ginger Sliced (Dried), Ginger Whole, Green Gram Split Yellow/Moong Dal-Yellow, Green Gram Whole (Moong Sabut), Green Pepper-Fresh, Groundnut/Peanut, Jaggery, Jaggery Powder, Jowar, Kodo/Kodon Millet, Little Millet, Mace, Mace Powder, Moong Dal, Moringa Leaves, Moringa Powder, Mustard Seeds, Non-Basmati Rice, Nutmeg Powder, Nutmeg Whole, Ocimum Basilicum (Krishna/Vana Tulsi), Poha Flattened Rice, Proso Millet, Quinoa, Ragi/Finger Millet Grain, Red Chilli Flakes, Red Chilli Powder, Red Kidney Beans/Rajma (Phaseolus Vulgaris), Red Rice, Rice-Sona Masuri, Saffron, Sugar (Brown/Natural), Turmeric Dried, Turmeric Fresh, Turmeric Powder, Wheat, Wheat Porridge/Dalia, White Pepper</t>
  </si>
  <si>
    <t>Other: Alfalfa, Aloe Vera, Anise, Apples, Apples (Gala, Granny Smith, HoneyCrisp, Pink Lady), Apricots, Aprium, Artichokes, Arugula, Arugula (Wild, Rocket), Asparagus, Avocados, Baby Arugula, Baby Greens, Baby Spinach, Bananas, Bananas (Baby, Red), Barley, Barley Grass, Beans, Beans (Mung), Beets (Gold, Red, Rainbow), Bell Peppers (Green, Red, Yellow, Orange, Mini Sweet), Bell Peppers (Tri-Color Sliced), Blackberries, Blueberries, Blueberries (Long Cane), Bok Choy, Bok Choy (Baby), Broccoli, Broccoli (Broccoleaf), Broccoli (Broccoli Cole Slaw), Broccoli (Florets, Broccolini), Broccoli (Raab (Rabe, Rapini)), Broccoli (Sweet Baby), Brussels Sprouts (Whole, Halved), Burdock, Cabbage (Green, Red), Cantaloupe (Whole, Chunks, Spears), Carrot Juice Concentrate, Carrot Pulp, Carrot Puree, Carrots, Carrots (Whole, Baby, Rainbow, Cut &amp; Peeled), Cauliflower, Cauliflower (Florets, Chopped), Celery (Whole, Root), Celery Hearts, Chard (De-stemmed Rainbow), Chard (Green, Red, Rainbow, Swiss), Cherries, Chervil, Chili Pepper (Anaheim, Jalapeno), Cilantro, Citrus (Pummelos), Coconut, Collards, Corn, Cranberries, Cucumbers, Cucumbers (European, English, Mini, Slicer), Daikon, Dandelion (Green, Red), Dates, Dressing (Salad Dressing), Eggplant, Eggs, Endive, Escarole, Feijoas (Pineapple Guava), Fennel, Figs, Fresh Herbs (Mix), Frisee, Fruit Mix, Fruit Mix (Berry Medley), Fruit Mix (Fruit Salad), Fruit Mix (Tray With Strawberries), Fruit Mix (Tray With Watermelon), Fruits (Dragon Fruit (Pitahaya)), Fruits (Gooseberries), Fruits (Kiwanos), Fruits (Pommelos), Garlic (Fresh Peeled), Garlic (Whole Bulbs), Garlic (Processed) (Peeled, Chopped), Ginger (Fresh, Whole, Chopped, Root), Grains, Grapefruit, Grapefruit (Red), Grapes (Red, Green), Green Beans, Green Onions, Green Onions (Scallions), Herbs (Basil), Herbs (Bay Leave), Herbs (Chamomile), Herbs (Chives), Herbs (Dill), Herbs (Epazote), Herbs (Herb Blend), Herbs (Herb Mix), Herbs (Lemon Thyme), Herbs (Mint), Herbs (Oregano), Herbs (Poultry Blend (Oregano, Thyme, Rosemary, Sage)), Herbs (Rosemary), Herbs (Sage), Herbs (Tarragon), Herbs (Thyme), Honeydew, Jerusalem Artichokes (Sunchokes), Jicama, Juice (Apple), Juice (Carrot), Juice (Grapefruit (Cold Pressed)), Juice (Lemon (Cold Pressed)), Juice (Lime (Cold Pressed)), Juice (Orange (Cold Pressed)), Juice (Orange (Pasteurized)), Juice (Tangerine), Kale (Baby), Kale (Baby, Baby Blend, De-Stemmed, Green, Lacinato, Red, Black, Flowering, Rainbow, Shredded), Kale (Fresh (Green, Red, Lacinato, Flowering)), Kale (Fusion), Kale (Green, Lacinato, Red), Kale (Mixed. Chopped), Kale (Tuscan), Kiwifruit, Kohlrabi (Green, Red), Kumquats, Leeks, Lemongrass, Lemons, Lemons (Meyers), Lettuces (Arcadian Harvest), Lettuces (Iceberg, Green Leaf, Red Leaf), Lettuces (Romaine (Green, Red, Hearts, Artisan), Butter (Green, Red), Iceberg, Green Leaf, Red Leaf, Green Oak, Red Oak, Lolla Rosa, Tango, Sweet Gem), Lettuces (Sweet Baby), Limes, Mandarins (Murccott, Tango, Royals, Daisy, Temple), Mangos, Mangos (Spears), Marjoram, Meal Kit Ingredient (Kabob Kit), Melons (Mix, Fruit Bowl, Spears, Mix W/Red Grapes), Microgreens, Mixed Vegetables (Carrot &amp; Celery Sticks), Mixed Vegetables (Vegetable Medley), Mixed Vegetables (Vegetable Platter), Mixed Vegetables (Vegetable With Ranch Dip), Mizuna, Mushrooms (Gourmet Stuffed, Medium Portabella, Portabella Caps, Medium White, Baby Bella, Maitake, Trumpet (Royal, King), Shiitake, White, Beech (White, Brown), Button, Crimini, Oyster), Mustard Greens, Nectarines, Noodles (Beet, Butternut Squash, Sweet Potato, Zucchini), Oats, Okra (Green, Red), Onions (Diced Red), Onions (Diced Yellow), Onions (Green, Red, Yellow, White, Sweet), Oranges (Navel, Valencia, Minneola, Cara Cara, Blood), Oranges (Valencia), Papayas, Parsley (Curley, Italian), Parsnips, Peaches, Pears, Peas, Persimmons, Pineapple, Pineapple (Chunks, Cored, Spears, W/Strawberries), Plums, Pluots, Pomegranates, Potatoes (Fingerling, Gold, Red, Russet, Rainbow), Produce (Baby Spinach &amp; Arugula Mix), Produce (Nordic Blend), Produce (Spinach &amp; Baby Kale), Produce (Super Blend), Produce (Super Mix), Pumpkins, Pumpkins (Pie Pumpkins), Radicchio, Radishes (Easter Egg, Red), Raisins (Dried), Raspberries, Raspberries (Long Cane), Rhubarb, Romaine, Romaine (Green, Red), Rutabaga, Rye, Safflower, Salad (50/50 Spinach and Spring Mix Blend), Salad (Baby Arugula), Salad (Baby Kale), Salad (Baby Romaine), Salad (Baby Spinach), Salad (Chopped Kale), Salad (Garden Salad), Salad (Half &amp; Half), Salad (Mega Mix), Salad (Mixed Greens), Salad (Power Greens), Salad (Romaine Salad), Salad (Spinach-Arugula), Salad (Spring Mix), Salad (Super Energy), Shallots, Sorrel, Spice Blends (Chili Starter), Spice Blends (Fajita Mix), Spinach, Spring Mix, Squash (Acorn, Butternut, Delicata, Kabocha, Spaghetti, Yellow, Summer, Winter), Strawberries, Sugar Snap Peas, Sugar Snap Peas (Stringless), Summer Savory, Sweet Potatoes (Charleston Purple, Covington, Diane, Japanese), Sweet Potatoes (Orange Sweet Potato (Beauregard)), Sweet Potatoes (Purple Sweet Potatoes (Stokes)), Tangerine, Tofu, Tomatillos, Tomatoes (Grape, Beefstake, Roma, On Vine), Turmeric, Turnip, Vegetable Juice (Various), Vetch, Watermelon, Watermelon (Mini, Seedless, Chunks, Spears), Wheat, Wheatgrass, Yams, Zucchini</t>
  </si>
  <si>
    <t>Other: Alfalfa, Aloe Vera, Anise (Anise), Apple Cider (Cold Pressed Apple Cider), Apple Juice, Apples, Apples (Gala, Granny Smith, Honeycrisp, Pink Lady Smith), Apricots, Aprium, Artichokes, Arugula, Arugula (Wild Arugula), Asparagus, Avocados, Avocados (Mission Avocado), Baby Arugula, Baby Greens, Baby Spinach, Bananas, Bananas (Baby, Red), Barley, Barley Grass, Beans (Mung Beans), Beans (Fresh), Beets (Red, Red Rainbow, Gold, Golden), Bell Peppers (Bell Pepper: Orange, Red, Yellow), Bell Peppers (Green), Bell Peppers (Mini Sweet), Bell Peppers (Pepper Tri-Color Sliced), Berries (Berries - Blackberries, Strawberries, Raspberries, Cranberries, Blueberries), Blackberries (Berry Medley), Blackberries (Long Cane Blackberries), Blueberries, Bok Choy, Bok Choy (Baby), Broccoli, Broccoli (Broccoli Cole Slaw), Broccoli (Broccoli Florets), Broccoli (Raab), Broker (Client Profile Products only), Brussels Sprouts (Halved, Whole), Burdock Root, Cabbage (Green, Red), Cantaloupe, Cantaloupe (Melon: Cantaloupe, Chunks, Spears), Carrot Juice, Carrot Juice Concentrate, Carrots (Carrot Puree), Carrots (Cut, Peeled, Pulp, Bunch, Baby, Rainbow, Stick), Cauliflower, Cauliflower (Cauliflower Florets), Cauliflower (Chopped Cauliflower), Celery (Stick), Celery Hearts, Chamomile, Chard, Chard (Rainbow, Red, Green, De-stemmed Rainvow), Cherries (Dark Sweet, Ranier), Chervil, Chili Pepper (Anaheim, Jalapeno, Chili), Chives, Cilantro, Coconut, Collards, Corn, Cranberries, Cucumbers, Cucumbers (Cucumber: Slicer, European, English, Mini), Culinary Herbs, Daikon, Dandelion (Green), Dandelion (Green, Red), Dandelion (Red), Dates, Dressing (Salad Dressing), Eggplant, Eggs, Endive, Escarole, Feijoas (Pineapple Guava), Fennel, Fennel (Anise), Figs, Fruit Juice (Cold Pressed Grapefruit Juice), Fruit Juice (Cold Pressed Lime Juice), Fruit Juice (Grapefruit Juice), Fruit Juice (Lime Juice), Fruit Juice (Tangerine Juice), Fruit Mix, Fruit Mix (Fruit Salad), Fruit Mix (Fruit Tray with Strawberries), Fruit Mix (Fruit Tray with Watermelons), Fruit Mix (Pineapple &amp; Strawberries), Fruits (Fruits: Various), Garlic (Bulbs), Garlic (Processed) (Chopped, Peeled), Ginger (Whole, Chopped), Grains (Oats, Rye, Vetch, Wheat), Grapefruit, Grapefruit (Red), Grapes, Grapes (Grapes: Multiple Varieties), Green Beans, Green Onions (Scallions), Greens (Super Entery, Power Greens), Herbs (Basil), Herbs (Bayleaf), Herbs (Cilantro), Herbs (Dill), Herbs (Mix), Herbs (Poultry Blend (oregano, thyme, rosemary, sage)), Herbs (Tarragon), Honeydew, Jalapenos, Jerusalem Artichokes, Jerusalem Artichokes (Sunchoke), Jicama, Kale (Green, Red, Black, De-stemmed, Lacinato, Rainbow, Tuscan, Mature, Baby, Chopped, Fresh (Green, Red, Lacinato, Flowering), Shredded, Shredded Rainbow, De-Stemmed Lacinato Tuscan, De-Stemmed Lacinato Tuscan Shredded), Kiwifruit, Kohlrabi (Green, Red), Kumquats, Leeks, Lemon Juice, Lemon Juice (Cold Pressed Lemon Juice), Lemongrass, Lemons, Lemons (Meyer), Lettuces, Lettuces (Arcadian Harvest - Mixed Mann's Petite Lettuces, Herb Mix, Herb Blend, Half &amp; Half, Mega Mix), Lettuces (Romaine (Green, Red), Iceberg, Green Leaf, Red Leaf, Red Butter, Green Butter, Green Oak, Red Oak, Lolla Rosa, Tango, Iceberg, Sweet Gem, Frisee), Limes, Mandarins (Murccott, Tango, Royals, Daisy, Temple), Mangos, Mangos (Mango Spears), Mangos (Mission Mangos), Marjoram, Meals (Kabob Kit), Melons, Melons (Cantaloupe, Honeydew), Melons (Melon Mix, Melon Mix Fruit Bowl, Melon Mix Spears, Melon Mix w/ Red Grapes), Microgreens, Mint, Mixed Vegetables, Mixed Vegetables (Vegetable Medley), Mizuna, Mushrooms, Mushrooms (Baby Bella (Sliced, Whole), Brown Beech, Button, Chef Mix, Cremini, Crimini (Sliced), King Trumpet, Royal Trumpet, Maitake, Oyster, Portabella (Whole, Sliced, Caps, Caps Sliced), White (Beech, Sliced, Whole, Medium), Shiitake (Whole, Sliced)), Mustard Greens, Nectarines, Noodles (Beet, Butternut Squash, Sweet Potato, Zucchini), Oats, Okra (Red, Green), Onions (Fresh Onions), Onions (White, Yellow, Red, Yellow Jumbo, Sweet), Onions (Diced) (Onion Red Diced, Yellow Diced), Orange Juice, Orange Juice (Cold Pressed Orange Juice), Orange Juice (Pasteurized Orange Juice), Oranges (Cara Cara, Mandarins, Navel, Valencia, Minneola, Blood ), Oregano, Papayas, Parsley (Curly, Italian), Parsnips, Peaches, Pears, Pears (D'anjou), Peas, Persimmons, Pineapple, Pineapple (Pineapple Chunks, Pineapple Cored, Pineapple Spears), Pitahaya (Dragon Fruit), Plums, Pluots, Pomegranates, Potatoes (Gold, Golden, Red, Fingerling, Rainbow Fingerling, Russet, Baby (Golden, Yellow, Red)), Potatoes (Potatoes Baby: Golden, Yellow, Red ), Pumpkins (Pumpkins, Pie Pumpkins), Radicchio, Radishes, Radishes (Easter Egg, Red), Raisins (Dried Raisins), Raspberries, Raspberries (Long Cane Raspberries), Red Leaf Lettuce (Red Leaf Lettuce), Rhubarb, Romaine (Chopped, Baby, Artisan, Hearts), Romaine (Green, Red), Rosemary, Rutabaga, Rye, Safflower, Sage, Salad (Salad: Baby Kale, Baby Romaine, Baby Spinach, Chopped Kale, Garden Salad, Mixed Greens, Romaine Salad, Spinach-Arugula, Spring Mix, Baby Arugula, 50/50 Spinach and Spring Mix Blend), Salad Mix (Sweet Spring, Baby Kale Blend, Harvest Blend, Super Mix, Mixed Kale, Baby Spinach and Arugula Mix, Kale Fusion, Nordic Blend, Spinach &amp; Baby Kale, Sweet Baby Lettuces), Shallots, Sorrel, Spice Blends (Fajita Mix, Chili Starter), Spring Mix, Sprouts, Squash (Squash: Various, Winter, Acorn, Grey, Kabocha, Spaghetti, Yellow, Zucchini, Summer, Yellow Squash Mix), Squash (Yellow, Winter: Butternut, Acorn), Sugar Snap Peas, Sugar Snap Peas (Stringless Sugar Snap Peas), Sweet Potatoes (Charleston Purple, Covington, Diane, Japanese ), Tangerine (Minneola, Mandarin ), Thyme, Thyme (Lemon), Tofu, Tomatillos, Tomatoes (Roma, Grape, On Vine ), Turmeric, Turnip, Vegetable Juice, Vegetable Party Tray (Vegetable Platter, Veggies with Ranch Dip), Vegetable Puree, Vegetables (Vegetables: Various), Watermelon, Watermelon (Mini Watermelon), Watermelon (Mini, Seedless ), Watermelon (Mini, Seedless, Chunks, Spears), Wheatgrass, Yams, Zucchini</t>
  </si>
  <si>
    <t>Processed  Items: Butter (Organic Peanut Butter Pet Jar 18oz / 510g;
Organic Peanut Butter Glass-Pet Jar 10.6oz /300g;
Organic &amp; Keto Peanut Butter Creamy Glass-Pet Jar 454 g/1 lb;
Organic &amp; Keto Peanut Butter Crunchy Glass-Pet Jar 454 g/1 lb;
Organic Creamy Peanut Butter salted Pet Jar 454 g/1 lb;
Organic Chunky Peanut Butter salted Pet Jar 454 g/1 lb;
Organic Sunflower Seed Butter Glass-Pet Jar 1 lb/454 g;
Organic Nut and Seed Mix Butter Glass-Pet Jar 1 lb/454 g;
Organic Chickpea Butter Glass-Pet Jar 1 lb/454 g;
Organic Pumpkin Kernel Butter Glass-Pet Jar 1 lb/454 g;
Organic Pumpkin Kernel Butter Cubeta 40 lb;
Organic Sunflower Seed Butter Cubeta 40 lb;
Peanut Butter Creamy Glass Jar 500 g;
Peanut Butter Crunchy Glass Jar 500 g;
Organic &amp; Keto Peanut Butter Creamy Plastic Jar 40 oz;
Organic &amp; Keto Peanut Butter Crunchy Plastic Jar 40 oz;
Peanut Butter Organic Crunchy unsalted Glass Jar 500 g;
Peanut Butter Organic Crunchy salted Glass Jar 500 g;
Peanut Butter Organic Smooth unsalted Glass Jar 500 g;
Peanut Butter Organic Smooth Salted Glass Jar 500 g), Flours and Meals (Organic Cauliflower Flour Kraft paper bag 25 lb y 50 lb;
Organic Cauliflower Flour Plastic pouch 1 lb;
Organic Black Bean Flour Plastic pouch 1 lb;
Organic Precooked Black Bean Flour Kraft paper bag 25 lb y 50 lb;
Organic Chickpea Flour Plastic pouch 1 lb;
Organic Chickpea Flour Kraft paper bag 25 lb y 50 lb;
Organic Gluten Free Banana Flour Plastic pouch 1 lb;
Organic Precooked Chickpea Flour Kraft paper bag 25 lb y 50 lb;
Organic Cooked Chickpea Flour Kraft paper bag 25 lb y 50 lb;
Organic Hummus Mix Plastic bucket 36 lb;
Keto, Organic &amp; Gluten Free Sunflower Seeds Flour Plastic pouch 1 lb;
Organic Blue Corn Flour Kraft paper bag 50 Lb;
Organic Blue Corn Masa Flour Plastic Pouch 1 Lb;
Organic Lime Powder Kraft paper bag 25 lb y 50 lb;
Organic Black Tahini Plastic bucket 40 lbs;
Organic Kale Powder Kraft paper bag 44 lb;
Organic Carrot Powder Kraft paper bag 44 lb;
Organic Beet Powder Kraft paper bag 44 lb;
Organic &amp; Keto Coconut Flour Plastic pouch 1 lb;
Organic Sesame Seed Flour Plastic pouch 1 lb;
Organic &amp; Keto Sunflower Seed Flour Plastic pouch 1 lb;
Organic All Purpose Gluten Free 1 to 1 Baking Flour Plastic pouch 2 lb, 6 lb;
Organic Gluten Free All Purpose Flour Blend Plastic pouch 3 lb;
Organic Coconut Flour Plastic pouch 1 lb;
Organic White Rice Flour Pastic pouch 1 lb;
Organic White Sorghum Flour Plastic pouch 1 lb;), Organic Gluten and Grain Free Chickpea Crumbs Breading Substitute Plastic Pouch 12 onzas;
Organic and Gluten Free Sesame Seed Crumbs Breading Substitute Plastic Pouch 8 onzas;
Organic &amp; Gluten Free Sunflower Seeds Crumbs Breading Substitute Plastic pouch 10 oz;
Organic and Gluten Free Peanut Crumbs Breading Substitute Plastic Pouch 8 onzas;
Organic Raw Pumpkin Seeds Plastic Pouch 1 lb;
Organic Avocado Olein Tote 900 kg, Seeds (Organic Sanitized Chia Seed;
Organic Pasteurized Raw Pumpkin Kernel); Oils &amp; Oleoresins: Oils (Organic Extra Virgin Avocado Oil;
Organic Crude Avocado Oil;
Organic Tortilla Chips with Cauliflower)</t>
  </si>
  <si>
    <t>Other Grains, Pastas and Cereals: Oats (Quick Rolled Oats (LF01, 1#pkg)), Oats (Quick Rolled Oats (MA33, 11.3oz pkg)), Oats (Rolled Oats (LF08, 1#pkg)); Dry/Baking Goods: Flours and Meals (Coconut Flour (LF49, 2#pkg, 4.2oz pkg)), Flours and Meals (Oat Flour/Ground Oats (If21, 14oz pkg)), Sugar (Brown Sugar (LF03, 2#pkg)), Sugar (White Cane Sugar (LF02, 2#pkg))</t>
  </si>
  <si>
    <t>Seasonings: tahini (roasted sesame paste); Processed  Items: Dehydrated Foods, gelatinized red maca;gelatinized yellow maca; Preservatives/Extracts/Flavors: Spices; Other Grains, Pastas and Cereals: Cereal, Chia, Quinoa, Rice, Wheat; Health Products: Elderberry extract; Fruits/Vegetables: banana;chickpea;lentils, Berries, Citrus, Melons, Stone Fruit, Vegetables; Dry/Baking Goods: Flours and Meals; Chocolate Goods: cacao powder;cocoa beans;Cocoa paste;roasted cacao bean; Bread/Bakery/Snacks: Cereal, Packaged Snacks and Chips; Beverage Related Products: Coffee</t>
  </si>
  <si>
    <t>Other: Cane Sugar Grained, Ethanol, Ethyl Alcohol, Molasses, Panela Powder</t>
  </si>
  <si>
    <t>Other: Agave, Amarant (Amaranthus), Bananas, Flour, Barley, Cocoa, Chocolate, Coffee, Roasted And Grounded, Food Grain, Honey, Honey Products, Mangos Dehydrated, Panela, Panela Granulated With Lemongrass Taste, Peanuts Paste, Peanuts, Peeled, Peanuts, Peeled, Rye, Whole Grain Rice</t>
  </si>
  <si>
    <t>Other Grains, Pastas and Cereals: Pasta (ORGANIC BUSIATE (SEMOLINA PASTA)), Pasta (ORGANIC BUSIATE LUNGHE (SEMOLINA PASTA)), Pasta (ORGANIC MARGHERITA (SEMOLINA PASTA)), Pasta (ORGANIC SPACCATELLE (SEMOLINA PASTA)), Pasta (ORGANIC SPAGHETTI (SEMOLINA PASTA)), Pasta (ORGANIC TRECCE (SEMOLINA PASTA))</t>
  </si>
  <si>
    <t>Animal Feed: blended complete feeds and livestock feed ingredients (Calf Starter 18%,
Broiler Base Mix #1-#4,
Poultry Complete Grower,
Layer Complete 17%,
Pullet Premix,
Custom Pullet Chick Starter
Custom Pullet Pullet Developer,
Custom Layer Layer 1-18,
Vitamin E 20000,
Dairy 2-1 Mineral
Dairy Complete
Dairy Grain Mix
Poultry Complete Starter
Poultry Complete Finisher
Poultry Premix
Layer Premix
Custom Pullet, Chick Pre-Starter
Custom Pullet, Pullet Grower
Custom Pullet, Pullet Pre-Layer
Turkey Base #1-#7
Oro Glo), Livestock feed ingredients (Alfalfa Pellets, whole or ground
Corn, ground or whole
Flax Seed
Molasses
Soybeans (raw)
Pro-Soy extruded whole soybeans
Field Peas, whole
Barley, whole
Expelled soybean oil
Milo, whole or cracked
Oats
Pro-Soy expelled whole soybeans
Wheat Middlings)</t>
  </si>
  <si>
    <t>Other: Seeds (Feed and Forage: Vetch), Seeds (Vegetables: Black Beans), Seeds (Vegetables: Red Beans), Seeds (Vegetables: Garbanzo Beans), Seeds (Vegetables: Great Northern Beans), Seeds (Vegetables: Pinto Beans), Seeds (Vegetables: Beans), Seeds (Grains: Oats), Seeds (Vegetables: Peas), Seeds (Grains: Triticale), Seeds (Grains: Wheat)</t>
  </si>
  <si>
    <t>Animal Feed: Livestock Feed (100% Organic Custom Feed Mix), Livestock Feed (100% Organic Ground Barley), Livestock Feed (100% Organic Ground Corn), Livestock Feed (100% Organic Ground Peas), Livestock Feed (100% Organic Ground Popcorn), Livestock Feed (100% Organic Ground Rye), Livestock Feed (100% Organic Ground Soybeans), Livestock Feed (100% Organic Ground Wheat), Livestock Feed (GK Premix 071224), Livestock Feed (GK Premix 082324), Livestock Feed (GK ProAg Blend 052324), Livestock Feed (GK.ProAg Blend.120123), Livestock Feed (GK.ProAg Blend.121823)</t>
  </si>
  <si>
    <t>Other: #Custom cleaning, packaging, and handling of organic seeds and grains., Corn, oats, rye, soybeans, sunflowers, wheat.</t>
  </si>
  <si>
    <t>Other Grains, Pastas and Cereals: Chocomaca (amarilla, roja, negra)  = 2.000,00 Kg., Chocomaca FRANCIA = 100,00 Kg., Harina de maca (amarilla, roja, negra) = 10.560,00  Kg., Maca gelatinizada (amarilla, roja, negra) en cápsulas vegetales x 500mg = 50,00 kg, Maca mix gelatinizada (amarilla, roja, negra) =  2.550,00 	Kg., Maca seca = 15.000,00 Kg.</t>
  </si>
  <si>
    <t>Other: Acacia (Acacia Senegal Powder), Acai (Acai Powder), Algae (Chlorella), Almond Flour (Blanched Almond Flour), Beans (Dried Chickpeas), Beans (Green Mung Beans), Beans (Split Yellow Mung Beans), Buckwheat (Flour), Buckwheat (Groats), Cacao Nibs (Sweetened), Calendula Flower (Calendula Flowers), Cardamom (Pods), Carob (Carob Powder), Cashews, Chamomile (Flower), Chia (Chia Seeds), Chia (Ground Chia Seed), Chicory (Root Granules), Cloves (Whole Cloves), Cocoa Powder, Cocoa Powder (Black Cocoa Powder, 10-12% (Alkalized)), Cocoa Powder (Culinary Grade Cocoa Powder (Alkalized)), Cocoa Powder (Red Cocoa Powder, 10-12% (Alkalized)), Cocoa Products (Cocoa Butter Chunks), Cocoa Products (Cocoa Butter Wafers), Cocoa Products (Cocoa Nibs), Coconut (Coconut Flour), Coconut (Coconut Milk Powder), Coconut (Shredded Coconut), Coffee (Espresso Baking Powder), Coffee (Green) (Whole Bean), Coriander (Seeds), Corn (Popcorn), Cumin Seed (Powder), Dietary Supplement (Whole Psyllium Husks), Dried Fruits (White Mulberries), Fenugreek Seed, Flax Seed (Flaxseed Meal), Flax Seed (Golden Flaxseed Meal), Flax Seed (Whole Brown Flax Seed), Flax Seed (Whole Golden Flax Seed), Flour (Arrowroot Flour), Flour (Brown Rice Flour), Flour (Cassava Flour), Flour (Chickpea Flour), Flour (Gluten Free), Flour (Lupin Flour), Flour (Peanut Flour), Flour (Tiger Nut Flour), Flour (Whole Grain Oat Flour), Ginger Root (Ground), Hemp Seed (Hemp Seed Protein), Herbs &amp; Spices (Burdock Root), Herbs &amp; Spices (Dandelion Root), Herbs &amp; Spices (Dried Basil Leaves), Herbs &amp; Spices (Dried Thyme Leaves), Herbs &amp; Spices (Fennel Seeds), Herbs &amp; Spices (Mullein Leaves), Herbs &amp; Spices (Tellicherry Peppercorn), Herbs &amp; Spices (Tulsi Leaves), Herbs &amp; Spices (Whole Star Anise), Hibiscus (Hibiscus Flowers), Lavender Flower (French Lavender Flowers), Lentils (Red Split Lentils), Maca Powder, Maca Powder (Maca Root Black Powder), Maca Powder (Maca Root Red Powder), Maca Powder (Maca Root Yellow Powder), Millet (Hulled), Mushrooms (Red Reishi Powder), Nettles (Nettle Leaf), Nuts (Tiger, Peeled), Oats (Fiber), Oats (Rolled Oats), Oats (Steel Cut Oats), Peppermint (Peppermint Leaves), Powder (Ashwagandha Root), Powder (Baobab), Powder (Beet Juice), Powder (Blueberry Powder), Powder (Cassia Cinnamon), Powder (Ceylon Cinnamon), Powder (Cocoa Creamer), Powder (Dragonfruit Powder), Powder (Guar Gum), Powder (Inulin), Powder (Lemon Juice Powder), Powder (Original Creamer), Powder (Pomegranate Juice Powder), Powder (Psyllium Husk Powder), Powder (Pumpkin Seed Protein Powder), Powder (Strawberry Powder), Powder (Turmeric Creamer), Quinoa (Quinoa), Raspberry Leaf (Red Raspberry Leaves), Rosemary (Rosemary Leaves), Seed (Mustard) (Brown), Seeds (Ground Chia &amp; Flaxseed Mix), Seeds (Pumpkin &amp; Sunflower Seed Mix), Seeds (Pumpkin Seeds), Sesame Seed (Black), Sesame Seed (Hulled), Sesame Seed (Unhulled), Shea Butter (Shea Butter), Soy Products (Textured Vegetable Protein), Spearmint (Dried Spearmint Leaves), Starch (Corn Starch), Starch (Potato Starch), Sugar (Cane Sugar), Sugar (Coconut Sugar), Sunflower Seed (Hulled Sunflower Seeds), Sweetener (Erythritol), Tapioca (Tapioca Flour), Tea (Earl Grey Tea), Tea (English Breakfast Tea), Tea (Herbal) (Rooibos Tea), Turmeric (High Curcumin Powder, 5% Curcumin), Turmeric (Powder), Wheat (Vital Wheat Gluten), Wheat Grass Powder (Wheatgrass Powder)</t>
  </si>
  <si>
    <t>Other Grains, Pastas and Cereals: Flours and Meals (Cassava Flour = 1.078.049,00 Kg.)</t>
  </si>
  <si>
    <t>Other: Almond Butter (Organic Natural), Cane Sugar (XHP), Cocoa Liquor, Cocoa Powder (Natural 10-12 Fat Organic), Cornmeal (Corn Cones), Cornmeal (Whole Grain Yellow), Honey (100% Non-GMO), Honey (Light Amber/Wildflower - Organic Non-GMO), Peanut Butter (Natural Organic Very Smooth), Puffs (Baby Almond Butter Puffs), Puffs (Baby Peanut Butter Puffs), Puffs (Dark Chocolate Peanut Butter Puffs), Puffs (Honey Peanut Butter Puffs), Puffs (Organic Corn Puff- Adult), Puffs (Organic Corn Puff- Infant), Puffs (Original Peanut Butter Puffs), Puffs (Strawberry PB&amp;J Puffs), Strawberry Flavor (Fresh Strawberry Flavor WONF), Strawberry Powder (Freeze Dried Organic Strawberry Powder ), Strawberry Powder (Strawberry Juice Powder- ST108-B899)</t>
  </si>
  <si>
    <t>Other: Baked Tofu - Savory, Baked Tofu - Savory, Baked Tofu - Savory, Baked Tofu - Savory, Baked Tofu - Teriyaki, Baked Tofu - Teriyaki, Baked Tofu - Teriyaki, Baked Tofu - Teriyaki, Baked Tofu - Teriyaki, Baked Tofu Sweet BBQ, Baked Tofu Teriyaki, Baked Tofu Truffle and Sea Salt, Baked Tofu Truffle and Sea Salt, Black Turtle Beans, Blended Rice, Cubed Teriyaki Baked Tofu, Extra Firm Tofu (14 oz), Extra Firm Tofu (14oz), Extra Firm Tofu (15.5 oz) Twin Pack, Extra Firm Tofu (15.5 oz) Twin Pack, Extra Firm Tofu (15.5 oz) Twin Pack, Extra Firm Tofu (18 oz), Extra Firm Tofu 14oz, Extra Firm Tofu 14oz, Extra Firm Tofu, 14 oz, Firm Tofu 14 oz, Firm Tofu 14oz, Firm Tofu 2-pack (15.5oz), Firm Tofu 4-Pack (18oz Each), Firm Tofu, 14 oz, Firm Tofu, 14 oz, High Protein Tofu, Super Firm, Pearled Barley, Short Grain Brown Rice, Silken Tofu (14oz), Silken Tofu 14oz, Soft Tofu, Soft Tofu (15.5 oz) 2-Cup, Soon Tofu (11 oz), Sprouted Tofu Firm - 4 Pack (18 oz each), Sprouted Tofu Firm (14oz), Sprouted Tofu Firm (18 oz), Sprouted Tofu Silken (14oz), Sprouted Tofu Soft (14oz), Sprouted Tofu Super Firm 16 oz, Sprouted Tofu, Extra Firm (2 Pack), Super Firm High Protein Tofu, Super Firm High Protein Tofu, Super Firm High Protein Tofu, Super Firm High Protein Tofu, Super Firm High Protein Tofu Bulk, Super Firm Tofu, Sweet Brown Rice, Tofu Baked Sesame Ginger, Tofu Baked Sesame Ginger, Tofu Baked Sesame Ginger, Tofu Baked Sweet BBQ, Tofu Baked Teriyaki, Tofu Extra Firm 14oz, Tofu Firm 14oz, Tofu Soft 14oz, Tofu, Extra Firm (14 oz), Tofu, Extra Firm (14 oz), Tofu, Extra Firm (14 oz), Tofu, Firm (14 oz), Tofu, Firm (14 oz), Tofu, Firm (14 oz), Tofu, Firm (14oz), Tofu, Firm (15.5 oz), Tofu, Silken (14 oz), Tofu, Soft (14 oz), White Rice</t>
  </si>
  <si>
    <t>Other: Chocolate (CT C501-UZVZLBIO:D Chunks 15Kg Bag AP USA (4021637)), Cocoa Butter (C501-UZVZLBIO:K10 Grains 15Kg Bag AP INT (4003828)), Cocoa Butter (CT F10-48 BIO:D Chunks 15Kg Bag AP USA (4024285)), Cocoa Butter (F10-60ZVZL BIOFT Drops 15Kg Bag AP USA (4023577)), Cocoa Butter (FT-F1-ZLBIO Drops 15Kg Bag AP USA (4009487)), Cocoa Butter (FT-F2-ZLBIO Drops 15Kg Bag AP USA (4009495)), Dough (Sapore Daphne Organic), Dough (Sapore Leo Organic), Dough (Sapore Traviata Bio (4101486)), Dough (Softgrain Amber Grain Organic), Dough (Softgrain Wheat BBU Organic), Dough Conditioner (S-500 Green Organic (4107866)), Wheat Flour (Sprouted Hard Red Wheat Flour)</t>
  </si>
  <si>
    <t>Other: Ancient Grain Granola Regenerative, Banana Nut Butter Grain-Free Granola, Berry Crisp with Vitamin D Ancient Grain Granola, Blueberry Hemp Ancient Grain Granola, Blueberry Vanilla Granola, Chocolate Chia Granola, Chocolate Chip Granola, Chocolate Peanut Butter Granola, Chocolate Sea Salt Probiotic Granola, Cinnamon Peanut Butter Grain-Free Granola, Cinnamon Peanut Butter Granola, Coconut Cashew Grain-Free Granola, Cranberry Cashew Granola, Cranberry Pecan Ancient Grain Granola, Dark Chocolate Peanut Butter Granola, Honey Almond Probiotic Granola, Honey Coconut Granola, Maple Almond Butter Granola, Oat &amp; Honey Granola, Original Ancient Grain Granola, Original Ancient Grain Granola 12oz, Pecan Maple Granola, Pumpkin Cinnamon Ancient Grain Granola, Vanilla Almond Butter Grain-Free Granola, Vanilla Almond Butter, Grain-Free Granola, Keto Granola Clusters, Vanilla Chocolate Chip Ancient Grain Granola</t>
  </si>
  <si>
    <t>Other: Ajwain, Almond, Amaranth Seed/ Ram Dhana, Arhar Dal (Red Gram/Pigeon Pea), Bay Leaf, Bengal Gram Whole, Black Pepper, Black Sesame/Sesamum, Buckwheat (Other Than Seed), Buckwheat Flour, Cardamom Large (Black), Chana Dal, Chia, Chitra Kidney Beans/Rajma (Phaseolus Vulgaris), Cinnamon Bark, Cloves, Coriander Powder, Coriander Seed/Whole, Cowpea, Cumin Powder, Cumin Whole, Dill Seed (Aowa), Fennel Seed, Fenugreek, Flax Seed, Foxtail Millet, Green Cardamom, Green Gram Whole (Moong Sabut), Kabuli Chana, Kalonji/Nigella, Kasuri Methi, Maida, Masoor Dal, Masur/Masoor Dhuli, Matki/Moth Bean, Moringa Dried Leaves, Moringa Leaves, Moringa Powder, Moth Dal, Moth Dhuli, Muskmelon Seeds, Mustard, Mustard - Black, Pearl Millet/Bajra, Poha Flattened Rice, Proso Millet, Pumpkin Seeds, Quinoa, Ragi/Finger Millet Grain, Raisins/Kismis, Red Chilli (Whole), Red Chilli Flakes, Red Chilli Powder, Red Kidney Beans/Rajma (Phaseolus Vulgaris), Split Greem Gram/Moong (Vigna Sp.), Turmeric Dried, Turmeric Powder, Urad Dal Split, Urad Dhuli, Urad Whole(Black), Virgin Coconut Oil, Walnut, Walnut Kernels, Water Melon Seeds, Wheat, Wheat Flour, White Sesame/Sesame</t>
  </si>
  <si>
    <t>Other Grains, Pastas and Cereals: Starch; Other: Drying of Organic Products, Packaging of Organic Products, Protein, Protein, Protein, Protein</t>
  </si>
  <si>
    <t>Other Grains, Pastas and Cereals: Starch; Other: Drying of Organic Products, Packaging of Organic Products, Protein, Protein, Protein, Protein, Protein, Protein, Protein, Protein</t>
  </si>
  <si>
    <t>Preservatives/Extracts/Flavors: Extracts (Extracts (Various)), Extracts (Extracts (Various)), Extracts (Extracts (Various)), Powders (Maitake Mushrooms (powders, extracts)), Powders (Shiitake Mushrooms (powders, extracts)), Powders (Mushrooms, Various (powders, extracts)), Spices (Herbs &amp; Spices (Various)), Spices (Herbs &amp; Spices (Various)); Other Grains, Pastas and Cereals: Grains (Various), Grains (Various); Oils &amp; Oleoresins: Oils (Oils (Various)), Oils (Oils (Various)); Nuts/Seeds: Nuts (Nuts (Various)), Nuts (Nuts (Various)), Seeds (Various), Seeds (Various); Health Products: Supplements (Tablets (Various)), Supplements (Dietary Supplements (Various)), Supplements (Tablets (Various)); Fruits/Vegetables: Beans (Beans (various)), Dried Fruits (Various), Dried Fruits (Various), Mixed Fruit (Fruit Mix (Various)), Mixed Fruit (Fruit Mix (Various)), Mixed Vegetables (Vegetable mix (Various)), Mixed Vegetables (Vegetable mix (Various)), Vegetables (Dehydrated Vegetables (Various)), Vegetables (Dehydrated Vegetables (Various)); Dry/Baking Goods: Fiber (Various), Fiber (Various), Flours and Meals (Flour (Various)), Flours and Meals (Flour (Various)), Powders (Powders (Various)), Powders (Powders (Various)), Starches (Various), Starches (Various); Condiments and Sweeteners: Sweeteners (Sweetner (Various)), Sweeteners (Sweetner (Various)); Beverage Related Products: Juice (Juice (Various)), Juice (Juice (Various)); Other: Powder Blends (Various), Powder Blends (Various), Proteins (Various), Proteins (Various)</t>
  </si>
  <si>
    <t>Processed  Items: Dehydrated Foods (Agaricus bisporus dried, Agrocybe aegerita dried, Alfalfa dried, Auricularia polytricha dried, Black fungus (Auricularia auricula) dried, Black truffle (Tuber indicum) dried, Boletus edulis (Porcini) dried, Chaga (Inonotus obliquus) dried, Chanterelle (Cantharellus cibarius) dried, Chinese date granule, Chinese date slice, Chinese date whole, Coprinus comatus (shaggy mane) dried, Cordyceps militaris dried, Dehydrated beet root dried, Dehydrated broccoli dried, Dehydrated carrots dried, Dehydrated garlic dried, Dehydrated green cabbage dried, Dehydrated kale dried, Dehydrated spinach dried, Dehydrated tomatoes dried, Enoki Mushroom (Flammulina velutipes) dried, Flammulina Velutipes (Enoki Mushroom) dried, Fomitopsis officinalis dried, Ganoderma applanatum (Artist's Conk) dried, Gloeostereum incarnatum dried, Goji berry tablet, Lion's mane (Hericium Erinaceus) dried, Maitake (Grifola frondosa) dried, Marasmiellus androsaceus dried, Maximum immunity dried, Meshima (Phellinus linteus) dried, Morchella (Morchella esculenta) dried, Optimized recovery, Oyster mushroom (Pleurotus ostreatus) dried, Panus gigianteus dried, Piptoporus betulinus dried, Pleurotus abalonus dried, Pleurotus citrinopileatus dried, Pleurotus eryngii dried, Pleurotus geesteranus dried, Pleurotus nebrodensis dried, Pleurotus pulmonarius (Indian Oyster) dried, Polyporus umbellatus dried, Pyropolyporus fomentarius (Tinder Fungus/Conk) dried, Ramaria botrytoides dried, Reishi (Ganoderma lucidum) dried, Relax Evening Elixir, Revive Morning Elixir, Schizophyllum commune (Common Porecrust) dried, Shiitake (Lentinus edodes) dried, Termitormyces albuminosus dried, Trametes versicolor (Coriolus versicolor) dried, Tremella fuciformis (snow fungus) dried, Volvariella volvacea dried), Dehydrated Foods (Dried gojiberry), Pea protein (wet), Phellinus igniarius dried, Phellinus pini (Pine Conk) dried, Pomegranate dried, Poria cocos (Tuckahoe) dried, Pumpkin seed protein powder, Rice protein powder, Soybean protein milk powder , Spinach dried, Sunflower seed protein powder, Sweet potato protein powder, Almond protein/tablet , Armillaria mellea (Honey Fungus) dried, Brown Rice protein, Fava bean protein, Flax protein powder, Hemp seed/kernel/heart protein powder, Inulin powder, Kiwi fruit wild dried, Mung bean protein, Pea fiber, Pea protein peptide, Pea hydrolyzed protein, Pea protein (dry), Powders (Docosahexaenoic Acid Powder (DHA Algal oil powder), Schizochytrium Algal powder), Powders (Chlorella powder, Chlorella tablet, Spirulina Chlorella powder, Spirulina powder); Preservatives/Extracts/Flavors: Extracts (Blueberry extract, Chinese yam extract), Extracts (Agaricus bisporus extract, Agaricus blazei murill (Agaricus subrufescens) extract, Agarikon (Laricifomes/Fomi topsis officinalis) extract, Agrocybe aegerita extract, Alfalfa extract, Apple extract, Armillaria mellea (Honey Fungus) extract, Astragalus roots (Astragalus menbranaceus) extract, Auricularia polytricha extract, Beet root extract, Bitter apricot kernel extract, Black fungus (Auricularia auricula) extract, Black truffle (Tuber indicum) extract, Boletus edulis (Porcini) extract, Burdock root extract/tablet, Cassia seeds extract/tablet, Chaga (Inonotus obliquus) extract, Chanterelle (Cantharellus cibarius) extract, Chinese Angelica/Dong Quai extract, Chinese date extract/tablet, Cinnamon extract/tablet, Cistanche extract/tablet, Common yam rhizome extract/tablet, Coprinus comatus (shaggy mane) extract, Cordyceps militaris extract, Cordyceps sinensis (Paecilomyces hepiali) - mycelium extract, Cordyceps sinensis extract, Coriolus versicolor (Trametes versicolor) mycelium extract, Cranberry extract, Echinacea extract, Echinacea herb extract, Elderberry extract, Enoki Mushroom (Flammulina velutipes) extract, Epimedium/Horny Goat Weed extract, Fenugreek extract, Fiveleaf gynostemma herb extract, Flammulina Velutipes (Enoki Mushroom) extract, Fomitopsis officinalis extract, Ganoderma applanatum (Artist's Conk) extract, Ganoderma lucidum (Reishi) - mycelium extract, Ginger extract, Ginkgo leaf extract, Ginkgo leaf extract/tablet, Ginseng extract, Gloeostereum incarnatum extract, Goji berry extract, Greater Burdock extract, Honey suckle flower (Lonicera japonica) extract, Horny Goat Weed (Epimedium) extract, Licorice extract/tablet, Lion's mane (Hericium Erinaceus) extract, Liquorice extract, Maca extract, Maitake (Grifola frondosa) extract, Marasmiellus androsaceus extract, Meshima (Phellinus linteus) extract, Milk thistle extract, Monk Fruit extract, Morchella (Morchella esculenta) extract, Mulberry leaf extract/tablet, Mushroom coffee extract, Mushroom emperor's blend (lion's mane, red reishi, cordyceps, chaga) extract, Nettle (Urtica dioica) extract, Oatgrass extract, Olive leaf extract/tablet, Organic Beauty blend, Organic body blend, Organic Eight Mushroom Blend extract, Organic Eight Mushroom Blend extract powder, Organic mind mix, Organic Mushroom Elixir extract/extract powder, Organic mycocomplex extract, Organic mycocomplex extract powder, Oyster mushroom (Pleurotus ostreatus) extract, Panax ginseng (white ginseng) extract/tablet, Panus gigianteus extract, Passion flower extract, Peppermint extract, Phellinus igniarius extract, Phellinus pini (Pine Conk) extract, Piptoporus betulinus extract, Pleurotus abalonus extract, Pleurotus citrinopileatus extract, Pleurotus eryngii extract, Pleurotus geesteranus extract, Pleurotus nebrodensis extract, Pleurotus pulmonarius (Indian Oyster) extract, Polyporus umbellatus extract, Pomegranate extract, Poria cocos (Tuckahoe) extract, Pyropolyporus fomentarius (Tinder Fungus/Conk) extract, Radix maltiflower knotweed (Polygonum multiflorum) extract, Ramaria botrytoides extract, Raspberry fruit extract, Reishi (Ganoderma lucidum) extract, Rhodiola rosea extract, Rosehip fruits (Rosa canina) extract, Schisandra fruits (Schisandra chinensis) extract, Schizophyllum commune (Common Porecrust) extract, Sea buckthom extract, Sea Buckthorn Hippophae rhamnoides extract, Shiitake (Lentinus edodes) extract, Shorthorned epimedium extract, Siberian ginseng extract, Six mushrooms super six (lion's mane, red reishi, cordyceps, chaga, tremella, turkey tail), extract powder, Spinach extract, Strawberry wild extract/tablet, Superfood (Pure Organic Mushroom powder extract), Termitormyces albuminosus extract, Trametes versicolor (Coriolus versicolor) extract, Tremella fuciformis (snow fungus) extract, Tribulus terrestris extract, Turkey tail extract, Turmeric Root extract, Valerian root extract, Volvariella volvacea extract, Wheat grass extract), Extracts (Artichoke Extract); Other Grains, Pastas and Cereals: Wheat (Buckwheat); Oils &amp; Oleoresins: Oils (Evening primrose oil, Flaxseed oil, Perilla seed oil, Seabuckthorn Fruit Oil, Seabuckthorn Oil, Seabuckthorn Seed Oil), Oils (Hemp seed oil, Pumpkin seed/heart oil, Reishi spore oil (Ganoderma lucidum)); Nuts/Seeds: Seeds (Flax seed, Hulled/shelled flax seed (flax kernel/heart), Hulled/shelled hemp seed (hemp kernel/heart) , Hulled/shelled pumpkin seed (pumpkin kernel/heart), Pumpkin seed, Sunflower seed); Health Products: Herbs (Agarikon (Laricifomes/Fomi topsis officinalis) dried, Astragalus root cut, Astragalus roots (Astragalus menbranaceus) dried, Baical Skullcap (root &amp; leaf) /Scutellaria baicalensis slice, cut, Baical Skullcap (root &amp; leaf) /Scutellaria baicalensis whole, Chinese Angelica/Dong Quai crude drog, Chinese Angelica/Dong Quai cut, Cistanche dried, Dandelion herb/Taraxacum mongolicum, Fiveleaf gynostemma herb tablet, Fiveleaf gynostemma herb whole, Liquorice cut, Liquorice whole, Lotus Seed, Olive leaf granule, Olive leaf slice, Olive leaf whole, Osmanthus flowers dried, Red Ginseng root cut, Red Ginseng root slice, Rhodiola rosea whole, Siberian ginseng cut, Siberian ginseng tablet, Tribulus terrestris dried, Turmeric Root slice, Turmeric Root whole, Valerian root granule, Valerian root slice, Valerian root whole); Fruits/Vegetables: Berries (Sea buckthorn granule, Sea buckthorn slice, Sea buckthorn whole), Konjac gum, Mulberry leaf granule, Mulberry leaf slice, Mulberry leaf whole, Pomegranate granule, Pomegranate slice, Pomegranate whole, Schisandra fruits (Schisandra chinensis) granule, Schisandra fruits (Schisandra chinensis) slice, Apple cut, Apple granule, Honey suckle flower (Lonicera japonica) granule, Honey suckle flower (Lonicera japonica) slice, Kiwi fruit wild tablet, Powders (Blueberry juice powder, Blueberry powder, Isomalto-oligosaccharide powder), Powders (Agaricus bisporus powder, Agaricus blazei murill (Agaricus subrufescens) powder, Agarikon (Laricifomes/Fomi topsis officinalis) powder, Agrocybe aegerita powder, Alfalfa juice powder, Apple cider vinegar powder, Apple juice powder, Apple powder, Armillaria mellea (Honey Fungus) powder, Astragalus roots (Astragalus menbranaceus) powder, Baical Skullcap (root &amp; leaf) /Scutellaria baicalensis powder, Barley grass juice powder, Barley grass powder, Beet root juice powder, Beet root powder, Bitter apricot kernel juice powder, Bitter apricot kernel powder, Black fungus (Auricularia auricula) powder, Black truffle (Tuber indicum) powder, Boletus edulis (Porcini) powder, Burdock root powder, Carrot juice powder, Carrot powder, Cassia seeds powder, Chaga (Inonotus obliquus) powder, Chanterelle (Cantharellus cibarius) powder, Chinese Angelica/Dong Quai powder, Chinese date fruit powder, Chinese date juice powder, Chinese date powder, Chinese yam powder, Cinnamon powder, Cistanche powder, Common yam rhizome powder, Coprinus comatus (shaggy mane) powder, Cordyceps militaris powder, Cordyceps sinensis (Paecilomyces hepiali) - mycelium powder, Cordyceps sinensis powder, Coriolus versicolor (Trametes versicolor) mycelium powder, Cranberry juice powder, Cranberry powder, Dandelion root powder, Dehydrated beet root powder, Dehydrated broccoli powder, Dehydrated carrots powder, Dehydrated cauliflower (granules, powder), Dehydrated celery (granules, powder), Dehydrated garlic powder, Dehydrated green cabbage powder, Dehydrated kale powder, Dehydrated spinach powder, Dehydrated tomatoes powder, Echinacea herb powder, Echinacea powder, Echinacea purpurea powder, Echinacea purpurea tablet, Echinacea tablet, ECO-TASTE Mushroom Extract powder, 10 Blend (Reishi, Chaga, Lions, Mane, Cordyceps militaris, Maitake, Turkey Tail, Black fungus, Tremella fuciformis, Phellinus, Poria), ECO-TASTE Mushroom Extract powder, 6 Blend (Reishi, Chaga, Lions, Mane, Cordyceps militaris, Maitake, Turkey Tail), Elderberry powder, Elderberry tablet, Enoki Mushroom (Flammulina velutipes) powder, Epimedium/Horny Goat Weed powder, Fenugreek powder, Fiveleaf gynostemma herb powder, Flammulina Velutipes (Enoki Mushroom) powder, Flax powder, Fomitopsis officinalis powder, Ganoderma applanatum (Artist's Conk) powder, Ganoderma lucidum (Reishi) - mycelium powder, Ginger powder, Ginkgo leaf powder, Ginseng powder, Gloeostereum incarnatum powder, Goji berry juice powder, Grape seed powder, Greater Burdock powder, Green Tea powder/Matcha , Honey suckle flower (Lonicera japonica) powder, Horny Goat Weed (Epimedium) powder, Horsetail powder, Kale powder, Kiwi fruit wild juice powder, Kiwi fruit wild powder, Konjac powder (Amorphophallus Konjac), Licorice powder/cut, Lion's mane (Hericium Erinaceus) powder, Liquorice powder, Maca powder, Maitake (Grifola frondosa) powder, Marasmiellus androsaceus powder, Meshima (Phellinus linteus) powder, Milk thistle powder, Monk Fruit powder, Morchella (Morchella esculenta) powder, Mulberry juice powder, Mulberry leaf powder, Mulberry powder, Mushroom emperor's blend (lion's mane, red reishi, cordyceps, chaga) powder, Nettle (Urtica dioica) powder, Oatgrass juice powder, Oatgrass powder, Olive leaf powder, Organic Bamboo powder, Organic Bitter Melon powder, Organic Chamomile powder, Organic Gynostemma Pentahyllum powder, Organic Peppermint powder, Organic Plantain Herb powder, Oyster mushroom (Pleurotus ostreatus) powder, Panax ginseng (white ginseng) powder, Panus gigianteus powder, Passion flower powder, Passion flower tablet, Peppermint powder, Phellinus igniarius powder, Phellinus pini (Pine Conk) powder, Piptoporus betulinus powder, Pleurotus abalonus powder, Pleurotus citrinopileatus powder, Pleurotus eryngii powder, Pleurotus geesteranus powder, Pleurotus nebrodensis powder, Pleurotus pulmonarius (Indian Oyster) powder, Polyporus umbellatus powder, Pomegranate fruit powder, Pomegranate juice powder, Pomegranate powder), Powders (Mix Powder/Extract (The below-mentioned powders/ extracts can be produced to Mix powder/ extract), Goji berry powder), Powders (Artichoke Powder), Vegetables (Dehydrated beet root chopped, Dehydrated beet root diced, Dehydrated beet root slice/flakes, Dehydrated broccoli granules, Dehydrated carrots diced, Dehydrated carrots flakes, Dehydrated carrots granules, Dehydrated carrots minced, Dehydrated garlic diced, Dehydrated garlic granules, Dehydrated garlic slice, Dehydrated green cabbage slice/flakes, Dehydrated kale slice/flakes, Dehydrated spinach flakes, Dehydrated tomatoes diced, Dehydrated tomatoes granules, Dehydrated tomatoes slice, Spinach tablet); Fiber Textiles: Mung bean fiber; Dry/Baking Goods: Flours and Meals (Corn starch, Hemp flour, Mung bean starch, Pea starch, Tapioca starch); Condiments and Sweeteners: Sweeteners (Fructo-oligosaccharide powder, Fructo-oligosaccharide syrup, Maltodextrin, Polydextrose powder, Polydextrose syrup, Resistant dextrin powder, Resistant dextrin syrup, Stevia glycoside, Tapioca Maltodextrin), Sweeteners (Isomalto-oligosaccharide syrup); Beverage Related Products: Coffee (Coffee agglomerated instant/extract/reeze dried instant/oil/spray dried instant); Other: Docosahexaenoic Acid oil (DHA Algal oil), Schizochytrium Algal, Schizochytrium Algal dried, Sea buckthorn dried, Spirulina Chlorella tablet, Spirulina Extract (Phycocyanin), Spirulina tablet</t>
  </si>
  <si>
    <t>Processed  Items: Pumpkin Kernels (GWS, Shine Skin), Pumpkin seed GWS/pumpkin seed SSP, Sunflower Kernels, Sunflower seed; Other Grains, Pastas and Cereals: Cereal (Corn); Nuts/Seeds: Nuts (Walnut), Peanuts (Peanut, Peanut, Groundnut kernels - unprocessed); Other: Beans (Soybean)</t>
  </si>
  <si>
    <t>Processed  Items: Brown Rice Protein Powder, Pea protein (Dry), Pea Protein Powder (B Class), Red yeast rice (powder), Rice Protein Powder, Sorghum (Sorghum protein), Soybean Lecithin (fluid), Soybean Lecithin (powder), Soybean protein, Sunflower Lecithin (powder), Sunflower seeds protein, Pea protein, Sunflower Lecithin (fluid), Pea protein (Wet), Pea Protein Powder (A Class); Preservatives/Extracts/Flavors: Extracts (Monk fruit extract / extract powder); Other Grains, Pastas and Cereals: Sorghum (Sorghum (Hulled Sorghum)), Wheat (Wheat (Buckwheat groats), Wheat (Buckwheat)); Oils &amp; Oleoresins: Oils (Rapeseed oil, Sunflower oil , Sunflower seed oil); Nuts/Seeds: Seeds (Sunflower kernels, Sunflower seeds); Health Products: Herbs (Ginseng/White Ginseng, Red Ginseng); Dry/Baking Goods: Flours and Meals (Inulin powder); Condiments and Sweeteners: Sweeteners (Allulose, Allulose powder, Allulose syrup, Blended Sweetener (Erythritol, Monk Fruit extract), Blended Sweetener (Erythritol, Stevia extract), Blended Sweetener (Erythritol+Pea Protein Blend), COmpound Stevia Sweetener / Table-top Sweetener, Crystalline allulose (D-psicose) / allulose crystalline powder, Crystalline fructose, Enzymatic Modified Stevia Extract 80-95% (Glucosyl Steviol Glycosides 80-95%), Erythritol, Fructo oligosaccharide, Fructo-oligosaccharide Powder, Fructo-oligosaccharide Syrup, Fructose syrup, Galacto-oligosaccharide powder, Galacto-oligosaccharide Syrup, Glucose Syrup, Glucose Syrup Solids (Glucose Syrup Powder), Isomaltooligosaccharide, Isomalto-oligosaccharide powder (IMO-900 Powder/High DP IMO Powder), Isomalto-oligosaccharide syrup (IMO-900 Syrup; High DP IMO Syrup), Isomaltulose, Malt Syrup, Maltitol, Maltitol Liquid, Maltodextrin, Mixed sweeteners, Monk fruit erythritol, Monk fruit extract &amp; stevia extract blends, Monk fruit extract &amp; Xylitol blends, Polydextrose powder, Polydextrose syrup, Resistant dextrin powder (Soluble fiber powder), Resistant dextrin syrup (Soluble fiber syrup), Sorbitol, Sorbitol Liquid, Soy lecithin, Stevia blend / Monarch 2.3 Blend / Monarch 3.0 Blend, Stevia Extract &amp; Erythritol Blends, Stevia rebaudiana extract/extract powder, Xylitol), Sweeteners (Monk fruit extract &amp; erythritol blends, Monk fruit extract (Monk fruit sweetener), Stevia Extract, Steviol Glycosides RA20-99%, Steviol Glycosides RD 20-99%, Steviol Glycosides RM 20-99%, Steviol Glycosides SG 20-99%, Steviol Glycosides STV 20-99%, Xylo-Oligosaccharide powder 70%, Xylo-Oligosaccharide powder 95%, Xylo-Oligosaccharide syrup 70%, Xylo-Oligosaccharide syrup 95%); Other: Soybean cake</t>
  </si>
  <si>
    <t>Processed  Items: Brown Rice Protein, Fava Bean Protein, Hemp Heart Peptide, Hydrolyzed rice protein, Mung Bean Protein , Pea Protein, Rice protein, Dehydrated Foods (Aloe Vera Gel Juice, FD (Frozen dried) Banana (Diced, Sliced, Powder), Goji Berry dried), Dehydrated Foods (Agaricus bisporus dried, Agaricus blazei Murrill (Agaricus subrufescens) dried, Agarikon (Laricifomes/Fomitopsis officinalis) dried, Agrocybe aegerila (Agrocybe chaxinggu) dried, Armillaria mellea (Honey Fungus) dried, Beet Root (slice/flakes, diced, powder), Black fungu (Auricularia auricula) - dried, Boletus edulis (Porcini) - dried, Celery (powder; granules; diced), Chage (Inonotus obliquus)-dried, Coprinus comatus(shaggy mane)-dried, Cordyceps militaris-dried, Cordyceps sinensis (Paecilomyces hepiali) - mycelium dried, Cordyceps sinensis(Paecilomyces hepiali) - mycelium extract, Cordyceps sinensis(Paecilomyces hepiali) - mycelium powder, Enoki Mushroom (Flammulina velutipes)-dried, Ganoderma applanatum (Artist's Conk) - dried, Garlic (Flakes; granules; minced; chopped; powder; G1; G2; G3; G4; G5), Kale (slice/flakes, powder), Lions mane (Hericium erinaceus) - dried, Maitake (Grifola frondosa) - dried, Meshima (Phellinus linteus) - dried, Morchella (Morchella esculenta) - dried, Onion (slice/flakes; minced; chopped; granules; powder）, Oyster mushroom(Pleurotus ostreatus), dried, Pleurotus eryngii - dried, Polyporus umbellatus - dried, Poria cocos (Tuckahoe) - dried, Pyropolyporus fomentarius (Tinder Fungus/Conk) - dried, Reishi (Ganoderma lucidum) - dried, Schizophyllum commune (Common Porecrust)- dried, Shiitake (Lentinus edodes) - dried, Spinach (flakes, powder), Trametes versicolor (Coriolus versicolor) - dried, Tremella fuciformis (snow fungus) -dried), Sunflower Protein Powder, Sunflower Protein Powder (Grade 60), Tomatoes (slice, granules, powder, diced), Watermelon Seed Protein Powder, Phellinus pini (Pine Conk) - dried, Pumpkin Protein powder, Mung Bean Fiber , Hemp Heart Powder, Hemp Protein Powder, Hemp Seed Powder, Flax Protein Powder; Preservatives/Extracts/Flavors: Extracts (Agaricus blazei Murrill (Agaricus subrufescens) extract, Banana Extract, Chage (Inonotus obliquus)-extract, Coprinus comatus(shaggy mane)-extract, Cordyceps militaris-extract, Cordyceps sinensis - extract, Coriolus versicolor (Trametes versicolor) - mycelium extract, Enoki Mushroom (Flammulina velutipes)-extract, Ginseng (extract), Goji Berry (Extract), L-Arabinose, Lions mane (Hericium erinaceus) - extract, Maitake (Grifola frondosa) - extract, Maitake (Grifola frondosa) - mycelium extract, Meshima (Phellinus linteus) - extract, Milk Thistle (Silybum marianum) - extract, Morchella (Morchella esculenta) - extract, Nettle (Urtica dioica) - extract, Oyster mushroom (Pleurotus ostreatus) - extract, Phellinus pini (Pine Conk) - extract, Pleurotus eryngii - extract, Polyporus umbellatus - extract, Poria cocos (Tuckahoe) - extract, Pyropolyporus fomentarius (Fomes fomentarius, Tinder Fungus/Conk) - extract, Raspberry Extract, Red Ginseng Extract, Reishi (Ganoderma lucidum) - extract, Schisandra fruits (Schisandra chinensis) - extract, Shiitake(Lentinus edodes) - extract, Siberian ginseng root (Eleutherocus senticosus) - extract, Vacant Pullulan Capsules, White Ginseng Extract), Extracts (4 mushroom emperor’s blend (lion’s mane, red reishi, cordyceps, chaga) Extract, Agaricus bisporus extract, Agaricus blazei murrill mycelium extract, Agarikon (Laricifomes/Fomitopsis officinalis) extract, Agrocybe aegerila (Agrocybe chaxinggu) extract, Alfalfa Extract, Armillaria mellea (Honey Fungus) extract, Astragalus roots (Astragalus menbranaceus)-extract, Barley Grass Extract, Beet root Extract, Bilberry Extract, Boletus edulis (Porcini) - extract, Carrots (diced; flakes; granules; powder), Cinnamon Extract, Cranberry Extract, Dandelion (Extract), Danshen Extract, Dehydrated Broccoli (granules; powder), Fiveleaf gynostemma herb Extract, Ganoderma applanatum (Artist's Conk) - extract, Ginger (slice/flakes; minced; chopped; granules; powder; ground), Ginger Extract, Ginkgo Biloba Extract, Ginkgo leaf Extract, Honey suckle flower (Lonicera japonica) - extract, Horny Goat Weed (Epimedium) - extract, Maca Extract, Maca Powder, Monk Fruit Extract, Mulberry Extract, Mulberry Leaf (Mori Folium) Extract, Oat grass Extract, Passion flower Extract, Pomegranate Extract , Radix maltiflower knotweed (Polygonum multiflorum) - extract, Rhodiola Rosea - extract, Rosehip fruits (Rosa canina) - extract, Schizophyllum commune (Common Porecrust) - extract, Sea buckthorn fruit Extract, Trametes versicolor (Coriolus versicolor) - extract, Tremella fuciformis (snow fungus) - extract, Tribulus terrestris - extract, Turmeric Extract, Wheat Grass Extract), Extracts (Black fungus(Auricularia auricula)-extract); Other Grains, Pastas and Cereals: Wheat (Buckwheat); Oils &amp; Oleoresins: Oils (Borage seed oil , Evening Primrose Oil, Organic flaxseed oil , Organic Pumpkin seed oil , Organic Safflower Seed Oil , Perilla oil, Pomegranate Seed Oil, Soybean oil , Sunflower Oil, Walnut Oil), Oils (Hemp heart oil, Hemp seed oil, Pumpkin Heart Oil, Reishi spores oil (Ganoderma lucidum spores oil)); Nuts/Seeds: Seeds (Flax Hulled Seed); Health Products: Aloe Vera (Aloe Vera Freeze Dried Powder 200:1(WO), Aloe Vera Spray Dried Powder 200：1(WO)), Herbs (Astragalus roots(Astragalus menbranaceus)-dried, Dandelion (cut), Ginseng sliced, dried, Honey suckle flower (Lonicera japonica) - slice, Maximum immunity, Red Ginseng dried, Red Ginseng tails, dried, White Ginseng Dried, White Ginseng tails, dried); Fruits/Vegetables: Dehydrated Foods (Schisandra fruits (Schisandra chinensis) - granule, Schisandra fruits (Schisandra chinensis) - slice),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Goji Berry powder), Powders (4 mushroom emperor’s blend (lion’s mane, red reishi, cordyceps, chaga) Powder, Agaricus bisporus - powder, Agaricus blazei Murrill (Agaricus subrufescens) powder, Agaricus blazei murrilll mycelium powder, Agarikon (Laricifomes/Fomitopsis officinalis) powder, Agrocybe aegerila (Agrocybe chaxinggu) powder, Alfalfa grass Powder, Alfalfa Powder, Armillaria mellea (Honey Fungus) powder, Astragalus roots (Astragalus menbranaceus)-powder, Banana Juice powder, Banana Powder, Barley Grass Juice powder, Barley Grass Powder, Beet root Juice powder, Beet root Powder, Bilberry Powder, Black fungus(Auricularia auricula)-powder, Boletus edulis (Porcini) - powder, Chage (Inonotus obliquus)-powder, Cinnamon Powder, Coprinus comatus(shaggy mane)-powder, Cordyceps militaris-powder, Cordyceps sinensis - Powder, Coriolus versicolor (Trametes versicolor) - mycelium powder, Cranberry Juice powder, Cranberry Powder, Dandelion (Powder, Tablet), Danshen Powder, Enoki Mushroom (Flammulina velutipes)-powder, Fiveleaf gynostemma herb Powder, Flax Heart Powder, Flax Seed Powder, Ganoderma applanatum (Artist's Conk) - powder, Ganoderma lucidum (Reishi) - mycelium powder, Ginger Powder, Ginkgo Biloba Powder, Ginkgo leaf Powder, Ginkgo leaf Tablet, Ginseng powder/White ginseng powder, Honey suckle flower (Lonicera japonica) - granule, Honey suckle flower (Lonicera japonica) - powder, Horny Goat Weed (Epimedium) - powder, Lions mane (Hericium erinaceus) - powder, Maitake (Grifola frondosa) - mycelium powder, Maitake (Grifola frondosa) - powder, Meshima (Phellinus linteus) - powder, Monk Fruit Powder, Morchella (Morchella esculenta) - powder, Mulberry Leaf (Mori Folium) Powder , Mulberry Powder, Nettle (Urtica dioica) - powder, Oat grass Powder, Oyster mushroom (Pleurotus ostreatus) - powder, Passion flower Powder/Extract), Phellinus pini (Pine Conk) - powder, Pleurotus eryngii - powder, Polyporus umbellatus - powder, Pomegranate Fruit Powder, Pomegranate Juice Powder, Poria cocos (Tuckahoe) - powder, Pumpkin Heart Powder, Pumpkin seed powder, Pyropolyporus fomentarius (Tinder Fungus/Conk) - powder, Radix maltiflower knotweed (Polygonum multiflorum) - powder, Raspberry Powder, Reishi (Ganoderma lucidum) - powder, Reishi spore powder (Ganoderma lucidum) - shell-broken or not shell-broken, Rosehip fruits (Rosa canina) - powder, Schisandra fruits (Schisandra chinensis) - powder, Schizophyllum commune (Common Porecrust) - powder, Sea buckthorn fruit Powder, Shiitake (Lentinus edodes) - powder, Siberian ginseng root (Eleutherocus senticosus) - powder, Sunflower Heart Powder, Sunflower Heart Powder (Grade 60), Sunflower Seed Powder, Sunflower Seed Powder (Grade 60), Trametes versicolor (Coriolus versicolor) - powder, Tremella fuciformis (snow fungus) - powder, Tribulus terrestris - powder, Turmeric root powder, Wheat Grass Juice powder, Wheat Grass Powder); Fiber Textiles: Pea Fiber; Dry/Baking Goods: Flours and Meals (Inulin, Polydextrose (Powder, Syrup), Red yeast rice (powder), Resistant Dextrin (Powder, Syrup)), Flours and Meals (Corn starch, Hemp seed flour, Inulin powder, Pea starch); Condiments and Sweeteners: Honey (Honey), Sugar (Allulose (Powder), Allulose (Syrup), Crystalline allulose (D-psicose)/allulose crystalline powder), Sweeteners (D-Xylose, D-Xylose liquid, Erythritol, Erythritol powder, Fructo-oligosaccharide (Powder,Syrup), Glucose, Isomaltooligosaccharide (Powder,Syrup) (IMO-900 (Powder,Syrup),High DP IMO (Powder,Syrup)), Maltose Syrup, Refined D-Xylose, Steviol glycosides, Xylitol, Xylitol Powder), Sweeteners (Stevia Extract/Steviol Glycosides RA20-99%, Steviol Glycosides RM20-99%/Steviol Glycosides STV20-99%, Steviol Glycosides SG20-99%/Steviol Glycosides RD20-99%); Beverage Related Products: Juice (Aloe Vera Gel (Juice and Diced), Aloe Vera Gel Concentrated Juice, Goji berry Juice, Gojiberry Juice, concentrate), Tea (Matcha/Matcha Powder/Matcha Green Tea/CAMEL Jasmine Pearls/CAMEL 100% Matcha); Other: Phycocyanin powder, Pollen, Propolis , Royal jelly, Spirulina powder, Spirulina tablet, Spirulina-Chlorella tablets , Bee pupae, Beeswax, Chlorella Powder, Chlorella Tablet, Hemp cake/meal, Lyophilized Royal jelly powder</t>
  </si>
  <si>
    <t>Processed  Items: Brown Rice Protein, Rice Protein, Dehydrated Foods (Goji berry dried), Dehydrated Foods (Agaricus bisporus dried, Agaricus blazei Murrill (Agaricus subrufescens) dried, Agrocybe aegerila (Agrocybe chaxinggu) dried, Beet Root diced, Beet Root slice/flakes, Black fungus(Agricularia auricula) dried, Black truffle (Tuber indicum) dried, Boletus edulis (Porcini) dried, Boletus edulis granules, Broccoli granules, Carrots diced, Carrots flakes, Carrots granules, Carrots minced, Chaga (Inonotus obliquus) dried, Chanterelle (Cantharellus cibarius) dried, Coprinus comatus (shaggy mane) dried, Cordyceps militaris dried, Enoki Mushroom (Flammulina velutipes) dried, Garlic chopped, Garlic flakes, Garlic granules, Garlic minced, Kale slice/ flakes, Lion's mane (Hericium erinaceus) dried, Maitake (Grifola Frondosa) dried, Meshima (Phellinus linteus) dried, Morchella (Morchella esculenta) dried, Onion chopped, Onion granules, Onion kribbled, Onion minced, Onion slices/ flakes, Oyster mushroom (Pleurotus ostreatus) dried, Pleurotus eryngii dried, Pleurotus pulmonarius (Indian Oyster) dried, Polyporus umbellatus dried, Pyropolyporus fomentarius (Tinder Fungus/Conk) dried, Pyropolyporus fomentarius (Tinder Fungus/Conk) powder, Reishi (Ganoderma lucidum) dried, Schisandra fruits (Schisandra chinensis) granule, Schisandra fruits (Schisandra chinensis) slice, Schizophyllum commune (Common Porecrust) dried, Shiitake (Lentinus edodes) dried, Trametes versicolor (Coriolus versicolor) dried, Tremella fuciformis (snow fungus) dried), hemp heart peptide, Hydrolyzed rice protein, Mung Bean protein, Pea protein, Phellinus Igniarius dried, Phellinus pini (Pine Conk) dried, Pomegranate granule, Poria cocos (Tuckahoe) dried, Pumpkin Seed/kernel/heart powder/protein powder, Sunflower Seed/kernel/heart powder/protein powder, Sunflower seed/kernel/heart powder/protein powder (Grade 60), Tomatoes diced, Tomatoes granules, Tomatoes slice/flakes, Organic Watermelon Seed Protein Powder, Hemp Seed/kernel/heart protein flake/chunk/cracker, Hemp seed/kernel/heart protein powder, FD (freeze-dried) Banana, FD (freeze-dried) Banana diced, FD (freeze-dried) Banana sliced, Flax Seed/kernel/heart powder/protein powder, Ganoderma applanatum (Artist's Conk) dried, Armillaria mellea (Honey Fungus) dried, Powders (Chlorella powder, Spirulina powder); Preservatives/Extracts/Flavors: Extracts (4 mushroom emperors blend (lions mane, redreishi, cordyceps, chage) extract, Agaricus bisporus extract, Agaricus blazei murill mycelium extract, Agaricus blazei Murrill (Agaricus subrufescens) extract, Agarikon (Laricifomes/Fomi topsis officinalis) extract, Agrocybe aegerila (Agrocybe chaxinggu) extract, Alfalfa extract, Armillaria mellea (Honey Fungus) extract, Astragalus roots (Astragalus menbranaceus) extract, Barley Grass extract, Beet Root extract, Bilberry extract, Black fungus (Agricularia auricula) extract, Black truffle (Tuber indicum) extract, Boletus edulis (Porcini) extract, Chaga (Inonotus obliquus) extract, Chanterelle (Cantharellus cibarius) extract, Cinnamon extract, Coprinus comatus (shaggy mane) extract, Cordyceps militaris extract, Cordyceps sinensis (Paecilomyces hepiali) mycelium extract, Cordyceps sinensis extract, Coriolus versicolor (Trametes versicolor) mycelium extract, Cranberry extract, Dandelion extract, Enoki Mushroom (Flammulina velutipes) extract, Fiveleaf Gynostemma Herb extract, Fomes fomentarius extract, Ganoderma applanatum (Artist's Conk) extract, Ganoderma lucidum (Reishi) mycelium extract, Goji berry extract, Honey suckle flower (Lonicera japonica) extract, Honey suckle flower extract, Horny Goat Weed (Epimedium) extract, Horsetail extract, Licorice extract, Lion's mane (Hericium erinaceus) extract, Maca extract, Maitake (Grifola Frondosa) extract, Maitake (Grifola frondosa) mycelium extract, Meshima (Phellinus linteus) extract, Milk thistle (Silybum marianum) extract, Monk Fruit extract, Morchella (Morchella esculenta) extract, Mulberry leaf extract/tablet, Nettle (Urtica dioica) extract, Nettle Leaf extract, Oat Grass extract, Oyster mushroom (Pleurotus ostreatus) extract, Passion flower extract, Phellinus Igniarius extract, Phellinus pini (Pine Conk) extract, Pleurotus eryngii extract, Pleurotus pulmonarius (Indian Oyster) extract, Polygonum root extract, Polyporus umbellatus extract, Pomegranate extract, Poria cocos (Tuckahoe) extract, Pyropolyporus fomentarius (Tinder Fungus/Conk) extract, Radix maltiflower knotweed (Polygonum multiflorum) extract, Reishi (Ganoderma lucidum) extract, Rhodiola rosea extract, Rosehip fruits (Rosa canina) extract, Schisandra fruits (Schisandra chinensis) extract, Schizophyllum commune (Common Porecrust) extract, Sea buckthorn extract, Shiitake (Lentinus edodes) extract, Siberian ginseng root (Eleutherocus senticosus) extract, Trametes versicolor (Coriolus versicolor) extract, Tremella fuciformis (snow fungus) extract, Tribulus terrestris extract, Turmeric root extract, Valerian Root extract, Wheat Grass extract), Extracts (Ginseng extract, Red Ginseng extract, White Ginseng extract); Other Grains, Pastas and Cereals: Wheat (Buckwheat); Oils &amp; Oleoresins: Oils (Organic borage seed oil, Organic evening primrose oil, Organic flaxseed oil, Organic perilla oil , Organic pumpkin seed oil, Organic safflower seed oil, Organic soybean oil, Organic sunflower oil, Organic Walnut Oil (raw material form own wild collection only, thereof max. 30T oil), Pomegranate Seed Oil), Oils (Hemp heart oil, Hemp seed oil, pumpkin seed/heart oil, Reishi spore oil (Ganoderma lucidum)); Nuts/Seeds: Seeds (Hulled/shelled flax seed (flax kernel/heart), Hulled/shelled hemp seed (hemp kernel/heart), Hulled/shelled pumpkin seed (pumpkin kernel/heart), Whole Hemp seed); Health Products: Herbs (Aloe Vera Gel diced), Herbs (Agarikon (Laricifomes/Fomi topsis officinalis) dried, Alfalfa grass (Dehydrated/AD,Powder/Chopped), Astragalus roots (Astragalus menbranaceus) dried, Dandelion cut, Fiveleaf Gynostemma Herb whole, Ginger chopped, Ginger granules, Ginger minced, Ginger slices/ flakes, Ginseng diced, Ginseng sliced, Licorice cut, Polygonum root cut , Red Ginseng dried, Siberian ginseng root (Eleutherocus senticosus) granule, Siberian ginseng root (Eleutherocus senticosus) slice, White Ginseng dried); Fruits/Vegetables: Berries (Mulberry leaf granule, Mulberry leaf slice, Mulberry leaf whole, Mulberry leaves), Dehydrated Foods (Pomegranate slice), Honey suckle flower (Lonicera japonica) granule, Honey suckle flower (Lonicera japonica) slice, Pomegranate whole, Powders (Aloe Vera Freeze Dried Powder 200:1 (WO), Aloe Vera Spray Dried Powder 200:1 (WO) , Erythritol powder, Fructo-Oligosaccharide powder, Isomaltooligosaccharide (Organic IMO-900) powder, Isomaltooligosaccharide powder, Polydextrose powder, Red yeast rice (powder), Resistant Dextrin powder), Powders (4 mushroom emperors blend (lions mane, redreishi, cordyceps, chage) powder, Agaricus bisporus powder, Agaricus blazei murill mycelium powder, Agaricus blazei Murrill (Agaricus subrufescens) powder, Agarikon (Laricifomes/Fomi topsis officinalis) powder, Agrocybe aegerila (Agrocybe chaxinggu) powder, Alfalfa juice powder, Alfalfa powder, Allulose powder, Armillaria mellea (Honey Fungus) powder, Astragalus roots (Astragalus menbranaceus) powder, Barley Grass juice powder, Barley Grass powder, Beet Root juice powder, Beet Root powder, Bilberry juice powder, Bilberry powder, Black fungus (Agricularia auricula) powder, Black truffle (Tuber indicum) powder, Boletus edulis (Porcini) powder, Broccoli powder, Carrots powder, Celery powder, Chaga (Inonotus obliquus) powder, Chanterelle (Cantharellus cibarius) powder, Cinnamon powder, Coprinus comatus (shaggy mane) powder, Cordyceps militaris powder, Cordyceps sinensis (Paecilomyces hepiali) mycelium powder, Cordyceps sinensis powder, Coriolus versicolor (Trametes versicolor) mycelium powder, Cranberry juice powder, Cranberry powder, Dandelion powder, Enoki Mushroom (Flammulina velutipes) powder, FD (freeze-dried) Banana powder, Fiveleaf Gynostemma Herb powder, Ganoderma applanatum (Artist's Conk) powder, Ganoderma lucidum (Reishi) mycelium powder, Garlic powder, Ginger powder, Ginseng powder, Goji berry juice powder, hemp seed/heart powder, Hericium erinaceus mycelium powder, Honey suckle flower (Lonicera japonica) powder, Honey suckle flower powder, Horny Goat Weed (Epimedium) powder, Horsetail powder, Kale powder, Licorice powder, Lion's mane (Hericium erinaceus) powder, Maca powder, Maitake (Grifola frondosa) mycelium powder, Maitake (Grifola Frondosa) powder, Meshima (Phellinus linteus) powder, Milk thistle (Silybum marianum) powder, Monk Fruit powder, Morchella (Morchella esculenta) powder, Mulberry leaf powder, Nettle (Urtica dioica) powder, Nettle Leaf powder, Oat Grass juice powder, Oat Grass powder, Onion powder, Oyster mushroom (Pleurotus ostreatus) powder, Passion flower powder, Phellinus Igniarius powder, Phellinus pini (Pine Conk) powder, Pleurotus eryngii powder, Pleurotus pulmonarius (Indian Oyster) powder, Polygonum root powder, Polyporus umbellatus powder, Pomegranate fruit powder, Pomegranate juice powder, Pomegranate powder, Poria cocos (Tuckahoe) powder, pumpkin seed/heart powder, Radix maltiflower knotweed (Polygonum multiflorum) powder, Red Ginseng powder, Reishi (Ganoderma lucidum) powder, Reishi spore powder (Ganoderma lucidum) shell-broken or not shell-broken, Rhodiola rosea powder, Rosehip fruits (Rosa canina) powder, Schisandra fruits (Schisandra chinensis) powder, Schizophyllum commune (Common Porecrust) powder, Sea Buckthorn juice powder, Sea buckthorn powder, Shiitake (Lentinus edodes) powder, Siberian ginseng root (Eleutherocus senticosus) powder, Spinach powder, Sunflower seed/heart powder, Tomatoes powder, Trametes versicolor (Coriolus versicolor) powder, Tremella fuciformis (snow fungus) powder, Tribulus terrestris powder, Turmeric root powder, Valerian Root powder, Wheat Grass juice powder, Wheat Grass powder), Powders (Goji berry powder), Vegetables (Celery diced, Celery granules, Spinach flakes); Fiber Textiles: Mung Bean Fiber, Pea Fiber; Dry/Baking Goods: Flours and Meals (Corn starch, Hemp flour, Inulin powder, Mung Bean Starch, Pea Starch, Potato (Starch)); Condiments and Sweeteners: Honey (Honey), Sweeteners (Allulose syrup, Crystalline allulose, D-Xylose, D-Xylose Liquid, Erythritol, Fructo-Oligosaccharide syrup, High fructose syrup, Isomaltooligosaccharide (Organic IMO-900) syrup, Isomaltooligosaccharide syrup, L-Arabinose L, Malt dextrin, Maltose syrup, Phycocyanin powder, Polydextrose syrup, Refined D-Xylose, Resistant Dextrin syrup, Rice malt syrup, Steviol glycosides, Xylitol, Xylitol powder), Sweeteners (Stevia extract Steviol Glycosides RA 20-99% /Steviol Glycosides SG 20-99% /Steviol Glycosides RD 20-99% /Steviol Glycosides RM 20-99% / Steviol Glycosides STV 20-99%); Beverage Related Products: Juice (Aloe Vera concentrated juice, Aloe Vera Gel juice, Goji berry juice, Goji berry juice concentrate), Tea (Green Tea - Chaoqing, Green Tea - Hojicha, Green Tea - Hongqing, Green Tea - Matcha/ Matcha powder, Green Tea - Tencha); Other: Empty Pullulan Capsules, Hemp cake/meal, Lyophilized Royal Jelly powder, Pollen, Propolis, Royal jelly, Spirulina tablet, Spirulina-Chlorella tablets , Bee pupae, Beeswax, Chlorella tablet</t>
  </si>
  <si>
    <t>Preservatives/Extracts/Flavors: Spices (AD Paprika (powder)); Other Grains, Pastas and Cereals: Buckwheat Kernel, Millet Hulled, Oat; Nuts/Seeds: Sunflower Kernel; Fruits/Vegetables: Beans (Adzuki Bean, Kidney Bean (Red), Mung Bean), Tomato, Vegetables (Fresh (Ginger, Broccoli, Carrot, Celery, Chinese Cabbage, Eddo, Garlic Peeled, Garlic, Onion, Spinach, Sweet Corn, Sweet Potato, White Radish, Zucchini), Root/Bulb Vegetable, Shallot, Taro, IQF (Ginger (diced, puree), Ginger (peeled, pieces, cube, diced, puree), Beans Green, Bell Pepper Red &amp; Green, Broccoli, Carrot (diced, sliced, stripped), Cauliflower, Chilli, Chilli (cut, diced, puree), Edamame, Edamame (pods), Garlic Peeled, Garlic (diced), Garlic (flaked, sliced, diced, cube, clove, puree), Kale, Onion (diced, sliced, stripped), Spinach (chopped, cut), Sweet Potato (diced)), AD Ginger Root (sliced, powder, chopped/minced), AD Broccoli (diced, powder), AD Carrot (flaked/minced, powder), AD Chilli (powder), AD Eddo (sliced, diced, powder), AD Garlic (pieces, chopped/minced, powder), AD Kale (chopped, powder), AD Onion (chopped, powder), AD Potato (diced, powder), AD Spinach (chopped, powder), AD Sweet Potato (diced, powder), Alfalfa Grass (powder), Barley Grass (dehydrated, powder, chopped), Broccoli (dehydrated, powder, chopped, granulated, diced), Buckwheat Grass (dehydrated, powder, chopped), Celery (dehydrated, powder, chopped, granulated, diced, minced), Chinese Cabbage (dehydrated, powder, chopped, granulated, diced, sliced, flaked), Garlic (dehydrated, powder, chopped, granulated, sliced, minced), Kale (dehydrated, powder, chopped, granulated, diced, sliced, flaked), Leek (dehydrated, powder, chopped, granulated, diced, sliced, flaked), Oat Grass (dehydrated, powder, chopped), Onion (dehydrated, powder, chopped, granulated, diced, sliced, flaked), Potato (dehydrated, powder, chopped, granulated, diced, sliced, flaked), Fresh Garlic Puree); Dry/Baking Goods: Flours and Meals (Starch, (Corn, Mung Bean, Potato, Sweet Potato))</t>
  </si>
  <si>
    <t>Animal Feed: Livestock Feed; Other: Alfalfa, Feed Milling, Grain Handling</t>
  </si>
  <si>
    <t>Other: Barley (Flakes), Barley (Pearled), Barley (malted) Flour (Malted Barley Flour, Whole Grain), Barley Flour, Caraway Seeds (Whole Caraway Seeds), Chia Seeds, Durum Flour (Durum Patent Flour), Durum Flour (Durum Semolina ), Durum Flour (Enriched Durum Patent Flour), Durum Flour (Enriched Durum Semolina Flour), Durum Flour (Extra Fancy Durum Patent Flour), Durum Whole Wheat Flour, Malt Extract Powder, Oats (Flakes), Poppy Seeds (Whole Poppy Seed), Rosemary, Sesame Seeds, Sesame Seeds (Dehulled Sesame Seeds), Wheat (Durum Semolina), Wheat Flour (Spring Wheat Flour), Wheat Gluten (Vital Wheat Gluten), Whole Wheat Flour</t>
  </si>
  <si>
    <t>Other Grains, Pastas and Cereals: Chía =  200.000,00 kg, Quinoa (Quinua Real Blanca =  1.000.000,00 kg), Quinoa (Quinua Real Roja =  200.000,00 kg), Quinoa (Quinua Real Negra =  200.000,00 kg), Quinoa (Quinua Mix =  500.000,00 kg), Quinoa (Harina de Quinua =  200.000,00 kg), Quinoa (Hojuela de Quinua =  200.000,00 kg), Quinoa (Quinua Puff =  200.000,00 kg)</t>
  </si>
  <si>
    <t>Other: Chia (Chia), Grains (Amaranth), Quinoa (Black), Quinoa (Red), Quinoa (Tricolor), Quinoa (White)</t>
  </si>
  <si>
    <t>Other Grains, Pastas and Cereals: Amaranto - Amaranthus caudatus/ Amaranth = 700,000.00 kg, Cañihua - Chenopodium pallidicaule / Canihua grains =  100,000.00 kg, Chía - Salvia hispanica/ Chia Seeds =  500,000.00 kg, Flours and Meals (Harina de quinua - Chenopodium quinoa / Quinoa Flour = 200,000.00 kg), Flours and Meals (Harina de amaranto - Amaranthus caudatus/ Amaranth Flour= 100,000.00 kg), Flours and Meals (Harina de cañihua - Chenopodium pallidicaule / Canihua Flour =  100,000.00 kg.), Hojuelas de quinua - Chenopodium quinoa / Quinoa Flakes = 200,000.00 kg, Organic Amaranth Retail - Brand: Quality Supplier Foods =  100,000.00 kg., Organic Black Chia Retail - Brand: Quality Supplier Foods =  200,000.00 kg., Quinoa (Quinua en grano (blanca, roja, negra y tricolor) - Chenopodium quinoa = 2,000,000.00 kg), Quinoa (Organic White Quinoa Retail - Brand: Quality Supplier Foods= 200,000.00 kg.), Quinoa (Organic Red Quinoa Retail - Brand: Quality Supplier Foods =  100,000.00 kg.), Quinoa (Organic Black Quinoa Retail - Brand: Quality Supplier Foods=  100,000.00 kg.), Quinoa (Organic Tricolor Quinoa Retail - Brand: Quality Supplier Foods = 200,000.00 kg.)</t>
  </si>
  <si>
    <t>Other Grains, Pastas and Cereals: Oats (Oat bran), Oats (Oat large flakes), Oats (Oat thin flakes), Oats; Dry/Baking Goods: Flours and Meals (Oat whole grain flour)</t>
  </si>
  <si>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</si>
  <si>
    <t>Other Grains, Pastas and Cereals: Pasta (Durum Wheat Semolina Pasta), Pasta (Durum Whole Wheat Semolina Pasta); Oils &amp; Oleoresins: Oils (Extra Virgin Olive Oil); Fruits/Vegetables: Beans (PROCESSED BLACK BEANS), Beans (PROCESSED BORLOTTI BEANS), Beans (PROCESSED BUTTER BEANS), Beans (PROCESSED CANNELLINI BEANS), Beans (PROCESSED RED KIDNEY BEANS), PROCESSED CHICK PEAS, PROCESSED GREEN PEAS, PROCESSED LENTILS; Condiments and Sweeteners: Vinegar (APPLE CIDER VINEGAR)</t>
  </si>
  <si>
    <t>Other Grains, Pastas and Cereals: Quinoa (Quinua en grano Blanca, Quinua en Grano Mixta (Tricolor), Quinua en grano Negra, Quinua en grano Roja); Dry/Baking Goods: Flours and Meals (Harina de Quinua)</t>
  </si>
  <si>
    <t>Other: Cassava Flour, Corn &amp; Quinoa Pasta, Elbows (Gluten Free), Corn &amp; Quinoa Pasta, Linguine (Gluten Free), Corn &amp; Quinoa Pasta, Penne (Gluten Free), Corn &amp; Quinoa Pasta, Rotini (Gluten Free), Corn &amp; Quinoa Pasta, Shells (Gluten Free), Corn &amp; Quinoa Pasta, Spaghetti (Gluten Free), Heat &amp; Eat Polenta, Basil Garlic, Heat &amp; Eat Polenta, Traditional Italian, Pre- Rinsed &amp; Ready To Cook Ancient Grain Power Blend 14.4oz, Quinoa Flakes, Tigernut Flour, Washed &amp; Rinsed Harmony Tri Color Quinoa, 14oz., Washed &amp; Rinsed Harmony Tri Color Quinoa, 23oz., Washed &amp; Rinsed Inca Red Quinoa, 14.4oz, Washed &amp; Rinsed Traditional Quinoa, 14.4OZ, Washed &amp; Rinsed Traditional Quinoa, 27OZ</t>
  </si>
  <si>
    <t>Processed  Items: Quinoa Flakes; Other Grains, Pastas and Cereals: Quinoa (White Royal Quinoa), Quinoa (Black Royal Quinoa), Quinoa (Red Royal Quinoa), Quinoa (Quinoa Royal Bicolor), Quinoa (Quinoa Royal Tricolor); Nuts/Seeds: Chia Seed; Dry/Baking Goods: Flours and Meals (Quinoa flour), Flours and Meals (Precooked quinoa flour)</t>
  </si>
  <si>
    <t>Processed  Items: Banana dehydrated, Camu camu Dehydrated, Chia protein, Golden berry (Physalis peruviana) - dehydrated, Lúcuma dehydrated, Maca dehydrated, Mango chunks, Quinoa protein, Sacha inchi dehydrated, Sacha inchi roasted, Cereal (Purple maize dehydrated), Dehydrated Foods (Sweet potato dehydrated); Other Grains, Pastas and Cereals: Cereal (Amaranth flake, Amaranth grain, Canihua grain), Quinoa (Black quinoa, Quinoa crisp, Quinoa flake, Red quinoa, Tricolor quinoa, White quinoa); Nuts/Seeds: Seeds (Chia seeds); Health Products: Herbs (Curcuma, - fresh, Curcuma, dehydrated, Ginger dehydrated , Ginger fresh // Kion fresco , Oregano dhydrated, Panca Chili - dehydrated); Fruits/Vegetables: Berries (Camu-camu - fresh, Golden berry (Physalis peruviana) - fresh), Maca fresh, Sweet potato; Dry/Baking Goods: Flours and Meals (Banana raw and instant flour, Camu-camu Raw and instant flours, Carob Raw and instant flours, Chondracanthus raw and instant flour, Curcuma raw and instant flour, Ginger raw and instant flour, Golden berry (Physalis peruviana) - raw and instant flour, Lúcuma raw and instant flour, Maca Raw and instant flour, Mango instant flour, Oregano raw and instant flour, Panca Chili - raw and instant flour, Purple maize raw and instant flour, Quinoa dehydrated, Quinoa noodles, Quinoa noodles with chia, Quinoa powder /flour, Sacha inchi raw and instant flour, Sweet potato raw and instant flour); Chocolate Goods: Bites de chocolate con quinua, Cacao beans // Granos de Cacao, cacao nibs sweetened with yacon // Cacao Nibs con yacón, Cacao raw nibs, cocoa butter drops/wafers, Cocoa cake, Cocoa liquor in blocks/bars, Cocoa nibs roasted, Cocoa shells, Cocoa wafers, Natural cocoa powder, Natural Cocoa Powder 10-12% fat content, Natural Cocoa Powder 20-22% fat content; Other: Beans (Carob Dehydrated, Carob fresh), Chondracanthus dehydrated, Seeds (Sesame seeds)</t>
  </si>
  <si>
    <t>Other: Dehydrating, Grinding, Slicing, Packaging, Labeling, and Distribution of 
Fresh Mushrooms (Whole or Sliced): Beech (Brown, White), Black Pearl, Chestnut, Cremini (Whole and Sliced), Enoki (Golden, White), Gourmet Mix, King Trumpet, Lion’s Mane, Maitake, Nameko, Nebrodini Bianco, Oyster (Black, Blue, Golden, Pink, Snow/White), Oyster Mushroom Pack, Pioppino, Portabella Cap (Whole and Sliced), Reishi, Shiitake, Turkey Tail, White (Whole and Sliced), and Umami Mushroom Pack, Dried Mushrooms: Chestnut, Enoki (Golden and White), Lions Mane (Powder), Maitake (Powder), Oyster (Black, Blue, Golden, Pink, White), Reishi (Whole and Powder), Shiitake (whole and powder), Turkey Tail, Inoculated Grain Spawn (6lb), Mushroom Grow Blocks/Kits, Petri Production of Mushroom Cultures, Sterilized Grain Bags (3lb and 6lb)</t>
  </si>
  <si>
    <t>Other: Grains (Barley), Seed (Barley), Wheat</t>
  </si>
  <si>
    <t>Other: 27 Blend N1262 - F00886, 50 Blend - Prop 65 F01796, 50 Blend F01795, 50 Blend No Celery F01863, 50 Blend No Rice Hulls F01920, Air Dried Apple Powder N1176 F00842, Air Dried Barley Grass Powder W35589, Air Dried Oat Grass Powder W25742, Air Dried Purslane Steam-Treated Powder F01615, Air Dried Wheat Grass Powder W74851 ST, AncienTrim™ Ancient Grains Blend N1227 - F00869, AncienTrim™ Ancient Grains Blend N668.1 - F01087, Bar Blend N1367 - F01238, Blueberry/Greens Blend F01497, Brassinase™ Active Broccoli Powder N1141.1 - F00820, Cereal Oat-Based, Gluten-Free Flakes F02012, Cranberry Flake F02039, Daily Greens F01951, Dgreens Blend F02048, Drum Dried 50 W58732-PB, Drum Dried Alfalfa Sprout Powder S39.1 - F01492, Drum Dried Amaranth Sprout Powder N646 - F01080, Drum Dried Amaranth Sprouted Powder W22098-DD, Drum Dried Apple/Spinach 432.2X - W90452-PB, Drum Dried Banana Flakes C56 - F00578, Drum Dried Banana Powder 945.3 - F00462, Drum Dried Banana Powder N1044 - F00462, Drum Dried Barley Grass Powder N1174 - F00841, Drum Dried Broccoli Sprout Powder S30.1 - F01206, Drum Dried Buckwheat Flour, Hydrolyzed F01785, Drum Dried Carrot Enhanced Powder N897.1 - F01143, Drum Dried Carrot Powder C75 - F01143, Drum Dried Carrot Powder C75.2 - F00593, Drum Dried Cereal Oat-Based Flakes F01766, Drum Dried Cultivated Blueberry Flakes F01764, Drum Dried Cultivated Blueberry Powder F01765, Drum Dried Daikon Radish Sprout Powder S18.3 - F01203, Drum Dried Fruit Blend Grown America N1167 - F00839, Drum Dried Garbanzo Bean Sprouted Powder W73722-DD, Drum Dried Kale Seed Sprouted 180S - W32255-SP, Drum Dried Kale Sprout Powder S49 - F01211, Drum Dried Lion's Mane Mushroom Powder F01806, Drum Dried Lion's Mane Mushroom Powder W14455-DD, Drum Dried Maitake Mushroom Powder F01848, Drum Dried Mesima Mushroom Power F01844,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Oyster Mushroom Powder F01843, Drum Dried Pineapple Powder 990.3 - F01071, Drum Dried Pineapple Powder N609.5 - F01071, Drum Dried Pumpkin Powder D1.1 - F01123, Drum Dried Pumpkin Powder N836 - F01123, Drum Dried Quinoa Sprout Powder N748 - F01103, Drum Dried Quinoa Sprout Powder S41.1 - F01209, Drum Dried Raisin Flakes 943.8 - F00460, Drum Dried Raisin Powder 943.2 - F00792, Drum Dried Royal Sun Blazei Mushroom Powder F01845, Drum Dried Soybean Powder E88 - F00643, Drum Dried Soybean Powder N1267 - F00894, Drum Dried Sprout Blend F01794,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Freeze Dried Banana / Dragonfruit F01955, Freeze Dried Banana Powder N1216 - F00863, Freeze Dried Blackberry Powder 487.1 - F01051, Freeze Dried Blackberry Powder N549 - F01051, Freeze Dried Collard Green / Kale Blend W27713 -PB, Freeze Dried Lemon Powder N534 - F01045, Freeze Dried Tart Cherry Powder MWO N185.1 - F00972, Freeze Dried Tart Cherry With Rice Hulls Powder N1319 - F00929, Fruit / Vegetable Blend F01597, Fruit / Vegetable Blend F01840, Fruit and Veggie Blend F01990, Fruit Blend F01488, Fruit Blend N1140 - F00818, Fruit Blend N378.1 - F00818, Fruit Piece Blend - GOL Organic N1024 - F00770, Fruit/Vegetable Blend - Get Real N1217.1 - F00864, Fruit/Vegetable Blend N1068 - F00785, Fruit/Vegetable Blend N1354 - F00948, Fruit/Vegetable Blend N1366 - F00955, Fruit/Vegetable Blend Organic F01890, Funtrition Greens Blend F02019,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HiActive® Broccoli Sprout Powder N216.4 - F01206, HiFiber Vita Veggie Vegetable Blend EU F01830, HiFiber Vita Veggie Vegetable Blend EU N1189.1 - F00851, HiFiber VitaBerry® Fruit Blend N1190.1 - F00852, HiFiber VitaVeggie® Vegetable Blend F02037, J Mitchell Blend F01470, ModCarb™ Gluten Free Powder N841.6 - F01131, ModCarb™ Powder N841 - F01127, ModCarb™ Powder N841.3 - F01129, Moss Blend F01864, Multigrain Cereal Flake W01130, Multigrain Cereal Flake W93654, NatureKnit F01949, Nitrate Blend N1204 - F00858, NM Greens Blend 1 F02059, NM Greens Blend 2 F02060, Nutrim Oat Gluten-Free Powder N1075.1 - F00788, Nutrim® Oat Powder N170.1 - F00963, Nuvita CBD Greens Blend F02023, Oat Cereal Flake F01995, Oat Cereal Flake W01129, Oat Cereal Flake W93653, Organic Spectra™ N1326.1 - F01471, Perfect Vegetable Blend #2 - GOL N377.3 - F00816, PhytoServ Medley Blend F01748, PhytoServ Spectrum Blend F01846, PhytoServ Vegetable Blend F01749, Plant Head N1053.2 - F00781, QuinoaTrim Quinoa Powder N980 - F01175, Recovery Blend N1201 - F00855, Red/Orange Veggie Blend F01887, Reds Blend F01924, Reds Color Blend F01966, Signature Blend N1232 - F00872, Signature Blend N1232 - F00872, SproutGarden Powder N585.2 - F01063, Super 30 Blend F01898, Superblend F01950, Superfoods Blend F01969, SuperGreens Blend N1330.1 - F00937, SW Greens Blend N1383 - F01311, Terasante™ Organic Greens N1156 - F00830, TruServ® 2.0g Green Serving Blend N1277 - F00903, TruServ® 3.0g Vegetable Serving Blend N1278 - F00905, TruServ® 7.0g Fruit Serving Blend N1276 - F00901, Udderly Oats™ Gluten-Free Oat Powder F01994, Udderly Oats™ Gluten-Free Powder F01556, Vegetable Blend N1139 - F00816, VitaBerry® Fruit Blend EU F01833, VitaBerry® Fruit Blend N1111 - F00806, VitaBerry® Fruit Blend N442.1 - F01024, VitaVeggie® N870 - F01137, WM Greens Blend F02051</t>
  </si>
  <si>
    <t>Other: 2 Blend N1262 - F00886, 2.0g Fruit/Vegetable Serving Blend N1325 - F00932, 27 Blend Heat-Treated W30119-HT, 50 Blend - Prop 65 F01796, 50 Blend F01795, 50 Blend No Celery F01863, 50 Blend No Rice Hulls F01920, Acerola Powder 461.3 - F01376, Agarikon Mushroom Powder F02058, Air Dried Alfalfa Grass Powder N1221 - F00866, Air Dried Apple Cider Vinegar Powder N1287 - F00910, Air Dried Apple Fiber Powder N1043 - F00776, Air Dried Apple Powder N1176 - F00842, Air Dried Barley Grass Powder N1149 - F00825, Air Dried Barley Grass Powder W35589, Air Dried Bean Black Instant Whole H11.1 - F00706, Air Dried Beet Powder C70 - F00585, Air Dried Beet Powder N1038 - F00585, Air Dried Broccoli Heat-Treated Powder W62660-HT, Air Dried Broccoli Powder 632.6 - F00998, Air Dried Broccoli Powder F01808, Air Dried Broccoli Powder N3.1 - F00998, Air Dried Broccoli Powder N3.3 - F00998, Air Dried Broccoli Steam-Treated Powder W58709-ST, Air Dried Cabbage Powder N1339 - F00944, Air Dried Carrot Diced 653.3 - F00030, Air Dried Carrot Powder A02 - F01095, Air Dried Carrot Powder A15 - F00503, Air Dried Carrot Powder N712.1 - F01095, Air Dried Cauliflower Heat-Treated Powder W48722-HT, Air Dried Cauliflower Powder 8.6 - F00388, Air Dried Cauliflower Powder N1067 - F00388, Air Dried Cauliflower Steam-Treated Powder W82276-ST, Air Dried Cinnamon Powder N437.1 - F01023, Air Dried Flaxseed 38.5% Powder N181.1 - F01413, Air Dried Garlic Powder N129 - F00912, Air Dried Ginger Powder N1147 - F00823, Air Dried Kale Powder N1228 - F00870, Air Dried Kale Powder N1228.1 - F00871, Air Dried Kale Steam-Treated Powder F01803, Air Dried Kale Steam-Treated W00711-ST, Air Dried Kale Stream-Treated Powder W12556-HT, Air Dried Navy Bean Sprouted Powder W84366-DD, Air Dried Oat Grass Powder N1150 - F00826, Air Dried Oat Grass Powder W25742, Air Dried Purslane Steam-Treated Powder F01615, Air Dried Purslane Steam-Treated Powder W19448-ST, Air Dried Red Bell Pepper Diced 623.3 - F00302, Air Dried Spinach Flakes 427.1 - F00216, Air Dried Spinach Heat-Treated Powder W89677-HT, Air Dried Spinach Powder 967.1 - F01114, Air Dried Spinach Powder N808.1 - F01114, Air Dried Spinach Powder N808.3 - F01114, Air Dried Spinach Powder N808.7 - F01117, Air Dried Spinach Steam -Treated Flakes W88954-ST, Air Dried Spinach Steam- Treated Powder W33325-ST, Air Dried Spinach Steam-Treated 264.2FC - W67109-ST, Air Dried Tomato Diced Organic 644.3 - F00319, Air Dried Tomato Powder N1026 - F00772, Air Dried Turmeric Powder N1181 - F00844, Air Dried Turmeric Powder W47813-HT, Air Dried Wheat Grass Powder N1148 - F00824, Air Dried Wheat Grass Powder W74851 ST, Amadou Mushroom Powder F02027, Amla Extract Powder F01612, AncienTrim F01979, AncienTrim™ Ancient Grains Blend N1227 - F00869, AncienTrim™ Ancient Grains Blend N668.1 - F01087, Bar Blend N1367 - F01238, Birch Polypore Mushroom Powder F02026, Blueberry/Greens Blend F01497, Brassinase™ Active Broccoli Powder N1141.1 - F00820, Brussels Sprout Drum Dried Powder F01822, Coffeeberry® Coffee Fruit Cascara, Soluble Powder N1238.1 - F00877, Coffeeberry® Coffee Fruit Extract, Soluble Powder 40% N580.1 - F01061, Coffeeberry® Coffee Fruit Powder N447 - F01026, Coffeeberry® Coffee Fruit Soluble 5% CGA -80 Powder F01761, Coffeeberry® Energy 70% Powder N1205 - F00859, cognatiQ™ Organic F01061, Cordyceps Militaris Mushroom Powder F01941, Cranberry Flake F02039, Crunchy Mango F02032, Crunchy Strawberry F02033, Daily Greens F01951, Dgreens Blend F02048, Drum Dried 50 W58732-PB, Drum Dried Alfalfa Sprout Powder S39.1 - F01492, Drum Dried Amaranth Sprout Powder N646 - F01080, Drum Dried Amaranth Sprouted Powder W22098-DD, Drum Dried amaranth/Millet N755.5X - W52658-PB, Drum Dried Apple Flakes A12 - F00012, Drum Dried Apple Powder A12.2 - F01070, Drum Dried Apple Powder N608 - F01070, Drum Dried Apple/Spinach 432.2X - W90452-PB, Drum Dried Apple/Spinach Heat-Treated W61145-HT, Drum Dried Apple/Spinach Powder N1226 - F00868, Drum Dried Banana Flakes C56 - F00578, Drum Dried Banana Powder 945.3 - F00462, Drum Dried Banana Powder F01934, Drum Dried Banana Powder N1044 - F00462, Drum Dried Barley Grass Powder N1174 - F00841, Drum Dried Blend Without Vitamins Organic N658.1 - F01362, Drum Dried Broccoli Sprout Powder S30.1 - F01206, Drum Dried Buckwheat Flour, Hydrolyzed F01785, Drum Dried Carrot Enhanced Powder N897.1 - F01143, Drum Dried Carrot Powder C75 - F01404, Drum Dried Carrot Powder C75.2 - F00593, Drum Dried Celery / Kale N377.5X - W45626-PB, Drum Dried Cucumber / Asparagus PB N377.6X - W70092-PB, Drum Dried Cultivated Blueberry Flakes F01764, Drum Dried Cultivated Blueberry Powder F01765, Drum Dried Daikon Radish Sprout Powder S18.3 - F01203, Drum Dried Enokitake Mushroom Powder F01837, Drum Dried Fruit Blend Grown America N1167 - F00839, Drum Dried Garbanzo Bean Sprouted Powder W73722-DD, Drum Dried GOL Super Sprout Blend N376.4 - F00802, Drum Dried Kale Sprout Powder S49 - F01211, Drum Dried Lion's Mane Mushroom Powder F01806, Drum Dried Lion's Mane Mushroom Powder W14455-DD,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Pineapple Powder 990.3 - F01071, Drum Dried Pineapple Powder N609.5 - F01071, Drum Dried Pumpkin Powder C77.4 - F01398, Drum Dried Pumpkin Powder D1.1 - F01123, Drum Dried Pumpkin Powder N836 - F01123, Drum Dried Pumpkin Pro With Apple Fiber F01783, Drum Dried Quinoa Sprout Powder N748 - F01103, Drum Dried Quinoa Sprout Powder S41.1 - F01209, Drum Dried Raisin Flakes 943.8 - F00460, Drum Dried Raisin Powder 943.2 - F00792, Drum Dried Reishi Mushroom Powder F01836, Drum Dried Royal Sun Blazei Mushroom Powder F01845, Drum Dried Soybean Powder N1267 - F00894, Drum Dried Sprout Blend F01794, Drum Dried Sprout Blend N1102 - F00802, Drum Dried Sprout Blend N1236 - F00874,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973.1 - F00487, Drum Dried Sweet Potato 973.7 - F00448, Drum Dried Sweet Potato Flake 981.3 - F01340, Drum Dried Sweet Potato Powder N1243 - F00880,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Five-a-Day Total Fruit/Vegetable N1282 - F00907, Freeze Dried Acai Flakes K56.3 - F01019, Freeze Dried Acai Powder N424.1 - F01019, Freeze Dried Acai Sift Outs W10098-SO, Freeze Dried Apple W/O Peel Diced A40 - F00506, Freeze Dried Banana / Dragonfruit F01955, Freeze Dried Banana Diced Dried 83.4 - F00399, Freeze Dried Banana Diced Dried W11478-FD, Freeze Dried Banana No Acids Whole W55234-FD, Freeze Dried Banana No Carrier Powder F01533, Freeze Dried Banana Powder 83.6 - F00982, Freeze Dried Banana Powder N1216 - F00863, Freeze Dried Banana Powder N238.3 - F00982, Freeze Dried Banana Steam-Treated Powder W33322-ST, Freeze Dried Banana W11139-SO, Freeze Dried Beet Diced W17299-FD, Freeze Dried Beet Powder N1387 - F01321, Freeze Dried Blackberry Granules 777.1 - F00380, Freeze Dried Blackberry Powder 487.1 - F01051, Freeze Dried Blackberry Powder N549 - F01051, Freeze Dried Blackberry Powder N549A.1 - F01051, Freeze Dried Blueberry Powder 433.3 - F00224, Freeze Dried Blueberry Powder A01 - F00800, Freeze Dried Blueberry/Cranberry Blend J9.3 - F00742, Freeze Dried Broccoli Chopped 269 - F00150, Freeze Dried Broccoli Microgreens Powder F01856, Freeze Dried Broccoli Powder 6.6 - F01322, Freeze Dried Broccoli Powder N1388, Freeze Dried Carrot Raspberry Melt F02043, Freeze Dried Celery Powder 9.4 - F00434, Freeze Dried Celery W26990-FD, Freeze Dried Chive Cross-Cut 11Q - F00050, Freeze Dried Chive Cross-Cut W61903-DP, Freeze Dried Collard Green / Kale Blend W27713-PB, Freeze Dried Collard Green Powder 538.4 - F01157, Freeze Dried Collard Green Powder N952 - F01157, Freeze Dried Collard Green Powder W25373-DP, Freeze Dried Cranberry Diced 356.3 - F00185, Freeze Dried Cranberry Diced W89017-FD, Freeze Dried Cranberry Powder C78 - F00957, Freeze Dried Cranberry Sliced 99.9 - F00497, Freeze Dried Cultivated Blueberry Diced 259.8 - F00141, Freeze Dried Cultivated Blueberry No Carrier Powder F01763, Freeze Dried Cultivated Blueberry W79018-FD, Freeze Dried Cultivated Blueberry Whole D58.4 - F00613, Freeze Dried Cultivated Blueberry Whole W49627-FD, Freeze Dried Dragon Fruit No Carrier Diced W09000-FD, Freeze Dried Dragon Fruit Powder F01457, Freeze Dried Dragon Fruit Powder F02056, Freeze Dried Elderberry 579.1FC - W02090-FD, Freeze Dried Elderberry Steam-Treated Whole W361912-ST, Freeze Dried Elderberry Steam-Treated Whole W36912-ST, Freeze Dried Granny Smith Apple Diced A41 - F00507, Freeze Dried Granny Smith Apple With Peel Sliced A42.1 - F00509, Freeze Dried Grape Powder N590 - F01065, Freeze Dried Kale Diced 265.5 - F00148, Freeze Dried Kale Diced W55748-HT, Freeze Dried Kale Heat-Treated Powder W55789-HT, Freeze Dried Kale N53.1X - W39911-FD, Freeze Dried Kale Powder A03.1 - F00500, Freeze Dried Kale Powder N53.1 - F00500, Freeze Dried Lemon No Carrier Powder F01631, Freeze Dried Lemon No Carrier W71222-FD, Freeze Dried Lemon Powder 366.3 - F00797, Freeze Dried Lemon Powder 429.4 - F01045, Freeze Dried Lemon Powder N1099 - F00797, Freeze Dried Lemon Powder N534 - F01045, Freeze Dried Mango Carrot Melt F02042, Freeze Dried Mango Diced 488.7 - F00253, Freeze Dried Mango Diced W04195-FD, Freeze Dried Mango Diced W77561-FD, Freeze Dried Mango Powder 497.5 - F01059, Freeze Dried Mango Powder F01571, Freeze Dried Mango Powder N568.3 - F01059, Freeze Dried Mango Strips 231.4 - F00129, Freeze Dried Maqui Berry Fine Powder 290 - F01444, Freeze Dried Maqui Berry Fine Powder N765.1 - F01444, Freeze Dried Might Greens Melt F02044, Freeze Dried Murta Berry Powder F01885, Freeze Dried Nettle Powder F01857, Freeze Dried Orange Bits and Pieces W35179-FD, Freeze Dried Orange Juice Powder N1237 - F00875, Freeze Dried Orange No Carrier Powder F01634, Freeze Dried Orange Powder 389.3 - F01078, Freeze Dried Orange Powder N642 - F01078, Freeze Dried Parsley Powder W28999-DP, Freeze Dried Pea Powder 266.1 - F01085, Freeze Dried Pea Powder N656 - F01085, Freeze Dried Pea Whole 266 - F00149, Freeze Dried Pineapple Chunks 832.6 - F00405, Freeze Dried Pineapple Diced 710.2 - F00360, Freeze Dried Pineapple Diced 832.2 - F00402, Freeze Dried Pineapple Diced 832.4 - F00403, Freeze Dried Pineapple Diced W49653-FD, Freeze Dried Pineapple Diced W60597, Freeze Dried Pineapple Diced W99601, Freeze Dried Pineapple Powder 93.3 - F01168, Freeze Dried Pineapple Powder N972 - F01168, Freeze Dried Pineapple Sift Outs W63039-SO, Freeze Dried Pomegranate Powder C68.1 - F01064, Freeze Dried Pomegranate Powder N589 - F01064, Freeze Dried Pumpkin Diced F01868, Freeze Dried Pumpkin Diced W71259-FD, Freeze Dried Purple Sweet Potato with Peel Diced F02006, Freeze Dried Raspberry Flake 95.7 - F00466, Freeze Dried Raspberry Granules 459.4 - F00239, Freeze Dried Raspberry Powder C88 - F01050, Freeze Dried Raspberry Powder N547 - F01050, Freeze Dried Raspberry Sliced F01956, Freeze Dried Raspberry Whole 708.1 - F00358, Freeze Dried Red Berry Melt F02045, Freeze Dried Red Miso Powder C48.1 - F00914, Freeze Dried Red Miso Powder F02010, Freeze Dried Red Miso Powder N1294 - F00914, Freeze Dried Spinach Powder A05 - F00761, Freeze Dried Spinach Powder N10.1 - F00761, Freeze Dried Strawberry -1/2+4 96.8 - F00479, Freeze Dried Strawberry 6MM Diced 97.3 - F00484, Freeze Dried Strawberry 7mm Sliced W33355-FD, Freeze Dried Strawberry Flakes 96.8 - W00479, Freeze Dried Strawberry Powder 434.1 - F01053, Freeze Dried Strawberry Powder N550 - F01053, Freeze Dried Strawberry Sliced D28 - F00605, Freeze Dried Strawberry Steam-Treated Powder W29999-ST, Freeze Dried Strawberry W66829-FD, Freeze Dried Strawberry Without Silica Powder F01532, Freeze Dried Sunflower Microgreens Powder F01908, Freeze Dried Super Seet Corn W57582-FD, Freeze Dried Super Sweet Corn Powder 472.5 - F00248, Freeze Dried Super Sweet Corn Whole 271 - F00152, Freeze Dried Sweet Potato Powder W28602-DP, Freeze Dried Tart Cherry Diced 89.4 - F00921, Freeze Dried Tart Cherry Diced N1304 - F00921, Freeze Dried Tart Cherry N855 - F01136, Freeze Dried Tart Cherry Powder MWO 89.3 - F00429, Freeze Dried Tart Cherry Powder MWO N185.1 - F00972, Freeze Dried Tart Cherry Unsweetened N855, Freeze Dried Tart Cherry Whole 89.2 - F00428, Freeze Dried Tart Cherry With Rice Hulls Powder N1319 - F00929, Freeze Dried Wild Blueberry N11.4X - W80987-FD, Freeze Dried Wild Blueberry No Carrier Powder F01537, Freeze Dried Wild Blueberry Powder N11.9 - F00800, Freeze Dried Wild Blueberry Powder N546 - F00800, Freeze Dried Wild Blueberry W72737-FD, Freeze Dried Wild Blueberry Whole 433.1 - F00004, Freeze Dried Wild Blueberry Whole W85472-FD, Freeze Dried Wild Blueberry Wholes W09921-FD, Freeze Dried Yellow Miso Powder C48.2 - F00576, Freeze Dried Yellow Miso Powder F02009, Fruit / Vegetable Blend F01840, Fruit and Veggie Blend F01990, Fruit Blend F01488, Fruit Blend N1140 - F00818, Fruit Blend N1188.1 - F00850, Fruit Blend N378.1 - F00818, Fruit Piece Blend - GOL Organic N1024 - F00770, Fruit/Vegetable Blend - Get Real N1217.1 - F00864, Fruit/Vegetable Blend F01890, Fruit/Vegetable Blend N1068 - F00785, Fruit/Vegetable Blend N1354 - F00948, Fruit/Vegetable Blend N1366 - F00955, Funtrition Greens Blend F02019, Ginger / Turmeric F01538,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Heat Treated Fruit Blend Heat-Treated W47889-HT, Heat Treated Wheat Grass Powder W74812-HT, HiActive® Broccoli Sprout Powder N216.4 - F01206, HiFiber Vita Veggie Vegetable Blend EU N1189.1 - F01830, HiFiber VitaBerry® Fruit Blend N1190.1 - F00852, HiFiber VitaVeggie® Blend N1189 - F00848, HiFiber VitaVeggie® Vegetable Blend N1189.1 - F00851, J Mitchell Blend F01470, Lemon Extract 5% Folic Acid Powder F01613, Lion's Mane Mushroom Powder F01939, Maitake Mushroom Powder F01943, ModCarb™ Gluten Free Powder N841.6 - F01131, ModCarb™ Powder N841 - F01127, ModCarb™ Powder N841.3 - F01129, Moss Blend F01864, Multigrain Cereal Flake F02055, Multigrain Cereal Flake W01130, Multigrain Cereal Flake W93654, NatureKnit F01949, NeuroFactor Powder N995.1 - F01061, Nitrate Blend N1204 - F00858, NM Greens Blend 1 F02059, NM Greens Blend 2 F02060, Nutrim Oat Gluten-Free Powder N1075.1 - F00788, Nutrim® Oat Powder N170.1 - F00963, Nuvita CBD Greens Blend F02023, Oat Cereal Flake F01995, Oat Cereal Flake F02054, Oat Cereal Flake W01129, Oat Cereal Flake W93653, Onion Extract 25% Quercetin Powder F01792, Organic Meal Shake F02049, Organic Spectra™ N1326.1 - F01471, P Fruit/Vegetable Blend F01624, Perfect Vegetable Blend #2 - GOL N377.3 - F00816, Phenolic Fruit Blend F01880, PhytoServ Medley Blend F01748, PhytoServ Spectrum Blend F01846, PhytoServ Vegetable Blend F01749, Plant Head N1053.2 - F00781, Pomegranate Extract NLT 40% Total Polyphenols Powder F01793, Preblend F01462, QuinoaTrim Quinoa Powder N980 - F01175, Recovery Blend N1201 - F00855, Red/Orange Veggie Blend F01887, Reds Blend F01524, Reds Blend F01924, Reds Color Blend F01966, Reishi Mushroom Powder F01942, Shiitake Mushroom Powder F01944, Signature Blend N1232 - F00872, Signature Blend N1232 - F00872, Spectra™ N1326 - F00933, Split Gill Polypore Mushroom Powder F02025, Spray Dried Acerola 25% Ascorbic Acid Powder N1265 - F00888, Spray Dried Curry Leaf Extract F01607, Spray Dried Goji Powder N620.1 - F01075, Spray Dried Guava Leaf Extract F01606, Spray Dried Spirulina Powder N1323 - F00931, Sprouted Lentil Bean Powder W00911-DD, SproutGarden Powder N585.2 - F01063, Super 30 Blend F01898, Super Blend F01598, Superblend F01950, Superfoods Blend F01969, SuperGreens Blend N1330.1 - F00937, SW Greens Blend N1383 - F01311, Tart Cherry Powder F01265, Terasante™ Organic Greens N1156 - F00830, TruServ Mediterranean Blend F01938, TruServ® 2.0 Greens Serving Blend W97934-DP, TruServ® 2.0g Green Serving Blend N1277 - F00903, TruServ® 3.0g Vegetable Serving Blend N1278 - F00905, TruServ® 7.0g Fruit Serving Blend N1276 - F00901, Tumermeric Extract Curcuminoids Powder N1333 - F00940, Turkey Tail Mushroom Powder F01940, Udderly Oats™ Gluten-Free Oat Powder F01991, Udderly Oats™ Gluten-Free Oat Powder F01994, Udderly Oats™ Organic Oat Powder F01556, Vegetable Blend N1139 - F00816, Vegetable Blend N1187.1 - F00848, Vegetable Serving Blend N1202 - F00856, VitaBerry® Fruit Blend EU F01833, VitaBerry® Fruit Blend N1111 - F00806, VitaBerry® Fruit Blend N442.1 - F01024, VitaBerry® HiFiber N1190 - F00850, VitaCran® Cranberry Powder N14.9 - F00957, Vitamin B Complex F01585, VitaVeggie® N870 - F01137, Wild Blueberry Grade B W67524-FD, WM Greens Blend F02051</t>
  </si>
  <si>
    <t>Other Grains, Pastas and Cereals: Basmati Paddy, Basmati Rice, Basmati Rice - Brown, Basmati Rice - White, Broken Rice, Brown Rice (Long Grain Brown Rice), Non Basmati Paddy, Non Basmati Rice, Parboiled Basmati Rice, Parboiled Rice, Parboiled Rice (Brown), Parboiled Rice (White), Rice</t>
  </si>
  <si>
    <t>Other: Gousse de vanille préparée, Graine de vanille, Poudre de vanille</t>
  </si>
  <si>
    <t>Other Grains, Pastas and Cereals: Chickpeas, Proso Millet, Wheat (Hard red winter)</t>
  </si>
  <si>
    <t>Oils &amp; Oleoresins: Oils (Soy oil crude.); Animal Feed: Livestock Feed (Extruding semi whole grain soybean meal), Livestock Feed (Broiler Growing Feed), Livestock Feed (Broiler Pre-Starter Feed), Livestock Feed (Broiler Starter Feed), Livestock Feed (Broiler Finisher Feed), Livestock Feed (Growing Layer Bird Feed), Livestock Feed (Growing Layer Bird Feed FF), Livestock Feed (Layer 1 Bird Feed), Livestock Feed (Layer 1 Bird Feed FF), Livestock Feed (Layer 2 Bird Feed), Livestock Feed (Layer 2 Bird Feed FF), Livestock Feed (Layer 3 Bird Feed), Livestock Feed (Layer 3 Bird Feed FF), Livestock Feed (Layer 4 Bird Feed), Livestock Feed (Maturity Layer Bird Feed), Livestock Feed (Maturity Layer Bird Feed FF), Livestock Feed (Peak Layer Bird Feed), Livestock Feed (Peak Layer Bird Feed FF), Livestock Feed (Pre-Laying Layer Bird Feed), Livestock Feed (Pre-Starter Layer Bird Feed), Livestock Feed (Pre-Starter Layer Bird Feed FF), Livestock Feed (Starter Layer Bird Feed), Livestock Feed (Starter Layer Bird Feed FF)</t>
  </si>
  <si>
    <t>Bread/Bakery/Snacks: Bread (Prepared Goods: Food for Life Organic Ezekiel 4:9 Sprouted Grain Sesame Bread), Bread (Prepared Goods: Food for Life Organic Ezekiel 4:9 Sprouted Whole Grain Bread), Prepared Goods: Food for Life Organic Sprouted Grain Tortillas</t>
  </si>
  <si>
    <t>Other: Ajwain Powder, Ajwain/Bishop Weed seed, Allspice oil, Almond, Almond oil, Aloe vera leaves, Alphonso Mango, Amaranth seed/ Ram dhana, Ambe mohar rice, Amla, Amla whole dried, Arhar, Arhar Dal (red gram/ pigeon pea), Bajra, Bajra flour/ Atta, Bajra porridge/Dalia, Barley - Dehulled, Barley Flour, Barley Grass Powder, Barley Porridge /Dahlia, Barley whole, Basil seeds, Basil/Tulsi Oil, Basmati rice, Basmati rice-brown, Basmati rice-white, Beaten rice, Bel/Bael/Aegle marmelos, Bengal Gram Whole/ Bengal Gram (Chana Dal), Bengal Gram(Chana)Flour, Black cumin, black gram split white, Black gram/Urd (Vigna sp.), Black Mustard oil, Black Pepper, Black Pepper Powder, Broken Rice, Brown Mustard Oil, Brown Rice, Brown rice flour, Buckwheat, Cane Sugar, Cardamom, Cardamom Large (Black), Cashew Kernels (w180), Cashew Kernels (w210), Cashew Kernels (w240), Cashew Kernels (w320), Cashew nut (In shell), Cashew nut (roasted &amp; salted), Cashew- Split, Cashew Whole, Castor Oil, Celery Seed, Chana black/ Kala chana, Chana Dal, Chia, Chickpea/Kabuli Chana (garbanzos), Chilli Powder, Chilli whole, Chitkabra rajma himalayan, Chitra Kidney beans/Rajma (Phaseolus vulgaris), Cinnamon bark, Cinnamon Tamala (Leaves), Clove oil, Cloves, Coconut (Dried), Coconut Desiccated, Coconut oil, Cold pressed Coconut oil, Cold pressed Flaxseeds oil, Cold pressed Groundnut oil, Cold pressed Mustrad oil, Cold pressed Safflower oil, Cold pressed Soybean/soyabean oil, Coriander Powder, Coriander seed/whole, Coriander split, Corn Daliya/ Corn Porridge, Cowpea, Cumin Powder, Cumin whole, Dehydrated Curry leaves powder, Dried Cardamom, Dried Curry leaves, Dried garlic, Dried Nutmeg Shelled, Dry rose petals-Red, Dry wheatgrass powder, Durum Wheat (seed quality), Fennel Powder, Fenugreek, Flax Seed, Flax seed powder, Garam Masala, Garlic Powder, Ginger Powder, Gluten Free Daliya, Gram Flour/Besan, Green Cardamom, Green gram split yellow/Moong dal-yellow, Green Gram Whole (Moong Sabut), Green gram/chana/Moong (Vigna sp.), Green gram/Moong dhuli, Green Moong Dal, Green peas, Groundnut/Peanut, Groundnut/peanut roasted, Idli rice, Indian basmati rice, Indrayani rice, Jaggery, Jaggery cube, Jaggery powder, Jamun/Neralae (Syzygium cuminii), Jowar, Kabuli chana, Kasuri methi, Lemon grass root powder, Lemongrass powder, Mace, Mace Powder, Maida, Maize (Corn), Maize/Corn flour, Mango Powder/Aamchur, Masoor Dal, Masur/ Masoor dhuli, Mix dal, Moong Dal, Moong dal split, Moong Dal-Split with shell, Moringa leaves, Moringa oleifera Leaf powder, moth dal, Multi grain Atta, Mumbai Pau Bhaji Masala, Mustard black, Mustard brown, Neem Leaves, Neem leaves powder, Non-Basmati Rice, Nutmeg Whole, Oat flour, Oats (Flakes), Oats(seed/grains), Onion, Onion flakes, Patchouli oil, Pearl Millet / Bajra, Pepper long/Pippali(Piper longum), Pigeon pea/arhar whole, Poha Flattened Rice, Pooni rice, Psyllium husk (isobgul), Puffed Rice Chivda, Pumpkin Seeds, Quinoa, Ragi Flour, Ragi/Finger millet grain, Raisins/Kismis, Red Chilli (whole), Red Chilli Flakes, Red Chilli Powder, Red Flattened Rice, Red Kidney beans/Rajma (Phaseolus vulgaris), Red Rice, Red Rice Flour, Rice Sonamasuri Hand pound, Roasted Almonds, Roasted Bengalgram Dal, Roasted Gram/ Chana dal, Roasted wheat, Saffron, Sawan/Barnyard Millet, Shatavari, Shatavari Powder, Sonamasoori rice, Soybean, Star anise, Stevia leaves-dried, Sugar, Sugar (Brown/Natural), Suji/Semolina/Cream of Wheat, Tamarind dry (Imli), Tamarind Powder (Imli), Triphala powder, Tulsi powder, Turmeric Dried, Turmeric Powder, Urad Dal Black Split, Urad dal/Split Black gram, Urad dal-Whole, Urad dhuli, Urad Whole(black), Virgin coconut oil, walnut, Wheat, Wheat dalia/porridge, Wheat flour, Wheatgrass powder, White Cane Sugar, White Kidney beans/Rajma (Phaseolus vulgaris), Whole Wheat Atta Premium</t>
  </si>
  <si>
    <t>Other Grains, Pastas and Cereals: Pasta (Azure Market - Casarecce Azuroni Gourmet Pasta, Curvy Mac Azuroni Gourmet Pasta, Ditalini Azuroni Gourmet Pasta, Elbow Macaroni Azuroni Gourmet Pasta, Fregola Azuroni Gourmet Pasta, Fusilli Azuroni Gourmet Pasta, Large Ridged Mac Azuroni Gourmet Pasta, Medium Shells Azuroni Gourmet Pasta, Orzo Azuroni Gourmet Pasta, Penne Durum Semolina, Radiatori Azuroni Gourmet Pasta, Rigatoni Azuroni Gourmet Pasta; Camas Country Mill-Amarillo Elbow Pasta, Emmer Penne Pasta, Spelt Fusilli Pasta; Voodles-Beet &amp; Tomato, Broccoli &amp; Sweet Corn, Pumpkin &amp; Carrot; Community Grains Pasta-Fusilli IP, Pipe Rigate IP, Torchiette IP; Community Grains Torchiette Pasta 2.0, Fusilli Pasta 2.0, Pipe Rigate Pasta 2.0;), Pasta (Wildly Beloved Foods - Casarecce, Fusilli, Lumache, Macaroni, Penne, Rigatoni)</t>
  </si>
  <si>
    <t>Other: Andiatum capilus feuille sechée, ARECA GRAINE, Baie Rose, Cacao marchand, Cannelle, cascara sagrada feuille, ecorce seché, catharanthus roseus feuille / racine, centella asiatica feuille séché, Centella asiatica séchés (Broyés ou entiers), Curcuma, DESMODIUM feuille séchée, Drosera ramantacea feuille sechée, GINGEMBRE, Girofle, Graine de poivre, Huile essentielle de Cannelle, Huile essentielle de Curcuma, Huile essentielle de Géranium, Huile essentielle de Gingembre, Huile essentielle de Girofle, Huile essentielle de HELICHRYSE, Huile essentielle de Lantana, Huile essentielle de Niaouli, Huile essentielle de patchouli, Huile essentielle de Poivre (noir , vert), Huile essentielle de Ravensara Aromatica, Huile essentielle de Ravintsara, Huile essentielle d'Ylang-Ylang, Huile essentielles de Citronnelle, Huiles essentielles de Citriodora, Huiles essentielles de Katrafay, Huiles Essentielles de Lemon Grass, Huiles essentielles de Longoza, Huiles Végétales de Calophyllum, lantana camara feuille fraiche et sechée, longoza feuille fraiche, sechée et graine, Poivre sauvage, ricinus comminus feuille et graine, Vanille gousse</t>
  </si>
  <si>
    <t>Other: Grain Cleaning, Grain Storage, Grain Storage, Grain Storage, Loading and Unloading of Organic Product, Loading and Unloading of Organic Product, Loading and Unloading of Organic Product</t>
  </si>
  <si>
    <t>Other: Ajwain Powder*, Ajwain*, Aloe Vera Leaves Powder*, Aloe Vera Leaves*, Amaranth Flour*, Amaranth Seed/Ram Dhana*, Amla Dried*, Amla Powder*, Amla*, Arhar Dal (Red Gram/Pigeon Pea)*, Arrowroot Powder*, Ashwagandha Powder*, Ashwagandha Root Powder*, Ashwagandha Root*, Ashwagandha TBC*, Ashwagandha*, Asparagus Racemosus (Shatawari) TBC*, Asparagus Racemosus Root Powder*, Bajra Flour/Atta*, Barley Flour*, Barley Whole*, Basil/Tulsi*, Basmati Rice Brown*, Basmati Rice White*, Basmati Rice*, Bay Leaf Powder*, Bay Leaf*, Bay Leaves/Tejpatta*, Beaten Rice*, Bel Powder*, Bengal Gram (Chana) Flour*, Bengal Gram Whole*, Bhoomi Amla Powder*, Black Cumin Powder*, Black Cumin*, Black Gram Flour*, Black Gram Split White*, Black Pepper Crushed*, Black Pepper Powder*, Black Pepper TBC/Black Pepper Cut*, Black Pepper*, Brahmi/Bacopa Monnieri Powder*, Brahmi/Bacopa Monnieri*, Brown Gram/Gram/Chana (Cicer Arietinum)*, Brown Mustard*, Cardamom Powder*, Cardamom Seed*, Cardamom TBC/Cardamom Cut*, Cardamom*, Cashew Nut (In Shell)*, Cashew Whole*, Castor Seeds*, Celery Seed*, Centella Asciatica Powder*, Centella Asiatica*, Chamomile(M.Chamomile)/ Chamomile Dry Flower, Chana Dal*, Chana Masala*, Chat Masala*, Chia*, Chickpea/Kabuli Chana (Garbanzos)*, Chilli Flakes*, Chilli Powder*, Chilli Whole Dried*, Chilli Whole*, Cinnamon Bark Powder*, Cinnamon Bark*, Cinnamon Powder*, Cinnamon TBC*, Cinnamon*, Clove Powder*, Clove TBC*, Cloves*, Cocoa Beans*, Cocoa*, Coffee Arabica Cherry*, Coffee Arabica Parchment*, Coffee Beans*, Coffee Powder*, Coffee Robusta Cherry*, Coriander Powder*, Coriander Seed*, Coriander Seed/Whole*, Coriander*, Cowpea/Lobia Whole (V.Unguiculata/Sinensis)*, Cumin Powder*, Cumin Seed*, Cumin Whole*, Curry Leaf Powder*, Dill Seed (Aowa)*, Dried Cardamom*, Dried Clove*, Dried Nutmeg Shelled*, Dried Rose Petals*, Emblica Officinalis (Amla/Indian Gooseberry)*, Fennel Powder*, Fennel Seed*, Fennel/Saunf*, Fenugreek Powder (Methi Powder)*, Fenugreek Seed (Methi Seed)*, Fenugreek*, Flax seed powder, Flax seed*, Foxtail Millet*, Garlic Flakes*, Garlic Powder, Garlic*, Ginger Powder, Ginger Sliced (Dried)*, Ginger Whole (Dried)*, Gokshura Fruit (Tribulus Terrestris)*, Gokshura Powder (Tribulus Terrestris)*, Green Gram Powder/Moong Dal Powder*, Green Gram Split Yellow/Moong Dal Yellow*, Green Gram/Moong Dhuli*, Guar Seed*, Haritaki/Harad (Terminalia Chebula)*, Jaggery Powder*, Jaggery*, Kalmegh (Andrographis Penniculata)*, Kalmegh Powder (Andrographis Paniculata)*, Kalonji/Nigella*, Lemon Grass*, Lentil Dal*, Mace Powder*, Mace*, Maize (Corn) Flake*, Maize/Corn Flour*, Manjistha/Rubia Cordifolia Powder*, Manjistha/Rubia Cordifolia*, Masur/Masoor Dhuli*, Mint/Mentha/Pudina*, Moong Dal Split*, Moong Dal*, Moringa Leaves (Moringa oleifera) *, Moringa Leaves Powder (Moringa oleifera)*, Moringa Leaves*, Moringa Oleifera Leaf Powder*, Moth Dal*, Mucuna Pruriens (Mucuna)*, Mustard - Black*, Mustard Black Powder*, Mustard Flour*, Mustard Seed-Yellow*, Neem Leaves Powder*, Neem Leaves*, Nutmeg Powder*, Oats Flakes*, Onion Flakes*, Orange Peel Powder/Extract*, Orange Peel*, Pearl Millet/Bajra*, Peppermint Leaves*, Peppermint Powder*, Pigeon Pea/Arhar Whole*, Poha/Chivda*, Psyllium Husk (Isobgul)*, Psyllium Husk Powder*, Psyllium Seed (Isobgul)*, Pumpkin Seed*, Quinoa Black, Quinoa Red, Quinoa White, Quinoa*, Ragi (Finger Millet-Other Than Seed)*, Ragi Flour*, Ragi/Finger Millet Grain*, Raisins/Kismis*, Rama Tulsi Powder-Ocimum Sanctum*, Rama Tulsi TBC-Ocimum Sanctum*, Rama Tulsi-Ocimum Sanctum*, Red Chilli (Whole)*, Red Chilli Flakes*, Red Chilli Powder*, Red Flattened Rice*, Red Kidney Beans/Rajma (Phaseolus Vulgaris)*, Red Rice*, Rice Flour*, Rice Sona Masuri*, Rice Sonamasuri Brown*, Rose Petal TBC*, Rose Petals Powder*, Safed Musli Powder*, Safed Musli/Chlorophytum Borivilianum*, Saffron*, Senna Leaves Powder*, Senna Leaves Tea Bag Cut (TBC)*, Senna Leaves*, Sesame Seeds*, Shatavari Powder*, Shatavari*, Sorghum Flour*, Sorghum*, Soybean Whole*, Soybean*, Split Green Gram/Moong (Vigna Sp.)*, Split Lentil*, Stevia Leaves Dried*, Stevia*, Stevia/Stevia Rebaudiana Powder*, Sugar (Brown/Natural)*, Sugar*, Suji/Semolina/Cream Of Wheat*, Sunflower Seed*, Sunflower seeds: Of seed quality*, Tamarind Powder (Imli)*, Tamarind/Imli (T.Indica)*, Terminalia Arjuna*, Terminalia Bellirica Powder*, Terminalia Bellirica/Baheda*, Tinospora Cordifolia (Guruchi)*, Triphala Powder*, Tulsi Powder*, Tulsi TBC/Tulsi TBC Blend*, Turmeric Dried*, Turmeric Fingers*, Turmeric Flakes*, Turmeric Powder*, Turmeric TBC*, Turmeric Whole - Dried*, Urad Dal Split*, Urad Whole (Black)*, Vana Tulsi TBC-Ocimum Gratissimum*, Walnut*, Water Melon Seed*, Wheat Flakes*, Wheat Flour*, Wheat Maida*, Wheat Porridge/Dalia*, Wheat*, Wheatgrass Powder, White Pepper Powder*, White Pepper*, Yellow Mustard Powder/Ground*, Yellow Mustard*</t>
  </si>
  <si>
    <t>Other: Ajwain, Ajwain Powder, Alfa-Alfa Powder, Almond, Aloevera Leaves, Aloevera Leaves Powder, Amaranth Flour, Amaranth Seed/ Ram Dhana, Amla, Amla Dried, Amla Powder, Annato, Arhar Dal (Red Gram/Pigeon Pea), Arrowroot Powder, Ashwagandha, Ashwagandha Powder, Ashwagandha Root, Ashwagandha TBC, Bajra Flour/Atta, Bajra Porridge/Dalia, Barley - Dehulled, Barley Flour, Barley Grass Powder, Barley Porridge / Dalia, Barley Whole, Basil/Tulsi, Basmati Rice, Basmati Rice Brown, Basmati Rice White, Bay Leaf, Bay Leaf Powder, Bay Leaves/Tejpatta, Beaten Rice, Beet Root Powder, Bel Powder, Bel/Bael/Aegle Marmelos, Bengal Gram (Chana) Flour, Bengal Gram Whole, Bengal Gram(Chana)Flour, Bhoomi Amla Powder, Black Cumin, Black Cumin Powder, Black Gram Flour, Black Gram Split White, Black Gram White Whole, Black Gram/Urd (Vigna Sp.), Black Mustard Seed, Black Pepper, Black Pepper Crushed, Black Pepper Powder, Black Pepper TBC, Black Pepper TBC/Black Pepper Cut, Black Sesame/Sesamum, Boerhaavia Diffusa (Punerneva), Brahmi Powder, Brahmi/Bacopa Monnieri, Brahmi/Bacopa Monnieri Powder, Brown Gram/Chana (Cicer Arietinum), Brown Gram/Gram/Chana (Cicer Arietinum), Brown Mustard, Brown Rice, Brown Rice Flour, Buck Wheat (Seed Quality), Cane Sugar, Cardamom, Cardamom Large (Black), Cardamom Powder, Cardamom Seed, Cardamom TBC, Cardamom Tbc/Cardamom Cut, Cashew Kernel (Shelled Whole), Cashew Nut (In Shell), Cashew Whole, Castor Seeds, Celery Seed, Centella Asciatica, Centella Asciatica Powder, Chana Dal, Chana Masala, Chat Masala, Chia, Chickpea/Kabuli Chana (Garbanzos), Chicory Root Powder, Chicory Root Roasted Granules, Chicory Roots, Chilli Flakes, Chilli Flakes-Bird Eye, Chilli Powder, Chilli Powder-Bird Eye, Chilli Whole, Chilli Whole (Samba) -Fresh, Chilli Whole (Samba)-Dried, Chilli Whole Dried, Chilli-Bird Eye, Chitra Kidney Beans/Rajma (Phaseolus Vulgaris), Cinnamon, Cinnamon (Powder), Cinnamon Bark, Cinnamon Bark Powder, Cinnamon Powder, Cinnamon TBC, Clove Powder, Clove TBC, Cloves, Cocoa, Cocoa Beans, Coconut Oil, Coconut Powder/Dried Coconut Powder, Coffee Arabica Cherry, Coffee Arabica Parchment, Coffee Beans, Coffee Powder, Coffee Robusta Cherry, Coriander, Coriander Powder, Coriander Seed, Coriander Seed/Whole, Coriander TBC, Corn Starch, Cowpea, Cowpea Red, Cowpea/Lobia Whole (V.Unguiculata/Sinensis), Ctc Tea, Cumin Powder, Cumin Seed, Cumin Whole, Curry Leaf Powder, Curry Leaf/Leaves, Dehydrated Garlic Flakes, Dehydrated Garlic Powder, Dehydrated Ginger, Dehydrated Ginger Powder, Dill Seed (Aowa), Dried Cardamom, Dried Clove, Dried Nutmeg Shelled, Dried Rose Petals, Dry Rose Petal, Eclipta Alba (Bhrigjraj/Bhringraj), Eclipta Alba Powder, Emblica Officinalis (Amla/Indian Gooseberry), Fennel Powder, Fennel Seed, Fennel/Saunf, Fenugreek, Fenugreek Powder (Methi Powder), Fenugreek Seed (Methi Seed), Flax Seed, Flax Seed Powder, Flaxseed, Foxtail Millet, Galangal Powder, Galangal Roots, Garam Masala, Garcinia Cambogia Powder, Garlic, Garlic Flakes, Garlic Granules, Garlic Powder, Giloy Powder, Ginger Garlic Paste, Ginger Powder, Ginger Sliced (Dried), Ginger TBC, Ginger Whole, Ginger Whole (Dried), Gokshura Fruit (Tribulus Terrestris), Gokshura Powder-Tribulus Terrestris, Gokshura TBC, Gotukola TBC-Centella Asiatica-, Gram Flour/Besan, Green Cardamom, Green Cardamom Powder, Green Gram Flour, Green Gram Powder/Moong Dal Powder, Green Gram Split Yellow/Moong Dal Yellow, Green Gram Whole (Moong Sabut), Green Gram/Moong Dhuli, Groundnut/Peanut, Guar Gum Powder, Guar Seed, Gymnema Powder, Haritaki Fruit, Haritaki Powder, Haritaki/Harad (Terminalia Chebula), Henna Leaves, Henna Powder, Hibiscus, Hibiscus Petal/Tea Bag Cut, Hibiscus Rosasinensis Powder, Indian Basmati Rice, Indian Brown Basmati Rice, Jaggery, Jaggery Powder, Jamun Seed Powder, Jowar Flour, Kabuli Chana, Kalmegh Powder (Andrographis Paniculata), Kalmegh(Andrographis Penniculata), Kalonji/Nigella, Kasuri Methi, Kodo/Kodon Millet, Krishna Tulsi TBC-Ocimum Basilicum, Lemon Dip, Lemon Grass, Lemon Grass TBC, Lemon Peel Dried, Lemon Powder, Lentil, Lentil Dal, Liquorice Powder, Liquorice Roots, Liquorice TBC, Mace, Mace Powder, Madras Curry Powder, Maize (Corn), Maize (Corn) Flake, Maize/Corn Flour, Maize/Corn Porridge (Dalia), Malka Whole, Mango Flour/Powder, Mango Powder/ Aamchur, Mango Sliced Dried, Manjistha/Rubia Cordifolia, Manjistha/Rubia Cordifolia Powder, Masoor Dal/Split Red Lentils, Masoor Dal-Split With Out Shell, Masur/Masoor Dhuli, Matki/Moth Bean, Minced Garlic, Minced Ginger, Mint Powder, Mint/Mentha Leaves, Moong Dal, Moong Dal Split, Moringa Dried Leaves, Moringa Leaves, Moringa Oil, Moringa Oleifera Leaf Powder, Moringa Powder, Moringa Seed Oil, Moth Dal, Mucuna Pruriens (Mucuna), Mucuna Pruriens Powder, Muskmelon Seed, Mustard, Mustard Black, Mustard Black Powder, Mustard Flour, Mustard Oil (Refined), Mustard Seeds-Yellow, Neem Leaves, Neem Leaves Powder, Neem Oil, Non-Basmati Rice, Nutmeg Cracked Halves, Nutmeg Mace Dried, Nutmeg Powder, Nutmeg Whole, Oats (Flakes), Onion (Powder), Onion Flakes, Onion Granules, Onion Minced, Orange Peel, Orange Peel Powder/Extract, Pearl Millet / Bajra, Pepper Long/Pippali (Piper Longum), Peppermint Leaves, Peppermint Powder, Peppermint Whole Leaves, Pigeon Pea/Arhar Whole, Pippali Powder-Piper Longum, Poha Flattened Rice, Poha/Chivda, Psyllium Husk (Isobgul), Psyllium Husk Powder, Psyllium Seed (Isobgul), Pumpkin Seed, Quinoa, Quinoa Seed, Ragi (Finger Millet- Other Than Seed), Ragi Flour, Ragi/Finger Millet Grain, Raisins/Kismis, Rapeseed/Rai/Rye, Rauwolfia/R.Serpentina (Sarpgandha), Red Chilli (Whole), Red Chilli Flakes, Red Chilli Powder, Red Kidney Beans/Rajma (Phaseolus Vulgaris), Red Onion Powder, Red Rice, Rice Flakes, Rice Flour, Rice Puffed, Rice Sona Masuri, Rice Sonamasuri White, Roasted Chicory Root, Rose Petal TBC, Rose Petals Powder, Safed Musli Powder, Safed Musli/Chlorophytum Borivilianum, Saffron, Saffron Powder, Sarasparila Anantmool Powder, Senna Leaves, Senna Leaves Powder, Senna Leaves Tea Bag Cut (TBC), Sesame Oil/Gingelly Oil, Sesame Seed, Shatavari, Shatavari Powder, Shikakai, Soap Nut/Reetha ( Powder), Soap Nut/Reetha (Nuts), Sorghum, Sorghum Flour, Soybean, Soybean Whole, Split Green Gram/Moong (Vigna Sp.), Split Lentil, Split Pigeon Pea/Arhar/Red Gram, Star Anise, Stevia, Stevia Leaves Dried, Stevia Rebaudiana Powder, Stevia/Stevia Rebaudiana Powder, Sugar, Sugar (Brown/Natural), Suji/Semolina/ Cream Of Wheat, Sunflower Oil: Edible Grade, Sunflower Seed, Tamarind Chutney, Tamarind Concentrate, Tamarind Dried (Imli), Tamarind Powder, Tamarind/Imli (T.Indica), Tapioca, Terminalia Bellirica Powder, Terminalia Bellirica/Baheda, Thymes, Triphala Powder, Tulsi Leaves Dried, Tulsi Powder, Tulsi TBC/Tulsi TBC Blend, Turmeric Dried, Turmeric Fingers, Turmeric Flakes, Turmeric Powder, Turmeric TBC, Turmeric Whole Dried, Urad Dal Split, Urad Whole(Black), Vana Tulsi TBC-Ocimum Gratissimum, Virgin Coconut Oil, Walnut, Water Melon Seed, Wheat, Wheat Flour, Wheat Maida, Wheat Porridge/Dalia, Wheatgrass Powder, White Cane Sugar, White Pepper, White Pepper Powder, White Rice Flour, White Sesame/Sesame, Yellow Mustard, Yellow Mustard Powder/ Ground</t>
  </si>
  <si>
    <t>Seasonings: Black cumin, Fenugreek seed (methi seed), Kalonji/nigella; Other Grains, Pastas and Cereals: Quinoa; Nuts/Seeds: Amaranth seed/ Ram dhana, Amaranth/Amaranthus/Thotakura, Chia, Flax Seed, Flax/Linseed</t>
  </si>
  <si>
    <t>Other: Aamlaki Powder, Acacia catechu Powder, Air Dried Organic Coriander, Ajwain, Allspice oil, Almond, Almond oil, Aloe barbadensis, Aloe barbadensis Extract, Aloe barbadensis Powder, Aloe vera, Aloe vera gel, Aloe vera health drink, Aloe vera leaves, Aloe vera leaves powder, Aloe vera oil, Amal dried deseeded, Amaranth seed/ Ram dhana, Amla, Amla candy, Amla churna, Amla chutney (Indian gooseberry), Amla Jam (chavanprash), Amla murabba, Amla oil, Amla powder, Amla Squash, Amla tea, Amla whole dried, Amla/Aonla (Emblica linn), Apple Cidar Vinegar, Apricot oil, Arhar, Arhar Dal, arhar2, Ashwagandha, Ashwagandha oil, Ashwagandha Powder, Ashwagandha Root, Asparagus fresh, Asparagus Racemosus stem dried, Bajra flour/Atta, Barley, Barley Grass, Barley Grass Powder, Barley Porridge /Dahlia, Basil/Tulsi (Organic Vana Tulsi Leaf Dried), Basil/Tulsi Oil, Basmati rice, Bel/Bael/Aegle marmelos, Bhumiamalaki (Phyllanthus niruri), Bhumiamalaki powder, Bitter Gourd, Black cumin, Black gram/Urd (Vigna sp.), Black Mustard oil, Black Pepper, Black Pepper Powder, Boerhaavia diffusa (Punerneva), Brown Flaxseed Oil, Brown gram/Gram/Chana (Cicer arietinum), Brown Mustard Oil, Brown Rice, Buckwheat (other than seed), Cane Sugar, Caraway oil (Carum carvi), Cardamom, Cardamom Large (Black), cashew kernels (w320), Cashew nut (roasted &amp; salted), Cashew- Split, Cashew Whole, Castor Oil, Celery Powder, Celery Seed, Chana Black, chana Dal, Chana Dal2, Chia, Chickpea/Kabuli Chana (garbanzos), Chilli Powder, Chitkabra rajma himalayan, Chitra kidney beans/Rajma, Cinnamon, Clove oil, Cloves, Coconut Desiccated, Coconut Milk, Coconut oil, Coconut oil (Crude), Coconut Powder/ Dried Coconut Powder, Coriander Crushed, Coriander fresh, Coriander Powder, Coriander Seed, Coriander split, Cowpea, Cumin Powder, Cumin whole, Cyperus rotundus/Musta Powder, Drum Wheat (Other than seed quality), Dry wheatgrass powder, Dry/Dehydrated Coriander leaves, Dry/Dehydrated fenugreek leaves, Emblica Officinalis stem dried, extra virgin coconut oil, Fennel Powder, Fennel/Saunf, Fenugreek, Flax Seed, Flax Seed Oil, Flax seed powder, Flax/Linseed, Flaxseed, Fresh / (Dried) / Neem Stem / Azadirachta indica Stem, Fruit Vinegar, Garlic, Garlic arial part (Fresh/ Dried), Garlic Powder, Ginger Powder, Ginger whole dried, Gram Flour/Besan, Green Cardamom, Green gram split yellow/Moong dal-yellow, Green Gram Whole ( Moong sabut), Green gram/chana/Moong (Vigna sp.), Green gram/Moong dhuli, Green Moong Dal, Green tea, Groundnut/Peanut oil (Crude), Groundnut/Peanut oil (Edible grade), Henna Leaves, Indian Organic Basmati Rice, Indian Organic Brown Basmati Rice, Jaggery, Jaggery Powder, Jamun/Neralae (Syzygium cuminii), Jowar, Kabuli Chana, Kabuli Chana2, Kalonji/nigella, Khandsari sugar, Kinnow/Mandarin Orange Fresh, Lemon dried (Lemon Fruit dried), Lemongrass, Lemongrass powder, Lemons fresh, Lentil, Lentil dal, Mace, Mace Powder, Maize (Corn), Maize/Corn flour, Mango Powder/Aamchur, Masoor Dal, Masur/Masoor dhuli, Mint/Mentha/Pudina, Mix Dal, Momaradica Charantia (Fruit) Dried, Momaradica charantia (Fruit) Fresh, Momorandica Charantia (Fruit) Fresh, Momorandica charantia (stem), Momorandica Charantia (Stem) Dried, Momorandica Charantia (Stem) Fresh, Moong Dal, Moong dal-Split, Moringa (M.oleifera), Moringa leaves, Moringa oleifera Leaf powder, Moringa Powder, Motha (Cyperus rotendus), Multi grain Atta, Murraya Koenigii (Curry Leaves), Mustard, Mustard Oil (Crude), Mustard seeds- Yellow, Mustard-Black, Neem Leaves, Neem leaves powder, Nutmeg Whole, Oat flour, Oats (Flakes), Oats (Other than seed/grain), Oats (Rolled grains), Oats(seed/grains), Onion, Onion (Powder), Organic Broken Rice, Organic Brown Top Millet, Organic Foxtail Millet, Organic Gokhru Small (Tribulas terrestris) Dried, Organic Groundnut/Peanut seeds, Organic Jumbo Oats, Organic Kodo/Kodon Millet, Organic Little Millet, Organic Non-Basmati Rice, Organic Proso Millet, Organic Sawan/Barnyard Millet, Organic Sugar White, Papaya(C.papaya), Paprika/capsicum green (Capsicum annuum), Patchouli leaves, Patchouli oil, Pearl Millet/Bajra, Pepper long/Pippali(Piper longum), Peppermint, Peppermint powder, Poha Flattened Rice, Poha/Chivda, Pomegranate (fresh), Psyllium husk (isobgul), Punjabi Rajma, Quinoa, Ragi/Finger Millet grain, Raisins/Kismis, Rajma, Rama Tulsi Dried Leaves, Red Chilli (whole), Red Chilli Flakes, Red Chilli Powder, Red Flattered rice, Rice-Sona Masuri, Roasted bengalgram dal, Roasted Wheat, Rose water/hydrosol, Safed Musli powder, Saffron, Senna leaves, Senna Leaves Powder, Sesame Oil/Gingelly Oil, Sesame Seed- Oil, Sesame seeds, Shatavari, Shatavari Powder, Soybean, Soybean White, Soybean/soyabean oil, Special Turmeric Powder, Split grain /Chana, Split Green Gram/Moong, Split Pigeon pea/arhar/ Red grain, Stevia, Stevia leaves-dried, Stevia/Stevia rebaudiana powder, Sugar, Sugar (Brown/Natural), Suji/Semolina/Cream of Wheat, Sunflower oil - edible grade, Sunflower Seed Oil/ Sunflower Oil, Tamarind/Imli (T. indica), Tinospora cordifolia (Guruchi), Tinospora cordifolia (Guruchi) Dry Stem, Tomatoes (Fresh), Triphala, Triphala powder, Tulsi Powder, Turmeric Dried, Turmeric fresh, Turmeric Powder, Urad Dal, Urad Dal Black Split, Urad dal/Split Black gram, Urad Dal-Split with Shell, Urad dal-Whole, Urad dhuli, Urad Whole(black), Virgin coconut oil, walnut, Wheat, Wheat dalia/porridge, Wheat flour, Wheat Flour/ Wholewheat Atta Premium, Wheat grain, Wheat Grain Regular, Wheat grain regular, Wheat moong dalia/porridge, Wheatgrass, Wheatgrass powder, White Kidney beans/Rajma (Phaseolus vulgaris), Whole Wheat Atta Premium</t>
  </si>
  <si>
    <t>Animal Feed: Livestock Feed (Chicken starter, Chicken grower, Chicken layer, Goat feed, Pig grower, Turkey starter, Soy-Free: Layer, Pig grower); Other: Grain/Seed cleaning, Livestock Feed (Cracked Corn), Livestock Feed (Poultry Scratch Feed)</t>
  </si>
  <si>
    <t>Other Grains, Pastas and Cereals: Maja Food Overnight Oats Banana Bread, Maja Food Overnight Oats Cacao &amp; Coconut; Dry/Baking Goods: Baking Mixes (Banana Loaf &amp; Muffin Mix), Baking Mixes (Carrot Cake &amp; Cupcake Mix), Baking Mixes (Chocolate Cake &amp; Cupcake Mix), Baking Mixes (Chocolate Frosting Mix), Baking Mixes (Cream Cheese Frosting Mix), Baking Mixes (Organic Maple Sugar Pancake &amp; Waffle Mix), Baking Mixes (Organic Soft Wheat Flour), Baking Mixes (Organic Spring Wheat Flour), Baking Mixes (Pumpkin Spice Loaf &amp; Muffin Mix), Baking Mixes (Simple Truth GF A/P Baking Mix), Baking Mixes (Vanilla Cake &amp; Cupcake Mix), Baking Mixes (Vanilla Frosting Mix), Flours and Meals (Einkorn Pancake &amp; Waffle Mix), Flours and Meals (Essential Sweets Organic White Spelt Flour), Flours and Meals (Organic Soft Whole Wheat Flour), Flours and Meals (Essential Sweets Organic White Spelt Flour), Flours and Meals (Organic Cassava Flour), Flours and Meals (Organic Coconut Flour), Flours and Meals (Wegmans Organic A/P Flour)</t>
  </si>
  <si>
    <t>Other Grains, Pastas and Cereals: Flours and Meals (Whole Grains or Seeds: Canola); Oils &amp; Oleoresins: Oils (Oil: Soybean Oil); Animal Feed: Livestock Feed (Grain: Canola Seed), Livestock Feed (Grain: Canola Meal), Seeds (Grain: Soybeans), Seeds (Grain: Soybean Meal)</t>
  </si>
  <si>
    <t>Animal Feed: Livestock Feed (Corn Discard), Livestock Feed (Soybean Discard), Livestock Feed (Spelt Discard), Livestock Feed (Wheat Discard); Other: Cleaning Grain/Seed, Custom Cleaning Grain/Seed</t>
  </si>
  <si>
    <t>Other Grains, Pastas and Cereals: Durum Wheat Semolina, Flours and Meals (Soft Wheat Flour "Type 0), Italian Pearled Farro Bag and Italian Pearled Farro Bag, Quinoa (White Quinoa, Red Quinoa, Tri Color Quinoa); Nuts/Seeds: Black Chia Seeds, Seeds (Pumpkin Seeds)</t>
  </si>
  <si>
    <t>Other: 100% Whole Wheat, Alice's Rye, Baguette, Ciabatta, Ciabatta Rolls, Crossett Hill, Kingdom Rye, Lemon Rosemary Levain, Mad River Grain, Polenta Bread, Potato Bread, Seeded Baguette, Sesame Whole Wheat, Sprouternickel, Three Millers, Vermont Miche, Waitsfield Common</t>
  </si>
  <si>
    <t>Other Grains, Pastas and Cereals: Buckwheat, Millet, Millet; Fruits/Vegetables: Beans; Dry/Baking Goods: Flours and Meals; Other: Grain Bagging, Grain Cleaning, Grain Handling, Grain Processing</t>
  </si>
  <si>
    <t>Other: Carrot Puree (Carrot Puree), Coconut (Coconut Milk 17-19% Fat), Coconut (Coconut Milk 24% Fat (Coconut Cream)), Coconut (Coconut Milk 24-26% Fat), Frozen Puree (Broccoli Puree), Fruit Puree (Apple Puree), Garlic (Processed) (Cooked Garlic Puree, Type EPA), Onions (Cooked Juicy Onions Type ER, Diced), Onions (Cooked Onions Type EP, Puree), Onions (Cooked Onions Type ERR, Diced), Rice (Basmati) (IQF Basmati Rice), Rice (Jasmine) (IQF Jasmine Rice), Rice (Long Grain Brown) (Long Grain Brown Rice), Rice (Long Grain White) (IQF Long Grain White Rice), Vegetable Puree (Butternut Squash Puree), Vegetable Puree (Chickpea Puree), Vegetable Puree (Kale Puree), Vegetable Puree (Pumpkin Puree), Vegetable Puree (Spinach Puree), Vegetable Puree (Sweet Potato Puree)</t>
  </si>
  <si>
    <t>Other Grains, Pastas and Cereals: Millet; Nuts/Seeds: Flaxseed, Pepitas (Pumpkin Kernels), Sunflower Kernels</t>
  </si>
  <si>
    <t>Processed  Items: Coconut Chips with Nectar, Dehydrated Foods (Apricots (whole, dried)), Dehydrated Foods (Apricots (whole, dried)), Dehydrated Foods (Chia), Dehydrated Foods (Chia), Dehydrated Foods (Coconut), Dehydrated Foods (Coconut), Dehydrated Foods (Diced Apricots), Dehydrated Foods (Diced Apricots), Dehydrated Foods (Dried Figs), Dehydrated Foods (Dried Figs), Dehydrated Foods (Goji Berries), Dehydrated Foods (Golden Berries), Dehydrated Foods (Golden Berries), Dehydrated Foods (Jackfruit), Dehydrated Foods (Jackfruit), Dehydrated Foods (Mango), Dehydrated Foods (Mango), Dehydrated Foods (Pineapple), Dehydrated Foods (Pineapple); Other Grains, Pastas and Cereals: Flax, Flax; Nuts/Seeds: Almonds (Almonds), Almonds (Almonds), Baru, Brazil Nut (Brazil Nuts), Brazil Nut (Brazil Nuts), Cashew Nuts (Cashews), Cashew Nuts (Cashews), Filberts (Hazelnuts), Filberts (Hazelnuts), Macadamia (Macadamia Nuts), Macadamia (Macadamia Nuts), Pecans (Pecans), Pepitas, Pepitas, Pine Nuts (Pine Nuts), Pine Nuts (Pine Nuts), Quinoa, Quinoa, Sunflower Seeds; Other: Brokering of tree nuts, seeds, and dried fruits, Exporting of tree nuts, seeds, and dried fruits, Importing of tree nuts, seeds, and dried fruits, Raisins, Trading of tree nuts, seeds, and dried fruits</t>
  </si>
  <si>
    <t>Seasonings: Seasoning Blends; Processed  Items: Dehydrated Foods, Dehydrated Foods, Dehydrated Foods, Dehydrated Foods, Dehydrated Foods, Dehydrated Foods, Dehydrated Foods; Preservatives/Extracts/Flavors: Herbs; Other Grains, Pastas and Cereals: Barley, Barley, Buckwheat Groats, Raw, Hulled, Buckwheat Groats, Roasted, Kasha, Oats, Oats, Oats, Oats, Quinoa, Quinoa, Quinoa, Rice, Rice, Rice, Rice, Rye, Berries, Spelt, Berries, Wheat, Wheat, Wheat, Wheat, Wheat, Wheat, Wheat; Nuts/Seeds: Almonds, Almonds, Chia Seeds, Black, Fennel Seed, Flax Seed, Brown, Hemp Seeds, Hulled, Pumpkin Seeds 'AA', Sunflower Seeds, Hulled, Sunflower Seeds, Raw Hulled, Walnuts; Fruits/Vegetables: Beans, Beans, Vegetables, Vegetables, Vegetables, Vegetables, Vegetables, Vegetables, Vegetables, Vegetables, Vegetables; Dry/Baking Goods: Baking Mixes,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Condiments and Sweeteners: Sweeteners, Sweeteners; Other: Distribution</t>
  </si>
  <si>
    <t>Processed  Items: Popcorn (Yellow, White), Popcorn (Screenings); Other Grains, Pastas and Cereals: White Corn</t>
  </si>
  <si>
    <t>Other: Crossdocking Grain, Grain Storage &amp; Cleaning, Yellow corn, Yellow popcorn, Canola Meal, Soybean Meal, Soybeans, Sunflower Meal</t>
  </si>
  <si>
    <t>Other: Adzuki Beans, Ajwain Seed, Ajwain Seed Oil, Alfalfa, Alfalfa Powder, Allspice, Almond Butter (Raw Almond Butter), Almond Butter (Roasted Almond Butter), Almond Flour (Blanched Almond Meal/Flour), Almonds, Almonds (Dry Roasted Whole Almonds), Aloe vera Extract, Amaranth Seeds (Amaranth Seed Oil), Amla, Andrographis Paniculata Extract, Annatto (Seed), Annatto Seed (Oil), Arrowroot (Powder), Ashwagandha ((Herb, Extract, Root Powder)), Asparagus, Banana Chips, Barley ((Flakes, Flour, Hulled, Hulless, Pearled, Whole)), Basil ((Herb, Extract, Oil)), Beans (Soldier), Bengal Gram Chana, Berberis aristata Extract, Black Beans, Black Tea, Blend (Everything Bagel Blend), Boswellia Serrata Extract, Brahmi, Brazil Nuts, Buckwheat ((Grits, Flour, Helled, Roasted, Whole)), Cacao ((Butter, Nibs, Paste, Powder, Whole Beans)), Cane Sugar (Evaporated Granular), Cannellini Beans, Cardamom ((Herb, Oil)), Cashew Butter (Dry Roasted Cashew Butter), Cashews ((Various forms)), Cashews (Oil Roasted Cashews), Castor Oil, Celery Seed Essential Oil, Chamomile, Chia Seed Flour, Chia Seeds (Chia Seeds - Black), Chia Seeds (Chia Seeds - White), Chickpeas, Chili ((Crushed, Powder, Red)), Cinnamon ((Herb, Oil)), Citronella Oil, Cloves ((Herb, Oil)), Cocoa Butter, Cocoa Powder, Coconut ((Butter, Chips, Cream, Extra Fine, Flour, Macaroon, Milk Powder, Shredded, Toasted)), Coconut Milk, Coconut Oil, Coconut Sugar, Coconut Water, Convolvulus pluricaulis, Coriander ((Herb, Oil, Seed)), Corn (Popcorn), Corn Grits (Yellow), Couscous, Couscous (Whole Wheat), Cumin ((Herb, Oil, Powder, Seed)), Curry (Indian Curry Leaves), Dates, Dill ((Oil, Seed)), Dried Apricots, Dried Dragon Fruit (Freeze-Dried Dragon Fruit Powder), Dried Onion (Dehydrated Minced Onions), Drumstick Extract, Eclipta (Extract), Embilica officinalis Extract, Fava Beans, Fennel ((Herb, Oil, Oleoresin, Seed)), Fenugreek ((Herb, Extract, Powder, Seed)), Flax (brown), Flax (golden), Flax seed Meal (Brown), Flax seed Meal (Golden), Flax Seeds, Flaxseed Oil, Frankincense, Galangal, Garbanzo Beans, Garlic ((Dehydrated) Granulated, Minced, Powdered), Garlic ((Herb, Oil)), Ginger ((Herb, Extract, Oil, Oleoresin, Whole)), Glycyrrhiza glabra-root-dry, Gotu Kola, Grain Blend (Grain and Seed Blend with Evaporated Cane Sugar), Great Northern Beans, Green Tea, Guar Gum, Gymnema ((Herb, Extract, Leaves)), Hazelnuts (Dry Roasted Hazelnuts), Hazelnuts (Whole Hazelnut Kernels), Hemp Oil, Hemp Seeds ((Seeds, Protein, Hearts)), Henna Leaves, Hibiscus Extract, Holy Basil ((Herb, Extract, Powder)), Honey, Kalonji, Kamut, Kidney Beans, Lavender Oil, Lemongrass ((Herb, Oil)), Lentils (Lairds), Lima Beans, Macadamia Nuts, Millet, Molasses, Mucuna Pruriens, Mung Beans, Mustard Seed ((Black, Brown, Yellow)), Neem ((Herb, Extract, Oil)), Neem (Leaves), Oats ((Bran, Instant, Rolled, Steel Cut, Thick)), Oats (Groats), Onion, Onion ((Dehydrated)), Papaya Puree, Patchouli Oil, Pea Protein, Peanut Butter (Roasted Peanut Butter), Peanuts ((Nuts, Oil)), Pecans (Dry Roasted Pecans), Pepper (Black), Pepper (White), Pineapple, Pinto Beans, Pistachios, Pistachios (Dry Roasted Pistachios), Pomegranate ((Extract, Oil)), Poppy Seeds (Blue), Potato Powder (Flour), Potato Starch, Psyllium husk, Psyllium husk (Powder), Psyllium Seed, Pumpkin Kernel, Pumpkin Kernel ((shine skin, grown w/o shell)), Pumpkin Seeds, Pumpkin Seeds (Dry Roasted Pumpkin Seeds), Pumpkin Seeds (Pumpkin Seed Meal), Quinoa ((Bran, Pasta, Flakes, Puffed)), Quinoa (Blended Quinoa (red &amp; white)), Quinoa Flour, Quinoa Seeds, Quinoa Seeds (Black Quinoa Seeds), Quinoa Seeds (Red Quinoa Seeds), Quinoa Seeds (White Quinoa Seeds), Rice (Puffed), Rice (Various), Rose ((Herb, Oil, Water)), Rye ((Flakes, Flour, Whole)), Rye (Whoel Rye Berries), Safed Musli Extract, Safflower Kernel, Salacia reticulata Extract, Sandalwood Oil, Sapindus mukorossi Extract, Seed Blend, Seed Blend (3 Seed Blend), Seed Blend (Everything Seed Blend), Seed Blend (Seven Seed Blend), Senna ((Extract, Leaves)), Serenia repens, Sesame Meal, Sesame Meal (Sesame Flour), Sesame Oil, Sesame Seed Hulled, Sesame Seed Hulled (Toasted Hulled Sesame Seeds), Sesame Seeds (Black), Sesame Seeds (Natural Brown Sesame Seeds), Sesame Seeds (Unhulled Natural Brown Sesame Seeds), Shatavari ((Herb, Powder)), Small Red Beans, Sorghum, Sorghum Flour, Soy Lecithin, Soybeans ((Clear, Meal, Roasted, White)), Spearmint Oil, Spelt ((Flakes, Flour, Whole)), Spinach Powder, Stevia ((Herb, Extract, Leaves, Powder)), Sunflower Butter (Roasted Sunflower Butter), Sunflower Meal, Sunflower Oil, Sunflower Seed Kernel ((Hulled, Roasted)), Sunflower Seed Kernel (Oil Roasted Sunflower Kernels), Teff, Terminalia arguna Extract, Thyme Oil, Tinospora cordifolia Extract, Turmeric ((Herb, Extract, Fresh, Powder)), Valerian Extract, Vanilla Bean, Vetiver Oil, Walnuts, Walnuts (Dry Roasted Walnuts)</t>
  </si>
  <si>
    <t>Other Grains, Pastas and Cereals: Pasta (20/1 LB ROMA PASTA CAPELLINI ORGANIC), Pasta (20/1 LB ROMA PASTA FETUCCINE ORGANIC), Pasta (20/1 LB ROMA PASTA LINGUINE #6 ORGANIC), Pasta (20/1 LB ROMA PASTA ORECCHIETTE ORGANIC), Pasta (20/1 LB ROMA PASTA PENNE RIGATE ORGANIC), Pasta (20/1 LB ROMA PASTA RIGATONI ORGANIC), Pasta (20/1 LB ROMA PASTA SPAGHETTI ORGANIC), Pasta (20/1 LB ROMA PASTA SPAGHETTINI #2 ORGANIC), Pasta (20/1 LB ROMA PASTA ZITI ORGANIC), Pasta (20/1 LB VALDIGRANO PASTA ORZO ORGANIC), Quinoa (4/2.5 LB CHEFS LINE RED QUINOA BROWN RICE ORGANIC); Fruits/Vegetables: 12/5.3 OZ NP ORGANIC DOUBLE STEAMED BROWN LENTIL, 12/5.3 OZ NP ORGANIC DOUBLE STEAMED CHICKPEAS, Beans (12/5.3 OZ NP ORGANIC DOUBLE STEAMED BLACK BEANS), Beans (12/5.3 OZ NP ORGNC DBLE STEAMED RED KIDNEY BEANS), Vegetables (6/10 PIANCONE EPICUREO ORGANIC WHOLE PEELED TOMATO); Other: 12/4 OZ FULL CIRCLE MUSHROOMS PNS ORGANIC, 12/4 OZ NATURES PROMISE MUSHROOMS PNS ORGANIC</t>
  </si>
  <si>
    <t>Other Grains, Pastas and Cereals: CORN, SUNFLOWER; Fruits/Vegetables: Beans (SOYBEAN)</t>
  </si>
  <si>
    <t>Other: Cheese Powder (Enzyme Modified Cheddar Cheese Powder #152871K-IP-FLV-001119), Cheese Powder (Enzyme Modified Cheddar Cheese Powder #155800K - FLV-001102), Misc (NuXtend 150), Misc (Organic Bakegard VP), Misc Powders (Palm Pea Powder), Misc. Flavor (5003 ClearIQ™ Essential Flavor M360 Organic), Misc. Flavor (5011 ClearIQ™ Specialty Flavor A500 Organic), Oat Milk (Avenolait (Whole Grain Oat Dairy Alternative)), Oat Milk (Avenolait LF (Whole Grain Oat Dairy Alternative)), Rice Powder (Orzy-o-lait (Brown Rice Dairy Alternative)), Rice Protein Concentrate (Oryzatein SG-BN), Tamari Powder (Gluten Free Dry Tamari Soy Sauce), Tamari Powder (Wheat-Free Tamari Spray Dried Soy Sauce)</t>
  </si>
  <si>
    <t>Other: Butter Flavor (Brown Butter Type Flavor 155746KP), Butter Flavor (Butter Type Flavor 152657KP-IP), Butter Flavor (Butter Type Flavor Powder #152556KP), Butter Flavor (Butter Type Flavor Powder 150902KP), Butter Flavor (Butter Type Flavor Powder 154215KP), Butter Flavor (Enzyme Modified Butter 155824), Buttermilk Flavor (Vegan Buttermilk Type Powder 152930KP), Cheddar Cheese Powder (Enzyme Modified Cheddar Cheese Flavor Powder 152871K-IP), Cheese Flavor (Aged Cheese Type Flavor Enhancer Powder #152459KP), Cheese Flavor (Blue Cheese Type Flavor 156827KP), Cheese Flavor (Blue Cheese Type Flavor 157484KP), Cheese Flavor (Blue Cheese Type Flavor Powder 152687KP), Cheese Flavor (Cheese Flavor #152665), Cheese Flavor (Cheese Flavor 152665K), Cheese Flavor (Cheese Type Flavor 153175KP), Cheese Flavor (Enzyme Modified Cheddar Cheese 155800K ), Cheese Flavor (Enzyme Modified Cheddar Cheese 155825), Cheese Flavor (Enzyme Modified Cheddar Cheese Flavor 152871), Cheese Flavor (Enzyme Modified Cheddar Cheese Powder 155800K), Cheese Flavor (Parmesan Cheese Flavor 153386), Cheese Flavor (Parmesan Type Flavor Powder #128084KP), Cheese Flavor (Parmesan Type Flavor Powder #152460KP), Cheese Flavor (White Cheddar Cheese Seasoning #153471), Cheese Paste (Cheddar Cheese Concentrate 116094K), Cheese Powder (Aged Cheddar Cheese Seasoning #160310), Cheese Powder (Aged Cheddar Cheese Seasoning 153065), Cheese Powder (Aged Cheddar Cheese Seasoning 153066K), Cheese Powder (Cheddar Cheese Seasoning #153142), Cheese Powder (Cheddar Cheese Seasoning 160155K), Cheese Powder (Cheddar Type Flavor Powder 116043KP), Cheese Powder (White Cheddar Cheese Seasoning #153143), Cheese Powder (White Cheddar Cheese Seasoning #160311), Cheese Powder (White Cheddar Cheese Seasoning 153052 ), Cheese Powder (White Cheddar Cheese Seasoning 153069K), Cheese Powder (White Cheddar Cheese Seasoningn 153056), Misc. Flavor (Cream Corn Type Flavor #126109KP OS), Misc. Flavor (Encapsulated Natural Starter Distillate Replacer Powder 152548KP), Powder (Buttermilk Type Flavor Powder #128157KP), Powder (Cheddar Type Flavor Powder #128143KP), Powder (GF Anti Boil Over Powder #115058), Seasoning Blend (150286 Italian Blend), Seasoning Blend (BUFFALO SEASONING #157502K), Seasoning Blend (Cheddar Cheese Seasoning #155668), Seasoning Blend (Cheddar Cheese Seasoning #160313), Seasoning Blend (Cheddar Cheese Seasoning 153051), Seasoning Blend (Cheddar Cheese Seasoning 153055), Seasoning Blend (Cheddar Cheese Seasoning 157933K), Seasoning Blend (CHILI LIME SEASONING #157567K), Seasoning Blend (Everything Bagel Seasoning #158828K), Seasoning Blend (Garden Vegetable Seasoning 155170K), Seasoning Blend (GF Cheddar Cheese Seasoning 156118K), Seasoning Blend (Ginger Soy Seasoning #159741K), Seasoning Blend (Gluten Free Apple and Honey Flavored Seasoning 138019K), Seasoning Blend (Gluten Free Buffalo Hot Wings Seasoning #156896K), Seasoning Blend (Gluten-Free Curry Seasoning 156947), Seasoning Blend (Gluten-Free Vegan Chicken Type Flavored Seasoning #155783K), Seasoning Blend (Italian Seasoning #152021K), Seasoning Blend (Non GMO Gluten-Free Garlic, Parmesan, and Herb Seasoning #159448K), Seasoning Blend (NON-GMO Gluten Free Habanero Lime Seasoning #157734K), Seasoning Blend (NON-GMO Gluten Free Hot Honey Seasoning #157735K), Seasoning Blend (NON-GMO Gluten Free Maple Butter Type Seasoning #157870K), Seasoning Blend (NON-GMO Gluten Free Rosemary Garlic Seasoning #157733K), Seasoning Blend (NON-GMO Gluten Free Vegan White Cheddar Cheese Type Seasoning #157379K), Seasoning Blend (Non-GMO Gluten-Free Habanero Lime Seasoning #160422K), Seasoning Blend (Non-GMO Gluten-Free Pizza Seasoning 158856K), Seasoning Blend (Non-GMO Gluten-Free Rosemary Garlic Seasoning #160420K), Seasoning Blend (Organic Maple Brown Sugar Seasoning 152291K), Seasoning Blend (Organic Maple Brown Sugar Type Seasoning 152290K), Seasoning Blend (VEGAN MILD CHILI SEASONING #160996K), Seasoning Blend (White Cheddar Cheese Seasoning #153052CR), Seasoning Blend (White Cheddar Cheese Seasoning 153050), Seasoning Mixes (Gluten-Free Ginger Turmeric Seasoning #156974K), Seasoning Mixes (Gluten-Free Sriracha Seasoning 138020K), Seasoning Mixes (Gluten-Free Vegan Cheddar Type Seasoning #153517K), Seasoning Mixes (NGMO ORGANIC GLUTEN-FREE VEGAN CHICKEN TYPE FLAVORED SEASONING  #160344K), Seasoning Mixes (Non-GMO Gluten-Free Vegan Cheddar Type Seasoning152695K), Seasoning Mixes (Non-GMO Gluten-Free Vegan Creamy Seasoning 152690), Seasoning Mixes (Snack Mix Seasoning 150344K), Seasoning Mixes (Tequila Type Lime Seasoning 141078K), Seasoning Mixes (Vegan Cheddar Type Seasoning #155040), Seasoning Mixes (Vegan Harvest Blend Seasoning 154427K), White Vinegar (White Distilled Vinegar 300 Grain), Yogurt Powder (Yogurt Type Flavor Powder 152798K-IP )</t>
  </si>
  <si>
    <t>Other: Adhatoda vasica, Almonds, Aloe vera leaves, Aloe vera powder, Amaranthus seed/ Ram Dhana, Bacopa monnieri (L) pennell (Indian pennywort) Brahmi, Bacopa Monnieri whole plant powder (Brahmi Powder), Barley Grass Powder, Bay leaves, Beet root, Beet root powder, Bilva, Boswellia Serrata, Cashew Whole, Centella Asiatica, Centella Asiatica Powder, Cinnamon, Cinnamon bark powder, Cinnamon Tamala leaves, Cinnamon TBC, Cinnamon Zeylanicum bark, Clove Powder, Cloves, Convolvulus Pluricaulis (Shankhapushpi), Cumin Powder, Cumin seed, Curry leaf powder, Cyper rolondus (Root), Cyper Rolondus powder, Eclipta alba (Bhringraj), Eclipta alba powder, Fennel whole/ Saunf, Fenugreek, Fenugreek powder, Flax seed, Garcinia cambogia (Fruit) Garcinia Fruit, Garcinia Cambogia (Leaves) Garcinia Leaves, Garcinia cambogia powder, Garlic, Ginger fresh, Ginger powder, Ginger TBC, Gokshura centella TBC, Gokshura Fruit (Tribulus Terrestris), Ground nuts/ Peanut, Ground nuts/ peanut Oil, Gymnema Powder, Gymnema Sylvestre (Leaves), Gymnema/ Gymnema TBC, Hibiscus dried flower, Indian curry leaves, Jamun/ Neralae (Syzygium cumini), Kalmegh (Andrographis paniculata), Kalmegh Powder (Andrographis paniculata), Karela Bittergourd Powder, Karela fruit/ Bittermelon fruit, lemon grass, Liquorice/ jesta madhu (Dry Liquorice), Little Millet, Manjistha Powder/ Rubia cardifolia powder, Manjistha/ Rubia Cardifolia, Moringa dried leaves, Moringa Oleifera leaf Powder/ Moringa Oleifera Powder, Mucuna Pruriens Powder/ Mucuna seed powder, Mucuna Prurtia seed/ Mucuna seed, Nutmeg Powder, Nutmeg whole, Papayas leaves, Papayas leaves TBC, Pepper long/ Pippali (Piper Longum), Pomegranates fresh, Proso Millet, punarnova root, Ragi finger Millet grain, Rama Tulsi TBC- Ocimum sanctum (Tulsi TBC), Rice flour, Sawan Barnyard millet/ Barnyard millet, Shatavari Powder, Shatavari/ Shatavari root, Sugar, Sugar (Brown Natural), Tinospora cordifolia (Guruchi) (Giloy), Tinospora Cordifolia powder, Tribulus terrestris powder, Trikatu powder, Triphala powder, Tulsi leaves dry, Tulsi powder, Turmeric fresh, Turmeric powder, Turmeric TBC, Turmeric whole dried, Vetivera zizaniodes (Root), wheat flour</t>
  </si>
  <si>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</si>
  <si>
    <t>Other Grains, Pastas and Cereals: Rice (Basmati Brown broken rice), Rice (Basmati brown rice (ungraded)), Rice (Basmati steam rice), Rice (Basmati White broken rice), Rice (Long Grain Broken Brown Rice), Rice (Long grain brown rice (ungraded)), Rice (Long grain steamed rice), Rice (Long grain white rice - broken), Rice (Parboiled brown rice), Rice (Rice basmati brown), Rice (Rice Basmati parboiled), Rice (Rice Basmati parboiled brown), Rice (Rice basmati super brown), Rice (Rice basmati super parboiled), Rice (Rice basmati super white), Rice (Rice Basmati white), Rice (Rice broken), Rice (Rice long grain brown), Rice (Rice long grain parboiled), Rice (Rice long grain parboiled brown), Rice (Rice long grain white), Rice (Round japonica parboiled Brown rice), Rice (Round japonica parboiled rice), Rice (Round japonica Rice Broken), Rice (Round japonica rice Brown Broken), Rice (Round japonica Rice White), Rice (Round japonica rice white Broken), Rice (Round japonica steam rice), Rice (Round rice brown); Other: Paddy (basmati), Paddy (long grain), Paddy round rice</t>
  </si>
  <si>
    <t>Other Grains, Pastas and Cereals: Rice (Black rice (Paddy/Cargo), Broken rice (Hommali, White, Brown, Red, Black) , Hommali brown rice (Cargo), Hommali white rice, Red rice (Cargo), Riceberry, Thai Hommali rice (Cargo), Thai Hommali rice (Cargo)/ Brown rice, White rice ( Long grain rice)); Other: Beans (Mung bean (Bulk product))</t>
  </si>
  <si>
    <t>Processed  Items: Hom mali rice bran oil, Riceberry rice bran oil; Other Grains, Pastas and Cereals: Rice (Black glutinous rice bran, Black glutinous rice vacuum, Black rice bran, Black rice vacuum, By products (rice bran), Chainat (long grain rice) paddy, Chainat rice bran, Chainat Rice Paddy, Glutinous rice bran, Hom Mali Paddy Rice, Hom mali rice bran, Hommali rice paddy, Paddy black glutinous rice, Paddy black rice, Paddy chainat rice, Paddy glutinous rice, Paddy hom mali rice, Paddy long grain rice, Paddy RD49, Paddy red rice, Paddy riceberry rice, Pathum Thani 1 Paddy Rice , RD 10 Rice paddy, RD 15 Rice paddy, RD49 Rice, Red rice bran, Red rice vacuum, Rice Berry Paddy, Rice bran, Rice Bran-Hom Mali, Riceberry rice bran, Riceberry rice bran powder (Rice germ), Sticky Black rice paddy, Sticky Red rice paddy, Sticky rice paddy, White Sticky Paddy Rice), Rice (Black Broken rice, Black glutinous broken rice, Black glutinous milled rice, Black glutinous rice, Black milled rice, Black Rice, Black rice cargo rice, By products (broken rice), Chainat (long grain rice) white/brown (cargo) rice, Chainat broken brown rice, Chainat broken rice, Chainat brown rice, Chainat milled rice, Gaba hommali brown rice, Gaba red rice, Gaba riceberry rice, Germinated Rice: Hommali Rice, Red Rice, Black Rice and Riceberry Rice, Glutinous broken brown Rice, Glutinous broken rice, Glutinous brown rice, Glutinous milled rice, Glutinous rice, Hom mali broken brown rice, Hom mali broken rice, Hom mali brown rice, Hom mali milled rice, Hom mali rice, Hommali white/brown (cargo) rice, Jasmine brown rice, Jasmine white rice, Long grain milled rice, Pathum Thani rice milled, Pathum Thani rice milled 15%, RD 10 white/brown (cargo) rice, RD 15 white/brown (cargo) rice, Red broken rice, Red milled rice, Red rice, Red rice cargo rice, Rice Berry Broken Rice, Rice Berry cargo rice, Rice berry semi milled, Riceberry broken rice, Riceberry milled rice, Riceberry rice, Sticky Black rice cargo rice, Sticky Red rice cargo rice, Sticky rice white/brown (cargo) rice, Thai cargo black rice / Rice berry, Thai cargo hom mali broken rice, Thai cargo hom mali rice 15% / Thai hom mali brown rice 15%, Thai Cargo Hom Mali Rice/ Thai Hom Mali Brown Rice, Thai cargo red broken rice, Thai cargo red rice / Thai cargo red hom mali rice, Thai germinated hom mali rice / Thai gaba hom mali rice, Thai hom mali broken rice, Thai Hom Mali Green Colors Rice/ Thai Hom Mali Young Rice, Thai hom mali semi milled, Thai long grain fragrant rice hom mali / Thai hom mali rice milled, Thai sticky rice - RD6, Undermilled rice); Dry/Baking Goods: Flours and Meals (Glutinous rice flour, Hom mali rice flour, Red rice flour, Riceberry rice flour); Other: Beans (Mung bean (Green gram; Vignaradiata))</t>
  </si>
  <si>
    <t>Other: #Custom transloading of organic grains and feeds.</t>
  </si>
  <si>
    <t>Other Grains, Pastas and Cereals: Barley (Malting Barley), Wheat (Hard Red Spring Wheat)</t>
  </si>
  <si>
    <t>Trees/Whole Plant Products/Flowers: Dried Boletus Mushroom, Flowers (Dried Hibiscus Flower), Flowers (French Lavender Flower); Seasonings: Seasoning Blends (Fish Seasoning); Preservatives/Extracts/Flavors: Herbs (Dried Birds Eye Chili Pepper), Herbs (Dried Mint), Herbs (Dried Oregano), Herbs (Dried Parsley), Herbs (Dried Pineapple), Herbs (Granulated Garlic), Herbs (Herbes de Provence), Herbs (Marjoram Leaf), Herbs (Rosemary Leaf), Herbs (Sage Leaf), Herbs (Savory Leaf), Herbs (Tarragon Leaf), Herbs (Thyme Leaf), Other Preservatives/Extracts/Flavors - Textured Soy Protein, Other Preservatives/Extracts/Flavors - Whey Protein, Other Preservatives/Extracts/Flavors - Whey Protein Chocolate, Powders (Acai Berry Powder), Powders (Agar Agar Powder), Powders (Alfalfa Powder), Powders (Almond Powder), Powders (Anise Seeds Powder), Powders (Anise Star Powder), Powders (Ashwagandha Powder), Powders (Baobab Fruit Powder), Powders (Basil Powder), Powders (Beet Root Powder), Powders (Black Pepper Powder), Powders (Caraway Powder), Powders (Cardamom Powder), Powders (Carrot Powder), Powders (Cloves Powder), Powders (Cocoa Powder), Powders (Colombo Powder), Powders (Coriander Powder), Powders (Cumin Powder), Powders (Fennel Powder), Powders (Fenugreek Powder), Powders (Garlic &amp; Herbs Powder), Powders (Garlic Powder), Powders (Ginger Powder), Powders (Goji Powder), Powders (Guarana Powder), Powders (Hazelnut Powder), Powders (Herbes de Provence Powder), Powders (Kale Powder), Powders (Lucuma Powder), Powders (Matcha Powder), Powders (Mild Chili Powder), Powders (Nutmeg Powder), Powders (Onion Powder), Powders (Paprika Powder), Powders (Parsley Powder), Powders (Spinach Powder), Powders (Spirulina Powder), Powders (Sweet Curry Powder), Powders (Turmeric Powder), Powders (White Pepper Powder), Powders (Wild Blueberry Powder), Seasoning Blends (Couscous Seasoning), Spices (Anise Star), Spices (Bay Leaves), Spices (Black Peppercorns), Spices (Cardamom Pods), Spices (Cayenne Pepper), Spices (Cinnamon Sticks), Spices (Cloves), Spices (Crystallized Ginger), Spices (Garam Masala), Spices (Lebanese Blend Spice), Spices (Madras Curry), Spices (Ras el Hanout), Spices (Tandoori Masala), Spices (White Peppercorns); Other Grains, Pastas and Cereals: Barley (Barley Hulled), Cereal (Polenta), Cereal (Rolled 5 Cereals), Durum (Semolina Whole Durum Wheat), Oats (Rolled Oats), Other Other Grains, Pastas and Cereals - Buckwheat, Other Other Grains, Pastas and Cereals - Bulgur Thin Grain, Other Other Grains, Pastas and Cereals - Bulgur Wheat Big Grain, Other Other Grains, Pastas and Cereals - Celery Flakes, Other Other Grains, Pastas and Cereals - Corn Kernels, Other Other Grains, Pastas and Cereals - Einkorn, Other Other Grains, Pastas and Cereals - Einkorn Flakes, Other Other Grains, Pastas and Cereals - Fonio, Other Other Grains, Pastas and Cereals - French Lentils, Other Other Grains, Pastas and Cereals - Green Lentils, Other Other Grains, Pastas and Cereals - Green Split Peas, Other Other Grains, Pastas and Cereals - Lentil Mix, Other Other Grains, Pastas and Cereals - Red Lentils, Other Other Grains, Pastas and Cereals - Spelt Grain, Other Other Grains, Pastas and Cereals - White Couscous, Other Other Grains, Pastas and Cereals - Whole Wheat Couscous, Quinoa (Black Quinoa), Quinoa (Duo Quinoa), Quinoa (Red Quinoa), Quinoa (Trio Quinoa), Quinoa (White Quinoa), Rice (Basmati White Rice), Rice (Black Thai Rice), Rice (Brown Basmati Rice), Rice (Brown Rice), Rice (Jasmine Rice), Rice (Red Rice), Rice (Round White Rice), Rice (Trio Rice Blend), Rice (White Rice Long Grain), Rice (White Risotto Rice (round)), Rice (Wild Rice), Rice (Wild Rice Blend), Wheat (Hulled Wheat), Wheat (Kamut), Wheat (Kasha); Nuts/Seeds: Almonds (Raw Almonds), Almonds (Roasted Almond), Almonds (Roasted Almond with Salt), Almonds (Sliced Almonds), Chestnuts (Chestnut Flakes), Other Nuts/Seeds - Amaranth Seeds, Other Nuts/Seeds - Anise Seeds, Other Nuts/Seeds - Brazil Nuts, Other Nuts/Seeds - Brown Flaxseeds, Other Nuts/Seeds - Chia Seeds, Other Nuts/Seeds - Chickpeas, Other Nuts/Seeds - Coriander Seeds, Other Nuts/Seeds - Cumin Seeds, Other Nuts/Seeds - Dates, Other Nuts/Seeds - Dill Seeds, Other Nuts/Seeds - Dry Roasted Brazil Nuts, Other Nuts/Seeds - Dry Roasted Hazelnut, Other Nuts/Seeds - Dry Roasted Macadamia Nuts, Other Nuts/Seeds - Dry Roasted Peanuts, Other Nuts/Seeds - Dry Roasted Pumpkin Seeds, Other Nuts/Seeds - Dry Roasted Sunflower Seeds, Other Nuts/Seeds - Dry Roasted Walnut, Other Nuts/Seeds - Fennel Seeds, Other Nuts/Seeds - Fenugreek Seeds, Other Nuts/Seeds - Golden Flaxseeds, Other Nuts/Seeds - Gomasio, Other Nuts/Seeds - Macadamia Nuts, Other Nuts/Seeds - Mammoth Pecan, Other Nuts/Seeds - Millet Seeds, Other Nuts/Seeds - Peeled Tiger Nuts, Other Nuts/Seeds - Pine Nuts, Other Nuts/Seeds - Poppy Seeds, Other Nuts/Seeds - Pumpkin Seeds, Other Nuts/Seeds - Raw Cashews, Other Nuts/Seeds - Raw Hazelnut, Other Nuts/Seeds - Raw Pistachios, Other Nuts/Seeds - Roasted Chickpeas, Other Nuts/Seeds - Roasted Salted Macadamia Nuts, Other Nuts/Seeds - Salted Roasted Brazil Nuts, Other Nuts/Seeds - Salted Roasted Peanuts, Other Nuts/Seeds - Sesame Seeds, Other Nuts/Seeds - Shelled Peanuts, Other Nuts/Seeds - Sunflower Seeds Hulled, Other Nuts/Seeds - Tiger Nuts, Other Nuts/Seeds - Yellow Mustard Seeds, Walnuts (Raw Walnuts); Health Products: Herbs (Dill Weed); Fruits/Vegetables: Apples - Dried Apples, Bananas - Dried Bananas, Beans (Adzuki Beans), Beans (Black Beans), Beans (Kidney Beans), Beans (Mung Beans), Beans (Pinto Beans), Beans (White Navy Beans), Beans (Yellow Soybeans), Berries (Dried Cranberries), Other Fruits/Vegetables - Coconut Shreded, Other Fruits/Vegetables - Dried Apricots, Other Fruits/Vegetables - Dried Fig Lerida, Other Fruits/Vegetables - Dried Onion, Other Fruits/Vegetables - Dried Raisins, Other Fruits/Vegetables - Dried Shiitake Mushrooms, Other Fruits/Vegetables - Dried Strawberries, Other Fruits/Vegetables - Dried White Mulberries, Other Fruits/Vegetables - Dried Wild Blueberries, Other Fruits/Vegetables - Goji Berries, Other Fruits/Vegetables - Juniper Berries, Other Fruits/Vegetables - Pitted Prunes, Other Fruits/Vegetables - Tart Dried Cherries; Dry/Baking Goods: Flours and Meals (Chestnut Flour), Flours and Meals (Chickpea Flour), Flours and Meals (Coconut Flour), Flours and Meals (Corn Flour), Flours and Meals (Corn Starch), Flours and Meals (Einkorn Flour), Flours and Meals (Rye Flour), Flours and Meals (White Pastry Flour), Flours and Meals (Whole Wheat Flour), Sugar (Cane Sugar), Sugar (Coconut Sugar); Chocolate Goods: Chocolate (Chocolate Chips Drop), Chocolate Nibs (Cacao Nibs); Bread/Bakery/Snacks: Packaged Snacks and Chips (Banana Chips); Other: Other - Bran, Other - Oat Bran</t>
  </si>
  <si>
    <t>Other: Basmati Rice, Basmati Rice Seasoned with Cloves &amp; Cardamom, Brown Basmati, Brown Rice and Quinoa with Garlic, Cilantro &amp; Lime Rice, Cilantro &amp; Lime Rice, Coconut Chili &amp; Lime Rice, Jasmine Rice, Jasmine Rice, White and Red Quinoa, Whole Grain Brown Rice, Whole Grain Brown Rice, Whole Grain Brown Rice and Quinoa, Whole Grain Brown Rice with Ancient Grains</t>
  </si>
  <si>
    <t>Other Grains, Pastas and Cereals: Pasta (Pasta: Ritrovo Selections - Conchiglione Pasta), Pasta (Pasta: Allemandi La Pasta Di Carru - Bucatini), Pasta (Pasta: Ritrovo Selections - Paccheri Pasta), Pasta (Pasta: Pasta Natura - Tagliatelle Corn and Rice Pasta), Pasta (Pasta: Ritrovo Selections - Farro Cous Cous), Pasta (Pasta: Allemandi La Pasta Di Carru - Spaghetti), Pasta (Pasta: La Romagna - Stringozzi Bio Pasta), Pasta (Pasta: Pasta Natura - Turmeric and Pepper Pasta), Pasta (Pasta: Allemandi La Pasta Di Carru - Linguine), Pasta (Pasta: Pasta Natura - Sorghum and Beetroot Pasta (Disorgoe Barbabietola)), Pasta (Pasta: Ritrovo Selections - Monnezza Odds &amp; Ends Pasta), Pasta (Pasta: Ritrovo Selections - Trecce Pasta), Pasta (Pasta: Ritrovo Selections - Monnezza Odds &amp; Ends Verdure Colors Pasta), Pasta (Pasta: Ritrovo Selections - Calamarata Pasta), Pasta (Pasta: Pasta Natura - Chickpea Pasta), Pasta (Pasta: Allemandi La Pasta Di Carru - Spaghettoni), Pasta (Pasta: Ritrovo Selections &amp; La Romagna - Stringozzi Pasta), Pasta (Pasta: Ritrovo Selections - Toasted Fregola Sarda Pasta), Pasta (Pasta: Pasta Natura - MultiLegumes Pasta), Pasta (Pasta: Ritrovo Selections - Rigatoni Pasta), Pasta (Pasta: Ritrovo Selections &amp; Pasta Natura - Tagliatelle Corn and Rice Pasta), Pasta (Pasta: Ritrovo Selections - Corn Cous Cous), Pasta (Pasta: Allemandi La Pasta Di Carru - Calamarata), Pasta (Pasta: Allemandi La Pasta Di Carru - Croxetti), Pasta (Pasta: Allemandi La Pasta Di Carru - Paccheri), Pasta (Pasta: Allemandi La Pasta Di Carru - Trofie), Pasta (Pasta: Allemandi La Pasta Di Carru - Rigatoni), Pasta (Pasta: Allemandi La Pasta Di Carru - Truccioli), Pasta (Pasta: Allemandi La Pasta Di Carru - Trecce), Pasta (Pasta: Allemandi La Pasta Di Carru - Casarecce), Pasta (Pasta: Allemandi La Pasta Di Carru - Tubetti), Wheat (Mixed Grain: Ritrovo Selections - Farro); Oils &amp; Oleoresins: Oils (Oil: La Ferre - Extra Virgin Olive Oil), Oils (Oil: Ritrovo Selections &amp; Trampetti Olio - Extra Virgin Olive Oil), Oils (Oil: Ritrovo Selections &amp; Accademia Olearia - DOP Sardegna Extra Virgin Olive Oil), Oils (Oil: Ritrovo Selections - Extra Virgin Olive Oil Marino Katia), Oils (Oil: Io Bio Cooperativa Agricola Colli Estruschi - Extra Virgin Olive Oil), Oils (Oil: Poggio la Noce - Olio Extra Virgin Olive Oil); Fruits/Vegetables: Purees (Purees and Sauces: Allemandi - Tomato and Basil Pasta Sauce), Purees (Purees and Sauces: Allemandi - Marinara Pasta Sauce), Purees (Purees and Sauces: Allemandi - Arrabbiata Pasta Sauce); Condiments and Sweeteners: Honey (Honey: Ritrovo Selections - Chestnut Flower Honey), Honey (Honey: Ritrovo Selections - Cherry Flower Honey), Honey (Honey: Ritrovo Selections - Rosemary Honey), Honey (Honey: Ritrovo Selections - Orange Flower Honey), Honey (Honey: Ritrovo Selections - Acacia Flower Honey), Vinegar (Vinegar: White Wine Vinegar), Vinegar (Vinegar: Red Wine Vinegar), Vinegar (Vinegar: Fig Balsamic Vinegar), Vinegar (Vinegar: Apple Balsamic Vinegar), Vinegar (Vinegar: Balsamico Italian Kitchen - Balsamic Vinegar of Modena), Vinegar (Vinegar: DeLaurenti Food &amp; Wine - Balsamic Vinegar), Vinegar (Vinegar: Roger's Gardens - Balsamic Vinegar), Vinegar (Vinegar: Flamingo Estate - Balsamic Vinegar (Barrel Aged Old World Lambrusco Trebbiano)), Vinegar (Vinegar: Balsamic Vinegar), Vinegar (Vinegar: Carlino's - Reserve Balsamic Vinegar), Vinegar (Vinegar: Ritrovo Selections - Apple Balsamic Vinegar), Vinegar (Vinegar: Ritrovo Selections - Raspberry Balsamic Vinegar), Vinegar (Vinegar: Carlino's - Reserve White Balsamic Vinegar - Exclusive Collection), Vinegar (Vinegar: Ritrovo Selections - White Balsamic Vinegar), Vinegar (Vinegar: Ritrovo Selections - Apricot Balsamic Vinegar), Vinegar (Vinegar: Ritrovo Selections - Tomato Balsamic Vinegar), Vinegar (Vinegar: DeLaurenti Food &amp; Wine - White Balsamic Vinegar), Vinegar (Vinegar: Field + Fort - White Balsamic Vinegar), Vinegar (Vinegar: Bottega Ditalia - Balsamic Vinegar), Vinegar (Vinegar: Ritrovo Selections - Fig Balsamic Vinegar), Vinegar (Vinegar: Ritrovo Selections - Amarena Cherry Balsamic Vinegar), Vinegar (Vinegar: Ritrovo Selections - Turmeric Balsamic Vinegar), Vinegar (Vinegar: Roger's Gardens - White Balsamic Vinegar), Vinegar (Vinegar: The Shop Agora - White Balsamic Vinegar), Vinegar (Vinegar: Ritrovo Selections - Citrus Balsamic Vinegar), Vinegar (Vinegar: Zupan's Markets - Balsamic Vinegar (Aceto Balsamico) Di Modena), Vinegar (Vinegar: Ritrovo Selections - Mediterranean Herb Balsamic Vinegar), Vinegar (Vinegar: Ritrovo Selections - Balsamic Vinegar); Chocolate Goods: Chocolate (Cocoa or Chocolate: Cacao Crudo - Dark Chocolate with Raspberry (Lampone)), Chocolate (Cocoa or Chocolate: Cacao Crudo - Dark Chocolate with Banana (Banane)), Chocolate (Cocoa or Chocolate: Cacao Crudo - Dark Chocolate with Pink Salt and Cacao Nibs (Sale Rosa)), Chocolate (Cocoa or Chocolate: Cacao Crudo - Dark Chocolate with Hazelnuts (Granella di Nocciole)); Bread/Bakery/Snacks: Cookies (Prepared Goods: Ritrovo Selections - Soft Torrone Bites with Almonds), Cookies (Prepared Goods: Ritrovo Selections - Soft Torrone Bites with Hazelnuts), Crackers (Prepared Goods: Ritrovo Selections - Tarallini); Other: Other: Ritrovo Selections - Pistachio Cream, Other: Ritrovo Selections - Sicilian Marzipan, Rice: Ritrovo Selections - Arborio Rice, Rice: Ritrovo Selections - Carnaroli Rice, Rice: Ritrovo Selections - Long Grain Black Rice (Riso Nerone), Rice: Ritrovo Selections - Naturally Smoked Rice</t>
  </si>
  <si>
    <t>Other Grains, Pastas and Cereals: Barley (BARLEY), CANOLA SEED, Cereal (RYE), CORN, Oats (OAT), POPCORN, Sorghum (SORGHUM), SUNFLOWER, WHEAT; Fruits/Vegetables: Beans (VETCH), Beans (SOYBEAN), VETCH</t>
  </si>
  <si>
    <t>Processed  Items: SUNFLOWER EXPELLER; Other Grains, Pastas and Cereals: Barley, CANOLA SEED, Cereal (RYE), CORN, Oats (OAT), POPCORN, Sorghum, SUNFLOWER, Wheat; Oils &amp; Oleoresins: Oils (SOYBEAN OIL); Fruits/Vegetables: Beans (PEA), Beans (SOYBEAN), Beans (VETCH); Dry/Baking Goods: Flours and Meals (SOY MEAL)</t>
  </si>
  <si>
    <t>Other Grains, Pastas and Cereals: Barley, CANOLA SEED, Cereal (RYE), CORN, Oats (OAT), POPCORN, Sorghum, SUNFLOWER, Wheat; Fruits/Vegetables: Beans (PEA), Beans (SOYBEAN), Beans (VETCH)</t>
  </si>
  <si>
    <t>Other: #Custom grinding, mixing, roasting, rolling, and packaging of livestock feed - Grinding, mixing, packaging, and labeling of complete livestock feeds -, 16% Calf Feed, 18% Calf Feed, 17% Duck, Poultry Starter, Poultry Layer, Poultry Broiler, Organic Scratch Feed, Poultry Grower, 28% Turkey Feed, 18% Swine Grower, 20% Swine Grower/Finisher; Organic 1:1 No Salt, Organic 2:1 No Salt, Organic Heifer Mineral., 35 Calf Pellet, Alfalfa (meal), Barley (grain), Corn (grain), Flax (seed, meal), Kelp, Molasses, Oats (grain), Soybeans (roasted, meal, oil, grain), Wheat (grain), Poultry Organic Starter 0-6 Wks, Springvale 16.5% Organic Layer, Springvale 17% Organic Layer, Springvale 17% Organic Layer-Flax, Springvale 17.5% Organic Layer- Flax, Springvale 18% Organic Layer, Springvale 18.5% Organic Layer, Springvale 18.5% Organic Layer- Flax, Springvale 19% Organic Layer, Springvale 19% Organic Layer-Flax</t>
  </si>
  <si>
    <t>Other: Storage and Transloading of Bulk Grain</t>
  </si>
  <si>
    <t>Other: #Milling, grinding, mixing, pelleting, bagging and warehouse distribution of livestock feed; Custom storage, transfer, reloading, grinding, mixing and pelleting of organic livestock feed (for individual producers, using organic agricultural and approved non-agricultural ingredients)., *Soybean Hulls, *Soybean Hull Pellets, *Oats, *Oat Mill Run Pellets, *Rye., Feed Blends: 45% Soymeal, Calf Starter 18%, Corn Screening Pellets, Custom Beef Finisher Pellets, Custom Dairy Pellets, Dairy Grazing Pellets, Dairy Robot Pellets, Goat Pellets, Hog Finisher Feed, Hog Grower Feed, Mixed Screening Pellets, Mixed Screening Pellets with Added Flavoring, Opro 20 (Soy Hull Pellets), Opro 40, Opro 50, Prewean 22 Pig Feed Pellets, Pig Starter Pellets Ration 1, Pig Starter Pellets Ration 2, Stocker Creep 6 Beef Cubes;, Single ingredient products: Alfalfa, Alfalfa Pellets, Aloe pellets, apple cider vinegar, barley, chickpeas, corn flour, dried buttermilk powder, flaxmeal, garbanzo beans, garbanzo flour, lentils, lentil flour, molasses, non-fat dry milk powder, oats, okra, organic grain screenings, peas, pea flour, pea protein, rice flour, soy flour, soybeans, soybeans splits, soybean oil, steamrolled oats, sunflower protein, wheat, wheat middlings, white corn, yellow corn;</t>
  </si>
  <si>
    <t>Pet Products: Pet Products (Food Items
Elevation Kids (Banana Bread Flavor Baked Oat Bar, Chocolate Brownie Baked Oat Bar, Chocolate Chip Baked Oat Bar, Iced Oatmeal Baked Oat Bar), 
Good &amp; Gather (Apple, Cinnamon &amp; Spinach Snack Bar, Blueberry Muffin Whole Grain Baked Bar, Chocolate Brownie Whole Grain Baked Bar, Chocolate Chip Whole Grain Baked Bar, Cookies &amp; Creme Whole Grain Baked Bar, Iced Oatmeal Cookie Whole Grain Baked Bar, Orange &amp; Sweet Potato Snack Bar, Strawberry &amp; Beet Snack Bar, Strawberry Shortcake Whole Grain Baked Bar),
 Greenwise (Chocolate Brownie Flavored Grain Bar, Chocolate Chip Flavored Grain Bar, Iced Oatmeal Cookie Flavored Grain Bar, Strawberry Shortcake Flavored Grain Bar), 
Made Good ( Apple Cinnamon Granola Minis, Baked Oat Cups – Apple Crumble, Baked Oat Cups – Banana Chocolate Chip, Baked Oat Cups – Berry Vanilla, Chewy Granola Bar – Trail Mix, Chocolate Banana Organic Granola Bars, Chocolate Banana Organic Granola Minis, Chocolate Chip &amp; Mixed Berry Granola Bites, Chocolate Chip Crispy Squares, Chocolate Chip Crunchy Cookies, Chocolate Chip Granola Mini Bars, Chocolate Chip Granola Minis, Chocolate Chip Organic Granola Bars, Chocolate Drizzled Confetti Crispy Squares, Chocolate Drizzled Granola Bar – Birthday Cake Flavour, Chocolate Drizzled Granola Bar – Cookie Crumble Flavour, Chocolate Drizzled Granola Bar – Vanilla Flavour, Chocolate Drizzled Granola Mini Bar – Birthday Cake, Chocolate Drizzled Granola Mini Bars – Holiday Sprinkles, Cookies &amp; Creme Granola Bars, Cookies &amp; Creme Granola Minis, Crispy Light Granola Apple Cinnamon, Crispy Light Granola Chocolate Banana, Crispy Light Granola Cocoa Crunch, Crispy Light Granola Strawberry, Crunchy Oat Bites Chocolate Drizzled Birthday Cake Flavoured, Crunchy Oat Bites Vanilla Drizzled Cookies &amp; Creme, Double Chocolate Cookies, Granola Bites – Mocha, Granola Bites – Vanilla Latte, Lemon Crunchy Cookies, Mixed Berry Granola Bars, Mixed Berry Granola Minis, Salted Caramel Flavor Crunchy Cookies, Snickerdoodle Crunchy Cookies, Soft Baked Mini Cookies Chocolate Banana, Soft Baked Mini Cookies Chocolate Chip, Soft Baked Mini Cookies Double Chocolate, Soft Baked Mini Cookies Red Velvet, Soft Baked Mini Cookies Snickerdoodle, Soft Baked Mini Cookies Sweet Cinnamon, Soft Baked Oat Bar – Blueberry Flavour, Soft Baked Oat Bar – Chocolate Chip, Soft Baked Oat Bar – Cinnamon Bun Flavour, Star Puffed Crackers – Pizza, Star Puffed Crackers – Sea Salt, Star Puffed Crackers – Cheddar, Strawberry Crispy Squares, Strawberry Granola Bars, Strawberry Granola Minis, Sweet Cinnamon Cookies, Vanilla Crispy Squares, Vanilla Crunchy Cookies, Vanilla Mini Crunchy Cookies), 
Simple Truth Organic (Baked Energy Bar Banana Bread Flavor, Baked Energy Bar Chocolate Chip, Baked Energy Bar Iced Oatmeal Cookie, Chewy Granola Cashew &amp; Sunflower Butter Granola Bars Dark Chocolate Chip, Chewy Granola Cashew &amp; Sunflower Butter Granola Bars Vanilla Chip, 
Simply Truth (Granola Bites – Chocolate Chip, Granola Bites – Strawberry, Soft Baked Mini Cookies Chocolate Chip),
Trader Joe’s (Chocolate Chip Baked Whole Grain Bar, Chocolate Chip Granola Bites, Iced Oatmeal Baked Whole Grain Bar),
Wegman’s Organic Wholesum Kids ( Chocolate Brownie Bar, Chocolate Chip Bar, Iced Oatmeal Bar, Variety Family Pack – Chocolate Brownie Bar &amp; Iced Oatmeal Bar)
Wegman’s Organic Wholesum Fruit &amp; Nut ( Almond Chocolate Chip, Apple, Cashew Butter Chocolate Chip, Cashew Cookie)
Pet Items –
Peanut Butter with Flaxseed Dog Biscuits, Soft Baked Bites Peanut Butter &amp; Apple Flavor)</t>
  </si>
  <si>
    <t>Other Grains, Pastas and Cereals: Pasta (COUSCOUS, PEARL COUSCOUS, TRICOLOR PEARL COUSCOUS, WHOLE WHEAT COUSCOUS), Rice (ARBORIO RICE, JASMATI RICE, LONG GRAIN WHITE RICE, LONG GRAIN BROWN RICE, PRESIDIO LONG GRAIN BROWN RICE, TEXMATI BROWN RICE, TEXMATI LIGHT BROWN RICE, TEXMATI LIGHTLY MILLED BROWN RICE, TEXMATI WHITE RICE); Other: RICE SELECT ORGANIC ARBORIO RICE, RICE SELECT WHITE ORGANIC JASMATI RICE, RICE SELECT BROWN ORGANIC TEXMATI RICE, RICE SELECT WHITE ORGANIC TEXMATI RICE, RICE SELECT ORGANIC PEARL COUSCOUS, RICE SELECT TRI-COLOR ORGANIC PEARL COUSCOUS</t>
  </si>
  <si>
    <t>Other: Amaranth, Barley (Black), Barley (Black Barley), Barley (Pearled Barley), Barley (Quick Cook Pearled Barley), Couscous (Medium), Couscous (Pearled), Emmer, Farro, Farro (Pearled), Farro (Pearled Farro (Emmer)), Flaxseed, Grain Blend (Ancient Grains &amp; Seeds), Grain Blend (Brown Rice and Red Quinoa Blend), Grain Blend (Sweetgreen 5 Grain Blend), Kamut (Khorasan Wheat), Kamut (Pearled Kamut Khorasan Wheat), Lentils (Green Lentils), Millet (Pearled Millet), Quinoa, Quinoa (Black), Quinoa (Blend), Quinoa (Crispy Red), Quinoa (Red), Quinoa (Red), Quinoa (Red and Black Blend), Quinoa (Toasted Black Quinoa), Quinoa (Toasted Red Quinoa), Quinoa (Toasted White Quinoa), Quinoa (Tri-Color), Quinoa (Tri-color), Quinoa (White), Quinoa (White), Quinoa (White &amp; Red), Rice (Arborio), Rice (Long Grain), Rice (Long Grain Parboiled Rice), Rice (Medium Grain), Rice (Red- Scarified), Rice (Rice (Red)), Rice (Short Grain Rice), Rice (Basmati), Rice (Basmati) (Brown), Rice (Basmati) (Brown Basmati Rice), Rice (Basmati) (White), Rice (Black), Rice (Black), Rice (Black) (Medium Grain), Rice (Brown) (Brown Sweet Rice), Rice (Brown) (Crispy Medium Grain Parboiled Brown Rice), Rice (Brown) (Long Grain), Rice (Brown) (Long, Medium, and Short Grain Brown Rice), Rice (Brown) (Medium Grain), Rice (Brown) (Medium Grain), Rice (Brown) (Parboiled Long Grain Brown Rice), Rice (Brown) (Parboiled Medium Grain Brown Rice), Rice (Brown) (Parboiled Short Grain Brown Rice), Rice (Brown) (Quick Cook Medium Grain Brown Rice), Rice (Brown) (S/G), Rice (Brown) (Short Grain), Rice (Brown) (Sprouted Brown Rice), Rice (Jasmine), Rice (Jasmine) (Brown), Rice (Jasmine) (Brown Jasmine Rice), Rice (Jasmine) (Red Jasmine Rice), Rice (Jasmine) (White), Rice (Red) (Long Grain Puffed), Rice (Red) (Sprouted Red Rice), Rice (White) (Arborio), Rice (White) (Long Grain), Rice (Wild), Rice (Wild), Rice (Wild) (Blend), Rice (Wild) (Crispy), Rice (Wild) (Quick Cook Wild Rice), Rice (Wild) (Scarified), Sorghum (Red Sorghum), Sorghum (White Sorghum), Spelt</t>
  </si>
  <si>
    <t>Other: Arborio Rice, BP100-O Quick Cook Brown Rice, IR340-O Instant White Rice, Long Grain Brown Rice, Long Grain White Rice, P100-O Precooked Parboiled White Rice, Parboiled Brown Rice, Parboiled White Rice, Texmati Brown Rice, Texmati White Rice</t>
  </si>
  <si>
    <t>Other: Amaranth Seed, Arborio Rice, Basmati Rice, Black Barley, Black Quinoa, Black Rice, Black Rice Parboiled Rice, Brown Basmati Rice, Brown Jasmine "Thai Cargo Hom Mali Rice/Brown Rice", Brown Jasmine Rice, Brown Jasmine Rice (Calroma), Brown Rice, Brown Sweet Rice, Carolina Organic Long Grain Brown Rice, Couscous, Flaxseed, Green Wild Rice, Jasmine Brown Rice, Jasmine Rice, Jasmine Rice (Calroma), Long Grain Brown Rice, Long Grain Brown Rice, Long Grain Brown Rice, Long Grain Parboiled Brown Rice, Long Grain Red Rice, Long Grain Rice, Long Grain White Rice, Long Grain White Rice, Medium Grain Brown Rice, Medium Grain Parboiled Brown Rice, Pearled Barley, Pearled Couscous, Pearled Farro, Pearled Millet, Red Jasmine "Red Cargo Rice", Red Jasmine Rice, Red Quinoa, Red Rice, Red Sorghum, Riceberry, Short Grain Brown Rice, Sprouted Red Rice, Sweet Brown Rice (glutinous rice, brown), Tri-Color Quinoa, White Quinoa, White Rice, White Sorghum, Whole Wheat Couscous, Wild Rice</t>
  </si>
  <si>
    <t>Other: Red Clover Seed, White Milo Seed, Camelina Seed, Oat Straw Bales, Yellow Corn - Open Pollinated, Alfalfa Hay Bales, Grain Screenings/Cleanout, Rye Seed - Winter, Blue Corn - Open Pollinated Seed, Barley Seed - Spring &amp; Winter, Soybeans - Natto, Soybeans - Feed, Soysplits, Yellow Corn, Popcorn, Red Milo, Buckwheat Seed, Soybean Seed, Barley, Sorghum-Sudan Grass - BMR seed, Japanese Millet Seed, Sweet Corn, Bird Seed Processing and Packaging, Fish Meal, Oat Seed, Wheat Berries, Yellow Corn Seed, Wheat Seed, Yellow Corn Seed - Open Pollenated, Wheat, Triticale Seed, Kelp Meal, Sunflowers - Black oil, Peas, Milo Seed, Sorghum-Sudan Grass Hay - BMR, Blue Corn, Corn - Yellow, Feed Soybeans, Alfalfa Seed, Austrian Winter Pea Seed, Clear Hilum Soybeans, Corn Seed, Bird Seed Grains, Flour - Whole Wheat, Triticale Hay Bales, Yellow Field Peas, Pea Seed, Oats, Alfalfa Meal, Hard White Winter Wheat Seed, Millet Hay, Rye Hay Bales, Soybean Meal - Expelled, Grain Processing - Custom, Canola Meal, White Sorghum Berries, White Milo, Yellow Popcorn, Edible Bean Screenings, Flour - Sorghum, Hard Red Spring Wheat Seed, Alfalfa Pellets, Rye Berries, Barley Hay Bales, White Corn Seed, White Milo Berries, Radish Seed, Sorghum Berries, white corn, Soybean Meal - Extruded, Soybeans, Wheat Straw Bales, Millet, Proso Millet Seed, Barley Straw Bales, Milo, Forage Oats, White Sorghum Flour, Camelina Meal, Black Oil Sunflower Seeds, Blue Corn - Open Pollinated, Hard Red Winter Wheat Seed</t>
  </si>
  <si>
    <t>Other Grains, Pastas and Cereals: Mixes, Mixes, Mixes; Nuts/Seeds: Pumpkin Seeds, Sunflower Seed; Fruits/Vegetables: Beets; Dry/Baking Goods: Flours and Meals, Flours and Meals; Condiments and Sweeteners: Stevia, Sugar; Chocolate Goods: Cocoa, Cocoa; Other: Packaging of Organic Products, Packaging of Organic Products, Packaging of Organic Products, Packaging of Organic Products, Packaging of Organic Products, Packaging of Organic Products, Packaging of Organic Products, Packaging of Organic Products, Packaging of Organic Products, Packaging of Seed, Popcorn Packaging</t>
  </si>
  <si>
    <t>Other: Pink Lady Apple, Red Beet, Beverage (Protein-Coffee Bean), Beverage (Protein-Vanilla Cinnamon), Blackberries, Buffalo Tempeh, Carrot Baby Peeled, Cello Carrot, Rainbow Carrot, Cello Cauliflower, Chocolate/Dark Chocolate Peanut Butter Filled Bars, Classic Supershot Ginger, Coffee Drinks (Coffee Energy Shot), Coffee Drinks (Mocha Energy Shot), English Cucumber, Digest Shot Pear 4pack, Digest Shot Yumberry 4pack, Extracts (Digestive Bitters), Extracts (Gentian), Extracts (Hops), Extracts (Juniper Berry), Extracts (Rosemary), Extracts (Star Anise), Flax Tempeh, Grapefruit Juice, Greens Kale Shred, Ingredient ( Flavor-Chocolate WONF (Dark)), Ingredient (Almond Butter), Ingredient (Antifoam 3303), Ingredient (Antifoam 4000 ), Ingredient (Cane Sugar), Ingredient (Cinnamon Powder), Ingredient (Cocoa Powder Alkalized), Ingredient (Coconut Cream), Ingredient (Coffee (Freeze-Dried)), Ingredient (Dark Roast Coffee 24x(Concentrate)), Ingredient (Flavor-Chocolate WONF), Ingredient (Flavor-Coffee), Ingredient (Flavor-Natural Sweetness Modulation), Ingredient (Flavor-Vanilla Cinnamon), Ingredient (Ground Vanilla Bean Madagascar), Ingredient (Gum Arabic), Ingredient (Hemp Protein Powder), Kiwi, Lemons, Limes, Mandarin, Micro Greens, Milk, Mooala Bananamilk Organic Refrigerated, Mooala Chocolate Bananamilk  Organic Refrigerated, Mooala Original Almondmilk Organic Refrigerated, Mooala Original Oatmilk Organic Refrigerated, Mooala Simple Almondmilk Organic Shelf Stable, Mooala Simple Oatmilk Organic Shelf Stable, Mooala Strawberry Bananamilk  Organic Refrigerated, Mooala Unsweetened Almondmilk Organic Refrigerated, Mooala Vanilla Bean Almondmilk Organic Refrigerated, Mushroom Brown Beach, No Sugar Added Lemonade, Onion, Orange Juice Pulp Free, Orange Juice Pulp Free w/Calcium &amp; Vit. D, Orange Juice with Pulp, Original Tempeh, Bartlett Pear, Golden Potato, Red Potato, Russet Potato, Pro-Blue/Acal Quart, Pro-Drink-Kids Apple Quart, Pro-Drink-Kids Berry Blast Off, Pro-Drink-Kids Fruit Punch Part Quart, Pro-Gluten Free, No Sugar Peach/Mango/Orange Quart, Pro-Gluten-Free Strw/Banana Quart, Pro-Immune Lem/Ginger/Turmeric 4pack, Pro-Immune Pine/Pass 4pack, Pro-Immune Pine/Pass Quart, Pro-Juice Drink Mango Quart, Pro-Juice Drink Pom/Blackberry Quart, Pro-Juice Drink, No Sugar Rasp/Blackberry Quart, Pro-Oat Drink Lem/Ginger Shot 4pack, Pro-Oat Drink Van/Chamomile 4pack, Probiotic Juice Drink Pom/Blackberry 4pack, Rainbow Radish, Romaine, Salad Mix Baby Lettuce, Salad Mix Power Greens, Salad Mix Red Butter, Smoky Tempeh, Southwest Tempeh Cubes, Strawberries, Teriyaki Tempeh Cubes, Three Grain Tempeh, Ultimate Defense, Wellness Shot Blueberry 4pack, Wellness Shot Mango 4pack, Wellness Shot Strawberry 4pack</t>
  </si>
  <si>
    <t>Other Grains, Pastas and Cereals: Seed corn: MC5160, N97-55, RC4435, RC5008, RC5280, RC5422, RC5445, RC5870, RC5935, RC6026, RC6070</t>
  </si>
  <si>
    <t>Other: Grain Milling;Processing, packaging, and labeling of distilled alcoholic beverages- Organic:Barrel Roll Rye Whiskey, Beast Hog Mash Bourbon Whiskey, Black Hammer Bourbon Whiskey,Dessas Time &amp; Distance Bourbon Whiskey, Giants of the Earth Bourbon Whiskey,Fence Jumper Bourbon Whiskey, Rail Splitter Bourbon Whiskey,Red Rider Rye Whiskey, Stones Throw Bourbon Whiskey, Vodka Sucks.</t>
  </si>
  <si>
    <t>Other Grains, Pastas and Cereals: Barley, Buckwheat, Lentils (Red, Green), Millett, Rye, Wheat (Wheat (SWW, Flour, Spelt)); Nuts/Seeds: Flax (Brown and Golden), Sunflower; Fruits/Vegetables: Beans (Beans (Black, Garbanzo, Light/Dark Kidney, Pinto, Great Northern)), Green Split Peas; Other: Certified to provide broker services., Corn (Blue, Yellow, Popcorn)</t>
  </si>
  <si>
    <t>Other: Can White Flour 904, Canadian White Flour, Canadian White Terra Flour, Canadian Whole Wheat Flour, Fine WW Whole Grain Flour, Flour 902 Tote, HP White Flour 502, HP White Flour 902, Imported Retail Products Previously Packaged by Certified Vendor, Wheat Mill Run, White BC Flour, White Flour 500, White Flour 502, White Flour 506, White Flour 804 Tote, White Flour 900, White Flour 906, Whole Grain Whole Wheat Flour, Whole Wheat Flour - Whole Grain 20 kg, Whole Wheat Flour - Whole Grain 50 lb</t>
  </si>
  <si>
    <t>Other: Basmati Brown Broken Rice, Basmati Brown Full Grain Rice, Basmati paddy, Basmati White Broken Rice, Basmati White Full Grain Rice, Full Long Grain Brown Rice, Full Long Grain White Rice, Long Grain Brown Broken Rice, Long grain paddy, Long Grain White Rice Broken</t>
  </si>
  <si>
    <t>Trees/Whole Plant Products/Flowers: Seeds (Roland® Organic Fine Tahini - 100% Ground Sesame Seeds (1X6) 10.93 OZ-Squeeze Bottle), Seeds (Roland® Organic Tahini - 100% Ground Sesame Seeds 16 Oz./1x6), Seeds (Roland® Organic Tahini (Pure Sesame) 40 Lb./1x1); Processed  Items: Ready to Eat Foods (Roland® Hearts of Palm Organic (1X12) 14.46 OZ.), Roland® Organic Coconut Milk - Unsweetened (1X12) 13.5 FL.OZ., Roland® Organic Coconut Milk - Unsweetened (1X24) 13.5 FL.OZ., Roland® Organic Coconut Milk 17% Fat (1X6) 98 FL.OZ., Roland® Organic Tahini(Sesame Paste) 16 Oz./1x6, Roland® Organic Unsweetened Coconut Cream (1X6) 13.52 FL. OZ. (400mL); Other Grains, Pastas and Cereals: Barley (Roland® Organic Italian Barley - Pearled (1X12) 17.6 OZ.), Roland® Organic Buckwheat Soba Noodles (1X1) 20 LB., Roland® Organic Buckwheat Soba Noodles (3X10) 12.8 OZ, Roland® Organic Lo Mein Noodles (3X10) 12.8 OZ, Roland® Organic Udon Noodles (1X1) 20 LB., Roland® Organic Udon Noodles (3X10) 12.8 OZ., Roland® Pre-Cooked Organic Black Lentils (1X4) 5 LB.; Oils &amp; Oleoresins: Oils (Don Bruno® Organic Extra Virgin Olive Oil (1X6) 16 FL OZ.), Oils (Roland ®Semi-Solid Organic Refined Coconut Oil (1X2) 78 FL. OZ.), Oils (Roland ®Semi-Solid Organic Virgin Coconut Oil (1X6) 16 FL.OZ.), Oils (Roland® Organic Black Truffle Oil Flavored Extra Virgin Olive Oil with Summer Truffle Pieces (1X6) 3.38 FL.OZ.), Oils (Roland® Organic Virgin Walnut Oil -ASIA ONLY/ (1X6) 8.45 FL.OZ.), Oils (Roland® Organic White Truffle Flavored Extra Virgin Olive Oil with White Truffle (1X6) 3.38 FL.OZ.); Condiments and Sweeteners: Mustards (Roland® Organic Dijon Mustard, Extra Strong (1X12) 7 OZ.), Mustards (Roland® Organic Grained Dijon Mustard (1X12) 7 OZ.), Roland® Organic Miso Soybean Paste (3x10) 5.29 OZ., Roland® Organic Nonpareille Capers (2X12) 3.75 FL. OZ, Roland® Organic Red Miso Soybean Paste (1x6) 26.4 OZ., Roland® Organic Red Miso Soybean Paste (3x10) 5.29 OZ., Vinegar (Great Value™ Organic Balsamic Vinegar of Modena (4 Leaf Quality) (1X12) 8.45 FL. OZ. (250mL)), Vinegar (Roland® Organic Apple Cider Vinegar With The Mother (Raw and Unpasteurized, 6% Acidity) (1X4) 1 GAL.), Vinegar (Roland® Organic Balsamic Vinegar (2 leaf Quality ) (1X2) 2.6 GAL.), Vinegar (Roland® Organic Balsamic Vinegar (2 Leaf Quality) (1X12) 16.9 FL.OZ.), Vinegar (Roland® Organic Balsamic Vinegar (2 Leaf Quality) (1X12) 8.45 FL.OZ.), Vinegar (Roland® Organic Balsamic Vinegar of Modena (2 Leaf Quality) (1X1) 58.1 GAL.), Vinegar (Roland® Organic Glaze with Balsamic Vinegar of Modena "Aceto Balsamico Di Modena IGP" (1X12) 5.07 FL. OZ.)</t>
  </si>
  <si>
    <t>Other: Grain Handling, Storage of Organic Products</t>
  </si>
  <si>
    <t>Other: Grain Handling</t>
  </si>
  <si>
    <t>Seasonings: Chilli Flakes,; Other Grains, Pastas and Cereals: BASMATI RICE; Oils &amp; Oleoresins: Coconut oil - Fractionated, Coconut oil RBD, Coconut Oil, Coconut oil - LCT, Coconut oil - MCT, Extra Virgin Coconut Oil, Extra virgin unfiltered coconut oil, Liquid coconut oil, Virgin coconut oil; Nuts/Seeds: Cashew Nuts; Beverage Related Products: Black tea; Other: Anacardium occidentale L, Annato seed, Annatto seed powder, Arrowroot powder, Ashwagandha powder, Asparagus racemosus (Shatavari) powder, Bacopa monnieri powder, Basmati rice, Beetroot powder, Betacarotene powder, Biotin powder, Calcium powder, Centella asiatica powder, Chana dal, Chicory, Chromium powder, Cinnamon zeylanicum Blume (Dalchini) - stem bark, Cinnamon bark powder, Clove, Clove powder, Coconut powder, Comiphora wightii powder, Copper powder, Coriander, Cumin powder, Curcuma longa - Turmeric, Curcumin powder, Curcuminoid powder, Eclipta alba powder, Elettaria cardamomum powder, Eucalyptus powder, Fennel seed, Flax seed, Folic acid / Vitamin B9, Garcinia cambogia powder, Ginger powder, Green cardamom, Green gram whole (Moong),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 Niacin powder, Vitamin B5 powder, Vitamin B6 powder, Vitamin C powder, Vitamin D powder, Vitamin D2 powder, Vitamin D3 powder, Vitamin E powder, Vitamin K powder, Vitamin K2MK7 powder, Zinc powder., Brown rice syrup 20 - 97 DE, Cassava banana flour, Cassava flour, Cinnamon, Cinnamon powder/ground, Cinnamon quilling, Cloves Powder/Ground, Cocoa/Cocoa beans, Coconut charcoal powder, Coconut chips,Coconut chips coated with coconut syrup, Coconut chips semi toasted, Coconut cream (22% fat) , Coconut cream 18% fat UHT, Coconut Cream 24% Aseptic (Single), Coconut Cream 25% Fat, Coconut Cream 30% Fat, Coconut Cream 30% Fat- Aseptic, Coconut Cream 32% fat, Coconut Cream Light, Coconut Desiccated, Coconut Desiccated Thread, Coconut flakes, Coconut Flour, Coconut Icing Sugar, Coconut Jam, Coconut Milk 10% Fat, Coconut milk 11% fat, Coconut milk 14% fat, Coconut milk 15% fat, Coconut milk 17% fat, Coconut Milk 18% Aseptic (Single), Coconut milk 18% fat, Coconut milk 20% fat, Coconut milk 22% fat, Coconut Milk 24% Fat, Coconut milk 28% fat, Coconut milk 5% fat,Coconut Milk 9% fat, Coconut Milk Drink,Coconut Milk Light,Coconut Milk with Tetra Pack,Coconut Nectar,Coconut Protein Powder, Coconut shredded, Coconut smile, Coconut spread, Coconut Sugar, Coconut sugar (single ingredient), Coconut treacle, Coconut vinegar, Coconut Water, Coconut water concentrate, Coconut water with Tetra Pack,Coconut Whipping Cream,Coconut, Condensed coconut milk,Coriander Powder, Coriander seed, Cumin seed, Defatted desiccated coconut, Dehydrated Curry Leaves Powder, Desiccated coconut - fine, Desiccated coconut - medium, Desiccated coconut coarse grade, Desiccated coconut toasted chips, Desiccated Toasted Chips Sweeten with Coconut Sugar, Fenugreek seed, Garlic Powder, Golden coconut milk, King coconut, King coconut water, Low Fat Desiccated Coconut, Mango dehydrated, Mango Powder, Jack fruit dehydrated, Moringa Powder, Moringa tea bag cut, Spirulina Crunches, Spirulina Powder, Spirulina Tablet, Tapioca Flour, Tapioca starch, Turmeric Latte Mix, Turmeric Powder, UHT Coconut cream (22+-2%:Recipe A), UHT Coconut Milk (17+-2%:Recipe A), Aegle marmelos Powder, ALOE VERA POWDER, Amla Powder,, Coconut Aminos, Coconut Chai Latte Mix, Coconut Cream, Coconut milk 11% fat , Coconut Milk 14% (Multi), Coconut Milk 15% (multi ingredient), Coconut milk 17% fat (multi-ingredient), Coconut milk 18% (multi-ingredient), Coconut Milk 18% Fat UHT with Guar Gum, Coconut Milk 20% Fat (Multi Ingredient), Coconut milk 22% fat (multi-ingredient), Coconut milk 24% fat (Multi-ingredient), Coconut Milk 24% Fat UHT with Guar Gum, Coconut milk 28% fat (Multi-ingredient), Coconut milk 5% fat (Multi-ingredient),Coconut milk 6% fat (Recipe A), Coconut Milk Powder, Coconut Protein Banana Smoothies with Coconut MCT,Coconut Protein Chocolate Smoothies with Coconut MCT, Coconut Protein Gotukola Smoothie with Coconut MCT, Coconut Protein Mango Smoothies with Coconut MCT, Coconut Protein Moringa Smoothie with Coconut MCT, Coconut Protein Pineapple Smoothies with Coconut MCT, Coconut Protein Slimming Smoothie with Coconut MCT, Coconut Protein Turmeric Smoothie with Coconut MCT, Coconut Protein Watermelon Smoothies with Coconut MCT, Coconut Slimming Latte Mix, Coconut Water Powder, MCT oil powder, Moringa Latte Mix, Virgin Coconut Oil Powder</t>
  </si>
  <si>
    <t>Processed  Items: Chana Masala Papad, Tender Jackfruit Curry, Panchrangi Dal, Dehydrated Foods (Coconut Milk Powder), Pickle (Garlic, Green Chilli, Lemon, Mango, Mix); Other Grains, Pastas and Cereals: Chana (Besan, Dal, Whole), Millet (Foxtail, Kodo, Little, Proso), Ragi Whole, Rice (Rice (Basmati, Poha, Regular Basmati Sharbati, Sona Masoori)); Oils &amp; Oleoresins: Almond Oil, Cardamom Oil, Castor Oil, Chamomile Oil, Cinnamon Oil (Bark/Leaf), Citronella Oil, Clove Bud Oil, Coconut Oil, Coconut Oil (Extra Virgin/MCT/MCT C8/Tri MCT/Tri MCT C8/Virgin), Cumin Oil (Black), Eucalyptus Oil, Fenugreek Oil, Frankincense Oil, Garlic Oil, Ginger Oil. Grapefruit Oil, Groundnut Oil, Lemon Oil, Lemongrass Oil, Mustard Oil, Nutmeg Oil, Palmarosa Oil, Patchouli Oil, Pepper Oil (Black), Peppermint Oil, Rosemary Oil, Sandalwood Oil, Sesame Oil, Spearmint Oil, Sunflower Oil, Turmeric Oil, Wintergreen Oil; Fruits/Vegetables: Banana Blossoms in Brine, Beans (Masoor Dal, Moong (Split, Whole), Urad (Split, Whole)), Coconut (Chips, Chips with Chilli &amp; Salt, Chips with Pineapple, Cream, Desiccated, Flour, Milk, Lite Milk, King Coconut Water, Sugar, Syrup), Jackfruit (In Brine, In Water), Lemon Peel (Dried), Lime Peel, Orange Peel, Soursop TBC, Powder (Aloe Vera, Amchur, Amla, Mango Fruit, Papaya Leaves, Papaya, Soursop Fruit, Onion (Sterilised), Wheatgrass); Condiments and Sweeteners: Jam (Apple, Mango, Mixed Fruit, Pineapple), Sweeteners (Stevia Rebaudiana (Powder)); Bread/Bakery/Snacks: Flours and Meals (Barley, Buckwheat, Maida, Maize, Multigrain, Ragi, Wheat (Bran/Flour), Chana Whole); Beverage Related Products: Juice (Amla, Jamun, Triphala, Aloe Vera), Tea (Chai Mix, Chai Tea, Chai Tea Decaffeinated (Black), Dandelion Tea (TBC), Ginger Tea (TBC), Tea Decaffeinated (Black), Tea Decaffeinated (Green), Tea Extract (Black), Tea (Black), Tea (Green), Turmeric Ginger Tea, Turmeric Ginger Tea (TBC), White Tea); Other: Herbs &amp; Spices (Amla (TBC), Ashwaganda (Powder/Root Powder/TBC), Bay Leaves, Cardamom (Pods/Powder/TBC), Cinnamon (Powder/Sticks/TBC), Cloves (Powder/TBC/Whole), Coriander (Powder), Cumin (Powder), Curry Leaves (TBC), Curry Masala (Powder), Fennel (Powder), Fenugreek (Powder), Garam Masala, Garlic (Powder), Ginger (Powder/TBC), Gotukola (Powder), Hibiscus (Powder/TBC), Kasuri Methi, Lemongrass (Powder/TBC), Liquorice (Powder/TBC), Mace (Powder/Whole), Moringa (Powder/TBC),  Neem Leaf (Powder), Nutmeg (Without Shell/Powder/TBC), Pepper (Crushed Black/Powder Black/Black), Red Chilli (Powder/Whole), Rose Petals (Dry), Saffron, Shatavari (Powder), Star Anise, Triphala (Powder). Tulsi (Powder/TBC), Turmeric (Powder/TBC), Turmeric &amp; Ginger &amp; Cinnamon Powder, Vanilla (Beans/Extract/Powder/TBC), Cumin (Whole), Fennel (Whole), Fenugreek (Whole))</t>
  </si>
  <si>
    <t>Other Grains, Pastas and Cereals: Quinoa (Organic Tricolor Quinoa), Quinoa (Organic White Quinoa), Wheat (Vital Wheat Gluten)</t>
  </si>
  <si>
    <t>Other: Coconut Oil - Desiccated, Coconut Oil - Virgin, Grains (Canola (rapeseed) Meal, Corn, Flaxseed - Brown, Flaxseed - Golden, Flaxseed - Milled, Soybeans, Soybean Meal), Sesame Meal, Wheat Gluten Vital, Wheat</t>
  </si>
  <si>
    <t>Other: 100% Whole Wheat Bread, 100% Whole Wheat Hamburger Bun, Country Morning White Bread, Cracked Wheat Sourdough, Everything Bagel, Honey Sweet 100% Whole Wheat Bread, Multigrain Oat Bread, Multigrain with Flax Bagels, Multigrain with Flax English Muffin, Plain Bagels, Rocky Mountain Sourdough Bread, Rocky Mountain Sourdough Hamburger Buns, Rocky Mountain Sourdough Hot Dog Buns, Sourdough English Muffins, Spelt Bread, Spelt Tortillas, Thin Sliced 100% Whole Wheat Bread, Thin Sliced Country Morning White Bread, Thin Sliced Honey Sweet 100% Whole Wheat Bread, Thin Sliced Rocky Mountain Sourdough, Wheat Hamburger Buns, Wheat Hot Dog Rolls, White English Muffin, White Hamburger Buns, White Hot Dog Rolls, Whole Grain Wheat English Muffin</t>
  </si>
  <si>
    <t>Other: Barley Flour, Barley Seed, Buckwheat Flour, Buckwheat Hulls, Buckwheat Seed, Corn Kernels, Corn Polenta, Corn Seed, Cornmeal, Daikon Radish seed, Dried Beans seed, Forage Peas seed, Garlic Seed, Grass Seed, Millet Seed, Mustard Oil, Mustard Seed, Oat Seed, Rolled Oats, Rye Flour, Rye Seed, Soup Peas, Soybean Meal, Soybean Oil, Soybean Seed, Sudan Grass Seed, Sunflower Meal, Sunflower Oil, Sunflower Seed, Vetch Seed, Wharthog berries, Wheat Bran, Wheat Flour (Oland Flour, Rouge De Borgeaux Flour, Madina Flour, Wheat Seed, Yellow Pea Seed</t>
  </si>
  <si>
    <t>Other Grains, Pastas and Cereals: Rye</t>
  </si>
  <si>
    <t>Other: alfalfa Livestock Feed (Meal &amp; Pellets), Livestock Feed (Custom Feed Milling), Livestock Feed - Corn, Livestock Feed - Flax (Whole and Ground), Livestock Feed - Mix (GP1 2308 Starter), Livestock Feed - Mix (GP1 2407 -  Greener Pastures Broiler STARTER), Livestock Feed - Mix (GP2 2308 Grower), Livestock Feed - Mix (GP2 2407 - Greener Pastures Broiler GROWER), Livestock Feed - Mix (UWO223), Livestock Feed - Mix (UWO422), Livestock Feed - Oats, Livestock Feed - Peas, Livestock Feed - Poultry Blend (Devenish Layer Rations Phases 1 - 6), Livestock Feed - Poultry Blend (Devenish Pullet Rations - Starter, Grower, Developer, Prelay/Transition), Livestock Feed - Poultry Blend (Fassio Layer Rations 651 - 657), Livestock Feed - Poultry Blend (UWO123, UWO223, UWO323, UWO423, UWO424, UWO523, UWO524), Livestock Feed - Rye, Livestock Feed - Soybean Meal, Livestock Feed - Wheat, Mixed Feed Grains, Soybean Livestock Feed (Soybean Oil)</t>
  </si>
  <si>
    <t>Other: #Processing, packaging, and labeling of feed products and custom feed., Complete feeds: Calf Mix, Poultry Hi-Pro Starter/Grower, Poultry Layer Mix, Poultry Starter/Grower, Turkey Starter/Grower, Custom feed mixes, Single ingredient grains: barley, corn, oats, raw soybeans, roasted soybeans, wheat, Soybean Oil</t>
  </si>
  <si>
    <t>Other: Grain Processing (Client Profile Products only) (Storage and cleaning), Grains (Grain Screening), Grains (Sorghum Whole Grains), Millet (Millet Whole Grains), Sunflower Seed (Sunflowers Whole Grain), Wheat (Wheat Whole Grain)</t>
  </si>
  <si>
    <t>Other Grains, Pastas and Cereals: Barley, Cereal (RYE), Wheat</t>
  </si>
  <si>
    <t>Other Grains, Pastas and Cereals: Pad Thai - F1, Pad Thai - F2, Rice (Rice Paper - F2), Rice (Rice noodle - F2), Rice (Brown rice noodles), Rice (Brown rice vermicelli), Rice (Brown Rice Paper), Rice (Fine Rice Vermicelli), Rice (Rice noodle - F1), Rice (Rice Paper - F1), Rice (Rice sticks), Rice (Rice vermicelli), Shrimp Chips - F1, Shrimp Chips - F2</t>
  </si>
  <si>
    <t>Other: Chickpeas/Dried Chickpea/Kabuli Chana (Garbanzos), Corn Maize (Corn), Soybean/Soyabean Meal/Soybean Oil-Cake Meal (Expeller Variety)/Soybean Meal-Expeller Var, Soybean/Soyabean Oil, Soybean/Soybean White, Sunflowers Sunflower Seeds: Of Seed Quality, Winter Common Wheat Wheat Grain</t>
  </si>
  <si>
    <t>Other: Multi Grain Bread, White Bread</t>
  </si>
  <si>
    <t>Other: Rice (Medium Grain) (Bulk - Cleaning and Sorting), Rice (Medium Grain) (Paddy, White Brokens, Milled White &amp; Brown), Rice (Prepared) (Frozen - Steamed Brown), Rice (Prepared) (Frozen - Steamed Jasmine), Rice (Prepared) (Frozen, Basmati Rice), Rice (Prepared) (Frozen, IQF - Basmati Rice), Rice (Prepared) (Frozen, IQF - Medium Grain or Whole Grain Brown), Rice (Prepared) (Frozen, IQF - Steamed Brown), Rice (Prepared) (Frozen, IQF - Steamed Jasmine), Rice (Prepared) (Frozen, IQF - Thai Jasmine), Rice (Sweet-Mochi) (Paddy, White Brokens, Milled White)</t>
  </si>
  <si>
    <t>Other Grains, Pastas and Cereals: Husking,drying,shelling seedcorn &amp; Grain storage, Yellow Seedcorn</t>
  </si>
  <si>
    <t>Other: Adhatoda Vasica Leaves, Ajwain, Almond, Amla, Amla Dried, Ananthamool Powder/Sariva Powder(Hemidesimus) Powder, Anantmool (Hemidesmus Indicus) Powder, Anantmool (Hemidesmus Indicus) Root Powder, Ashwagandha Powder, Ashwagandha Root, Bambusa Bambos Leaves/Wood/Stem, Banana Fresh, Basil(Ocimum Sanctum) Whole Plant (Dried Tulasi), Basmati Rice, Bay Leaf Powder, Bay Leaves/Tejpatta, Bengal Gram Whole, Black Gram White/ Urad, Black Pepper, Black Pepper Crushed, Black Pepper Powder, Black Pepper TBC, Black Sesame, Brahmi Powder, Cardamom, Cardamom Powder, Cardamom Seed, Cardamom TBC, Cashew Kernel (Shelled Whole), Cashew Nut, Cashew Nut Kernels, Cashew Whole, Centella Asciatica Powder/ Gotukola Powder, Centella Asiatica/ Gotukola Leaves, Chana Dal, Chia, Chilli Flakes, Chilli Powder, Chilli Whole, Chilli-Bird Eye, Cinnamon (Powder)/Cinnamon Bark Powder, Cinnamon Bark, Cinnamon Bark Powder, Cinnamon TBC, Clove Powder, Clove TBC, Cloves, Coconut, Coconut Oil, Coffee Robusta Cherry, Coleus Powder/Extract, Coriander Powder, Coriander Seed/Whole, Cowpea, Cumin Whole, Curry Leaf Powder, Dried Curry Leaves, Fennel/Saunf, Fenugreek, Finger Millet Flour/ Ragi Flour, Flaxseed, Foxtail Millet, Galangal Powder, Galangal Roots, Galangal TBC, Garcinia Cambogia (Fruit), Garlic, Garlic Flakes, Garlic Powder, Ginger Chips, Ginger Flakes, Ginger Fresh, Ginger Powder, Ginger Sliced (Dried), Ginger TBC, Ginger Whole (Dried), Green Gram Flour, Green Gram Whole(Moong Sabut), Groundnut/Peanut, Gymnema Leave/Gurmur Leaves, Haritaki/Harad ( Terminalia Chebula), Jaggery Powder, Kokum, Lemon Grass TBC, Mace Dried, Mace Powder, Maize (Corn), Mango Fresh, Manjistha/Rubia Cordifolia, Masur/Masoor Dhuli, Moong Dal, Moringa Leaves, Moringa Powder, Mustard, Neem Leaves, Neem Leaves Powder, Non-Basmati Rice, Nutmeg Powder, Nutmeg Whole, Onion, Pearl Millet, Pepper Long/Pippali (Piper Longum), Pigeon Pea/Arhar Whole, Pippali Powder-Piper Longum, Porso Millet, Proso Millet, Ragi/Finger Millet Grain, Raisins/Kismis, Red Chilli (Whole), Red Chilli Powder, Red Kidney Beans/Rajma (Phaseolus Vulgaris), Red Rice, Sesame Seeds, Shatavari Powder, Soap Nut/Reetha ( Powder), Soap Nut/Reetha (Nuts), Stevia/Stevia Rebaudiana Powder, Sugar, Tamarind, Terminalia Bellirica (Beheda), Tulsi Leaves Dry, Tulsi Powder, Tulsi TBC/Tulsi TBC Blend, Tur/Toor Dal, Turmeric Dried, Turmeric Fresh, Turmeric Powder, Turmeric TBC, Urad Dal Split, Vanilla, Vanilla Powder, Vanilla TBC, Virgin Coconut Oil, Wheat, Wheat Flour, White Pepper, White Pepper Powder</t>
  </si>
  <si>
    <t>Processed  Items: Dehydrated Foods (Agaricus bisporus dried , Agaricus blazei dried, Agaricus blazei murill (Agaricus subrufescens) dried, Agarikon (Laricifomes officinalis) dried, Agrocybe aegerita (Agrocybe chaxinggu) dried, Black fungus (Auricularia auricula) dried, Chaga (Inonotus obliquus) dried, Chaga dried, Cordyceps militaris dried, Cordyceps sinensis (Paecilomyces hepiali) mycelium dried, Enoki Mushroom (Flammulina velutipes) dried, Lion's mane (Hericium Erinaceus) dried, Maitake (Grifola frondosa) dried, Meshima (Phellinus igniarius) dried, Meshima (Phellinus linteus) dried, Morchella (Morchella esculenta) dried, Oyster mushroom (Pleurotus ostreatus) dried, Pleurotus eryngii dried , Polyporus umbellatus dried, Porcini (Boletus edulis) dried, Reishi (Ganoderma lucidum) dried, Schisandra fruits (Schisandra chinensis) slice, Schizophyllum commune (Common Porecrust) dried, Shaggy mane (Coprinus comatus) dried, Shiitake (Lentinus edodes) dried, Snow fungus (Tremella fuciformis) dried, Tinder fungus (Fomes fomentarius) dried, Trametes versicolor (Coriolus versicolor) dried), Phycocyanin, Pine conk (Phellinus pini) dried, Poria cocos (Tuckahoe) dried, Soybean protein, Artist's Conk (Ganoderma applanatum) dried, Brown Rice Protein, Honey fungus (Armillaria mellea) dried, Pea protein, Powders (Chlorella powder, Chlorella tablet, Spirulina powder, Spirulina tablet); Preservatives/Extracts/Flavors: Extracts (Almond extract), Extracts (4 mushroom emperor's blend (lion's mane, red reishi, cordyceps, chaga) extract , Agaricus bisporus extract, Agaricus blazei extract, Agaricus blazei murill (Agaricus subrufescens) extract, Agaricus blazei murill (Agaricus subrufescens) mycelium extract, Agarikon (Laricifomes officinalis) extract, Agrocybe aegerita (Agrocybe chaxinggu) extract, Alfalfa extract, Artichoke extract, Artist's Conk (Ganoderma applanatum) extract, Astragalus extract, Astragalus roots (Astragalus menbranaceus) extract, Bamboo extract, Barley grass extract, Bilberry extract, Bitter apricot kernel extract, Black fungus (Auricularia auricula) extract, Blueberry extract, Broccoli extract, Cassia seeds extract, Chaga (Inonotus obliquus) extract, Chaga extract , Chinese angelica extract, Chinese date extract, Chrysanthemum extract , Cinnamon extract, Cistanche extract, Cordyceps militaris extract, Cordyceps sinensis (Paecilomyces hepiali) mycelium extract, Cordyceps sinensis extract , Coriolus versicolor (Trametes versicolor) mycelium extract, Cranberry extract, Dandelion extract, Echinacea purpurea extract, Elderberry extract, Enoki Mushroom (Flammulina velutipes) extract, Fenugreek seed extract, Fiveleaf gynostemma herb extract, Ginger (extract), Ginkgo leaf extract, Goji berry extract, Grape seed extract, Greater Burdock extract, Hawthorn extract, Honey fungus (Armillaria mellea) extract, Honey suckle flower (Lonicera japonica) extract, Honey suckle flower extract, Horny Goat Weed (Epimedium) extract, Horsetail extract, Kudzu root extract, Licorice extract, Lion's mane (Hericium erinaceus) extract, Lion's mane mushroom extract, Lucid Lion's mane , Maca extract, Maitake (Grifola frondosa) extract, Maitake (Grifola frondosa) mycelium extract, Maitake extract, Marshmallow extract, Meshima (Phellinus igniarius) extract, Meshima (Phellinus linteus) extract , Milk Thistle (Silybum marianum) extract, Mill.var.spinosa extract, Morchella (Morchella esculenta) extract, Mulberry leaf extract, Mulberry(extract), Nettle (Urtica dioica) extract, Nettle leaf extract, Oatgrass extract, Olive leaf extract, Oregano extract, Organic Beauty blend extract , Organic cordyceps mushroom extract, Organic Eight Mushroom Blend extract, Organic lion's mane extract, ORGANIC LION'S MANE MUSHROOM Extract, Organic mushroom extract mix , Organic mycocomplex extract , Organic reishi extract, Organic Seven Mushroom Extracts Blend-v1.1, Organic Three Mushroom Extracts Blend-v1.1, Organic Three Mushroom Extracts Blend-v1.2, ORGANIC TURKEY TAIL MUSHROOM Extract, Oyster mushroom (Pleurotus ostreatus) extract, Panax ginseng(white ginseng) extract, Passion Flower extract, Peppermint extract, Pine conk (Phellinus pini) extract, Pleurotus eryngii extract , Polygonum root extract, Polyporus umbellatus extract, Pomegranate extract, Porcini (Boletus edulis) extract, Poria cocos (Tuckahoe) extract, Radix maltiflower knotweed (Polygonum multiflorum) extract, Raspberry extract, Rehmannia extract, Reishi (Ganoderma lucidum) extract, Rhodiola rosea extract , Rhubarb root extract, Rosehip fruit extract, Rosehip fruits (Rosa canina) extract, Schisandra extract, Schisandra fruits (Schisandra chinensis) extract, Schizophyllum commune (Common Porecrust) extract, Sea buckthorn extract, Shaggy mane (Coprinus comatus) extract, Shiitake (Lentinus edodes) extract, Shiitake extract, Shorthorned epimedium extract, Siberian ginseng extract, Siberian ginseng root extract, Six mushrooms super six (lion's mane, red reishi, cordyceps, chaga, tremella, turkey tail) extract, Snow fungus (Tremella fuciformis) extract, Spinach extract, Stinging nettle extract, Superfood (Pure Organic Mushroom Powder Extract, 10 Organic Mushroom Extracts) extract , Tart cherry extract , Tinder fungus (Fomes fomentarius) extract, Trametes versicolor (Coriolus versicolor) extract, Tremella fuciformis extract, Tribulus terrestris extract, Turkey tail extract, Turmeric root extract, Valerian extract, Wheat grass extract, Yam root extract); Other Grains, Pastas and Cereals: Cereal (Coix seed/coix lacryma-job cuts, Coix seed/coix lacryma-job whole); Oils &amp; Oleoresins: Oils (Medium Chain Triglycerides Powder, Reishi spores oil (Ganoderma lucidum)); Health Products: Herbs (Astragalus roots (Astragalus menbranaceus) dried, Baical Skullcap Root&amp;Leaf/Scutellaria baicalensis cut, Baical Skullcap Root&amp;Leaf/Scutellaria baicalensis slice, Baical Skullcap Root&amp;Leaf/Scutellaria baicalensis whole, Chinese angelica slice, Chrysanthemum whole, Cistanche dried, Danshen Root /Salvia miltiorrhiza cut, Danshen Root /Salvia miltiorrhiza slice, Danshen Root /Salvia miltiorrhiza whole, Fenugreek seed whole, Hawthorn cut, Licorice cut, Milk thistle, Olive leaf slice, Olive leaf whole, Polygonum root cut, Polygonum root whole, Siberian ginseng cut, Turmeric root slice, Turmeric root whole); Fruits/Vegetables: Chinese date slice, Chinese date whole, Honey suckle flower (Lonicera japonica) slice, Spina Date Seed /Ziziphus jujuba, Powders (Almond powder, Apple cider vinegar powder, Coconut oil powder, Flaxseed oil powder, High oleic acid sunflower oil powder, MCT oil powder, Safflower seed oil powder, Sunflower oil powder), Powders (4 mushroom emperor's blend (lion's mane, red reishi, cordyceps, chaga) powder , Agaricus bisporus powder, Agaricus blazei murill (Agaricus subrufescens) mycelium powder, Agaricus blazei murill (Agaricus subrufescens) powder, Agaricus blazei powder, Agaricus blazei tablet, Agarikon (Laricifomes officinalis) powder, Agrocybe aegerita (Agrocybe chaxinggu) powder, Alfalfa juice powder, Alfalfa powder, Alfalfa tablet , Artichoke powder, Artist's Conk (Ganoderma applanatum) powder, Astragalus powder, Astragalus roots (Astragalus menbranaceus) powder, Baical Skullcap root&amp;leaf / Scutellaria baicalensis powder, Bamboo powder, Barley grass juice powder, Barley grass powder, Bilberry juice powder, Bilberry powder, Bilberry tablet, Bitter apricot kernel juice powder, Bitter apricot kernel powder, Bitter apricot kernel tablet, Black fungus (Auricularia auricula) powder, Blueberry juice powder, Blueberry powder, Body Blend , Broccoli powder, Bulk Organic 7 mushroom blend powder, Bulk Organic Reishi powder , Carrot juice powder, Carrot powder, Cassia seeds powder, Cassia seeds tablet, Chaga (Inonotus obliquus) powder, Chaga powder, Chaga table, Chinese angelica granule, Chinese angelica powder, Chinese date fruit powder, Chinese date granule, Chinese date juice powder, Chinese date powder, Chinese date tablet, Chrysanthemum powder, Chrysanthemum TBC, Cinnamon powder, Cistanche powder, Cistanche tablet, Coix seed/coix lacryma-job powder, Coix seed/coix lacryma-job tablet, Cordyceps militaris powder, Cordyceps sinensis (Paecilomyces hepiali) mycelium powder, Cordyceps sinensis powder, Coriolus versicolor (Trametes versicolor) mycelium powder, Cranberry juice powder, Cranberry powder, Crucial Cordyceps , Dandelion powder, Danshen root / Salvia miltiorrhiza powder, Dragon fruit (powder), Echinacea purpurea powder, Elderberry powder, Enoki Mushroom (Flammulina velutipes) powder, Fenugreek seed powder, Fenugreek seed tablet, Fiveleaf gynostemma herb powder, Ginkgo leaf powder, Ginkgo leaf tablet, Goji berry juice powder, Goji berry powder, Goji berry tablet, Grape seed powder, Greater Burdock powder, Hawthorn juice powder, Hawthorn powder, Hericium erinaceus mycelium powder, Honey fungus (Armillaria mellea) powder, Honey suckle flower (Lonicera japonica) granule, Honey suckle flower (Lonicera japonica) powder, Honey suckle flower powder, Honey suckle flower tablet, Horny Goat Weed (Epimedium) powder, Horsetail powder, Kale(powder), Kiwi fruit wild juice powder, Kiwi fruit wild powder, Kiwi fruit wild tablet, Kudzu root powder, Licorice powder, Lion's mane (Hericium Erinaceus) powder, Lion's mane mushroom powder, Maca powder, Maitake (Grifola frondosa) mycelium powder, Maitake (Grifola frondosa) powder, Maitake powder, Marshmallow powder, Maximum immunity , MCT Coconut oil powder, Meshima (Phellinus igniarius) powder, Meshima (Phellinus linteus) powder , Mill.var.spinosa powder, Mind Mix , Morchella (Morchella esculenta) powder, Mulberry juice powder, Mulberry leaf powder, Mulberry powder, Nettle (Urtica dioica) powder, Nettle leaf powder, Nettle leaf tablet, Oatgrass juice powder, Oatgrass powder, Olive leaf granule, Olive leaf powder, Optimized recovery , Oregano powder, Organic cordyceps mushroom powder, Organic Eight Mushroom Blend powder, ORGANIC LION'S MANE MUSHROOM Powder, Organic lion's mane powder, Organic mushroom elixir , Organic mushroom powder mix, Organic mycocomplex powder, Organic reishi powder , ORGANIC TURKEY TAIL MUSHROOM Powder, Oyster mushroom (Pleurotus ostreatus) powder, Panax ginseng(white ginseng) powder, Panax ginseng(white ginseng) tablet, Passion Flower powder, Peppermint tablet, Pine conk (Phellinus pini) powder, Pleurotus eryngii powder, Polygonum root powder, Polyporus umbellatus powder, Pomegranate juice powder, Pomegranate powder, Porcini (Boletus edulis) powder, Poria cocos (Tuckahoe) powder, Radix maltiflower knotweed (Polygonum multiflorum) powder, Raspberry juice powder, Raspberry powder, Raspberry tablet), Vegetables (Bamboo whole, Rhubarb root cut, Rhubarb root whole); Dry/Baking Goods: Flours and Meals (Corn starch, Potato starch, Tapioca starch); Condiments and Sweeteners: Sweeteners (Maltodextrin, Tapioca Maltodextrin); Other: TRUE CHAGA</t>
  </si>
  <si>
    <t>Animal Feed: Livestock Feed (Barley), Livestock Feed (Corn, Ground), Livestock Feed (Custom Dairy Livestock Feeds), Livestock Feed (Molasses), Livestock Feed (Oats), Livestock Feed (Peas), Livestock Feed (Roasted Barley), Livestock Feed (Roasted Oats), Livestock Feed (Roasted Soybeans), Livestock Feed (Soybean Hulls), Livestock Feed (Soybean Meal), Livestock Feed (Soybean Oil), Livestock Feed (Soybeans), Livestock Feed (VZM Calf Starter), Livestock Feed (VZMorg8), Livestock Feed (Wheat); Other: Bagging Custom Dairy Livestock Feeds, Brokering Bulk Organic Grains, Distributing Livestock Feed and Bulk Organic Grains, Grinding Organic Grains and Livestock Feed, Mixing Custom Dairy Livestock Feeds, Storing Dry Organic Ingredients</t>
  </si>
  <si>
    <t>Other: Ajwain, Ajwain Powder, Aloe Vera, Aloe Vera Powder, Amaranth Flour, Amaranth Seed/ Ram Dhana, Amla Powder, Amla TBC, Ananthamool TBC, Anantmool (Hemidesmus Indicus), Anantmool Root Powder/Sarsaparilla Powder, Arhar Dal (Red Gram/Pigeon Pea), Arjun Powder (Terminalia Arjuna), Arrowroot Powder, Ashwagandha Powder, Ashwagandha TBC, Asparagus Racemosus (Shatawar), Asparagus Racemosus (Shatawari) TBC, Asparagus Racemosus-Root-Powder, Bajra Flour/ Atta, Bajra Porridge/Dalia, Basil/Tulsi, Basmati Rice-Brown, Basmati Rice-White, Bay Leaves/Tejpatta, Beet Root Powder, Bengal Gram Whole, Bengal Gram(Chana)Flour, Black Cumin, Black Gram White Whole, Black Gram/Urd (Vigna sp.), Black Mustard Oil, Black Pepper, Black Pepper Powder, Brahmi/Bacopa Monnieri Powder, Brown Rice, Brown Rice Flour, Cardamom, Cardamom Large (Black), Cashew Kernels (W240), Cashew Kernels (W320), Centella Asiatica, Chamomile (M.Chamomile), Chamomile TBC, Chana Dal, Chia, Chick Pea Flour, Chickpea/Kabuli Chana (Garbanzos), Chicory TBC, Chitra Kidney Beans/Rajma (Phaseolus Vulgaris), Cinnamon, Cinnamon (Powder), Cinnamon Bark, Cinnamon TBC, Clove Powder, Cloves, Coconut Oil, Convolvulus Pluricaulis Powder, Coriander Powder, Coriander Seed/Whole, Cumin Powder, Cumin Whole, Curry Powder, Dried Cardamom, Dried Curry Leaves, Dried Ginger Powder, Dry Rose Petals-Red, Emblica Officinalis(Amla/Indian Gooseberry), Fennel Powder, Fennel/Saunf, Fenugreek Powder (Methi Powder), Fenugreek Seed (Methi Seed), Flaxseed, Foxtail Millet, Garam Masala, Garlic, Garlic Granules, Garlic Powder, Giloy Powder, Ginger Powder, Ginger Sliced (Dried), Ginger TBC, Ginger Whole, Ginger Whole (Dried), Gram Flour/Besan, Green Cardamom Powder, Green Gram Whole (Moong Sabut), Green Gram/Moong Dhuli, Groundnut/Peanut, Groundnut/Peanut Oil (Edible Grade), Gymnema Powder, Gymnema Sylvestre (Leaves), Haritaki Powder, Haritaki/Harad(Terminalia Chebula), Hibiscus, Hibiscus Sabdariffa Petals Powder, Hibiscus Sabdariffa Petals TBC, Idly Rice, Indian Organic Brown Basmati Rice, Jaggery, Jaggery Liquid, Jaggery Powder, Kasuri Methi, Kodo/Kodon Millet, Krishna Tulsi (Ocimum Sanctum), Krishna Tulsi Powder-Ocimum Basilicum, Krishna Tulsi TBC-Ocimum Basilicum, Lemon Grass, Lemon Peel Powder, Lemon Peel TBC, Lemon Powder, Lemongrass TBC, Lentil Dal, Liquorice Powder, Liquorice TBC, Little Millet, Mace, Mace Powder, Mango Powder/ Aamchur, Manjistha/Rubia Cordifolia Powder, Masoor (Lens Culinaris), Masoor Dal, Masur/Masoor Dhuli, Millet, Mix Dal, Moong Dal-Split, Moringa Dried Leaves, Moringa Leaves, Moringa Powder, Moringa TBC, Moth Dhuli, Mucuna Pruriens (Mucuna), Mucuna Pruriens Powder, Multi Grain Atta, Mustard, Neem Leaves, Neem Leaves, Neem Leaves Powder, Non-Basmati Rice, Nutmeg Powder, Nutmeg Whole, Onion (Powder), Onion Chopped, Onion Flakes, Orange Dry Peel, Orange Peel TBC, Pearl Millet/Bajra, Pigeon Pea/Arhar Whole, Poha / Chivda, Proso Millet, Psyllium Husk (Isobgul), Punarnava Powder, Ragi/Finger Millet Grain, Rama Tulsi Powder-Ocimum Sanctum, Rama Tulsi TBC-Ocimum Sanctum, Rama Tulsi-Ocimum Sanctum, Red Chilli (Whole), Red Chilli Flakes, Red Chilli Powder, Red Kidney Beans/Rajma (Phaseolus Vulgaris), Red Lentil, Rice Sonamasuri Brown, Rice-Sona Masuri, Rose Petals Powder, Saffron, Sawan/Barnyard Millet, Senna Leaves, Senna Leaves Powder, Senna Leaves TBC, Senna Pods, Senna Pods Powder, Senna Pods TBC, Shatawari Powder, Shikakai, Shikakai Powder, Sorghum, Sorghum Flour, Split Gram/Chana (Cicer Arietinum), Split Lentil, Stevia, Stevia Leaves-Dried, Stevia TBC, Stevia/Stevia Rebaudiana Powder, Sugar, Sugar (Brown/Natural), Sunflower Oil: Edible Grade, Sunflower Seed Oil, Terminalia Bellirica/Baheda, Tribulus Terrestris Powder, Triphala Powder, Tulsi Leaves Powder, Tulsi Powder, Tulsi TBC/Tulsi TBC Blend, Turmeric Dried, Turmeric Powder, Turmeric TBC, Turmeric Whole-Fresh, Urad Dal Split, Urad Dal-Split Without Shell, Vana Tulsi TBC-Ocimum Gratissimum, Virgin Coconut Oil, Wheat, Wheat Flour, Wheatgrass Powder, White Cane Sugar, White Pepper, White Pepper Powder, White Quinoa, White Rice Flour, Yellow Mustard</t>
  </si>
  <si>
    <t>Other: Ajwain, Almond, Amaranth Seed/Ram Dhana, Amla Powder, Amla TBC, Anantmool (Hemidesmus Indicus), Anantmool TBC/Anantmool Cut &amp; Sifted/ Sarsaparilla Root Cut &amp; Sifted/ Sarsaparilla Cut &amp; Sifted, Arhar Dal (Red Gram/Pigeon Pea), Arjuna Bark Powder, Ashwagandha Root, Ashwagandha Root Powder, Aswagandha Roots TBC, Bajra Porridge/Dalia, Barley- Dehulled, Barley Flour, Barley Whole, Barnyard Millet, Basil Leaves C/S, Basil/ Tulsi, Basmati Rice, Beaten Rice, Beet Root Powder, Black Gram Whole, Black LentilsWhite Whole/ Urad Gota, Black Pepper, Black Pepper Powder, Black Quinoa, Brahmi/Bacopa Monnieri Powder, Broken Rice, Brown Gram/Gram/Chana (Cicer Arietinum), Brown Rice, Brown Rice Flour, Cardamom / Dried Cardamom, Cashew White Wholes W240, Cashew White Wholes W320, Chamomile (M.Chamomile), Chana Dal, Chia, Chickpea/Kabuli Chana (Garbanzos), Chitra Kidney Beans/Rajma (Phaseolus Vulgaris), Chopped Onion, Cinnamon, Cinnamon (Powder), Cinnamon TBC, Clove Powder, Cloves, Coriander, Coriander Powder, Cowpea, Cumin Powder, Cumin Whole, Dehydrated Spinach Powder / Spinach Powder, Dry Rose Petal-Red, Dry/Dehydrated Fenugreek Leaves, Fennel Powder, Fennel/Saunf, Fenugreek Powder (Methi Powder), Fenugreek Seed (Methi Seed), Flax Seed, Foxtail Millet, Garam Masala, Garlic Powder, Giloy Powder, Ginger Powder, Ginger TBC, Gokshura Powder-Tribulus Terrestris, Gram Flour/ Besan, Green Cardamom Powder, Green Gram Whole (Moong Sabut), Green Gram/Moong Dhuli, Groundnut/ Peanut Oil (Edible Grade), Haritaki, Haritaki Powder, Hibiscus Sabdariffa Petals TBC, Indian Organic Brown Basmati Rice, Jaggery Powder, Kodo Millet, Krishna Tulsi Powder/ Ocimum Sanctum Powder, Krishna Tulsi TBC-Ocimum Basilicum, Lemon Peel C/s, Lemon Peel Powder, Lemongrass, Lemongrass Powder, Lentil, Liquorice Powder, Liquorice TBC/ Liquorice C/S, Little Millet, Maize (Corn), Maize (Corn) Flour, Masoor (Lens Culinaris), Masur/Masoor Dhuli, Matki/Moth Bean, Mix Dal, Moong Dal-Split/Moong Chilka, Moringa Leaves Powder, Moringa Leaves TBC, Moringa Powder, Moth Dal, Moth Dhuli, Mustard, Mustard - Black, Mustard Oil, Neem Leaves, Neem Leaves C/S, Neem Leaves Powder, Non-Basmati Rice, Nutmeg Powder, Nutmeg Whole, Onion Powder, Orange Dry Peel, Pearl Millet/Bajra, Poha/ Flattened Rice, Pumpkin Seeds, Quinoa, Ragi Flour, Ragi/Finger Millet Grain, Red Chilli (Whole), Red Chilli Flakes, Red Chilli Powder, Red Kidney Beans/Rajma (Phaseolus Vulgaris), Red Lentil/Masoor Malka, Red Quinoa, Red Rice, Rice Flour, Rice Sonamasuri Brown, Rice Sonamasuri Hand Pound, Rice-Sona Masuri, Senna Leaves Powder, Senna Leaves Tea Bag Cut (TBC), Shatavari Root Powder, Shatavari Root TBC, Shikakai, Shikakai Powder, Sorghum, Sorghum Flour, Stevia, Stevia Leaves TBC, Stevia Powder/Stevia Rebaudiana Powder, Sugar Brown/Natural, Suji/Semolina/ Cream Of Wheat, Sunflower Seed Oil, Sunflower Seeds- Dehulled, Sunflower Seeds: of Seed Quality, Triphala Powder, Tulsi Leaves Powder, Tulsi TBC, Turmeric Dried/Turmeric Whole-Dried, Turmeric Powder, Turmeric TBC, Urad (Phasleolus Mungo) Black Gram, Urad Dal Black Split With Skin, Urad Dhuli/Urad Dal Split, Wheat, Wheat Flour, Wheat Maida, Wheatgrass Powder, White Pepper, White Pepper Powder, White Quinoa, Yellow Mustard</t>
  </si>
  <si>
    <t>Other: Açaí Banana Açaí Bowl, Açaí Berry Sorbet, Açaí Bites Original, Açaí Bowl Açaí Blend with Berry &amp; Granola, Açaí Bowl Açaí Raspberry Blend with Strawberry &amp; Chocolate, Açaí Juice - The Original, Açaí On The Go Original Açaí, Açaí Original Açaí Berry Puree &amp; Guaraná, Açaí Original Blend Superfruit Pack, Açaí Original Superfruit Pack, Açaí Puree, Açaí Smoothie Cubes Mango &amp; Acai, Açaí Smoothie Cubes Mixed Berries &amp; Acai, Açaí Superfruit Juice Original, Açaí Tub, Açaí Unsweetened (Pure) Superfruit Pack, Açaí Unsweetened Açaí Berry Puree, Amazon Energy Açaí Berry Drink, Amazon Energy Jungle Love Drink, Amazon Superberry Açaí Bowl, Banana Puree, Berry Bliss Açaí Bowl, Black Carrot Blue Concentrate Color, Blueberry Puree, Clarified Açaí Juice, Clarified Concentrate Açaí Juice, Coconut Açaí Bowl with Strawberry, Colors/Flavors, Dragon Fruit Cubes, Dragon Fruit Ginger Blend, Dragon Fruit Smoothie Bowl, Energy Açaí Berry + Yerba Mate &amp; Guarana Blend Juice, Extracts, Frozen Açaí Pack, Frozen Scoopable Açaí, Frozen Scoopable Açaí, Frozen Scoopable Açaí No Added Color, Frozen Scoopable Açaí Select Blend, Frozen Scoopable Açaí with Coconut Sugar, Frozen Unsweetened Açaí Pack, Fruit and Vegetable products (pulps, purees, juices, juice concentrates, IQF), Functional ingredients -Emulsifiers/Stabilizers/Gums, Golden Flax, Organic, Grains/seeds, Immunity Superfruit Blend Açaí Passion Fruit Blend, Inulin, Agave, Low Calorie Amazon Energy Açaí Berry Drink, Mango Flavor, Mango Passion Fruit Açaí Bowl, Mango Puree, Mixed Berry Flavor Type, Peanut Butter Protein Açaí Bowl, Proteins (Vegetable Proteins), Purple Plum Color, Scoopable Dragon Fruit, Smoothie Bowl Mango Blend with Fruit &amp; Granola Toppings, Smoothie Bowl Mango Dragon Fruit Blend with Fruit &amp; Granola, Strawberry Puree, Sunflower Lecithin, Sweeteners (sugar, agave, tapioca, sugar alternatives), Toppings/Inclusions, Tropical Tango Smoothie Bowl, Unsweetened (Pure) Açaí Smoothie Pack</t>
  </si>
  <si>
    <t>Other: Storage:
Raw Cotton
Groundnut
Maize Grain
Mustard Seeds/Spice
Wheat grain</t>
  </si>
  <si>
    <t>Other: Ajwain, Almond, Aloe Vera, Arhar dal (Red gram/Pigeon pea) - Arhar Dal, Ashwagandha, Bajra flour/ Atta, Barley (of seed quality) - Barley Whole, Barley Flakes, Barley Flour - Barley Flour/ Atta, Barley husk, Barley Porridge/Dalia, Basmati rice, Beaten rice, Black Pepper, Black Pepper Powder, Brown gram/Gram/Chana (Cicer arietinum) - Chana, Brown Rice, Buck wheat., Buckwheat Flour, Cardamom, Cardamom Large (Black) - Black Cardamom, Cashew Whole, Cassia - Cassia / Cinnamon, Chana Dal, Chia - Chia Seed, Chitra Kidney beans/Rajma (Phaseolus vulgaris) - Rajma Chitra, Cinnamon, Cinnamon Powder, Clove powder, Cloves, Cluster Bean / Guar fodder - Cluster Bean / Guar, coconut (dried), coconut oil, Coffee beans, Coriander (Seed quality) - Coriander Seed Whole, Coriander Powder, Cowpea, Cowpea Red, CTC Tea, Cumin Powder, Cumin whole, Dehydrated Ginger - Ginger Dried, Fennel/saunf, Fenugreek Powder (Methi Powder) - Fenugreek Powder, Fenugreek Seed (Methi Seed) - Fenugreek Seed, Flax/Linseed, Foxtail Millet, Ginger Fresh, Ginger Powder, Gram Flour/Besan, Green chilli fresh, Green Gram Whole (Moong Sabut), Green gram/Moong dhuli, Green peas, Green Tea, Ground nut Chikki, Groundnut/Peanut, Groundnut/Peanut Oil (Edible grade), Idli Flour/powder (Idli Rice), Indian Organic Brown Basmati Rice - Brown Basmati Rice, Jaggery, Jaggery powder, Kabuli Chana, Mace, Maida, Maize (Corn) Flake - Corn Flake, Maize Grain - Maize (corn), Maize/Corn flour, Masoor Dal, Masur/Masoor dhuli, Misi atta/flour, Missa Atta Rajasthani, Mix Dal, Mixture of Dried Fruits, Moong Dal Mangodi, Moong Dal-Split with shell, MuskMelon seeds, Mustard - Black, Mustard Oil (crude) - Mustard Oil, Mustard Seeds-Spice, Mustard Small, Non Basmati Paddy, Non-Basmati Rice, Nutmeg Powder, Nutmeg Whole, Oats (Flakes), Olive oil, Onion, Peanut Oil, Pearl Millet/Bajra, Poha Flattened Rice, Potato, Psyllium husk (isobgul), Puffed Rice, Pumpkins seeds, Quinoa, Radish, Ragi (Finger Millet- other than seed), Ragi Flour, Ragi/Finger Millet grain, Raisins/Kismis, Red Chilli (whole), Red Chilli Powder, Red Kidney beans/Rajma (Phaseolus vulgaris), Red Lentil, Rice Flour, Rice-Sona Masuri, Roasted bengalgram dal/ Chana, Sattu, Sesame Oil, Sesame Oil/Gingelly Oil, Sesame/Sesamum, Sorghum, Sorghum Flour, Soyabean Whole, Soyabean/Soybean Flour, Stevia, Sugar (Brown/Natural), Suji/Semolina/ Cream of Wheat, sunflower oil - Edible Grade, Sunflower Seed, Sunflower Seed Oil, Tamarind, Tomatoes (Fresh), Turmeric Powder, Turmeric whole-dried - Turmeric Whole, Urad dal/Split Black gram, Urad dal-Whole(White), Urad dhuli, Urad Papad, Walnuts, Water Melon Seeds, Wheat, Wheat Flakes, Wheat flour, Wheat grain, Wheat Porridge/Dalia, Wheatgrass powder, White Sesame/Sesame, Whole Wheat Atta Premium</t>
  </si>
  <si>
    <t>Other: 4 Multi Grain Flour (Atta), 5 Multi Grain Flour (Atta), 7 Multi Grain Flour (Atta), Ajwain, Ajwain Powder, Almond, Almond Cashew Praline, Almonds Roasted And Salted, Aloe Vera, Aloe Vera Juice, Aloe Vera Powder, Alpohonso Mango, Amaranth Flour/ Rajgira Atta., Amaranth Roasted, Amaranth Seed/ Ram Dhana, Amaranth/Amaranthus/Thotakura, Ambe Mohar Rice, Amchoor Powder/Mango Powder, Amla, Amla Candy Chatpata, Amla Candy Sweet, Amla Dried, Amla Juice, Amla Powder, Amla Whole Dried, Aonla, Aonla Powder, Arhar Dal (Red Gram/Pigeon Pea)/ Arhar Dal (Tur Dal), Ashwagandha, Ashwagandha Powder, Ashwagandha Root, Ashwagandha Root Powder, Asparagus Racemosus (Shatawar), Shatavari., Asparagus Racemosus Powder, Shatavari Powder, Asparagus Racemosus- Root Powder, Shatavari Root Powder., Bajara Flour, Bajra Porridge/Dalia, Banana Fresh, Barley- Dehulled, Barley Flakes, Barley Flour, Barley Porridge/Dalia, Barley Whole, Basil/Tulsi, Basmati Broken Rice/ Broken Rice, Basmati Paddy, Basmati Rice, Basmati Rice- Brown/ Brown Basmati Rice, Basmati Rice- White/ White Basmati Rice, Bay Leaf, Bay Leaf Powder, Bay Leaves/Tejpatta, Beaten Rice/ Rice Flakes, Bengal Gram Whole/ Bengal Gram (Chana Dal), Bengal Gram(Chana)Flour, Biryani Masala/ Peshwari Biryani Masala, Black Cumin, Black Cumin Powder, Black Gram Split White, Black Gram White Whole, Black Gram/Urd (Vigna Sp.), Black Mustard Seed, Black Non-Basmati Rice/ Black Rice, Black Pepper, Black Pepper (Garbled), Black Pepper Crushed, Black Pepper Powder, Black Pepper TBC, Black Rice Paddy, Brahmi Powder, Brahmi/Bacopa Mannieri, Brown Gram/Gram/Chana (Cicer Arietinum)/ Brown Chana (Black Chickpea)/ Kala Chana, Brown Mustard, Brown Rice Flour, Brown Rice/ Non Basmati Brown Rice, Cardamom, Cardamom Large (Black), Cardamom Powder, Cashew And Rose Bites, Cashew Nut (In Shell), Cashew Nut (Roasted), Cashew Whole, Cashew-Broken/Split, Chana Dal, Chana Masala, Chat Masala, Chia, Chia Seed Roasted And Salted, Chicken Curry Masala, Chickpea Flour/ Garbanzos Flour, Chickpea/Kabuli Chana, Chilli Dried, Chilli Powder, Chilli Whole, Chitra Kidney Beans/Rajma (Phaseolus Vulgaris), Chivada Masala, Chole Masala, Cinnamon, Cinnamon Bark, Cinnamon Bark Powder, Cinnamon Leaves, Cinnamon Powder, Clove Whole, Cloves, Cloves Powder, Coconut (Dried), Coconut Oil, Coconut Oil Cake, Coffee Beans, Coffee Cherry-Arabica, Coffee Powder, Coffee Robusta Cherry, Cooked/ Roasted/ Cracked Corn, Coriander, Coriander Powder, Coriander Seed, Coriander Seed/Whole, Coriander Split, Corn Daliya/ Corn Porridge, Cowpea Split, Cowpea White Dal, Cowpea/Lobia Whole(V.unguiculata/Sinensis), CTC Tea, Cumin (Non-Black -Seed Quality), Cumin Powder, Cumin Seed, Cumin Whole / Cumin Whole (Jeera), Dehulled Sorghum, Dried Alphonso Mango Slices, Dried Cardamom, Dried Clove, Dried Garlic, Dried Mango, Dried Mango Slices, Dried Mint, Dried Nutmeg Shelled, Dried Potato Chips, Dried Tamarind Powder, Drum Stick Powder, Drumstick, Dry Fenugreek Leaves, Dry Rose Petals-Red, Egg Curry Masala, Fennel Powder, Fennel Seed - Roasted, Fennel Seed / Fennel Seeds (Saunf), Fenugreek Leaves Crushed, Fenugreek Seed Powder, Fenugreek/ Fenugreek Seed (Methi Seed), Finger Millet Flour, Flax Seed, Flax Seed Oil, Flax Seed Powder, Flax/Linseed Meal, Flaxseed/Linseed Roasted And Salted, Foxtail Millet, Garam Masala, Garam Masala - Medium, Garlic, Garlic Flakes, Garlic Paste, Garlic Powder, Ginger Candy, Ginger Flakes, Ginger Fresh/ Ginger Whole, Ginger Paste, Ginger Powder, Ginger Sliced (Dried), Ginger Whole (Dried), Gluten Free Daliya, Goda Masala, Gram Flour/Besan, Green Cardamom, Green Cardamom Powder, Green Chilli Dry, Green Chilli Fresh, Green Gram Flour, Green Gram Split Yellow/Moong Dal-Yellow, Green Gram Whole (Moong Sabut)/ Moong Whole (Green Gram), Green Gram/Chana/Moong (Vigna sp.), Green Gram/Moong Dhuli, Green Moong Dal, Green Peas, Green Pepper Powder, Green Pepper-Fresh, Groundnut/Peanut, Groundnut/Peanut Oil (Edible Grade), Groundnut/Peanut Roasted, Horse Gram (Macrotyloma Uniflorum), Idli Rice, Indian Basmati Rice, Indian Brown Basmati Rice, Indrayani Rice, Jaggery, Jaggery Cube, Jaggery Granules, Jaggery Liquid, Jaggery Powder, Jowar, Jowar Flour, Jowar Porridge/Dalia, Kabuli Chana/ Kabuli Chana (White Chickpea), Kaju Masala, Kalmegh Powder (Andrographis Paniculata), Kalonji/Nigella, Kasoori Methi/ Kasuri Methi, Kitchen King Masala, Kodo/Kodon Millet, Kolhapuri Masala, Lemon Fresh/Lemon, Lemon Juice, Lemongrass, lemongrass Dried, Lentil, Lentil Dal/ Split Lentil, Lentil Flour, Little Millet, Mace, Mace Powder, Madras Curry Masala/ Curry Masala, Maida, Maize (Corn), Maize (Corn) Flake, Maize/Corn Flour, Maize/Corn Porridge (Dalia), Corn Daliya / Corn Porridge, Malvani Masala, Manjista, Masoor Dal/ Masoor Dal Whole (Whole With Skin), Masoor Dal-Split With Out Shell, Masur/Masoor Dhuli / Masoor Dal Split (Dhuli), Matki/Moth Bean, Mint/Mentha/Pudina, Mix Dal, Mix Millet Flour, Mix Seed, Moong Dal, Moong Dal Powder/ Moong Dal Flour/ Moong Whole Flour., Moong Dal- Split With Shell, Moong Dal Washed, Moong Dal/ Moong Dal (Vigna Radiata (Extract), Moong Dal-Split, Moringa Dried Leaves, Moringa Oleifera Leaf Powder, Moringa Powder, Moth Dal, Moth Dhuli, Multi Grain Flour Gluten Free (Atta), Mumbai Pau Bhaji Masala, Mustard, Mustard Black Powder, Mustard Cake, Mustard Oil, Mustard Oil (Aroma/E. Oil), Mustard Powder, Mustard Seeds, Mutton Masala, Neem Leaves, Neem Powder, Non Basmati Hand Pounded Rice, Non Basmati Paddy, Non-Basmati Broken Rice/ Broken Rice, Non-Basmati Paddy, Non-Basmati Rice, Nutmeg (Shelled), Nutmeg (Whole), Nutmeg Powder, Oats (Flakes), Oil-Cake And Oil-Cake Meal Of Groundnut /Peanutexpeller Variety, Okra/Bhindi, Onion Flakes, Onion Powder, Onion/ Onion Fresh/ Kanda, Paddy Husk, Paddy-Sona Masuri, Paneer Tikka, Papaya (C.Papaya), Pearl Millet/Bajra, Pepper Long/Pippali (Piper Longum), Pigeon Pea/Arhar Whole, Pigeon Pea/Arhar Whole, Poha / Chivda, Pomegranate (Fresh), Pomegranate Dried Seeds/ Dried Anardana, Pooni Rice, Potato, Proso Millet, Psyllium Husk (Isobgul), Psyllium Husk Powder, Psyllium Seed (Isobgul), Pulav Masala, Pumpkin Seeds, Pumpkin Seeds Roasted And Salted, Punjabi Dal Makhani Masala, Punjabi Rajma Masala, Quinoa, Ragi (Finger Millet- Other Than Seed), Ragi Flour, Ragi/Finger Millet Grain, Raisins/Kismis, Rajma Masala, Rasam Powder, Raw Rice Sonamasuri, Red Chilli (Whole)/ Cayenne Whole, Red Chilli Flakes, Red Chilli Powder, Red Flattened Rice/ Red Beaten Rice, Red Gram, Red Kidney Beans/Rajma Chitra, Red Rice, Red Rice Flour, Red Rice Paddy, Rice Bran, Rice Flour, Rice Hand Pounded, Rice Sonamasuri Brown, Rice Sonamasuri Hand Pound, Rice-Sona Masuri/ Sona Masuri White Rice, Roasted Almonds, Roasted Bengalgram Dal/ Roasted Gram/ Chana Dal, Roasted Gram/ Chana Dal Flour, Roasted Wheat/ Wheat Dalia (Roasted), Rose, Sabji Masala, Saffron, Sambar Mix/Sambar Powder, Sapota Dried, Sapota Fresh (Chico), Sattu, Sawan/Barnyard Millet, Seena Leaves, Sesame, Sona Masoori Rice Flour, Sonamasuri Polished Rice, Sonamasuri Semi Polished Rice, Sonamasuri Un Polished Rice, Sorghum, Sorghum Flour, Soyabean, Soybean Flour, Split Chickpea/Kabuli Chana (Garbanzos), Split Gram/Chana (Cicer Arietinum), Split Green Gram/Moong (Vigna sp.), Split Pigeon Pea/Arhar/Red Gram Split, Stevia, Stevia Leaves-Dried, Stevia Powder, Sugar, Sugar (Brown/Natural)/ Brown Sugar, Sugarcane, Suji/Semolina/ Cream Of Wheat, Sunflower, Sunflower Flour, Sunflower Oil: Edible Grade, Sunflower Seed Oil, Sunflower Seed Roasted And Salted, Sunflower Seeds: Of Seed Quality, sunflower Seeds:Oil-Cake Meal, Tamarind (Imli) Powder, Tamarind Dry (Imli), Tamarind/Imli (T.indica), Tandoori Masala, Tangi Jaljeera Masala, Thymes/ Thyme Leaves Dried/ Thyme., Tikka Masala, Tomatoes (Fresh), Trail Mix, Trail Mix – Nut Mix, Trail Mix – Salted And Roasted Seed Mix, Tulsi Powder, Tur/ Toor Dal, Turmeric Dried/ Turmeric Whole-Dried, Turmeric Flakes, Turmeric Powder, Turmeric Whole-Fresh, Urad (Phasleolus Mungo) Black Gram/ Urad Whole(Black), Urad Dal Black Split/ Urad Dal/Split Black Gram/ Urad Dal- Spilt With Shell, Urad Dal Flour, Urad Dal Split/ Urad Split (White)/ Urad Dal- Split Without Shell, Urad Dal- Whole(White), Urad Dhuli/ Urad Mogar/Black Gram Split Dehusked, Urad Gota/Black Gram De-Husked, Walnut, Walnut Roasted And Salted, Watermelon Seed, Wheat, Wheat Flakes, Wheat Flour/ Wheat Flour/Atta (Machine Milled)/ Whole Wheat Atta Premium, Wheat Maida, Wheat Porridge/Dalia, Wheatgrass Powder, White Cane Sugar, White Pepper, White Pepper Crushed, White Pepper Powder, White Rice Flour, Yellow Mustard, Yellow Mustard Powder/ Ground</t>
  </si>
  <si>
    <t>Other: 4 Multi Grain Flour (Atta), 5 Multi Grain Flour (Atta), 7 Multi Grain Flour (Atta), Ajwain, Ajwain Powder, Almond, Amaranth Flour/ Rajgira Atta., Amaranth Roasted, Amaranth Seed/ Ram Dhana, Ambe Mohar Rice, Amchoor Powder/Mango Powder, Amla, Amla Dried, Amla Powder, Amla Whole Dried, Apricots, Arhar Dal/Red Gram/Pigeon Pea, Ashwagandha Root, Ashwagandha Root Powder, Asparagus Racemosus- Root Powder, Assam Tea, Bajra Flour/ Atta, Bajra Porridge/Dalia, Barley- Dehulled, Barley Flakes, Barley Flour, Barley Porridge/Dalia, Barley Whole, Basil/Tulsi, Basmati Broken Rice, Basmati Paddy, Basmati Rice, Basmati Rice - Brown, Basmati Rice-White, Bay Leaf Powder, Bay Leaves/Tejpatta, Beaten Rice/ Rice Flakes, Bengal Gram (Chana Dal), Bengal Gram Whole, Bengal Gram(Chana)Flour, Biryani Masala/ Peshwari Biryani Masala/ Hyderabadi Dum Biryani Masala/ Awadhi Dum Biryani Masala, Black Cumin, Black Cumin Powder, Black Gram De-Husked, Black Gram Split White, Black Gram White Whole, Black Gram/Urd (Vigna Sp.), Black Mustard Oil, Black Mustard Seed, Black Pepper, Black Pepper Crushed, Black Pepper Powder, Black Rice, Black Rice Paddy, Brown Chana Whole, Brown Mustard, Brown Rice, Brown Rice Flakes, Brown Rice Flour, Brown Top Millet, Buckwheat- Dehulled, Buckwheat Flour, Cane Sugar-Extra Light/ Cane Sugar Brown/ Cane Sugar (Raw Sugar)/ Cane Sugar- Demerara/ Cane Sugar Cubes, Cardamom, Cardamom Large (Black), Cardamom Powder, Cashew Kernels (W180), Cashew Kernels (W210), Cashew Kernels (W240), Cashew Kernels (W320), Cashew Nut (In Shell), Cashew Nut (Roasted), Cashew Whole, Cashew-Broken/Split, Chana Dal, Chana Masala, Chat Masala, Chia, Chicken Curry Masala, Chickpea Flour/ Garbanzos Flour, Chickpea/Kabuli Chana, Chilli Dried, Chilli Powder, Chitra Kidney Beans/Rajma (Phaseolus Vulgaris), Chivada Masala, Chole Masala, Cinnamon, Cinnamon (Powder), Cinnamon Bark, Cinnamon Bark Powder, Cinnamon Leaves, Clove Powder, Clove Whole, Coconut, Coconut (Dried), Coconut Oil, Coffee Beans, Coffee Powder, Cooked/ Roasted/ Cracked Corn, Coriander Leaf Dehydrated, Coriander Powder, Coriander Seed, Coriander Split, Cowpea, Cowpea Split, Cowpea White Dal, CTC Tea, Cumin Powder, Cumin Seed, Cumin Whole, Dehulled Sorghum, Dehydrated Curry Leaves Powder, Dehydrated Garlic Flakes, Dehydrated Garlic Powder, Dehydrated Ginger Powder, Dehydrated Green / Red Chilly Powder, Desiccated Coconut Powder, Dried Cardamom, Dried Clove, Dried Garlic, Dried Mango Slices, Dried Mint, Dried Nutmeg Shelled, Extra Virgin Coconut Oil, Fennel Powder, Fennel Seed - Roasted, Fennel Seed / Fennel Seeds (Saunf), Fenugreek Crushed, Fenugreek Powder (Methi Powder), Fenugreek Seed (Methi Seed), Finger Millet Flour, Flax Seed, Foxtail Millet, Foxtail Millet Flour, Garam Masala, Garlic, Garlic Flakes, Garlic Paste, Garlic Powder, Ginger Flakes, Ginger Paste, Ginger Powder, Ginger Sliced (Dried), Ginger Whole, Ginger Whole (Dried), Goda Masala, Gram Flour/Besan, Green Cardamom, Green Cardamom Powder, Green Gram Flour, Green Gram Split Yellow/Moong Dal-Yellow, Green Moong Dal Split, Green Moong Whole, Green Peas, Green Tea, Groundnut/Peanut, Groundnut/Peanut Oil (Edible Grade), Groundnut/Peanut Roasted, Horse Gram (Macrotyloma Uniflorum), Idali Rice/ Idli White Kurnai (Broken Rice), Idly Rice, Indian Basmati Rice, Indian Brown Basmati Rice, Indrayani Rice, Jaggery, Jaggery Cube, Jaggery Granules, Jaggery Powder, Jowar, Jowar Flour, Jowar Porridge/Dalia, Kabuli Chana, Kalonji/Nigella, Kasuri Methi, Kitchen King Masala, Kodo Millet Flour, Kodo/Kodon Millet, Kolhapuri Masala, Ldli Flour/Powder, Idali Rava Flour/Powder, Lentil, Lentil Dal, Lentil Flour, Little Millet, Little Millet Flour, Mace, Mace Powder, Madras Curry Masala, Maida, Maize (Corn) Flake, Maize Corn, Maize Groat., Maize/ Corn Porridge (Dalia), Maize/ Corn Porridge (Dalia), Maize/Corn Flour, Malvani Masala, Masoor Dal, Masoor Malka, Masur/Masoor Dhuli / Masoor Dal Split (Dhuli), Matki/Moth Bean, Millet, Millet Flour, Millet Porridge, Mint/Mentha/Pudina, Mix Dal, Mix Millet Flour, Mix Seed, Moong Dal, Moong Dal Powder, Moong Dal-Split, Moong Dal-Split With Shell, Moringa Dried Leaves, Moringa Oleifera Leaf Powder, Moringa Powder, Moth Dal, Multi Grain Flour Gluten Free (Atta), Mumbai Pau Bhaji Masala, Muskmelon Seeds, Mustard, Mustard Oil ((Refined), Mustard Oil (Aroma/E. Oil), Mustard Powder, Mustard Seeds, Mustard Small, Non Basmati Hand Pounded Rice, Non-Basmati Broken Rice/ Broken Rice, Non-Basmati Paddy, Non-Basmati Rice, Nutmeg (Shelled), Nutmeg Powder, Nutmeg Whole, Oat - Dehulled, Oat Flour, Oats (Flakes), Oats (Rolled Grains), Okra Flakes, Onion (Powder), Onion Flakes, Paddy Husk, Paddy-Sona Masuri, Paneer Tikka, Pea- Dried, Pearl Millet/Bajra, Pigeon Pea, Pigeon Pea/Arhar Whole, Poha / Chivda, Pomegranate Dried Seeds/ Dried Anardana, Ponni Rice / Ponni Rice Raw, Ponni Rice / Ponni Rice Raw, Pooni Rice, Poppy Seeds/ Khus Khus., Potato, Proso Millet, Proso Millet Flour, Psyllium Husk (Isobgul), Puffed Rice Chivda, Pulav Masala, Pumpkin Seeds, Punjabi Rajma Masala, Quinoa, Ragi Flour, Ragi/Finger Millet Grain, Raisins/Kismis, Rajma Masala, Rajma Red, Rapeseed/Rai/Rye, Rasam Powder, Rava Idly Rice, Raw Rice Sonamasuri, Red Chilli (Whole), Red Chilli Flakes, Red Chilli Powder, Red Flattened Rice, Red Kidney Beans/Rajma Chitra, Red Rice, Red Rice Flour, Red Rice Paddy, Rice Bran, Rice Flour, Rice Hand Pounded, Rice Sonamasuri Brown, Rice Sonamasuri Hand Pound, Rice-Sona Masuri, Roasted Almonds, Roasted Bengal Gram Dal, Roasted Gram/ Chana, Roasted Wheat/ Wheat Dalia (Roasted), Rosemary, Sabji Masala, Saffron, Sambar Mix/Sambar Powder, Sapota Dried/ Dehydrated, Sattu, Sawan/Barnyard Millet, Sona Masoori Rice Flour, Sonamasuri Polished Rice, Sonamasuri Semi Brown, Sonamasuri Semi Polished Rice, Sonamasuri Un Polished Rice, Sorghum Flour, Sorghum/ Sorghum Grain, Soybean, Soybean, Soybean Meal, Soybean Whole, Split Chickpea/Kabuli Chana (Garbanzos), Split Gram/Chana (Cicer Arietinum), Split Green Gram/Moong (Vigna Sp.), Split Lentil, Split Pigeon Pea/Arhar/Red Gram, Star Anise, Stevia Powder, Sugar, Sugar (Brown/Natural)/ Brown Sugar, Suji/Semolina/ Cream Of Wheat, Sunflower Flour, Sunflower Oil Edible Grade, Sunflower Seeds: Of Seed Quality, Tamarind (Imli) Powder, Tamarind Dry (Imli), Tandoori Masala, Tikka Masala, Tulsi Powder, Tur/ Toor Dal, Turmeric Dried, Turmeric Powder, Turmeric Whole-Fresh, Urad Black Whole, Urad Dal Flour, Urad Dal Split/ Urad Split (White)/ Urad Dal- Split Without Shell, Urad Dal-Spilt With Shell, Urad Dhuli., Urad White Whole, Walnut, Walnut Kernels, Water Melon Seeds, Wheat, Wheat Flakes, Wheat Flour, Wheat Maida, Wheat Porridge/Dalia, Wheatgrass Powder, White Cane Sugar, White Pepper, White Rice Flour, Whole Malka/ Whole Without Skin, Masoor (Lens Culinaris), Yellow Mustard, Yellow Mustard Powder/ Ground</t>
  </si>
  <si>
    <t>Seasonings: Ajwain (Organic Ajwain)*, Black cumin (Organic Black cumin)*, Black Pepper (Organic Black Pepper)*, Black pepper crushed (Organic Black pepper crushed)*, Brown mustard (Organic Brown mustard)*, Chana Masala (Organic Chana Masala, Organic Chole Masala)*, Chat masala (Organic Chat Masala)*, Cinnamon (Organic Cinnamon)*, Cinnamon bark (Organic Cinnamon bark)*, Cinnamon Leaves (Organic Cinnamon Leaves)*, Clove whole (Organic Clove whole)*, Cloves (Organic Cloves)*, Coriander (Organic Coriander)*, Coriander seed/whole (Organic Coriander seed/whole)*, Coriander split (Organic Coriander split)*, Cumin (Non-Black -seed quality) (Organic Cumin (Non-Black -seed quality))*, Cumin seed (Organic Cumin seed)*, Cumin whole (Organic Cumin whole/Organic Cumin Whole (Jeera))*, Fennel Seed (Organic Fennel Seed/ Organic Fennel Seeds (Saunf))*, Fennel/saunf (Organic Fennel/Saunf)*, Fenugreek (Organic Fenugreek)*, Fenugreek Crushed (Organic Fenugreek Crushed)*, Fenugreek Seed (Methi Seed) (Organic Fenugreek Seed (Methi Seed))*, Garam Masala (Organic Garam Masala)*, Garlic paste (Organic Garlic paste)*, Ginger Flakes (Organic Ginger Flakes), Ginger paste (Organic Ginger paste)*, Green Cardamom (Bulk) (Organic Green Cardamom (Bulk))*, Green Cardamom (Organic Green Cardamom)*, Green chilli dry (Organic Green Chilli Dry)*, Kalonji/nigella (Organic Kalonji/nigella)*, Kasuri methi (Organic Kasuri methi)*, Mace (Organic Mace)*, Malvani Masala (Organic Malvani Masala)*, Mumbai Pau Bhaji Masala (Organic Mumbai Pau Bhaji Masala)*, Oregano (Organic Oregano)*, Peshawari Tikka Masala (Organic Tikka Masala)*, Saffron (Organic Saffron)*, Seasoning Blends (Pulav Masala (Organic Chivada Masala, Organic Goda Masala, Organic Kolhapuri Masala, Organic Pulav Masala)*), Seasoning Blends (Chicken Curry Masala (Organic Chicken Curry Masala)*), Seasoning Blends (Tandoori Masala (Organic Tandoori Masala)*), Star anise (Organic Star Anise)*, Turmeric Dried (Organic Turmeric Dried)*, Turmeric whole-dried (Organic Turmeric whole-dried)*, White Pepper (Organic White Pepper)*, Yellow mustard (Organic Yellow mustard)*; Processed  Items: Dehydrated Foods (Chilli dried (Organic Chilli Dried)*), Dehydrated Foods (Dried Cardamom (Organic Dried Cardamom)*), Dehydrated Foods (Dried Clove (Organic Dried Clove)*), Dehydrated Foods (Dried garlic (Organic Dried Garlic)*), Dehydrated Foods (Dried mango slices (Organic Dried Mango Slices)*), Dehydrated Foods (Dried nutmeg shelled (Organic Dried Nutmeg Shelled)*), Dehydrated Foods (Garlic Dehydrated (Organic Garlic Dehydrated)*), Dehydrated Foods (Ginger sliced (dried) (Organic Ginger sliced (dried))*), Dehydrated Foods (Ginger whole (dried) (Organic Ginger whole (dried))*), Dehydrated Foods (Mango dried (Organic Mango dried)*), Dehydrated Foods (Tamarind dry (Imli) (Organic Tamarind dry (imli))*); Preservatives/Extracts/Flavors: Herbs (Basil/Tulsi (Organic Basil/Tulsi)*), Herbs (Bay Leaf (Organic Bay Leaf)*), Herbs (Bay leaves/Tejpatta (Organic Bay leaves/Tejpatta)*), Herbs (Cardamom (Organic Cardamom)*), Herbs (Cardamom Large (Black) (Organic Cardamom Large (Black))*), Herbs (Rosemary (Organic Rosemary)*); Other Grains, Pastas and Cereals: Barley (Barley whole (Organic Barley whole/ Organic Barley (of seed quality))*), Barley (Barley- Dehulled (Organic Barley- Dehulled)*), Buckwheat- Dehulled (Organic Buckwheat- Dehulled)*, Cereal (Garlic flakes (Organic Garlic flakes)*), Cereal (Green Chilli Flakes (Organic Green Chilli Flakes)*), Cereal (Maize (Corn) Flake (Organic Maize (Corn) Flake)*), Cereal (Onion flakes (Organic Onion flakes)*), Cereal (Red Chilli Flakes (Organic Red Chilli Flakes)*), Cereal (Rice Flakes (Organic Rice Flakes)*), Cereal (Turmeric flakes (Organic Turmeric flakes)*), Cereal (Wheat Flakes (Organic Wheat Flakes)*), Durum (Durum Wheat (seed quality) (Durum Wheat)*), Maize (Corn) (Organic Maize (Corn))*, Oats (Oats (Flakes) (Organic Oats (Flakes))), Pearl Millet/Bajra (Organic Pearl Millet/Bajra)*, Proso millet (Organic Proso millet Rice)*, Quinoa (Quinoa (Organic Quinoa)*), Ragi (Finger Millet- other than seed) (Organic Ragi (Finger Millet- other than seed))*, Ragi/Finger Millet grain (Organic Ragi/Finger Millet grain)*, Rice (Non-Basmati Rice (Organic Non Basmati Rice, Organic Indrayani Rice, Organic Ambe Mohar Rice, Organic Dosa Rice, Organic Non Basmati Hand Pounded Rice, Organic Black Non-Basmati Rice, Organic Idli Rice, Organic Pooni Rice)*), Rice (Rice hand pounded (Organic Rice hand pounded)*), Rice (Rice Sonamasuri Brown (Organic Rice Sonamasuri Brown)*), Rice (Rice Sonamasuri Hand pound (Organic Rice Sonamasuri Hand pound)*), Rice (Rice-Sona Masuri (Organic Rice-Sona Masuri/ Organic Sona Masuri White Rice/ Organic Raw Rice Sonamasuri, Organic Sonamasuri Polished Rice, Organic Sonamasuri Un Polished Rice, Organic Sonamasuri Semi Polished Rice, Organic Black Rice)*), Rice (Red Rice (Organic Red Rice)*), Rice (Red Rice Paddy (Organic Red Rice Paddy)*), Rice (Organic Broken Rice (Organic Broken Rice/ Organic Non Basmati Broken Rice)*), Rice (Red Flattened Rice (Organic Red Flattened Rice)), Rice (Indian Organic Basmati Rice (Organic Indian Organic Basmati Rice)*), Rice (Indian Organic Brown Basmati Rice (Organic Indian Organic Brown Basmati Rice)*), Rice (Basmati rice (Organic Basmati rice)*), Rice (Basmati rice-brown (Organic Basmati Rice - Brown/ Organic Brown Basmati Rice)*), Rice (Basmati rice-white (Organic Basmati Rice - White/ Organic White Basmati Rice)*), Rice (Beaten rice (Organic Beaten rice)*), Rice (Broken rice (Organic Broken Rice/ Organic Basmati Broken Rice)*), Rice (Brown Rice (Organic Brown Rice/ Organic Non Basmati Brown Rice)*), Sorghum (Jowar (Organic Jowar)*), Sorghum (Dehulled Sorghum (Organic Dehulled Sorghum)*), Sorghum (Sorghum (Organic Sorghum)*), Wheat (Wheat (Organic Wheat)*), Wheat (Wheat (seed quality) (Organic Wheat (seed quality))*); Oils &amp; Oleoresins: Oils (Almond oil (Organic Almond Oil)*), Oils (Black Mustard Oil (Organic Black Mustard Oil)*), Oils (Coconut oil (Organic Coconut oil)*), Oils (Flax Seed oil (Organic Flax Seed oil)*), Oils (Groundnut/Peanut oil (Edible grade) (Organic Groundnut/Peanut oil (Edible grade))*), Oils (Mustard oil (aroma/E. Oil) (Organic Mustard oil (aroma/E. Oil))*), Oils (Mustard Oil (Refined) (Organic Mustard Oil (Refined))*), Oils (Olive oil (Organic Olive oil)*), Oils (Sesame Oil/Gingelly Oil (Sesame Oil/Gingelly Oil)*), Oils (Sunflower oil: edible grade (Organic Sunflower oil: edible grade)*); Nuts/Seeds: Ajwain/Bishop Weed seed (Organic Ajwain /Bishop Weed seed)*, Almonds (Almond (Organic Almond)*), Amaranth seed/ Ram dhana (Organic Amaranth seed/ Ram dhana)*, Cashew Nuts (Cashew kernel (Shelled whole) (Organic Cashew nut - Sweet/ Organic Cashew Whole)*), Cashew Nuts (cashew kernels (w180) (Organic Cashew Kernels (w180))*), Cashew Nuts (cashew kernels (w210) (Organic Cashew Kernels (w210))*), Cashew Nuts (cashew kernels (w240) (Organic Cashew Kernels (w240))*), Cashew Nuts (cashew kernels (w320) (Organic Cashew Kernels (w320))*), Cashew Nuts (Cashew nut (In shell) (Organic Cashew nut (In shell))*), Cashew Nuts (Cashew nut- Chatpata (Organic Cashew nut- Chatpata)*), Cashew Nuts (Cashew nut (roasted) (Organic Cashew nut (roasted))*), Cashew Nuts (Cashew Whole (Organic Cashew Whole)*), Cashew Nuts (Cashew-Broken/Split (Organic Cashew-Broken/Split)*), Chia (Organic Chia)*, Flax Seed (Organic Flax Seed)*, Mustard - Black (Organic Mustard - Black)*, Mustard (Organic Mustard)*, Mustard Seeds (Organic Mustard Seeds)*, Nutmeg (Shelled) (Organic Nutmeg (Shelled))*, Nutmeg Whole (Organic Nutmeg Whole)*, Peanuts (Groundnut/Peanut (Organic Groundnut/Peanut)*), Peanuts (groundnut/peanut roasted (Organic groundnut/peanut roasted)*), Poppy seeds (Organic Poppy Seeds)*, Walnuts (Walnut (Organic walnut)*); Fruits/Vegetables: Amaranth/Amaranthus/Thotakura (Organic Amaranth/Amaranthus/Thotakura)*, Beans (Arhar dal (Red gram/Pigeon pea) (Organic Arhar dal (Red gram/Pigeon pea)/Organic Arhar dal (Tur Dal))*), Beans (Bengal Gram Whole (Organic Bengal Gram Whole/ Organic Bengal Gram (Chana Dal))*), Beans (Black Gram De-husked (Organic Urad Gota/ Organic Black Gram De-husked)*), Beans (black gram split white (Organic black gram split white)*), Beans (black gram white whole (Organic black gram white whole)*), Beans (Black gram/Urd (Vigna sp.) (Organic Black gram/Urd (Vigna sp.))*), Beans (Black Matpe (Black Urad Dal) (Organic Black Matpe (Black Urad Dal))*), Beans (Brown gram/Gram/Chana (Cicer arietinum) (Organic Brown gram/Gram/Chana (Cicer arietinum)/ Organic Brown Chana (Black Chickpea)/ Organic Kala Chana)*), Beans (Chana Dal (Organic Chana Dal)*), Beans (Chickpea/Kabuli Chana (garbanzos) (Organic Chickpea/Kabuli Chana, Organic Chickpea Flour)*), Beans (Urad (phasleolus mungo) Black gram (Organic Urad (phasleolus mungo) Black gram)), Beans (Chitra Kidney beans/Rajma (Phaseolus vulgaris) (Organic Chitra Kidney beans/Rajma (Phaseolus vulgaris))*), Beans (Rajma Masala (Organic Rajma Masala, Organic Punjabi Rajma Masala)*), Beans (Horse gram (Macrotyloma uniflorum) (Organic Horse gram (Macrotyloma uniflorum))*), Beans (Kabuli Chana (Organic Kabuli Chana/Organic Kabuli Chana (White Chickpea))*), Beans (Lentil (Organic Lentil)*), Beans (Lentil dal (Organic Lentil dal)*), Beans (Malka Whole (Organic Malka Whole/Masoor Malka)*), Beans (Masoor (Lens Culinaris) (Organic Masoor (Lens Culinaris))*), Beans (Masoor Dal (Organic Masoor Dal/Organic Masoor Dal Whole (whole with skin))*), Beans (Masoor Dal-Split with out Shell (Organic Masoor Dal-Split with out Shell)*), Beans (Masur/Masoor dhuli (Organic Masur/Masoor dhuli/ Organic Masoor Dal Split (Dhuli))*), Beans (Matki/Moth Bean (Organic Matki/Moth Bean)*), Beans (Moong Dal (Organic Moong Dal)*), Beans (Moong dal (Vigna radiata (Extract) (Organic Moong dal (Vigna radiata (Extract))*), Beans (Moong dal-Split (Organic Moong dal-Split)*), Beans (Moong Dal-Split with shell (Organic Moong Dal-Split with shell)*), Beans (moth dal (Organic moth dal)*), Beans (Moth Dhuli (Organic Moth Dhuli)*), Beans (Red Gram (Organic Red Gram)*), Beans (Roasted bengalgram dal (Organic Roasted Bengalgram dal)*), Beans (Roasted Gram/ chana (Organic Roasted Gram/chana Dal, Organic Roasted Gram/chana Dal flour)*), Beans (Soyabean/Soybean White (Organic Soyabean/Soybean White)*), Beans (Soybean (Organic Soybean)*), Beans (Soybean Whole (Organic Soybean Whole)*), Beans (Split Gram/Chana (Cicer arietinum) (Organic Split Gram/Chana (Cicer arietinum))*), Beans (Urad Dal Black Split (Organic Urad Dal Black Split)*), Beans (Urad Dal Split (Organic Urad Dal Split)*), Beans (Urad Dal-Spilt with Shell (Organic Urad Dal-Spilt with Shell)*), Beans (Urad Dal-Split without Shell (Organic Urad Dal-Split without Shell)*), Beans (Urad dal-Whole(White) (Organic Urad dal-Whole(White))*), Beans (Urad dal/Split Black gram (Organic Urad dal/Split Black gram)*), Beans (Urad dhuli (Organic Urad dhuli/ Organic Urad Mogar/black gram split dehusked)*), Beans (Urad Whole(black) (Organic Urad Whole(black))*), Beans (Green gram split yellow/Moong dal-yellow (Organic Green gram split yellow/Moong dal-yellow)*), Beans (Green Gram Whole (Moong Sabut) (Organic Green Gram Whole (Moong Sabut)/ Organic Moong Whole (Green Gram))*), Beans (Green Moong Dal (Organic Green Moong Dal)*), Leafy Greens (Methi leaf/fenugreek leave (Organic Methi leaf/fenugreek leave)), Mixed Fruit (Tamarind/Imli (T.indica) (Organic Tamarind/Imli (T.indica))*), Pigeon pea (Organic Pigeon pea)*, Pigeon pea/arhar whole (Organic Pigeon pea/arhar whole)*, Raisins/Kismis (Organic Raisins/Kismis)*, Red Chilli (whole) (Organic Red Chilli (whole))*, Vegetables (Onion (Organic Onion)), Vegetables (Green Chilly (Organic Green Chilly)), Vegetables (Garlic (Organic Garlic)*), Vegetables (Green chilli fresh (Organic Green Chilli Fresh)*), Vegetables (Chilli whole (Organic Chilli whole)*), Vegetables (Turmeric Whole-fresh (Organic Turmeric Whole-fresh)*), Vegetables (Green Pepper-fresh (Organic Green Pepper-fresh)*); Dry/Baking Goods: Flours and Meals (Buckwheat Flour (Organic Buckwheat Flour)*), Flours and Meals (Amaranth Flour (Organic Amaranth Flour)*), Flours and Meals (Bajra flour/ Atta (Organic Bajra flour/Atta)*), Flours and Meals (Barley Flour (Organic Barley Flour)*), Flours and Meals (Bengal Gram(Chana)Flour (Organic Bengal Gram(Chana)Flour)*), Flours and Meals (Black Gram Flour (Organic Urad Dal Flour)*), Flours and Meals (Finger millet flour (Organic Finger millet flour)*), Flours and Meals (Gram Flour/Besan (Organic Gram Flour/Besan)*), Flours and Meals (Jowar flour (Organic Jowar Flour)*), Flours and Meals (Lentil Flour (Organic Lentil Flour)*), Flours and Meals (Maida (Organic Maida)*), Flours and Meals (Maize/Corn flour (Organic Maize/Corn flour)*), Flours and Meals (Multi grain Atta (Organic Multi Grain Flour (atta), Organic 7 Multi Grain Flour (atta), Organic 5 Multi Grain Flour (atta), Organic Gluten Free Flour, Organic 4 Multi Grain Flour (atta))*), Flours and Meals (Oat flour (Organic Oat flour)*), Flours and Meals (Ragi Flour (Organic Ragi Flour)*), Flours and Meals (Sattu (Organic Sattu)*), Flours and Meals (Sorghum Flour (Organic Sorghum Flour)*), Flours and Meals (Soyabean/Soybean Flour (Organic Soyabean/Soybean flour)*), Flours and Meals (Suji/Semolina/ Cream of Wheat (Organic Suji/Semolina/ Cream of Wheat)*), Flours and Meals (Wheat flour (Organic Wheat Flour)*), Flours and Meals (Wheat Maida (Organic Wheat Maida)*), Powders (White Pepper powder (Organic White Pepper powder)*), Powders (Yellow Mustard Powder/ ground (Organic Yellow Mustard Powder/ ground)*), Powders (Ajwain Powder (Organic Ajwain Powder)*), Powders (Tamarind Powder (Imli) (Organic Tamarind (Imli) Powder)*), Powders (Turmeric Powder (Organic Turmeric Powder)*), Powders (Red Chilli Powder (Organic Red Chilli Powder)*), Powders (Red onion powder (Organic Red onion powder)*), Powders (Onion (Powder) (Organic Onion Powder)*), Powders (Mustard black powder (Organic Mustard black powder)*), Powders (Mustard Powder (Organic Mustard Powder)*), Powders (Nutmeg Powder (Organic Nutmeg Powder)*), Powders (Mango Flour/Powder (Organic Mango Powder)*), Powders (Mango Powder/ Aamchur (Organic Amchoor Powder/Mango Powder)*), Powders (Mace Powder (Organic Mace Powder)*), Powders (Green Cardamom Powder (Organic Green Cardamom Powder)*), Powders (Jaggery powder (Organic Jaggery Powder, Organic Jaggery Granules)*), Powders (Flax seed powder (Organic Flax seed powder)*), Powders (Garam masala powder - medium (Organic Garam Masala - Medium)*), Powders (Garlic Powder (Organic Garlic Powder)*), Powders (Ginger Powder (Organic Ginger Powder)*), Powders (Black Pepper Powder (Organic Black Pepper Powder)*), Powders (Black Cumin Powder (Organic Black Cumin Powder)*), Powders (Bay leaf powder (Organic Bay leaf powder)*), Powders (Cardamom Powder (Organic Cardamom Powder)*), Powders (Chilli powder (Organic Chilli powder)*), Powders (Cinnamon (Powder) (Organic Cinnamon (Powder))*), Powders (Cinnamon bark powder (Organic Cinnamon Bark Powder)*), Powders (Clove powder (Organic Clove powder)*), Powders (Coffee Powder (Organic Coffee Powder)*), Powders (Coriander Powder (Organic Coriander Powder)*), Powders (Cumin Powder (Organic Cumin Powder)*), Powders (Dehydrated Curry leaves powder (Organic Dehydrated Curry leaves powder)*), Powders (Dehydrated Garlic Flakes (Organic Dehydrated Garlic Flakes)*), Powders (Dehydrated garlic powder (Organic Dehydrated Garlic Powder)*), Powders (Dehydrated Ginger Powder (Organic Dehydrated Ginger Powder)*), Powders (Dehydrated onion powder (Organic Dehydrated onion powder)*), Powders (Dehydrated Tamarind Powder (Organic Dehydrated Tamarind Powder)*), Powders (Fennel Powder (Organic Fennel Powder)*), Powders (Fenugreek Powder (Methi Powder) (Organic Fenugreek Powder)*); Condiments and Sweeteners: Sugar (Sugar (Organic Sugar)*), Sugar (Sugar (Brown/Natural) (Organic Sugar (Brown/Natural))*), Sugar (White Cane Sugar (Organic Sugar-White)*), Sweeteners (Jaggery (Organic Jaggery)*), Sweeteners (Jaggery cube (Organic Jaggery cube)*); Beverage Related Products: Coffee (Coffee beans (Organic Coffee Beans)*), Coffee (Coffee Robusta Cherry (Organic Coffee Robusta Cherry)*), Tea (Green Tea (Organic Green Tea))</t>
  </si>
  <si>
    <t>Other Grains, Pastas and Cereals: Flours and Meals (Meal: Garlic Basil Polenta), Flours and Meals (Meal: Sun-Dried Tomato Polenta), Flours and Meals (Meal: Italian Herb Polenta), Flours and Meals (Meal: Original Flavor Polenta), Flours and Meals (Meal: Polenta), Flours and Meals (Meal: Traditional Italian Polenta), Flours and Meals (Meal: Hatch Pepper Polenta), Flours and Meals (Meal: Basil &amp; Garlic Polenta), Flours and Meals (Meal: Sun Dried Tomato &amp; Garlic Polenta), Flours and Meals (Meal: Traditional Polenta); Condiments and Sweeteners: Honey (Honey: Raw and Unfiltered Honey); Other: Other: Yumbrella</t>
  </si>
  <si>
    <t>Trees/Whole Plant Products/Flowers: Seeds (Corn &amp; popcorn grain), Seeds (Custom cleaned grain &amp; seeds), Seeds (Oat grain &amp; seed), Seeds (Seed &amp; grain screenings), Seeds (Soybean grain &amp; seed), Seeds (Spelt grain &amp; seed); Other: Brokering grain &amp; seed, Cleaning grain &amp; seed, Custom cleaning grain &amp; seeds, Labeling grain &amp; seed, Packaging grain &amp; seed</t>
  </si>
  <si>
    <t>Processed  Items: 100% Organic: Edible lavender flowers, Oregano capsules, Camu camu, Gold maca root, Pearl quinoa, Cacao nibs or raw cacao chunks, Cacao butter, Oil of wild oregano, Matcha green tea, Schisandra extract, Ginger powder, Mix of 7 mushrooms extract, Cacao powder, Organic: Cayenne pepper, Turmeric longa, amla powder, Ashwagandha powder, Triphala, Pea protein, Buckwheat or buckwheat grains, Chai tea, Licorice (licorice root), Beetroot powder, Spirulina tablets, Hemp grain hearts, Cassava flour, Mix of 14 mushroom powders, Himalaya goji berries, Premium spirulina seaweed, Freeze dried acai powder, Blue spirulina powder, Whole Psyllium Husk, Tricolor popcorn, Millet grains without hulls, Optimun 30 superfoods, Cassia cinnamon, Ceylon cinnamon.</t>
  </si>
  <si>
    <t>Trees/Whole Plant Products/Flowers: Flowers; Preservatives/Extracts/Flavors: Herbs, Seed; Other Grains, Pastas and Cereals: Seed; Oils &amp; Oleoresins: Oils, Oils; Nuts/Seeds: Hemp Protein, Hemp Seedcake, Pumpkin Seeds, Sunflower Seed; Health Products: Supplements; Fruits/Vegetables: Beans, Dried Fruit, Vegetable Seed; Dry/Baking Goods: Flours and Meals; Other: Brokering of Organic Products, Chia, Coconut Products, Extracts, Flaxseed, Hemp Seed, Oilseeds, Protein, Sunflower Seed, Sunflower Seedcake</t>
  </si>
  <si>
    <t>Trees/Whole Plant Products/Flowers: Sugar cane, Tapioca ﬁber; Seasonings: Seasoning Blends (Pineapple Coconut Sugar with Ginger Garlic Mixture (Pineapple Ham Seasoning)), Seasoning Blends (Salt and vinegar seasoning), Seasoning Blends (Sweet Chili Seasoning), Seasoning Blends (Thai Chili Lime Seasoning); Processed  Items: Apple powder, Banana blossoms in brine, Banana Clariﬁed Juice, Cassava Curry, Chili Paste, Cocoa nibs, Coconut chips toasted, Coconut Chips Toasted with Sea Salt, Coconut Chips with Coconut Sugar, Coconut chips with testa, Coconut Cream, Coconut cream (22%), Coconut Cream 18% Fat (Multi-Ingredients), Coconut Cream 18% Fat Tetra Pack, Coconut cream 18% fat UHT, Coconut Cream 20% - 22% Fat, Coconut Cream 21% Fat, Coconut Cream 21% Fat Curry Masala, Coconut Cream 21% Fat Lemongrass Ginger, Coconut Cream 21% Fat with Turmeric, Coconut Cream 22% - 24% Fat UHT, Coconut Cream 24% Aseptic (Single), Coconut Cream 24% Fat Tetra Pack, Coconut Cream 24% Fat UHT, Coconut Cream 25% - 30% Fat, Coconut Cream 25% Fat, Coconut Cream 30% Fat, Coconut Cream 30% Fat- Aseptic, Coconut Cream 30% Fat Tetra Pack, Coconut Cream 30% Fat UHT, Coconut Cream 32%t, Coconut Cream Light, Coconut Crunch, Coconut Crunchy Cluster, Coconut custard, Coconut Desiccated, Coconut desiccated chips, Coconut desiccated ﬁne, Coconut desiccated ﬂour, Coconut desiccated medium, Coconut Desiccated Shred, Coconut ﬂakes roasted, Coconut Flakes Toasted, Coconut Flour, Coconut milk (single ingredient), Coconut milk 10%, Coconut Milk 12-14% fat (Single Ingredient), Coconut Milk 13% Fat (Multi Ingredient), Coconut milk 15% fat, Coconut milk 15% fat UHT, Coconut milk 17%, Coconut Milk 17% - 19% Fat Tetra Pack, Coconut Milk 17%- 19% fat (Single), Coconut Milk 17% Fat Tetra Pack, Coconut Milk 17% Fat UHT (Aseptic), Coconut Milk 17% Fat With Turmeric, Coconut milk 18% (multi-ingredient), Coconut Milk 18% Aseptic (Single), Coconut Milk 18% Fat Tetra Pack, Coconut Milk 18% Fat UHT, Coconut Milk 18% Fat UHT with Guar Gum, Coconut Milk 24% Fat UHT with Guar Gum, Coconut milk 5-7% fat (Single ingredient)), Coconut Milk 9%, Coconut Milk Drink, Coconut milk drink caramel, Coconut Milk Drink Mango, Coconut milk drink pineapple, Coconut milk drink sweetened, Coconut milk drink with vanilla, Coconut Milk Green Curry, Coconut Milk Lemongrass and Ginger Curry, Coconut Milk Light, Coconut Milk Light 6% Fat, Coconut Milk Light 7% Fat, Coconut Milk Powder, Coconut Milk Powder (50% fat), Coconut Milk Powder 45% Fat, Coconut Milk Powder 60% Fat, Coconut Milk Red Curry, Coconut Milk Simmer Sauce Green Curry, Coconut Milk Simmer Sauce Red Curry, Coconut Milk Simmer Sauce Yellow Curry, Coconut milk with Ginger and Lemongrass, Coconut Milk with Tetra Pack, Coconut Milk Yellow Curry, Coconut oil - Fractionated, Coconut oil cake, Coconut Pineapple Chutney, Coconut Slimming Latte Mix, Coconut Syrup Powder, Coconut vegan cheese alternate, Coconut Water Powder, Coconut, banana with cassava ﬂour, Condensed coconut milk, Curry Coconut Milk, Dehydrated Foods (Papaya strips dehydrated), Dehydrated Foods (Dehydrated banana coin half cut), Dehydrated Foods (Dehydrated banana halves), Dehydrated Foods (Dehydrated banana powder), Dehydrated Foods (Dehydrated curry leaves), Dehydrated Foods (Dehydrated Curry Leaves Powder), Dehydrated Foods (Dehydrated dragon fruit), Dehydrated Foods (Dehydrated Gotukola (Centella)), Dehydrated Foods (Dehydrated Gotukola TBC), Dehydrated Foods (Dehydrated Marjoram), Dehydrated Foods (Dehydrated Moringa leaves), Dehydrated Foods (Dehydrated ripened jackfruit), Dehydrated Foods (Dehydrated ripened jackfruit with black pepper and sea salt), Dehydrated Foods (Dehydrated Rosemary), Dehydrated Foods (Dehydrated Water Melon), Dehydrated Foods (Dehydrated watermelon chips), Dehydrated Foods (Banana coins dehydrated), Dehydrated Foods (Banana dices dehydrated), Dehydrated Foods (Banana whole dehydrated), Dehydrated Foods (Basil dehydrated), Dehydrated Foods (Mango dehydrated), Dehydrated Foods (Mango dices dehydrated), Dehydrated Foods (Mango halves dehydrated), Dehydrated Foods (Jack fruit dehydrated), Dehydrated Foods (Lime peel dehydrated), Dehydrated Foods (Mango powder dehydrated), Dehydrated Foods (Mango strips dehydrated), Dehydrated Foods (Oregano dehydrated), Dehydrated Foods (Pineapple dehydrated), Dehydrated Foods (Pineapple dices dehydrated), Dehydrated Foods (Pineapple powder dehydrated), Dehydrated Foods (Pineapple rings dehydrated), Dehydrated Foods (Papaya dehydrated), Dehydrated Foods (Papaya dices dehydrated), Dehydrated Foods (Pineapple tidbits dehydrated), Dehydrated Foods (Thyme dehydrated), Desiccated coconut chips pineapple, Desiccated Coconut Chips with Cane Sugar, Desiccated coconut chips with Caramel, Desiccated coconut chips with natural cocoa ﬂavor, Desiccated coconut chips with sea salt and vinegar, Desiccated coconut chips with sea salt pepper and vinegar, Desiccated coconut chips with sweet chili ﬂavor, Desiccated Coconut Chips with Vinegar, Desiccated coconut cubes, Desiccated Coconut Cubes Sweetened, Desiccated coconut ﬂakes, Desiccated coconut shredded with sea salt and onion, Desiccated coconut toasted chips, Desiccated Toasted Chips Sweeten with Coconut Sugar, Dried Apple chunks, Dried Apple cubes, Dried Apple Rings, Dried lemon, Dried Lime, Dried orange, Golden coconut milk, Green Banana Powder, Herbs (Moringa Powder), Herbs (Moringa tea bag cut), Jackfruit Chili Lime, Jackfruit in pineapple juice, Lemongrass Ginger Coconut Milk, Low Fat Desiccated Coconut, Mango powder, MCT oil powder, Moringa Latte Mix, Orange powder, Papaya Powder, Pearl Barley, Peas Split Yellow, Pineapple Chutney, Pineapple crushed, Plain Shredded Jackfruit, Ready to Eat Foods (Sri Lankan Curry and Rice), Ready to Eat Foods (Nutri Coco Sago Smoothie Banana), Ready to Eat Foods (Nutri Coco Sago Smoothie Mango), Ready to Eat Foods (Nutri Coco Sago Smoothie Pineapple), Ready to Eat Foods (Nutri Coco Sago Smoothie Soursop), Ready to Eat Foods (Cashew with Salt and Vinegar), Ready to Eat Foods (Coconut chips coated with coconut syrup), Ready to Eat Foods (Coconut mango chutney), Ready to Eat Foods (Coconut Roll (Crispy Roll) with Mango), Ready to Eat Foods (Coconut Roll (Crispy Roll) with Moringa), Ready to Eat Foods (Coconut Roti), Ready to Eat Foods (Coconut whipping cream chocalate), Ready to Eat Foods (Vegan Shredded Jackfruit Lightly Seasoned), Ready to Eat Foods (Tropical Fruit Cocktail in Fruit Juice), Ready to Eat Foods (Tropical Fruit mix in pineapple juice), Ready to Eat Foods (Turmeric Coconut Latte Mix R2), Ready to Eat Foods (Coconut Chips B.B.Q), Ready to Eat Foods (Coconut Chips with Coconut Cheese and Onion), Ready to Eat Foods (Coconut Chocolate Latte Mix), Ready to Eat Foods (Coconut Clusters Apple Cinnamon), Ready to Eat Foods (Coconut Clusters Chia Seeds), Ready to Eat Foods (Coconut Clusters Chocolate), Ready to Eat Foods (Coconut Protein Chocolate Smoothies with Coconut MCT), Ready to Eat Foods (Coconut Protein Gotukola Smoothie with Coconut MCT), Ready to Eat Foods (Coconut Protein Mango Smoothies with Coconut MCT), Ready to Eat Foods (Coconut Protein Moringa Smoothie with Coconut MCT), Ready to Eat Foods (Coconut Protein Pineapple Smoothies with Coconut MCT), Ready to Eat Foods (Coconut Protein Slimming Smoothie with Coconut MCT), Ready to Eat Foods (Coconut Protein Turmeric Smoothie with Coconut MCT), Ready to Eat Foods (Coconut Protein Watermelon Smoothies with Coconut MCT), Ready to Eat Foods (Coconut Roll), Ready to Eat Foods (Coconut Roll (Crispy Roll) with Chocolate), Ready to Eat Foods (Coconut Roll (Crispy Roll) with Cinnamon), Ready to Eat Foods (Coconut Roll (Crispy Roll) with Cinnamon Ginger), Ready to Eat Foods (Coconut Roll Ginger), Ready to Eat Foods (Coconut Roll Ginger R2), Ready to Eat Foods (Coconut Roll Vanilla), Ready to Eat Foods (Desiccated coconut chips strawberry ﬂavored), Ready to Eat Foods (Jackfruit Bar-B-Que), Ready to Eat Foods (Seasoned Curry (For Sri Lankan Rice and Curry)), Ready to Eat Foods (Pineapple chunks in pineapple juice), Ready to Eat Foods (Pineapple rings in pineapple juice), Ready to Eat Foods (Papaya chunks in pineapple juice), Ready to Eat Foods (Mango Chunks in Mango Juice), Ready to Eat Foods (Mango chunks in pineapple juice), Ready to Eat Foods (Mango chutney), Smoky Jackfruit, Sweet Potato Chips (Veggie Chips), Sweetened Coconut Cubes (Coconut Brownie), Sweetened condensed coconut milk, Taro chips, Toasted Coconut Butter, Toasted Coconut Chips Chocolate, Toasted Coconut Chips Sugar and Sea Salt, Toasted coconut chips with chilli, Toasted coconut chips with testa, Toasted Coconut Clusters, Toasted Coconut Flakes, Toasted Coconut Flakes with Salt and Vinegar, Toasted coconut shredded, UHT Coconut cream (22+-2%:Recipe A), UHT Coconut Milk (17+-2%:Recipe A), Vegan coconut based yoghurt alternate, Vegan Jack fruit Mexican Flavor, Vegan Young Jack fruit black curry, Vegan Young jack fruit curry lemongrass, Vegan Young jack fruit Sour and Chili, Vegan Young Jack fruit Spread, Vegan young jackfruit amino Garlic, Vegan Young jackfruit cheese and onion, Vegan young jackfruit curry red, Vegan young jackfruit curry white, Vegan young jackfruit curry yellow, Vegan Young jackfruit Goulash, Vegan young jackfruit hot and sour, Vegan young jackfruit original, Vegan young jackfruit sweet and smoky, Vegan Young jackfruit Teriyaki, Vegan young jackfruit thai yellow curry, Young Jack Fruit in Amino, Young Jack Fruit in Spice, Young Jack Fruit in Water, Young Jackfruit in Brine and Lime, Young Jackfruit Red Curry R2, Young Jackfruit Yellow Curry R2, Young jakfruit in brine; Preservatives/Extracts/Flavors: Coriander seed, Cumin seed, Curry masala coconut Milk, Fennel seed, Fenugreek seed, ﬂax (linseed), Ginger with Turmeric,Lemongrass,Licorice,Clove,Lemon Peel,Cardamom,Black pepper and Cumin (Daily Detox), Herbs (Hibiscus with Rosehip,Apple, Cinnamon,Licorice,Peppermint (Berry Beautiful)), Herbs (Lime peel tea bag cut), Herbs (Chamomile), Herbs (Dried Lemongrass Leaves), Herbs (Dried Lemongrass sticks), Lemongrass with Ginger,Orange Peel (Immunity Booster), Oregano Paste, Powders (Marjoram powder), Powders (Mace powder/ ground), Powders (Lemon grass powder), Powders (Lime peel powder), Powders (Nutmeg powder/ ground), Powders (Pepper black powder/ ground), Powders (Oregano powder), Powders (Rosemary powder), Powders (Thyme powder), Powders (Cocoa powder), Powders (Coconut Protein Powder), Powders (Coriander Powder), Powders (Cumin Powder), Powders (Fennel Powder), Powders (Ginger powder/ ground), Powders (Fenugreek Powder), Powders (Gotukola powder), Powders (Basil powder), Rooibos with Cocoa and Vanilla (Age Miracle), Seasoning Blends (Basil Marjoram with Herbs Mixture (Italian Seasoning)), Seasoning Blends (Coconut Chili Seasoning), Spices (Dried turmeric slices), Spices (Ginger slices), Spices (Ginger), Spices (Ginger - TBC), Spices (Ginger paste), Spices (Black Pepper Cracked), Spices (Cardamom pod powder/ground), Spices (Cardamom pod whole), Spices (Cardamom seed ground), Spices (Cardamom seed tea bag cut), Spices (Cardamom seed whole), Spices (Chilli Flakes), Spices (Chilli Powder), Spices (Cinnamon), Spices (Cinnamon (TBC)), Spices (Cinnamon chips), Spices (Cinnamon Chips Broken), Spices (Cinnamon powder/ground.), Spices (Cinnamon quilling), Spices (Cinnamon quills), Spices (Cinnamon Quills C4, C5), Spices (Clove powder/ ground), Spices (Clove teabag cut), Spices (Clove Whole), Spices (Pepper), Spices (White pepper cracked), Spices (White Pepper-Coarse Cut), Spices (Turmeric powder/ ground), Spices (Turmeric Whole Dried (Curcuma)), Spices (pepper black tea bag cut), Spices (Pepper black whole), Spices (Pepper white powder/ ground), Spices (Pepper white tea bag cut), Spices (pepper white whole), Spices (Nutmeg Tea Bag Cut), Spices (Nutmeg with shell), Spices (Nutmeg without shell), Spices (Mace whole); Other Grains, Pastas and Cereals: All Purpose Cleaners (Corn), Barley, Chickpea, Oats (Oat), Rice (Mawee Rice), Rice (Pachchaperumal Rice), Rice (Rice basmati brown), Rice (Rice Basmati white), Rice (Suwandel Rice), Rice (Traditional Mawee Yellow Rice), Rice (Hangimuththan Rice), Rice (Heirloom Rice (For Sri Lankan Rice and Curry)), Rice (Kuruluthuda rice), Rice (Kaluhinati Rice); Oils &amp; Oleoresins: Oils (Coconut Oil), Oils (Coconut oil - LCT), Oils (Coconut oil - MCT), Oils (Crude coconut oil), Oils (Extra Virgin Coconut Oil), Oils (Extra Virgin coconut oil (Centrifugation method)), Oils (Extra virgin unﬁltered coconut oil), Oils (Liquid coconut oil), Oils (Puriﬁed Deodorized Coconut Oil (Triple Filtered Coconut Oil)), Oils (Reﬁned coconut oil), Oils (Virgin coconut oil), Oils (Virgin coconut oil Garlic &amp; chili ﬂavored), Oils (Virgin coconut oil turmeric), Oils (Virgin coconut oil with chili), Oils (Virgin coconut oil with cinnamon), Oils (Virgin coconut oil with ginger), Oils (Unreﬁned Coconut Oil), Oils (Coconut oil (RBD)), Oils (Coconut Protein Banana Smoothies with Coconut MCT), Oils (Virgin Coconut Oil Powder); Nuts/Seeds: Cashew Nuts (Cashew), Cashew Nuts (Cashew (For Sri Lnakan Rice and Curry)), Cashew Nuts, Cashew Nuts (Cashew Original); Health Products: Spirulina Crunches, Spirulina Powder, Spirulina Tablet; Fruits/Vegetables: Banana, Citrus (Citrus Fruits Orange Lemon and Lime), Cocoa/Cocoa beans, Coconut, Creamed coconut 65% fat, French Green Lentils, Jakfruit, King coconut, Large Green Lentils, Lentils red, Mango, Pineapple; Dry/Baking Goods: Baking Chips and Bars (Cassava Chips), Flours and Meals (Cassava ﬂour), Flours and Meals (Tapioca Flour), Flours and Meals (Tapioca starch), Flours and Meals (Quinoa ﬂour), Flours and Meals (Quinoa, banana ﬂour), Flours and Meals (Cassava banana ﬂour); Condiments and Sweeteners: Coconut amino, Coconut Amino- R2, Coconut Amino Sweet and Salt, Coconut Amino Sweet and Sour, Coconut amino with smoky Bar-B-Que, Coconut amino with smoky Bar-B-Que hot, Coconut amino with sweet and hot, Coconut amino with sweet chili, Coconut amino with teriyaki, Coconut Bar-B-Que Sauce, Coconut Butter, Coconut chocolate latte mix- medium, Coconut chocolate latte mix-strong, Coconut chocolate sweet spread, Coconut palm sap, Coconut whipping cream vanilla, Dressing (Coconut Whipping Cream), Dressing (Coconut Rice Pudding), Dressing (Coconut spread), Dressing (Coconut sweet spread), Garlic granule, Garlic Granules Roasted, Jam (Onion Jam), Jam (Coconut Chocolate jam), Jam (Coconut pineapple jam), Jam (Coconut Jam), Mixed Condiments (Ayur masala powder), Mixed Condiments (Chili Cumin with Pepper Herbs Mixture (Taco Seasoning)), Mixed Condiments (Chili Cumin with Spicy Onion Mixture (Mexican Seasoning)), Mixed Condiments (Chili Pepper Spicy Garlic Mixture (Hot and Spicy Marinades)), Mixed Condiments (Chili Spicy Garlic with Herbs Mixture (Spicy Chili Seasoning)), Mixed Condiments (Cinnamon Cumin Spicy Chili with Pepper Mixture (Garam Masala Seasoning)), Mixed Condiments (Cinnamon Cumin with Spicy Mixture (Butter Chicken Seasoning)), Mixed Condiments (Curry masala powder), Mixed Condiments (Curry powder roasted), Mixed Condiments (Curry powder unroasted), Mixed Condiments (Coriander Pepper with Spicy Chili Mixture (Sri Lankan Curry Seasoning)), Mixed Condiments (Cumin Coriander with Pepper Mixture (Tikka Masala Seasoning)), Mixed Condiments (Cumin Coriander with Spicy Chili Mixture (Indian Dhal Seasoning)), Mixed Condiments (Garlic Onion Spicy Cumin with Herbs Mixture (Chorizo Seasoning)), Mixed Condiments (Garlic Onion Spicy Pepper with Herbs Mixture (Cajun Seasoning)), Mixed Condiments (Garlic Onion with Herbs Lime Mixture (Veggie Seasoning)), Mixed Condiments (Garlic paste), Mixed Condiments (Garlic Pepper with Herbs Mixture (Greek Souvlaki Seasoning)), Mixed Condiments (Garlic Powder), Mixed Condiments (Ginger Garlic Paste), Mixed Condiments (Curry Leaves Paste (Multi Ingredient)), Mixed Condiments (Garlic Coriander with Pepper Spice Mixture (Montreal Steak Seasoning)), Mixed Condiments (Herb Garlic Seasoning), Mixed Condiments (Spicy Chili Onion and Coconut Sugar with Herbs Mixture (BBQ Rub Seasoning)), Mixed Condiments (Thyme Marjoram herbs with Spice Mixture (Olam Chicken Seasoning)), Mixed Condiments (Vegan red curry gravy), Mixed Condiments (Vegan sweet and smoky sauce), Mixed Condiments (Vegan yellow curry gravy), Mixed Condiments (Turmeric Latte Mix), Mixed Condiments (Turmeric Paste (Multi)), Mixed Condiments (Vegan Bar-B-Que sauce), Mixed Condiments (Vegan Black Curry Gravy), Mixed Condiments (Vegan chili Lime sauce), Mixed Condiments (Vegan Coconut cheese and onion sauce), Mixed Condiments (Onion Garlic with Spicy Chili Herbs Mixture (Peri Peri Seasoning)), Mixed Condiments (Pepper Chili with Spicy Onion Mixture (Nacho Seasoning), Mixed Condiments (Coconut Amino with Smoky Bar-B-Que R2), Mixed Condiments (Coconut Chai Latte Mix), Onion Flakes, Onion Powder, Sweeteners (Rapadure Sugar), Sweeteners (Coconut whipping cream sweeten), Sweeteners (Muscovado sugar), Sweeteners (Coconut Sugar (single ingredient)), Sweeteners (Coconut Icing Sugar), Syrups (Coconut Syrup), Syrups (Agave Syrup), Syrups (Blue Agave Syrup), Syrups (Kithul palm syrup), Syrups (Brown rice syrup 20 - 97 DE), Thai Green Curry, Thai Yellow Curry, Vinegar (Coconut vinegar); Beverage Related Products: Coconut Nectar, Coconut Water, Coconut water concentrate, Coconut water with Tetra Pack, Juice (watermelon juice), Juice (Lime juice), Juice (Mango juice), Juice (Papaya juice), Juice (Pineapple juice), King coconut water, Mixed Drinks (King Coconut Water Mojito), Molasses, Pulp (Watermelon concentrate), Pulp (Pineapple concentrate), Purees (Mango puree), Purees (Pineapple puree), Purees (Ripened jackfruit puree), Purees (Papaya puree), Purees (Banana puree), Purees (Watermelon Puree), Tea (Earl Grey Tea), Tea (Tea black - earl grey ﬂavour), Tea (Black Tea), Tea (Black Tea - Organic), Tea (Black tea with cardamom), Tea (Black tea with chai special), Tea (Black Tea with Cinnamon), Tea (English Breakfast Tea), Tea (FBOP Black tea), Tea (FBOP Green tea), Tea (Green sencha), Tea (Green Tea with Rooibos, Hibiscus and Spices), Tea (Tea black-english breakfast), Tea (Tea green); Other: Coconut charcoal powder, Coconut with Paprika, Turmeric and  Natural Butter Acid Flavor</t>
  </si>
  <si>
    <t>Processed  Items: Apple Cider Vinegar, Apple Fruit Shapes, Earl Grey Tea, Guar Gum Powder, Moringa Latte Mix, Agave Syrup (Dark, Light), Raw Cane Sugar, Sunflower Oil (Refined), Vegan Young Jackfruit (Curry Lemongrass, Black Curry), Arrowroot Powder, Ayur Masala Powder, Banana (Blossoms in Brine, Sweetened Chips, Coins, Dehydrated Dices, Dehydrated Whole, Dehydrated Powder, Puree, Dehydrated Coins), Black Tea, Brown Rice Malt Syrup, Cacao (Butter, Liquor), Cardamom Pod (Powder/Ground, Whole), Cardamom Seed (Powder/Ground, Cut Tea Bag, Whole), Cashews, Chilli (Flakes, Powder), Cinnamon (Powder/Ground, Quilling, Cut Tea Bag), Clove (Powder/Ground, Cut Tea Bag, Whole), Cocoa (Butter, Liquor, Nibs), Coriander (Powder, Seed), Cumin (Powder, Seed), Curry Masala (Coconut Milk, Powder), Curry Leaves (Dehyrated, Dehydrated Powder), Lemongrass (Dehydrated Leaves, Powder), Moringa (Dehydrated Leaves, Dried Leaves, Powder), Ripened Jackfruit (Dehydrated, Dehydrated with Black Pepper &amp; Sea Salt, Puree), Watermelon (Dehyrated, Concentrate, Puree), English Breakfast Tea, Fennel (Powder, Seed), Fenugreek (Powder, Seed), Ginger (Powder/Groundm, Cut Tea Bag), Lentils (Green, Split Red), Green Sencha, Honey, Jackfruit (Dehydrated), Kithul Palm Syrup, Lime Peel (Dehydrated, Cut Tea Bag), Rice (Brown Long Grain, Brown Basmati, White Basmati, White Long Grain), Mace (Powder/Ground, Whole), Mango (Chunks in Mango Juice, Chunks in Pineapple Juice, Dehydrated, Dehydrated Dices, Dehydrated Halves, Powder, Dehydrated Powder, Puree, Dehydrated Strips), Molasses, Nutmeg (Powder/Ground, Cut Tea Bag, Shelled, Unshelled), Basil (Dehydrated), Oregano (Dehydrated), Papaya (Chunks in Pineapple Juice, Dehydrated, Dehydrated Dices), Black Pepper (Powder/Ground, Cut Tea Bag, Whole), White Pepper (Powder/Ground, Cut Tea Bag, Whole, Coarse Cut), Pineapple (Chunks in Pineapple Juice, Concentrate, Dehydrated, Dehydrated Diced, Juice, Dehydrated Powder, Puree, Dehydrated Rings, Rings in Pineapple Juice, Dehydrated Tidbits), Sugar (Rapadural, Cane), Spirulina (Crunches, Powder, Tablet), Sunflower Oil (Unrefined), Tapioca, Tapioca (Flour, Starch), Turmeric (Latte Mix, Powder/Ground, Whole Dried), Vegan Sauce (BBQ, Chilli Lime, Sweet &amp; Smoky), Vegan Jackfruit Mexican Flavour, Vegan Curry Gravy (Red, Yellow), Vegan Shredded Jackfruit Lightly Seasoned, Vegan Young Jackfruit (BBQ, Cheese &amp; Onion, Chilli Lime, Red Curry, White Curry, Yellow Curry, Goulash, Hot &amp; Sour, Sour &amp; Chilli, Fruit Spread, Sweet &amp; Smoky, Teriyaki, Thai Yellow Curry, Origrinal), Young Jackfruit (in Amino, in Brine, in Spice, in Water), Coconut Amino (Regular, Sweet &amp; Salt, Sweet &amp; Sour, Smoky BBQ, Smoky BBQ Hot, Sweet &amp; Hot, Sweet Chilli, Teriyaki), Coconut Charcoal Powder, Coconut Chips (Coated with Coconut Syrup, Toasted, with Coconut Sugar), Coconut Chocolate Latte Mix (Strong, Medium), Coconut Chocolate Sweet Spread, Coconut Cream, Coconut Cream (22% Fat, 30% Fat, 32% Fat, Aseptic 24% Fat, Aseptic 30% Fat, UHT 24%, UHT 30%, UHT 22% Recipe A, UHT 17% Recipe A), Desiccated Coconut, Desiccated Coconut (Chips, Flour, Medium, Shred, Non Fat, Fine, Shredded with Sea Salt &amp; Onion), Coconut Flour, Coconut Sugar (Icing, Single Ingredient, Premium), Light Coconut Milk (10%), Coconut Milk (Single Ingredient), Coconut Milk (10% Fat, 18% Aseptic, 9% Fat, Ginger &amp; Lemongrass, Tetrapak, Condensed, Golden) Coconut Milk Drink, Coconut Milk Drink (Caramel, Mango, Pineapple, Sweetened, Vanilla), Coconut Nectar, Coconut Palm Sap, Coconut Spread, Coconut Spread 2, Coconut Sweet Spread, Coconut Syrup, Coconut Vinegar, Coconut Water, Coconut Water (Concentrate, Tetrapak), Coconut Whipping Cream, Coconut Whipping Cream (Chocolate, Sweetened, Vanilla), Creamed Coconut 65% Fat, Coconut Oil (Crude, Deodorised, Cake, Extra Virigin, Extra Virigin Centrifugation, Extra Virgin Unfiltered, LCT, MCTm, Purified, Purified Deodorised, Virgin, Virgin with Chilli, Virgin with Cinnamon, Virgin with Ginger), Desiccated Coconut Chips (Cane Sugar, Caramel, Natural Cocoa Flavour, Sea Salt &amp; Vinegar, Sea Salt &amp; Pepper &amp; Vinegar, Sweet Chilli Flavour, Vinegar), King Coconut Water, King Coconut Water (Tetrapak), Toasted Coconut (Butter, Chips with Chilli), Coconut Latte Mix (Chai, Chocolate, Slimming), Coconut Cream (18% Fat, Aseptic 18% Fat with Guar Gum, Aseptic 24% Fat with Guar Gum), Coconut Java Sugar, Coconut Milk (13% Fat, 18% UHT with Guar Gum, 24% UHT with Guar Gum, Powder), Coconut Oil (Fractionated, RBD), Coconut Vegan Cheese, Vegan Coconut Based Yoghurt Alternative, Vegan Coconut Cheese &amp; Onion Sauce; Nuts/Seeds: Seeds (Balck Chia Seeds)</t>
  </si>
  <si>
    <t>Other Grains, Pastas and Cereals: Pasta (Dry Pasta Buckwheat Fusilli Organic 250g), Pasta (Dry Pasta Chickpeas Tagliatelle Organic 250g), Pasta (Dry Pasta Corn &amp; Rice Tagliatelle Organic 250g), Pasta (Dry Pasta Green Pea Calamarata Organic 250g), Pasta (Dry Pasta Hemp Caserecce Organic 250g), Pasta (Dry Pasta Oat Maccheroni Organic 250g), Pasta (Dry Pasta Red Lentil Paccheri Organic 250g), Pasta (Dry Pasta Red Lentil Penne Organic 250g), Pasta (Dry Pasta Teff Penne Organic 250g); Oils &amp; Oleoresins: Oils (Apple Vinegar with Mother 250 ml Organic), Oils (Apple Vinegar with Mother 500 ml Organic), Oils (Balsamic Glaze 180g Organic), Oils (Balsamic Vinegar Red W Dispenser 250 ml Organic), Oils (EVOO 3000 mL -Tin Organic), Oils (EVOO 500 mL -16.9 oz. Organic), Oils (EVOO 750 mL -25.4 oz. Organic), Oils (EVOO With Basil- 6.76 oz. Organic), Oils (EVOO With Chili P- 6.76 oz. Organic), Oils (EVOO with Garlic- 6.76 oz. Organic), Oils (EVOO With Lemon- 6.76 oz. Organic), Oils (EVOO With Orange- 6.76 oz. Organic), Oils (EVOO With Rosemary- 6.76 oz. Organic), Oils (Pomegranate Vinegar with Mother 250 ml Organic), Oils (Pomegranate Vinegar with Mother 500 ml Organic); Dairy: Butter (Vegan Butter Organic)</t>
  </si>
  <si>
    <t>Other Grains, Pastas and Cereals: Pasta (Pasta- Small Shells), Pasta (Pasta- Spaghetti), Pasta (Pasta- Angel Hair), Pasta (Pasta- Elbow), Pasta (Pasta- FUSILLI), Pasta (Pasta- Linguine), Pasta (Pasta- Pene Rigati), Pasta (Pasta- Rogatoni)</t>
  </si>
  <si>
    <t>Other: 1121 Indian Organic Traditional Basmati Rice Creamy Sella, Ajwain, Almond, Amaranth Seed / Ram Dhana, Amla Powder, Basmati Brown Rice-1121, Basmati Paddy, Basmati Rice-Brown, Basmati Rice-White, Basmati Rice-White (Pusa-1121), Bay Leaves / Tejpatta, Bengal Gram Whole, Black Gram / Urd (Vigna Sp.), Black Gram Flour, Black Pepper, Black Pepper Powder, Broken Brown Rice, Broken White Rice, Brown Rice, Buckwheat Flour, Cardamom, Cardamom Large (Black), Cardamom Powder, Chana Dal, Chickpea / Kabuli Chana (Garbanzos), Chitra Kidney Beans / Rajma (Phaseolus Vulgaris), Cinnamon, Cinnamon Bark, Clove Whole, Coriander, Coriander Powder, Cowpea, Cumin Whole, Fennel / Saunf, Fenugreek, Flax Seed, Ginger Whole, Gram Flour / Besan, Green Cardamom, Green Gram Whole (Moong Sabut), Groundnut / Peanut Oil (Edible Grade), Groundnut/Peanut Oil (Edible Grade), Indian Organic Basmati White Rice-1121, Indian Organic Long Grain Brown Rice, Indian Organic Non -Basmati White Rice, Indian Organic Non-Basmati Brown Rice, Indian Organic Steamed Basmati Rice Grade A-1121, Indian Organic Traditional Basmati Brown Rice, Indian Organic Traditional Basmati White Rice, Jaggery, Jaggery Powder, Lentil, Maida, Maize / Corn Flour, Maize Grain, Malka Whole, Mango Powder / Aamchur, Masoor Dal, Matki / Moth Bean, Moringa Powder, Mustard Oil (Refined), Non-Basmati Paddy, Non-Basmati Rice, Parboiled Rice, Psyllium Husk (Isobgul), Pumpkin Seeds, Raisins / Kismis, Red Chilli (Whole), Red Chilli Flakes, Red Chilli Powder, Red Kidney Beans / Rajma (Phaseolus Vulgaris), Red Rice, Rice-Sona Masuri / Sona Masuri Brown Rice, Rice-Sona Masuri / Sona Masuri White Rice, Saffron, Sella Basmati Rice, Sesame / Sesamum, Sorghum, Split Pigeon Pea / Arhar / Red Gram, Split Pigeon Pea/Arhar/Red Gram, Sugar (Brown / Natural), Suji / Semolina / Cream of White, Sunflower Oil : Edible Grade, Sunflower Seeds : Of Seed Quality, Turmeric Powder, Urad (Phasleolus Mungo) Black Gram, Urad Dal / Split Black Gram, Urad Dal Split, Urad Dal-Split Without Shell, Walnut, Wheat, Wheat Flour, Wheatgrass Powder, White Cane Sugar, White Pepper Powder, White Type III Basmati Rice</t>
  </si>
  <si>
    <t>Other: 1121 Indian Organic Traditional Basmati Rice Creamy Sella, Basmati Brown Rice-1121, Basmati Paddy, Basmati Paddy (Pusa 1121), Basmati Rice-Brown, Basmati Rice-White, Basmati Rice-White (Pusa-1121) / Indian Organic Basmati White Rice-1121 / Basmati White Rice-1121, Broken Rice Brown / Broken Rice, Broken Rice White / Broken Rice, Indian Organic Long Grain Brown Rice / Brown Rice, Indian Organic Long Grain Creamy Parboiled Rice, Indian Organic Steamed Basmati Rice Grade A-1121, Indian Organic Traditional Basmati Brown Rice, Indian Organic Traditional Basmati White Rice, Non Basmati Brown Rice / Indian Organic Non-Basmati Brown Rice / Brown Rice, Non-Basmati Paddy, Non-Basmati Rice / Indian Organic Non-Basmati White Rice / White Rice, Parboiled Basmati Rice-Golden Sella, Parboiled Rice / Indian Organic Parboiled Rice, Sona Masuri Brown Rice / Rice-Sona Masuri, Sona Masuri Paddy / Paddy-Sona Masuri, Sona Masuri White Rice / Rice-Sona Masuri, White Type III Basmati Rice</t>
  </si>
  <si>
    <t>Other: Arhar Whole/Pigeon Pea, Chickpea/Kabuli Chana, Green Gram/ Moong Whole, Maize Grain, Raw Cotton, Soyabean/Soyabean White</t>
  </si>
  <si>
    <t>Other: Ajwain/Bishops Weed, Amaranth flour, amaranth seed/ ram dhana, Bajra flour/atta, Basmati Rice – White, Black Gram White, Black Gram White whole, Black Pepper, Black Pepper Powder, Chana Dal, Chitra Kidney Beans / Rajma (Phaseolus vulgaris), Coriander Powder, Cowpea White Dal, Fennel/ Saunf, Garam Masala, Green gram whole (Moong sabut), Jaggery Powder, Kidney Beans Brown, Masoor (Lens culinaris), Masoor Dal, Matki / moth bean, Moth Dal, Mustard seeds, Pearl millet / Bajra, Poha/Chivda, Ragi / Finger Millet Grain, Ragi Flour, red kidney beans/rajma (phaseolus vulgaris), Rice Sonamasuri Handpound, Rubia cordifolia Powder, Wheat Maida, White cane sugar, Aloe vera powder, Aloevera Leaves, Amla Powder, amla whole dried, Arjuna Powder, Arrow Root Powder, Ashwagandha powder, Ashwagandha Root, Ashwagandha TBC, Asparagus racemosus Powder, Barley flour, Barley Whole, Basil/Tulsi, Bay Leaf, Black Gram De-Husked,Black Gram Split White, Black Tea, Brahmi/Bacopa monnieri Powder, Broken Rice, Buckwheat (other than seed), Buckwheat flour, Cardamom, Cardamom seed, Centella asiatica (Gotukola) Leaves, Centella asiatica powder, chana black, Chana Masala, Chat Masala, chickpea/kabuli chana(garbanzos), Cinnamon bark, Cinnamon Bark Powder, Cloves, Coconut oil, Coriander seed, CTC Tea - P Dust, Dehydrated Onion Powder, Dilli Rajma Masala, Eucalyptus citridora leaves TBC, foxtail millet, Foxtail Millet Flour, Garlic, Garlic granules, Garlic Powder, Gokshura Powder-Tribulus Terrestris, Gram Flour/Besan, Green Cardamom, Green Cardamom Powder, Green Gram Split Yellow (Moong Dal Yellow), Green Tea, Groundnut/ peanut oil (crude), Groundnut/ Peanut Oil (Edible Grade), Groundnut/Peanut, Haritaki Powder, Henna powder, Hibiscus, Hibiscus rosa-sinensis powder, Hulled Sesame/Sesamum, Jaggery, Kabuli Chana, Kalmegh Powder (Andrographis Paniculata), kalonji/nigella, kodo Millet Flour, Kodo/Kodon Millet, Lemongrass, Little Millet, Mace, Mace Powder, Madras Curry Masala, Maize (Corn), Maize/Corn Flour, mango powder/ aamchur, Manjistha (Rubia cordifolia), Masala Chai, Mint Leaves Dehydrated, Mint Powder, Mix Dal, Moong Dal (Split with Shell), Moong Dal Plain, Moringa Leaves, Moringa Powder, Mucuna pruriens Powder, Mumbai Pau Bhaji Masala, Neem Powder, Nutmeg (In shell), Nutmeg Powder, Oats ( Flakes), Oats flour, Onion Flakes, Onion granules, Paprika Kashmiri, pepper long/pippali(piper longum), Peshawari Biryani masala, Peshawari Tikka Masala, Popped Buckwheat, Proso Millet, Quinoa, Red Chili Powder, Red Chilli Flakes, Red Flattened Rice, Red Rice, Rice flour, Rice Sonamasuri brown, Roasted Gram/Chana, Saffron, Sambhar powder, Sawan / Barnyard Millet, Senna Leaves Powder, Senna Leaves Tea Bag Cut (TBC), Senna pods, sesame/sesamum, Sorghum, Sorghum Flour, Stevia Leaves (Dried), Stevia/stevia rebaudiana powder, Sugar (Brown/Natural), Suji/Semolina/ Cream of Wheat, sunflower oil: edible grade, Tandoori masala, Triphala Powder, Tulsi Powder, Tur/Toor Dal, Turmeric Fingers, Turmeric Powder, Urad Dal / Split Black Gram, Vanilla Bean, Vanilla Powder, Wheat Porridge/ Dalia, Wheatgrass powder, White Pepper Powder, whole wheat atta premium (as wheat flour), Yellow Mustard</t>
  </si>
  <si>
    <t>Other Grains, Pastas and Cereals: Barley, Canola seed, Corn, Millet, Mustards, Sunflower Seed, Wheat</t>
  </si>
  <si>
    <t>Other Grains, Pastas and Cereals: Wheat; Other: Corn, Soybeans</t>
  </si>
  <si>
    <t>Other Grains, Pastas and Cereals: Barley (Whole Grains or Seeds: Hulled Barley), Flours and Meals (Flour: Quinoa), Flours and Meals (Whole Grains or Seeds: Blue Corn), Flours and Meals (Whole Grains or Seeds: Yellow Corn), Flours and Meals (Flour: Oats), Flours and Meals (Flour: Spelt), Flours and Meals (Flour: Rye), Flours and Meals (Flour: Coarse Rye Flour), Flours and Meals (Flour: Buckwheat), Flours and Meals (Flour: Malted Buckwheat Flour), Flours and Meals (Flour: Light Buckwheat Flour), Flours and Meals (Whole Grains or Seeds: Rye Berries), Flours and Meals (Whole Grains or Seeds: Hulled Millet), Flours and Meals (Flour: Millet), Flours and Meals (Flour: Brown Rice Flour), Flours and Meals (Flour: White Rice Flour), Flours and Meals (Flour: Yellow Corn Flour), Flours and Meals (Whole Grains or Seeds: Buckwheat Groat), Flours and Meals (Whole Grains or Seeds: Whole Buckwheat), Flours and Meals (Meal: Blue Cornmeal), Flours and Meals (Meal: Yellow Cornmeal), Flours and Meals (Flour: Whole Wheat Bread Flour - Medium), Flours and Meals (Flour: Maple Smoked Sprouted Wheat Flour), Flours and Meals (Flour: Unbleached White Flour - All Purpose), Flours and Meals (Flour: Maple Smoked Malted Wheat Flour), Flours and Meals (Flour: Malted Caramel Wheat Flour), Flours and Meals (Flour: Alder Smoked Malted Wheat Flour), Flours and Meals (Flour: Pastry Flour), Flours and Meals (Flour: Hard White Wheat Flour), Flours and Meals (Flour: Whole Wheat Bread Flour - Coarse Ground), Flours and Meals (Flour: Alder Smoked Sprouted Wheat Flour), Flours and Meals (Flour: Whole Wheat Bread Flour - Fine), Flours and Meals (Flour: Sprouted Wheat Flour), Flours and Meals (Flour: Malted Wheat Flour), Flours and Meals (Flour: Soft White Wheat), Flours and Meals (Flour: Type 00 Flour), Flours and Meals (Flour: 00 Pizza Flour), Flours and Meals (Whole Grains or Seeds: Spelt), Flours and Meals (Flour: Malted Caramel Barley Flour), Flours and Meals (Flour: Alder Smoked Malted Barley Flour), Flours and Meals (Flour: Maple Smoked Malted Barley Flour), Flours and Meals (Flour: Barley), Flours and Meals (Flour: Malted Barley Flour), Flours and Meals (Flour: Malted Diastatic Barley Flour), Oats (Whole Grains or Seeds: Oat Groats), Quinoa (Whole Grains or Seeds: Quinoa), Rice (Whole Grains or Seeds: Brown Rice (Mill Run)), Wheat (Whole Grains or Seeds: Soft White Wheat), Wheat (Whole Grains or Seeds: Hard White Wheat), Wheat (Whole Grains or Seeds: Hard Red Wheat Berries); Fruits/Vegetables: Pulp (Pulp and Fiber: Berry Beautiful - Cranberry Seed Powder), Pulp (Pulp and Fiber: Berry Beautiful - Meeker Raspberry Seed Powder)</t>
  </si>
  <si>
    <t>Fruits/Vegetables: Berries (Blueberries -IQF, Fresh, Puree, Juice-), Berries (Blackberries -IQF, Fresh, Puree, Juice-), Private Label - Bagged Fruit (Antioxidant Berry Blend, Antioxidant Harvest Blend, Blackberries, Blueberries, Cherries, Cherry Berry Blend, Mango Strawberry Blend, Mango, Peaches, Raspberries, Strawberries, Wild Blueberries), Private Label - Bagged Vegetable (Broccoli Cuts, Broccoli Florets, California Blend, Chinese Stir Fry, Cut Green Beans, Edamame in Pod, Garden Peas, Gardeners Blend, Hearty Blend, Kale, Mixed Vegetables, Peas &amp; Carrots, Mirepoix, Ready to Roast (2 varieties), Riced Cauliflower with Bell Peppers and Onions, Riced Cauliflower with Stir Fry Vegetables, Riced Cauliflower with Sweet Potatoes Kale and Onion, Riced Cauliflower, Riced Sweet Potato, Southwest Potato Hash, Sweet Corn), Private Label - Bagged Vegetable (Potatoes (7 blends)), Private Label - Grains and Vegetables (Powered by Plants (5 Blends with Black Barley, Farro, and Vegetables, Black Beans, Brown Rice, Red Pepper, Sweet Potato, Black Beans, Farro, Spinach))</t>
  </si>
  <si>
    <t>Other Grains, Pastas and Cereals: Alfalfa hay, Grass hay</t>
  </si>
  <si>
    <t>Other: Vegetable Powders, Vegetable Extracts, Herbal Powders, Herbal Extracts, Fruit Powders, Fruit Extracts, Grains, Fruit &amp; Vegetable Blends, Mushrooms, Tremella</t>
  </si>
  <si>
    <t>Animal Feed: Livestock Feed (1001 Broiler Feed - Grower Mash + Corn), Livestock Feed (1004 Chicken &amp; Duck Feed - Layer Mash 16% + Corn), Livestock Feed (1005 Chicken &amp; Duck Feed - Layer Mash 18% + Corn), Livestock Feed (1011 Scratch + Corn), Livestock Feed (2002 Chicken &amp; Duck Feed - Starter Mash), Livestock Feed (2003 Chicken &amp; Duck Feed - Grower Mash), Livestock Feed (2004 Chicken &amp; Duck Feed - Layer Mash 16%), Livestock Feed (2005 Chicken &amp; Duck Feed - Layer Mash 18%), Livestock Feed (2010 3 Grain Scratch), Livestock Feed (2024 Chicken &amp; Duck Feed - Layer Pellets 16%), Livestock Feed (2032 Chicken &amp; Duck Feed - Starter Crumbles), Livestock Feed (2033 Chicken &amp; Duck Feed - Grower Crumbles), Livestock Feed (2034 Chicken &amp; Duck Feed - Layer Crumbles 16%), Livestock Feed (3001 Turkey Feed - Grower Mash + Corn), Livestock Feed (4003 Pig Feed - Grower Mash), Livestock Feed (4004 Pig Feed - Finisher Mash), Livestock Feed (4005 Mini Pig Feed - Young Mash), Livestock Feed (4006 Mini Pig Feed - Adult Mash), Livestock Feed (5001 Goat Feed - Mash), Livestock Feed (6001 Sheep Feed - Mash), Livestock Feed (Barley), Livestock Feed (Cluckin' Good Herbs), Livestock Feed (Corn), Livestock Feed (Cracked Corn), Livestock Feed (Cracked Peas), Livestock Feed (Oats), Livestock Feed (Peas), Livestock Feed (Wheat), Livestock Feed (2025 Chicken &amp; Duck Feed - Layer Pellets 18%)</t>
  </si>
  <si>
    <t>Animal Feed: Barley, Livestock Feed (Peas, Cracked Peas, Cracked Corn, Corn), Livestock Feed (2010 3 Grain Scratch, 5001 Goat Feed - Mash, 2032 Chicken &amp; Duck Feed - Starter Crumbles, 1011 Scratch + Corn, 2034 Chicken &amp; Duck Feed - Layer Crumbles 16%, 2005 Chicken &amp; Duck Feed - Layer Mash 18%, 1001 Broiler Feed - Grower Mash + Corn, 1005 Chicken &amp; Duck Feed - Layer Mash 18% + Corn, 2002 Chicken &amp; Duck Feed - Starter Mash, 3001 Turkey Feed - Grower Mash + Corn, 2024 Chicken &amp; Duck Feed - Layer Pellets 16%, 4003 Pig Feed - Mash, 2003 Chicken &amp; Duck Feed Feed - Grower Mash, 1004 Chicken &amp; Duck Feed - Layer Mash 16% + Corn, 2004 Chicken &amp; Duck Feed - Layer Mash 16%, 6001 Sheep Feed - Mash, 2033 Chicken &amp; Duck Feed - Grower Crumbles, 2025 Chicken &amp; Duk Feed - Layer Pellets 18%), Livestock Feed (4006 Mini Pig Feed - Adult Mash; 4005 Mini Pig Feed - Young Mash), Livestock Feed (9800 Herbs), Oats, Wheat</t>
  </si>
  <si>
    <t>Other: Barley (Baby Pearl Barley), Barley (Black Barley), Barley (Flour), Barley (Hulless Barley), Barley (Pearl Barley, Coix Seed (Job's Tears)), Barley (Pressed Barley), Barley (Purple Barley), Barley (Tamalpais Hulless Barley), Barley (Tri - Color), Barley (Whole Barley), Beans (Adzuki), Beans (Black), Beans (Black Bean with Green Kernel), Beans (Black Garbanzo Beans), Beans (Mixed Beans), Beans (Mung, Peeled), Beans (Peeled Mung Bean), Beans (Red Kidney Beans), Beans (Soybeans), Beans (Whole Green Pea), Beans (Whole Mung Bean), Buckwheat (Flour), Buckwheat (Roasted Hulled Buckwheat Tea), Chili Pepper (Red, Sun-Dried), Eggplant (Sun-Dried Eggplant), Feed (Barley Flakes - 2lb, 5lb), Feed (Millet - 2lb, 5lb), Feed (Oat Groats - 2lb, 5lb), Feed (Pumpkin Kernel Seed - 2lb, 5lb), Feed (Quinoa - 2lb, 5lb), Feed (Sorghum - 2lb, 5lb), Flax Seed (Roasted Golden), Grains (Farro), Grains (Glutinous Millet), Grains (Glutinous Sorghum), Grains (Hulled Millet), Grains (Kamut), Grains (Milo Sorghum Flour), Grains (Mixed 8 Grains), Grains (Quinoa), Grains (Quinoa (Multicolor)), Grains (Rye Berries), Grains (Spelt Berries), Herbs (Basil Leaves Crushed), Herbs (Basil Whole Leaves), Herbs (Crushed Lemon Thyme), Herbs (Garlic Powder), Herbs (Mexican Oregano Crushed), Herbs (Mexican Oregano Whole), Herbs (Mint Crushed), Herbs (Mint Whole), Herbs (Oregano Crushed), Herbs (Rosemary Crushed), Herbs (Rosemary Whole), Herbs (Thyme Crushed), Herbs (Thyme Whole), Jujubes (Sun-Dried), Lentils (Black, Brown, French Green, Green, Red), Millet Flour, Oats (Oat Flour (white)), Oats (Regular Rolled Oats), Oats (Steel Cut Oats), Oats (Thick Rolled Oats), Oats (Whole Oat Groats), Quinoa Flour (White), Radishes (Sun-Dried Radish), Radishes (Sun-Dried Radish Leaves), Rice (Black), Rice (Haiga Mai (with Rice Germ)), Rice (Brown), Rice (Brown) (15 lb), Rice (Short Grain White) (Sushi), Rice (Short Grain) (15 lb, 30 lb), Rice (Sweet Brown), Rice (Sweet Brown), Rice (Sweet White), Rice (White), Rice Blends (50/50 Blend: Brown Rice &amp; Sweet Brown Rice), Rice Blends (7030 Mixed Brown Rice &amp; Brown Sweet Rice), Rice Blends (Beta Glucan Mixed Rice), Rice Blends (Gaba Mixed Rice), Rice Blends (Organic Mixed Barley &amp; Black Rice), Rice Blends (Organic Mixed Rice), Rice Blends (Organic Sun-Dried Kale Rice), Rice Blends (Organic Sun-Dried Radish Leave Rice), Rice Flour (Brown), Rice Flour (Sweet), Rice Flour (White), Seeds (Alfalfa), Seeds (Broccoli), Seeds (Caraway), Seeds (Crimson Clover), Seeds (Moringa Seeds), Seeds (Perilla, Raw), Seeds (Perilla, Roasted), Seeds (Popcorn), Seeds (Radish ), Seeds (Roasted Pumpkin Seed), Sesame Seed (Hulless Roasted Sesame Seeds), Sesame Seed (Natural Black Sesame Seed), Sesame Seed (Roasted Black Sesame Seed), Sesame Seed (Roasted Sesame Seed), Sesame Seed (Sea Salted Sesame), Sesame Seed (Sesame Seed), Spice Blends (Everything Bagel Seasoning), Spices (Onion Powder), Sugar (Golden Light), Tea (Barley - Light Roasted, Dark Roasted, Hulless), Tea (Bitter Melon), Tea (Black Bean), Tea (Brown Rice), Tea (Corn), Tea (Ruby Beet), Zucchini (Sun-Dried Zucchini)</t>
  </si>
  <si>
    <t>Seasonings: Herbs (Ground: Aji Molido Ground Chili Pepper), Herbs (Ground: Crushed Chili Pepper), Herbs (Dried: Cosmic Apple Farms - Organic Beef Bratwurst Seasoning), Herbs (Dried: Vital Choice - Salmon Patty Mix), Herbs (Dried: Barlean's - Organic Pumpkin Spice Seasoning), Herbs (Dried: Cosmic Apple Farms - Organic Weiner Seasoning), Herbs (Ground: Paprika), Herbs (Ground: Onion Powder), Herbs (Ground: Garlic Powder), Herbs (Ground: Black Pepper 14 Mesh); Other Grains, Pastas and Cereals: Seeds (Whole Grains or Seeds: Flax Seed), Seeds (Whole Grains or Seeds: Nature's Path - Organic Flax Plus Flaxseed), Seeds (Milled Grains or Seeds: Nature's Path - Organic Flax Plus Flaxseed Meal), Seeds (Milled Grains or Seeds: Flax Seed); Dry/Baking Goods: Baking Mixes (Baking Ingredients: Garvey's - Organic Plain Scone Mix), Baking Mixes (Baking Ingredients: Garvey's - Organic Pancake &amp; Waffle Mix), Baking Mixes (Baking Ingredients: Garvey's - Organic Brown Bread Mix), Baking Mixes (Baking Ingredients: Garvey's - Organic Irish Soda Bread Mix); Bread/Bakery/Snacks: Cereal (Prepared Goods: Nature's Path - Organic Q'ia Cranberry Vanilla), Cereal (Prepared Goods: Nature's Path - Organic Q'ia Original)</t>
  </si>
  <si>
    <t>Other: Teff Grain and Vegetable Seed</t>
  </si>
  <si>
    <t>Other: Acidified Black Beans IQF, Acidified Farro Black Bean Blend -IQF, Acidified Millet White Red Black Quinoa Blend -IQF, Acidified Navy Beans Barley Blend -IQF, Acidified Red Lentil Garbanzo Bean Blend -IQF, Acidified Steel Cut Oats Kamut Blend -IQF, Acidified Wheat Berries -IQF, Adzuki Beans, Barley Hulled-IQF, Basmati Rice, Beans - Garbanzo Split (Chickpeas) IQF, Beans - Small Red Beans, Black Beans IQF, Black Eyed Peas IQF, Black Lentils IQF, Black Quinoa IQF, Brown Rice (35) Barley (35) Millet (30) Blend -IQF, Brown Rice IQF, Buckwheat IQF, Dark Red Kidney Beans IQF, Farro (Spelt) IQF, French Green Lentils IQF, Garbanzo Beans IQF, Great Northern Beans, Green Lentils IQF, Kamut IQF, Lentils - Brown IQF, Light Red Kidney Beans - IQF, Lima Beans IQF, Long Grain Parboiled White Rice, Long Grain White Rice IQF, Medium Grain Brown Rice IQF, Millet IQF, Navy Beans IQF, Pasta Casarecce, Pasta Sedani, Pink Beans IQF, Pinto Beans IQF, Red Lentils IQF, Red Quinoa IQF, Rice - Black IQF, Rice - Brown Rice (85) Red Rice (10) Wild Rice (5) Blend, Rice - Red Rice, Steel Cut Oats IQF, Tri Color Quinoa IQF, Wheat Berries IQF, White and Red Quinoa Blend IQF, White Kidney Beans IQF, White Quinoa IQF, Wild Rice, Yellow Lentils IQF, Yellow Lentils, Split IQF</t>
  </si>
  <si>
    <t>Other: Organic Aged Balsamic Vinegar of Modena, Organic Ancient Grain Wholewheat Busiate 250g, Organic Ancient Grain Wholewheat Busiate 375g, Organic Ancient Grain Wholewheat Lumaconi 250g, Organic Ancient Grain Wholewheat Orzo 375g, Organic Ancient Grain Wholewheat Paccheri 250g, Organic Ancient Grain Wholewheat Spaghetti 375g, Organic Arborio Rice 500g, Organic Arrabbiata Pasta Sauce 680g, Organic Basil Pasta Sauce 680g, Organic Black Rice 500g, Organic Bucatini Pasta 375g, Organic Calamarata Pasta 375g, Organic Carnaroli Rice 500g, Organic Chopped Garlic 150g, Organic Conchiglie Pasta 375g, Organic Conchiglioni Pasta 454g, Organic Eggplant Pasta Sauce 680g, Organic Fusilli Pasta 375g, Organic Linguine Pasta 375g, Organic Marinara Pasta Sauce 680g, Organic Matured Balsamic Vinegar of Modena, Organic Minced Garlic 150g, Organic Paccheri Pasta 375g, Organic Penne Pasta 375g, Organic Pizza Sauce 350g, Organic Puttanesca Pasta Sauce, Organic Spaghetti alla Chitarra Pasta 375g, Organic Sundried Tomatoes, Organic Tagliatelle Pasta 375g, Organic Toscani Pasta 375g, Organic Wild Red Rice 500g</t>
  </si>
  <si>
    <t>Other: Green Coffee, Parchment coffee, Cacao grains, Ground roasted coffee, Roasted coffee</t>
  </si>
  <si>
    <t>Other: Ajwain, Ajwain Powder, Almond, Aloe Vera Juice, Amaranth Flour, Amaranth Seed / Ram Dhana, Amla Juice, Amla Powder, Amla Whole Dried, Arhar Dal (Red Gram/Pigeon Pea), Ashwagandha Powder, Ashwagandha Root, Bajra Flour / Atta, Bajra Porridge / Dalia, Barley Flour, Barley Porridge / Dalia, Barley Whole / Barley Grain, Basil Seeds, Basmati Paddy (Tararoi), Basmati Rice, Bay Leaves / Tejpatta, Beaten Rice, Beet Root Powder, Bengal Gram (Chana) Flour, Bengal Gram Whole, Black Cumin Powder / Nigella Powder / Kalonji Powder, Black Gram / Urd (Vigna sp.), Black Gram Flour, Black Gram White Whole (Urad Gota), Black Mustard Oil, Black Mustard Seed, Black Pepper, Black Pepper Powder, Broken Rice, Brown Gram / Gram / Chana (Cicer arietinum), Brown Mustard, Brown Mustard Oil, Brown Rice Flour, Buckwheat (Other Than Seed), Buckwheat- Dehulled, Buckwheat Flour, Cane Sugar Cubes / Sugar Cube / Mishri, Cardamom, Cardamom Powder, Cashew Kernels (W240), Cashew Kernels (W320), Cashew Whole, Cashew-Split, Castor (Other Than Seed Quality), Castor Meal, Castor Oil, Chana Dal, Chia Seed, Chickpea / Kabuli Chana (Garbanzos), Chitra Kidney Beans / Rajma (Phaseolus Vulgaris), Cinnamon, Cinnamon (Powder), Clove, Clove Powder, Cluster Beans / Guar, Coconut Oil, Coriander, Coriander Powder, Coriander Seed / Whole, Cowpea / Lobia Whole (V.unguiculata / Sinensis), Cowpea Red, Cowpea White Dal, CTC Tea, Cumin Powder, Cumin Whole, Curry Powder, Dehulled Pearl Millet, Dehydrated Garlic Powder, Dehydrated Ginger Powder, Dehydrated Mango, Dehydrated Onion Powder, Dehydrated Tamarind Powder, Dehydrated Tomato Powder, Dried Cardamom, Dried Clove, Dried Curry Leaves, Dried Mango Slices, Drum Stick Powder, Drumstick, Extra Virgin Coconut Oil, Fennel / Saunf, Fennel Powder, Fenugreek, Fenugreek Crushed, Fenugreek Powder (Methi Powder), Flaxseed, Flaxseed Oil, Garam Masala, Garlic, Garlic Flakes, Ginger Flakes, Ginger Fresh, Ginger Sliced (Dried), Gluten Free Atta, Gluten Free Dalia, Gram Flour / Besan, Green Cardamom, Green Cardamom Powder, Green Gram / Moong Dhuli, Green Gram Flour, Green Gram Whole (Moong Sabut), Green Tea, Groundnut / Peanut / Groundnut Kernals, Groundnut / Peanut Oil (Edible Grade), Groundnut Meal, Idly Rava, Indian Organic Basmati Rice, Indian Organic Brown Basmati Rice, Jaggery, Jaggery Powder, Jowar Porridge, Kalonji / Nigella / Black Cumin, Kasuri Methi, Lemon Powder, Lentil, Mace, Mace Powder, Maize (Corn) / Maize Grain, Maize / Corn Flour, Maize / Corn Porridge (Dalia), Mango Dried, Mango Powder / Aamchur, Masoor Dal, Matki / Moth Bean, Mint / Mentha, Mint Powder, Mixed Grain Porridge (Multi Grain Dalia), Moong Dal, Moong Dal-Split, Moth Dhuli, Multi Grain Atta, Mustard, Mustard - Black, Mustard Cake, Mustard Oil, Mustard Powder, Non Basmati Paddy, Non-Basmati Rice, Nutmeg Powder, Nutmeg Whole, Oat Flour, Oats (Flakes), Oats (Other Than Seed / Grain), Onion (Dried), Onion Flakes, Orange Dry Peel, Paprika Powder (Capsicum Annum), Pea- Dried, Pea Pulse (Pisum Sativum), Pearl Millet / Bajra, Poha / Chivda, Poha Flattened Rice / Flattened Rice, Psyllium Husk (Isobgul), Psyllium Husk Powder, Psyllium Seed (Isobgul), Psyllium Seed Powder, Pumpkin Seeds, Pumpkin Seeds- Dehulled, Quinoa, Quinoa Flour, Ragi / Finger Millet Grain, Ragi Flour, Raisins / Kismis, Rapeseed Meal, Rapeseed Oil, Red Chilli (Whole), Red Chilli Flakes, Red Chilli Powder, Red Flattened Rice, Red Kidney Beans / Rajma (Phaseolus Vulgaris), Red Lentil, Red Rice, Rice Flour, Rice Porridge / Dalia, Saffron, Sattu Atta, Shahi Jeera / Cumin, Sorghum / Jowar Whole, Sorghum Flour / Jowar Flour, Star Anise, Sugar, Sugar (Brown / Natural), Suji / Semolina / Cream of Wheat, Sunflower Meal, Sunflower Oil: Edible Grade, Sunflower Seed, Sunflower Seed Oil / Sunflower Oil, Sunflower Seeds- Dehulled, Turmeric Dried, Turmeric Flakes, Turmeric Fresh, Turmeric Powder, Urad Dal Split, Urad Dhuli, Virgin Coconut Oil, Walnut, Watermelon Seed, Watermelon Seed Dehulled, Wheat, Wheat Bran, Wheat Flour, Wheat Maida, Wheat Porridge / Dalia, White Pepper, White Pepper Powder, Yellow Mustard, Yellow Mustard Powder</t>
  </si>
  <si>
    <t>Other: Long Grain Brown Rice, Long Grain Brown Rice 4%, Long Grain Brown Rice Flour, Long Grain Brown Rice Mill Run, Long Grain White Rice, Long Grain White Rice 4%, Long Grain White Rice Mill Run, Regenerative Organic Certified Heat Treated Long Grain Brown Rice Flour, Regenerative Organic Certified Heat Treated Long Grain White Rice Flour, Regenerative Organic Certified Long Grain White Rice Flour</t>
  </si>
  <si>
    <t>Other: Aveia em grãos / Oat Grains, Farinha de arroz / Rice Flour, Farinha de centeio / Rye flour, Farinha de cevada / Barley Flour, Flocos de centeio / Rye Flakes, Flocos de cevada / Barley flakes, Wheat flour, Whole corn flour, Whole wheat flakes, Whole wheat flour</t>
  </si>
  <si>
    <t>Other Grains, Pastas and Cereals: Custom Grain Cleaning, Conditioning, Packaging, Custom Pearling; Animal Feed: Livestock Feed; Other: Custom Seed Cleaning, Conditioning, Packaging</t>
  </si>
  <si>
    <t>Seasonings: Just Organik Clove whole--4.76 oz, Just Organik Coriander (Dhania)Whole--250 g, Just Organik Coriander Powder--7 oz., Just Organik Fennel--5.29 oz., Just Organik Green Cardamom--4.23 oz, Just Organik Mustard seeds--7.93 oz., Just Organik Tamarind--1lb, 2lb, 500 g, 1 kg, Just Organik True Cinnamon Sticks--1.17 oz., Just Organik Turmeric Powder--7 oz., Just Organik Yellow Mustard--8.0oz, Seasoning Blends, Seasoning Blends, Seasoning Blends, Seasoning Blends; Other Grains, Pastas and Cereals: Barley, Barley,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Just Organic Besan--2lb, Just Organik Arhar Dal--1lb, 2lb, 500 g, 1 kg, Just Organik Arhar--1lb. 2lb, Just Organik Bajra porridge/Dalia--1lb, 2lb, 500 g, 1 kg, Just Organik Barnyard Millet --1lb, 2lb, 500 g, 1 kg, Just Organik Black Eyed Beans (Lobiya)--1 lb, 2 lb, 500g, 1kg, Just Organik Black Gram White--1 lb, 2 lb, 500g, 1kg, Just Organik Buckwheat Flour--1 lb, 2 lb, 500g, 1kg, Just Organik Chana Besan--1 lb, 2 lb, 500g, 1kg, Just Organik Chana Dal--1 lb, 2 lb, 500g, 1kg, Just Organik Chickpea/Kabuli (White Chickpea)--1 lb, 2 lb, 500g, 1kg, Just Organik Chickpea/Kabuli Chana--1 lb, 2 lb, 500g, 1kg, Just Organik Cowpea Red--1 lb, 2 lb, 500g, 1kg, Just Organik Cowpea--1 lb, 2 lb, 500g, 1kg, Just Organik Dalia Wheat--1 lb, 2 lb, 500g, 1kg, Just Organik Fenugreek Powder (Methi Powder)--7 oz., Just Organik Foxtail Millets--1 lb, 2 lb, 500g, 1kg, Just Organik Green Moong Whole--1lb, 2lb, 500 g, 1 kg, Just Organik Green Peas--2lb, Just Organik Idly Rava--1lb, 2lb, 500 g, 1 kg, Just Organik Jowar Porridge(Dalia)--1lb, 2lb, 500 g, 1 kg, Just Organik Jowar Porridge(Jowar Split)--1lb, 2lb, 500 g, 1 kg, Just Organik Jowar Sorghum--1lb, 2lb, 500 g, 1 kg, Just Organik Jowar Whole--1lb, 2lb, 500 g, 1 kg, Just Organik Kapuli Chana (White Chickpea)--1 lb, 2 lb, 500g, 1kg, Just Organik Kodo Millet Flour--1lb, 2lb, 500 g, 1 kg, Just Organik Kodo Millet--1lb, 2lb, 500 g, 1 kg, Just Organik Little millets--1 lb, 2 lb, 500g, 1kg, Just Organik Maize--1lb, 2lb, 4lb, Just Organik Malka (Whole)--1lb, 2lb, 4lb, Just Organik Masoor Dal (Red Lentils Split)--1lb, 2lb, 500 g, 1 kg, Just Organik Masoor Dal--1lb, 2lb, 500 g, 1 kg, Just Organik Masoor Malka Mogar--1lb, 2lb, 500 g, 1 kg, Just Organik Masoor--1lb, 2lb, 4lb, Just Organik Millet--1 lb, 2 lb, 500 g, 1kg, Just Organik Mix Dal--1 lb, 2 lb, 500 g, 1kg, Just Organik Moong Dal Dhuli--1 lb, 2 lb, 500 g, 1kg, Just Organik Moong Dal Mogar--1 lb, 2 lb, 500 g, 1kg, Just Organik Moong Dal Split--1 lb, 2 lb, Just Organik Moong Dal Split--1 lb, 2 lb, 500 g, 1kg, Just Organik Moong Dal--1 lb, 2 lb, 500 g, 1kg, Just Organik Moong Dhuli--2 lb, 4lb, Just Organik Moong Green Split--1 lb, 2 lb, 500 g, 1kg, Just Organik Moong Whole--1 lb, 2 lb, 500 g, 1kg, Just Organik Moth Dal--1 lb, 2 lb, 500 g, 1kg, Just Organik Moth Dhuli--1 lb, 2 lb, 500 g, 1kg, Just Organik Multi Millet Melange (Millet Porridge)--1 lb, 2 lb, 500 g, 1kg, Just Organik Multi Millet Melange (Shree Anna Dalia)--1 lb, 2 lb, 500 g, 1kg, Just Organik Oat Flakes--1 lb, 2 lb, Just Organik Panchratan Dal (Mix Dal)--1lb, 2lb, 500 g, 1 kg, Just Organik Panchratan Dal--1lb, 2lb, 500 g, 1 kg, Just Organik Pearl Millet (Bajra)--1lb, 2lb, 500 g, 1 kg, Just Organik Pearl Millet Porridge (Bajra Dalia)--1lb, 2lb, 500 g, 1 kg, Just Organik Pearl Millet--1lb, 2lb, 500 g, 1 kg, Just Organik Poha--1lb, 2lb, 500 g, 1 kg, Just Organik Proso Millet--1lb, 2lb, 500 g, 1 kg, Just Organik Ragi (Finger Millet)--1lb, 2lb, 500 g, 1 kg, Just Organik Ragi (Processed Finger Millet)--1lb, 2lb, 500 g, 1 kg, Just Organik Rajma (Red Kidney Beans)--1lb, 2lb, 500 g, 1 kg, Just Organik Rajma Chitra--1lb, 2lb, 500 g, 1 kg, Just Organik Rajma Jammu-1lb, 2lb, 500 g, 1 kg, Just Organik Rajma Red--1lb, 2lb, 500 g, 1 kg, Just Organik Red Chilli (whole)--1lb, 2lb, 500 g, 1 kg, Just Organik Rice Poha--1lb, 2lb, 500 g, 1 kg, Just Organik Roasted Chana Dal--1lb, 2lb, 10lb, Just Organik Roasted Gram (Chana)--1lb, 2lb, 500 g, 1 kg, Just Organik Roasted Porridge/Dalia--1lb, 2lb, 500 g, 1 kg, Just Organik Sattu--1lb, 2lb, Just Organik Soyabean Black--1lb, 2lb, 500 g, 1 kg, Just Organik Soyabean White--1lb, 2lb, 500 g, 1 kg, Just Organik Split Lentil--2lb, Just Organik Suji (Semolina)--1lb, 2lb, 500 g, 1 kg, Just Organik Tur Dal (Pigeon Split Pea)--1lb, 2lb, 500 g, 1 kg, Just Organik Tur Dal--1lb, 2lb, 500 g, 1 kg, Just Organik Urad Black Split--1lb, 2lb, 500 g, 1 kg, Just Organik Urad Black Whole--1lb, 2lb, 500 g, 1 kg, Just Organik Urad Dal Split (Urad Chilka)--1lb, 2lb, 500 g, 1 kg, Just Organik Urad Gota (White Whole)--1lb, 2lb, 500 g, 1 kg, Just Organik Urad White Split--1lb, 2lb, 500 g, 1 kg, Just Organik Urad Whole (Black Dal)--1lb, 2lb, 500 g, 1 kg, Just OrganikBuckwheat (hulled)--1 lb, 2 lb, 500g, 1kg, Quinoa, Rice, Rice, Rice, Rice, Rice, Rice, Rice, Rice, Rice, Rice, Rice, Rice, Seasoning Blends, Sugar; Oils &amp; Oleoresins: Oils, Oils, Oils, Oils; Nuts/Seeds: Almonds, Cashew Nuts, Packaged Snacks and Chips, Packaged Snacks and Chips, Peanuts; Condiments and Sweeteners: Sugar, Sugar, Sugar, Sugar, Sugar, Sugar; Other: Importing Organic Products</t>
  </si>
  <si>
    <t>Other: Baby Snacks (Mighty Puffs Beet + Strawberry), Baby Snacks (Mighty Puffs Carrot + Broccoli), Baby Snacks (Mighty Puffs Spinach + Pea), Corn Cereal (Gluten Free Brownie Crunch), Misc Cereal (59200-O High Fiber Twig), Misc Cereal (Berry Vanilla Puffs), Misc Cereal (Blueberry Clusters), Misc Cereal (Cinnamon Oat Clusters ), Misc Cereal (Cinnamon Roll Cereal), Misc Cereal (Cocoa Bunnies), Misc Cereal (Cocoa Clusters), Misc Cereal (Cocoa Crispy Rice), Misc Cereal (Fruitful O's), Misc Cereal (Fruity Crispy Rice), Misc Cereal (Gluten Free Mini Cookies 'n' Crème Cerea), Misc Cereal (Gluten Free Mini Fruitfuls Cereal), Misc Cereal (Hearty Morning), Misc Cereal (Honey Oat Crunch), Misc Cereal (Honey Oat Crunch Cereal with Almonds), Misc Cereal (Honey Vanilla Crunch ), Misc Cereal (No Added Sugar Blueberry Almond Crunch), Misc Cereal (No Sugar Added Cinnamon Apple), Misc Cereal (No Sugar Added Mixed Berry ), Misc Cereal (No Sugar Added Vanilla Crisp), Misc Cereal (Purely O's), Misc Cereal (Raisin Bran), Misc Cereal (Whole Grain and Kernza Wheat Flakes with Honey Oat Clusters)</t>
  </si>
  <si>
    <t>Other Grains, Pastas and Cereals: Rice (Organic Rice (Baeksemi))</t>
  </si>
  <si>
    <t>Other: Apple Cider Vinegar, Baby Food - Meat &amp; Vegetable (4 Count Multi-Pack Grass Fed Beef and Free Range Chicken), Baby Food - Meat &amp; Vegetable (Beef + Ginger Made With Pea, Bell Pepper And Broccoli (MWO)), Baby Food - Meat &amp; Vegetable (Beef Pot Roast with Vegetables &amp; Herbs), Baby Food - Meat &amp; Vegetable (Chicken + Thyme Made With Parsnip And Beet (MWO)), Baby Food - Meat &amp; Vegetable (Free Range Chicken With Peas &amp; Carrots), Baby Food - Meat &amp; Vegetable (Grass Fed Beef With Kale &amp; Sweet Potato (MWO)), Baby Food - Meat &amp; Vegetable (Grass Fed Bison Made With Kabocha Squash &amp; Spinach (MWO)), Baby Food - Meat &amp; Vegetable (Pasture Raised Turkey Made With Sweet Potato Pumpkin &amp; Beet (MWO) ), Baby Food - Meat &amp; Vegetable (Turkey + Rosemary Made With Purple Carrots, Zucchini, And Celery (MWO)), Baby Food - Meat &amp; Vegetable (Turkey Bolognese Made With Vegetables &amp; Herbs (MWO)), Baby Food - Meat &amp; Vegetable (Turmeric Chicken Made With Vegetables &amp; Herbs (MWO)), Baby Food - Meat &amp; Vegetable (Wild Caught Salmon With Butternut Squash &amp; Beet (MWO)), Basil, Basil (Leaf), Beet Puree, Black Pepper (Ground), Blends (Beef Chimichurri with Carrot, Parsley, Cilantro and Green Beans), Blends (Beef Kebab with Parsnip, Spinach, Carrot, Herbs &amp; Spices), Blends (Butternut Squash &amp; Spinach With Olive Oil), Blends (Carrot, Spinach &amp; Basil With Olive Oil), Blends (Carrots (Orange, Purple, &amp; Yellow Carrots with Olive Oil)), Blends (Chicken Mexican Inspired Stew with Butternut &amp; Red Bell Pepper), Blends (Chicken Tikka Masala with Carrot, Coconut Cream, Green Beans, Herbs &amp; Spices), Blends (Coconut Curry with Chicken, Sweet Potato, Red Bell Pepper and Coconut Cream), Blends (Dairy Free Smoothie &amp; Protein Beet &amp; Carrot), Blends (Dairy Free Smoothie &amp; Protein Berry Butternut), Blends (Dairy Free Smoothie &amp; Protein Pumpkin Spice), Blends (Dairy Free Smoothie &amp; Protein Sweet Potato Spice), Blends (Roots (Sweet Potato, Carrot, Beet &amp; Olive Oil)), Blends (Salmon Teriyaki with Sweet Potato, Purple Carrot &amp; Coconut Aminos), Blends (Squashes (Kabocha Squash, Butternut, Pumpkin &amp; Olive Oil)), Blends (Sweet Potato &amp; Parsnip with Purple Carrot &amp; Olive Oil), Blends (Sweet Potato &amp; Spinach with Olive Oil), Bovine Collagen, Broccoli Puree, Broth (Beef Bone Broth), Broth (Chicken Bone Broth), Broth (Turkey Bone Broth), Butternut Squash Puree, Cardamom, Carrot Puree, Carrot Puree, Cassava Flour, Cassava Flour, Celery Puree, Chicken (Trim), Chicken Breast, Chicken Thigh, Chickpeas (Chickpea Flour), Chipotle (Morita Chile Powder), Cinnamon, Coconut Aminos, Coconut Cream, Coriander (Ground), Cumin (Ground), Dried Cilantro, Frozen Beets, Frozen Blueberry, Frozen Mushrooms (Portabella), Frozen Peppers (IQF Red Bell, Diced), Frozen Peppers (IQF Red Bell, Puree), Frozen Zucchini (IQF), Garlic Powder, Ginger (Powder), Green Bean Puree, Jalapeno (Powder), Kale puree, Lemon Juice, Lemongrass (Fine Cut), Lime Juice (NFC), Navy Bean Flour, Nutmeg, Olive Oil (Extra Virgin), Onion Extract, Onion Powder, Oregano, Oregano (Flakes), Parsley (Flakes), Parsley (Flakes), Parsnip Puree, Pea Protein, Pea Puree, Pumpkin Puree, Pumpkin Seed Powder (Pumpkin Protein), Rosemary (Whole), Rosemary Extract, Seasoning Blend (Broccoli Spinach Kale Seasoning 030624D), Seasoning Blend (Broccoli Spinach Kale Seasoning 122123C), Seasoning Blend (Carrot Beet Seasoning 012924M), Seasoning Blend (Carrot Beet Seasoning 090320K), Seasoning Blend (Cheesy Spinach and Cauliflower Seasoning 021224H), Seasoning Blend (Cheesy Spinach and Cauliflower Seasoning 112223A), Seasoning Blend (Sweet Potato and Pumpkin Spice Seasoning 020724A), Seasoning Blend (Sweet Potato and Pumpkin Spice Seasoning 052821B), Seasoning Blend (Tomato and Mushroom Seasoning 020722C), Seasoning Blend (Tomato and Mushroom Seasoning 103023C), Spinach Puree, Spinach Puree, Squash Puree (Kabocha), Sweet Potato Puree, Tapioca Starch, Thyme, Thyme (Leaf), Toddler Snacks (Broccoli &amp; Spinach Grain Free Puffs), Toddler Snacks (Carrot &amp; Beet Grain Free Puffs), Toddler Snacks (Pumpkin &amp; Cinnamon Grain Free Puffs), Toddler Snacks (Tomato &amp; Herbs Grain Free Puffs), Toddler Snacks (White Cheddar &amp; Cauliflower Spinach Grain Free Puffs), Tomato Paste, Turkey, Turmeric, Vanilla Powder, Zucchini Puree</t>
  </si>
  <si>
    <t>Processed  Items: SOYBEAN EXPELLER; Other Grains, Pastas and Cereals: CORN, Sorghum (SORGHUM), SUNFLOWER, Wheat (WHEAT); Fruits/Vegetables: Beans (SOYBEAN)</t>
  </si>
  <si>
    <t>Other Grains, Pastas and Cereals: Quinoa; Oils &amp; Oleoresins: Oils; Nuts/Seeds: Peanuts, Pumpkin Seeds, Sunflower Seed; Fruits/Vegetables: Beans, Citrus, Leafy Greens, Vegetables; Dry/Baking Goods: Flours and Meals; Other: Chia, Coconut Products, Flaxseed, Safflower, Sesame, Sesame, Tahini</t>
  </si>
  <si>
    <t>Other Grains, Pastas and Cereals: Quinoa, Quinoa, Quinoa; Oils &amp; Oleoresins: Oils, Oils, Oils, Oils, Oils; Nuts/Seeds: Peanuts, Peanuts, Peanuts, Pumpkin Seeds, Pumpkin Seeds, Sunflower Seed; Fruits/Vegetables: Beans, Beans, Beans, Beans, Beans, Citrus, Leafy Greens, Vegetables; Dry/Baking Goods: Flours and Meals, Flours and Meals; Other: Chia, Chia, Chia, Chia, Chia, Coconut Products, Flaxseed, Flaxseed, Flaxseed, Flaxseed, Sesame, Sesame, Sesame, Sesame, Sunflower Seed, Tahini, Tahini, Warehousing of Organic Products</t>
  </si>
  <si>
    <t>Other Grains, Pastas and Cereals: Quinoa; Oils &amp; Oleoresins: Oils, Oils; Nuts/Seeds: Peanuts, Pumpkin Seeds, Sunflower Seed, Sunflower Seed; Fruits/Vegetables: Beans, Beans, Citrus, Leafy Greens, Vegetables, Vegetables; Dry/Baking Goods: Flours and Meals, Flours and Meals; Other: Chia, Coconut Products, Flaxseed, Safflower, Sesame, Sesame, Tahini</t>
  </si>
  <si>
    <t>Fruits/Vegetables: Vegetables (Horseradish Roots); Other: Alfalfa</t>
  </si>
  <si>
    <t>Processed  Items: Apple juice powder, Chickpea protein, Fava Bean Protein, Soy protein, Sunflower seed protein, Mung Bean Protein powder, Papaya juice powders, Pumpkin Seed Protein, Dehydrated Foods (Chaga (Inonotus obliquus) - dried,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Reishi/Ganoderma Lucidum extract, Rhodiola Rosea extract, Schisandra Extract, Shiitake/Lentinus Edodes extract, Siberian ginseng/Eleutherococcus extract, Stevia leaf extract), Extracts (Gingseng extract, Ginkgo Leaves/ Ginkgo biloba leaf Extract, Green Tea extract, Red Ginseng extract, Turmeric extract, White Ginseng extract), Extracts (Pomegranate seed extract); Other Grains, Pastas and Cereals: Cereal (Coix seed kernels); Oils &amp; Oleoresins: Oils (Hemp oil, Hulled Hemp Seeds); Nuts/Seeds: Seeds (Hemp seed); Health Products: Herbs (Astragalus cut, Lotus Seed, Milk Thistle powder, White Ginseng Cut), Herbs (Ginseng cut, Red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Maca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Matcha powder, Pomegranate Juice powder, Pomegranate powder, Red Ginseng powder, Reishi/Ganoderma Lucium powder, Rhodiola Rosea powder, Schisandra Powder, Siberian ginseng/Eleutherococcus powder, Spirulina chlorella tablets, Stevia leaf powder, Strawberry Powder, Turmeric powder, Wheat Grass Powder, White Ginseng powder), Powders (Ginkgo Leaves/ Ginkgo biloba leaf powder, Ginseng powder, Green tea powder, Shiitake/Lentinus Edodes powder), Powders (Dehydrated Beetroot (Slice/Flakes/Diced)); Fiber Textiles: Pea fiber; Dry/Baking Goods: Flours and Meals (Corn Starch, Inulin powder, Mung bean Starch, Potato Starch); Condiments and Sweeteners: Sweeteners (Allulose powder, Allulose syrup, Crystalline allulose, Crystalline Fructose, Erythritol, Erythritol &amp; Monk Fruit Extract Blends, Fructooligosaccharide powder, Fructooligosaccharide syrup, Galactooligosaccharides, High fructose corn syrup, Isomaltooligosaccharide, Isomaltooligosaccharide syrup, Isomaltulose, Maltodextrin, Polydextrose powder, Polydextrose syrup, Resistant dextrin powder, Resistant dextrin syrup, Xylitol); Beverage Related Products: Juice (Goji Berry Juice); Other: Beans (Soybean), Chlorella (Powder, Tablet), Spirulina powder, Spirulina tablet</t>
  </si>
  <si>
    <t>Other Grains, Pastas and Cereals: Beans (Black turtle, Calypso, Valentine, Hutterite soup, Jacob's cattle, Jacob's cattle gold, Marrow, Painted lady, Yellow indian woman, Zebra, Tiger eye, Spanish Tolosana, Dapple Grey, Fort Portal jade, Lina cisco bird egg, Aikara yellow, Amethyst, Painted Pony, Rouge Et Noir Cowpea); Other: Bean Cleaning &amp; Packaging, Grain Cleaning &amp; Packaging</t>
  </si>
  <si>
    <t>Dry/Baking Goods: FLOUR; Animal Feed: FLAX CAKE (Defatted), GRAIN SCREENINGS (barley, wheat, canola mixture), MILLRUN (Millfeed), SOYBEAN MEAL; Other: BARLEY, BROKERING ORGANIC GRAIN &amp; FEED, CORN, IMPORTING ORGANIC GRAIN &amp; FEED, PEAS, RYE, WHEAT (Durum), WHEAT (Hard Red), WHEAT (Hard White)</t>
  </si>
  <si>
    <t>Other Grains, Pastas and Cereals: Rice (Long Grain Broken Brown Rice), Rice (Long Grain Brown Rice), Rice (Long grain parboiled rice), Rice (Long Grain white Rice), Rice (Parboiled Basmati Rice), Rice (Super Basmati Brown Rice), Rice (Super Basmati White Rice)</t>
  </si>
  <si>
    <t>Other Grains, Pastas and Cereals: Rice (Rice basmati brown), Rice (Rice Basmati parboiled), Rice (Rice Basmati white), Rice (Rice Broken Basmati Brown), Rice (Rice Broken Basmati White), Rice (Rice Broken Long grain Brown), Rice (Rice Broken Long grain White), Rice (Rice long grain brown), Rice (Rice long grain parboiled), Rice (Rice long grain white), Rice (Semi Processed Long Grain White Rice), Wheat (Wheat); Other: Canola, Paddy (basmati), Paddy Long Grain</t>
  </si>
  <si>
    <t>Processed  Items: Brown rice flour, Brown rice protein, Brown sugar (raw sugar), Maltose syrup, Oat Flour, Oat Maltodextrin, Oligodextrin, Oligodextrin (single ingredient), Rice flour, Rice milk, Rice milk (HP), Rice milk (LP), Rice milk powder, Rice Protein, Rice Starch, Rice syrup solids, Soluble rice protein, Tapioca maltodextrin,, Tapioca Milk Powder, Tapioca starch; Other Grains, Pastas and Cereals: Rice (Rice white), Rice (Basmati Rice), Rice (Rice broken), Rice (Rice brown), Rice Bran; Condiments and Sweeteners: Brown Oryzalow Syrup, Brown Rice Syrup Premium, Clarified Oryzalow Syrup, Infant safe Brown Rice Syrup, Infant safe Brown Rice Syrup (single ingredient), Invert Syrup, Maltodextrin, Oat Syrup, Oat Syrup Solids, Oryzalow Syrup Solids, Rice Fructose Syrup, Rice syrup brown, Rice syrup clarified, Sugarcane, Tapilow Syrup, Tapilow Syrup Solids, Tapioca Fructose Syrup, Tapioca syrup, Tapioca Syrup Premium, Tapioca syrup solids,, White Rice Flour</t>
  </si>
  <si>
    <t>Other: Brad's Organic brand (Black beans, Brown Basmati Rice, Cannellini Beans, Dak Red Kidney Beans, Garbanzo Beans, Green lentils, Long Grain Brown Rice, Pinto beans), Dunya Harvest brand (Black Beans, Brown Flax seed, Chickpeas, Green Split Peas, Navy Beans Canned, Pinto Beans Canned), H-E-B Organics brand (Chia Seeds, Long Grain Brown Rice, Thai Jasmine Rice, Tri-Colour Quinoa), Nature's basket brand (Long Grain Brown Rice, Red Quinoa, White Quinoa,), Shah Trading brand (Black Eye Beans, Brown Rice Flour, Buckwheat Whole White Grain Groats, Chickpeas, Grown Flax Seed, Pearl Barley, Spelt Kernals, Split Chickpeas), Simply Nature brand (Brown Rice, Green Lentils, Red Split Lentils, Tri-Colour Quinoa, White Quinoa)</t>
  </si>
  <si>
    <t>Other Grains, Pastas and Cereals: Black Gram, Wheat (Wheat); Condiments and Sweeteners: Brown sugar (raw sugar), Sugarcane; Other: Paddy (basmati), Paddy (long grain), Sesame</t>
  </si>
  <si>
    <t>Preservatives/Extracts/Flavors: Spices (Turmeric capsules); Other Grains, Pastas and Cereals: Black maca powder encapsulated, Quinoa (Red quinoa grains), Quinoa (White quinoa grains); Oils &amp; Oleoresins: Oils (Brazil nut oil), Oils (Sacha Inchi Oil), Oils (Sacha Inchi Oil encapsulated); Nuts/Seeds: Sacha inchi almonds, Sacha Inchi grains; Fruits/Vegetables: Beans (Cacao beans), Charapita chilli, Ginger, Ginger Slices, Turmeric, Turmeric Slices; Dry/Baking Goods: Cacao butter, Cacao mass, Powders (Black Maca Powder), Powders (Cacao Powder), Powders (Camu camu powder), Powders (Ginger Powder), Powders (Maca Mix Powder), Powders (Maca Powder), Powders (Mix maca powder encapsulated), Powders (Quinoa powder), Powders (Red Maca Powder), Powders (Red maca powder encapsulated), Powders (Sacha Inchi Powder), Powders (Sacha Inchi Powder and Turmeric), Powders (Sacha Inchi Powder with cocoa), Powders (Trilogy / Mix cacao powder, maca powder, quinua powder, sacha inchi powder, algarrobo powder, panela, monk fruit and vanilla flavor), Powders (Turmeric Powder), Sacha Inchi cake, Sacha Inchi cake Pellets, Sacha Inchi Spread, Turmeric dried; Bread/Bakery/Snacks: Snack Mixes (Black Maca Root Chips), Snack Mixes (Caramelized Sacha Inchi Snack Roasted), Snack Mixes (Maca Root Chips), Snack Mixes (Natural Sacha Inchi Snack roasted), Snack Mixes (Red Maca Root Chips), Snack Mixes (Sacha Inchi snack roasted with cacao), Snack Mixes (Sacha Inchi Snack Roasted with Turmeric), Snack Mixes (Salty Sacha Inchi Snack Roasted), Snack Mixes (Spicy Sacha Inchi Snack Roasted); Other: Cacao nibs, Cacao shell</t>
  </si>
  <si>
    <t>Other: BROWN RICE VINEGAR, FIVE GRAINS VINEGAR, MONASCUS FIVE GRAINS VINEGAR, MONASCUS SOY SAUCE, SOY SAUCE, SOYBEAN PASTE</t>
  </si>
  <si>
    <t>Other Grains, Pastas and Cereals: Pasta (Brown Rice &amp;Wakame/Wakame Brown Rice/Brown Rice noodles with wakame Ramen/noodles/Pasta, Brown Rice and Purple Potato Ramen, Carrot/Oat/Seaweed/Pumpkin/Spinach/Matcha/Buckwheat Konjac Angel Hair, Carrot/Oat/Seaweed/Pumpkin/Spinach/Matcha/Buckwheat Konjac Couscous, Carrot/Oat/Seaweed/Pumpkin/Spinach/Matcha/Buckwheat Konjac Fettuccine, Carrot/Oat/Seaweed/Pumpkin/Spinach/Matcha/Buckwheat Konjac Knot, Carrot/Oat/Seaweed/Pumpkin/Spinach/Matcha/Buckwheat Konjac Lasagne, Carrot/Oat/Seaweed/Pumpkin/Spinach/Matcha/Buckwheat Konjac Noodles , Carrot/Oat/Seaweed/Pumpkin/Spinach/Matcha/Buckwheat Konjac Pasta, Carrot/Oat/Seaweed/Pumpkin/Spinach/Matcha/Buckwheat Konjac Penne, Carrot/Oat/Seaweed/Pumpkin/Spinach/Matcha/Buckwheat Konjac Rice, Carrot/Oat/Seaweed/Pumpkin/Spinach/Matcha/Buckwheat Konjac Shirataki, Carrot/Oat/Seaweed/Pumpkin/Spinach/Matcha/Buckwheat Konjac Spaghetti, Carrot/Oat/Seaweed/Pumpkin/Spinach/Matcha/Buckwheat Konjac Tagliatelle, Carrot/Oat/Seaweed/Pumpkin/Spinach/Matcha/Buckwheat Konjac Udon, Dried konjac noodles/rice/spaghetti/konjac/fett uccine, Dried konjac noodles/rice/spaghetti/konjac/fettuccine with flavors carrot, oat, seaweed, pumpkin, spinach, matcha, buckwheat, Konjac Angel Hair, Konjac Couscous, Konjac Fettuccine, Konjac Knot, Konjac Lasagne, Konjac Noodles, Konjac Pasta, Konjac Penne, Konjac Rice, Konjac Shirataki, Konjac Spaghetti, Konjac Tagliatelle, Konjac Udon, Miso noodle soup original, Miso noodle soup spicy, Purple Sweet Potato and Buckwheat Ramen, Traditional Ramen, Wakame and Brown Rice Ramen/Noodles/Pasta), Pasta (Black and Brown Rice /Forbidden Rice/Black Rice Ramen/noodles/Pasta, Broccoli Rice Ramen/Noodles/pasta, Brown Rice and Purple Potato Noodles/Pasta, Brown Rice Ramen/Noodles/Pasta, Buckwheat Ramen/Ramen Noodles, Buckwheat/Brown Rice &amp; Buckwheat/ Buckwheat &amp; Brown Rice Ramen/Noodles/Pasta, Kale Rice Ramen/Noodles/pasta, Millet &amp; Brown Rice/Brown Rice &amp; Millet/Millet Ramen/Millet and Brown Rice Ramen/Noodles/Pasta, Millet Ramen/Noodles/Pasta, Mushroom and Buckwheat Ramen/Noodles/Pasta, Pea&amp;Buckwheat Ramen/Noodles/spaghetti/Pasta, Pea&amp;millet Ramen/Noodles/spaghetti/Pasta, Purple Sweet Potato and Buckwheat Noodles/Pasta, Purple Sweet Potato and Millet Ramen/Noodles/Pasta, Purple sweet potato powder and Rice Ramen/Noodles/Pasta, Sweet Potato Vermicelli/Sweet Potato noodle, Turmeric and Rice Ramen/Noodles/pasta, Yam Root Rice Ramen/Noodles/pasta); Dry/Baking Goods: Flours and Meals (Konjac powder/flour/gum, Konjac refined powder/flour/gum)</t>
  </si>
  <si>
    <t>Other Grains, Pastas and Cereals: Corn, Rice, Sorghum kernel (sorghum rice)
Wheat, Brown rice, Black rice, Buckwheat kernel, Corn chop (corn grits), Buckwheat, Sticky millet hulled, Non-sticky millet, Sticky millet, Oat kernels, Oat; Nuts/Seeds: Pumpkin seed, Sunflower seed, Coix seed, hulled; Fruits/Vegetables: Bamboo shoots (dried, baken, sliced), Frozen Instant bamboo shoots (whole, sliced), Beans (Red kidney bean, White kidney bean, Lentil, Black soybean, Adzuki bean, Black kidney bean, Mung bean, Soybean); Dry/Baking Goods: Flours and Meals (Corn flour, Soybean powder, Brown rice flour, Oat flour); Other: Exporter of Organic Products</t>
  </si>
  <si>
    <t>Other Grains, Pastas and Cereals: Barley, Corn/maize, Green lentil, Millet, Oats, Oats (Oat kernel), Pea, Pearl barley, Roasted sesame, Sesame, Sorghum, Wheat, Wheat (Buckwheat kernel), Wheat (Buckwheat), Wheat (Wheat gluten), Wheat (Wheat protein); Nuts/Seeds: Flax seed, Hemp seed, Hempseed kernel, Pumpkin kernel GWS, Pumpkin kernel S.S., Pumpkin seed grown without shell, Pumpkin seed shine skin, Pumpkin seed snow white, Rape seed, Roasted sunflower kernel, Sunflower kernel, Sunflower seed, Watermelon kernel, Watermelon seeds; Fruits/Vegetables: Beans (Adzuki bean), Beans (Black eye bean), Beans (Black kidney bean), Beans (Black soybean), Beans (Broad bean), Beans (Chickpea), Beans (Green soybean), Beans (Light speckled kidney bean), Beans (Mung bean), Beans (Red kidney bean), Beans (White kidney bean), Beans (Hulled mung bean); Dry/Baking Goods: Flours and Meals (Buckwheat flour), Flours and Meals (Chickpea flour), Flours and Meals (Corn/maize powder/flour), Flours and Meals (Oat flour), Flours and Meals (Sorghum flour), Flours and Meals (Wheat flour), Flours and Meals (Wheat powder/flour); Animal Feed: Livestock Feed (Rape seed cake), Livestock Feed (Soybean meal/cake), Livestock Feed (Sunflower meal)</t>
  </si>
  <si>
    <t>Other: Corn noodles, Corn powder/grits/flour, millet, millet flour, Millet noodles</t>
  </si>
  <si>
    <t>Other Grains, Pastas and Cereals: King Soba Organic 100% Brown Rice Noodles, King Soba Organic 100% Buckwheat Noodles, King Soba Organic 100% Buckwheat Noodles (Bulk), King Soba Organic Black Rice Noodles, King Soba Organic Black Rice Ramen, King Soba Organic Brown Rice Paper, King Soba Organic Brown Rice Ramen, King Soba Organic Buckwheat &amp; Sweet Potato Noodles, King Soba Organic Buckwheat Ramen, King Soba Organic Pho Noodles, King Soba Organic Pumpkin, Ginger, &amp; Rice Noodles, King Soba Organic Thai Rice Noodles, King Soba Organic Vermicelli Noodles, King Soba Organic White Rice Paper</t>
  </si>
  <si>
    <t>Other: BASMATI RICE-BASMATI RICE BROWN -TYPE-3, INDIAN ORGANIC BASMATI RICE-ORGANIC MILLED PUSA BASMATI RICE, INDIAN ORGANIC BROWN BASMATI RICE, INDIAN ORGANIC TRADITIONAL MILLED BASMATI RICE, NON BASMATI RICE- INDIAN ORGANIC LONG GRAIN MILLED RICE NON BASMATI RICE - INDIAN ORGANIC LONG GRAIN BROWN RICE NON BASMATI RICE - INDIAN ORGANIC LONG GRAIN WHITE RICE, NON-BASMATI RICE (BROWN &amp; WHITE), ORGANIC BROKEN RICE-NON BASMATI BROWN &amp; WHITE BROKEN RICE, ORGANIC BROWN PUSA BASMATI RICE, ORGANIC BROWN TRADITIONAL BASMATI RICE, ORGANIC PARBOILED RICE - INDIAN ORGANIC PARBOILED MILLED TRADITONAL BASMATI RICE, ORGANIC PARBOILED RICE (BROWN &amp; WHITE) - Indian Organic Non Basmati Parbolied Brown Rice, Indian Organic Non Basmati Parbolied White Rice, ORGANIC PARBOILED RICE (BROWN &amp; WHITE)-PARBOILED BROWN &amp; WHITE TRADITIONAL BASMATI RICE, ORGANIC WHITE PUSA BASMATI RICE, ORGANIC WHITE TRADITIONAL BASMATI RICE, PARBOILED BASMATI RICE-PARBOILED PUSA BROWN &amp; WHITE BASMATI RICE, PARBOILED PUSA BASMATI RICE- INDIAN ORGANIC PUSA MILLED BASMATI RICE, PARBOILED RICE-PARBOILED NON BASMATI RICE ( BROWN &amp; WHITE), Parbolied Basmati Rice (Organic Pusa Basmati Brown Parbolied Rice, Organic Pusa Basmati White Parbolied Rice/Indian Organic Pusa Basmati Brown parbolied Rice, Indian Organic Pusa Basmati White parbolied Rice/Organic Tradtional Basmati Brown parbolied Rice, Organic Tradtional Basmati White parbolied Rice/ Indian Organic Traditional Basmati Brown Parbolied Rice, Indian Organic Traditional Basmati White Parbolied Rice), PARBOLIED RICE - PARBOILED NON BASMATI MILLED RICE, RICE BRAN-RICE BRAN</t>
  </si>
  <si>
    <t>Other Grains, Pastas and Cereals: Basmati Rice, Brown Rice, Jowar, Maize (Corn, Pearl millet / Bajra, Ragi / Finger Millet Grain, Red Rice, Sorghum, Wheat, Non-basmati Rice; Oils &amp; Oleoresins: Coconut Oil, Extra Virgin Coconut Oil, Groundnut/ Peanut Oil (Edible Grade), Moringa oil, Mustard oil (Refined), Neem oil , Sesame oil/Gingelly oil, sunflower oil: edible grade, Sunflower seed oil, Virgin Coconut Oil; Nuts/Seeds: Cashew kernels Wholes 320, Cashew Nut (In shell) ,Flaxseed, Walnut; Fruits/Vegetables: papaya(c.papaya), pomegranate (fresh); Condiments and Sweeteners: Cardamom, Dried Cardamom, Green Cardamom, Jaggery, Jaggery Powder, Sugar, Sugar (Brown/Natural), Black Mustard Seed, Mace powder, Yellow mustard powder /ground, Cardamom Powder; Beverage Related Products: Green Tea; Other: Ajwain, Alfa Alfa Powder, Amla (Powder), Ashwagandha powder, Beet Root Powder, Bengal gram (Chana) Flour, black gram/urd (Vigna sp.), Black Pepper, Black Pepper Powder, Brahmi Powder, Chana Dal, Chilli Powder, Chilli Whole , Cinnamon bark, Cinnamon powder, Clove, Coconut, Coriander Powder, Coriander Seed / Whole, Cumin Powder, Cumin Seeds, Cumin Whole, curry leaf/leaves, Fennel/ Saunf, Fenugreek powder (Methi powder), fenugreek seed (methi seed), Fenugreek Whole (Methi), Garam Masala , Garlic, Garlic Powder, Ginger Powder, Ginger Sliced (Dried), Green gram, Green Gram Split Yellow (Moong Dal Yellow) , Green gram whole (Moong sabut), green gram/chana/moong(vigna sp.) , Green peas, Groundnut/Peanut, Maida, Maize/Corn Flour, Masoor Dal, Matki / moth bean, Moong Dal, Moong Dal (Dhuli), Moong Dal Split , Moringa Powder, Moth DaL, Mustard, Nutmeg Powder, Onion, Onion Powder, Oregano, Poha Flattened Rice, raisins/kismis, Red Chili Powder, red kidney beans/rajma (phaseolus vulgaris), Red Lentil, Red Lentil Split, Rice flour, Shatavari Powder, Sorghum Flour, Soybean, Star Anise, Suji/Semolina/ Cream of Wheat, Tulsi Powder, Tur/Toor Dal , Turmeric dried, Turmeric Powder, urad dal black split , Urad Whole(black), Wheat Flour, Wheat Porridge/ Dalia , Wheatgrass powder, Urad dhuli</t>
  </si>
  <si>
    <t>Other: Aloe vera Powder, Ajwain, Ajwain Powder, All Spice Powder, All Spice Whole, Almond , Amla / Whole Dried, Amla Powder, Arjun Powder, Ashwagandha Powder, Ashwagandha Root, Bajra Flour / Pearl Millet Flour, Barley Flour, Basil / Tulsi, Bay Leaf Powder, Bay Leafs / Tej Patta, Bengal Gram (Chana) Flour / Besan, Bengal Gram / Chana Flour , Black Cumin, Black Gram / Urd, Black Gram Flour, Black Pepper , Black Pepper Crushed, Black Pepper Powder, Brahmi Powder, Brown Gram/Gram/Chana/Kala Chana, Brown Rice, Buckwheat (Other Than Seed), Buckwheat Flour, Cardamom, Cardamom Large (Black), Cashew Kernels, Cashew Whole, Chana Dal , Chia , Chickpea / Kabuli Chana, Chickpea Flour, Chilli Flakes , Chilli Powder, Chilli Whole, Chitra Kidney Beans / Rajma, Cinnamon, Cinnamon Powder, Cloves, Cloves Powder, Coconut Oil, Coriander, Coriander Powder, Coriander Seed / Whole, Cowpea, Cowpea Red, Ctc Tea, Cumin Powder, Cumin Whole, Curry Leaves, Curry, Leaves Powder, Dry Rose Petals Red, Fennel / Saunf, Fennel Powder / Fennel Seed Powder, Fenugreek Powder, Fenugreek Seeds / Methi Seeds, Flax Seeds, Foxtail Millet, Garam Masala , Garlic Flakes, Garlic Powder, Ginger Powder, Green Cardamom, Green Gram / Chana / Moong, Green Gram Split Yellow / Moong Dal Yellow, Green Gram Whole / Moong Sabut / Green Gram, Green Peas, Green Tea, Ground Nut / Peanut, Hand Pounded Rice / Sona Masuri, Haritaki / Harad , Hibiscus Powder, Idly Rawa, Indian Organic Brown Basmati Rice, Jaggery , Jaggery Powder , Jowar Flour, Kalongi / Nigella Seeds, Kodo / Kodon Millet, Lentil,, Little Millet, Little Millet Flour, Mace, Mace Powder, Maida, Maize (Corn), Maize / Corn Flour, Malka Whole / Masoor Malka, Mango Powder / Amchur, Masoor Dal, Mix Dal, Moong Dal Flour, Moong Dal Split With Shell, Moong Whole Flour, Moringa , Moringa Powder, Moth Dal, Multigrain Flour (Atta) / 7 Multi Grain Flour (Atta), Multigrain Flour / Glutan Free Flour, Mustard, Mustard Black, Neem Leaf Powder, Non Basmati Rice, Nutmeg Powder, Nutmeg Whole, Oat Flour, Oats (Flakes), Oats (Rolled Grains), Panchratan Dal, Pearl Millet / Bajra, Poha / Chivda, Poha Flattned Rice, Proso Millet, Psyllium Husk / Isobgul, Psyllium Husk Powder, Quinoa, Ragi (Finger Millet-Other Then Seed), Ragi / Finger Millet Grain, Ragi Flour, Raisins, Red Chilli Powder, Red Chilli Whole, Red Kidney Beans / Rajma, Rice Flour, Rice Sona Masuri Brown, Roasted Gram / Chana, Safed Musli Powder, Sattu , Sawan / Barnyard Millet, Sesame / Sesamum, Sorghum , Sorghum Flour, Sorghum Grain, Split Pigeon Pea/ Arhar / Toor Dal / Red Gram, Star Anise, Sugar ,Sugar (Brown / Naturan), Suji / Semolina / Cream Of Wheat, Triphla Powder, Tulsi Leaves Dry, Tulsi Powder, Turmeric Powder, Urad Dal Black Split / Urad Dal Split With Shell, Urad Dal Flour, Urad Dhuli / Urad Mogar, Urad Gota / Black Gram De-Husked, Walnut , Wheat Flour, Wheat Porridge / Dalia, Wheatgrass Powder, White Basmati Rice, Yellow Mustard</t>
  </si>
  <si>
    <t>Other: Grain Free Biscotti-Dark Chocolate Sea Salt, Grain Free Biscotti-Double Dark Chocolate Pistachio Biscotti, Grain Free Biscotti-Orange Cranberry Biscotti, Grain Free Cookies-Chai Spice, Grain Free Cookies-Chocolate Chip, Grain Free Cookies-Cinnamon Snickerdoodle, Grain Free Crackers-Caramelized Onion, Grain Free Crackers-Sea Salt, Grain Free Crackers-Tangy Tomato &amp; Basil</t>
  </si>
  <si>
    <t>Other Grains, Pastas and Cereals: Rice, Rice (Black rice), Rice (Glutinous rice)</t>
  </si>
  <si>
    <t>Other Grains, Pastas and Cereals: Wheat (Wheat, Hard Red), Wheat, Wheat; Animal Feed: Livestock Feed (Wheat Midds, Pelleted), Livestock Feed (Sesame Seed Meal), Livestock Feed (Corn, Ground), Livestock Feed (Wheat Midds), Livestock Feed (Canola Meal), Livestock Feed (Flax Seed), Livestock Feed (Flax Meal), Livestock Feed (Soybean Meal, High ByPass), Livestock Feed (Soybean Meal, Regular), Livestock Feed (Soybean Meal, High Protein), Livestock Feed, Livestock Feed, Livestock Feed, Livestock Feed, Livestock Feed, Livestock Feed, Livestock Feed, Livestock Feed, Livestock Feed; Other: Storage and Distribution of Grains/Feed Grains</t>
  </si>
  <si>
    <t>Other Grains, Pastas and Cereals: Pasta (Priest Strangler Strozzapreti, Cockscomb Cresti di Gallo); Oils &amp; Oleoresins: Oils (Extra Virgin Olive); Other: Balsamic Glaze</t>
  </si>
  <si>
    <t>Other: Ajwain, Ajwain Powder, Almond, Aloe Vera Powder, Amaranth Flour, Amaranth Seed / Ram Dhana, Amla Candy, Amla Juice, Amla Powder, Amla TBC, Amla Whole Dried, Ananthmool TBC, Anantmool (Hemidesmus indicus), Arhar Dal (Red Gram/Pigeon Pea), Arhar Whole/Piegeon Pea, Ashwagandha Powder, Ashwagandha Root, Asparagus racemoscus (Shatawari)TBC, Bajra Flour / Atta, Bajra Porridge / Dalia, Barley- Dehulled, Barley Flour, Barley Porridge / Dalia, Barley Whole / Barley Grain, Basil/Tulsi, Basil/Tulsi powder, Basmati Paddy, Basmati Rice, Bay Leaf Powder, Bay Leaves / Tejpatta, Beaten Rice, Bengal Gram (Chana) Flour/ ChanaBesan, Bengal Gram (Chana) Split/ Chana Dal, Black Gram Flour/Urad Atta, Black Gram Split Dehulled/Urad Dhuli, Black Gram Split/Urad Dal Split, Black Gram White Whole/ (Urad Gota), Black gram/Urad Whole/Urd (Vigna sp.), Black Mustard Oil, Black Pepper, Black Pepper Powder, Broken Rice, Brown Gram / Gram / Chana (Cicer Arietinum), Brown Rice Flour, Buckwheat, Buckwheat Dehulled, Buckwheat Flour, Cardamom, Cardamom Powder, Cashew Kernels (W320), Cashew Whole, Castor (Other Than Seed Quality), Castor Meal, Castor Oil, Chamomile TBC, Chia Seed, Chickpea / Kabuli Chana (Garbanzos), Chickpea Flour, Chitra Kidney Beans / Rajma (Phaseolus Vulgaris), Cinnamon, Cinnamon (Powder), Clove, Clove Powder, Cluster Beans / Guar, Coconut Oil, Convolculus pluricaulis powder, Coriander Powder, Coriander Seed / Whole / Coriander, Cowpea / Lobia Whole (V.unguiculata / sinensis), Cowpea Red, Cowpea White Dal, Cumin Powder, Cumin Whole, Curry Powder, Dehydrated Garlic Powder, Dehydrated Ginger Powder, Dehydrated Mango/Amchur, Dehydrated Onion Powder, Dehydrated Tomato Powder, Dried Cardamom, Dried Clove/ Clove, Dried Curry Leaves, Drum Stick Powder, Drumstick, Dry Rose Petals Rose, Extra Virgin Coconut Oil, Fennel / Saunf, Fennel Powder, Fenugreek, Fenugreek Crushed, Fenugreek Powder (Methi Powder), Flaxseed, Garam Masala, Garlic, Giloy Powder, Ginger Sliced (Dried), Ginger Whole (Dried), Gluten Free Multigrain Atta, Gluten Free Multigrain Dalia, Green Cardamom, Green Cardamom Powder, Green Gram / Moong Dhuli/Moong dal mogar, Green Gram Flour, Green Gram Split/Moong Dal/ Moong Dal Split, Green Gram Whole (Moong Sabut)/Moong Whole, Groundnut / Peanut, Groundnut / Peanut / Groundnut Kernals, Groundnut / Peanut Oil (Edible Grade), Groundnut Meal, Haritaki Powder, Haritaki/Harad (Terminalia chebula), Hibiscus TBC, Jaggery Powder, Jaggery/Jaggery Candy, Kalonji / Nigella, Kalonji Powder/Nigella Powder, Kasuri Methi, Krishna Tulsi TBC-Ocimum Basilicum/Krishna Tulsi TBC, Lemon grass TBC, lemon peel powder, Lemon Peel TBC, Lentil/Masoor Whole, Liquorice Powder, Liquorice TBC, Mace, Mace Powder, Maize (Corn) / Maize Grain, Maize / Corn Flour, Maize / Corn Porridge (Dalia), Mango Powder / Aamchur, Masoor Dal, Matki / Moth Bean, Mix Dal, Mixed Grain Porridge (Multi Grain Dalia), Moringa Powder, Moringa TBC, Moth Dhuli, Multi Grain Atta, Mustard, Mustard - Black, Mustard Cake, Mustard Oil (Aroma / E.Oil), Mustard Powder, Neem Leaves, Neem powder, Non Basmati Paddy, Non-Basmati Rice, Nutmeg Powder, Nutmeg Whole, Oat - Dehulled, Oat Flour, Oats (Flakes), Oats (Other Than Seed / Grain), Orange peel TBC, Pea- Dried, Pea Pulse (Pisum Sativum), Pearl Millet / Bajra, Poha / Chivda, Poha/ Flattened Rice/ Beaten Rice, Psyllium Husk (Isobgul), Pumpkin Seeds, Pumpkin Seeds- Dehulled, Quinoa, Quinoa Flour, Ragi / Finger Millet Grain, Ragi Flour, Raisins / Kismis, Rapeseed Meal, Rapeseed Oil, Red Chilli (Whole), Red Chilli Flakes, Red Chilli Powder, Red Kidney Beans / Rajma (Phaseolus Vulgaris), Red Lentil, Red Rice, Rice Flour, Rice Porridge / Dalia, Saffron, Sattu Atta, Senna leaves powder, Senna leaves TBC, Shatawari Powder, Shikakai Powder, Sorghum / Jowar Whole, Sorghum Flour / Jowar Flour, Sorghum Porridge / Dalia, Soybean, Star Anise, Stevia Leaves Powder, Stevia TBC, Sugar, Sugar (Brown/Natural), Suji / Semolina / Cream of Wheat, Sunflower Meal, Sunflower Oil: Edible Grade, Sunflower Seed, Sunflower Seed Oil / Sunflower Oil, Sunflower Seeds- Dehulled, Tamarind (Imli), Tamarind (Imli) Dried, Tamarind Powder (Imli), Triphala Powder, Tulsi Leaves Powder, Tulsi TBC, Turmeric Dried, Turmeric Powder, Walnut, Walnut Giri, Watermelon Seed, Watermelon Seed Dehulled, Wheat, Wheat Bran, Wheat Flour, Wheat Maida, Wheat Pasta, Wheat Porridge / Dalia, Wheatgrass Powder, White Pepper, White Pepper Powder, Yellow Mustard, Yellow Mustard Powder</t>
  </si>
  <si>
    <t>Other: Sourdough Retail Loaf Quinoa Power Grains Retail Loaf Pumpkinickle Retail Loaf Cinnamon Raisin Sourdough Retail Loaf</t>
  </si>
  <si>
    <t>Other: Aloo Palak, ANCIENT GRAIN - 250 G, BASMATI RICE 250 G, BROWN RICE - 250 G, BROWN RICE &amp; QUINOA - 250 G, Chana Masala, CILANTRO &amp; LIME RICE - 250 G, Dal Makhni, Dal Palak, Dal Tadka, LONG GRAIN RICE 250 G, MEXICAN STYLE RICE - 250 G, Pav Bhaji, Quinoa With Asian Spices 250G, Quinoa With Indian Spiced 250G, Quinoa With Olive Oil, Rajma masala, Soya Sauce, SPANISH RICE 250 G, TOMATO KETCHUP, TOMATO PASTE, Tomato puree, VEG MEDLY RICE - 250 G, Vegetable Biryani</t>
  </si>
  <si>
    <t>Other Grains, Pastas and Cereals: Brown Basmati Rice, White Basmati Rice, Non- Basmati Rice, Broken Rice, Organic Brown Pusa basmati Rice, Organic White Pusa Basmati Rice, Organic Brown Traditional Basmati Rice, Organic White Traditional Basmati Rice, Parboiled Rice, Non-Basmati Brown Rice, Non-Basmati White Rice, White Sella Basmati Rice-1121 Parboiled</t>
  </si>
  <si>
    <t>Other: Arhar, Arhar dal / Toor Dal, barley Dalia, barley whole, basmati rice- white, bengal gram whole, Broken Rice (Non Basmati White Broken Rice (Long Grain, Medium Grain,Short Grain), Non Basmati Brown Broken rice (Long Grain, Medium Grain and Short Grain).), brown basmati rice, brown pusa Basmati Rice, brown traditional basmati rice, Chana dal, Gram flour/Besan, Green gram whole (Moong Sabut)Moong Whole/Mung Bean), Green gram/Moong dhuli, Groundnut/Peanut, Kabuli Chana (white chole), Lentils, maize (Corn), Maize/Corn flour, masur/masoor dhuli (Red Foot ball lentil whole), Moong Dal/Moth Dal/ moth split (Mong Split Green/Moong Chilka), Non Basmati Rice (Inaidan organic sona msori rice, indian organic non basmati rice (medium grain white rice) , indian organic non basmati rice (medium grain brown rice) , , indian organic non basmati rice (long grain white rice), , indian organic non basmati rice (long grain brown rice), , indian organic non basmati rice (sona msori white rice), , indian organic sona masorri white rice), Organic Broken rice (Basmati White Broken Rice, Basmati Brown Broken Rice), ORGANIC PARBOILED RICE (BROWN &amp; WHITE), organic white pusa basmati rice, Organic White Traditional Basmati Rice, Parboiled Basmati Rice (Sella Basmati), Parboiled Rice -sella rice, ragi/finger Millet grain, Red Kidney beans/Rajma (Phaseolus vulgaris)/ Rajma, Red Rice, Rice flour, Rice Porridge/dalia, Sona Masuri Rice (White &amp; Brown), Suji/Semolina/ Cream of Wheat, Urad dal/Split Black gram, Wheat, Wheat flour, Wheat Porridge/Dalia</t>
  </si>
  <si>
    <t>Other Grains, Pastas and Cereals: Black Gram De-husked (Organic Urad Gota/Black Gram De-husked), Chana dal (Organic Chana dal), Green gram split yellow/Moong dal-yellow (Organic Green gram split yellow/Moong dal-yellow), Green Gram Whole (Moong Sabut) (Organic Green Gram Whole (Moong Sabut)), Green Gram Whole (Moong Sabut) (Organic Moong Whole (Green Gram)), Jowar (Organic Jowar), Kabuli chana (Organic Kabuli Chana), Maize (Corn) (Organic Maize (Corn)), Masoor Dal (Organic Masoor Dal Whole (whole with skin)), Masoor Dal (Organic Masoor Dal), Pearl Millet/Bajra (Organic Pearl Millet/Bajra), Ragi/Finger Millet grain (Organic Ragi/Finger Millet grain), Rice (Basmati Paddy (Organic Basmati Paddy)), Rice (Basmati rice (Organic Basmati Rice)), Rice (Basmati rice-Brown ( Organic Basmati Rice - Brown)), Rice (Basmati rice-white (Organic Basmati Rice - White)), Rice (Broken rice (Organic Broken Rice)), Rice (Broken rice ( Organic Basmati Broken Rice)), Rice (Brown Rice (Organic Brown Rice)), Rice (Brown Rice (Organic Non Basmati Brown Rice)), Rice (Non-Basmati Rice (Organic Non-Basmati Rice)), Rice (Non-Basmati Rice (Organic Black Rice)), Rice (Non-Basmati Rice (Organic Black Non Basmati Rice)), Rice (Non-Basmati Rice (Organic Indrayani Rice )), Rice (Non-Basmati Rice (Organic Ambe Mohar Rice )), Rice (Non-Basmati Rice (Organic Dosa rice)), Rice (Non-Basmati Rice (Organic non basmati hand pounded rice)), Rice (Non-Basmati Paddy (Organic non basmati Paddy)), Rice (Non-Basmati Paddy (Organic Black Rice Paddy)), Rice (Paddy husk (Organic Paddy Husk)), Rice (Red Rice(Organic Red Rice)), Rice (Rice bran (Organic Rice Bran)), Rice (Rice hand pounded (Organic Rice hand pounded)), Rice (Rice Porridge/dalia (Organic Rice Porridge/dalia)), Rice (Rice Sonamasuri Brown (Organic Rice Sonamasuri Brown)), Rice (Rice Sonamasuri Hand pound (Organic Rice Sonamasuri Hand pound)), Rice (Rice-Sona Masuri (Organic Rice-Sona Masuri)), Rice (Rice-Sona Masuri (Organic Sona Masuri White Rice)), Rice (Rice-Sona Masuri (Organic Sonamasuri Polished Rice)), Rice (Rice-Sona Masuri (Organic Sonamasuri Un Polished Rice)), Rice (Rice-Sona Masuri (Organic Sonamasuri Semi Polished Rice)), Rice (Non-Basmati Idli Rice ( Organic Idli Rice)), Rice (Non-Basmati Ponni Rice (Organic Pooni Rice)), Rice (Black rice (Organic Black Rice)), Rice (Rice-Sona Masuri (Organic Raw Rice Sonamasuri)), Roasted Gram/ Chana (Organic Roasted Gram), Split Pigeon pea/arhar/Red gram (Organic Split Pigeon pea/arhar/Red gram), Urad (phasleolus mungo) Black gram (Organic Urad (phasleolus mungo) Black gram), Urad Dal-Spilt with Shell (Organic Urad Dal-Spilt with Shell), Urad dhuli (Organic Urad dhuli), Urad dhuli (Organic Urad Mogar/black gram split dehusked), Wheat (Wheat (Organic Wheat )), Wheat (Wheat Flour (Organic Wheat Flour)); Nuts/Seeds: Peanuts (Groundnut/Peanut (Organic Groundnut/Peanut)); Fruits/Vegetables: Cowpea (Organic Cowpea), Moong Dal-Split with shell (Organic Moong Dal-Split with shell); Fiber Textiles: Cotton (Cotton (Organic Cotton))</t>
  </si>
  <si>
    <t>Other: Cotton, Maize Grain, Maize Groat, Rapeseed/Rai/Rye, Soyabean Grits, Soyabean/Soyabean Oil, Soyabean/Soybean Meal-Expeller var., Soybean, Wheat</t>
  </si>
  <si>
    <t>Other: Abutilon Indicum Leaves (Thuthi)Powder, Acacia Catechu(Catechu/Khair), Acacia Catechu(Catechu/Khair) Powder, Acacia Concinna (Acacia Concinna/Shikakai), Acacia Concinna (Acacia Concinna/Shikakai)Powder, Achyranthes Aspera (Apamarg/Prickly Chaff Flower/Latjeera), Acorus Calamus(Sweet Flag/Vach/Babul), Albizia Lebbeck (Sirish), Alkanna Tinctoria (Ratan Jyot/Ratanjot), All Spice Powder, All Spice Whole, Allium Sativum (Garlic) Extract, Almond (Prunus Dulcis,Prunus Amygdalus Batsch), Almond (Prunus Dulcis,Prunus Amygdalus Batsch) Oil, Aloe Barbadensis(Aloe Vera/Ghrit Kumari), Aloe Barbadensis(Aloe Vera/Ghrit Kumari) Extract, Aloe Barbadensis(Aloe Vera/Ghrit Kumari) Leaves, Aloe Barbadensis(Aloe Vera/Ghrit Kumari) Leaves Powder, Aloe Barbadensis(Aloe Vera/Ghrit Kumari) Oil, Aloe Barbadensis(Aloe Vera/Ghrit Kumari) Powder, Amaranthus, Amaranthus Dried, Amaranthus Oil, Amaranthus Seed (Ram Dhana), Amaranthus(Amaranth) Flour, Anacyclus Pyrethrum (Akarkara/Spilanthus Acmella/Acmella Oleracea), Ananthamool (Hemidesimus Indica) - Extract, Anantmool (Hemidesmus Indicus), Andrographis Paniculata(Green Chiretta/Kalmegh) Extract, Andrographis Paniculata(Green Chiretta/Kalmegh) Powder, Anise Oil (Anise Seed Oil), Antidiabetic Tea,Cardiac Tea, Anti Flu Tea, Apricot Oil, Argyreia Nervosa (Burm. F.) Bojerelephant Creeper), Arhar Dal (Cajanus Cajan/ Pigeon Pea), Arrowroot (Maranta Arundinacea) Powder, Ashwagandha (Withania Somnifera), Ashwagandha (Withania Somnifera) Extract, Ashwagandha (Withania Somnifera) Leaf, Ashwagandha (Withania Somnifera) Powder, Ashwagandha (Withania Somnifera) Root, Ashwagandha (Withania Somnifera) Root Extract, Ashwagandha (Withania Somnifera) Root Powder, Ashwagandha (Withania Somnifera) Tbc, Ashwagandha(Withania Somnifera) Root Extract, Ashwagandha(Withania Somnifera) Root Powder, Asparagus Racemosus (Shatawar), Asparagus Racemosus(Shatavari) Extract, Asparagus Racemosus(Shatavari) Powder, Asparagus Racemosus(Shatavari) Root Powder, Atibala /Indian Mallow (Abutilon Indicum), Avaaram Leaves Dried &amp; Avaaram Flower Dried (Senna Auriculata), Azadirachta Indica (Neem Tree/Neem) Bark Powder, Azadirachta Indica (Neem Tree/Neem) Flower, Azadirachta Indica (Neem Tree/Neem) Leaf Extract, Azadirachta Indica (Neem Tree/Neem) Leaves, Azadirachta Indica (Neem Tree/Neem) Leaves Powder, Azadirachta Indica (Neem Tree/Neem) Powder, Azadirachta Indica (Neem Tree/Neem) Seed, Azadirachta Indica (Neem Tree/Neem) Twig, Bacopa Monnieri(Water Hyssop/Brahmi), Bacopa Monnieri(Water Hyssop/Brahmi) Extract, Bacopa Monnieri(Water Hyssop/Brahmi) Oil, Bacopa Monnieri(Water Hyssop/Brahmi) Powder, Bai Vidang (Embelia Ribes) Powder, Bajra (Pearl Millet/Pennisetum Glaucum) Flour/Atta, Bajra (Pearl Millet/Pennisetum Glaucum) Porridge/Dalia, Bakuchi (Cullen Corylifolium/Psoralea Corylifolia), Balloon Vine Leaves (Cardiospermum Halicacabum) Powder, Bamboo (Bambusa) Extract, Bamboo (Bambusa) Powder, Banana Fresh, Banana Powder, Barberry (Berberis Vulgaris L. (Berberidaceae), Barley/ Jau (Hordeum Vulgare), Barley/ Jau (Hordeum Vulgare) Flour/Atta, Barley/ Jau (Hordeum Vulgare) Porridge/Dalia, Basil/Tulsi, Bayberry (Myrica), Beetroot (Beta Vulgaris L.), Beetroot (Beta Vulgaris L.) Powder, Bel/Bilva (Aegle Marmelos/Indian Bael), Bel/Bilva Bark Dry (Aegle Marmelos/Indian Bael), Bel/Bilva Fruit (Aegle Marmelos/Indian Bael) Powder, Bel/Bilval (Aegle Marmelos/Indian Bael) Leaves, Berberis Aristata(Daru Haldi), Bergamot Oil, Bharangi (Clerodendrum Serratum), Bimbi/Bimbaka (Coccinia Indica/Ivy Gourd/Kundru), Bitter Gourd ( Momordica Charantia/Bitter Melon), Bitter Gourd ( Momordica Charantia/Bitter Melon)Extract, Bitter Orange Oil, Black Cardamom (Amomum Subulatum/(Badi Elaichi/Large Cardamom), Black Cumin (Elwendia Persica/Bunium Persicum//Shahi Jeera/Kala Jeera), Black Cumin (Elwendia Persica/Bunium Persicum//Shahi Jeera/Kala Jeera) Powder, Black Musale (Curculigo Orchioides), Black Mustard Oil, Black Pepper/Piper Nigrum(Black Peppercorns/Kali Mirch), Black Pepper/Piper Nigrum(Black Peppercorns/Kali Mirch) Crushed, Black Pepper/Piper Nigrum(Black Peppercorns/Kali Mirch) Extract, Black Pepper/Piper Nigrum(Black Peppercorns/Kali Mirch) Oil, Black Pepper/Piper Nigrum(Black Peppercorns/Kali Mirch) Powder, Black Pepper/Piper Nigrum(Black Peppercorns/Kali Mirch) Tbc, Boerhaavia Diffusa (Punarnava/Punarnava) Extract, Boerhaavia Diffusa (Punarnava/Punarnava) Powder, Boerhaavia Diffusa (Punarnava/Punarnava) Root, Boerhaavia Diffusa(Punarnava/Punarnava), Boswellia Serrata(Boswellia/Salai / Salai Guggal), Boswellia Serrata(Boswellia/Salai / Salai Guggal) Extract, Brihati (Solanum Indicum), Brown Gram/Gram/Chana (Cicer Arietinum), Buckwheat Flour, Caesalpinia Bonducella (Fever Nut), Caffeine, Calamus Oil, Camphor Oil, Cane Sugar, Caraway Oil (Carum Carvi), Cardamom/Elettaria Cardamomum/Elaichi), Cardamom/Elettaria Cardamomum/Elaichi) Dried, Cardamom/Elettaria Cardamomum/Elaichi) Oil, Cardamom/Elettaria Cardamomum/Elaichi) Powder, Cardamom/Elettaria Cardamomum/Elaichi) Seed, Cardamom/Elettaria Cardamomum/Elaichi) Tbc, Cardiospcnnum Halicacabum L.(Baloon Vinca), Carrot Seed Oil, Cashew Kernal ( 20), Cashew Kernal ( 320), Cashew Kernal (W180), Cashew Kernal (W210), Cashew Kernel (Shelled Whole), Cashew Nut (In Shell), Cashew Whole, Cassia Alarta (Senna Alata), Cassia Auriculata(Tanners Cassia, Cassia Oil Steam Distilled, Cassia Powder, Cassia Tbc, Cassia Whole, Castor (Ricinus Communis) Oil, Castor Seeds (Ricinus Communis), Casuarina Equisetifolia (She-Oak/Casuarina), Catharanthus Roseus (Pariwinkel,/Sadabahar/Adabahar), Cedarwood Oil, Celery Seed Oil, Centella Asiatica(Centella Asiatica/Mandukaparni/ Gotukola/Brahmi), Centella Asiatica(Centella Asiatica/Mandukaparni/Bramhi.Gotokola) Extract, Centella Asiatica(Centella Asiatica/Mandukaparni/Bramhi.Gotokola) Powder, Centella Asiatica(Centella Asiatica/Mandukaparni/Bramhi.Gotokola) Tbc, Chakramuni (Sauropus Androgynos/Katuk,/Star Gooseberry/Sweet Leaf), Chana Dal (Chickpeas, Split – (Split Bengal Gram, Split Brown Chickpeas), Charota (Cassia Tora /Cassia Obtusifolia/Senna Obtusifolia), Chia, Chickpea (Channa/ Bengal Gram), Chickpea (Channa/ Bengal Gram) Flour, Chickpea (Channa/ Bengal Gram) Whole, Chickpeas(White – Garbanzo Beans/Kabuli Chana,/Safed Chana,/Chole), Chicory (Cichorium Intybus), Chicory (Cichorium Intybus) Extract, Chicory (Cichorium Intybus) Leaves Dried, Chicory (Cichorium Intybus) Root Powder, Chilli Crushed, Chilli Dried, Chilli Flakes, Chilli Powder, Chilli Powder- Bird Eye, Chilli Tbc, Chilli Whole, Chilli Whole Dry, Chirayata (Swertia), Chironji (Buchanania Lanzan Spreng/Almondette /Calumpong Nut /Chenthuruni /Cheronjee), Chitrak/Chitrakmool (Plumbago Zeylanica/Plumbago Indica), Chittamruth (Tinospora Cordifolis), Cinnamomum Tamala (Bay Leaf /Tej Patta), Cinnamomum Tamala (Bay Leaf /Tej Patta) Oil, Cinnamomum Tamala (Bay Leaf /Tej Patta) Powder, Cinnamon, Cinnamon (Powder), Cinnamon Bark, Cinnamon Bark Extract, Cinnamon Bark Fresh, Cinnamon Bark Powder, Cinnamon Cracked, Cinnamon Extract, Cinnamon Leaves, Cinnamon Leaves Dried, Cinnamon Oil, Cinnamon Tbc, Cinnamon Zeylanicum Extract, Cinnamon Zeylanicum Powder, Cissus Quadrangularis (Hadjod/Veld Grape), Cissus Quadrangularis (Hadjod/Veld Grape) Dried, Citrus Lemon Extract, Clove, Clove (Dried), Clove Oil, Clove Powder, Clove Tbc, Cocoa Beans, Coconut, Coconut Desiccated, Coconut Flakes, Coconut Oil Cold Pressed, Coconut Powder/Freeze Dried Coconut Powder, Coffee Arabica A, Coffee Arabica Ab, Coffee Arabica B, Coffee Arabica Bulk, Coffee Arabica Pb, Coffee Arabica Powder, Coffee Beans Arabica, Coffee Beans Robusta, Coffee C Grade Arabica Cherry, Coffee C Grade Rob Cherry, Coffee Cherry Arabica, Coffee Cherry Arabica Aa, Coffee Cherry Robusta, Coffee Cherry Robusta (Dried), Coffee Cherry Robusta A, Coffee Cherry Robusta Aa, Coffee Cherry Robusta Aaa, Coffee Cherry Robusta B, Coffee Cherry Robusta C, Coffee Extract, Coffee Powder, Coffee Robusta Cherry Ab Grade, Coffee Robusta Cherry Pb Grade, Coleus Aromaticus (Mexican Mint), Coleus Root, Convolvulus Prostratus/Convolvulus Pluricaulis(Shankhpushpi/Shankhpushpi), Coriander Powder, Coriander Seed Oil, Coriander Seed/Whole, Coriander Split, Cumin, Cumin Extract, Cumin Powder, Cumin Seed, Curcuma Aromatica Salisb.(Musk Curcuma), Curcuma Longa Extract, Curcuma Zedoaria (Kachur), Curry Leaf Extract, Curry Leaf Powder, Curry Leaf/Leaves, Curry Leaves (Dried), Custard Apple Fresh (Ata)/Annonasquamosa, Cymbopogon Citratus(Lemon Grass/Lemon Ghas), Cymbopogon Citratus(Lemon Grass/Lemon Ghas) Dried, Cymbopogon Citratus(Lemon Grass/Lemon Ghas) Extract, Cymbopogon Citratus(Lemon Grass/Lemon Ghas) Oil, Cymbopogon Citratus(Lemon Grass/Lemon Ghas) Powder, Cymbopogon Citratus(Lemon Grass/Lemon Ghas) Tbc, Cyperus Rotundus/Musta Powder, Daru Haldi (Daruharidra), Dashamoola Tbc, Dashamula Powder, Davana (Artemisia Pallens), Desmodium Gangeticum, Dhawai Flower(Woodfordia Fruticosa), Dill Seed (Aowa), Drumstick, Easy Digest Tca, Eclipta Alba (Bhrigjraj/Bhringraj) Extract, Eclipta Alba (Bhrigjraj/Bhringraj) Powder, Eclipta Alba/Eclipta Prostrata(Bhringraj/Bhringraj), Eclipta Prostrata (Karisilnganni) Dried, Emblica Officinalis/Phyllanthus Emblica(Indian Gooseberry/Amla), Emblica Officinalis/Phyllanthus Emblica(Indian Gooseberry/Amla) Dried, Emblica Officinalis/Phyllanthus Emblica(Indian Gooseberry/Amla) Extract, Emblica Officinalis/Phyllanthus Emblica(Indian Gooseberry/Amla) Juice Powder, Emblica Officinalis/Phyllanthus Emblica(Indian Gooseberry/Amla) Oil, Emblica Officinalis/Phyllanthus Emblica(Indian Gooseberry/Amla) Powder, Emblica Officinalis/Phyllanthus Emblica(Indian Gooseberry/Amla) Seed Dried, Emblica Ribes/Baibidang, Eucalyptus Leaves, Fd Jackfruit Slice/Cube, Fennel Extract, Fennel Powder, Fennel Seed, Fennel Seed Oil, Flax / Linseed/Alsi (Linum Usitatissimum) Seed, Galangal (Alpinia Galanga/Siamese Ginger), Galangal (Alpinia Galanga/Siamese Ginger) Rhizomes And, Gambari (Gmelina Arborea), Garcinia Cambogia(Brindle Berry/Malabar Tamarind/ Extract, Garlic, Garlic Flakes, Garlic Granules, Garlic Powder, Geranium Oil, Ginger (Zingiber Officinalis) Extract, Ginger (Zingiber Officinalis) Powdert, Ginger (Zingiber Officinale Roscoe, Zingiberaceae), Ginger (Zingiber Officinale Roscoe, Zingiberaceae) Chips, Ginger (Zingiber Officinale Roscoe, Zingiberaceae) Dried Unbleached, Ginger (Zingiber Officinale Roscoe, Zingiberaceae) Flakes, Ginger (Zingiber Officinale Roscoe, Zingiberaceae) Fresh, Ginger (Zingiber Officinale Roscoe, Zingiberaceae) Juice, Ginger (Zingiber Officinale Roscoe, Zingiberaceae) Juice Powder, Ginger (Zingiber Officinale Roscoe, Zingiberaceae) Oil, Ginger (Zingiber Officinale Roscoe, Zingiberaceae) Powder, Ginger (Zingiber Officinale Roscoe, Zingiberaceae) Slices Dried, Ginger (Zingiber Officinale Roscoe, Zingiberaceae) Tbc, Ginger (Zingiber Officinale Roscoe, Zingiberaceae) Whole, Ginger (Zingiber Officinale Roscoe, Zingiberaceae) Whole Dried, Glycorrhiza Glabra (Mulethi), Glycyrrhiza Glabra (Licorice) Extract, Glycyrrhiza Glabra (Licorice) Powder, Glycyrrhiza Glabra (Licorice) Root-Dry Extract, Glycyrrhiza Glabra (Licorice)Root-Powder, Gram Flour/Besan, Green Cardamom, Green Chilli Fresh, Green Coffee Bean Extract Powder, Green Gram Whole (Moong Sabut), Green Pepper-Fresh Organic, Green Tea Extract, Grnelina Arborea, Groundnut, Groundnut Oil Cold Pressed, Guar Seeds, Guava (Psidium Guava) Powder, Guava Extracts (Psidium Gauva), Guava Fruits, Guava Leaves, Guava Leaves Powder, Guavas Dried, Guavas Fresh, Guggul (Commiphora Wightii), Gymnema Sylvestre (Gurmar/Gudmar) Dried, Gymnema Sylvestre(Gurmar/Gudmar), Gymnema Sylvestre(Gurmar/Gudmar) Extract, Gymnema Sylvestre(Gurmar/Gudmar) Leaves, Gymnema Sylvestre(Gurmar/Gudmar) Powder, Hedychium Spicatum (Kapoor Kachri/Gandh Amalika/Shati), Hemidesmus Indicus (Sarsaparilla), Henna (Lawsonia Inermis/Alba), Henna Leaves Powder, Henna Powder, Hibiscus, Hibiscus Rosasinensis Extract, Hibiscus Rosasinensis Powder, Hibiscus Sabdariffa, Holarrhena Antidysenterica (Kutaja/Kurchi), Indian Borage (Coleus Amboinicus/Mexican Mint) Leaves Powder, Indigofera Tinctoria (Tarum/Nila/True Indigo), Indigofera Tinctoria (Tarum/Nila/True Indigo) Powder, Insulin Leaf Powder ( Costusigneus) And Insulin Leaf Dried Costus Igneus), Insulin Plant, Inula Racemosa (Inula Racemosa/Pushkarmool), Jackfruit, Jamun (Java Plum/Indian Blackberry/Syzygium Cumini), Jamun (Java Plum/Indian Blackberry/Syzygium Cumini) Seed Powder, Justicia Adhatoda(Malabar Nut/ Adhatoda/Vasa/Vasaka/Kali Basuti), Justicia Adhatoda(Malabar Nut/ Adhatoda/Vasa/Vasaka/Kali Basuti) Dried, Justicia Adhatoda(Malabar Nut/ Adhatoda/Vasa/Vasaka/Kali Basuti) Extract, Justicia Adhatoda(Malabar Nut/ Adhatoda/Vasa/Vasaka/Kali Basuti) Powder, Kali Musli, Karanji/Pongam (Pongamia), Karinochi/Negundo (Vitex Ncgundo), Kidney Beans/Rajma Chitra (Phaseolus Vulgaris), L.(Creeping Brinjal), Lemon Fresh, Lentil, Mace, Mace Powder, Maize (Corn), Maize Grain, Maize/Corn Flour, Malkangni (Celastrus Paniculata), Mango (Fresh), Mango (Sliced Dried), Mango Powder/ Aamchur, Manjistha (Rubia Cordifolia), Manjistha (Rubia Cordifolia) Extract, Manjistha (Rubia Cordifolia) Powder, Maranta Erundinacea, Marodphali (Helicteres Isora), Matki/Moth Bean, Matricaria Chamomilla(Chamomile/Chamomile), Matricaria Chamomilla(Chamomile/Chamomile) Extract, Matricaria Chamomilla(Chamomile/Chamomile) Powder, Medicago Sativa (Alfalfa), Medicago Sativa (Alfalfa) Powder, Melia Dabia Cay (Wild Neem), Menoharmony Full Spectrum Standardized Extract, Mentha/Mint Arvensis Oil (M. Arvensis), Milk Thistle Mimosa, Mimosa Pudica (Lajwanti), Mimosa Pudica (Lajwanti) Powder, Mint Powder, Mint Tea, Mint/Mentha, Mint/Mentha/Pudin, Miswak (Salvadora Persica), Momordica Charantia Extract, Moringa Dried Leaves, Moringa Extract, Moringa Fruit Powder, Moringa Leaf (Dried), Moringa Leaves, Moringa Oleifera Leaf Powder, Moringa Oleifera Leaves Extract, Moringa Powder, Moringa Seed, Moringa Seed Oil, Moringa Tea, Motha, Mucuna Pruriens (Cowage,/Cowitch/Kaunch) Seed, Mucuna Pruriens (Mucuna), Mucuna Pruriens (Mucuna) Extract, Mucuna Pruriens (Mucuna) Powder, Murraya Koenigii (Curry Leaf) Extract, Muskdana (Abelmoschus Moschatus), Mustard, Mustard - Black, Mustard Seed Extract, Nagarmootha (Cyperus Rotundus) Extract, Nagarmotha (Nutgrass/Purple Nutsedge/Cyperus Scariosus), Nagkesar (Mesua Fera), Natural Herbal Henna Powder, Nettle (Urtica), Niger (Guizotia Abyssinica), Nishoth (Operculina Terpethum), Nochi Dried (Nirgundi /Five-Leaved Chaste Tree/Vitex Negundo), Non-Basmati Paddy, Nutmeg (Dried), Nutmeg Mace (Dried), Nutmeg Powder, Nutmeg Shelled (Dried), Nutmeg Shelled (Dried), Nutmeg Whole, Nyctanthes Arbor-Tristis (Coral Jasmine/Night Jasmine/Shefali /Harsingar/Parijatha), Ocimum Basilicum (Holy Basil Purple/Shyama Tulsi/Krishna Tulsi/Sweet Basil), Ocimum Basilicum (Holy Basil Purple/Shyama Tulsi/Krishna Tulsi/Sweet Basil) Oil, Ocimum Basilicum (Holy Basil Purple/Shyama Tulsi/Krishna Tulsi/Sweet Basil) Seed, Ocimum Gratissimum (Lemon Basil/Vana Tulsi/Wild) Leaf, Ocimum Gratissimum(Lemon Basil/Vana Tulsi), Ocimum Gratissimum(Lemon Basil/Vana Tulsi) Seed, Ocimum Sanctum/Ocimum Tenuiflorum(Holy Basil Green/Rama Tulsi), Ocimum Sanctum/Ocimum Tenuiflorum(Holy Basil Green/Rama Tulsi) Extract, Ocimum Sanctum/Ocimum Tenuiflorum(Holy Basil Green/Rama Tulsi) Leaves Powder, Ocimum Sanctum/Ocimum Tenuiflorum(Holy Basil Green/Rama Tulsi) Oil, Ocimum Sanctum/Ocimum Tenuiflorum(Holy Basil Green/Rama Tulsi) Powder, Ocimum Sanctum/Ocimum Tenuiflorum(Holy Basil Green/Rama Tulsi) Seed, Ocimum Sanctum/Ocimum Tenuiflorum(Holy Basil Green/Rama Tulsi) TBC, Onion Flakes, Onion Granules, Onion Powder, Oregano, Paddy Basmati, Paddy Sona Masuri, Papaya (Carica Papaya) Extract, Papaya (Carica Papaya) Leaves, Papaya (Carica Papaya) Leaves Powder, Papaya (Carica Papaya) Leaves Tbc, Papaya (Carica Papaya) Organic, Papaya (Carica Papaya) Slices Dried, Paracress(Tooth Ache Plant), Pea Pulse (Pisum Sativum), Pearl Millet/Bajra, Pepper Dried, Pepper Long/Pippali (Piper Longum), Peppermint Leaves, Peppermint Powder, Peppermint Tea Cut, Phyllanthus Ninth, Phyllanthus Niruri Extract, Phyllanthus Niruri Powder, Phyllanthus Niruri/Phyllanthus Amarus(Bhumi Amla/Bhoomi Amla/Jangli Amla), Phyllanthus Niruri/Phyllanthus Amarus(Bhumi Amla/Bhoomi Amla/Jangli Amla) Powder, Picrorrhiza Kurrooa (Kutki/Kutki), Pigeon Peas,(Split – Arhar,/Tuvar/Toor ), Piper Longum (Long Pepper/Pippali) Powder, Plumbago Zeylanica (Ceylon Leadwort/Doctorbush/Chitrak/Chitrakmool), Plumbago Zeylanica (Ceylon Leadwort/Doctorbush/Chitrak/Chitrakmool) Powder, Pogostemon Cablin(Patchouli/Pat Chauli), Poha/Chivda, Pomegranate Extract, Premna Serratifolia (Clerodendrum Phlomidis/Premna Mucronata/Premna Obtusifolia/Premna Corymbosa/Agnimantha /Agathu,/Tekar/Arni,/Ganiyar), Psoralea Corylifolia (Babchi Seeds), Psyllium Seed (Isobgul), Pumpkins (Fresh) Organic, Quinoa, Ragi/Finger Millet Grain, Rasna, Rauvolfia Serpentina(Indian Snakeroot/Sarpagandha), Rauvolfia Serpentina(Indian Snakeroot/Sarpagandha) Powder, Red Chilli Powder, Red Kidney Beans/Rajma (Phaseolus Vulgaris), Red Lentil, Rice (Basmati Brown), Rice (Basmati White Type 3), Rice (Basmati White), Rice (Basmati), Rice (Beaten), Rice (Brown Flour), Rice (Brown Traditional Basmati), Rice (Fast Cooking Brown), Rice (Non-Basmati), Rice (Parboiled Basmati), Rice (Parboiled), Rice (Red ), Rice (Sona Masuri ), Rice (White Flour), Rice (White Traditional Basmati), Rice Bran, Rose Oil, Rose Petal Tbc, Rose Petals Dry, Roselle/Hibiscus Sabdariffa, Rosmarinus Officinalis(Rosemary/Rosemary), Rosmarinus Officinalis(Rosemary/Rosemary) Oil, Rosmarinus Officinalis(Rosemary/Rosemary) Powder, Rubia Cardifolia (Common Madder/Indian Madder/Manjistha) Extract, Rubia Cardifolia (Common Madder/Indian Madder/Manjistha) Powder, Safed Musli/Chlorophytum Borivilianum, Sancta Fresh (Chico), Sapindus Mukorossi(Soapnut/Reetha), Sapindus Mukorossi(Soapnut/Reetha) Powder, Saraca Asoca(Ashoka Tree/Ashok), Saraca Asoca(Ashoka Tree/Ashok) Extract, Senna, Senna Extract, Senna Leaves, Senna Leaves Powder, Senna Pods, Sesame Black Seeds (Sesamum Indicum Nigrum), Sesame Seeds, Sesbania (Riverhemp) Dried Leaves, Sesbania Grandiflora (Swamp Pea/Agasti/Hathya/Gaach-Munga), Shankhpushpi (Convolvulus Pluricaulis), Sharpunkha (Tephrosia Purpurea), Shyonaka (Oroxylum Indicum/Sona Patha), Sida Cordifolia/Bala/Country Mellow, Sida Cordifolia/Bala/Country Mellow Extract, Slim Tea, Sofanum Trilobetum L.(Creeping Brinjal), Solanum Surattense (Kantakari), Solanum Trilobatum, Sorghum, Sorghum Fodder, Sorghum(Jowar )Flour, Soybean Flour, Soybean Meal-Expeller Var., Spearmint Leaves, Sphaeranthus Indicus (Gorakhmundi Flower Head), Spinosus, Split Green Gram/Moong (Vigna Sp.), Split Lentil, Split Pigeon Pea/Arhar/Red Gram, Stereospermum Colais (Stereospermum Colais), Stevia Rebaudiana(Stevia/Stevia) Extract, Stevia Rebaudiana(Stevia/Stevia) Leaf, Stevia Rebaudiana(Stevia/Stevia) Leaves Dried, Stevia Rebaudiana(Stevia/Stevia) Powder, Sugarcane, Suji/Semolina/Cream Of Wheat, Sunflower, Tamarindus Indica(Tamarind/Imli), Teak (Tectona Grandis), Terminalia Arjuna(Arjun Tree/Arjun), Terminalia Arjuna(Arjun Tree/Arjun) Bark Extract, Terminalia Arjuna(Arjun Tree/Arjun) Extract, Terminalia Arjuna(Arjun Tree/Arjun) Powder, Terminalia Bellerica(Baheda/Baheda), Terminalia Bellerica(Baheda/Baheda) Extract, Terminalia Bellerica(Baheda/Baheda) Powder, Terminalia Chebula(Myrobalan/Haritak/Harad), Terminalia Chebula(Myrobalan/Haritak/Harad) Extract, Terminalia Chebula(Myrobalan/Haritak/Harad) Powder, Tesu Flower (Palash Flower /Butea Monosperma), Thyme (Dried), Tinospora Cordifolia (Giloy) Powder, Tinospora Cordifolia(Guruchi/Giloy), Tinospora Cordifolia(Guruchi/Giloy) Extract, Trachyspermum Ammi(Carom Seeds/Bishop Seeds/Ajwain), Trachyspermum Ammi(Carom Seeds/Bishop Seeds/Ajwain) Oil, Trachyspermum Ammi(Carom Seeds/Bishop Seeds/Ajwain) Powder, Tribulus Terrestris (Gokhru Fruit ), Tribulus Terrestris (Gokhru Large), Tribulus Terrestris (Gokhru Small), Tribulus Terrestris(Bindii/Gokharu/Gorakshu Fruit) Extract, Tribulus Terrestris(Bindii/Gokharu/Gorakshu Fruit) Powder, Trigonella Foenum-Graecum (Fenugreek/Methi), Trigonella Foenum-Graecum (Fenugreek/Methi) Extract, Trigonella Foenum-Graecum (Fenugreek/Methi) Powder, Trigonella Foenum-Graecum (Fenugreek/Methi) Seed, Triphala Extract, Triphala Powder, Tulasi Churna/Powder, Tulis Extract, Tulsi Leaves Dry, Tulsi Leaves Powder, Tulsi Powder, Tulsi Tbc, Turmeric Extract, Turmeric Fresh, Turmeric Oil, Turmeric Powder, Turmeric Roots/Rhizomes Extract (Vi- Active), Turmeric Sliced Dried, Turmeric Tbc, Turmeric Whole-Dried, Urad (Black Gram/Vigna Mungo), Urad (Black Gram/Vigna Mungo) Flour, Urad (Black Gram/Vigna Mungo) Split White, Urad Whole(Black), Vachellia Nilotica Acacia Arabica (Babul), Vachellia Nilotica Acacia Arabica (Babul) Extract, Vachellia Nilotica Acacia Arabica (Babul) Powder, Vai Vidang (Embelia Ribes), Vajradanti (Barleria Prionitis), Valerian Powder, Varuna (Crataeva Nurvala), Vetiveria Zizanioides(Vetiver/Veti Var / Khas), Vidari (Ipomoea Digitata), Vidarikanda (Ipomoea Digitata) Powder, Vitex Negundo Powder, Vridhadaru (Argyreia Speciosa), Wheat, Wheat Flour, Wheat Porridge/Dalia, Wheatgrass Powder, White Pepper, White Pepper Powder, White Sesame, Winter Cherry (Withania Somnifera), Yellow Mustard Ziziphus, Ziziphus Jujuba(Indian Jujuba (Sidr)/Ber)</t>
  </si>
  <si>
    <t>Other Grains, Pastas and Cereals: Pasta (Konjac Carrot Noodles（Rice） 胡萝卜魔芋面（米粒）, Konjac Dry Noodles(Rice), Konjac Noodle/ Pasta (Angel hair、Vermicelli), Konjac Noodle/ Pasta (Fettuccine, Tagliatelle, Linguine), Konjac Noodle/ Pasta (Knot), Konjac Noodle/ Pasta (Lasagne), Konjac Noodle/ Pasta (Penne), Konjac Noodle/ Pasta (Rice、Perles), Konjac Noodle/ Pasta (Spaghetti)-Simple Truth Organic shirataki spaghetti style noodles, Konjac Noodle/ Pasta (Spaghetti、Shirataki), Konjac Noodle/Pasta (Angel Hair)-Miracle noodle organic angel hair style, Konjac Noodle/Pasta (Fettuccine)- Miracle noodle organic fettuccine style, Konjac Noodle/Pasta (Fettuccine)-Simple Truth Organic shirataki Fettuccine style noodles, Konjac Noodle/Pasta (Rice)- Miracle Rice organic rice style, Konjac Noodle/Pasta (Spaghetti)- Miracle Noodle Spaghetti style, Konjac Oat Noodles(Rice), Konjac Spinach Noodles(Rice), Konjac Turmeric Noodles(Rice)); Dry/Baking Goods: Flours and Meals (Konjac Gum Powder)</t>
  </si>
  <si>
    <t>Other Grains, Pastas and Cereals: Pasta (Carrot/Oat/Seaweed/Pumpkin/Spinach Konjac Angel Hair, Carrot/Oat/Seaweed/Pumpkin/Spinach Konjac Couscous, Carrot/Oat/Seaweed/Pumpkin/Spinach Konjac Fettuccine, Carrot/Oat/Seaweed/Pumpkin/Spinach Konjac Knot, Carrot/Oat/Seaweed/Pumpkin/Spinach Konjac Lasagne, Carrot/Oat/Seaweed/Pumpkin/Spinach Konjac Noodles, Carrot/Oat/Seaweed/Pumpkin/Spinach Konjac Pasta, Carrot/Oat/Seaweed/Pumpkin/Spinach Konjac Penne, Carrot/Oat/Seaweed/Pumpkin/Spinach Konjac Rice, Carrot/Oat/Seaweed/Pumpkin/Spinach Konjac Shirataki, Carrot/Oat/Seaweed/Pumpkin/Spinach Konjac Spaghetti, Carrot/Oat/Seaweed/Pumpkin/Spinach Konjac Tagliatelle, Carrot/Oat/Seaweed/Pumpkin/Spinach Konjac Udon, Dried konjac noodles/rice/spaghetti/konjac/fettuccine, Dried konjac noodles/rice/spaghetti/konjac/fettuccine with flavor buckwheat, Dried konjac noodles/rice/spaghetti/konjac/fettuccine with flavors carrot, oat, seaweed, pumpkin, spinach, Konjac Angel Hair, Konjac Angel Hair, Couscous, Fettuccine, Knot, Lasagne, Noodles, Pasta, Penne, Rice, Shirataki, Spaghetti, Tagliatelle, Udon with buckwheat flavor, Konjac Couscous, Konjac Fettuccine, Konjac Knot, Konjac Lasagne, Konjac Noodles, Konjac Pasta, Konjac Penne, Konjac Rice, Konjac Shirataki, Konjac Spaghetti, Konjac Tagliatelle, Konjac Udon); Dry/Baking Goods: Flours and Meals (Konjac refined powder/flour/gum), Flours and Meals (Konjac powder/flour/gum)</t>
  </si>
  <si>
    <t>Other: Ajwain Powder, Ajwain/Ajwain Seed, All Spice Powder, Almond, Almond Roasted, Aloe Vera Leaves, Aloe Vera Powder, Amaranth Flour, Amla Dried, Amla Powder, Amla TBC, Anantmool (Hermidesmus Indicus), Arhar Dal/ Red Gram / Pigeon Pea (Toor Dal), Ashwagandha (Withania Somnifera) Powder, Ashwagandha Root, Bajra Flour/Atta, Barley Flour, Barley Grass Powder, Barley Porridge/Dalia, Barley Whole, Barley-Dehulled, Basil/Tulsi, Basmati Rice, Basmati Rice Brown, Basmati Rice White (Pusa - 121), Bay Leaf Powder, Bay Leaves, Bengal Gram Flour, Bengal Gram Whole, Biryani Masala, Black Cumin, Black Gram White Whole/ Urad Gota, Black Mustard Seed, Black Pepper, Black Pepper Powder, Black Tea, Brahmi Powder, Brahmi/Bacopa Monnieri, Broken Rice, Brown Gram/Gram/Chana (Cicerarietinum)/ Kala Chana, Buck Wheat, Buckwheat Flour, Cardamom, Cardamom Large(Black), Cardamom Powder, Cashew Kernel, Cashew Nut (Roasted &amp; Salted), Cashew Whole, Castor Oil, Chai Masala, Chamomile (M,Chamomile), Chana Dal, Chana Masala, Chat Masala, Chia, Chilli Powder/Red Chilli Powder, Chilli Whole, Chitra Kidney Beans/Rajma (Phaseolus Vulgaris), Cinnamon, Cinnamon Powder, Clove Powder, Coconut Oil, Coffee Powder, Coriander Powder, Coriander Seed, Cowpea Red, Cowpea Split, CTC Tea, Cumin Powder, Cumin Whole, Curry Leaf, Curry Leaf Powder, Cyperus Rotundus (Nagarmootha), Dosa Rice, Dried Clove, Dried Tomato Slices, Dry Rose Petals, Fennel /Saunf, Fennel Powder, Fennel Tea Bag Cut, Fenugreek Powder, Fenugreek Seed (Methi Seed), Flax Seed/Flaxseed Seeds, Flaxseed Oil, Flaxseed Powder, Foxtail Millet, Foxtail Millet Broken ( Rava ), Garam Masala, Garlic, Garlic Flakes, Garlic Powder, Giloy Powder, Ginger Flakes, Ginger Powder, Ginger Whole (Dried), Green Gram Flour/Moong Flour, Green Gram Split Yellow / Moong Dal - Yellow, Green Gram Whole(Moong Sabut)/Moong Whole/Mung Bean Whole, Green Gram/Moong Dhuli/Moong Dal Mogar/Yellow Mung Dal Mogar, Green Peas, Green Tea, Groundnut / Peanut Oil (Crude), Groundnut/Peanut, Groundnut/Peanut Oil (Edible Grade), Guduchi/Giloy, Handpounded Rice Sonamasuri, Harad/Haritaki Fruit/Haritaki Whole, Henna Leaves, Henna Powder, Hibiscus, Hibiscus Rosasinensis Powder, Idli Rice, Idly Rava, Indigo Powder, Jaggery, Jaggery Powder, Jatamanasi, Jowar Flour, Kabuli Chana, Kalmegh Powder, Kalonji/Nigella, Kasuri Methi, Kodo Millet Broken ( Rava ), Kodo/Kodon Millet, Latte Mix Turmeric/ Turmeric Latte, Lemon Grass, Lemon Grass Root Powder/Lemon Grass Powder, Lentil, Little Millet, Mace, Mace Powder, Maida, Maize (Corn) Flake, Maize Grain, Maize/ Corn Flour, Maize/ Corn Porridge (Dalia), Malka Whole/ Masoor Malka/Masoor Gota, Mango Powder/Aamchur, Manjista/Rubia Cordifolia Powder, Masoor Dal, Masur/Masoor Dhuli Whole, Mix Dal, Moong Dal Flakes, Moong Dal/Mong Split Green/Moong Chilka, Moringa Leaf Powder, Moringa Leaves, Moringa TBC, Moth Bean, Moth Dal, Multigrain Atta, Mustard, Mustard Oil, Neem Leaves, Neem Leaves Powder, Non Basmati Rice, Nutmeg Powder, Nutmeg Whole, Oat Flour, Oats (Rolled Grains), Oats(Flakes), Oats(Seed/Grains), Onion Flakes, Onion Powder, Oregano, Pav Bhaji Masala, Pearl Millet /Bajra, Pepper Long/Pippali (Piper Longum)/Long Pepper, Poha / Chivda, Proso Millet, Psyllium Husk (Isobgul), Psyllium Husk Powder, Pumpkin Seeds, Quinoa (Indian Quinoa), Ragi, Ragi Flour, Raisins/Kismis, Rajma Masala, Rasam Masala, Red Chilli (Whole), Red Chilli Flakes, Red Chilli Powder, Red Kidney Beans/Rajma (Phaseolus Vulgaris), Red Poha Medium, Red Poha Thick, Red Poha Thin, Red Rice, Red Rice Flour, Red Rice Rava, Rice Flakes, Rice Puffed, Rice Sonamasuri, Rice Sonamasuri Brown, Roasted Brown Flaxseed, Roasted Gram/Chana, Sabji Masala, Safflower Seed Oil (Kardi Seed Oil), Saffron, Sambhar Powder, Sawan/Barnyard Millet, Seed Mix, Sesame Oil /Gingelly Oil, Shatavari, Shatavari Powder, Soap Nut Powder, Soap Nut Seeds, Sorghum, Sorghum Flour/ Jowar Flour, Soyabean / Soyabean White, Soyabean Flour, Spearmint Leaves, Split Lentil/Masoor Dal, Star Anise, Stevia, Stevia /Stevia Rebaudiana Powder, Sugar, Sugar (Brown/ Natural), Suji/ Semolina/ Cream Of Wheat, Sunflower Oil - Edible Grade, Tamarind, Triphala Powder, Tulsi Green Tea, Tulsi Powder, Turmeric Powder, Urad Dal / Urad Split (Chilka), Urad Dhuli, Urad Whole, Vanilla, Vanilla Powder, Virgin Coconut Oil, Walnut, Walnut Kernels, Water Melon Seeds, Wheat, Wheat Bran, Wheat Flakes, Wheat Flour, Wheat Grass Powder, Wheat Pasta, Wheat Porridge / Dalia, White Pepper, White Pepper Powder, White Rice Rava, Yellow Mustard</t>
  </si>
  <si>
    <t>Other Grains, Pastas and Cereals: Quinoa (Organic Red Quiona Seeds), Quinoa (Organic White Quinoa); Other: Contract service provider for warehouse storage of dry and cold goods, Third party warehousing of finished/packaged organic and non-organic food products. Contracted repackagin/assembly of cased food products, to include re-labeling as requested.</t>
  </si>
  <si>
    <t>Other: Almond Flour (56007), Almonds, Raw (57008), Amaranth Grain ( 56210), Apricots, Dried Unsweetned (55620), Avocado Oil, Beet Sugar (56911), Brazil Nuts (57020), Cacao Nibs, Raw (56676), Cacao powder, Raw (56678), Cashew, Whole Raw (57096), Chia Seed, Black (56244), Chocolate Covered Cocomels Bites-Sea Salt, Chocolate Covered Cocomels Bites-Vanilla, Chocolate Covered Cocomels Crispy Bites in 60% Chocolate, Chocolate Covered Cocomels Toffee Bites in 60% Chocolate, Coconut Flour (56917), Coconut Milk Caramels Coconut Sugar Flavor, Coconut Milk Caramels Original Flavor, Coconut Milk Caramels Sea Salt Flavor, Coconut Milk Caramels Vanilla Flavor, Coconut Milk Powder (55835), Coconut Oil, Coconut Oil, Coconut Oil and Ghee (tub), Coconut Oil Virgin (51725), Coconut Sugar (56915), Coconut, unsweetned, shredded (55671), Crystallized Ginger Dices (55694), Crystallized Ginger Slices (55693), Dark Brown Sugar (56912), Erythritol (56923), Erythritol Confectioner's Power (56901), Eucalyptus EO Roll-On (67901), Extra Virgin Olive Oil (51831), Extra Virigin Coconut Oil (14oz), Flax Seed Meal (56265), Flax Seed Meal, Golden (56267), Flax Seeds (56260), Flax Seeds, Golden (56268), Ghee, Ghee (12 oz), Ghee Clarified Butter (12oz), Ghee Clarified Butter (14oz), Ghee Clarified Butter (7.5oz), Ghee w/Pink Himalayan Salt (12oz), Ghee w/Pink Himalayan Salt (14oz), Ghee w/Pink Himalayan Salt (tub), Goldenberries (55698), Hemp Seeds Heart (56243), Jojoba Oil (57713), Lavender EO Roll-On (67905), Lavender, Essential Oils (57430), Lemon Essential Oils (57420), Let it be Organically Essential Oils Kit (57470, 57430, 57450, 57420), Mango Bites (55702), Milled White Chia Seed (56248), Millet, Hulled (56285), Monk Fruit with Erythritol (1 to 1 Sugar Replacement), Non-Fat Dry Milk Powder (55832), Oat Bran (55962), Oat Milk Powder, Oats, Rolled (56303), Oats, Steel Cut (56105), Peppermint EO Roll-On (67906), Peppermint Essential Oil (57450), Pine Nuts (57016), Plant Protein Chocolate, Plant Protein Unflavored, Plant Protein Vanilla, Popcorn (56305), Popcorn (56305) - 6306, Psyllium husk whole (55968), Pumpkin Powder, 16-oz, Pumpkin Powder, 4-oz, Pumpkin Powder, 8-oz, Pumpkin Seed Oil (51841), Pumpkin Seed Protein (52227), Pumpkin Seeds Unsalted (57023), Quinoa ( 56310), Quinoa-Tri-Colored (56314), Refined Coconut Oil, Refined Coconut Oil, Refined Coconut Oil, Refined Coconut Oil, Refined Coconut Oil (14 oz), Refined Coconut Oil (14oz), Sesame Seed Oil, Extra Virgin (57724), Sesame Seeds (57033), Soy Milk Powder (55836), Sprouted Brown Rice (56101), Steel Cut Oats (56105) - 6295, Sucanat Cane Sugar (56965), Sunflower Oil (51846), Sunflower Seeds, Raw Unsalted Hulled (57052), Tapioca Flour (56184), Tea Tree EO Roll-On (67907), Tea Tree, Essential Oil (57470), Textured Soy Granules (56335), Triple Omega Seed Mix, Unrefined Coconut Oil, Unrefined Coconut Oil, Unrefined Coconut Oil, Unrefined Coconut Oil (14oz/25oz), Walnuts, Raw (57074), White Chedder, White Chia Seeds (56247), Xylitol</t>
  </si>
  <si>
    <t>Processed  Items: Cambodian Brown Palm Sugar, Cambodian Brown Parboiled Rice 3% Broken, Cambodian Brown Parboiled Rice 5% Broken, Cambodian Brown Rice 5% Broken, Cambodian Extra Long Grain Brown Parboiled Rice 3% Broken, Cambodian Extra Long Grain Brown Parboiled Rice 5% Broken, Cambodian Extra Long Grain Brown Rice 100% Broken, Cambodian Extra Long Grain Brown Rice 3% Broken, Cambodian Extra Long Grain Brown Rice 5% Broken, Cambodian Extra Long Grain Parboiled Rice 3% Broken, Cambodian Extra Long Grain Parboiled Rice 5% Broken, Cambodian Extra Long Grain White Rice 10% Broken, Cambodian Extra Long Grain White Rice 100% Broken, Cambodian Extra Long Grain White Rice 15% Broken, Cambodian Extra Long Grain White Rice 25% Broken, Cambodian Extra Long Grain White Rice 3% Broken, Cambodian Extra Long Grain White Rice 5% Broken, Cambodian Jasmine Long Grain Brown Rice 100% Broken, Cambodian Jasmine Long Grain Brown Rice 3% Broken, Cambodian Jasmine Long Grain Brown Rice 5% Broken, Cambodian Jasmine Long Grain Rice 100% Broken, Cambodian Jasmine Long Grain Rice 3% Broken, Cambodian Jasmine Long Grain Rice 5% Broken, Cambodian Jasmine Rice 5% Broken, Cambodian Kampong Speu Palm Sugar, Cambodian Long Grain Brown Rice 100% Broken, Cambodian Long Grain Brown Rice 3% Broken, Cambodian Long Grain Brown Rice 5% Broken, Cambodian Long Grain Parboiled Rice 3% Broken, Cambodian Long Grain Parboiled Rice 5% Broken, Cambodian Long Grain White Rice 10% Broken, Cambodian Long Grain White Rice 100% Broken, Cambodian Long Grain White Rice 15% Broken, Cambodian Long Grain White Rice 25% Broken, Cambodian Long Grain White Rice 3% Broken, Cambodian Long Grain White Rice 5% Broken, Cambodian Medium Grain Parboiled Rice 5% Broken, Cambodian Nectar Palm Sugar, Cambodian Palm Sugar, Cambodian Parboiled Rice 5% Broken, Cambodian Red Jasmine Rice, Cambodian Red Pepper, Cambodian Semi-Milled Jasmine Long Grain Rice 5% Broken, Cambodian White Pepper, Cambodian White Rice 5% Broken, Cambodian White Rice Milled Run; Other Grains, Pastas and Cereals: Paddy</t>
  </si>
  <si>
    <t>Other Grains, Pastas and Cereals: Cereal (Organic oat flakes, oat porridge,); Dry/Baking Goods: Baking Chips and Bars (coconut natural ships, coco nut flakes, Coconut ships toast,); Dairy: Butter (Almond butter, cashew butter, mixed nut butter, peanut butter); Other: Cansugar, gluten free products,</t>
  </si>
  <si>
    <t>Processed  Items: Cereal (Bulghur, Freekeh); Other Grains, Pastas and Cereals: Cereal (Corn), Cereal (Corn); Other: Brown Lentil, Chickpea, Green lentil, Red Football Lentil, Yellow Split Lentil, Red lentil, Red Split Lentil, Yellow Football Lentil, Yellow Football Lentil, Yellow Lentil, Red Split Lentil, Red lentil, Yellow Split Lentil, Red Football Lentil, Green lentil, Chickpea, Brown Lentil, Brown Red lentil</t>
  </si>
  <si>
    <t>Processed  Items: Fluid Soy Lecithin, Soybean meal, Soybean oil (Degummed &amp; Decanted), Soybean screenings/Culls; Other Grains, Pastas and Cereals: Soybeans</t>
  </si>
  <si>
    <t>Other Grains, Pastas and Cereals: Amaranth*, Beans*, Black beans*, Black quinoa*, Chia*, Chickpeas, Kidney Beans*, Lupini beans, Quinoa, Red quinoa*, Tricolor quinoa *, White quinoa*; Dry/Baking Goods: Camu Camu Powder*; Other: Acai Powder*, Gelatinized maca powder*, Maca Powder*, Tumeric Powder*</t>
  </si>
  <si>
    <t>Other Grains, Pastas and Cereals: Amaranth, Quinoa (Red Quinoa), Quinoa (Tri-Color Quinoa), Quinoa (White Quinoa), Quinoa (Regenerative Black Quinoa; Regenerative Tricolor Quinoa; Regenerative White Quinoa; Regenerative Red Quinoa;), Regenerative Amaranth; Oils &amp; Oleoresins: Oils (High Oleic Sunflower Oil), Oils (Organic Extra Virgin Olive Oil); Nuts/Seeds: Chia Seeds; Health Products: Maca Powder; Gelatinized Maca Powder, Powders (Raw Maca, Turmeric, Camu Camu whole fruit, Acai); Fruits/Vegetables: Beans (Black Beans), Beans (Gigante Beans), Beans (Red Kidney Beans), Chickpeas, Lupini Beans (Tarwi)</t>
  </si>
  <si>
    <t>Processed  Items: Cereal (Quinoa Flakes, Quinoa Puffs); Other Grains, Pastas and Cereals: Quinoa (Royal Quinoa Black, Royal Quinoa Mix, Royal Quinoa Red, Royal Quinoa White); Dry/Baking Goods: Flours and Meals (Quinoa Flour)</t>
  </si>
  <si>
    <t>Other: #Brokering and trading of organic commodities., *Soybeans, Flax, Grains (buckwheat, corn, cornmeal, rice), Legumes (black turtle, fava beans, great northern, kidney beans, red beans, soybeans, soybean meal), Pulses (chickpeas, green peas, lentils)</t>
  </si>
  <si>
    <t>Other: #Brokering and trading of organic commodities., Flax, Grains (buckwheat, corn, cornmeal, rice), Legumes (black turtle, fava beans, great northern, kidney beans, red beans, soybeans, soybean meal), Pulses (chickpeas, green peas, lentils), Soybeans</t>
  </si>
  <si>
    <t>Other Grains, Pastas and Cereals: Quinoa (Organic Quinoa), Quinoa (Organic Red Quinoa), Wheat (Organic Buckwheat Groats); Nuts/Seeds: Cashew Nuts (Organic Cashews Raw Whole), Cashew Nuts (Organic Raw Cashew Pieces), Hazelnut (Organic Filbert), Hazelnut (Organic Hazelnuts), Macadamia (Organic Macadamia Nuts), Nuts (Organic Brazil Nuts), Nuts (Organic Raw Almonds), Organic Black Raisins, Organic Black Sesame Seeds, Organic Brown Flax, Organic Chia Seeds, Organic Flax Seeds, Organic Golden Flax, Organic Green Lentils, Organic Medjool Dates, Organic Millet Seeds, Organic Millet Seeds Hulled, Organic Natural Sesame Seeds, Organic Prune's Pitted, Organic Pumpkin Seeds Raw (peiptas), Organic Sesame Seeds Hulled, Organic Shelled Sunflower Seeds, Pecans (Organic Pecans), Pistachios (Organic Pistachios in Shell Roasted Salted), Walnuts (Organic Shelled Walnuts), Walnuts (Organic Walnuts Halves and Pieces); Fruits/Vegetables: Beans (Organic Adzuki Beans), Beans (Organic Black Beans), Beans (Organic Garbanzo Beans), Beans (Organic Red Kidney Beans), Beans (Organic Soy Beans), Berries (Organic Dried Blueberries), Berries (Organic Dried Cranberries), Berries (Organic Dried Goji Berries), Dried Figs Diced, Leafy Greens (Organic Amaranth), Organic Chickpeas, Organic Cocoa Nibs, Organic Coconut (Desicated), Organic Dried Apples, Organic Dried Apricots, Organic Dried Apricots Diced, Organic Dried Cherries, Organic Dried Mango, Organic Turkish Figs; Bread/Bakery/Snacks: Packaged Snacks and Chips (Coconut Desiccated chips, Fine &amp; Medium), Packaged Snacks and Chips (Organic Banana Chips Sweetened), Packaged Snacks and Chips (Organic Toasted Coconut Chips), Popcorn (Organic Popcorn Kernels)</t>
  </si>
  <si>
    <t>Processed  Items: Cereal (Amaranth Flakes, Amaranth Pop, Cañahua Flour, Cañahua Pop, Dehydrated Quinoa, Precooked Amaranth Flake (instant), Precooked Amaranth Flour, Precooked Cañahua Flour, Precooked Quinoa, Precooked Quinoa Flake (instant), Precooked Quinoa Flour, Quinoa Extrudate, Quinoa Flake, Quinoa Grits , Quinoa Pop); Other Grains, Pastas and Cereals: Cereal (Amaranth Grain, Cañahua Grain), Quinoa (Royal Quinoa Black, Royal Quinoa Red, Royal Quinoa Tricolor, Royal Quinoa White); Dry/Baking Goods: Flours and Meals (Amaranth Flour, Quinoa Flour); Other: Seeds (Chia Black, Chia White)</t>
  </si>
  <si>
    <t>Processed  Items: Arrowroot Powder, Dehydrated Foods (Amla (Goose Berry)- (Phyllanthus emblica), Garlic Flakes/Powder, Lemon peals, Onion Flakes/Powder); Other Grains, Pastas and Cereals: Rice (Rice), Sorghum (Sorghum Flour); Nuts/Seeds: Seeds (Flax seed, Mustard); Health Products: Aloe Vera (Ghritkumari (Aloe Vera);), Herbs (Bay leaf, Cardamom large, Cumin Seed, Jasmine flower, Mace, Pipli (Piper Longum), Turmeric Extract, White Pepper), Herbs (Anantmool (Hemidesmus indicus-Sarasperella), Arjuna Power(Terminalia arjuna), Ashwagandha Powder, Ashwagandha/ Ashwagandha TBC, Black Pepper TBC, Brahmi TBC/Brahmi Cut &amp; Sifted (Bacopa monnieri), Cardamom, Centella asiatica (Brahmi), Chamomile (Matricaria Chamomile) , Chilli Flakes, Chilli Powder, Chilli Whole, Cinnamon, Clove, Coriander Seed, Fennel Seed, Fenugreek, Ginger Dry/Ginger TBC, Ginger Slice, Hibiscus flower, Krishna Tulsi, Lemon grass TBC, Liquorice/Mulethi (Glycyrrhiza glabra), Moringa, Nutmeg, Peppermint leaf, Rama Tulsi, Rose Dry, Rose Petal TBC, Senna Leaf, Shatavari, Spearmint Leaves, Star Anise, Triphala Powder, Tulsi,Vana , Turmeric); Fruits/Vegetables: Citrus (Orange Peels), Vegetables (Chicory); Condiments and Sweeteners: Sweeteners (Stevia Leaf Dry, Sugar); Beverage Related Products: Tea (Black Tea , Green Tea; TBC, Masala Chai); Other: Beans (Soyabean), Chickpeas</t>
  </si>
  <si>
    <t>Processed  Items: Cereal (Organic Cooked Rice (Different varieties of rice), Organic Porridge Rice (Different varieties of rice)); Other Grains, Pastas and Cereals: Rice (Organic Cooked Jasmine Rice (Shirakiku Brand))</t>
  </si>
  <si>
    <t>Trees/Whole Plant Products/Flowers: Transplants (Broccoli Transplants), Transplants (Brussel Sprout Transplants), Transplants (Cabbage Transplants), Transplants (Eggplant Transplants), Transplants (Pepper Transplants), Transplants (Squash Transplants), Transplants (Summer Squash Transplants), Transplants (Tomato Transplants), Transplants (Watermelon Transplants); Other Grains, Pastas and Cereals: Barley (Barley), Other Other Grains, Pastas and Cereals - Rye, Sorghum (Sorghum), Wheat (Wheat); Fruits/Vegetables: Other Fruits/Vegetables - Peppers, Other Fruits/Vegetables - Tomatoes, Other Fruits/Vegetables - Zucchini, Vegetables (Broccoli), Vegetables (Brussels Sprouts), Vegetables (Cabbage), Vegetables (Corn), Vegetables (Cucumber), Vegetables (Soybeans), Vegetables (Summer Squash), Vegetables (Sweet Corn), Vegetables (Yellow Squash), Vegetables (Zucchini)</t>
  </si>
  <si>
    <t>Other: Beans (garbanzo, various), Cocoa Powder (Natural Cocoa Powder), Corn (Tortilla White, Chip White), Cranberries (Cranberries, Freeze Dried Cranberry Powder), Dehydrated Vegetables, Eggs (dried), Extracts (Capsicum Extract), Extracts (Panax Ginseng Extract), Extracts (Various), Fig Paste (Soft Fig Paste), Flour (Amaranth Flour), Flour (coconut, rice), Flour (Pregelatinized Wheat Starch), Flour (Sorghum Flour), Fruit Puree (date paste, tomato paste, vegetable and fruit purees), Grains (flax, quinoa, crisp rice, rice. ), Herbs &amp; Spices (Dill Weed), Herbs &amp; Spices (dried, ground, oleoresins, various), Herbs &amp; Spices (Garlic, Dehydrated (flakes, chopped, minced, ground, granulated, powder)), Herbs &amp; Spices (Ground Nutmeg), Herbs &amp; Spices (Paprika), Herbs &amp; Spices (Parsley Flakes), Herbs &amp; Spices (Peppercorn, Black, Fine Cut, White), Ingredient (1292250 MicroGARD 200 CO, TICorganic Stabilizer (ICE-200)), Juice (citrus, concentrates), Milk (dried), Mushrooms (Shiitake), Oils (canola, coconut, palm, soybean, sunflower), Powder (Chili Green Pepper), Powder (cocoa, coffee, fruit, gums, kelp, lecithin, maltodextrin, maple syrup, moringa, mushroom, plant, tea, vegetable, vinegar), Powder (Jalapeno Powder), Powder (Spray Dried Honey Powder), Powder (sweet potato powder), Sauce (soy, tamari, worcestershire), Seeds (Cumin seed), Seeds (flax, sunflower), Shortening, Starch (arrowroot, corn, potato, tapioca, wheat), Sugar (brown, cane, coconut, powdered), Syrup (agave, honey, malt, maple, molasses, rice syrup solids, tapioca), Tea (Black Instant Tea), Vinegar (apple cider, white distilled), Yeast (extract)</t>
  </si>
  <si>
    <t>Other: Broker/Trader of Barley (Flakes, Flour, Grain), Beans (Adzuki, Black Turtle), Buckwheat, Chia, Chickpeas, Flaxseed (Brown, Milled), Hard Red Wheat Berries, Lentils (Green, Red), Millet, Pea Flour, Peas, Quinoa, Rye (Berries, Grain), Soybeans, Sunflower Kernels, and Wheat</t>
  </si>
  <si>
    <t>Seasonings: Brown Mustard, Garam Masala, Mustard Black; Processed  Items: Bajra flour/atta, Basmati Rice - Brown, Basmati Rice - White, Biriyani Masala, Black Pepper Powder, Black Tea, Chana Dal, Chana Masala, Cheela Mix, Cilantro Lime Rice, Cinnamon powder, Coriander Powder, CTC Tea, Cumin Powder, Garlic ginger paste, Garlic paste, Ginger paste, Gram Flour/Besan, Green Gram Whole Sabut, Green Tea, Green Tea and Lemon, ilde rice, Instant Poha, Instant Upma, Jasmine rice, Jowar Flour, Kala chana, Khaman Dhokla Ready Mix, kitchen king masala, Lentil flour (chickpea flour), Masala Rava Idli Ready Mix, Masala Upma Ready mix, Masoor Dal, Multi Grain Flour, Multigrain Dosa Mix, Mumbai Pau Bhaji Masala, Oats Dosa Mix, Pakora mix, Poha Flattened Rice, Quinoa, Ragi Dosa Ready Mix, Ragi Flour, Rajama Masala, Rasam powder, Rava Dosa Ready Mix, Rava idli Ready mix, Red Chilli Powder, Rice Dosa Ready Mix, Rice flour, Rice Idli Ready Mix, Rice sonamasoori brown, Sambhar powder, Smoky chipotle chickpeas curry, Tamarind Paste, Tulsi Ginger Tea, Turmeric Coconut Basmati Rice, Turmeric Powder, Turmeric Whole Dried, Uttapam Mix, Vada Ready Mix, Wheat Flour, Yellow Lentils with Chickpeas Curry; Oils &amp; Oleoresins: Mustard oil (Refined), Peanut oil, Sesame Seed Oil, Sunflower Oil; Condiments and Sweeteners: Butter chicken simmer sauce, Chicken korma simmer sauce, Kerala coconut curry simmer sauce, Madras Curry Simmer Sauce, Rogan josh simmer sauce, Sugar (Brown/Natural), Tikka masala simmer sauce, White Sugar; Other: Ajwain, Black Gram with Red Kidney Beans Curry, Black Pepper, Brown Sona Masori Rice, Chickpea/ Kabuli Chana, Chitra Rajma, Coffee Powder, Coriander Seed / Whole, Cumin seed, Curry (Red lentil curry), Fennel/ Saunf, Fenugreek, Flax Seed, foxtail millet, Grass fed Ghee, Idly rava, Jowar, Kodo/Kodon Millet, Lemon Basmati Rice, Little Millet, Little millet Dosa, moong dal-yellow, Non Basmati Rice, Pearl millet / Bajra, Ragi / Finger Millet Grain, Red Kidney Beans, Red Poha, Rice Sonamasuri, Sabji Masala, Sona Masuri White Rice, Suji/Semolina/ Cream of Wheat, Sunflower seed, Tandoori masala, Tikka Masala Chickpeas Curry, Toor Dal, Urad black gram, Urad Dal / Split Black Gram, Urad dal white split, Urad Gota, Urad whole white</t>
  </si>
  <si>
    <t>Processed  Items: Dehydrated Foods, Dehydrated Foods; Preservatives/Extracts/Flavors: Extracts, Extracts, Spices, Spices, Spices, Spices, Spices, Spices, Sunflower Lecithin; Other Grains, Pastas and Cereals: Oats, Oats, Oats, Oats; Oils &amp; Oleoresins: Oils, Palm Shortening; Eggs: Dried Whole Eggs, Frozen Eggs; Dry/Baking Goods: Baking Chips and Bars, Baking Chips and Bars, Baking Mixes, Flours and Meals, Flours and Meals, Powders, Powders, Sugar, Sugar, Tapioca Starch, Toasted Coconut; Dairy: Butter, Butter; Condiments and Sweeteners: Sweeteners, Sweeteners, Sweeteners, Syrups, Syrups; Bread/Bakery/Snacks: Cookies, Cookies, Cookies, Cookies, Cookies, Cookies, Cookies, Cookies, Cookies, Cookies; Other: Aseptic Organic Banana Puree, with Ascorbic Acid, Seedless, Banana Flavor, Madagascar Bourbon Pure Vanilla Extract 2X, Raisin Paste, Rosemary Extract (CA-FORT 1040 or D Liquid)</t>
  </si>
  <si>
    <t>Other: Adzuki Beans, Agave Liquid Powder, Almond Butter (Blanched), Almond Butter (Natural), Almond Butter (Roasted), Almond Flour, Almond Flour (Blanched), Almonds (Blanched), Almonds (Diced), Almonds (Dry Roasted Salted (Whole and Diced)), Almonds (Dry Roasted Unsalted (Whole, Diced)), Almonds (Natural), Almonds (Raw), Almonds (Sliced), Almonds (Whole), Amaranth, Amaranth, Amaranth (Sterilized), Apple Cider Vinegar, Arrowroot, Avocado Oil, Banana Chips (Banana Chips Honey Dipped), Banana Chips (Sweetened), Banana Chips (Unsweetened), Banana Puree, Beans, Black Beans, Black Seeds (Cumin), Brazil Nuts, Broth (Aquafaba (Chickpea Broth)), Buckwheat (Groats), Buckwheat (Groats Pocono), Buckwheat (Kasha), Buckwheat (Kasha Pocono), Buckwheat Flour (Fancy), Cacao (Cacao Butter), Cacao (Cacao Nibs), Cacao (Cacao Powder), Cane Sugar, Cane Sugar (Dark Brown), Cane Sugar (Light Brown), Caraway, Cashew Butter, Cashew Flour, Cashew Kernel, Cashew Kernel (Dry Roasted), Cashew Kernel (Dry Roasted Salted), Cashew Kernel (LWP), Cashew Kernel (Oil,  Roasted and Salted), Cashew Kernel (Pasteurized), Cashew Kernel (SP), Cashew Kernel (Sterilized), Cashew Kernel (SWP), Cashew Kernel (W320), Cashews (Splits), Cassava Flour, Castor Oil, Chia Seeds ((Black, White)), Chia Seeds (Black - Milled, Sterilized), Chia Seeds (Black - Sterilized), Chia Seeds (Black (Non-retail)), Chia Seeds (Chia Milled (Black, White)), Chickpea Flour, Chickpeas, Chili Pepper, Cinnamon (Ground), Coconut (Coconut Smiles), Coconut Aminos, Coconut Butter, Coconut Cream ((17%, 24%, 30%)), Coconut Flour, Coconut Milk, Coconut Milk Powder ((50% &amp; 65%)), Coconut Nectar (Amber), Coconut Nectar (Blonde), Coconut Oil ((Unrefined)), Coconut Oil (Coconut MCT Oil), Coconut Oil (Extra Virgin), Coconut Oil (RBD), Coconut Oil (Virgin), Coconut Sugar, Coconut Sugar (Fine), Coconut Sugar (Powdered), Coconut Sugar (Unrefined), Coconut Water, Coconut Water Powder, Couscous, Couscous (Toasted Pearl), Date Paste, Dried Apples ((Dice, Ring, Slice)), Dried Apples (Diced), Dried Apricots (Diced), Dried Blueberries, Dried Blueberries (Apple Juice Infused), Dried Coconut (Chips Toasted), Dried Coconut (Chips Toasted Unsweetened), Dried Coconut (Chunks), Dried Coconut (Desiccated (Fine, Medium, Chips)), Dried Coconut (Toasted Fine), Dried Coconut (Toasted Sweetnened with Coconut Sugar), Dried Coconut (Toasted Unsweetened), Dried Cranberries (Apple Juice Infused), Dried Cranberries (Sweetened), Dried Dates, Dried Dates (Chopped with Rice Flour), Dried Goji Berries, Dried Goldenberries, Dried Mangos (Cheeks/Strips/Dried), Dried Mulberries, Dried Peaches (Diced), Dried Pineapple (Rings, Tidbits, Diced), Dried Raisins (Flames - Oil Treated), Dried Raisins (Non Oiled), Dried Raisins (Oiled), Dried Raisins (Raisins Sultana), Dried Raisins (Raisins Thompson), Flax (brown), Flax (brown) (Milled), Flax (brown) (Pasteurized), Flax (golden), Flax (golden) (Milled), Freeze Dried Raspberry (Granules), Garlic, Ginger (Powder), Great Northern Beans, Hazelnut Butter, Hazelnuts, Hazelnuts (Dry Roasted), Hemp Seed Oil, Hemp Seeds ((Seed, Protein Powder)), Honey, Invert Sugar (Medium), Kidney Beans (Dark Red Kidney Beans), Lemon Extract (Lemon Essential Oil), Lentils (Black Beluga), Lentils (Green), Lentils (Lentils Green French ), Lentils (Red), Maca Powder (Maca Powder), Maca Powder (Maca Powder Gelatinized), Macadamia Nuts (Dry Roasted, No Salt), Macadamia Nuts (Kernels), Macadamia Nuts (Kernels Roasted, No Salt), Macadamia Nuts (Sterilized), Millet, Millet (Hulled), Mung Beans, Navy Beans, Oat Bran, Oat Bran (GF), Oat Flour, Oat Flour (GF Coarse Grind), Oat Flour (GF Fine Grind), Oat Flour (GF Toasted), Oats (GF Flakes Instant), Oats (GF Granola Rolled), Oats (GF Groats), Oats (GF Hefty Flaked), Oats (GF Quick Flakes), Oats (GF Quick Steel Cut), Oats (GF Rolled), Oats (GF Steel Cut), Oats (Groats), Oats (Oat Flakes), Oats (Quick Rolled), Oats (Rolled), Oats (Thick Rolled), Olive Oil (Refined), Olives Various (Green Sliced), Onion, Orange Extract, Pea Protein, Peanut Butter, Peanuts, Peanuts, Peanuts (Peanut Flour), Peanuts (Split, Dry Roasted), Pecans (Halves), Pecans (Pieces), Pecans (Pieces), Pinenuts, Pinenuts (Kernels), Pinto Beans, Pistachios (Kernels Pasteurized), Pistachios (Pistachios ), Pistachios (Roasted, Salted Inshell), Popcorn (White), Popcorn (Yellow), Poppy Seeds, Psyllium husk, Psyllium husk (Powder), Pumpkin Kernel, Pumpkin Kernel (Roasted), Pumpkin Kernel (Roasted and Salted), Pumpkin Seed Powder (Protein ), Pumpkin Seeds (Styrian), Quinoa ((Red, White, Black, Tri)), Quinoa (Flakes), Quinoa (Flour), Quinoa (Quinoa Flakes Sterilized), Quinoa (Quinoa Tri Colored Sterilized), Quinoa (Quinoa White Sterilized), Raisin Paste, Rice, Rice (Medium Grain (Arborio)), Rice (White Jasmine), Rice (Basmati), Rice (Basmati) (White), Rice (Brown) (Broken Long Grain), Rice (Brown) (Long Grain), Rice (White) (Broken Long Grain), Rice (White) (Long Grain), Rice Flour (Long Grain Fine), Sacha Inchi Seeds, Safflower Oil (High Olieic RBD), Safflower Oil (Safflower RBD Expeller Organic Oleic), Safflower Seed, Sesame Oil (Toasted), Sesame Seed Hulled, Sesame Seed Hulled (Sterilized), Sesame Seeds (Black), Sesame Seeds (Black Sterilized), Sesame Seeds (Natural), Sesame Seeds (Natural Sterilized), Small Red Beans, Split Pea (Green), Split Pea (Yellow), Sunflower Butter, Sunflower Kernel, Sunflower Kernel, Sunflower Kernel (Bakery Grade), Sunflower Kernel (Confection), Sunflower Kernel (Milled), Sunflower Kernel (Sunflower Kernal Sterilized), Sunflower Oil (High Oleic (RBD/RBDW)), Sunflower Oil (High Oleic Crude ), Sunflower Oil (RBD - W), Sunflower Oil (Roasted and Salted), Sunflower Oil (Roasted No Salt), Sunflower Seeds (Black), Tahini Butter (Tahini), Tamari Soy Sauce (Gluten Free Reduced Sodium), Tapioca Starch, Teff, Tigernut Flour, Turmeric Powder, Vanilla Extract, Vanilla Powder (Vanilla Powder Pure ), Walnuts, White Wine Vinegar</t>
  </si>
  <si>
    <t>Other: Crackers (Milton's (Organic Multi-Grain Gourmet Crackers, Organic Crackers Himalayan Salt, Organic Crackers Salt &amp; Pepper, Organic Crackers Multi-Grain, Organic Crackers Olive Oil &amp; Sea salt) , Trader Joe's (Organic Naan Crackers, Organic Garlic Naan Crackers))</t>
  </si>
  <si>
    <t>Other: Gousse de Vanille, Huile essentielle de citronnelle (Cymbopogon citratus), Huile essentielle de clou de girofle, Huile essentielle de curcuma (Curcuma longa), Huile essentielle de feuille de cannelle (Cinnamomum verum), Huile essentielle de feuille de girofle, Huile essentielle de géranium (Pelargonium rosat), Huile essentielle de graine de baie rose, Huile essentielle de Iary (Psiadia altissima), Huile essentielle de lantana (Lantana camara), Huile essentielle de lemongrass (Cymbopogon citratus), Huile essentielle de maniguette fine (Aframomum angustifolium), Huile essentielle de pervenche, Huile essentielle de ravintsara (Cinnamomum camphora), Huile essentielle de romarin (Rosmarinus officinalis), Huile essentielle de vetiver (Vetiveria zizanioides), Huile essentielle d'écorce de cannelle (Cinnamomum verum)</t>
  </si>
  <si>
    <t>Processed  Items: Cereal (Amaranth flake, Amaranth flour, Quinoa Black Flake, Quinoa black flour, Quinoa Red Flake, Quinoa red flour, Quinoa white flour, Quinoa White Flake, Quinoa white precooked); Other Grains, Pastas and Cereals: Cereal (Amaranth grain), Quinoa (Quinoa black grain, Quinoa mix (white and red), Quinoa red grain, Quinoa tricolor, Quinoa white grain); Other: Seeds (Chia black, Sesame black, Sesame white)</t>
  </si>
  <si>
    <t>Processed  Items: Cereal; Other Grains, Pastas and Cereals: Quinoa</t>
  </si>
  <si>
    <t>Processed  Items: Stone Fruit (date stones); Other Grains, Pastas and Cereals: Barley (Barley bsissa, Flake Barley, barley semolina, barley chorba, barley flour), Cereal (Fitness cereal, couscous bi cereal, Flour bi cereal, Cereal flour, bourghol), Cereal (Crousties cereal ctrus), Durum (Full durum wheat), Oats (Flake oat, oat seed, oat bran, oat bsissa, oat meal,barley coffee), Pasta (Spaghetti, mhamsa,Tagliatelle full wheat, tagliatelle semolina, spaghetti wheat,), Wheat (wheat seed, durum wheat, Wheat bsissa, wheat bran, couscous wheat, flake wheat, full wheat maccheroni, taboule full wheat)</t>
  </si>
  <si>
    <t>Other: Dried cocoa beans, Fèves de Cacao, Grains de cacao fermentés</t>
  </si>
  <si>
    <t>Other: Hulled Grains of wheat, Semolinas of Durum wheat (GG), Semolinas of Durum wheat (MG), Semolinas of Durum wheat (SSSE), Wheat Bran</t>
  </si>
  <si>
    <t>Other: ; Chips de dattes et curcuma ; Chips de dattes et baies de goji ; Chips de dattes et cactus ; Chips de dattes et yuzu ; Chips de dattes et safran, Beurre de cacao, Cocoa powder, Dark chocolate ; Supreme dark chocolate, Date caramel sorbet coated in dark chocolate; Caramel sorbet of dates coated with dark chocolate with fleur de sel, Caramel sorbet of dates coated with rice milk chocolate; Date caramel sorbet coated in dark chocolate with mint;, Date pit oil, Dattes Medjool fraiches entières ; Dattes Medjool fraiches dénoyautées ; Dattes Medjool enrobées de chocolat noir suprême; Dattes Medjool enrobées de chocolat noir intense; Dattes Medjool enrobées de chocolat noir à la menthe ; Dattes Medjool enrobées de chocolat au lait riz;, Dried ginger, Dried goji berries, Dried turmeric, Dried Yuzu peels, Eclats de cacao; Fèves de cacao, Ecorces d’orange surgelées ; Poudre d’écorces séchée d’orange ; Ecorces séchées d’orange ; Tranches d’orange surgelées ; Coques d’écorces d’orange  surgelées ; Zeste en lanière d’écorces d’orange surgelées ; Tranches d’orange séchées ; Fleurs d’orange séchées, Ecorces de citron surgelées ; Poudre d’écorces séchées de citron ; Ecorces séchées de citron ; Tranches de citron surgelées ; Coques d’écorces de citron  surgelées ; Zeste en lanière d’écorces de citron surgelées ; Tranches de citron séchées ; Fleurs de citron séchées, Ecorces de lime de perse surgelées ; Poudre d’écorces séchée de lime de perse ; Ecorces séchées de lime de perse ; Tranches de lime de perse surgelées ; Coques d’écorces de lime de perse surgelées ; Zeste en lanière d’écorces de lime de perse surgelées ; Tranches de lime de perse séchées ; Fleurs de lime de perse séchées, Fresh goji berries, Fresh goji leaves ; Dried goji leaves ; Crushed dried goji leaves ; Mixture of dried goji leaves and dried goji berries, Frozen goji berries, Frozen goji berries coated in dark chocolate, Frozen goji berries coated in supreme dark chocolate, Frozen goji berries coated with chocolate and mint, Frozen goji berries coated with chocolate and rice, Frozen raw turmeric juice ; Frozen barley grass juice ; Frozen wheatgrass juice ; Barley grass juice ; Wheatgrass juice ; Ginger juice ; Frozen raw ginger juice ; Frozen yuzu juice ; Yuzu juice ; Goji juice ; Frozen goji juice ; Cactus juice ; Frozen cactus juice ; Lime juice ; Frozen lime juice ; Meyer lemon juice ; Frozen meyer lemon juice ; Goji and saffron juice ; Goji and cactus juice ; Goji and yuzu juice ; Goji and rose water juice ; Pure goji juice ; Pure cactus juice ; Frozen raw goji juice ; Frozen raw cactus juice ; Frozen raw barley grass juice ; Frozen raw wheatgrass juice ; Goji and ashwagandha juice ; Goji and amla juice ; Goji and triphala juice ; Goji, cactus and ashwagandha juice ; Goji, cactus and amla juice ; Goji, cactus and triphala juice ; Goji, yuzu and ashwagandha juice ; Goji, yuzu and amla juice ; Goji, yuzu and triphala juice ; Turmeric juice ; Ginger juice, Fruit rolls made with dates and rose water; Fruit rolls made with dates and turmeric; Fruit rolls made with dates and goji berries; Fruit rolls made with dates and cactus; Fruit rolls made with dates and yuzu; Fruit rolls made with dates, goji and saffron; Fruit rolls made with dates and ashwagandha, Goji and ashwagandha juice ; Goji and amla juice ; Goji and triphala juice ; Goji, cactus and ashwagandha juice ; Goji, cactus and amla juice ; Goji, cactus and triphala juice ; Goji, yuzu and ashwagandha juice ; Goji, yuzu and amla juice ; Goji, yuzu and triphala juice, Goji and Medjool dates sorbet ; Cactus and Medjool dates sorbet ; Yuzu and Medjool dates sorbet ; Goji and Medjool dates coated in dark chocolate sorbet ; Cactus and Medjool dates coated in dark chocolate sorbet ; Yuzu and Medjool dates coated in dark chocolate sorbet ; Cocoa and Medjool dates coated in dark chocolate sorbet, Huile des graines de goji, Huile essentielle de Yuzu ;Huile essentielle d’orange ;Huile essentielle de lime de perse ; Huile essentielle de citron, Hydrolat de Yuzu; Hydrolat d’orange ; Hydrolat de lime de perse ; Hydrolat de citron, Infusions d’écorces séchées de Yuzu ; Infusions d’écorces séchées d’orange ; Infusions d’écorces séchées de Lime de perse ; Poudre de rose ; Pétales de rose ; Poudre de menthe poivrée ; Feuilles de menthe poivrée ; Infusion de menthe poivrée et écorces de yuzu ; Poudre de noyaux de dattes ; Poudre de noyaux de dattes et curcuma ; Poudre de noyaux de dattes et poudre de cacao ; Matcha de feuilles de goji ; Feuilles de goji séchées ; Feuilles de goji et pétales de rose séchées ; Latté de curcuma en poudre ; Latté de curcuma en poudre et safran ; Latté de curcuma en poudre et menthe poivrée ; Latté de purée de curcuma et poudre de cacao ; Menthe, Jus de Yuzu pasteurisé, Jus d’orange pasteurisé, Jus d’orange surgelé, Jus de lime de perse pasteurisé, Jus de lime de perse surgelé, Jus de citron pasteurisé, Jus de citron surgelé, Jus de Wékiwa citrus pasteurisé ; Jus de Wékiwa citrus surgelé ;, Kumquat surgelé  Pulpe de yuzu surgelé ; Pulpe de goji surgelé; Pulpe de cactus surgelé, Pulpe d’orange surgelée Pulpe de lime de perse surgelé Pulpe de citron surgelé Pulpe de Kumquat surgelé Ecorces de yuzu surgelées ; Tranches de Yuzu surgelées ; Coques d’écorces de Yuzu  surgelées ; Zeste en lanière d’écorces de Yuzu surgelées ; Tranches de Yuzu séchées ; Fleurs de Yuzu séchées; Tranches de Kumquat surgelées, Masse de cacao, Medjool date and turmeric latte ; Medjool date, cinnamon and fennel latte ; Medjool date and coffee latte, Medjool date latte, Medjool dates and goji spread ; Medjool dates and yuzu spread ; Medjool dates and cactus spread ; Medjool dates and rose water spread, Medjool dates coverde in mint dark chocolate; Medjool dates covered in rice milk chocolate;, Medjool dates, lime and mint smoothie, Medjool dates, meyer lemon and ginger smoothie ; Medjool dates, lime and mint smoothie ; Medjool dates and goji smoothie ; Medjool date and cactus smoothie, Mélasse de goji, Mint chocolate, Orange jam, Kumquat jam, Pomegranate, Prickly pear seed oil, Purée de Yuzu pasteurisée, Purée d’orange pasteurisée ; Purée d’orange surgelée, Purée de lime de perse surgelée, Purée de citron pasteurisée ; Purée de citron surgelée, Purée de Kumquat pasteurisée ; Purée de Kumquat surgelée ; Purée de Wékiwa citrus pasteurisée ; Purée de Wékiwa citrus surgelée, Raw powder of Medjool date pits ; Roasted Medjool date pits powder ; Dried yuzu peel powder ; Date pits powder ; Goji leaf powder ; Cactus powder ; Date powder; Rose powder; Dried goji leaves powder, Rice milk chocolate, Rose water ; Frozen rose water, Rosebuds, Tartinade beurre de dattes original; Tartinade beurre de dattes et chocolat; Tartinade caramel beurre salé de dattes, Tranches séchées de Kumquat, Yuzu Jam, Yuzu puree ; Goji puree ; Cactus puree ; Lime puree ; Frozen lime puree ; Meyer lemon puree ; Frozen meyer lemon puree ; Date puree ; Frozen goji puree ; Frozen yuzu puree ; Frozen yuzu puree with dried peel ; Frozen cactus puree ; Frozen Medjool date puree ; Goji, Medjool dates and saffron puree ; Goji, Medjool dates and rose water puree ; Goji, Medjool dates and ashwagandha puree ; Goji, Medjool dates and amla puree ; Goji, Medjool dates and triphala puree ; Turmeric puree ; Turmeric and date puree ; Turmeric and saffron puree ; Turmeric and ashwagandha puree, Yuzu seed oil</t>
  </si>
  <si>
    <t>Processed  Items: Curry powder unroasted, Dried cocoa beans, Dried coffee, Dried Curry Leaves, Dried Garlic, Dried ginger, Dried Gotukola, Dried Lemongrass, Dried marjoram, Dried Moringa Leaves, Dried Parsley, Dried peppermint, Dried rosemary, Dried Tamarind, Dried Thulsi, Mango Pieces, Young Jackfruit Pieces; Preservatives/Extracts/Flavors: Spices (Bird Eye Chili), Spices (Black Pepper Ground), Spices (Black Peppercorn), Spices (Cardamom), Spices (Chilli), Spices (Chilli Powder), Spices (Cinnamon), Spices (Cinnamon C5), Spices (Cinnamon chips), Spices (Clove), Spices (Coriander (herb)), Spices (Cumin), Spices (Dried basil), Spices (Dried Cardamom), Spices (Dried chilli), Spices (Dried clove), Spices (Dried fennel), Spices (Dried Nutmeg without shell), Spices (Dried oregano), Spices (Dried thyme), Spices (Dried turmeric), Spices (Durians), Spices (Fennel), Spices (Dried Coriander), Spices (Dried Cumin), Spices (Ginger), Spices (Mace), Spices (Mace dried), Spices (Nutmeg), Spices (Pepper), Spices (White Peppercorn); Other Grains, Pastas and Cereals: Cereal (Black gram), Cereal (Kadala cowpea), Cereal (Maize), Cereal (Kollu), Cereal (Green gram), Cereal (Red Cowpea), Cereal (White Cowpea), Rice (Rice (Unakola Samba)), Rice (Suwandel Rice), Rice (Pachchaperumal Rice), Rice (Kuruluthuda rice), Rice (Kaluhinati Rice), Rice (Madathawalu Rice), Rice (Hangimuththan Rice), Sesame; Nuts/Seeds: Cashew Nuts, Ground Nut, Palm Nuts (Coconut); Fruits/Vegetables: Avocado/Bo huu co, Banana, Banana blossom, Jackfruit, Mango, Papaya, Passion fruit, Rambutan, Soursop, Water Melon, Woodapple, Young Jackfruit; Condiments and Sweeteners: Sugar (Coconut Sugar (single ingredient)), Syrups (Coconut Sap); Other: Arrowroot, Basil, Cassava root, Cocoa, Coffee/Ca phe nhan Robusta, Curry Leaves, Garcinia, Garlic, Garlic chives, Gotukola, Hathawariya, Heen bovitiya, Iramusu, Kikirindiya, King coconut, Kithul Sap, Lemon, Lemongrass, Lime, Majoram, Mint, Moringa, Origano, Pandon, Penela, Peppermint, Pineapple, Polpala, Purple Yam, Ranawara (Senna auriculata), Roasted Curry Powder, Rosemary, Stevia, Sugar cane, Sweet potato, Tamarind, Tapioca, Taro root, Tea, Thulsi, Thyme, Turmeric, Turmeric Powder, Vanilla</t>
  </si>
  <si>
    <t>Health Products: Supplements (Camu Camu Capsules), Supplements (Tribulus Alcohol-Free Extract, Tincture, Glycerite), Supplements (Artichoke Alcohol Extract, Tincture), Supplements (Couch Grass Alcohol Extract, Tincture), Supplements (Wild Cherry Alcohol Extract, Tincture), Supplements (Blood Sugar Secret Capsules), Supplements (Tribal Restoration Alcohol Extract, Tincture), Supplements (Muscle Tension Care Alcohol-Free Extract, Tincture, Glycerite), Supplements (HangOVER Capsules), Supplements (Hawthorn Blend Alcohol-Free Extract, Tincture, Glycerite), Supplements (Bloodroot Alcohol Extract, Tincture), Supplements (Happy Hormones Alcohol-Free Extract, Tincture, Glycerite), Supplements (Chaparral Alcohol Extract, Tincture), Supplements (Maqui berry Alcohol Extract, Tincture), Supplements (Echinacea Root Alcohol-Free Extract, Tincture, Glycerite), Supplements (Sage Capsules), Supplements (Devil's Claw Alcohol Extract, Tincture), Supplements (Head to Toe Alcohol-Free Extract, Tincture, Glycerite), Supplements (Horny Goat Weed Alcohol Extract, Tincture), Supplements (Gotu Kola Alcohol Extract, Tincture), Supplements (Indian Gooseberry Alcohol Extract, Tincture), Supplements (Reishi Alcohol Extract, Tincture), Supplements (Rehmannia Alcohol Extract, Tincture), Supplements (Red Rose Alcohol Extract, Tincture), Supplements (Fennel Seed Capsules), Supplements (Red Raspberry Alcohol Extract, Tincture), Supplements (Pumpkin Seed Alcohol Extract, Tincture), Supplements (Horse Chestnut Capsules), Supplements (Plantain Alcohol Extract, Tincture), Supplements (Lemon Balm Capsules), Supplements (Mucuna Capsules), Supplements (Mullein Leaf Capsules), Supplements (Oregon Grape Capsules), Supplements (Horehound Capsules), Supplements (Chaste Tree Alcohol Extract, Tincture), Supplements (Oatstraw Alcohol Extract, Tincture), Supplements (Lion's Mane Alcohol Extract, Tincture), Supplements (Elder Berries Alcohol Extract, Tincture), Supplements (Black Elderberry Alcohol Extract, Tincture), Supplements (Elder Berries Alcohol-Free Extract, Tincture, Glycerite), Supplements (Elderberry Alcohol-Free Extract, Tincture, Glycerite), Supplements (Elderberry Alcohol Extract, Tincture), Supplements (Goldenseal Root and Osha Alcohol-Free Extract, Tincture, Glycerite), Supplements (Goldenseal Root and Osha Alcohol Extract, Tincture), Supplements (Blue Cohosh Alcohol Extract, Tincture), Supplements (Benevolent Heart Capsules), Supplements (Mugwort Alcohol Extract, Tincture), Supplements (Neem Capsules), Supplements (Herbal Munchies Capsules), Supplements (Barberry Root Alcohol Extract, Tincture), Supplements (Oregon Grape Alcohol Extract, Tincture), Supplements (Calm Secret Alcohol-Free Extract, Tincture, Glycerite), Supplements (Mushrooms Blend Capsules), Supplements (Breast Fortitude Capsules), Supplements (Gymnema Alcohol Extract, Tincture), Supplements (Digestive Fortitude Alcohol-Free Extract, Tincture, Glycerite), Supplements (Witch Hazel Leaf Alcohol Extract, Tincture), Supplements (Benevolent Heart Alcohol-Free Extract, Tincture, Glycerite), Supplements (Calendula Capsules), Supplements (Marshmallow Leaf Alcohol-Free Extract, Tincture, Glycerite), Supplements (Minor Pain Care Alcohol Extract, Tincture), Supplements (Goji Alcohol-Free Extract, Tincture, Glycerite), Supplements (Blood Pressure Secret Alcohol Extract, Tincture), Supplements (Star Anise Alcohol Extract, Tincture), Supplements (Kale Alcohol-Free Extract, Tincture, Glycerite), Supplements (Agrimony Alcohol Extract, Tincture), Supplements (Marshmallow Leaf Alcohol Extract, Tincture), Supplements (Breast Fortitude Alcohol-Free Extract, Tincture, Glycerite), Supplements (Blue Cohosh Capsules), Supplements (Yoga Secret Capsules), Supplements (Urinary Secret Alcohol Extract, Tincture), Supplements (Lung Fortitude Alcohol-Free Extract, Tincture, Glycerite), Supplements (Allergy Secret Capsules), Supplements (Dandelion Leaf Alcohol Extract, Tincture), Supplements (Coriander Seed Capsules), Supplements (Corn silk Alcohol Extract, Tincture), Supplements (Breast Fortitude Alcohol Extract, Tincture), Supplements (Brahmi Capsules), Supplements (Gentian Alcohol Extract, Tincture), Supplements (Femme Fatale Alcohol-Free Extract, Tincture, Glycerite), Supplements (Celery Capsules), Supplements (Varicose Vein Capsules), Supplements (Carpal Secret Alcohol-Free Extract, Tincture, Glycerite), Supplements (Women's Secret Capsules), Supplements (Wormwood Capsules), Supplements (Ginger Alcohol Extract, Tincture), Supplements (Vitex Alcohol Extract, Tincture), Supplements (Spirulina Alcohol Extract, Tincture), Supplements (Spirulina Alcohol-Free Extract, Tincture, Glycerite), Supplements (Maqui berry Alcohol-Free Extract, Tincture, Glycerite), Supplements (Fo-Ti Root Alcohol Extract, Tincture), Supplements (Tribal Crohn's Capsules), Supplements (Blessed Thistle Alcohol Extract, Tincture), Supplements (Wild Yam Alcohol Extract, Tincture), Supplements (St. John's Wort Capsules), Supplements (Clearway Alcohol Extract, Tincture), Supplements (Tribal Tranquility Capsules), Supplements (Pot Marigold Alcohol Extract, Tincture), Supplements (Motherwort Capsules), Supplements (Guduchi Alcohol-Free Extract, Tincture, Glycerite), Supplements (Honeysuckle Alcohol Extract, Tincture), Supplements (Fitness Fortitude Alcohol Extract, Tincture), Supplements (Amla Capsules), Supplements (Dandelion Root Alcohol Extract, Tincture), Supplements (Bupleurum Capsules), Supplements (Senna Leaf Capsules), Supplements (Rehmannia Alcohol-Free Extract, Tincture, Glycerite), Supplements (Spearmint Capsules), Supplements (Burdock Capsules), Supplements (Ashwagandha Capsules), Supplements (Orange Capsules), Supplements (Tribal Cough-ease Alcohol-Free Extract, Tincture, Glycerite), Supplements (PMS Secret Alcohol-Free Extract, Tincture, Glycerite), Supplements (Valerian Alcohol Extract, Tincture), Supplements (Bugleweed Capsules), Supplements (Tribal Parasite Purge Alcohol Extract, Tincture), Supplements (Dill Seed Alcohol Extract, Tincture), Supplements (Honeysuckle Capsules), Supplements (Honeysuckle Alcohol-Free Extract, Tincture, Glycerite), Supplements (Hops Alcohol Extract, Tincture), Supplements (Horse Chestnut Alcohol-Free Extract, Tincture, Glycerite), Supplements (Horse Chestnut Alcohol Extract, Tincture), Supplements (Horseradish Alcohol-Free Extract, Tincture, Glycerite), Supplements (Horseradish Capsules), Supplements (Horseradish Alcohol Extract, Tincture), Supplements (Horsetail Alcohol Extract, Tincture), Supplements (Hydrangea Alcohol Extract, Tincture), Supplements (Hyssop Alcohol Extract, Tincture), Supplements (Juniper Capsules), Supplements (Juniper Alcohol-Free Extract, Tincture, Glycerite), Supplements (Lady's Mantle Alcohol Extract, Tincture), Supplements (Lemon Balm Alcohol Extract, Tincture), Supplements (Licorice Alcohol Extract, Tincture), Supplements (St. John's Wort Alcohol Extract, Tincture), Supplements (Lobelia Alcohol-Free Extract, Tincture, Glycerite), Supplements (Marshmallow Root Alcohol-Free Extract, Tincture, Glycerite), Supplements (Milk Thistle Alcohol Extract, Tincture), Supplements (Mistletoe Alcohol Extract, Tincture), Supplements (Mucuna Alcohol Extract, Tincture), Supplements (Spinach Alcohol Extract, Tincture), Supplements (Spearmint Alcohol Extract, Tincture), Supplements (Mullein Leaf Alcohol Extract, Tincture), Supplements (Noni Alcohol Extract, Tincture), Supplements (Nutmeg Alcohol Extract, Tincture), Supplements (Olive Alcohol Extract, Tincture), Supplements (Onion Alcohol Extract, Tincture), Supplements (Orange Alcohol Extract, Tincture), Supplements (Orange Alcohol-Free Extract, Tincture, Glycerite), Supplements (Papaya Alcohol Extract, Tincture), Supplements (Papaya Alcohol Extract, Tincture), Supplements (Parsley Root Alcohol Extract, Tincture), Supplements (Parsley Leaf Alcohol Extract, Tincture), Supplements (Passionflower Alcohol Extract, Tincture), Supplements (Rosehips Alcohol-Free Extract, Tincture, Glycerite), Supplements (Schisandra Alcohol-Free Extract, Tincture, Glycerite), Supplements (Sea Buckthorn Alcohol-Free Extract, Tincture, Glycerite), Supplements (Chaste Tree Alcohol-Free Extract, Tincture, Glycerite), Supplements (Wheatgrass Alcohol-Free Extract, Tincture, Glycerite), Supplements (Turkey Tail Alcohol-Free Extract, Tincture, Glycerite), Supplements (Wheatgrass Alcohol Extract, Tincture), Supplements (Turkey Tail Alcohol Extract, Tincture), Supplements (Stone Root Capsules), Supplements (Slippery Elm Alcohol Extract, Tincture), Supplements (Skullcap Alcohol Extract, Tincture), Supplements (Shepherd's Purse Alcohol Extract, Tincture), Supplements (Sheep Sorrel Alcohol Extract, Tincture), Supplements (Shatavari Alcohol Extract, Tincture), Supplements (Chamomile Capsules), Supplements (Self Heal Alcohol Extract, Tincture), Supplements (Sea Buckthorn Alcohol Extract, Tincture), Supplements (Cilantro Capsules), Supplements (Schisandra Alcohol Extract, Tincture), Supplements (Saw Palmetto Alcohol Extract, Tincture), Supplements (Cordyceps Capsules), Supplements (Sarsaparilla Alcohol Extract, Tincture), Supplements (Sage Alcohol Extract, Tincture), Supplements (Rue Alcohol Extract, Tincture), Supplements (Rosemary Capsules), Supplements (Rosehips Alcohol Extract, Tincture), Supplements (Rhodiola Alcohol Extract, Tincture), Supplements (Self Heal Capsules), Supplements (Watercress Alcohol-Free Extract, Tincture, Glycerite), Supplements (Juniper Alcohol Extract, Tincture), Supplements (Cellulite Secret Alcohol-Free Extract, Tincture, Glycerite), Supplements (Marjoram Alcohol-Free Extract, Tincture, Glycerite), Supplements (Intestinal Rescue Capsules), Supplements (Vein Secret Alcohol-Free Extract, Tincture, Glycerite), Supplements (Cellulite Secret Capsules), Supplements (Chicory Alcohol Extract, Tincture), Supplements (Blue Vervain Alcohol-Free Extract, Tincture, Glycerite), Supplements (Lemongrass Capsules), Supplements (Red Rose Alcohol-Free Extract, Tincture, Glycerite), Supplements (Fitness Fortitude Alcohol-Free Extract, Tincture, Glycerite), Supplements (Chickweed Alcohol Extract, Tincture), Supplements (Guggul Alcohol Extract, Tincture), Supplements (Asian Ginseng Alcohol Extract, Tincture), Supplements (Spinach Alcohol-Free Extract, Tincture, Glycerite), Supplements (Tribal Crohn's Alcohol Extract, Tincture), Supplements (Yerba Mate Alcohol-Free Extract, Tincture, Glycerite), Supplements (Meadowsweet Alcohol Extract, Tincture), Supplements (Kudzu Alcohol Extract, Tincture), Supplements (Schisandra Capsules), Supplements (Spearmint Alcohol-Free Extract, Tincture, Glycerite), Supplements (Pumpkin Seed Alcohol-Free Extract, Tincture, Glycerite), Supplements (Tribal Inflam-ease Alcohol Extract, Tincture), Supplements (Acne Secret Alcohol Extract, Tincture), Supplements (Respiratory Fortitude Alcohol Extract, Tincture), Supplements (Pre-Conceive Capsules), Supplements (White Willow Alcohol Extract, Tincture), Supplements (Neem Alcohol Extract, Tincture), Supplements (Lemon Peel Capsules), Supplements (Respiratory Fortitude Alcohol-Free Extract, Tincture, Glycerite), Supplements (Spinach Capsules), Supplements (Wild Lettuce Alcohol Extract, Tincture), Supplements (Tribal Parasite Purge Alcohol-Free Extract, Tincture, Glycerite), Supplements (Virasecret Alcohol-Free Extract, Tincture, Glycerite), Supplements (Tribal Restoration Capsules), Supplements (Boldo Capsules), Supplements (Acacia Capsules), Supplements (Wild Yam Capsules), Supplements (Butcher's Broom Alcohol Extract, Tincture), Supplements (Raven's Wisdom Alcohol Extract, Tincture), Supplements (Feverfew Alcohol-Free Extract, Tincture, Glycerite), Supplements (Onion Alcohol Extract, Tincture), Supplements (Guarana Alcohol Extract, Tincture), Supplements (Guarana Capsules), Supplements (Hawthorn Berry Alcohol Extract, Tincture), Supplements (Hawthorn Berry Capsules), Supplements (Oregon Grape Alcohol-Free Extract, Tincture, Glycerite), Supplements (He Shou Wu Alcohol Extract, Tincture), Supplements (He Shou Wu Capsules), Supplements (Hibiscus Alcohol Extract, Tincture), Supplements (Hibiscus Capsules), Supplements (Hops Alcohol Extract, Tincture), Supplements (Hops Capsules), Supplements (Onion Alcohol-Free Extract, Tincture, Glycerite), Supplements (Horse Chestnut Alcohol Extract, Tincture), Supplements (Horse Chestnut Capsules), Supplements (Horseradish Alcohol Extract, Tincture), Supplements (Horseradish Capsules), Supplements (Horseradish Alcohol-Free Extract, Tincture, Glycerite), Supplements (Hyssop Alcohol Extract, Tincture), Supplements (Hyssop Alcohol-Free Extract, Tincture, Glycerite), Supplements (Hyssop Capsules), Supplements (Marshmallow Root Alcohol Extract, Tincture), Supplements (Blue Vervain Alcohol Extract, Tincture), Supplements (Guduchi Alcohol Extract, Tincture), Supplements (Throat Soothe Alcohol-Free Extract, Tincture, Glycerite), Supplements (Neem Alcohol-Free Extract, Tincture, Glycerite), Supplements (Herbal Munchies Alcohol-Free Extract, Tincture, Glycerite), Supplements (Parsley Capsules), Supplements (Calm Secret Alcohol Extract, Tincture), Supplements (Stevia Capsules), Supplements (Tribal Warrior Alcohol-Free Extract, Tincture, Glycerite), Supplements (Artichoke Capsules), Supplements (Desert Serenity Alcohol Extract, Tincture), Supplements (Comfrey Leaf Alcohol-Free Extract, Tincture, Glycerite), Supplements (Curry Leaf Alcohol Extract, Tincture), Supplements (Passionflower Capsules), Supplements (Bilberry Fruit Capsules), Supplements (Oral Care Alcohol Extract, Tincture), Supplements (Urgent Immune Boost Alcohol Extract, Tincture), Supplements (Stevia Alcohol-Free Extract, Tincture, Glycerite), Supplements (Tribulus Alcohol Extract, Tincture), Supplements (Acacia Alcohol Extract, Tincture), Supplements (Muscle Tension Care Capsules), Supplements (Muscle Tension Care Alcohol-Free Extract, Tincture, Glycerite), Supplements (Mushrooms Blend Alcohol-Free Extract, Tincture, Glycerite), Supplements (Mushrooms Blend Capsules), Supplements (Neem Alcohol Extract, Tincture), Supplements (Neem Alcohol-Free Extract, Tincture, Glycerite), Supplements (Neem Capsules), Supplements (Nerve Secret Alcohol Extract, Tincture), Supplements (Nerve Secret Alcohol-Free Extract, Tincture, Glycerite), Supplements (Nerve Secret Capsules), Supplements (Dandelion Leaf Alcohol-Free Extract, Tincture, Glycerite), Supplements (Boneset Alcohol Extract, Tincture), Supplements (Hirsu Secret Capsules), Supplements (Barrenwort Alcohol Extract, Tincture), Supplements (Muscle Tension Care Alcohol Extract, Tincture), Supplements (Muscle Tension Care Alcohol Extract, Tincture), Supplements (Marshmallow Root Capsules), Supplements (Tribal Restoration Alcohol-Free Extract, Tincture, Glycerite), Supplements (Papaya Capsules), Supplements (Red Raspberry Capsules), Supplements (Motherwort Alcohol-Free Extract, Tincture, Glycerite), Supplements (Alfalfa Alcohol Extract, Tincture), Supplements (Joint Pain Secret Capsules), Supplements (Allergy Secret Alcohol Extract, Tincture), Supplements (Kelp Alcohol Extract, Tincture), Supplements (Lemon Verbena Alcohol Extract, Tincture), Supplements (Nerve Secret Alcohol-Free Extract, Tincture, Glycerite), Supplements (Boneset Capsules), Supplements (Chronic Fatigue Secret Capsules), Supplements (Kale Capsules), Supplements (Coriander Alcohol Extract, Tincture), Supplements (Chamomile Alcohol Extract, Tincture), Supplements (Chaga Alcohol-Free Extract, Tincture, Glycerite), Supplements (Cellulite Secret Alcohol Extract, Tincture), Supplements (Echinacea Angustifolia Alcohol Extract, Tincture), Supplements (Brazilian Peppertree Alcohol Extract, Tincture), Supplements (Lavender Alcohol Extract, Tincture), Supplements (Lactation Secret Alcohol Extract, Tincture), Supplements (Angelica Capsules), Supplements (Cysto Secret Capsules), Supplements (Desert Breeze Alcohol Extract, Tincture), Supplements (Throat Soothe Capsules), Supplements (Happy Hormones Alcohol Extract, Tincture), Supplements (Histamine Secret Alcohol-Free Extract, Tincture, Glycerite), Supplements (Stinging Nettle Root Alcohol Extract, Tincture), Supplements (Urinary Secret Alcohol-Free Extract, Tincture, Glycerite), Supplements (Tribal Detox Alcohol Extract, Tincture), Supplements (Pre-Conceive Alcohol-Free Extract, Tincture, Glycerite), Supplements (Bitter melon Alcohol Extract, Tincture), Supplements (St. John's Wort Alcohol-Free Extract, Tincture, Glycerite), Supplements (Lemon Verbena Alcohol-Free Extract, Tincture, Glycerite), Supplements (Goji Alcohol Extract, Tincture), Supplements (Horehound Alcohol Extract, Tincture), Supplements (Camu Camu Alcohol Extract, Tincture), Supplements (Andrographis Capsules), Supplements (Calm Secret Capsules), Supplements (UTI Secret Alcohol-Free Extract, Tincture, Glycerite), Supplements (Curry Leaf Alcohol-Free Extract, Tincture, Glycerite), Supplements (Stamina secret Alcohol-Free Extract, Tincture, Glycerite), Supplements (White Oak Alcohol Extract, Tincture), Supplements (California Poppy Capsules), Supplements (Yoga Secret Alcohol-Free Extract, Tincture, Glycerite), Supplements (White Oak Capsules), Supplements (Maca Alcohol Extract, Tincture), Supplements (Clearway Alcohol-Free Extract, Tincture, Glycerite), Supplements (Intesti Secret Capsules), Supplements (Irish Moss/Sea Moss Capsules), Supplements (Iron Secret Capsules), Supplements (Joint Pain Secret Alcohol-Free Extract, Tincture, Glycerite), Supplements (Joint Pain Secret Capsules), Supplements (Juniper Alcohol Extract, Tincture), Supplements (Kelp Alcohol Extract, Tincture), Supplements (Kelp Alcohol-Free Extract, Tincture, Glycerite), Supplements (Korean Red Ginseng Alcohol-Free Extract, Tincture, Glycerite), Supplements (Korean Red Ginseng Alcohol Extract, Tincture), Supplements (Chicory Alcohol Extract, Tincture), Supplements (Chicory Alcohol-Free Extract, Tincture, Glycerite), Supplements (Chlorella Alcohol Extract, Tincture, Glycerite), Supplements (Chlorella Alcohol-Free Extract, Tincture, Glycerite), Supplements (Asian Ginseng Alcohol Extract, Tincture), Supplements (Cholesterol Secret Capsules), Supplements (Asian Ginseng Alcohol-Free Extract, Tincture, Glycerite), Supplements (Juniper Capsules), Supplements (Kale Alcohol Extract, Tincture), Supplements (Kale Alcohol-Free Extract, Tincture, Glycerite), Supplements (Kale Capsules), Supplements (Kudzu Alcohol Extract, Tincture), Supplements (Kudzu Capsules), Supplements (Chronic Fatigue Secret Alcohol-Free Extract, Tincture, Glycerite), Supplements (Chronic Fatigue Secret Capsules), Supplements (Clearway Alcohol-Free Extract, Tincture, Glycerite), Supplements (Clearway Capsules), Supplements (Clove Alcohol Extract, Tincture), Supplements (Clove Alcohol-Free Extract, Tincture, Glycerite), Supplements (Lavender Alcohol Extract, Tincture), Supplements (Lavender Alcohol-Free Extract, Tincture, Glycerite), Supplements (Lavender Capsules), Supplements (Lemon Peel Capsules), Supplements (Lemon Verbena Alcohol Extract, Tincture), Supplements (Lemon Verbena Alcohol-Free Extract, Tincture, Glycerite), Supplements (Lemongrass Capsules), Supplements (Liver Fortitude Alcohol-Free Extract, Tincture, Glycerite), Supplements (Liver Fortitude Capsules), Supplements (Lobelia Alcohol Extract, Tincture), Supplements (Lactation Secret Alcohol-Free Extract, Tincture, Glycerite), Supplements (Lobelia Capsules), Supplements (Lobelia Alcohol-Free Extract, Tincture, Glycerite), Supplements (Long Pepper Alcohol Extract, Tincture), Supplements (Long Pepper Alcohol-Free Extract, Tincture, Glycerite), Supplements (Lung Fortitude Alcohol-Free Extract, Tincture, Glycerite), Supplements (Wormwood Alcohol Extract, Tincture), Supplements (Wormwood Alcohol-Free Extract, Tincture, Glycerite), Supplements (Osha Alcohol-Free Extract, Tincture, Glycerite), Supplements (Rosemary Capsules), Supplements (Lungwort Alcohol Extract, Tincture), Supplements (Lungwort Alcohol-Free Extract, Tincture, Glycerite), Supplements (Luscious Locks Alcohol-Free Extract, Tincture, Glycerite), Supplements (Luscious Locks Capsules), Supplements (Maca Alcohol Extract, Tincture), Supplements (Maca Alcohol-Free Extract, Tincture, Glycerite), Supplements (Maca Capsules), Supplements (Passionflower Capsules), Supplements (Passionflower Alcohol-Free Extract, Tincture, Glycerite), Supplements (Maqui berry Alcohol-Free Extract, Tincture, Glycerite), Supplements (Maqui berry Alcohol Extract, Tincture), Supplements (Marjoram Alcohol Extract, Tincture), Supplements (Marjoram Alcohol-Free Extract, Tincture, Glycerite), Supplements (Marshmallow Leaf Alcohol-Free Extract, Tincture, Glycerite), Supplements (Marshmallow Leaf Alcohol Extract, Tincture), Supplements (Marshmallow Root Alcohol Extract, Tincture), Supplements (Marshmallow Root Alcohol-Free Extract, Tincture, Glycerite), Supplements (Marshmallow Root Capsules), Supplements (Frankincense Alcohol-Free Extract, Tincture, Glycerite), Supplements (Feverfew Capsules), Supplements (Frankincense Alcohol Extract, Tincture), Supplements (Cat's Claw Alcohol-Free Extract, Tincture, Glycerite), Supplements (Gentian Alcohol-Free Extract, Tincture, Glycerite), Supplements (Cilantro Alcohol Extract, Tincture), Supplements (Cilantro Capsules), Supplements (Ginger Alcohol Extract, Tincture), Supplements (Cilantro Alcohol-Free Extract, Tincture, Glycerite), Supplements (Clove Capsules), Supplements (Collinsonia Alcohol Extract, Tincture), Supplements (Collinsonia/Stone Root Alcohol-Free Extract, Tincture, Glycerite), Supplements (Kudzu Alcohol-Free Extract, Tincture, Glycerite), Supplements (Plantain Capsules), Supplements (Cysto Secret Alcohol Extract, Tincture), Supplements (Ginger Alcohol-Free Extract, Tincture, Glycerite), Supplements (Goldenrod Alcohol Extract, Tincture), Supplements (Cleavers Alcohol Extract, Tincture), Supplements (Catuaba Alcohol-Free Extract, Tincture, Glycerite), Supplements (Goldenrod Alcohol-Free Extract, Tincture, Glycerite), Supplements (Goldenseal Root Alcohol-Free Extract, Tincture, Glycerite), Supplements (Cleavers Alcohol-Free Extract, Tincture, Glycerite), Supplements (Grape Seed Alcohol Extract, Tincture), Supplements (Cleavers Capsules), Supplements (Grape Seed Alcohol-Free Extract, Tincture, Glycerite), Supplements (Dandelion Root Alcohol-Free Extract, Tincture, Glycerite), Supplements (Pine Pollen Testosterone Alcohol-Free Extract, Tincture, Glycerite), Supplements (Pine Pollen Testosterone Alcohol Extract, Tincture), Supplements (Cordyceps Alcohol-Free Extract, Tincture, Glycerite), Supplements (Meadowsweet Alcohol-Free Extract, Tincture, Glycerite), Supplements (Meadowsweet Capsules), Supplements (Menopause Secret Alcohol-Free Extract, Tincture, Glycerite), Supplements (Menopause Secret Capsules), Supplements (Migra Secret Alcohol-Free Extract, Tincture, Glycerite), Supplements (Meadowsweet Alcohol Extract, Tincture), Supplements (Bitter melon Alcohol-Free Extract, Tincture, Glycerite), Supplements (Self Heal Alcohol-Free Extract, Tincture, Glycerite), Supplements (Grains of Paradise Alcohol-Free Extract, Tincture, Glycerite), Supplements (Cordyceps Alcohol Extract, Tincture), Supplements (Dandelion Root Alcohol-Free Extract, Tincture,, Glycerite), Supplements (Pine Pollen Alcohol Extract, Tincture), Supplements (Onion Alcohol-Free, Extract, Tincutre, Glycerite), Supplements (Clove Capsules), Supplements (Liver Fortitude Alcohol-Free Extract, Tincture, Glycerite), Supplements (Intestinal Rescue Alcohol-Free Extract, Tincture, Glycerite), Supplements (Fenugreek Alcohol Extract, Tincture), Supplements (Cranberry Alcohol Extract, Tincture), Supplements (Cholesterol Secret Alcohol-Free Extract, Tincture, Glycerite), Supplements (Eucalyptus Alcohol-Free Extract, Tincture, Glycerite), Supplements (Desert Serenity Alcohol-Free Extract, Tincture, Glycerite), Supplements (Tribal Recall Alcohol Extract, Tincture), Supplements (Burdock Alcohol Extract, Tincture), Supplements (Women's Secret Alcohol Extract, Tincture), Supplements (Bladderwrack Capsules), Supplements (Gotu Kola Capsules), Supplements (Diarrhea Tribal Care Alcohol Extract, Tincture), Supplements (Black Elderberry Alcohol-Free Extract, Tincture, Glycerite), Supplements (Goldenseal Leaf Alcohol-Free Extract, Tincture, Glycerite), Supplements (Turmeric Capsules), Supplements (Barberry Root Capsules), Supplements (Arjuna Capsules), Supplements (Blessed Thistle Capsules), Supplements (Tribal Warrior Capsules), Supplements (Chaga Alcohol Extract, Tincture), Supplements (Catnip Alcohol Extract, Tincture), Supplements (Curry Leaf Capsules), Supplements (Minor Pain Care Alcohol-Free Extract, Tincture, Glycerite), Supplements (Butcher's Broom Capsules), Supplements (Galangal Capsules), Supplements (Throat Soothe Alcohol Extract, Tincture), Supplements (Tribal Heart Alcohol-Free Extract, Tincture, Glycerite), Supplements (Osha Alcohol Extract, Tincture), Supplements (Yerba Mate Alcohol Extract, Tincture), Supplements (Mushrooms Blend Alcohol Extract, Tincture), Supplements (Tribal Shield Capsules), Supplements (Cramp Bark Alcohol Extract, Tincture), Supplements (Cramp Bark Alcohol-Free Extract, Tincture, Glycerite), Supplements (Cramp Bark Capsules), Supplements (Gentian Alcohol-Free Extract, Tincture, Glycerite), Supplements (Gentian Alcohol Extract, Tincture), Supplements (Gentian Capsules), Supplements (Goldenseal Root Alcohol Extract, Tincture), Supplements (Intesti Secret Alcohol-Free Extract, Tincture, Glycerite), Supplements (Valerian Alcohol-Free Extract, Tincture, Glycerite), Supplements (Cellulite Secret Alcohol-Free Extract, Tincture, Glycerite), Supplements (Dill Seed Alcohol-Free Extract, Tincture, Glycerite), Supplements (Minor Pain Care Alcohol Extract, Tincture), Supplements (Minor Pain Care Alcohol-Free Extract, Tincture, Glycerite), Supplements (Motherwort Alcohol Extract, Tincture), Supplements (Motherwort Capsules), Supplements (Motherwort Alcohol-Free Extract, Tincture, Glycerite), Supplements (Mugwort Alcohol-Free Extract, Tincture, Glycerite), Supplements (Mugwort Alcohol Extract, Tincture), Supplements (Blood Pressure Secret Alcohol-Free Extract, Tincture, Glycerite), Supplements (Birch Capsules), Supplements (Hawthorn berry Alcohol-Free Extract, Tincture, Glycerite), Supplements (Bladderwrack Alcohol-Free Extract, Tincture, Glycerite), Supplements (Licorice Alcohol-Free Extract, Tincture, Glycerite), Supplements (Alfalfa Alcohol-Free Extract, Tincture, Glycerite), Supplements (Bacopa Alcohol-Free Extract, Tincture, Glycerite), Supplements (Brahmi Alcohol-Free Extract, Tincture, Glycerite), Supplements (Celery Alcohol-Free Extract, Tincture, Glycerite), Supplements (Fenugreek Alcohol-Free Extract, Tincture, Glycerite), Supplements (Dan Shen Alcohol-Free Extract, Tincture, Glycerite), Supplements (Red Sage Alcohol-Free Extract, Tincture, Glycerite), Supplements (Saw Palmetto Alcohol-Free Extract, Tincture, Glycerite), Supplements (Stinging Nettle Root Alcohol-Free Extract, Tincture, Glycerite), Supplements (Korean Red Ginseng Alcohol-Free Extract, Tincture, Glycerite), Supplements (Oatstraw Alcohol-Free Extract, Tincture, Glycerite), Supplements (Passionflower Alcohol-Free Extract, Tincture, Glycerite), Supplements (Skullcap Alcohol-Free Extract, Tincture, Glycerite), Supplements (Stinging Nettle Leaf Alcohol-Free Extract, Tincture, Glycerite), Supplements (Wild Yam Alcohol-Free Extract, Tincture, Glycerite), Supplements (Bilberry Fruit Alcohol-Free Extract, Tincture, Glycerite), Supplements (Ginkgo Biloba Alcohol-Free Extract, Tincture, Glycerite), Supplements (Andrographis Alcohol-Free Extract, Tincture, Glycerite), Supplements (Bugleweed Alcohol-Free Extract, Tincture, Glycerite), Supplements (Clove Alcohol-Free Extract, Tincture, Glycerite), Supplements (Cramp Bark Alcohol-Free Extract, Tincture, Glycerite), Supplements (Echinacea Angustifolia Alcohol-Free Extract, Tincture, Glycerite), Supplements (Lungwort Alcohol-Free Extract, Tincture, Glycerite), Supplements (Nutmeg Alcohol-Free Extract, Tincture, Glycerite), Supplements (American Ginseng Alcohol-Free Extract, Tincture, Glycerite), Supplements (Star Anise Alcohol-Free Extract, Tincture, Glycerite), Supplements (Artichoke Alcohol-Free Extract, Tincture, Glycerite), Supplements (Astragalus Alcohol-Free Extract, Tincture, Glycerite), Supplements (Black Cohosh Alcohol-Free Extract, Tincture, Glycerite), Supplements (Black Walnut Alcohol-Free Extract, Tincture, Glycerite), Supplements (Butcher's Broom Alcohol-Free Extract, Tincture, Glycerite), Supplements (Chickweed Alcohol-Free Extract, Tincture, Glycerite), Supplements (Chicory Alcohol-Free Extract, Tincture, Glycerite), Supplements (Chlorella Alcohol-Free Extract, Tincture, Glycerite), Supplements (Corn silk Alcohol-Free Extract, Tincture, Glycerite), Supplements (Dog Grass Alcohol-Free Extract, Tincture, Glycerite), Supplements (Couch Grass Alcohol-Free Extract, Tincture, Glycerite), Supplements (Stillingia Alcohol-Free Extract, Tincture, Glycerite), Supplements (Anamu Alcohol Extract, Tincture), Supplements (Bayberry Alcohol Extract, Tincture), Supplements (False Unicorn Alcohol Extract, Tincture), Supplements (Jamaican Dogwood Alcohol Extract, Tincture), Supplements (Jamaican Dogwood Alcohol-Free Extract, Tincture, Glycerite), Supplements (Chanca Piedra Alcohol Extract, Tincture), Supplements (Yohimbe Alcohol Extract, Tincture), Supplements (Testosterone Secret Capsules), Supplements (Homme Fatale Alcohol-Free Extract, Tincture, Glycerite), Supplements (Testosterone Secret Alcohol Extract, Tincture), Supplements (Testosterone Secret Alcohol-Free Extract, Tincture, Glycerite), Supplements (Usnea Alcohol-Free Extract, Tincture, Glycerite), Supplements (Pine Bark Alcohol-Free Extract, Tincture, Glycerite), Supplements (Red Root Alcohol-Free Extract, Tincture, Glycerite), Supplements (Yucca Alcohol-Free Extract, Tincture, Glycerite), Supplements (Kola Nut Alcohol-Free Extract, Tincture, Glycerite), Supplements (Muira Puama and Catuaba Alcohol-Free Extract, Tincture, Glycerite), Supplements (Tongkat Ali Alcohol-Free Extract, Tincture, Glycerite), Supplements (Sassafras Alcohol-Free Extract, Tincture, Glycerite), Supplements (False Unicorn Alcohol-Free Extract, Tincture, Glycerite), Supplements (Lomatium Alcohol Extract, Tincture), Supplements (Stone Breaker Blend Alcohol Extract, Tincture), Supplements (Stone Breaker Blend Alcohol-Free Extract, Tincture, Glycerite), Supplements (Yohimbe Alcohol-Free Extract, Tincture, Glycerite), Supplements (Stone Breaker Blend Capsules), Supplements (Sophora Alcohol Extract, Tincture), Supplements (Tribal Vigor Alcohol-Free Extract, Tincture, Glycerite), Supplements (Teasel Alcohol Extract, Tincture), Supplements (Stephania Root Alcohol Extract, Tincture), Supplements (Stephania Root Alcohol-Free Extract, Tincture, Glycerite), Supplements (Sophora Alcohol-Free Extract, Tincture, Glycerite), Supplements (Wild Indigo Alcohol Extract, Tincture), Supplements (Wild Indigo Alcohol-Free Extract, Tincture, Glycerite), Supplements (Huang Qin Alcohol Extract, Tincture), Supplements (Teasel Alcohol-Free Extract, Tincture, Glycerite), Supplements (Yu Xing Cao Alcohol-Free Extract, Tincture, Glycerite), Supplements (Plu Kaow Alcohol-Free Extract, Tincture, Glycerite), Supplements (Plu Kaow Alcohol Extract, Tincture), Supplements (Yu Xing Cao Alcohol Extract, Tincture), Supplements (Huai Hua Mi Alcohol-Free Extract, Tincture, Glycerite), Supplements (Huai Hua Mi Alcohol Extract, Tincture), Supplements (Pagoda Tree Alcohol-Free Extract, Tincture, Glycerite), Supplements (Pagoda Tree Alcohol Extract, Tincture), Supplements (Hu Zhang Alcohol Extract, Tincture), Supplements (Hu Zhang Alcohol-Free Extract, Tincture, Glycerite), Supplements (Forsythia Alcohol-Free Extract, Tincture, Glycerite), Supplements (Forsythia Alcohol Extract, Tincture), Supplements (Dogbane Alcohol-Free Extract, Tincture, Glycerite), Supplements (Dogbane Alcohol Extract, Tincture), Supplements (Lion's Respiratory Alcohol-Free Extract, Tincture, Glycerite), Supplements (Lion's Immune Boost Alcohol-Free Extract, Tincture, Glycerite), Supplements (Huang Qin Alcohol-Free Extract, Tincture, Glycerite), Supplements (Agaricus Blazei Alcohol-Free Extract, Tincture, Glycerite), Supplements (Bitter melon Alcohol-Free Extract, Tincture, Glycerite), Supplements (Ashwagandha Alcohol-Free Extract, Tincture, Glycerite), Supplements (Slippery Elm Alcohol-Free Extract, Tincture, Glycerite), Supplements (Elder Flowers Alcohol-Free Extract, Tincture, Glycerite), Supplements (Burdock Alcohol-Free Extract, Tincture, Glycerite), Supplements (Reishi Alcohol-Free Extract, Tincture, Glycerite),</t>
  </si>
  <si>
    <t>Other Grains, Pastas and Cereals: Cereal; Nuts/Seeds: Seeds; Fruits/Vegetables: Banana (Matooke); Other: Beans</t>
  </si>
  <si>
    <t>Other Grains, Pastas and Cereals: Rice (120 BAGS-JASBERRY ORGANIC SUPERFOOD RICE), Rice (JASBERRY ORGANIC RTE SUPERFOOD RICE- 9 GRAINS), Rice (JASBERRY ORGANIC RTE SUPERFOOD RICE COCONUT), Rice (JASBERRY ORGANIC RTE SUPERFOOD RICE- GREEN CURRY), Rice (JASBERRY ORGANIC RTE SUPERFOOD RICE ORIGINAL), Rice (JASBERRY ORGANIC SUPERFOOD RICE); Oils &amp; Oleoresins: Oils (ORG. CLASSIC AUTHENTIC GREEK EXTRA VIRGI OLIVE OIL), Oils (ORGANIC AUTHENTIC GREEK EXTRA VIRGIN OLIVE OIL), Oils (ORGANIC AVOCADO OIL), Oils (PLANET AUTHENTIC GREEK ORG. EXTRA VIRGIN OLIVE OIL); Fruits/Vegetables: 10.2 OZ ORGANIC PITTED GREEN OLIVES, 10.2 OZ ORGANIC PITTED KALAMATA OLIVES, 2.3 OZ ORGANIC PITTED GREEN OLIVE, 2.3OZ ORGANIC PITTED KALAMATA OLIVES, ORGANIC GREEN OLIVES W/PIMENTO, ORGANIC GREEN PITTED OLIVES, ORGANIC PITTED KALAMATA OLIVES, ORGANIC WHOLE MIXED OLIVES; Condiments and Sweeteners: Mustards (ORGANIC DIJON MUSTARD), Mustards (ORGANIC WHOLEGRAIN DIJON MUSTARD), Sweeteners (ORGANIC VANILLA BEAN PASTE), Vinegar (ORGANIC BALSAMIC); Beverage Related Products: Juice (25.4FL.OZ ORGANIC ELDERFLOWER &amp; ROSE LEMONADE), Juice (25.4FL.OZ ORGANIC ELDERFLOWER LEMONADE), Juice (25.4FL.OZ ORGANIC GINGER BEER), Juice (8.4FL.OZ ORGANIC ELDERFLOWER &amp; ROSE LEMONADE), Juice (8.4FL.OZ ORGANIC ELDERFLOWER LEMONADE), Juice (LIMMI ORGANIC LEMON JUICE - 1495950)</t>
  </si>
  <si>
    <t>Other: Guarana seed powder, Guarana seeds (grains)</t>
  </si>
  <si>
    <t>Processed  Items: CANOLA EXPELLER, SUNFLOWER EXPELLER; Other Grains, Pastas and Cereals: Barley, BUCKWHEAT, CANOLA SEED, Cereal (RYE), CORN, Oats (OAT), POPCORN, SUNFLOWER, Wheat; Oils &amp; Oleoresins: Essential Oils (SUNFLOWER OIL), Oils (CANOLA OIL); Nuts/Seeds: FLAX; Fruits/Vegetables: Beans (PEA), Beans (SOYBEAN), Beans (VETCH)</t>
  </si>
  <si>
    <t>Processed  Items: SUNFLOWER EXPELLER; Other Grains, Pastas and Cereals: Barley, CANOLA SEED, CORN, Oats (OAT), POPCORN, SUNFLOWER, Wheat; Oils &amp; Oleoresins: Oils (SUNFLOWER OIL), Oils (CANOLA OIL), Oils (CANOLA EXPELLER); Nuts/Seeds: FLAX; Fruits/Vegetables: Beans (SOYBEAN)</t>
  </si>
  <si>
    <t>Other: Brown Rice Pet Food, Long Grain Brown Rice, Long Grain Brown Rice Flour, Long Grain Rice Brokens, Long Grain Rice, Mill Run, Long Grain White Rice, Long Grain White Rice Flour, Medium Grain Brown Rice, Medium Grain White Rice, Rice Bran, Rice Hulls, Soybeans, White Rice Pet Food</t>
  </si>
  <si>
    <t>Other: Organic Almond Oil, Organic Apple Cider Vinegar, Organic Coconut Oil, Organic Groundnut Oil, Organic Mustard Oil, Organic Rose Water, Organic Sesame Oil</t>
  </si>
  <si>
    <t>Other: Graines de sésame, Noix de cajou, Soybeans</t>
  </si>
  <si>
    <t>Other Grains, Pastas and Cereals: Seeds (Flaxseed Meal); Oils &amp; Oleoresins: Essential Oils (Borage Oil, Evening Primrose Oil, Flaxseed Oil)</t>
  </si>
  <si>
    <t>Other Grains, Pastas and Cereals: CANOLA SEED, CORN, POPCORN, Sorghum, SUNFLOWER, Wheat; Nuts/Seeds: FLAX; Fruits/Vegetables: Beans (VETCH), Beans (SOYBEAN)</t>
  </si>
  <si>
    <t>Other: AMAR-002 Amaranth, AMAR-006 Amaranth Flour, AMAR-009 Gluten Free Puffed Amaranth, BANA-014 Banana Powder, BANA-016: Banana Powder Drum Dried, BEAN-033 Bean Garbanzo, BEAN-033: Bean Garbanzo, BEAN-052: Bean Garbanzo Split, BEAN-066: Bean Mung, BLUE-015 Blueberry Powder, BUCK-005: Buckwheat, BUCK-006 Buckwheat Flour Light, BUCK-016 Gluten Free Dark Buckwheat Flour, CARR-016 Carrot Powder, CHIA-003: Chia Black, CHIA-003: Chia Black, CHIA-003-P: Chia Black Organic Pasteurized, CHIA-003-RFP: Chia Black RF Pasteurized, CHIA-004: Chia White, CHIA-004: Chia White, CINN-006 Cinnamon Ground, COCO-012 Coconut Chip, COCO-012 Coconut Chip, COCO-012 Coconut Chip, COCO-013 Coconut Medium, COCO-013: Coconut Medium, COCO-013: Coconut Medium, COCO-018 Coconut Macaroon, COCO-018 Coconut Macaroon, COCO-019 Coconut Virgin Oil, COCO-021: Coconut Flour, CRAN-022 Cranberry Powder, DAND-003 Dandelion Leaf Powder, DAND-003 Dandelion Leaf Powder, FLAX-002 Flaxseed Brown, FLAX-002 Flaxseed Brown, FLAX-002: Flaxseed Brown, FLAX-002-P Flaxseed Brown Pasteurized (Integripure whole flax), FLAX-002-P: Flaxseed Brown Pasteurized, FLAX-004 Flaxseed Yellow, FLAX-006 Flaxseed Brown Milled, GARL-004 Garlic Powder, HEMP-007 Hemp Seed Hulled, HULL-010 Hulled Sunflower Nutmeat, HULL-024 Hulled Sunflower Chinese, LENT-002 Lentils Green, LENT-002: Lentils Green, LENT-012: Lentils Beluga (Black), MILL-007 Millet Hulled, MILO-010-GF: Gluten Free Sorghum Crisps, MILO-018 Sorghum Flake, MISC-013 Guar Gum, OILS-024: Soybean Oil Degummed Organic, PEAS-052: Pea Protein Pellets, PUMP-019 Pumpkin Chinese Hulled Grade AA, PUMP-019 Pumpkin Chinese Hulled Grade AA, PUMP-019: Pumpkin Chinese Hulled Grade AA, PUMP-019-P: Pumpkin Chinese Hulled Grade AA Pasteurized, PUMP-019-P: Pumpkin Chinese Hulled Grade AA Pasteurized, QUIN 009 Quinoa White Bolivian, QUIN 019 Quinoa Tricolor, QUIN 026 Quinoa Tricolor 60/20/20, QUIN 027 Quinoa Fair Trade Tricolor PepsiCo 90/5/5, QUIN-001 Quinoa White, QUIN-001: Quinoa White, QUIN-001-TJ Quinoa White, QUIN-003: Quinoa Flour Gluten Free, QUIN-006 Quinoa Red, QUIN-006 Quinoa Red, QUIN-007 Quinoa Flake, QUIN-007 Quinoa Flake, QUIN-007: Quinoa Flake, QUIN-009 Quinoa White Bolivian, QUIN-009: Golden Royal Quinoa, QUIN-019 Quinoa Tricolor, QUIN-021 Quinoa Crisp, QUIN-026 Quinoa Tricolor 60/20/20, QUIN-026: Quinoa Tricolor 60/20/20, QUIN-026: Quinoa Tricolor 60/20/20, QUIN-026-TJ Quinoa Tricolor, QUIN-041 Quinoa White Red Blend 85/15, RAIS-014: Raisin Thompson Select, RICE-049: Rice Brown Crisp, RICE-055 Rice Brown Long Grain Flour, RYE-007 Rye Flake, SOYB-001 Soybean, SOYB-024: Soybean Meal Expeller Pressed Organic, SPEL-007: Spelt Hulled, SPIC-031 Rosemary, SPIC-032 Sage, SPIC-049: Chicory Root Powder Organic, SPIC-054: Rosemary Ground, SUNF-040: Sunflower Meal, VEGE-012: Artichoke Leaf C-S, VEGE-012: Artichoke Leaf C-S</t>
  </si>
  <si>
    <t>Other: Broken Rice, Brown Basmati Rice, Brown Basmati Rice, Brown Jasmine Rice, Brown Long Grain Rice, Chia Seeds, Light Brown Long Grain Rice, Light Brown Rice, Long Grain Brown Rice, Long Grain Brown Rice, Long Grain Mill Run Rice, Long Grain White Rice, Long Grain White Rice, Rice Bran, White Basmati Rice, White Jasmine Rice, White Long Grain Rice, Wild Rice</t>
  </si>
  <si>
    <t>Seasonings: Herbs (Ground: Cumin Powder), Herbs (Dried: Allspice), Herbs (Dried: Annatto Seed), Herbs (Dried: Szechuan Pepper), Herbs (Dried: Peppercorn Black), Herbs (Dried: Peppercorn White), Herbs (Dried: Peppercorn Mixed), Herbs (Dried: White Peppercorn Powder), Herbs (Dried: Peppercorn Green), Herbs (Dried: Peppercorn Pink), Herbs (Dried: Peppercorn Black Coarse), Herbs (Dried: Ajwain), Herbs (Dried: Stevia Leaf), Herbs (Dried: Clove), Herbs (Dried: Asafoetida), Herbs (Dried: Za'atar Seasoning (salt free)), Herbs (Dried: Lemon Pepper (salt free)), Herbs (Dried: Thai Seasoning (with salt)), Herbs (Dried: Italian Seasoning (salt free)), Herbs (Dried: Mojave Chili &amp; Ribs (with salt)), Herbs (Dried: Dal Makhani (salt free)), Herbs (Dried: Cajun Seasoning (with salt)), Herbs (Dried: Kashmiri Masala (salt free)), Herbs (Dried: Fisherman's Choice (salt free)), Herbs (Dried: Memphis BBQ (salt free)), Herbs (Dried: Steak Seasoning (salt free)), Herbs (Dried: Berbere Ethiopian Seasoning (salt free)), Herbs (Dried: Luigi's Italiano (salt free)), Herbs (Dried: Trinidad Masala (with salt)), Herbs (Dried: Fajita Seasoning (salt free)), Herbs (Dried: Herbes de Provence (salt free)), Herbs (Dried: Chinese Five Spice (salt free)), Herbs (Dried: Trinidad Masala (salt free)), Herbs (Dried: Vindaloo Masala (salt free)), Herbs (Dried: Moroccan Seasoning (salt free)), Herbs (Dried: Garam Masala (salt free)), Herbs (Dried: Yucatan Seasoning (salt free)), Herbs (Dried: Kashmiri Masala (with salt)), Herbs (Dried: Taco Seasoning (with salt)), Herbs (Dried: Thai Seasoning (salt free)), Herbs (Dried: Panch Phoran), Herbs (Dried: Ray's All Purpose Seasoning), Herbs (Dried: Mojave Chili &amp; Ribs (salt free)), Herbs (Dried: Red Pepper &amp; Garlic (salt free)), Herbs (Dried: Tandoori Masala (with salt)), Herbs (Dried: Chinese Five Spice (with salt)), Herbs (Dried: Curry in a Hurry (salt free)), Herbs (Dried: Vindaloo Masala (with salt)), Herbs (Dried: Hot Curry Powder (salt free)), Herbs (Dried: Hot Curry Powder (with salt)), Herbs (Dried: Za'atar Seasoning (with salt)), Herbs (Dried: Fish &amp; Shrimp Seasoning (with salt)), Herbs (Dried: Fish &amp; Shrimp Seasoning (salt free)), Herbs (Dried: Spicy Ribs Seasoning (with salt)), Herbs (Dried: Ras el Hanout (salt free)), Herbs (Dried: Mughal Masala (salt free)), Herbs (Dried: Berbere Ethiopian Seasoning (with salt)), Herbs (Dried: Lemon Pepper (with salt)), Herbs (Dried: Italian Seasoning (with salt)), Herbs (Dried: Vital Choice - Lemon Pepper Seasoning), Herbs (Dried: Pumpkin Pie Spice), Herbs (Dried: Red Pepper &amp; Garlic (with salt)), Herbs (Dried: Madras Curry (salt free)), Herbs (Dried: Madras Curry (with salt)), Herbs (Dried: Tandoori Masala (salt free)), Herbs (Dried: Creole Seasoning (salt free)), Herbs (Dried: Golden Milk), Herbs (Dried: Dal Masala (with salt)), Herbs (Dried: Moroccan Seasoning (with salt)), Herbs (Dried: Cajun Seasoning (salt free)), Herbs (Dried: Dal Makhani (with salt)), Herbs (Dried: Taco Seasoning (salt free)), Herbs (Dried: Yucatan Seasoning (with salt)), Herbs (Dried: Jamaican Seasoning (with salt)), Herbs (Dried: Spicy Ribs Seasoning (salt free)), Herbs (Dried: Mughal Masala (with salt)), Herbs (Dried: Steak Seasoning (with salt)), Herbs (Dried: Luigi's Italiano (with salt)), Herbs (Dried: Fajita Seasoning (with salt)), Herbs (Dried: Jamaican Seasoning (salt free)), Herbs (Dried: Ras el Hanout (with salt)), Herbs (Dried: Luigi's Italiano - Bread Stuffing Mix), Herbs (Dried: Herbes de Provence (with salt)), Herbs (Dried: Garam Masala (with salt)), Herbs (Dried: Curry in a Hurry (with salt)), Herbs (Dried: Memphis BBQ (with salt)), Herbs (Dried: Vital Choice - Rustic Blackening Blend), Herbs (Dried: Spicy Steak and Ribs Seasoning (salt free)), Herbs (Dried: Vital Choice - Classic Creole Seasoning), Herbs (Dried: Vital Choice - Salmon Seasoning Blend (salt free)), Herbs (Dried: Vital Choice - Salmon Seasoning Blend (with salt)), Herbs (Dried: Fisherman's Choice (with salt)), Herbs (Dried: Creole Seasoning (with salt)), Herbs (Dried: Dal Masala (salt free)), Herbs (Dried: Classic Garlic &amp; Herb Blend), Herbs (Dried: Poultry Seasoning), Herbs (Dried: Coriander Seed), Herbs (Dried: Cumin Whole), Herbs (Dried: Curry Leaves), Herbs (Dried: Roasted Red Chile Pepper), Herbs (Dried: Cayenne Pepper - Mild), Herbs (Dried: Cayenne Pepper - Hot), Herbs (Dried: Cayenne Pepper - Medium), Herbs (Dried: Fenugreek Seeds), Herbs (Ground: Turmeric Powder), Herbs (Dried: Cilantro), Herbs (Dried: Bay Leaves), Herbs (Dried: Rosemary), Herbs (Ground: Ancho Powder), Herbs (Ground: Chili Red Whole), Herbs (Ground: Crushed Red Pepper), Herbs (Dried: Fennel), Herbs (Dried: Ginger Root), Herbs (Dried: Ginger Powder), Herbs (Dried: Caraway Seed), Herbs (Dried: Rose Petals), Herbs (Dried: Rosehip Powder), Herbs (Dried: Rose Petal Powder), Herbs (Dried: Sassafras Leaves), Herbs (Dried: Anise Seed), Herbs (Dried: Anise Star), Herbs (Ground: Vanilla Powder), Herbs (Ground: Vanilla Bean), Herbs (Ground: Garlic Powder), Herbs (Ground: Garlic Granules), Herbs (Dried: Cinnamon Sticks), Herbs (Dried: Cinnamon Round Whole - Celyon), Herbs (Dried: Cinnamon Powder), Herbs (Dried: Cinnamon Crushed - Ceylon), Herbs (Dried: Cinnamon Chips -Cassia), Herbs (Dried: Juniper Berries), Herbs (Dried: Marjoram), Herbs (Ground: Amchur Powder), Herbs (Dried: Turmeric Root), Herbs (Dried: Sage Rubbed), Herbs (Dried: Sage), Herbs (Dried: Marigold Petals), Herbs (Dried: Celery Seed), Herbs (Dried: Mustard Seed Brown), Herbs (Dried: Sumac), Herbs (Dried: Sesame Seed White), Herbs (Dried: Poppy Seed Blue), Herbs (Dried: Sesame Seed Black), Herbs (Dried: Chipotle Powder), Herbs (Dried: Lemon Verbena), Herbs (Dried: Mace), Herbs (Dried: Triple Flake Dulse), Herbs (Dried: Mustard Seed Yellow), Herbs (Dried: Mustard Seed Black), Herbs (Dried: Safflower Petals), Herbs (Dried: Thyme), Herbs (Dried: Dill Weed), Herbs (Dried: Dill Seeds), Herbs (Dried: Nutmeg Whole), Herbs (Dried: Garlic Flakes/Minced), Herbs (Dried: Cardamom Seed Powder), Herbs (Dried: Cardamom Seeds), Herbs (Dried: Cardamom Black), Herbs (Dried: Cardamom Green), Herbs (Dried: Parsley), Herbs (Dried: Savory), Herbs (Ground: Clove Powder), Herbs (Dried: Tarragon), Herbs (Dried: Paprika Smoked), Herbs (Dried: Paprika Sweet), Herbs (Dried: Oregano), Herbs (Dried: Oregano Mexican), Herbs (Dried: Nigella), Herbs (Ground: Nutmeg Powder), Herbs (Dried: Chives), Herbs (Dried: Basil), Herbs (Dried: Galangal), Herbs (Dried: Lemon Grass); Pet Products: Supplements (Supplements: Fera Pet Organics - Mushroom Immune Support); Other Grains, Pastas and Cereals: Seeds (Whole Grains or Seeds: Chia Seed), Seeds (Whole Grains or Seeds: Flax Seed); Health Products: Supplements (Vitamins and Supplements: Amla Green - Indian Goodberry Tea Powder); Fruits/Vegetables: Dehydrated Foods (Dried: Jalapeno Powder), Dehydrated Foods (Dried: Coconut Shredded Unsweetened), Dehydrated Foods (Dried: Orange Peel Granules), Dehydrated Foods (Dried: Orange Peel), Dehydrated Foods (Dried: Lemon Peel), Dehydrated Foods (Dried: Lemon Powder), Dehydrated Foods (Dried: Onion Granules), Dehydrated Foods (Dried: Onion Powder), Dehydrated Foods (Dried: Onion Minced); Condiments and Sweeteners: Chocolate (Cocoa or Chocolate: Chocolate Chips), Confections (Sugar: Cane Sugar), Confections (Sugar: Sugar Cane), Vinegar (Vinegar: Apple Cider Vinegar Powder); Beverage Related Products: Tea (Loose Leaf Tea: Ambrosia White Tea), Tea (Loose Leaf Tea: The First Sip of Tea - Yerba Mate Matcha), Tea (Loose Leaf Tea: Genmaicha Green), Tea (Loose Leaf Tea: Gunpowder Green), Tea (Loose Leaf Tea: The First Sip of Tea - Peppermint Matcha), Tea (Loose Leaf Tea: Jasmine Blossom Green), Tea (Loose Leaf Tea: The First Sip of Tea - Rooibos Matcha), Tea (Loose Leaf Tea: The First Sip of Tea - Jasmine Matcha), Tea (Loose Leaf Tea: Moroccan Mint Flavored Green), Tea (Loose Leaf Tea: Pineapple Green Tea), Tea (Loose Leaf Tea: Decaf Green), Tea (Loose Leaf Tea: The First Sip of Tea - Green Tea Matcha), Tea (Loose Leaf Tea: The First Sip of Tea - Earl Grey Matcha), Tea (Loose Leaf Tea: Green Sencha), Tea (Loose Leaf Tea: Yerba Mate), Tea (Loose Leaf Tea: Spearmint Mate), Tea (Bagged Tea: The First Sip of Tea - Masala Chai), Tea (Bagged Tea: The First Sip of Tea - Five Rivers Chai), Tea (Bagged Tea: The First Sip of Tea - Creme de la Earl), Tea (Bagged Tea: The First Sip of Tea - Buddha's Chai), Tea (Bagged Tea: The First Sip of Tea - Ambrosia White Tea), Tea (Loose Leaf Tea: Himalayan Chai), Tea (Loose Leaf Tea: Ceylon Black), Tea (Loose Leaf Tea: First Sip of Chai – Sip of Serenity), Tea (Loose Leaf Tea: Chocolate Chai), Tea (Loose Leaf Tea: Lapsang Souchong Black Tea), Tea (Loose Leaf Tea: Coconut Chai), Tea (Loose Leaf Tea: First Sip of Chai – Sip of Wisdom), Tea (Loose Leaf Tea: Coconut Flavored Black Tea), Tea (Loose Leaf Tea: Creme de la Earl), Tea (Loose Leaf Tea: Black Bear Black Tea), Tea (Loose Leaf Tea: Earl Grey Black), Tea (Loose Leaf Tea: English Breakfast Black), Tea (Loose Leaf Tea: Five Rivers Chai), Tea (Loose Leaf Tea: First Sip of Chai – Sip of Peace), Tea (Loose Leaf Tea: Tulsi Chai), Tea (Loose Leaf Tea: Rooibos Chai), Tea (Loose Leaf Tea: First Sip of Chai – Sip of Comfort), Tea (Loose Leaf Tea: Keemun Black Tea), Tea (Loose Leaf Tea: Shimla Chai), Tea (Loose Leaf Tea: First Sip of Chai – Sip of Indulgence), Tea (Loose Leaf Tea: Masala Chai), Tea (Loose Leaf Tea: First Sip of Chai – Sip of Love), Tea (Loose Leaf Tea: Buddha's Chai), Tea (Loose Leaf Tea: Nirvana Chai), Tea (Loose Leaf Tea: First Sip of Chai – Sip of Happiness), Tea (Loose Leaf Tea: Mundir's Chai), Tea (Loose Leaf Tea: Chocolate Flavored Black Tea), Tea (Loose Leaf Tea: Mate Chai), Tea (Loose Leaf Tea: First Sip of Chai – Sip of Paradise), Tea (Loose Leaf Tea: Zen Chai), Tea (Loose Leaf Tea: Assam Black), Tea (Loose Leaf Tea: First Sip of Chai – Sip of Enlightenment), Tea (Loose Leaf Tea: First Sip of Chai – Sip of Nirvana), Tea (Loose Leaf Tea: Chai Base), Tea (Loose Leaf Tea: First Sip of Chai – Sip of Joy), Tea (Loose Leaf Tea: Darjeeling Black), Tea (Loose Leaf Tea: First Sip of Chai – Sip of Zen), Tea (Bagged Tea: The First Sip of Tea - Twilight Herbal Tea), Tea (Bagged Tea: The First Sip of Tea - Orange Cream Rooibos), Tea (Bagged Tea: The First Sip of Tea - Chamomile), Tea (Bagged Tea: The First Sip of Tea - Hibiscus Passion), Tea (Bagged Tea: The First Sip of Tea - Spirit Tea), Tea (Bagged Tea: The First Sip of Tea - Chamomile Dreams), Tea (Bagged Tea: The First Sip of Tea - Yerba Mate), Tea (Loose Leaf Tea: Spirit Tea), Tea (Loose Leaf Tea: Bilberry Herbal Tea), Tea (Loose Leaf Tea: Chamomile Herbal Tea), Tea (Loose Leaf Tea: Chickweed), Tea (Loose Leaf Tea: Spearmint Herb), Tea (Loose Leaf Tea: Mystic Mint), Tea (Loose Leaf Tea: Lavender Herb), Tea (Loose Leaf Tea: Rooibos), Tea (Loose Leaf Tea: Hibiscus Herbal Tea), Tea (Loose Leaf Tea: Licorice Root Herbal Tea), Tea (Loose Leaf Tea: Tulsi Herbal), Tea (Loose Leaf Tea: Elderberry), Tea (Loose Leaf Tea: Lemon Verbena), Tea (Loose Leaf Tea: Coconut Rooibos), Tea (Loose Leaf Tea: Orange Cream Rooibos), Tea (Loose Leaf Tea: Twilight Herbal Tea), Tea (Loose Leaf Tea: Gotu Kola), Tea (Loose Leaf Tea: Peppermint), Tea (Loose Leaf Tea: Chamomile Dreams), Tea (Loose Leaf Tea: Hibiscus Passion), Tea (Bagged Tea: The First Sip of Tea - Pineapple Green Tea); Other: Other: Maple Sugar</t>
  </si>
  <si>
    <t>Other: Services (Warehouse Storage (Psyllium Husk (Whole, and Powder), Tapioca Starch, Amaranth, Caraway Seeds, Cashew 320, Cashew Pieces (LP), Millet Grain (Hulled), Pumpkin Kernel, Quinoa Grain (Red, White), Sunflower Kernels, Walnut (Halves &amp; Pieces, Pieces), Flaxseed (Brown Milled, Brown Whole, Golden Milled, Golden Whole), Cayenne Pepper, Garlic (Chopped, Minced, Powder)), Services (Warehouse Storage (Black Chia Seed, Oats, Poppy Seeds, Sesame Seed (Black Hulled, Hulled, Natural), Cinnamon Powder, Ginger Powder, Onion (Chopped, Minced, Powder), Pepper))</t>
  </si>
  <si>
    <t>Other: AJWAIN SEEDS ALOE VERA POWDER AMARANTH FLOUR / FINGER MILLET GRAIN AMCHUR POWDER / Mango Powder / Aamchur AMLA POWDER ARROWROOT POWDER ASHWAGANDHA POWDER BAJRA FLOUR BANANA BLOSSOM BARLEY FLOUR SAWAN / BARNYARD MILLET BASMATI RICE BAY LEAVES BEETROOT POWDER BESAN BLACK PEPPER POWDER BLACK PEPP WHOLE BLACK HAIR DYE BLACK EYE PEAS BLACK CARDAMOM / Cardamom Large (Black) BLACK RICE / Non Basmati Rice BRAHMI POWDER (EDIBLE) BROWN BASMATI LIGHT BROWN DYE DARK BROWN DYE BROWNTOP MILLET BUCKWHEAT FLOUR BULGUR #1 / #1 Fine Organic Bulgur Wheat BULGUR #3 / #3 Coarse Organic Bulgur Wheat CARDAMOM POWDER CARDAMOM SEEDS CASHEWS CASHEW BUTTER Raw Unsalted / Nut Butter CASTOR OIL CHANA DAL CHAI MASALA CHILLI POWDER CHILLI WHOLE CINNAMON FLAT CINNAMON ROUND CLOVES WHOLE COC. MILK LIT COCONUT CREAM 22% COCONUT MILK 18% COCONUT SHREDDED COCONUT CHIPS COC MILK POWDER CREAMED COCONUT COC JAGGERY POWDER CORIANDR POWDER CORIANDER SEEDS CRUSHED CHILLI CUMIN SEEDS CUMIN POWDER FENNEL SEEDS FLAX SEEDS FOXTAIL MILLET GARAM MASALA GARBANZOS GHEE / Unclarified Butter GINGER POWDER GOKSHURA POWDER / Tribulus Terrestris Powder / Gokhru Powder / Tribulus Powder GREEN CARDAMOM HARITAKI POWDER PURE HENNA HERBAL HENNA HIBISCUS POWDER HIBISCUS FLOWERS IDLI RICE / Non Basmati Rice INDIGO HAIR DYE PSYLLIUM HUSK POWDER PSYLLIUM WHOLE GREEN JACKFRUIT JAGGERY POWDER. JAGGERY WHOLE JOWAR FLOUR KALONJI KALA CHANA / Brown Gram / Gram / Chana (Cicer Arietinum) KALONJI SEEDS KODO MILLET LEMONGRASS POWDER LEMON GRASS LEAF LICORICE POWDER / Liquorice Powder LICORICE ROOT TEA / Liquorice TBC / Mulethi TBC LITTLE MILLET MASOOR DAL METHI SEED METHI POWDER PEPPER MINT LEAF MIX DAL MOONG WHOLE MOONG DAL MOONG SPLIT GREEN MORINGA POWDER MOTH BEANS MULTIGRAIN ATTA MUSTARD SEEDS MUSTARD OIL NEEM POWDER NUTMEG WHOLE PEANUT OIL POHA (THICK) PROSO MILLET / MILLET Pumpkin Seed Butter, Raw, Sprouted, Unsalted / Pumpkin Seed QUINOA QUINOA FLOUR RAGI FLOUR RAVA IDLI RICE RED KIDNEY LIGHT RED KIDNEY DARK RED RICE RICE FLOUR ROSE PETAL POWDER ROSE PETAL SMALL SENNA LEAF SESAME WHITE SESAME OIL SHATAVARI POWDER SONA MASURI RICE SONA BROWN RICE SONA MASURI HAND STAR ANISE STEVIA LEAVES STEVIA LEAF POWDER SUNFLOWER OIL TAMARIND PASTE TOOR DAL TRIPHALA POWDER TURMERIC POWDER URAD DAL (WHITE) URAD WHOLE URAD SPLIT URAD GOTA WHOLE WHITE PEPPER POWDER WHITE PEPPERCORN FINGER MILLET VANILLA</t>
  </si>
  <si>
    <t>Other: 7 Grain Atta, 7 Grain Methi Atta, Aloo Paratha, Aloo Tikki, Barley-Dehulled, Beet Root cutlet, Brown Chana, Cocktail Samosa, Corn Flour, Fenugreek Powder, Garlic Naan, Harabhara Kabab, Jowar Flour, Malabar Parotta, Mix Veg paratha, Multi Grain Chapati, Panjabi Samosa, Phulka Roti, Ragi Flour, Split Green Gram, Tandoori Naan, Tandoori Roti, Wheat, Whole Wheat Flour / Chakki Flour</t>
  </si>
  <si>
    <t>Seasonings: Chilli Flakes,; Other Grains, Pastas and Cereals: Basmati Rice Brown,Basmati Rice White,Broken Rice,Jowar, Ragi / Finger Millet Grain,Red Rice,Rice Sonamasuri brown,Rice Sonamasuri Handpound,Wheat, Rice Sonamasuri, Non-basmati Rice, Idly Rice, Low GI Rice; Oils &amp; Oleoresins: Coconut Oil,Groundnut/ Peanut Oil (Edible Grade),Mustard oil(aroma/E.Oil),Safflower Seed Oil (Kardi Seed Oil),Sesame Oil / Gingelly Oil,sunflower oil: edible grade,Virgin coconut oil; Fruits/Vegetables: Alphonso mango,green chilli fresh, Drumstick,spinach/palak (fresh); Condiments and Sweeteners: Cardamom,Sugar; Bread/Bakery/Snacks: Bhel, Coated Masala Peanut,Masala peanut,Peanut jaggery chikki,Roasted Chana snack,Salted Peanut,Salted Roasted Channa/ Chickpea,Sesame Jaggery Chikki,Shakkar Para; Beverage Related Products: Assam Tea,Green Tea, Tulsi Green Tea; Other: 7 Grain atta,7 Grain Gluten free atta, Ajwain, Alphonso Mango Pulp,Aseptic tomato paste,Aseptic tomato puree,Bajra flour/atta,Bajra whole,Barley flour,Barley-Dehulled, Bay leaves/Tejpatta,Bengal gram (Chana) Flour,Bengal Gram Whole, Biryani Paste,Biryani/Biryani Rice Pilaf, Black Gram Spilt White,black gram split- black,Black Gram White whole,black gram/urd (Vigna sp.),Black Pepper,Black Pepper Cracked,Black Pepper Powder,Brown gram/Gram/Chana (Cicer arietinum), Chakralu,Chana Dal,Chana dal chutney powder,Chat Masala,Chekodi, Chicken Curry Spice Blend,Chilli, Chilli Powder,Chitra Kidney Beans / Rajma (Phaseolus vulgaris), Chole Masala/ Chickpea Spice Blend, Cinnamon,cinnamon (powder),Clove Powder,Cloves, Coconut Powder, ,Coriander,Coriander Powder,Coriander Seed / Whole,Corn daliya/ Corn porridge,Cowpea Red,Creamy Peanut Butter,Cumin Powder,Cumin seed, curry leaf/leaves,Curry paste,Curry Powder, Dehydrated Curry Leaves Powder,Dehydrated Garlic Powder,Dehydrated mango,Dehydrated Onion Powder,Dehydrated Tomato Powder,Desiccated coconut powder,Dia Atta,Dilli paneer masala,Dried Garlic,Dry/dehydrated coriander leaves,Dry/Dehydrated fenugreek leaves,Easy idli mix,Egg Masala,Fenugreek,Fenugreek powder (Methi powder),Fish Masala,Flax Seed, Frozen Green Coriander,Garam Masala,Garam Masala powder,Garlic,Garlic paste,Ginger (Dried unbleached),Ginger Garlic Paste,Ginger paste,Ginger Powder, Gojji avalaki (Rice flakes and Tamarind mix)/Savoury Rice Pudding,Gram Flour/Besan,Green chilli powder(dry),Green Gram Split Yellow (Moong Dal Yellow),Green gram whole (Moong sabut),Groundnut/Peanut,Hot Mixture,Hulled Sesame/Sesamum,Idly rava,Jaggery,Jaggery Powder,Jowar Flour,Kabuli Chana,Kanda poha-Savoury Rice Flakes,Kesar Mango Pulp,khichdi,Lemon juice,Lemon Pickle, Mace,Madras Curry powder,Madras sauce,Maize (Corn),Maize/Corn Flour,Mango avakaya pickle with garlic,Mango avakaya pickle without garlic,mango powder/ aamchur,Mango pulp,Masoor (Lens culinaris),Masoor Dal,Meat Masala,Mint Leaves Dehydrated,Moong Dal,Mullu Muruku,Multi Grain Atta,Multigrain Malt, Mustard, Nutmeg fresh,Nutmeg whole,Onion dried, Panchmel dal/ Five Lentil Soup,Panchratan Dal,Peanut (Raw, Poha Flattened Rice,Pongal,Prawn curry masala, Quinoa,Quinoa flour,Quinoa pilaf,Ragi Flour,Ragi idli,Ragi Malt,Rasam powder,Red chilli (whole),Red Chilli Paste, Kichadi /Whole Moong Khichad/Rice and Mungbean medley, Kitchen King Masala, Bombay Mixture, Chicken Curry masala, chickpea/kabuli chana(garbanzos),Frozen Aloo Bonda,Frozen Aloo Paratha,Frozen Cabbage,Frozen Carrot,Frozen cauliflower,Frozen Chapati,Frozen Cocktail Samosa,Frozen Corn Samosa,Frozen Curry Leaves,Frozen Drumstick,Frozen Falafel,Frozen French Bean,Frozen Fulka Roti,Frozen Garlic Naan,Frozen Green Capsicum,Frozen Green Chilli,Frozen Harabhara Kabab,Frozen Kottimera Vada,Frozen Malabar Parotta,Frozen Masala Vada, Frozen Multi Grain Chapati, Frozen Peas (Pisum Stativum), Frozen potato, Frozen Upma,Frozen Veg Momos,spinach frozen, Frozen Aloo Tikki, Frozen Beetroot Cutlet, Frozen Tandoori Naan, Frozen Garlic Naan, Frozen Plain Naan, Frozen Mix Veg Paratha, Frozen Tandoori Roti, Frozen Punjabi Samosa, Millet Dosa, Red Flattened Rice,red kidney beans/rajma (phaseolus vulgaris),Red Stick Chilly,Ribbon Pakoda, Rice flour,Rice Puffed,Roasted Bengal gram Dal,Sambhar powder,Sattu Atta/ Roasted Chickpea Flour,Sattu multigrain Atta/Chickpea shake mix multigrain,Sattu Spice/ Chickpea Shake Mix Spicy,Sattu Sweet/ Chickpea Shake Mix Sweetened,soyabean/soyabean flour,soyabean/soyabean white, Spice Dip mix,split green gram/moong(vigna sp),Split Pigeon Pea/ Arhar/ Red Gram,tamarind concentrate,Tamarind Paste,tamarind/imli (t.indica,Tandoori Spice Blend/ BarbecueSpice Blend,Thattai (Chakkalu),Thick Sev,Tikka paste,Tikka Sauce,Tomato pickle,Totapuri Mango Pulp,Tur/Toor Dal,Turmeric Fresh,Turmeric Powder,Urad Dal / Split Black Gram,Urad Dal Whole (White),Urad Whole(black),Vinegar,Wheat bran,Wheat Flour,Wheat Grass Powder,Wheat Maida,Wheat Porridge/ Dalia,White Pepper Powder,White Sesame/ Sesame</t>
  </si>
  <si>
    <t>Other: Ajwain, Alphanso Mango Pulp, Aseptic Tomato Paste, Aseptic Tomato Puree, Assam Tea, Bajra Flour/Atta, Barley- De Hulled, Barley Flour, Basmati Rice- Brown, Basmati Rice White, Bayleaf/Tejpatta, Bengal Gram (Chana) Flour, Bengal Gram Whole, Bhel, Biryani Paste, Black Gram Split White, Black Gram White Whole, Black Gram/Urad (Vigna Sp.), Black Pepper, Black Pepper Cracked, Black Pepper Powder, Bombay Mixture, Broken Rice, Brown Gram/Gram/Chana, Cardamom, Chakralu, Chana Dal, Chana Dal Chutney Powder, Chana Masala, Chat Masala, Chekodi, Chia, Chicken Curry Masala, Chilli Flakes, Chilli Powder, Chilli Whole, Chitra Kidney Beans/Rajma (Phaseolus Vulgaris), Chutney Powder, Cinnamon, Cinnamon (Powder), Clove Powder, Cloves, Coconut Desiccated, Coriander, Coriander Green Leaf, Coriander Powder, Coriander Seed/Whole, Corn Daliya/ Corn Porridge, Cowpea Red, Cumin Powder, Cumin Seed, Curry Leaf Powder, Curry Leaf/Leaves, Curry Powder, Dehydrated Curry Leaves Powder, Dehydrated Garlic Powder, Dehydrated Onion Powder, Dehydrated Tomato Powder, Dried Garlic, Dry Mint, Dry/Dehydrated Coriander Leaves, Dry/Dehydrated Fenugreek Leaves, Fenugreek, Fenugreek Powder (Methi Powder), Flax Seed, Garam Masala, Garlic, Garlic Paste, Ginger (Dried, Unbleached), Ginger Fresh, Ginger Garlic Paste, Ginger Paste, Ginger Powder, Gram Flour/Besan, Green Chilli Powder (Dry), Green Chilly, Green Gram Split Yellow/Moong Dal-Yellow, Green Gram Whole (Moong Sabut), Green Tea, Groundnut/Peanut, Groundnut/Peanut Masala, Groundnut/Peanut Oil (Edible Grade), Hot Mixture, Hulled Sesame/Sesamum, Idly Rava, Jaggery, Jaggery Cube, Jaggery Powder, Jowar, Jowar (Sorghum)Chikki, Jowar Flour, Kabuli Chana, Kesar Mango Pulp, Kichri, Kitchen King Masala, Lemon Juice, Lemon Pickle, Low GI Rice, Mace, Madras Sauce, Maize (Corn), Maize/Corn Flour, Mango Avakaya Pickle, Mango Avakaya Pickle Without Garlic, Mango Powder/Amachur, Mango Pulp, Masala Peanut, Masoor (Lens Culinaris), Masoor Dal, Millet Dosa Mix, Mint Leaves Dehydrated, Moong Dal, Mullu Muruku, Multi Grain Atta, Mustard, Mustard Oil (Aroma/E. Oil), Mustard Powder, Non Basmati Rice, Non-Basmati Idly Rice, Nutmeg Fresh, Nutmeg Whole, Onion (Dried), Onion Powder, Pacharatna Dal, Peanut Butter/Arachis Butter, Peanut Hing Jeera, Peanut –Jaggery Chikkies, Pearl Millet/Bajra, Poha Flattened Rice, Quinoa, Quinoa Flour, Ragi (Finger Millet) Chikki, Ragi Flour, Ragi Idli/Idli Flour/Powder, Ragi/Finger Millet Grain, Rasam Powder, Red Chilly Paste, Red Flattened Rice, Red Gram, Red Kidney Beans/Rajma (Phaseolus Vulgaris), Red Rice, Red Stick Chilly, Ribbon Pakoda, Rice Flour, Rice Puffed, Rice Sonamasuri Brown, Rice Sonamasuri Hand Pound, Rice-Sona Masuri, Roasted Bengal Gram Dal, Roasted Gram/ Chana, Roasted Peanut (Chilli-Garlic), Roasted Peanut (Lemon Chilli), Roasted Peanut (Lemon-Mint/Nimbu Pudina), Roasted Peanut (Peri-Peri), Roasted Peanut (Tandoori), Safflower Seed Oil (Kardi Seed Oil), Salted Peanut, Sambhar Powder, Sattu Atta/Roasted Chickpea Flour, Sattu Multigrain/Chickpea Shake Mix Multigrain, Sattu Spice/Chickpea Shake Mix Spicy, Sattu Sweet/Chickpea Shake Mix Sweetened, Sesame –Jaggery Chikkies, Sesame Oil/Gingelly Oil, Shakkar Para, Soyabean/Soybean Flour, Soyabean/Soybean White, Spicy Masala Peanut, Split Green Gram/Moong (Vigna Sp.), Split Pigeon Pea/Arhar/Red Gram, Sugar, Sunflower Oil: Edible Grade, Tamarind Concentrate, Tamarind Paste, Tamarind/Imli (T.Indica), Tandoori Masala, Thattai (Chakkalu), Thick Sev, Tikka Paste, Tomato Pickle, Totapuri Mango Pulp, Tulsi Green Tea, Turmeric Powder, Urad Whole(Black), Vinegar, Virgin Coconut Oil, Wheagrass Powder, Wheat, Wheat Bran, Wheat Flour, Wheat Maida, Wheat Porridge/Dalia, White Pepper Powder, White Sesame/Sesame</t>
  </si>
  <si>
    <t>Other: 7 Grain Methi Atta, Ajwain, All Purpose Paste, Alphonso Mango Pulp/Puree, Assam Tea, Bajra Flour, Bajra Whole, Basmati Rice, Basmati Rice - Brown, Basmati Rice - White, Bay Leaves/Tejpatta, Bengal Gram Whole, Bhel, Biryani Paste, Biryani-Biryani Rice Pilaf, Black Gram, Black Gram Spilt White, Black Gram White whole, Black Pepper, Black Pepper Powder, Broken Rice, Brown Gram/Gram/Chana (Cicer Arietinum), Brown Rice Flour, Cane Sugar, Cardamom, Cashew Whole, Chakralu, Chana Dal, Chana Dal Chutney Powder, Chat Masala, Chekodi, Chicken Curry Spice Blend, Chickpea/kabuli Chana(Garbanzos), Chilli Powder, Chitra Kidney Beans / Rajma (Phaseolus Vulgaris), Chole Masala/ Chickpea Spice Blend, Chutney Powder, Cinnamon, Cinnamon Powder, Clove Powder, Cloves, Coconut Desiccated, Coriander Powder, Coriander Seed / Whole, Corn Daliya/ Corn Porridge, Cowpea Red, Cumin Powder, Cumin Seed, Curry Paste, Curry Powder, Dehydrated Coriander Leaves, Dehydrated Fenugreek leaves, Dehydrated Garlic Powder, Dehydrated Onion Powder, Dehydrated Tomato Powder, Dried Garlics, Egg Masala, Fenugreek, Fenugreek Powder (Methi Powder), Fish Masala, Flattened Rice-White Poha, Flaxseed, Garam Masala, Garlic Paste, Ginger Fresh, Ginger Garlic Paste, Ginger Paste, Ginger Powder, Gram Flour/Besan, Green Chilli, Green Chilli Powder, Green Gram Split Yellow (Moong Dal Yellow), Green Gram Whole (Moong), Green Tea, Green Tea Bags, Groundnut/ Peanut Oil (Edible Grade), Groundnut/Peanut, Hot Mixture, Hulled Sesame/Sesamum, Idli Rava, Idli Rice, jaggery, Jaggery Powder, Jowar, Jowar (Sorghum) Chikki, Jowar Flour, Kabuli Chana, Kanda Poha-Savoury Rice Flakes, Kesar Mango Pulp, Kichadi /Whole Moong Khichad/Rice And Mungbean Medley, Lemon Pickle, Low GI Rice, Mace, Madras Curry Powder, Madras Sauce, Maize (Corn), Maize (Corn) Flake, Maize/Corn Flour, Mango Avakaya Pickle With Garlic, Mango Avakaya Pickle Without Garlic, Mango Pulp, Masala Peanut, Masoor (Lens Culinaris), Masoor Dal, Meat Masala, Millet Dosa mix, Mint Leaves Dehydrated, Moong Dal, Mullu Murruku, Multi Grain Atta, Multigrain Malt, Mustard Oil(Aroma/E.Ol), Non Basmati Rice, Nutmeg Fresh, Onion Dried, Panchmel Dal (Five Lentil Curry), Panchratan Dal, Paneer Masala, Peanut Jaggery Chikki, Pearl Millet / Bajra, Pongal, Prawn Curry Masala, Quinoa, Quinoa Flour, Quinoa Pilaf, Ragi / Finger Millet Grain, Ragi Chikki, Ragi Flour, Rasam Powder, Red Chill Paste, Red Chilli Whole, Red Chilly Paste, Red Flattened Rice, Red Gram, Red Kidney Beans (Rajma), Red Rice, Red Stick Chilly, Ribbon Packoda, Rice Flour, Rice Sonamasuri, Rice Sonamasuri Brown, Rice Sonamasuri Handpound, Roasted Bengal Gram Dal, Roasted Gram/Chana, Roasted Peanut (Lemon Chilli), Roasted Peanut (Lemon-MintNimbu Pudina), Roasted Peanut (Tandoori), Rosted Peanut- Chilli Garlic, Safflower Seed Oil (Kardi Seed Oil), Salted Peanut, Salted Roasted Chana/Chickpea, Sambhar Masala/Powder, Sattu Atta/ Roasted Chickpea Flour, Sattu Multigrain/ Chickpea Shake Mix Multigrain, Sattu Sweet/ Chickpea Shake Mix Sweetened, Sesame Oil/Gingelly Oil, Shakkar Para, Soyabean White, Soyabean/ Soyabean Flour, Spice Blend Chickpea, Spicy Masala Peanut, split Green Gram/Moong(Vigna sp), split Pigeon Pea/Arhar/Redgram, Sprouted Multidrain Atta, Sugar, sunflower Oil: Edible Grade, Tamarind Paste, Tandoori Spice Blend/ BarbecueSpice Blend, Thattai, Thick Sev, Tikka Sauce, Tomato Pickle, Totapuri Mango Pulp/Puree, Tur/Toor Dal, Turmeric Dried, Turmeric Fresh, Turmeric Powder, Urad Dal Whole (White), Urad Dal/Split Black Gram, Urad Split (White), Urad Whole(Black), Veg Curry Masala Powder / Sabji Masala Powder, Vindaloo Sauce, Wheat, White Pepper Powder, White Sesame, Whole Corn Flour, Whole Malka</t>
  </si>
  <si>
    <t>Other: Organic White Distilled Vinegar 50 Grain Organic White Distilled Vinegar 100 Grain Organic White Distilled Vinegar 120 Grain Organic White Distilled Vinegar 150 Grain Organic White Distilled Vinegar 200 Grain Organic White Distilled Vinegar 225 Grain Organic White Distilled Vinegar 230 Grain Organic White Distilled Vinegar 240 Grain</t>
  </si>
  <si>
    <t>Other: Agave Inulin Powder, Allspice, Basil, Bay Leaf, Black Pepper, Black Pepper, Brown Rice Flour, Brown Rice, Long Grain, Canola Oil, Cardamon, Cayenne, Celery Seed, Chili Powder, Cilantro, Cinnamon, Coconut Aminos, Coconut Flour, Coconut Milk Powder, Coriander, ground, Corn Flour, White, Corn Flour, Yellow, Corn Meal, White, Corn Meal, Yellow, Date Powder, Dextrodyn, Dextrose Monohydrate, Egg Whites, Dried, Flaxseed, Brown, Garlic, Hominy, Instant Rice (IR-340), Nutmeg, Oat Fiber, Oats, Flour, Oats, Quick, Oats, Rolled, Onion, Paprika, Parsley, Potato Flakes, Potato Flour, Potato Starch, Potato Starch, Puris Pea 870/ OP870, Quinoa White (QUIN-001), Quinoa White (QUIN-009), Sage, Sesame Seed, Sesame Seed, hulled, Sugar, cane, Sugar, cane, Sunflower Oil, Sweet Whey, Tapioca Starch, Tapioca Starch, Tigernut Flour, Tomato Powder, White Pepper, White Rice Flour, long grain</t>
  </si>
  <si>
    <t>Other: #Custom storage, transloading, grinding, mixing, and pelletizing of organic grains and grain by-products for organic feeds; custom mixing of premixes and complete livestock feeds., Custom grinding, mixing, and pelletizing of grains, Custom mixing of premixes and complete livestock feeds, Storage and transloading of organic grains</t>
  </si>
  <si>
    <t>Processed  Items: CANOLA EXPELLER, SUNFLOWER EXPELLER; Other Grains, Pastas and Cereals: Barley, CANOLA SEED, Cereal (RYE), CORN, Oats (OAT), POPCORN, SUNFLOWER, Wheat; Oils &amp; Oleoresins: Essential Oils (CANOLA OIL), Essential Oils (SUNFLOWER OIL), Essential Oils (SOYBEAN OIL); Nuts/Seeds: FLAX; Fruits/Vegetables: Beans (PEA), Beans (SOYBEAN); Dry/Baking Goods: Flours and Meals (SOY MEAL)</t>
  </si>
  <si>
    <t>Other Grains, Pastas and Cereals: Barley, CANOLA SEED, CORN, Sorghum, SUNFLOWER, Wheat; Fruits/Vegetables: Beans (SOYBEAN)</t>
  </si>
  <si>
    <t>Other: Annual Ryegrass Seeds (Florlina), Annual Ryegrass Seeds (VNS), Apple Puree, Apple Puree (Aseptic ), Apricot Puree, Arugula Seeds, Barley (Black, Hulless), Barley (Black, Tibetan), Barley (Black, Tibetan - 37), Barley (Cracked), Barley (Frozen), Barley Seeds, Barley Seeds (Alba), Barley Seeds (Purple Hulless), Barley Seeds (Purple Karma), Barley Seeds (Streaker), Bean Seeds (Black), Bean Seeds (Pinto), Bean Seeds (Red), Bean Seeds (Yellow Eye), Beans (Red Beans), Beans (Yellow Eye), Beet Puree (Aseptic Acidified Red Table Beet Puree), Beet Puree (Frozen Triangles), Beet Puree (Golden Table), Beet Puree (Red Beet Puree), Black Beans (Dry), Black Beans (Puree), Blackberry Puree, Blackberry Puree (Aseptic ), Blackeyed Peas (Frozen), Blueberry Puree, Blueberry Puree (Aseptic), Broccoli Puree, Buckwheat Seeds, Butternut Squash Puree (Aseptic ), Butternut Squash Puree (Frozen), Cabbage (Green), Cabbage (Red), Canned Butternut Squash, Canned Pumpkin, Canned Pumpkin (Pumpkin Pie Mix), Canned Pumpkin Puree, Canned Sweet Potato Puree, Canned Sweet Potato Puree (Sweet Potato Pie Mix), Carrot Puree, Carrot Puree (Aseptic), Carrot Puree (Aseptic Acidified Carrot Puree), Carrot Puree (Aseptic Acidified Orange Carrot Puree), Carrot Puree (Aseptic Acidified Yellow Carrot Puree), Carrot Puree (Aseptic Yellow ), Carrot Puree (Frozen Triangles), Carrot Puree (Purple), Cauliflower Puree, Celery Puree, Cherry Puree, Chia Seeds (Black), Cleaning (Grains, Legumes, Seeds), Corn Puree (Frozen Triangles), Corn Puree (Purple ), Corn Puree (Supersweet ), Corn Seeds (Flint), Corn Seeds (Yellow), Cranberry Puree, Cranberry Sauce, Crimson Clover Seeds, Cucumber Puree, Fescue Seeds (Tall), Figs (Puree), Flax Seeds (Brown), Flax Seeds (Golden), Flax Seeds (Yellow), Frozen Barley (IQF), Frozen Beans (IQF Black Bean), Frozen Beans (IQF Red Beans), Frozen Beans (IQF Red Lentil), Frozen Beans (Red), Frozen Beets (IQF Red Beets), Frozen Beets (IQF, Golden Table), Frozen Blackberry (IQF), Frozen Black-eyed pea (IQF), Frozen Blueberry (IQF), Frozen Broccoli (IQF), Frozen Brown Rice (IQF), Frozen Carrots, Frozen Carrots (IQF), Frozen Carrots (IQF Purple Carrot), Frozen Cauliflower (Crumbles IQF), Frozen Cauliflower (IQF), Frozen Corn, Frozen Corn (IQF), Frozen Corn (IQF Purple Corn), Frozen Corn (IQF White Corn), Frozen Cranberry, Frozen Cranberry (IQF), Frozen Garbanzo (IQF), Frozen Grapes, Frozen Grapes (IQF Red Grapes), Frozen Green Beans, Frozen Green Beans (IQF), Frozen Green Lentil (IQF), Frozen Jasmine Rice (IQF), Frozen Kale (IQF), Frozen Marionberry, Frozen Marionberry (IQF), Frozen Onions (IQF Yellow Onion), Frozen Parsnips (Parsnip, IQF), Frozen Peach (IQF), Frozen Peas (IQF), Frozen Peas (IQF Split Pea), Frozen Potato, Frozen Potato (IQF), Frozen Red Beans and Rice (IQF), Frozen Rhubarb, Frozen Rhubarb (IQF), Frozen Spinach, Frozen Spinach (IQF), Frozen Squash (IQF Butternut Squash), Frozen Squash (Winter Squash), Frozen Strawberry (IQF), Frozen Sweet Potato, Frozen Sweet Potato (IQF), Frozen Sweet Potato (IQF  Colorful Sweet Potato), Frozen Sweet Potato (IQF Purple Sweet Potato), Frozen Sweet Potato (IQF White Sweet Potato), Frozen Wheat Berries (IQF), Frozen Wild Rice (IQF), Frozen Zucchini, Frozen Zucchini (IQF), Garbanzo Bean Seeds, Garbanzo Beans (Frozen), Garbanzo Beans (Puree), Green Bean Puree, Hemp Seeds, Kale puree, Kale puree (Aseptic ), Kale puree (Frozen Triangles), Kidney Beans (Dark Red), Kumquat Puree, Lentil Seed (Green), Lentil Seed (Red), Lentils (Green), Lentils (Green (Puree)), Lentils (Green Lentils (Frozen)), Lentils (Red Lentil), Marionberry Puree, Millet, Milling (Grain Milling), Milling (Grains, Legumes, Seeds), Misc Frozen Meals (Brown Rice &amp; Black Beans), Misc Frozen Meals (Farmhouse Blend), Misc Frozen Meals (IQF Brown Rice &amp; Black Beans), Misc Frozen Meals (Mediterranean Blend), Misc Frozen Meals (Red Beans &amp; Rice), Misc Pet food (Pumpkin Puree), Misc Pet food (Sweet Potato Puree), Navy Bean Seeds, Navy Beans, Navy Beans (Frozen), Navy Beans (Puree), Oats, Oats Seeds, Oats Seeds (Cayuse), Onion Puree, Onion Puree (Acidified Yellow Onion Puree), Onion Puree (Aseptic Yellow ), Orchard Grass Seeds, Parsnip Puree, Parsnip Puree (Aseptic ), Parsnip Puree (Aseptic Acidified Parsnip Puree), Pea Puree, Pea Seeds (OSP II), Pea Seeds (Sugar Ann), Peach Puree, Pear Puree, Pepper Puree (Acidified Red Bell Pepper Puree), Pepper Puree (Green Bell), Pepper Puree (Red Bell), Perennial Ryegrass Seeds (Aubisque), Perennial Ryegrass Seeds (Buccaneer), Pinto Beans (Dry), Pinto Beans (Puree), Popcorn (Black), Popcorn (White), Pumpkin Puree, Pumpkin Puree (Aseptic Dickinson ), Pumpkin Puree (Aseptic Golden Delicious ), Pumpkin Puree (Aseptic Pumpkin Pie Mix), Pumpkin Puree (Dickinson ), Pumpkin Puree (Frozen Triangles), Pumpkin Puree (Golden Delicious ), Pumpkin Seeds, Quinoa Seeds, Raspberry Puree, Red Beans (Puree), Red Clover Seeds, Rhubarb Puree, Rice (Brown) (Frozen), Rice (Brown) (Puree), Rice (Jasmine) (Frozen), Rice (White) (Broken), Rice (Wild) (Frozen), Rye (Winter Rye), Rye Seeds (Winter Rye), Screenings Livestock Feed, Sesame Seeds, Sesame Seeds (Black), Sorghum Seeds (White), Soybean Seed Hullled (Split), Soybean Seeds, Spinach Puree, Spinach Puree (Aseptic ), Spinach Puree (Aseptic Acidified Spinach Puree), Spinach Puree (Frozen Triangles), Squash Puree (Kabocha), Squash Puree (Koginut), Squash Seeds, Strawberry Puree, Sunflower Seed Kernel, Sweet Potato Puree, Sweet Potato Puree (Aseptic), Sweet Potato Puree (Aseptic Acidified Sweet Potato Puree), Sweet Potato Puree (Murasaki ), Sweet Potato Puree (Purple ), Timothy Seeds, Triticale Seeds, Vetch Seeds, Wheat Berries (Frozen), Wheat Gluten (Vital Wheat Gluten), Wheat Seeds (Hard Red), Wheat Seeds (Hard Red Spring Wheat), Wheat Seeds (Soft White), Zucchini Puree, Zucchini Puree (Frozen)</t>
  </si>
  <si>
    <t>Trees/Whole Plant Products/Flowers: Other Trees/Whole Plant Products/Flowers - Amla C/S, Other Trees/Whole Plant Products/Flowers - Aswagandha Roots C/S, Other Trees/Whole Plant Products/Flowers - Chamomile, Other Trees/Whole Plant Products/Flowers - Hibiscus Flower TBC, Other Trees/Whole Plant Products/Flowers - Senna leaf C/S, Other Trees/Whole Plant Products/Flowers - Shatavari Roots Dry C/S, Other Trees/Whole Plant Products/Flowers - Stevia Leaves C/S, Other Trees/Whole Plant Products/Flowers - Turmeric C/S; Preservatives/Extracts/Flavors: Powders (Amla Fruit Powder), Powders (Arjuna Bark Powder), Powders (Chai Masala), Powders (Coriander Powder), Powders (Giloy (Guduchi) Powder), Powders (Gokshura Powder), Powders (Harad (Haritaki) powder), Powders (Lemongrass Dry Powder), Powders (Licorice Roots Dry Powder), Powders (Moringa Powder), Powders (Neem Leaves Powder), Powders (Senna leaf Powder), Powders (Shankh Pushpi Powder), Powders (Shatavari Roots Dry Powder), Powders (Shikakai Powder), Powders (Stevia Leaves Powder), Powders (Triphala Powder), Spices (Cardamom/Dried Cardamom), Spices (Clove Powder), Spices (Cumin Powder), Spices (Garam Masala), Spices (Garlic Powder), Spices (Ginger Powder), Spices (Green Cardamon Powder), Spices (Red Chilli Powder), Spices (Turmeric Powder); Other Grains, Pastas and Cereals: Other Other Grains, Pastas and Cereals - Bengal Gram, Other Other Grains, Pastas and Cereals - Black Gram Split Lentils With Skin, Other Other Grains, Pastas and Cereals - Black Gram Split With Skin, Other Other Grains, Pastas and Cereals - Black Gram Whole, Other Other Grains, Pastas and Cereals - Brown Chickpeas, Other Other Grains, Pastas and Cereals - Chickpeas, Other Other Grains, Pastas and Cereals - Green Gram Split With Skin, Other Other Grains, Pastas and Cereals - Green Gram Split Without Skin, Other Other Grains, Pastas and Cereals - Green Gram Whole, Other Other Grains, Pastas and Cereals - Mix Dal, Other Other Grains, Pastas and Cereals - Pink Lentil Split Without Skin, Other Other Grains, Pastas and Cereals - Pink Lentil Whole Without Skin, Other Other Grains, Pastas and Cereals - Rajma Chitra (Speckled Kidney Beans), Other Other Grains, Pastas and Cereals - Toor Dal, Other Other Grains, Pastas and Cereals - Urad Mogar, Other Other Grains, Pastas and Cereals - White Split lentils without Skin, Rice (Basmati Brown Rice), Rice (Basmati White Rice), Rice (Flattened Rice), Wheat grass - Wheat Grass Powder; Oils &amp; Oleoresins: Oils (Groundnut Oil), Oils (Mustard Oil); Nuts/Seeds: Cashew Nuts (Cashew), Other Nuts/Seeds - Black Mustard Seeds, Other Nuts/Seeds - Yellow Mustard Seeds; Dry/Baking Goods: Flours and Meals (Brown Rice Flour), Flours and Meals (Chickpea flour (Chane ka atta)), Flours and Meals (Gram Flour), Flours and Meals (White Rice Flour); Condiments and Sweeteners: Sweeteners (Brown Sugar), Sweeteners (Jaggery Powder), Sweeteners (Khandsari Sugar Brown), Sweeteners (Khandsari Sugar White)</t>
  </si>
  <si>
    <t>Other Grains, Pastas and Cereals: Basmati rice-brown,Basmati rice-white,Non-Basmati Rice,Organic Broken Rice,ORGANIC BROWN PUSA BASMATI RICE,ORGANIC BROWN TRADITIONAL BASMATI RICE,ORGANIC WHITE PUSA BASMATI RICE,ORGANIC WHITE TRADITIONAL BASMATI RICE,Parboiled Rice,Ragi/Finger Millet grain,Red Rice,Green gram split yellow/Moong dal-yellow,Kabuli Chola ,Lentil ,Masur/Masoor dhuli,Suji/Semolina/ Cream of Wheat,Urad dal/Split Black gram,Wheat Porridge/Dalia; Nuts/Seeds: Groundnut/Peanut; Other: Arhar, Arhar dal (Red gram/Pigeon Pea)Barley Porridge/Dalia,Barley whole,Bengal Gram Whole,Black gram split white,Black gram/Urd (Vigna sp.),Buck wheat (seed quality),Buckwheat Flour,chana Dal,Gram Flour/Besan,Green Gram Whole (Moong Sabut),Green gram/Moong dhuli,Maize (Corn),Maize/Corn flour,Moong dal-Split,moth dal,Pearl Millet/Bajra,Red Kidney beans/Rajma (Phaseolus vulgaris),Urad dhuli,Wheat,Wheat flour</t>
  </si>
  <si>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Orange peel/Reticulatae/Tangerine Peel (roasted, whole, cut, broken), Pea protein, Rice protein powder, Powders (Chlorella powder, Spirulina powder), Spinach chopped, roasted, whole, cut, broken, Poria cocos whole, slice, cuts, Oat protein, Maca slice, roasted, cut, broken, Maca tablets, Blueberry roasted, whole, cut, broken, FD Banana halves, Flaxseed protein;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Frucht,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Fruits/Vegetables: Berries (Mulberry leaf roasted, whole, cut, Sweet blackberry leaf (Rubus suavissimus) whole, cut, broken),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t>
  </si>
  <si>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Rice protein powder, Orange peel/Reticulatae/Tangerine Peel (roasted, whole, cut, broken), Pea protein, Poria cocos whole, slice, cuts, Spinach chopped, roasted, whole, cut, broken, Oat protein, Maca slice, roasted, cut, broken, Maca tablets, Blueberry roasted, whole, cut, broken, FD Banana halves, Flaxseed protein, Powders (Chlorella powder, Spirulina powder);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Broccoli extract powder,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Liquorice,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Herbs (Nuomixiang leaves (Strobilanthes tonkinensis Lindau) Coarse (whole and cut) - dried); Fruits/Vegetables: Berries (Sweet blackberry leaf (Rubus suavissimus) whole, cut, broken), Berries (Sweet Blackberry leaves (whole and cut) - dried),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 Mulberry leaf roasted, whole, cut</t>
  </si>
  <si>
    <t>Other: 15 ct Variety Pack (5 Chocolate Chip Energy Bar / 5 Cookies 'n Creme / 5 Cinnamon Crunch Energy Bar), 24 ct Variety Pack (12 Chocolate Chip Energy Bar / 12 Crunchy Peanut Butter Energy Bar), 24 ct Variety Pack (12 Chocolate Chip Energy Bar / 12 White Chocolate Macadamia Nut Energy Bar), 36 ct Variety Pack (12 Chocolate Chip Energy Snack / 12 Chocolate Brownie / 12 Iced Oatmeal Cookie Energy Snack), Black Cherry Energy Chews, Black Cherry, Energy Chews, Blueberry Almond Crisp Energy Bar, Blueberry Bliss Whole Nutrition Bar, Chocolate &amp; Peanut Butter Enery Bar, Chocolate Almond Fudge Energy Bar, Chocolate Brownie Energy Bar, Chocolate Brownie, Energy Bar, Chocolate Chip Energy Bar, Chocolate Chip Energy Bar, Chocolate Chip, Baked Whole Grain Energy Snack, Chocolate Chip, Whole Grain Crispy Snack, Chocolate Dipped Coconut, Whole Nutrition Bar, Chocolate Mint, Whole Grain Crispy Snack, Chocolate Peppermint Stick, Whole Nutrition Bar, Cookies 'n Crème Energy Bar, Cool Mint Chocolate Energy Bar, Cool Mint Chocolate, Energy Bar, Crunchy Peanut Butter Energy Bar, Crunchy Peanut Butter Energy Bar, Gimme Org. Roasted Seaweed Snacks - 8 Variety Packs (2-TE, 4-SS, 2-CL), Iced Oatmeal Cookie, Baked Whole Grain Energy Snack, LemonZest + Raspberry, Whole Nutrition Bar, LemonZest Whole Nutrition Bar, Margarita Energy Chews, Mountain Berry Energy Chews, Mountain Berry, Energy Chews, Nutz Over Chocolate, Whole Nutrition Bar, Orange Energy Chews, Peanut Butter Banana with Dark Chocolate Energy Bar, Peanut Butter Banana with Dark Chocolate, Energy Bar, Peanut Butter Energy Bar, Salted Watermelon, Energy Chews, Strawberry Energy Chews, Strawberry, Energy Chews, Tropical Punch Energy Chews, Warehousing, White Chocolate Macadamia Nut Energy Bar, White Chocolate Macadamia Nut Energy Bar, White Chocolate Macadamia Nut Whole Nutrition Bar</t>
  </si>
  <si>
    <t>Other: Ajwain, ajwain powder, Ajwain/Bishops Weed, All spice powder, Almond oil, Almonds, Aloe Vera Gel, Aloe Vera Juice, Aloe Vera leaves, Aloe Vera Powder, amaranth, amaranth flour, Amaranth seed/RAM DHANA, Amla, Amla dried, Amla Powder, Arhar, Arhar dal, Arjun powder, Ashwagandha, Ashwagandha Powder, Ashwagandha root, Ashwagandha TBC, Bajra flour, Barley Flour, Barley Porridge/Dalia, Barley whole, Barley-Dehulled, Barnyard Millet Flour, Basil/Tulsi, Basmati rice, Basmati rice-Brown, Basmati rice-white, Bay Leaf, Bay leaf powder, Bengal Gram Whole, Bengal Gram(Chana)Flour, Black cumin, Black Gram Flour, Black gram split white, Black gram white whole, Black gram/Urd (Vigna sp.), black mustard oil, black mustard seed, Black pepper, Black pepper (light black), Black pepper crushed, Black pepper powder, Black pepper TBC, Black Sesame/Sesamum, Black Tea, Brahmi Powder, Brahmi/Bacopa monnieri, Brown gram/Gram/Chana (Cicer arietinum), Brown rice, Buck wheat (seed quality), Buckwheat (other than seed), Buckwheat flour, Cane jaggery, Cardamom, Cardamom Large (Black), Cardamom Powder, Cardamom seed, Cashew nut (roasted), Cashew whole, Castor Oil, Celery Powder, Celery Seed, Chamomile (M.chamomile), Chana Dal, Chana masala, Chia, Chicken Masala, Chickpea, Chilli powder, Chilli whole, Cinnamon, Cinnamon powder, Cinnamon TBC, Clove powder, Cloves, Coconut oil, Coffee Powder, Coriander, Coriander powder, Coriander seed, Coriander seed/whole, Cowpea, Cowpea split, Cowpea white dal, Cowpea/Lobia whole(V.unguiculata/sinensis), CTC Tea, Cumin powder, Cumin Whole, Curry leaf/leaves, Curry powder, Fennel (other than seed), Fennel Powder, Fennel/saunf, Fenugreek, Fenugreek Powder (Methi Powder), Fenugreek tbc, Flax seed, Flax seed powder, Flaxseed oil, Foxtail millet, Galangal Powder, Galangal roots, Galangal TBC, Garam masala, Garcinia cambogia powder, Garlic, Garlic flakes, Garlic Powder, Ginger Fresh, Ginger Powder, Ginger sliced (dried), Ginger TBC, Ginger whole, Ginger whole (dried), Green gram split yellow/Moong dal-yellow, Green Gram Whole (Moong Sabut), Green gram/chana/Moong (Vigna sp.), Green gram/Moong dhuli, Groundnut/Peanut, Groundnut/Peanut Oil (Crude), Gymnema powder, Hulled Sesame/Sesamum, Jaggary, Jaggery powder, Jowar flour, Jowar Porridge, Kabuli Chana, Kalonji/nigella, Kasuri methi, Kodo/Kodon Millet, Kodomillet Flour, Lemon Peel Dried, Lemongrass, Lemongrass TBC, Lentils, Mace, Mace Powder, Maida, Maize (Corn), Maize (Corn) Flake, Maize /Corn flour, Maize Grain, Malka whole, Masoor Dal, Masur/ Masoor dhuli, Matki/Moth Bean, Meat Masala, Mix Dal, Moong Dal, Moong Dal Split, Moringa (M.oleifera), Moringa Powder, Moth Dal, Multi Grain Atta, Mustard, Mustard - Black, Mustard Oil (crude), Mustard Oil (Refined), Neem Leaves, Neem Powder, Non Basmati Rice, Nutmeg Powder, Nutmeg Whole, Oat (Seeds/grains), Oat Flakes, Oat flour, Onion, Onion Flakes, onion powder, Paddy Sona Masuri, Pepper long/Pippali (Piper longum), Peppermint, Peppermint leaves, Peppermint powder, Peppermint Tea cut, Pippali powder- Piper longum, Poha Flattened Rice/Poha, Poha/Chivda, Psyllium husk (isobgul), Quinoa, Ragi (Finger Millet), Ragi Flour, Ragi/Finger millet grain, Raisins/Kismis, Rajma Chitra, Red Chilli (Whole), Red chilli powder, Red kidney beans/Rajma (phaseolus vulgaris), Red Lentil, Red Rice, Rice Bran oil, Rice Flour, Rice Sona Masuri, Safed Musli, Saffron, Sambhar powder, Sattu, Sawan/ Barnyard Millet, Senna leaves, Senna Leaves Powder, Senna Pods, Sesame Oil/Gingelly oil, Sesame seeds, Shatavari, Shatavari Powder, Sorghum, Sorghum flour, Soyabean/Soybean White, Soybean flour/soyabean, Split Green gram/Moong (Vigna sp.), Split Lentil, Stevia, Sugar, Sugar (Brown/Natural), Suji/Semolina/Cream of white, Sunflower oil: edible grade, Tapioca(Pearls), Triphala, Triphala Extract/powder, Triphala Powder, Tulsi Powder, Tulsi TBC/ Tulsi TBC blend, Turmeric Dried, Turmeric Fingers, Turmeric Fresh, Turmeric Powder, Turmeric TBC, Turmeric whole-dried, Urad (phasleolus mungo) Black gram, Urad Dal Split, Urad Dhuli, Urad Whole(black), Vanilla, Vanilla Bean, Vanilla Powder, Virgin coconut oil, Walnut, walnut oil, Wheat, Wheat Bran, Wheat Flakes, Wheat flour, Wheat Porridge/Dalia, White Pepper, White Pepper Crushed, White Pepper Powder, Yellow Mustard</t>
  </si>
  <si>
    <t>Processed  Items: Soybean Expeller; Other Grains, Pastas and Cereals: CORN, Sorghum, SUNFLOWER, Wheat; Nuts/Seeds: CHIA (Salvia hispanica L); Fruits/Vegetables: Beans (CHICKPEA), Beans (ADZUKI BEAN), Beans (RED DARK BEAN), Beans (MUNG BEAN), Beans (BLACK BEAN), Beans (SOYBEAN), Citrus (LEMON); Dry/Baking Goods: Sugar (CANE SUGAR)</t>
  </si>
  <si>
    <t>Other Grains, Pastas and Cereals: Beans (Black, Pinto, Light red kidney)</t>
  </si>
  <si>
    <t>Other: Alfalfa Seed, Dried Cape Currants, Mixed Grain Seed</t>
  </si>
  <si>
    <t>Other Grains, Pastas and Cereals: Corn Kernels, Einkorn Kernels, Emmer Kernels, Hemp Seed, Puffed Spelt Cereal, Rolled Oats, Rye Kernels, Spelt Hulls, Spelt Kernels, Spelt Midds, Wheat (Cracked Wheat), Wheat (Wheat Kernels), Wheat (Wheat Midds); Oils &amp; Oleoresins: Oils (Hemp Oil); Dry/Baking Goods: Flours and Meals (All Purpose Flour), Flours and Meals (All Purpose White Wheat Flour), Flours and Meals (Cornmeal), Flours and Meals (Hemp Cake Flour), Flours and Meals (Wheat Flour (White)), Flours and Meals (White Pastry Wheat Flour), Flours and Meals (White Spelt Flour), Flours and Meals (Whole Einkorn Flour), Flours and Meals (Whole Emmer Flour), Flours and Meals (Whole Pastry Wheat Flour), Flours and Meals (Whole Spelt Flour), Flours and Meals (Whole Wheat Flour), Spelt Pancake Mix</t>
  </si>
  <si>
    <t>Other: Dried Cape Currants, Dried Merbein Seedless (Thompson Medium Raisins), Mixed Grain Seed, Wine Grapes (Cabernet Sauvignon), Wine Grapes (Chardonnay), Wine grapes (Chenin Blanc), Wine Grapes (Colombar), Wine Grapes (Hanepoot), Wine Grapes (Merlot), Wine Grapes (Pinotage)</t>
  </si>
  <si>
    <t>Other Grains, Pastas and Cereals: Barley (Barley (Whole, Hulled, or Pearled)), Buckwheat (Whole, Hulled), Corn (Yellow, Colored), Edible Beans (Adzuki, Black Turtle, Back Eyed Peas, Cranberry, Garbanzo, Great Northern, Kidney, Pinto, Red), Kernza, Lentils (Green, Red, Black, French, Brown), Millet (Whole, Hulled), Mixed Grain Screenings, Peas (Green, Yellow, Whole, Split, Pieces), Popcorn (White, Yellow), Rye, Soybeans, Spelt (Whole. Hulled, Pearled), Sunflowers (Whole, Hulled), Wheat (Einkorn (Whole, Hulled, Pearled)), Wheat (Emmer), Wheat (Wheat); Nuts/Seeds: Flax (Brown, Gold)</t>
  </si>
  <si>
    <t>Trees/Whole Plant Products/Flowers: Seeds (MILLET); Processed  Items: CANOLA EXPELLER, PEANUT EXPELLER, SOYBEAN EXPELLER, SUNFLOWER EXPELLER; Other Grains, Pastas and Cereals: Barley, CANOLA SEED, CORN, Oats (OAT), Rice (WHITE RICE), Rice (BROWN RICE), Sorghum, SUNFLOWER, SWEET, Wheat; Oils &amp; Oleoresins: CANOLA LECITHIN, Essential Oils (CANOLA OIL), Essential Oils (SUNFLOWER OIL), Essential Oils (SOYBEAN OIL), SOY LECITHIN, SUNFLOWER LECITHN; Nuts/Seeds: CHIA (Salvia hispanica L), FLAX, SESAME; Fruits/Vegetables: Beans (CHICKPEA), Beans (BEAN), Beans (SOYBEAN)</t>
  </si>
  <si>
    <t>Other: Antifoam, Beef Base Concentrate 12-237-GF, Beef Broth, Beef Concentrate #12-237-GF, Beef Flavor base ORSBBEEF143, Beef Powder B1301, Beef Stock, Beef Stock #20643947, Beef Stock B1101, Cane Juice, Chicken Base ORSBCHIC218, Chicken Broth, Chicken Broth #12-148-GF, Chicken Broth C1301, Chicken Flavor 140012978, Chicken Stock, Chicken Stock #3820, Chicken Stock C1101, Chocolate Sea Salt Protein Drink, Coconut Milk, Unsweetened Original Shelf Stable Beverage 136635, 140428, 91235, Coconut Milk, Unsweetened Vanilla Shelf Stable Beverage 147178, Coconut Protein Drink, Cream, Garlic Powder, Jubilee's Chocolate Chip Cookie, Jubilee's Strawberry Shortcake, Kiki Milk Chocolate, Kiki Milk Original, Kiki Milk Unsweetened, Maple Water, Milk Macadamia, Milk, 2% Lactose Free with DHA, Milk, Fat-Free with DHA Omega 3 137000, Milk, Fat-Free with High Vitamin D 136911, Milk, Fat-Free with High Vitamin D 151842, Milk, Lowfat (Aseptic) 136980, 136498, 136528, 136661, Milk, Lowfat Chocolate (Aseptic) 136917, 136990, 136486, 136659, Milk, Lowfat Chocolate with DHA Omega 3 (Aseptic) 136516, 136529, 136518, Milk, Lowfat Chocolate with DHA Omega 3 136909, Milk, Lowfat Strawberry (Aseptic) 136979, 136497, 136527, Milk, Lowfat Vanilla (Aseptic) 136943, 136993, 136487, Milk, Lowfat Vanilla with DHA Omega 3 (Aseptic) 136517, 136530, Milk, Lowfat with High Vitamin D 136912, Milk, Lowfat with High Vitamin D 151843, Milk, Raw Milk, Milk, Reduced Fat Lactose-Free 136992, Milk, Reduced Fat with DHA Omega 3 (Fed Std) 136976, Milk, Reduced Fat with High Vitamin D 136913, Milk, Reduced Fat with High Vitamin D 151844, Milk, Standardized, Milk, Standardized 1% Milk, Milk, Standardized Fat-Free, Milk, Whole (Aseptic) 140176, 140180, 140236, Milk, Whole Lactose Free with DHA, Milk, Whole Lactose-Free 136687, Milk, Whole with DHA Omega 3 (Fed Std) 136974, Milk, Whole with High Vitamin D 136914, Milk, Whole with High Vitamin D 151847, Miso Broth, No Beef Broth, No-Chicken Broth, Low Sodium, Oat Groats, Oatmilk Whole Grain Concentrate 135103, Oatmilk Whole Grain Powder 135103SD, Onion Powder, Pho Broth, Polished Ricelife Nutrient Complete Concentrate 135106-WPB-C, Ramen Broth, Roesmary Leaf Powder, Soy Milk, Chocolate, Soy Milk, Original, Soy Milk, Unsweetened, Soy Milk, Unsweetened US (Aseptic) 136443, Soy Milk, Vanilla, Soymilk Original Canadian 137035, Soymilk, Unsweetened Canadian 137036, Sucanat #35638, Sugar Caramelized VPI-197-OCS, Thai Coconut Broth, Thyme Leaf Powder 209970-50, Tortilla Broth, Vanilla Protein Drink, Vegan No Chicken Broth, Vegetable Base 140012977, Vegetable Base ORSBVEGET119, Vegetable Stock, Yeast Extract #3213</t>
  </si>
  <si>
    <t>Other Grains, Pastas and Cereals: Corn, Rice, Rice; Bread/Bakery/Snacks: Popcorn; Other: Grain Processing</t>
  </si>
  <si>
    <t>Animal Feed: Livestock Feed (Custom Organic Dairy Feed), Livestock Feed (Organic Corn), Livestock Feed (Organic Soybean Meal); Other: Grinding Custom Organic Livestock Feed, Mixing Custom Organic Livestock Feed, Storing Organic Grains, Transporting Custom Organic Livestock Feed</t>
  </si>
  <si>
    <t>Other Grains, Pastas and Cereals: Barley, Cereal, Cereal, Cereal, Rye, Triticale,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</si>
  <si>
    <t>Other Grains, Pastas and Cereals: Barley, Cereal, Cereal, Cereal, Rye,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</si>
  <si>
    <t>Animal Feed: Forage (Alfalfa: Compressed Alfalfa Hay), Forage (Grass: Compressed Timothy Hay), Livestock Feed (Grain: Corn)</t>
  </si>
  <si>
    <t>Other: Brokering of Organic Grains &amp; Screenings, Grain Services--Cleaning</t>
  </si>
  <si>
    <t>Other Grains, Pastas and Cereals: Barley, Chickpeas, Chickpeas - Dehulled, Flour, Fiber, Corn, Flax, Lentils Green &amp; Red, Oats, Peas Green &amp; Yellow &amp; Dehulled, &amp; Flour, Soybean Meal, Wheat - Durum Kamut® Brand/Hard Red Spring/Hard Red Winter (All products certified "organic" for EU, USCOEA, JAS, Taiwan, Republic of Korea, &amp; Switzerland
EU – Denotes US-European Union Organic Equivalency Arrangement; USCOEA – Denotes US-Canada Organic Equivalency Arrangement; JAS – Denotes Japan Organic Equivalency Agreement; UK Denotes US-United Kingdom Organic Equivalency Arrangement)</t>
  </si>
  <si>
    <t>Nuts/Seeds: Seeds (Seeds, Grains, Legumes - All Products (USCOEA, EU, JAS, US-Republic of Korea, US-Taiwan, US-Switzerland)
EU – Denotes US-European Union Organic Equivalency Arrangement; USCOEA – Denotes US-Canada Organic Equivalency
Arrangement; JAS – Denotes Japan Organic Equivalency Agreement; UK Denotes US-United Kingdom Organic Equivalency
Arrangement)</t>
  </si>
  <si>
    <t>Other: Seed (Beans, Corn, Cucumber, Eggplant, Flowers, Grains and Seeds, Greens, Herbs, Melons, Onions and Leeks, Peppers, Roots and Other Veggies, Squash, Tomatillo, Tomatoes (Big &amp; Small), Welcome Weeds)</t>
  </si>
  <si>
    <t>Other Grains, Pastas and Cereals: Pasta (Fettuccine Style Plain Konjac Noodles, Flat Pack), Pasta (Konjac Rice, Flat Pack), Pasta (Ready To Eat Angel Hair Style Konjac Noodles), Pasta (Ready To Eat Fettuccine Style Konjac Noodles), Pasta (Ready To Eat Spaghetti Style Konjac Noodles), Pasta (Spaghetti Style Plain Konjac Noodles, Flat Pack), Pasta (Super Size Angel Hair Style Konjac Noodles), Pasta (Super Size Fettuccine Style Konjac Noodles), Rice (Ready To Eat Konjac Rice), Rice (Super Size Konjac Rice)</t>
  </si>
  <si>
    <t>Other Grains, Pastas and Cereals: Oats (ROLLED OATS); Oils &amp; Oleoresins: Oils (HIGH OLEIC SUNFLOWER OIL); Dry/Baking Goods: Flours and Meals (WHEAT FLOUR), Flours and Meals (RYE FLOUR)</t>
  </si>
  <si>
    <t>Other Grains, Pastas and Cereals: Quinoa; Nuts/Seeds: CHIA (Salvia hispanica L), FLAX; Fruits/Vegetables: Beans, Beans (CHICKPEA)</t>
  </si>
  <si>
    <t>Other Grains, Pastas and Cereals: Rice (Roasted Brown Rice (Non-Retail)), Rice (Roasted Brown Rice (Retail)); Fruits/Vegetables: Citrus (Yuzu Peel (Non-Retail)), Citrus (Yuzu Peel (Retail)), Citrus (Yuzu Powder (Non-Retail)), Citrus (Yuzu Powder (Retail)); Beverage Related Products: Tea (Black Tea (Non-Retail)), Tea (Black Tea (Retail)), Tea (Genmaicha (Non-Retail)), Tea (Genmaicha (Retail)), Tea (Genmaicha with Matcha (Non-Retail)), Tea (Genmaicha with Matcha (Retail)), Tea (Ginger Sencha (Non-Retail)), Tea (Ginger Sencha (Retail)), Tea (Gyokuro (Non-Retail)), Tea (Gyokuro (Retail)), Tea (Hojicha Powder (Retail)), Tea (Houjicha (Non-Retail)), Tea (Houjicha (Retail)), Tea (Houjicha Latte Mix (Non-Retail)), Tea (Houjicha Latte Mix (Retail)), Tea (Kabusecha (Non-Retail)), Tea (Kabusecha (Retail)), Tea (Kukicha (Non-Retail)), Tea (Kukicha (Retail)), Tea (Kukicha with Matcha), Tea (Kukicha with Matcha (Non-Retail)), Tea (Kukicha with Matcha (Retail)), Tea (Matcha), Tea (Matcha (Non-Retail)), Tea (Matcha (Retail)), Tea (Matcha Latte Mix (Non-Retail)), Tea (Matcha Latte Mix (Retail)), Tea (Mulberry Leaf Tea), Tea (Mulberry Tea (Non-Retail)), Tea (Mulberry Tea (Retail)), Tea (Powdered Green Tea (Non-Retail)), Tea (Powdered Green Tea (Retail)), Tea (Sakura Leaf Powder (Non-Retail)), Tea (Sakura Leaf Powder (Retail)), Tea (Sakura Matcha (Non-Retail)), Tea (Sakura Matcha (Retail)), Tea (Sencha), Tea (Sencha (Non-Retail)), Tea (Sencha (Retail)), Tea (Sencha with Ginger), Tea (Sencha with Matcha), Tea (Sencha with Matcha (Non-Retail)), Tea (Sencha with Matcha (Retail)), Tea (Tea Powder (Non-Retail)), Tea (Tea Powder (Retail)), Tea (Tench-Mogacha (Non-Retail)), Tea (Tench-Mogacha (Retail)), Tea (Yuzu Kukicha with Matcha (Non-Retail)), Tea (Yuzu Kukicha with Matcha (Retail))</t>
  </si>
  <si>
    <t>Trees/Whole Plant Products/Flowers: Seeds (MILLET); Processed  Items: CANOLA EXPELLER, SOYBEAN EXPELLER, SUNFLOWER EXPELLER; Other Grains, Pastas and Cereals: Barley, CANOLA SEED, CORN, Oats (OAT), POPCORN, Rice (WHITE RICE), Rice (BROWN RICE), Sorghum, SUNFLOWER, Wheat; Oils &amp; Oleoresins: Essential Oils (SUNFLOWER OIL), Essential Oils (CANOLA OIL); Nuts/Seeds: CHIA (Salvia hispanica L), FLAX, SESAME; Fruits/Vegetables: Beans (CHICKPEA), Beans (BEAN), Beans (SOYBEAN), Beans (VETCH)</t>
  </si>
  <si>
    <t>Other Grains, Pastas and Cereals: Barley, Corn, Oats, Soybean, Wheat; Nuts/Seeds: Seeds (Sunflower seeds), Seeds (Flaxseeds), Seeds (Rapeseed)</t>
  </si>
  <si>
    <t>Processed  Items: Cereal (Puffed Quinoa, Quinoa Flakes); Other Grains, Pastas and Cereals: Quinoa (Quinoa Mix, Royal Quinoa Black, Royal Quinoa Red, Royal Quinoa White); Dry/Baking Goods: Flours and Meals (Quinoa Flour)</t>
  </si>
  <si>
    <t>Processed  Items: Hojuelas de Quinua Orgánica = 15.000,00 Kg; Other Grains, Pastas and Cereals: Quinoa (Quinua Orgánica Blanca Beneficiada = 1.300.000,00 Kg), Quinoa (Quinua Orgánica Roja Beneficiada = 500.000,00 Kg), Quinoa (Quinua Orgánica Negra Beneficiada = 500.000,00 Kg), Quinoa (Quinua Orgánica Mixta Beneficiada = 100.000,00 Kg), Quinoa (Quinua Orgánica Tricolor Beneficiada = 400.000,00 Kg); Nuts/Seeds: Chia grano seco = 400.000,00 Kg; Dry/Baking Goods: Flours and Meals (Harina de Quinua Orgánica = 20.000,00 Kg)</t>
  </si>
  <si>
    <t>Processed  Items: Dehydrated Foods; Other Grains, Pastas and Cereals: Cereal, Chia, Quinoa; Fruits/Vegetables: Berries, Maca;Purple Corn, Stone Fruit, Vegetables; Dry/Baking Goods: Flours and Meals; Chocolate Goods: cacao beans, Chocolate Nibs; Bread/Bakery/Snacks: Cereal; Beverage Related Products: Coffee</t>
  </si>
  <si>
    <t>Other: Milling (Rice Milling and Packaging: Long Grain, Medium Grain, Short Grain, Sweet Rice), Rice (Bran), Rice (Brown), Rice (Brown Rice &amp; Brown Sweet Rice 50/50 Blend), Rice (Hulls), Rice (Medium Grain Brown, Scarified, Milled), Rice (Premium Haiga Mai Rice), Rice (Short Grain Rice), Rice (Short Grain Rice (Sprouted)), Rice (Sprouted Brown Basmati), Rice (Sprouted Brown Short Grain), Rice (Sweet Rice, Brown), Rice (Sweet Rice, White), Rice (Brown) (Brown Rice), Rice (Brown) (Short Grain Brown Rice (non-retail)), Rice (Brown) (Short Grain Rice (brown)), Rice (Jasmine) (Brown), Rice (Medium Grain) (Brown Rice and White Rice), Rice (Medium Grain) (Sprouted Brown Rice), Rice (Short Grain White) (Premium Short Grain Rice), Rice (Short Grain) (Brown), Rice Flour (Brown) (Sprouted)</t>
  </si>
  <si>
    <t>Preservatives/Extracts/Flavors: Aegle marmelos Extract,Aloe vera extract,aonla/amla extract,Ashoka (Saraca indica) Extract,Ashwagandha extract,Ashwagandha Root Extract,Bacopa extract,Basil Extract,Boswellia serrata Extract,Cardamom Extract,Centella asiatica Extract,Coconut Extract,Coffee extract,Cumin Extract, Cyperus rotundus Extract ,Embelia ribes (False pepper) Extract, Garcinia Powder/Extract,Garlic Extract, Green Tea Extract,GREEN TEA OIL / GREEN TEA EXTRACT, Lavender Extract, licorice water extract,Liquorice extract,Manjistha/ Rubia cordifolia extract,Mucuna Pruriens Extract, Neem leaf extract, Rose Extract, PSafed musli extract,Senna Extract,Terminalia arjuna Extract,Trikatu Extract,Turmeric Extract,Vanilla extract, Asparagus racemosus Extract,Black Pepper Extract, Black Tea Extract ,Cinnamon extract, Coriander Extract, Curcuma longa extract, Eclipta Alba Extract/Bhringraj, Fenugreek Extract, Ginger Extract Zingiber officinalis, Guava fruit extract, Guava Leaves Extract, Gymnema Extract, Holy basil extract, Lemon Peel Extract, Mustard seed extract, Neem Extract, Papaya Extract, shatavari extract, Terminalia chebula extract, Tribulus terrestris Extract, TRIPHALA EXTRACT GRANULES, triphala extract/powder, Turmeric Extract; Other Grains, Pastas and Cereals: Barley Whole,Non Basmati Rice, Flaxseed,Green gram/Moong dhuli, Masoor (Lens culinaris), masur/masoor dhuli, Moong Dal Split, Moth Dal,red kidney beans/rajma (phaseolus vulgaris), Red Lentil, Sorghum, Wheat, Brown rice, chickpea/kabuli chana(garbanzos),, Basmati Rice - Brown, Basmati Rice White, Lentil, black gram/urd (Vigna sp.), Brown gram/Gram/Chana (Cicer arietinum); Oils &amp; Oleoresins: Ajwain seed oil, Anise oil, Aniseed Oil, Apricot oil, Basil/Tulsi Oil, Black Mustard Oil, Calamus oil, Dill Oil, Fennel Seed Oil, Marjoram Sweet Oil (Origanum majorana), Mustard oil (crude), Niger seed oil, Peppermint Oil (Mentha piperita), Rapeseed oil, Sesame Seed Oil, Sunflower seed oil, Allspice oil ,Almond oil ,Almond Oil Blended,Aloe vera oil,Amaranth Oil,Amla Oil,Aniseed Oil,Annato seed (Bixz orellana)- Oil,Artemisia oil, ASHWAGANDHA OIL / WINTER CHERRY OIL,Basil Oil (Ocimum basilicum),Basil Oil (Ocimum sanctum),Bay Leaf Oil,BAY OIL / BAY LEAF OIL,Bhringraj oil / Eclipta alba oil,Bitter Orange oil,Black cumin oil,BLACK CUMIN SEED / ORGANIC BLACK CUMIN (KALONJI) SEED OIL ,Black pepper oil, borage oil,BOSWELLIA SERRATA OIL / FRANKINSCENCE OIL / FRANKINSCENCE SERRATA OIL ,Brahmi oil,Brown Flaxseed Oil,Brown Mustard Oil, Camphor oil,CARAWAY OIL (CARUM CARVI),Caraway Oil, CARAWAY OIL (CARUM CARVI), Cardamom oil, Carrot seed oil, Cassia Oil, CASTOR OIL / ORGANIC PURE CASTOR OIL, Cedarwood oil, Celery Seed Oil, Chia seed oil, Cinnamon bark oil, Cinnamon Leaf Oil, CINNAMON OIL / CINNAMON BARK OIL / CINNAMON LEAF OIL, Citronella Oil, Clary Sage oil, Clove leaf oil, CLOVE OIL / CLOVE BUD OIL / CLOVE LEAF OIL, Coconut Oil, Coffee bean oil, coriander Leaf oil, Coriander seed oil, Corn Mint Oil, Cotton seed oil (Edible), Cumin Seed Oil, Curry leaf oil, Cypress Oil, Cypriol oil, Davana oil, Dementholised Oil, Dementholised Peppermint Oil, DISTILLED SPEARMINT OIL, Eucalyptus citriodora Oil, Eucalyptus globulus oil, Eucalyptus oil, Eucalyptus radiata oil, Evening primrose oil, Extra Virgin Coconut Oil, Fennel Oil, Fenugreek Oil, Flax/ Linseed Oil, FRANKINCENSE OIL / FRANKINCENSE FREREANA OIL, Galangal oil, Garlic oil, Geranium Oil, German chamomile oil, Ginger Oil, Grape seed oil, Grapefruit oil, GREEN TEA OIL / GREEN TEA EXTRACT, GROUNDNUT/PEANUT OIL, Hazelnut oil, HIBISCUS OIL / HISBISCUS HYDROSOL, jasmine Oil, jatamansi oil, Jojoba oil, Juniper Needle Oil, Karanj oil, Kokam oil, Lavender Oil, Lavender/lavendin Oil, Lemon grass oil, Lemon Oil, Lime oil, LIQUORICE OIL / LICORICE OIL / LICORICE HYDROSOL/ LIQUORICE HYDROSOL, Litsea cubeba oil, Mace oil (Myrystica fragrans Houtt), Mahua Oil, Maize/ Corn Oil, Mandarin Oil, MANGO KERNEL OIL / MANGO BUTTER, Marigold / tegetes oil, Medium Chain Triglyceride (MCT) Oil (VCO), Melissa oil, Mentha citrata oil, Mentha Piperata Oil (Mentha Piperita), Mentha/Mint Arvensis Oil (M. Arvensis),Moringa oil, Moringa Seed Oil, Mustard oil (Refined), NAGARMOTHA OIL / CYPRIOL OIL, NEEM LEAF OIL / NEEM LEAF HYDROSOL / NEEM HYDROSOL, Neem oil, NEEM OIL / NEEM SEED OIL, Neroli Oil, Nutmeg oil, Olive oil, Onion oil, Orange Essential Oil, Oregano Oil, ORGANIC PURE CASTOR OIL/ ORGANIC JAMAICAN BLACK CASTOR OIL / ORGANIC JAMAICAN BLACK CASTOR OIL EXTRA DARK, Palmarosa Oil, PARSLEY OIL / PARSLEY SEED OIL, Patchouli Oil, Pepper Oil, Petitgrain oil, Pine oil, POMEGRANATE OIL / POMEGRANATE SEED OIL, PUMPKIN OIL / PUMPKIN SEED OIL, RED CHILLI OIL / PAPRIKA OIL, Rice Bran Oil, rose hip oil, Rose oil, ROSE OIL / ROSE OIL DAMASCENA / ROSE OIL CENTIFOLIA / ROSE OIL INDIAN, Rosemary Oil, SAFFLOWER SEED OIL, Saffron oil, Sage Oil, Sal oil, Seabuckthorn Oil, Sesame Oil / Gingelly Oil, soyabean/soyabean oil, Spearmint Oil, STAR ANISE OIL / STAR ANISE HYDROSOL, Sugandha kokila oil (Luvunga scandens), sunflower oil: edible grade, Tamanu oil, Tea Tree Oil, Thyme Oil, tuberosa oil, TURMERIC OIL / TURMERIC ROOT OIL, valerian oil, Vanilla oil, Vetiver Oil, Virgin Coconut Oil, Walnut oil, WATERMELON OIL / WATER MELON OIL/ WATERMELON SEED OIL, Wheat germ oil, White Pepper Oil, Wintergreen oil, Ylang Ylang Oil; Nuts/Seeds: Almond, Groundnut, Cashew nut (Salted), Cashew Whole; Beverage Related Products: Black Tea,Chamomile tea,CTC Tea,Darjeeling Green Tea, English Breakfast Tea,fennel tea bag cut, Mint tea cut, Peppermint Tea Cut, Rose Petals Tea Cut, Tulsi Green Tea,; Other: AJWAIN HYDROSOL / AJOWAN HYDROSOL, Ajwain Powder, ALLSPICE HYDROSOL / PIMENTO BERRY HYDROSOL, Allspice Powder, Almond Oil Blended, Aloe vera gel, Aloe vera leaves powder, Aloe vera powder, ALOEVERA HYDROSOL, AMLA HYDROSOL, Amla Powder, ANISE HYDROSOL / ANISEED HYDROSOL, Annatto powder, , Arjuna Powder, Arrowroot Powder, Asafoetida, Ashoka powder, Ashwagandha, ASHWAGANDHA HYDROSOL / WINTER CHERRY HYDROSOL, Ashwagandha powder, Ashwagandha Root Powder, Ashwagandha TBC, Bacopa monnieri (Neer Brahmi), Barley Grass Powder, Barley Whole, BASIL HYDROSOL, BAY HYDROSOL / BAY LEAF HYDROSOL, Bay Leaf Powder, Bay leaves/Tejpatta, Beet Root Powder, Beewax, Bhoomi Amla Powder, BHRINGRAJ HYDROSOL / ECLIPTA ALBA HYDROSOL, Bhringraj powder, Black Cumin Powder, Black Pepper Crushed, BLACK PEPPER HYDROSOL, Black Pepper Powder, Black Pepper TBC, Black Tea, BOSWELLIA SERRATA HYDROSOL / FRANKINSCENCE HYDROSOL / FRANKINSCENCE SERRATA HYDROSOL, BRAHMI HYDROSOL / BACOPA HYDROSOL, Brahmi Powder, BRAHMI TBC / BRAHMI CUT, Brahmi/Bacopa monnieri Powder, Camphor oil, Cardamom hydrosol, cardamom large (black), Cardamom Powder, Cardamom seed, CASSIA HYDROSOL, Castor seed, Celery powder, Celery seed, Centella asiatica, Chamomile (Matricaria chamomilla), CHAMOMILE HYDROSOL, Chamomile Powder, Chia Seed, Chia seed powder, chicken Masala, Chicory, Chicory Root Powder, Chicory TBC, Chilli Crushed, Chilli Flakes, Chilli Flakes - Bird eye, Chilli Powder, Chilli Whole Dry, Cinnamon, Cinnamon bark, Cinnamon Bark Powder, Cinnamon hydrosol, CINNAMON HYDROSOL / CINNAMON BARK HYDROSOL / CINNAMON LEAF HYDROSOL, Cinnamon powder, Cinnamon TBC, CITRONELLA HYDROSOL, CLOVE HYDROSOL / CLOVE BUD HYDROSOL / CLOVE LEAF HYDROSOL, Clove Powder, Cocoa butter, Coconut, Coconut Desiccated, Coconut Milk, Coconut Powder/Dried Coconut Powder, Coconut Water, Cocum butter, Commiphora whitii (Guggul), Convolvulus pluricaulis (Shankhapuspi), Coriander crushed, CORIANDER HYDROSOL / CORIANDER SEED HYDROSOL, Coriander Powder, Coriander seed, Coriander Seed / Whole, CUMIN HYDROSOL, Cumin Powder, Cumin seed, cumin TBC, CURRY LEAF HYDROSOL, Curry Leaf powder, curry leaf/leaves, Curry paste, Curry Powder, Dehydrated Curry Leaves Powder, Dehydrated Garlic Powder, Dehydrated Mint Powder, Dehydrated Onion Powder, Dehydrated spinach powder, Dried Cardamom, Dried clove, Dried Curry Leaves, Dry Rose petals – Red, Eclipta alba Powder, Eucalyptus hydrosol, FENNEL HYDROSOL / FENNEL SEED HYDROSOL, fennel tea bag cut, Fennel/ Saunf, Fenugreek, Fenugreek crushed, FENUGREEK HYDROSOL, Fenugreek powder (Methi powder), fenugreek seed (methi seed), Flaxseed, FRANKINCENSE HYDROSOL, GALANGAL HYDROSOL, Galangal powder, Galangal roots, Garam Masala, Garlic Flakes, GARLIC HYDROSOL, Garlic paste, Garlic Powder, Giloy Powder, Ginger hydrosol, Ginger Powder, Ginger Sliced (Dried), Ginger TBC, Glycerine, GOTUKOLA (LEAF/LEAVES) POWDER, CENTELLA ASIATICA (LEAF/LEAVES) POWDER, GREEN TEA HYDROSOL, Guar gum powder, Guar Seed, Guggul, Haritaki Powder, Haritaki/Harad(Terminalia chebula), Henna powder, HIBISCUS OIL / HISBISCUS HYDROSOL, HIBISCUS POWDER, HIBISCUS FLOWER POWDER, HOLY BASIL HYDROSOL, Hydrosol / distillate, INDIGO LEAVES POWDER, indigofera tinctoria powder, Jamun Seed Powder, Jasmine water, Jatamansi (Nardostachys jatamansi), Kalmegh Powder, kalonji/nigella, Karela (Bitter gourd) Powder, Kokum butter, Krishna Tulsi Powder, Lemon Grass TBC, Lemon hydrosol, Lemon Peel Powder, Lemon Peel Dried, Lemongrass hydrosol, Lemongrass Powder, LIQUORICE OIL / LICORICE OIL / LICORICE HYDROSOL/ LIQUORICE HYDROSOL, Liquorice Root, MACE HYDROSOL, Mace Powder, Maize Starch, Mango (Sliced dried), MANGO KERNEL OIL / MANGO BUTTER, mango powder/ aamchur, manjistha/ rubia cordifolia powder,, AJWAIN HYDROSOL / AJOWAN HYDROSOL,Ajwain Powder,ALLSPICE HYDROSOL / PIMENTO BERRY HYDROSOL,Allspice Powder,Aloe vera,Aloe vera (Leaves),Aloe vera gel,Aloe vera leaves powder,Aloe vera powder,ALOEVERA HYDROSOL,AMLA HYDROSOL,Amla Powder,ANISE HYDROSOL / ANISEED HYDROSOL,Annatto powder,Arhar dal (red gram/pigeon pea,Arjuna Powder,Arrowroot Powder,Asafoetida,Ashoka powder,Ashwagandha,ASHWAGANDHA HYDROSOL / WINTER CHERRY HYDROSOL,Ashwagandha powder,Ashwagandha Root Powder,Ashwagandha TBC,Bacopa monnieri (Neer Brahmi),Barley Grass Powder,BASIL HYDROSOL,BAY HYDROSOL / BAY LEAF HYDROSOL,Bay Leaf Powder,Bay leaves/Tejpatta,Beet Root Powder,Beewax,Bhoomi Amla Powder,BHRINGRAJ HYDROSOL / ECLIPTA ALBA HYDROSOL,Bhringraj powder,Black Cumin Powder ,Black gram flour,Black Gram White,black gram/urd (Vigna sp.),Black Pepper Crushed,BLACK PEPPER HYDROSOL,Black Pepper Powder,Black Pepper TBC,BOSWELLIA SERRATA HYDROSOL / FRANKINSCENCE HYDROSOL / FRANKINSCENCE SERRATA HYDROSOL , BRAHMI HYDROSOL / BACOPA HYDROSOL ,Brahmi Powder,BRAHMI TBC / BRAHMI CUT,Brahmi/Bacopa monnieri Powder,Brown gram/Gram/Chana (Cicer arietinum),Buckwheat flour,Cane sugar,Cardamom hydrosol ,Cardamom Powder,Cardamom seed,CASSIA HYDROSOL ,Celery powder,Centella asiatica,CHAMOMILE HYDROSOL,Chamomile Powder,Chia seed powder,chicken Masala,chickpea/kabuli chana(garbanzos),Chicory,Chicory Root Powder,Chicory TBC,Chilli Birds Eye,Chilli Crushed,Chilli Flakes,Chilli Flakes - Bird eye,Chilli Powder,Chilli Whole Dry,Cinnamon,Cinnamon bark,Cinnamon Bark Powder,Cinnamon hydrosol,CINNAMON HYDROSOL / CINNAMON BARK HYDROSOL / CINNAMON LEAF HYDROSOL,Cinnamon powder,Cinnamon TBC ,CITRONELLA HYDROSOL,CLOVE HYDROSOL / CLOVE BUD HYDROSOL / CLOVE LEAF HYDROSOL,Clove Powder,Cocoa butter,Coconut Desiccated,Coconut milk,Coconut Powder/Dried Coconut Powder,Coconut Water,Cocum butter,Coffee Powder,Commiphora whitii (Guggul),Convolvulus pluricaulis (Shankhapuspi),Coriander crushed,Coriander green leaf,CORIANDER HYDROSOL / CORIANDER SEED HYDROSOL,Coriander Powder ,Coriander Seed / Whole,Cowpea White Dal,CUMIN HYDROSOL,Cumin Powder,cumin TBC ,CURRY LEAF HYDROSOL,Curry Leaf powder,curry leaf/leaves,Curry paste,Curry Powder,Dehydrated Curry Leaves Powder,Dehydrated Garlic Powder,Dehydrated mango,Dehydrated Mint Powder,Dehydrated Onion Powder,Dehydrated spinach powder,Dehydrated Tomato Powder,Dried clove,Dried Curry Leaves,Dried peppers,Dry Rose petals - Red,Dry/dehydrated coriander leaves,Dry/Dehydrated fenugreek leaves ,Eclipta Alba Extract/Bhringraj,Eclipta alba Powder ,Eucalyptus hydrosol,FENNEL HYDROSOL / FENNEL SEED HYDROSOL,fennel tea bag cut,Fennel/ Saunf ,Fenugreek crushed,FENUGREEK HYDROSOL,Fenugreek powder (Methi powder),FRANKINCENSE HYDROSOL ,GALANGAL HYDROSOL,Galangal powder,Galangal roots,Garam Masala,Garcinia cambogia Powder,Garlic Flakes ,GARLIC HYDROSOL,Garlic paste,Garlic Powder ,Giloy Powder,Ginger hydrosol,Ginger Powder,Ginger Sliced (Dried),Ginger TBC, GOTUKOLA (LEAF/LEAVES) POWDER, CENTELLA ASIATICA (LEAF/LEAVES) POWDER,Green Gram Split Yellow (Moong Dal Yellow) ,Green gram/Moong dhuli,GREEN TEA HYDROSOL,GREEN TEA OIL / GREEN TEA EXTRACT,Groundnut/Peanut,Guar gum powder,Guggul,Haritaki Powder,Haritaki/Harad(Terminalia chebula),Henna powder,HIBISCUS OIL / HISBISCUS HYDROSOL,HIBISCUS POWDER, HIBISCUS FLOWER POWDER,holarrhena antidysenterica,Kalmegh Powder (kutaj),HOLY BASIL HYDROSOL,Hydrosol / distillate,INDIGO LEAVES POWDER,indigofera tinctoria powder ,Jamun Seed Powder,Jasmine water,Jatamansi (Nardostachys jatamansi),Kalmegh Powder,kalonji/nigella,Karela (Bitter gourd) Powder,Kokum butter,Krishna Tulsi Powder, ASCORBIC ACID, Buckwheat flour, Cane sugar, Garcinia cambogia Powder, Lauric acid, Lecithin, Lentil flour, LINOLEIC ACID, Mango dried, Lemon Grass TBC,Lemon hydrosol,Lemon Peel Powder,Lemon Peel Dried,LEMONGRASS / KATTRINA (CYMBOPOGON CITRATUS) LEAF (LF.),Lemongrass hydrosol,Lemongrass Powder,Lentil,Lentil flour,LIQUORICE OIL / LICORICE OIL / LICORICE HYDROSOL/ LIQUORICE HYDROSOL,Liquorice Root,MACE HYDROSOL,Mace powder,Maida,Maize (Corn) Flake,Maize Starch,Maize/Corn Flour,Mango (Sliced dried),Mango dried,MANGO KERNEL OIL / MANGO BUTTER,mango powder/ aamchur ,manjistha/ rubia cordifolia powder,Masoor (Lens culinaris) ,masur/masoor dhuli,Meat Masala ,Menthol crystal,Menthol Crystal Flakes,Menthol crystals bold,Mint Powder,Mint tea cut ,Moong Dal Split,MORINGA HYDROSOL / MORINGA LEAF HYDROSOL / MORINGA SEED HYDROSOL,MORINGA OLEIFERA LEAF POWDER / ORGANIC MORINGA OLEIFERA LEAF POWDER / ORGANIC DRIED MORINGA LEAF POWDER,MORINGA POWDER / MORINGA LEAVES POWDER/ MORINGA LEAF POWDER,Moth Dal,Mucuna powder,Multi Grain Atta,Mustard Black,Mustard Powder ,NAGAR HYDROSOL,NATURAL HERBAL HENNA POWDER,Neem (Azadirachta indica),Neem bark,Neem Bark Powder,NEEM LEAF OIL / NEEM LEAF HYDROSOL / NEEM HYDROSOL,NEEM LEAVES POWDER / NEEM POWDER / NEEM LEAF POWDER,Neem Powder ,Nettle,NUTMEG HYDROSOL,NUTMEG POWDER, NUTMEG GROUND,Oats ( Flakes),Onion Flakes ,ONION HYDROSOL,Orange peel powder,Oregano,Organic Rose Water,PAPAYA LEAVES POWDER / CARICA PAPAYA POWDER,PARSLEY POWDER / ORGANIC PARSLEY POWDER / ORGANIC PARSLEY LEAVES POWDER , pepper long/pippali(piper longum),Peppermint Hydrosol,Peppermint Leaves,Peppermint Powder, Peppermint Tea Cut,Pineapple chunks,Poha/Chivda,Pomegranate Seed Powder,Potato powder,Potato starch,Psyllium Husk Powder,Psyllium seed powder ,Ragi Flour,Rapeseed/Rai/Rye,Red Chilli Powder ,Red Gram,red kidney beans/rajma (phaseolus vulgaris),Red Lentil,Rice Bran,Rice flour,Roasted chicory,Roasted Gram/Chana,Rose geranium hydrosol,Rose Hydrosol,Rose Petals Powder,Rose Petals Tea Cut,Rose water/hydrosol,Rosemary,Rosemary hydrosol,Rosemary powder,Rosemary water,Sabji Masala ,Safed Musli Powder ,SAFFRON HYDROSOL ,SANDALWOOD HYDROSOL,SAPINDUS MUKOROSSI / REETHA / SOAPNUT,Sarpgandha powder/ Rauwolfia serpentina powder,Senna Leaves ,Senna Leaves Powder,Senna Leaves Tea Bag Cut (TBC),Senna pods,Senna Pods Powder,Shatavari ,Shatavari Powder,Shikakai,shikakai powder,Soap Nut/Reetha (Powder),Soapnut shells,soyabean/soyabean black (seed quality),soyabean/soyabean white ,soyabean/soyabean flour ,SPEARMINT POWDER / SPEARMINT LEAVES POWDER,STAR ANISE OIL / STAR ANISE HYDROSOL,Stevia ,Stevia Leaves Dried,Stevia Powder,Stevia/stevia rebaudiana powder,Suji-Semolina-Cream of Wheat,tamarind concentrate ,Tamarind dry (IMLI),Tamarind Paste,Tamarind Powder,Tapioca,Terminalia arjuna,Terminalia bellirica/baheda,Thyme,Trikatu Powder,Triphala,TRIPHALA EXTRACT GRANULES ,triphala extract/powder,Triphala Powder,TULSI POWDER / ORGANIC TULSI LEAVES POWDER / ORGANIC DRIED TULSI LEAVES POWDER,Tulsi TBC/Tulsi TBC blend,Turmeric Fingers,Turmeric Flakes,TURMERIC HYDROSOL,Turmeric Powder,Turmeric TBC,Turmeric Whole Dried,turmeric whole-fresh,Urad dal split,urad dhuli,Vanilla,Vanilla Bean Powder ,Vanilla hydrosol,Vetiver hydrosol,Vetiveria zizanioides (Khas),Wheat bran,Wheat Flour ,Wheat Porridge/ Dalia,wheat starch,Wheatgrass powder,White Pepper Crushed, WHITE PEPPER HYDROSOL,White Pepper Powder, Meat Masala, Menthol crystal, Menthol Crystal Flakes, Menthol crystals bold, Mint Powder, Mint tea cut, MORINGA HYDROSOL / MORINGA LEAF HYDROSOL / MORINGA SEED HYDROSOL, Moringa Oleifera Leaf Powder, MORINGA POWDER / MORINGA LEAVES POWDER/ MORINGA LEAF POWDER, Mucuna powder, Multi Grain Atta, Mustard, Mustard Black, Mustard Powder, NAGAR HYDROSOL, NATURAL HERBAL HENNA POWDER, Neem bark, Neem Bark Powder, NEEM LEAF OIL / NEEM LEAF HYDROSOL / NEEM HYDROSOL, Neem Powder, Neem seeds, Nettle, NUTMEG HYDROSOL, NUTMEG POWDER, NUTMEG GROUND, Onion, Onion Flakes, ONION HYDROSOL, Orange peel powder, Oregano, Papaya Leaves Powder, Parsley powder, pepper long/pippali(piper longum), Peppermint Hydrosol, Peppermint Leaves, Peppermint Powder,,Peppermint Tea Cut, Pomegranate Seed Powder, Potato powder, Potato starch, Psyllium Husk Powder, Psyllium seed powder, Ragi Flour, Rapeseed/Rai/Rye, Red Chilli Powder, Rice flour, Roasted chicory, Roasted Gram/Chana, Rose geranium hydrosol, Rose Hydrosol, ROSE OIL / ROSE OIL DAMASCENA / ROSE OIL CENTIFOLIA / ROSE OIL INDIAN, Rose Petals Powder, Rose Petals Tea Cut, Rose water/hydrosol, Rosemary, Rosemary hydrosol, Rosemary powder, Rosemary water, Sabji Masala, Safed Musli Powder, SAFFRON HYDROSOL, SANDALWOOD HYDROSOL, SAPINDUS MUKOROSSI / REETHA / SOAPNUT, Sarpgandha powder/ Rauwolfia serpentina powder, Senna Leaves, Senna Leaves Powder, Senna Leaves Tea Bag Cut (TBC), Senna pods, Senna Pods Powder, Sesame seed, Shatavari, Shatavari Powder, Shikakai, shikakai powder, Soap Nut/Reetha (Powder), Soapnut shells, Spearmint powder, STAR ANISE OIL / STAR ANISE HYDROSOL, Stevia, Stevia Leaves Dried, Stevia/stevia rebaudiana powder, Sugandha kokila oil (Luvunga scandens), tamarind concentrate, Tamarind dry (IMLI), tamarind/imli (t.indica, Tapioca, Terminalia arjuna, Terminalia bellirica/baheda, Thyme, Trikatu Powder, Triphala, Triphala Powder, Tulsi Leaves Powder, Tulsi TBC/Tulsi TBC blend, Turmeric Fingers, Turmeric Flakes, TURMERIC HYDROSOL, Turmeric Powder, Turmeric TBC, Turmeric Whole Dried, Urad dal split, Vanilla Bean Powder, Vanilla hydrosol, Vetiver hydrosol, Vetiveria zizanioides (Khas), WATERMELON OIL / WATER MELON OIL/ WATERMELON SEED OIL, Wheat Flour, wheat starch, Wheatgrass powder, White Pepper Crushed, WHITE PEPPER HYDROSOL, White Pepper Powder</t>
  </si>
  <si>
    <t>Trees/Whole Plant Products/Flowers: Seeds (Organic Chia Seeds), Seeds (Organic Flax Seeds), Seeds (Organic Hemp Seeds), Seeds (Organic Pitted Dates), Seeds (Organic Sesame Seeds), Seeds (Organic Sunflower Kernels Dry Roasted Unsalted), Seeds (Organic Super Seeds), Seeds (Dry Roasted and Salted Pumpkin Seeds), Seeds (Dry Roasted No Salt Pumpkin Seeds), Seeds (Organic Sunflower Kernels Roasted Unsalted); Other Grains, Pastas and Cereals: Quinoa (Organic White Quinoa), Quinoa (OrganicTri Color Quinoa); Nuts/Seeds: Cashew Nuts (Organic Cashews Dry Roasted Unsalted)</t>
  </si>
  <si>
    <t>Processed  Items: CANOLA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</si>
  <si>
    <t>Other: Agave Syrup (Agave Syrup), Barley (Pearled), Beans (Aduki, Baby Lima, Black Eyed Peas, Cannellini Beans, Fava, Great Northern, Red Kidney, Green Lentils, French Lentils, Navy, Pinto, Soy), Beans (Bean Mix for Sprouting - Blended), Beans (Black Turtle Beans), Beans (Garbanzo), Beans (Mung), Beans (Whole Red Lentils), Cacao Nibs (Cacao Nibs), Chocolate (Chocolate Chips, Chocolate covered (Raisins, Almonds, Espresso Beans)), Cocoa Products (Cocoa Powder), Coconut (Coconut), Coffee (Espresso Blend, SunO House Blend), Dates (Dried) (Date Coconut Rolls), Dehydrated Vegetables (Carrots, Minced Garlic, Minced Onions, Green Bell Pepper, Red Bell Pepper, Spinach Flakes,Tomato Halves), Dried Fruits (Apple Rings, Apricots (sun dried, Turkish), Apricot Kernels, Bananas, Blueberries, Cherries, Cranberries, Currants, Figs, Ginger (crystalized), Goji Berries, Mango, Mulberries, Persimmons, Pineapple, Prunes, Raisins), Dried Fruits (Dates: Deglet Noor, Halawi, Honey, Khadrawi, Medjool, Zahidi), Flour (Wheat) (Buckwheat, Wheat (Various)), Flour (Wheat) (Pastry Flour), Grains (Amaranth, Barley, Buckwheat, Corn, Cornmeal, Kamut, Millet, Oat Bran, Oat Groats, Oats (Hulless, Rolled, Steel Cut), Popcorn, Spelt, Wheat, Triticale), Grains (Buckwheat - In Shell), Grains (Hard Red Winter Wheat), Grains (Quinoa), Grains (Rye), Grains (Tri-Color Quinoa), Granola (Almond Apple Raisin), Granola (Apple Raisin Walnut), Granola (Blueberry Almond), Nori (Nori), Nuts (Almonds, Brazil Nuts, Cashews, Filberts, Macadamia Nuts, Peanuts, Pecans, Pine Nuts, Pistachio Nuts, Soy Nuts, Walnuts), Oils (Olive, Canola, Sesame, Sunflower), Olives (Sun Dried Black Olives), Pasta (Whole Wheat (Spaghetti, Elbows, Orzo), Semolina (Spaghetti, Elbows, 4-Color Spirals, Brown Rice (Spaghetti, Spirals), Soba, Udon), Peas (Green, Yellow, Split), Peas (Whole), Raw Sugar (Raw Sugar), Rice (Basmati, Long Grain, Sushi, Wehani), Rice (Short Grain Brown Rice), Rice (Sweet Brown), Rice (White), Rice (Wild), Rice Blends (3-Rice Blend - Blended), Rice Blends (Rice Blended), Rice Flour (Brown) (Brown Rice Flour), Rye Flour (Rye Flour), Seeds (Alfalfa), Seeds (Broccoli), Seeds (Chia), Seeds (Fenugreek), Seeds (Flax - Brown &amp; Gold), Seeds (Psyllium Seed Husk), Seeds (Pumpkin), Seeds (Red Clover, Hemp, Mustard, China Rose Radish, Daikon Radish), Seeds (Sesame), Seeds (Sunflower Seeds), Soup (Hearty Bean Soup Mix - Blended), Soup (Vegetable Soup Blend), Soy Flour (Soy Flour), Spelt Flour (Spelt Flour), Spice Blends (Seasonings - All Purpose, Italian Seasoning, Mexican Blend), Spices (Basil Leaf, Bay Leaf, Caraway Seed, Celery Seed, Cilantro, Chili Powder, Cinnamon, Cloves, Coriander, Cumin, Curry Powder, Dillweed, Dulse Flakes, Garlic Powder, Garlic-Minced, Ginger Root, Marjoram, Nutmeg, Onion Powder, Onion-Minced, Orange Peel, Oregano Leaf, Paprika, Parsley Flakes, Black Pepper, Romemary, Thyme, Peppercorns, Cayenne Pepper, Jalapeno Pepper, Poppy Seed), Sugar (Date Sugar Granules, Maple Granules), Trail Mix (Trail Mix - Blended), Vegetable Broth ((Meatless) Chicken Flavored Organic Broth Powder, Vegetable Broth Powder)</t>
  </si>
  <si>
    <t>Other: #Processing, packaging, and labeling of flour, flour mixes, and pasta, Flour and flour mixes: 7-Grain Cereal, Coarse Cornmeal, Course Rye Flour, Fine Cornmeal, Fine Rye Flour, Heritage 7 Grain Baking Mix, Heritage 7 Grain Pancake and Waffle Mix, Heritage Bread Blend, Heritage Communion Blend, Heritage Hard Red Wheat Berries, Heritage High Extraction Flour, Heritage Pizza Flour, Heritage Sifted Flour, Heritage Soft White Wheat Berries, Heritage Wheat Bran, Heritage White Flour, Heritage Whole Wheat Bread Blend, Heritage Whole Wheat Flour, Heritage Whole Wheat Pastry Flour, Oat Cereal, Oat Groats, Polenta Magnifico, Rye Berries, Scottish Oat Cereal, Steel Cut Oats, Whole Buckwheat, Whole Buckwheat Flour, Whole Grain Oat Flour, Whole Yellow Corn, Whole Wheat Bread Blend, Whole Wild Rice Flour, Wild Rice, Other mixes: Bran Muffin Mix, Crepe Mix, Drop Biscuit Mix, Scone Mix, Pasta: Heritage Fusilli Pasta, Heritage Radiatore Pasta, Heritage Rigatoni Pasta</t>
  </si>
  <si>
    <t>Other Grains, Pastas and Cereals: Barley (Barley), Barley (Barley, Broken), Corn - Corn, Corn Bran - Corn Bran, Corn Bran - Corn Bran, Pelletized, Corn, cracked - Corn, Cracked, Corn, processed - Corn, Processed, Durum (Durum Wheat, Pearled), Other Other Grains, Pastas and Cereals - Corn Meal, Other Other Grains, Pastas and Cereals - Corn, Degerminated, Wheat (Bulgur), Wheat (Bulgur, Coarse), Wheat (Bulgur, Fine), Wheat (Bulgur, Medium), Wheat (Durum), Wheat (Wheat), Wheat (Wheat Bran), Wheat (Wheat Bran Pelletized), Wheat (Wheat Gluten), Wheat (Wheat Protein Starch), Wheat (Wheat, Processed), Wheat grass - Wheat, Pearled; Oils &amp; Oleoresins: Oils (Canola Oil, Crude), Oils (Canola Oil, Fatty Acid), Oils (Canola Oil, Herbal Wax), Oils (Canola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Meal/Cake, Flax / Linseed - Flax, Flax / Linseed - Flax Meal/Cake, Other Nuts/Seeds - Soybean Meal, Pelletized, Other Nuts/Seeds - Sunflower Meal/ Cake, Pelletized, Other Nuts/Seeds - Sunflower Meal/Cake, Other Nuts/Seeds - Sunflower Seed Shells, Other Nuts/Seeds - Sunflower Seed Shells, Pelletized, Rapeseed - Rapeseed, Sunflower Seed - Sunflower Seed, Sunflower Seed Kernel - Sunflower Kernels, Broken Chips, Sunflower Seed Kernel - Sunflower Seed Kernels; Fruits/Vegetables: Beans (Chickpeas), Beans (Chickpeas, 7mm), Beans (Chickpeas, 8mm), Beans (Chickpeas, 9mm), Chickpeas, broken - Chickpeas, Broken, Lentils, green - Lentils, Green, Lentils, red - Lentils, Red, Lentils, red football - Lentils, Red Football, Lentils, red football - Red Football Lentils (Polished), Lentils, red whole - Lentils, Whole Red, Lentils, red whole - Whole Red Lentils (Polished), Lentils, split green - Lentils, Green Split, Lentils, split red - Lentils, Red Split, Lentils, split red - Red Lentils, Split (Polished), Lentils, split yellow - Lentils, Split Yellow, Lentils, yellow - Lentils, Yellow, Lentils, yellow - Yellow Lentils, Split (Polished), Lentils, yellow football - Lentils, Yellow Football, Lentils, yellow football - Yellow Football Lentils (Polished), Other Fruits/Vegetables - Chickpea Flour, Other Fruits/Vegetables - Chickpea Protein, Other Fruits/Vegetables - Lentil Flour, Other Fruits/Vegetables - Lentil Protein, Other Fruits/Vegetables - Yellow Pea Flour, Other Fruits/Vegetables - Yellow Pea Protein, Peas - Peas, Peas - Yellow Peas, Soybean Meal - Soybean Meal/Cake, Soybeans - Soybeans; Dry/Baking Goods: Flours and Meals (Bulgur Flour), Flours and Meals (Semolina), Flours and Meals (Wheat Flour)</t>
  </si>
  <si>
    <t>Other: Corn, Oats, Pearled Wheat, Soybeans, Storage &amp; Transloading of Organic Grains, Wheat</t>
  </si>
  <si>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Other Other Grains, Pastas and Cereals - Canola,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Seed - Sunflower Seed, Sunflower Seed Kernel - Sunflower Seed Kernels; Fruits/Vegetables: Beans (Chickpea Flour), Beans (Chickpeas), Lentils, green - Lentils, Green, Lentils, red - Lentils, Red, Lentils, split green - Lentils, Green Split, Lentils, split red - Lentils, Red Split, Lentils, split red - Red Lentils, Split (Polished), Other Fruits/Vegetables - Chickpea Hull Flour, Other Fruits/Vegetables - Chickpea Protein, Other Fruits/Vegetables - Chickpea, Broken, Other Fruits/Vegetables - Lentil Flour, Other Fruits/Vegetables - Lentil Protein, Other Fruits/Vegetables - Lentils Brown (Polished), Other Fruits/Vegetables - Lentils, Brown, Other Fruits/Vegetables - Sunflower Meal, Pelletized,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</si>
  <si>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Flax / Linseed - Flax, Flax / Linseed - Flax Meal,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 Beverage Related Products: Dehydrated Foods (Canola Meal)</t>
  </si>
  <si>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Wheat (Wheat), Wheat (Wheat Bran), Wheat (Wheat Bran Pelletized), Wheat (Wheat Gluten), Wheat (Wheat Starch Protein), Wheat (Wheat, Pearled),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Other Fruits/Vegetables - Chickpea Flour, Other Fruits/Vegetables - Chickpea Hull Flour, Other Fruits/Vegetables - Chickpea Protein, Other Fruits/Vegetables - Chickpeas, Broken, Other Fruits/Vegetables - Lentil Flour, Other Fruits/Vegetables - Lentil Protein, Other Fruits/Vegetables - Lentils Brown (Polished), Other Fruits/Vegetables - Lentils, Brown,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</si>
  <si>
    <t>Other Grains, Pastas and Cereals: Barley (Barley), Corn - Corn, Corn - Corn, Pelletized, Durum (Durum Wheat), Wheat (Wheat), Wheat (Wheat, processed); Nuts/Seeds: Canola - Canola, Canola - Canola Meal, Flax / Linseed - Flax, Flax / Linseed - Flax Meal, Flax / Linseed - Flaxseed Meal, Pelletized, Rapeseed - Rapeseed, Rapeseed - Rapeseed Meal, Pelletized, Sunflower Meal - Sunflower Meal, Sunflower Seed - Sunflower Seed; Fruits/Vegetables: Peas - Peas, Peas - Yellow Peas, Soybean Meal - Soybean Meal, Soybean Meal - Soybean Meal, Pelletized, Soybeans - Soybeans</t>
  </si>
  <si>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Canola - Canola Meal, Flax / Linseed - Flax, Flax / Linseed - Flax Meal, Other Nuts/Seeds - Sesame, Rapeseed - Rapeseed, Sunflower Meal - Sunflower Meal, Sunflower Meal - Sunflower Meal, Pelletized, Sunflower Seed - Sunflower Seed, Sunflower Seed Kernel - Sunflower Seed Kernels; Fruits/Vegetables: Beans (Chickpea Flour), Beans (Chickpea Hull Flour), Beans (Chickpea Protein), Beans (Chickpea, Broken), Beans (Chickpeas), Lentils, brown - Lentils, Brown, Lentils, green - Lentils, Green, Lentils, red - Lentils, Red, Lentils, split green - Lentils, Green Split, Lentils, split red - Lentils, Red Split, Lentils, split red - Red Lentils, Split (Polished), Other Fruits/Vegetables - Lentils Brown (Polished), Peas - Peas, Peas - Yellow Pea Flour, Peas - Yellow Pea Protein, Soybean Meal - Soybean Meal, Soybeans - Soybeans, Vegetables (Lentil Flour), Vegetables (Lentil Protein); Dry/Baking Goods: Flours and Meals (Corn Meal), Flours and Meals (Flaxseed Meal, Pelletized), Flours and Meals (Rapeseed Meal, Pelletized), Flours and Meals (Semolina), Flours and Meals (Soybean Meal, Pelletized), Flours and Meals (Wheat Flour)</t>
  </si>
  <si>
    <t>Other: Broker (Client Profile Products only) (Hay and Forage for Livestock Feed), Hay (Alfalfa Hay), Hay (Pasture/Grass Hay), Hay (Winter Forage - Barley Hay and Grain), Hay (Winter Forage - Oat Hay and Grain), Hay (Winter Forage - Pea Hay), Hay (Winter Forage - Wheat Hay and Grain)</t>
  </si>
  <si>
    <t>Fruits/Vegetables: Apple Cider, Grapefruit Juice, Lemon Juice, Apple - Fuji Waxf Case, Apple - Gala Waxf Case, Asparagus, Avocado, Kidney Dark Red Beans, Garbanzo Beans, Black, Beans, Berries, Blueberries, Broccoli, Broccolini, Cabbage, Carrot, Cauliflower, Celery, Cilantro, Corn Cut, Drago Fruit Cubes, Garlic, Grapefruit, Green Onion, Kale, Lettuce, Lime, Mango, Mushrooms, Onion, Orange, Parsley, Peas, Pepper, Pineapple, Potatoes, Radish, Spinach, Squash, Tomato Varieties, Rice-Short Grain Brown, Garlic-Chopped in Oil, Garlic-Roasted</t>
  </si>
  <si>
    <t>Trees/Whole Plant Products/Flowers: Crystallized Ginger/Candied Ginger, Flowers (Sunflower Protein Powder), Seeds (Buckwheat Kernel, Steam Sterilized), Seeds (Flax Seeds), Seeds (Flaxseed Protein Powder), Seeds (Hemp Protein Powder), Seeds (Hemp Seed), Seeds (Hempseed Kernels, Steam Sterilized), Seeds (Organic Pumpkin Seeds Kernels GWS Kibbled, Steam Sterilized), Seeds (Pine Kernels, Steam Sterilized), Seeds (Pumpkin Kernels, Shine Skin, Kibbled Steam Sterilized), Seeds (Pumpkin Kernels, Shineskin, Sprouted, Dried), Seeds (Pumpkin Seeds Kernels, GWS, Sprouted, Dried), Seeds (Pumpkin Seeds Kernels, GWS, Steam Sterilized), Seeds (Pumpkin Seeds, Shine Skin, Steam Sterilized), Seeds (Sesame), Seeds (Sunflower Kernels ,Roasted), Seeds (Sunflower Kernels, Kibbled), Seeds (Sunflower Kernels, Kibbled Steam Sterilized), Seeds (Sunflower Kernels, Steam Sterilized), Seeds (Sunflower Seed,Roasted), Seeds (Watermelon Kernel ,Sprouted ,Roasted), Seeds (Watermelon Kernel, Sprouted, Dried), Seeds (Watermelon Kernels, Roasted), Seeds (Watermelon Seed), Seeds (Watermelon Seed Kernel, Steam Sterilized), Seeds (Watermelon Seed Protein Powder), Seeds (Watermelon Seed, Roasted), Seeds (Flax Seed Oil), Seeds (Goji Berries, Dried Steam Sterilized), Seeds (Hemp Seed Oil), Seeds (Organic Unsalted Roasted Pepitas), Seeds (Organic Unsalted Roasted Sunflower Seeds), Seeds (Roasted Salted Organic Pepitas), Seeds (Watermelon Seed Oil), Seeds (Buckwheat Kernel, Steam Sterilized), Seeds (Hempseed Kernels), Seeds (Hempseed Kernels, Steam Sterilized), Seeds (Hempseed Kernels,Powder), Seeds (Pumpkin Kernels, Shine Skin, Kibbled Steam Sterilized), Seeds (Pumpkin Kernels, Shineskin, Sprouted, Dried), Seeds (Pumpkin Seeds, Shine Skin, Steam Sterilized), Seeds (Sunflower Kernels), Seeds (Sunflower Kernels, Sprouted, Dried), Seeds (Sunflower Kernels, Steam Sterilized), Seeds (Sunflower Kernels,Powder), Seeds (Sunflower Seed), Seeds (Watermelon Kernel, Sprouted, Dried), Seeds (Watermelon Seed Kernel), Seeds (Watermelon Seed Kernel, Steam Sterilized); Other Grains, Pastas and Cereals: Millet, Wheat (Buckwheat), Wheat (Buckwheat Kernel, Powder), Wheat (Buckwheat Kernel, Roasted), Wheat (Buckwheat Kernel, Sprouted, Dried), Wheat (Buckwheat Kernels); Oils &amp; Oleoresins: Oils (Sunflower Oil); Nuts/Seeds: Peanuts (Peanut Kernels), Pine Nuts (Pine Nut Kernels), Pumpkin Seed Oil, Pumpkin Seeds Kernels,GWS, Pumpkin Seeds Kernels,GWS, Kibbled, Pumpkin Seeds Kernels,GWS, Powder, Pumpkin Seeds Kernels,GWS,Roasted, Pumpkin seeds kernels,GWS,sprouted,roasted, Pumpkin Seeds, Shineskin, Dried, Pumpkin Seeds,Shineskin; Fruits/Vegetables: Berries (Goji Berries, Dried), Pumpkin Kernels ,Shineskin ,Powder, Pumpkin Kernels ,Shineskin ,Sprouted ,Roasted, Pumpkin Kernels, Shineskin, Pumpkin Kernels, Shineskin, Dried, Pumpkin Kernels, Shineskin,Kibbled, Pumpkin Protein Powder</t>
  </si>
  <si>
    <t>Other: Rice (Brewers/Rejects - Brown &amp; White (Milled)), Rice (Broken Brown &amp; White (Milled)), Rice (Calmati-California Basmati or Aromatic) (Paddy, Brown &amp; White (Milled)), Rice (Calmochi-Sweet or Mochi) (Paddy, Brown &amp; White (Milled)), Rice (Calrose) (Medium Grain - Paddy, Brown &amp; White (Milled)), Rice (Long Grain) (Calrojo Red aka Aromatic Red aka Heirloom Red - Paddy, Brown), Rice (Long Grain) (Paddy, Brown &amp; White), Rice (Medium Grain) (Black Japonica aka Heirloom Black aka Paddy, Brown), Rice (Parboiled) (Long Grain, Medium Grain, &amp; Short Grain), Rice (Short Grain) (Brown), Rice (Short Grain) (Paddy, Brown &amp; White (Milled)), Rice (Wild), Rice Hulls, Rice Processing (Client Profile Products only) (Cleaning, Grading, Blending, Parboiling, Package, Toll Milling)</t>
  </si>
  <si>
    <t>Other: #Brokering and transloading of grain, Soybeans</t>
  </si>
  <si>
    <t>Other: Dried Beans, Butter, Cream, Eggs, Beef, Chicken, Turkey, Pork, Canned Beans, Frozen Beans, Cheese, Milk, Whey, Yogurt, Extracts, Fruit, Frozen Grains, Herbs, Nuts, Oils, Picked Products, Rice, Seeds, Spices, Sweeteners, Tomatos,  Vegetables, Vinegar, Wine</t>
  </si>
  <si>
    <t>Other: Apple Chips (Simple Slices 8 Pack Red Apple Chips), Baby Food - Fruits (Fruity Stars Apple, Strawberry &amp; Beet), Candy (1818 - Easter Giggles - (10-SnPks)  5.0 oz SUP), Candy (1870 - Valentines Giggles (10-SnPks)  5.0oz SUP), Candy (1872 - Holiday Giggles - 5.0 oz SUP 10SP 18 ct), Candy (1919 - Chocolate Roll'n Stones - 1.25 Theater Box 6 ct / 4 pk), Chewy Candy (1419-YE Halloween 30ct Giggles &amp; Chewys), Chewy Candy (1466- YumEarth Halloween Variety- Giggles, Pops, and Gummy Fruits 50ct), Chewy Candy (1651 - Back to School Variety Box (Gummy Bears, Fruit Snacks and Chewys)), Chewy Candy (1712 Chewys Box), Chewy Candy (1772 - Valentine Lollipops &amp; Gummy SnPks - 9.40 oz Box), Chewy Candy (1775 - Halloween Gummy Fruits - 10 snack packs), Chewy Candy (1881 - Valentine Gummy Fruits (10-SnPks) 7.0 oz), Chewy Candy (1882 - Easter Gummy Fruits - (10-SnPks) 7.0 oz SUP), Chewy Candy (1896 - Halloween Giggles 10 Snack Packs), Chewy Candy (1918 - YE Valentine Giggle Box (15-SnPk)), Chewy Candy (1947 - YumEarth Giggles (10-SnPks) 5.0 oz ), Chewy Candy (1965 Sour Giggles 15ct box), Chewy Candy (1965-YumEarth Sour Giggles 15ct box), Chewy Candy (1985 - Halloween Giggles - 20 Snack Packs), Chewy Candy (1986 - Halloween - 50 ct Variety Bag), Chewy Candy (4030 - Easter Gummy Fruit 0.7 oz), Chewy Candy (4031 - Easter Gummy Fruit - 0.5 oz), Chewy Candy (4036 - Valentine's Day Sugar Coated Gummy Fruits), Chewy Candy (4059 Chewy's 0.5oz snack pack), Fruit Snack (1468- YumEarth 28ct Variety Box), Fruit Snack (1502 - YumEarth Gummy Bears (10-SnPks) 7.0 oz ), Fruit Snack (1604 - T YumEarth Trop Fruit Snacks (10-SnPks) 7.0 oz ), Fruit Snack (1623 - YumEarth Fruit Snacks - (5-SnPks) 3.50 oz), Fruit Snack (1624 - YumEarth Gummy Bears - (5-SnPks ) 3.50 oz), Fruit Snack (1637 Trop Fruit Snacks (5-SnPks) 3.50oz SUP - 12 unit case), Fruit Snack (1637- YumEarth OG Trop Fruit Snacks (5-SnPks) 3.50oz SUP - 12 unit case), Fruit Snack (1645-T Fruit Snacks (10-SnPks) 7.0 oz SUP - 12 units/case), Fruit Snack (1645-T -YumEarth OG Fruit Snacks (10-SnPks) 7.0 oz SUP - 12 units/case), Fruit Snack (1925 - Fruit Snacks Variety Box - 32 ct), Fruit Snack (1927 - Fruit Snacks Trop 7.0oz Box 10SP 12ct), Fruit Snack (1928 - Fruit Snacks Trop 3.5oz Box 5SP, 6ct), Fruit Snack (1929 - Fruit Snacks 3.5oz Box 5SP, 6ct), Fruit Snack (1939 - Fruit Snacks 7.0oz Box 10SP, 6ct), Fruit Snack (1963 - Chewys - 10 oz ), Fruit Snack (1964 - Giggles - 15 ct box), Fruit Snack (1968 - Gummy Bears - 15 ct box ), Fruit Snack (1969 - Sour Beans - 15 count box), Fruit Snack (4003 Fruit Snacks 0.7oz Snack Pack), Fruit Snack (4003- YumEarth OG Fruit Snacks 0.7oz Snack Pack), Fruit Snack (4004 Trop Fruit Snacks Snack Pack 0.7oz), Fruit Snack (4004- YumEarth OG Trop Fruit Snacks Snack Pack 0.7oz), Fruit Snack (Apple Veggie Fruit Stix 0.6 oz), Fruit Snack (Apple Veggie Fruit Stix 1 oz), Fruit Snack (Blueberry - Apple Veggie Fruit Stix 0.6 oz), Fruit Snack (Blueberry - Apple Veggie Fruit Stix 1 oz), Fruit Snack (Mango - Apple Fruit Stix 0.6 oz), Fruit Snack (Mango - Apple Fruit Stix 1 oz), Fruit Snack (Mixed Berry - Apple Veggie Fruit Stix 0.6 oz), Fruit Snack (Mixed Berry - Apple Veggie Fruit Stix 1 oz), Gummy Bears (4001 Gummy Bear 0.7oz snack pack), Gummy Bears (4001-YumEarth Gummy Bear 0.7oz snack pack), Gummy Candy (1470- YE Org. Valentine's Sour Little 15ct. Box), Gummy Candy (1583 Halloween Gummy Fruit Box), Gummy Candy (1682- YumEarth Halloween Sour Littles, 15ct Box), Gummy Candy (1699 - Easter Gummy Fruits 15ct Box, 6pk), Gummy Candy (1721- YE Halloween OG Sour Gummy (20-SnPk) 10oz), Gummy Candy (1792 - Holiday Gummy Fruits - 7.0 oz SUP 10SP 18 ct), Gummy Candy (1832- YumEarth Sour Littles, 15ct Box), Gummy Candy (1894- YumEarth 20ct Gummy Fruits), Gummy Candy (1917 - YE Org. Valentine's Heart Gummies 15ct. Box, 6pk), Gummy Candy (4028 Halloween Gummy Fruits snack pack), Gummy Candy (Champagne Dreams Gummies - 2 oz, 4 oz), Gummy Candy (Chewie Fruities - Assorted Flavors), Gummy Candy (Mimosa Gummies 2 oz), Gummy Candy (Mojito Mambo Gummies 2 oz, 4 oz), Gummy Candy (Moscow Mule Gummies 2 oz), Gummy Candy (VegoBears Santa Monica), Hard Candy (1876- Easter Variety Box (Gummy Fruit, Beans, Pops)), Jelly Beans (1465- YE Jelly Beans (15-SnPk) 7.5 oz), Jelly Beans (1698 - Easter Jelly Beans 15ct Box, 6pk), Jelly Beans (4056 - Easter Jelly Beans - 0.5 oz), Jelly Beans (4061 - YE Jelly Bean SP 0.5 oz), Mixed Candies (1835- YumEarth Favorites Variety Box, 20ct Box), Mixed Candies (1959- YumEarth Favorites Variety Box, 30ct Box), Mixed Nuts (Organic Omega-3 Deluxe Mix), Rice (Long Grain Brown), Rice (Long Grain White), Rice (Basmati) (Brown Basmati Rice), Rice (Basmati) (White Basmati Rice), Rice (Jasmine) (White Jasmine Rice), Toddler Snacks (Crispy Chews - Apple Beet &amp; Berry with Crisp Brown Rice), Toddler Snacks (Crispy Chews - Orchard Fruit &amp; Carrot with Crisp Brown Rice), Trail Mix (Cranberry Health Mix), Trail Mix (Heart Healthy Mix)</t>
  </si>
  <si>
    <t>Other Grains, Pastas and Cereals: Rice (Hommali 105 rice (paddy), Jasmine Rice (paddy), RD 95 rice (paddy), Rice berry (paddy), Sin Lek rice (paddy), Sticky rice (paddy), Tubtimchumpae rice (paddy))</t>
  </si>
  <si>
    <t>Other: Basmati Rice, Bengal Gram (Chana) Flour, Bengal Gram Whole, Black Gram White, Black Gram White Whole, Black Gram/Urad (Vigna sp.), Black Pepper, Black Pepper Powder, Black Rice, Broken Rice, Chana Dal, Cinnamon (Powder), Cinnamon Bark, Cinnamon TBC, Cloves, Cowpea, Dosa Rice, Fenugreek, Fenugreek Powder (Methi Powder), Gram Flour / Besan, Groundnut / Peanut, Groundnut / Peanut Oil (Edible Grade), Idli Rice, Idly Rava, Moong Dal, Non Basmati Rice Broken, Non Basmati Rice Flour, Non-Basmati Paddy, Non-Basmati Rice, Poha Flattened Rice, Poha/Chivda, Ponni Rice, Ragi Flakes, Ragi Flour, Ragi/Finger Millet Grain, Red Poha Medium, Red Poha Thick, Red Poha Thin, Red Rice, Red Rice Broken, Red Rice Flour, Red Rice Rava, Rice Flakes, Rice Flour, Rice-Sona Masuri, Sona Masuri Rice Broken, Sona Masuri Rice Flour, Sonamasuri Brown Rice, Sonamasuri Polished Rice, Sonamasuri Semi Brown Rice, Sonamasuri Semi Polished Rice, Sonamasuri Un Polished Rice, Turmeric Dried, Turmeric Fingers, Turmeric Powder</t>
  </si>
  <si>
    <t>Other: Tempeh (Original Soy), Tempeh (Surata Multi-Grain), Tofu (Surata Firm)</t>
  </si>
  <si>
    <t>Other: Alfalfa Pellets, Barley, Buckwheat Grain, Buckwheat Seed, Cane molasses, Canola, Canola Meal, Canola Oil, Clover pellets, Corn , Cracked Corn, Custom Single Fodder Pellet, Feed Peas, Flaxmeal, Flaxseed - Brown, Hominy, Khorasan, Milo, Molasses (Liquid or Dehydrated), Navy Beans, Nonfat Dry Milk, Oats, Paprika, Peas - green/yellow, Pisingallo Corn, Rapeseed Meal, Roasted Soybeans, Rye, Screenings, Sorghum, Soybean Meal, Soybeans,  Sunflower Meal, Wheat, Wheat - Durum, Wheat- Hard Red Spring, Wheat - Hard Red Winter, Wheat - Hard White Spring, Wheat - Soft Red Winter, Wheat - Soft White Spring, Wheat Middlings, White Corn, White Flour</t>
  </si>
  <si>
    <t>Other Grains, Pastas and Cereals: Rice (By products (broken rice and rice bran), Hommali Brown (Cargo) Rice, Hommali Rice (Paddy), Hommali White Rice, Red (Cargo) Rice, Red Rice (Paddy), Riceberry, Riceberry (paddy))</t>
  </si>
  <si>
    <t>Other: Ajwain, Ajwain Powder, Amaranth Flour, Amaranth/Amaranthus/Thotakura, Amla, Amla Powder, Annatto, Arhar Dal (Red Gram/Pigeon Pea), Arjun Powder (Terminalia Arjuna), Arrow Root, Arrowroot Powder, Ashwagandha, Ashwagandha Powder, Ashwagandha TBC, Asparagus Racemosus (Shatawar), Bajra Flour/Atta, Basil (Ocimum Sanctum), Bay Leaf, Bay Leaf Powder, Bengal Gram Whole, Bengal Gram(Chana)Flour, Black Cumin, Black Cumin Powder, Black Gram/Urd (Vigna Sp.), Black Pepper, Black Pepper Powder, Black Sesame, Brahmi/Bacopa Monnieri, Brahmi/Bacopa Monnieri Powder, Brown Gram/Gram/Chana (Cier Arietinum), Brown Mustard, Cashew Whole, Centella Asiatica, Chana Dal, Chia, Chickpea/Kabuli Chana (Garbanzos), Chicory Root Powder, Chicory Roots, Chilli Whole (Dry), Chilli-Bird Eye, Cinnamon, Cinnamon (Powder), Cinnamon Bark, Clove Powder, Cloves, Cocoa Fresh, Coconut (Fresh), Coconut Oil, Coffee Powder, Coffee Robust Berry, Coriander Powder, Coriander Seed/ Whole, Cumin Powder, Cumin Whole, Curry Leaf Powder, Dried Clove, Dry Rose Petals, Fennel Powder, Fennel/Saunf, Fenugreek Powder (Methi Powder), Fenugreek Seed (Methi Seed), Flax Seed, Flax Seed Powder, Foxtail Millet, Garcinia Cambogia Powder, Garlic, Garlic Powder, Ginger Fresh, Ginger Powder, Ginger Sliced (Dried), Ginger TBC, Ginger Whole (Dried), Green Cardamom, Green Pepper-Fresh, Groundnut/Peanut, Groundnut/Peanut Oil (Edible Grade), Hibiscus Rosasinensis Powder, Jackfruit, Jaggery, Jaggery Powder, Jowar Flour, Kalonji /Nigella, Kodo/Kodon Millet, Lemongrass, Little Millet, Mace, Maize (Corn), Maize (Corn) Flake, Maize/Corn Flour, Mango Powder/ Aamchur, Masur/Masoor Dhuli, Matki/Moth Bean, Mint Powder, Moringa Leaves, Moth Dal, Mucuna Pruriena Powder, Mustard, Mustard Seeds-Yellow, Nutmeg Mace (Dried), Nutmeg Mace (Fresh), Nutmeg Powder, Nutmeg Whole, Onion (Powder), Onion Granules, Papaya (C.papaya), Pearl Millet/Bajra, Pepper Long/Pippali (Piper Longum), Pineapple, Pippali Powder-Piper Longum, Proso Millet, Psyllium Husk (Isobgul), Psyllium Husk Powder, Psyllium Seed (Isobgul), Psyllium Seed Powder, Quinoa, Ragi (Finger Millet- Other Than Seed), Ragi Flour, Ragi/Finger Millet Grain, Raisins/Kismis, Rambutan, Red Chilli (Whole) Dried, Red Chilli Powder, Red Gram, Red Kidney Beans/Rajma (Phaseolus Vulgaris), Red Rice, Rice Flour, Robusta Coffee - Cherry, Saffron, Sarsaparilla Root / Anantmool Root / Hemidesmus Indicus Root, Sawan/Barnyard Millet, Senna Leaves Powder, Sesame Oil/Gingelly Oil, Shatavari Powder, Sorghum, Sorghum Flour, Sugar, Sugar (Brown/Natural), Suji/Semolina/Cream of Wheat, Sunflower Oil; Edible Grade, Tamarind/Imli (T.indica), Terminalia Arjuna, Terminalia Bellirica Powder, Tinospora Cordifolia (Guruchi), Triphala Powder, Turmeric Dried, Turmeric Fresh, Turmeric Powder, Turmeric TBC, Turmeric Whole-Dried, Urad Dal Split, Virgin Coconut Oil, Wheat, Wheat Flour, White Pepper, Yellow Mustard Powder/Ground</t>
  </si>
  <si>
    <t>Other Grains, Pastas and Cereals: Rice (Black Jasmine Rice [Steamed Rice/Cooked Rice], Thai Black Jasmine Surin Rice, Thai Black Rice, Thai Black Sticky Rice, Thai Brown Jasmine Rice (Thai Brown Hommali Rice), Thai Brown Jasmine Rice [Steamed Rice/Cooked Rice], Thai Jasmine Rice (Hommali Rice) [Steamed Rice/Cooked Rice], Thai Jasmine Rice (Thai Hommali Rice), Thai Red Jasmine Rice (Thai Red Hommali Rice), Thai Red Sticky Rice, Thai Riceberry Rice, Thai White Sticky Rice)</t>
  </si>
  <si>
    <t>Other Grains, Pastas and Cereals: Wheat; Fruits/Vegetables: Peas; Other: Barley, Corn, Corn for silage, Flaxseed, Millet, Rapeseed, Sunflower</t>
  </si>
  <si>
    <t>Animal Feed: Fodder (Straw), Livestock Feed (Agri-Linc Organic Calf Starter/Grower), Livestock Feed (Barley (Roasted, raw)), Livestock Feed (Canola Meal), Livestock Feed (Corn (Roasted, raw, ground)), Livestock Feed (Ext Corn Organic Calf Starter 2729ORG), Livestock Feed (Field Peas), Livestock Feed (Hay), Livestock Feed (NRG Organic), Livestock Feed (NRG Organic BPC 60), Livestock Feed (Nutra Fat), Livestock Feed (Oats), Livestock Feed (Organic Palmitic Acid), Livestock Feed (Soybean Meal), Livestock Feed (Soybeans (Roasted, raw)), Livestock Feed (Soyhulls), Livestock Feed (VZM Extruded Organic Calf Grower), Livestock Feed (VZMorg8); Other: Brokering Livestock Feed and Bulk Organic Grains, Distributing Livestock Feed and Bulk Organic Grains, Grinding Organic Grains, Labeling Organic Livestock Feed, Packaging Organic Livestock Feed, Roasting Organic Grains, Storing Dry Organic Ingredients</t>
  </si>
  <si>
    <t>Other Grains, Pastas and Cereals: Oats (Regular Rolled Oatmeal), Wheat (Hard Red Spring Wheat Berries); Nuts/Seeds: Gold Flaxseed; Dry/Baking Goods: Flours and Meals (Brown Flaxseed), Flours and Meals (Buckwheat Flour), Flours and Meals (Gold Flax Meal), Flours and Meals (Graham Flour), Flours and Meals (White Flour), Flours and Meals (Whole Rye Flour), Flours and Meals (Whole Wheat Flour)</t>
  </si>
  <si>
    <t>Trees/Whole Plant Products/Flowers: Flowers (Osmanthus Dried Flower, Calendula Flowers, Calendula Petals, Chamomile Flowers, Cornflower Petals, Elderflowers, Hibiscus Cut, Hibiscus Flower Crushed, Hibiscus Flowers, Hops Flower, Lavender Flower, Linden Flower, Rose Petals, Rose Petals (Red), Yarrow Flower); Processed  Items: Dehydrated Foods (Pomegranate Powder), Dehydrated Foods (Acai Berry Powder, Apple Pieces, Avocado Dried, Avocado Powder, Banana Dried, Banana Powder, Barley Grass Powder, Broccoli Powder, Chamomile Powder, Chlorella Powder, Coconut Chips, Coconut Chips Roasted, Coconut Dessiccated, Coconut Jaggery, Dehydrated Golden Berries, Mango Powder, Papaya Dehydrated, Papaya Powder, Pineapple Coarse Cut, Pineapple Powder, Spinach Powder, Spirulina Powder, Tomato Powder, Vanilla Powder, Wheat Grass Powder); Preservatives/Extracts/Flavors: Extracts (Black Fungus Extract, Chaga Extract, Cordyceps Militaris Extract, Green Honeybush Extract, Green Rooibos Extract, Honeybush Extract, Lion's Mane Extract, Maitake Extract, Oyster Mushroom Extract, Reishi Extract, Rooibos Extract, Shiitake Extract, Turkey Tail Extract), Herbs (Alfalfa Leaf, Asparagus/Shatavari, Asparagus/Shatavari Powder, Asparagus/Shativari Root, Astragalus Root, Astragalus Root Powder, Bacopa/Brahmi Powder, Basil/Tulsi Leaf, Bay Leaves, Bergamot, Black Cohosh, Bladderwrack Powder, Burdock Root, Burdock Root Powder, Catnip/Catmint, Coleus Root, Comfrey Leaf, Comfrey Root, Coriander Powder, Coriander Seed, Coriander/Cilantro Leaf, Dandelion, Dandelion Leaf, Dandelion Root, Dill Leaf, Dill Seed, Dong Quai, Echinacea Tops, Echinacea Whole Plant, Elderberries, Eucalyptus Leaf, Goji Berries, Goji Berry Juice Powder, Golden Tips, Gotu Kola, Gotu Kola Coarse Cut, Gotu Kola Leaf, Gotu Kola Powder, Green Honeybush, Green Rooibos, Honeybush, Horsetail Herb, Lemon Balm Herb, Lemon Myrtle, Lemon Peel, Lemon Peel Powder, Lemon Verbena Herb, Lemongrass Coarse Cut, Lemongrass Cut, Lemongrass Herb, Lemongrass Powder, Lemongrass TBC, Lime Peel, Liquorice Powder, Liquorice Root, Liquorice Root Powder, Lucuma Powder Raw, Maca Powder, Maca Powder Raw, Mace, Mace Powder, Marjoram Leaf, Marshmallow Root, Moringa Leaves Coarse Cut, Moringa Leaves Fine Cut, Moringa Powder, Motherwort Herb, Mucuna Powder, Neem Leaf, Nigella Seed, Oak Bark, Orange Peel Powder (Sweet), Orange Peel Sweet, Oregano Leaf, Paprika Powder, Red Clover Rubbed or Whole, Rhubarb Root (Official), Rhubarb Root/Turkish Powder, Rooibos, Rosehip Shells, Rosehip Whole, Rosemary Herb, Sage Leaf, Scullcap Herb, Senna Leaf, Senna Pod, Siberian Ginseng Root, Slippery Elm Bark Powder, Soapnut Shells, Spearmint Leaf, St Marys Thistle Powder, St Marys Thistle Seed, Thyme Leaf, Valerian Root Cut, Vervain Herb, Wormwood Herb, Yerba Mate Leaf), Spices (Turmeric Powder 2% Curcumin, Turmeric Powder 5% Curcumin), Spices (All Spice Powder, Aniseed, Arjuna Powder, Ashwaganda Root, Ashwaganda Root Powder, Black Cumin, Black Pepper Powder, Black Pepper Whole, Black Peppercorns, Camu Camu Powder, Camu Camu Powder Raw, Cardamom Fine Cut, Cardamom Pods, Cardamom Powder, Cayenne Pepper Powder, Chilli Dried, Chilli Flakes, Chilli Powder, Chilli Whole, Cinnamon, Cinnamon Bark, Cinnamon Broken, Cinnamon Chips, Cinnamon Fine Cut, Cinnamon Powder, Cinnamon Quilling, Cinnamon Quills 3", Cinnamon Sticks, Cinnamon TBC, Clove Buds Whole, Cloves Coarse Cut, Cloves Fine Cut, Cloves Powder, Cloves TBC, Cumin Seed (Ground), Curry Leaf, Curry Leaves Powder, Curry Powder, Fennel Seed, Fennel Seed Powder, Fenugreek Seed, Garcinia, Garcinia Powder, Garlic Granules, Ginger, Ginger Coarse Cut, Ginger Fine Cut, Ginger Powder, Ginger Root, Ginger TBC, Onion Flakes, Onion Powder, Star Anise, Turmeric, Turmeric Coarse Cut, Turmeric Powder, Turmeric TBC, Vanilla Bean, Vanilla Coarse Cut, Vanilla Pods Fine Cut, White Pepper, White Pepper Powder, White Peppercorns); Other Grains, Pastas and Cereals: Oats (Oats (Straw)), Psyllium Husk, Psyllium Husk Powder; Oils &amp; Oleoresins: Oils (Coconut Oil); Nuts/Seeds: Nutmeg Powder, Nutmeg Whole, Seeds (Celery Seed, Evening Primrose Seeds, Hemp Seed, Linseed, Mustard Seed (Black), Psyllium Seed, Psyllium Seed Powder, Pumpkin Seed/Pepitas (Black), Pumpkin Seed/Pepitas (Green)); Fruits/Vegetables: Berries (Amla Berry, Chaste Tree Berries, Schisandra Berry), Vegetables (Celery Leaf); Dry/Baking Goods: Sugar (Coconut Sugar, Panela Sugar); Condiments and Sweeteners: Sweeteners (Erythritol, Stevia, Steviol Glycoside RA20%-RA99.8%); Chocolate Goods: Cacao Butter, Cacao Nibs, Cocoa Beans, Cocoa Beans Roasted, Cocoa Chips Dried, Cocoa Coarse Cut, Cocoa Nibs Fine Cut, Cocoa Nibs Raw, Cocoa Paste, Cocoa Powder, Cocoa Shells, Cocoa TBC; Beverage Related Products: Coffee (Coffee, Coffee Bean Tea Bag Cut, Coffee Beans), Juice (Lemon Juice NFC), Juice (Ginger Juice), Tea (Assam Black Tea, Black Tea, Black Tea Powder, Brown Rice Tea, CTC Tea, Dark Tea, Garcinia Teabag Cut, Green Tea, Green Tea Powder, Jasmine Tea (White, Green, Black, Oolong), Mango Teabag Cut, Matcha Tea, Nutmeg Teabag Cut, Oolong Tea, Orthodox Tea, Pineapple TBC, Pu'erh Tea, Rose Tea (Black Tea), Tea Lapsang Souchong, White Tea, Yellow Tea)</t>
  </si>
  <si>
    <t>Health Products: Organic Long Grain Brown Rice (in-process), Supplements (Red Yeast Rice (Non-Allergenic) (in-process)), Supplements (Red Yeast Rice (Non-Allergenic) (non-retail)), Supplements (Red Yeast Rice (Soy) (in-process)), Supplements (Red Yeast Rice (Soy) (non-retail)), Supplements (Red Yeast Rice (Sunflower) (in-process)), Supplements (Red Yeast Rice (Sunflower) (non-retail))</t>
  </si>
  <si>
    <t>Trees/Whole Plant Products/Flowers: Handling: Trees; Other Grains, Pastas and Cereals: Handling: Grains</t>
  </si>
  <si>
    <t>Alcohol: Rectified ethyl alcohol (Rectified ethyl alcohol «Alfa» (rye),
Rectified ethyl alcohol «Alfa» (wheat),
Rectified ethyl alcohol «Alfa» (spelt),
Rectified ethyl alcohol «Lux» (barley),
Grain distillate Dried Distillers Grains [ 40% protein)</t>
  </si>
  <si>
    <t>Processed  Items: Chop dates with rice flour, Japonica (Round, Arborio, Sushi, Calrose, Risotto, Short Grain) Brown Rice; Other Grains, Pastas and Cereals: Rice (Basmati Parboiled 1121 Rice), Rice (Basmati White Rice 1121), Rice (Blend of long grain brown rice and red rice (Himalayan natural blend)), Rice (1121 Basmati Brown Parboiled Rice), Rice (1121 Basmati Steam Rice), Rice (Raw basmati rice), Rice (Raw long grain rice), Rice (Red / Pink Rice Japonica), Rice (Red / Pink Rice Long Grain), Rice (Red/ Pink Rice Basmati), Rice (Rice basmati brown), Rice (Rice Basmati parboiled brown), Rice (Rice Basmati white), Rice (Rice Broken Basmati Brown), Rice (Rice Broken Basmati Parboiled), Rice (Rice Broken Basmati White), Rice (Rice Broken Long grain Brown), Rice (Rice Broken Long grain Parboiled), Rice (Rice Broken Long grain White), Rice (Rice flour), Rice (Rice long grain brown), Rice (Rice long grain white), Rice (Rice medium grain), Rice (Japonica (Round, Arborio, Sushi, Calrose, Risotto, Short Grain) Brown Rice Broken), Rice (Japonica (Round, Arborio, Sushi, Calrose, Risotto, Short Grain) White Rice), Rice (Japonica (Round, Arborio, Sushi, Calrose, Risotto, Short Grain) White Rice Broken), Rice (Long grain broken rice), Rice (Long grain parboiled rice), Wheat (Wheat), Wheat (Wheat (Khorasan)); Nuts/Seeds: Sesame seed; Fruits/Vegetables: Chopped dates, Dates, Dates (with stone), Dates pitted; Condiments and Sweeteners: Dates syrup; Bread/Bakery/Snacks: Wheat (Wheat Flour); Other: 1121 Paddy Basmati, Paddy (basmati), Paddy (long grain), Paddy (medium grain), Paddy (Round grain)</t>
  </si>
  <si>
    <t>Other Grains, Pastas and Cereals: Bran, Husks, Rice (Rice), Rice (Broken Rice), Rice (Brown rice flour)</t>
  </si>
  <si>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Oils (Borage oil), Oils (Evening primrose oil), Oils (Flax seed oil), Oils (Hemp seed oil), Oils (Perilla seed oil), Oils (Pumpkin seed oil), Oils (Rapeseed oil), Oils (Sesame oil), Oils (Soybean oil), Oils (Sunflower oil), Oils (Watermelon seed oil), Oils (Milk thistle oil); Fruits/Vegetables: Apple, Beans (Black kidney bean), Beans (Black soybean (Also called: Black soybean with yellow kernel; Black soybean with green kernel)), Beans (Mung bean), Beans (Pinto bean), Beans (Red kidney bean), Beans (Soybean), Beans (Adzuki bean), Beans (White kidney bean), Beet root, Ginger, Turmeric; Dry/Baking Goods: Flours and Meals (Buckwheat flour), Flours and Meals (Wheat flour); Animal Feed: Livestock Feed (Borage meal), Livestock Feed (Evening primrose meal), Livestock Feed (Flax meal), Livestock Feed (Hemp seed meal), Livestock Feed (Pumpkin meal), Livestock Feed (Sesame meal), Livestock Feed (Soybean cake), Livestock Feed (Soybean meal), Livestock Feed (Sunflower meal)</t>
  </si>
  <si>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Beans (Sesame oil), Oils (Soybean oil), Oils (Sunflower oil), Oils (Milk thistle oil), Oils (Borage oil), Oils (Evening primrose oil), Oils (Flax seed oil), Oils (Hemp seed oil), Oils (Rapeseed oil); Fruits/Vegetables: Apple, Beans (White kidney bean), Beans (Adzuki bean), Beans (Black kidney bean), Beans (Black soybean (Also called: Black soybean with yellow kernel; Black soybean with green kernel)), Beans (Mung bean), Beans (Pinto bean), Beans (Red kidney bean), Beans (Soybean), Beet root, Turmeric; Dry/Baking Goods: Flours and Meals (Buckwheat flour), Flours and Meals (Wheat flour); Animal Feed: Livestock Feed (Borage meal), Livestock Feed (Evening primrose meal), Livestock Feed (Flax meal), Livestock Feed (Hemp seed meal), Livestock Feed (Sesame meal), Livestock Feed (Soybean cake), Livestock Feed (Soybean meal), Livestock Feed (Sunflower meal)</t>
  </si>
  <si>
    <t>Other Grains, Pastas and Cereals: Fine Cracked Rye, Wheat (Extra Fine Cracked Hard Red Wheat); Dry/Baking Goods: Flours and Meals (Spring Whole Wheat Flour, Spring Wheat Flour, Pastry Flour), Vital Wheat Gluten; Condiments and Sweeteners: Sugar (Cane Sugar)</t>
  </si>
  <si>
    <t>Nuts/Seeds: Chia Seed, Cocoa Beans, Tarwi Debittered Dehydrated, Tarwi Seed, Tarwi Selected Grain; Dry/Baking Goods: Amaranth Instant Flour (Powder), Banana Powder, Beet Powder, Camu Camu Powder, Cocoa Powder, Cocoa Powder, Gelatinized Purple Corn Powder, Instant Black Maca Powder, Instant Chia Powder, Instant Maca Powder, Instant Tarwi Powder, Raw Lucuma Powder; Chocolate Goods: Cocoa Nibs</t>
  </si>
  <si>
    <t>Other Grains, Pastas and Cereals: Pearl millet / Bajra, Sorghum; Oils &amp; Oleoresins: Coconut Oil; Fruits/Vegetables: Coriander leaves, Fenugreek, Indian Curry Leaves,; Condiments and Sweeteners: Jaggery; Other: Ajwain, Basmati Rice, Basmati White Rice, Bay lea, Biryani Rice, Black Pepper, Black Pepper Powder, Brown Rice, Brown Rice Tikka Masala, Butter chicken simmer sauce, Chat Masala, Chicken korma simmer sauce, Chickpea Curry, Chilli Flakes, Chilli Whole , Chipotle Chickpeas Curry, Cilantro Long Grain White Rice, Cinnamon , Clove Whole, Coconut milk, Coconut Rice, Coriander, Coriander Powder, Cumin Powder, Cumin Rice, Cumin Whole, Curry, Curry Leaf powder, Curry paste, Curry Powder, DAHL Black gram, Dahl Red Lentil, Dried Fenugreek leaves powder, Dried Fenugreek leaves, Fennel Powder, Fennel/ Saunf, Fenugreek powder (Methi powder), Fresh Turmeric Paste, Fresh turmeric with ginger and black pepper, Garam Masala, Garam Masala powder, Garlic Flakes, Garlic paste , Garlic Powder, Ginger Garlic Paste, Ginger paste, Ginger Powder, Indian Chickpeas Curry, Kashmiri chilli, Kashmiri Chilli Powder, Kasuri Methi, Kasuri methi Powder, Kerala coconut curry simmer sauce, Keralan Curry Sauce, Keralan Sweet Coconut curry, Lemon basmati rice ( Basmati rice with lemon), Lemon juice, Lemon Rice, Long grain basmati rice, Long Grain White Rice with Brown Lentils, Madras Curry Simmer Sauce, mango powder/ aamchur, Mixed Seasonings, Nutmeg Powder, Onion Flakes, Onion Powder, Organic Black Gram and Red Kidney Beans Curry, Organic Long Grain Brown Rice, Plain Basmati Rice, Red Chili Powder, Red Chilli Whole, Red Kidney beans curry , Red Lentils Curry, Red Rice, Rice flour, Rice porridge/dalia, Rogan josh simmer sauce, Saffron rice, Smoky chipotle chickpeas curry , Sweet and Sour Lentils with Chickpeas Curry, Tikka masala Cashew curry, Tikka Masala Chickpeas Curry, Tikka masala simmer sauce, Tomato Pulp, Turmeric coconut basmati rice (Basmati rice with turmeric and coconut), Turmeric Paste , Turmeric paste with black pepper, Turmeric paste with ginger, Turmeric Powder, Turmeric Whole Dried, urad dal/split black gram, White Pepper, Yellow Lentils Curry, Yellow Lentils with Chickpeas Curry</t>
  </si>
  <si>
    <t>Other: 3-Minute Meal, Amaranth Seed/Ram Dhana (Rajgira), Black Pepper, Cardamom (Large) Black, Carrots, Carrot (Fresh /Frozen), Celery, Chickpea Tikka Masala, Cinnamon dried, Cloves, Clove (whole), Coconut Chickpea &amp; Turmeric Curry, Coriander Seed, Cowpea, Cowpea (Chavali), Cumin Powder, Cumin whole, Dehyadrated Onion Powder, Dried curry leaves, Fennel, Saunf, Fenugreek Crushed, Garam Masala, Garlic Granules, Ginger Flakes, Ginger Fresh, Ginger whole dried, Gram Flour / Besan, Green Cardamom, Green chilli frozen, Kabuli Chana, Lemon juice, Lemons Fresh, Madras Lentils, Masoor (Lens Culinaris), Masoor Dal, Mustard Seed, Mustard Whole, Onion Flakes, Onions Fresh, Kanda, Organic Ancient Grains, Organic Basmati Rice, Organic Basmati Rice White, organic brown pusa basmati rice, Organic Brown Rice, Organic Brown Rice &amp; Lentil, Organic Brown Rice with quinoa Lentils, Organic Brown Traditional Basmati Rice, Organic Coconut Rice, Organic Coconut Sqaush Dal, Organic Cuban Style Rice &amp; Bean, Organic Dehydrated Garlic Flakes, Organic Garlic Brown Rice, Organic Garlic Powder, Organic Jaggery Powder, Organic Madras lentil -3 Bean, Organic Non-Basmati Long Grain Rice (White &amp; Brown), Organic Smoky Chipotle Rice, Organic Spiced Pumpkin Curry, Organic Sticky Rice, Organic Tandoori Rice, Organic Thai Lime Rice, Organic Tomato Paste, Aseptic Tomato Paste, Organic Turmeric Extract, Parboiled Basmati Rice (White &amp; Brown), Parboiled Rice (Non-Basmati Parboiled Rice White &amp; Brown), Pearl Millet/ Bajra, Potatoes (Sweet), Pumpkins chilled, Pumpkins Fresh, Ragi /Finger Millet, Raisins/ Kismis, Raw cashew nut Kernels, Red chilli Flakes, Red Chilli Powder, Red Kidney Bean/ Rajma, Sorghum, Spinach/ Palak (Fresh and frozen), Split Pea Turmeric Curry, Split Pigeon pea/Arhar/Red gram, Sweet corn kernels (Frozen), Sweet Potato Korma, Tomatoes Fresh, Frozen, Toor dal /Tur, Turmeric Rice, Urad Black gram (Black Lentils), Watermelons seed, Wheat</t>
  </si>
  <si>
    <t>Other Grains, Pastas and Cereals: Noodles (Noodles, Fresh)</t>
  </si>
  <si>
    <t>Other Grains, Pastas and Cereals: Rice (Broken Thai Hom Mali Rice, Color sorted Thai Hom Mali Rice)</t>
  </si>
  <si>
    <t>Processed  Items: Seeds (cleaning, conditioning, bagging, labeling, and sale of organic seeds (soybeans and small grains))</t>
  </si>
  <si>
    <t>Other: Barley (Baby Pearl), Barley (Pressed), Barley (Whole), Barley (Whole, Pearl, &amp; Flakes), Beans (Adzuki), Beans (Black), Beans (Black Soybeans with Yellow Kernels), Beans (Black with Green Kernels), Beans (Garbanzo), Beans (Kidney), Beans (Mixed), Beans (Mung), Beans (Pinto), Beans (Soybeans), Brazil Nuts (Brazil Nuts, Raw, Bulk), Brazil Nuts (Brazil Nuts, Roasted (Nonretail)), Cacao Nibs (Cacao Nibs, Raw, Bulk), Cacao Nibs (Cacao Nibs, Roasted, Bulk), Chestnuts (Peeled Roasted Chestnut), Dried Fruits (Apricots), Dried Fruits (Blueberries), Dried Fruits (Cherries), Dried Fruits (Cranberries), Dried Fruits (Dates), Dried Fruits (Prunes), Dried Fruits (Raisins), Grains (Lentils, Various), Grains (Mixed), Grains (Quinoa, Various), Nuts (Almonds, Raw), Nuts (Almonds, Roasted and Raw), Nuts (Cashews, Roasted and Raw), Nuts (Macadamia), Nuts (Pecans), Nuts (Pistachios, Roasted and Raw), Nuts (Sacha Inchi, Raw (Nonretail)), Nuts (Sacha Inchi, Roasted (Nonretail)), Nuts (Walnuts, Raw), Repacking (Client Profile Products only) (Nuts, Grains, Dried Foods (Retail)), Rice (Brown), Rice (Brown), Rice (Short Grain), Rice (Short Grain (White)), Rice (Sweet), Rice (Sweet), Rice (Sweet Brown), Rice (Sweet Brown), Seeds (Chia), Seeds (Sunflower Kernels, Raw), Trail Mix (Mixed Nuts &amp; Dried Fruits, Roasted and Raw)</t>
  </si>
  <si>
    <t>Other: Cambodian Organic Long Grain Brown Parboiled rice, Cambodian Organic Long Grain Parboiled rice SPP Fairtrade</t>
  </si>
  <si>
    <t>Processed  Items: Cereal (Bran); Other Grains, Pastas and Cereals: Wheat (Cleaned Whole Wheat); Dry/Baking Goods: Flours and Meals (All Purpose Wheat Flour, Baklava- Patty flour, Biscuit-Cake-Cornet-Wafer Wheat Flour, Bread Wheat Flour, Edible All Purpose HP Wheat Flour, Edible HP Wheat Flour, Edible HP Whole Wheat Flour, Edible Wheat Flour, Edible Whole Wheat Flour, Hamburger-Sandwich- Toast Bread Flour, High Protein Wheat Flour, High Protein Whole Wheat Flour, Noodle Flour, Pizza Flour, Soft Wheat Flour, Strong Wheat Flour, White Flour, Whole Wheat Flour)</t>
  </si>
  <si>
    <t>Other: Alfalfa (Pellets), Barley, Buckwheat, Buckwheat Screenings, Canola, Canola Meal ((Rapeseed Meal)), Chia Grain, Corn, Cottonseed (Pima Cottonseed), Cottonseed (Upland Cottonseed), Cream, Dry Milk Powder (Nonfat Dry Milk), Flax, Flax (Meal), Flaxseed (Brown Flaxseed), Flaxseed (Gold Flaxseed), Flaxseed (Screenings), Flaxseed Oil, Fonio, Fonio Flour, Garbanzo Beans, Lentils, Lentils (Black), Lentils (Crimson Lentils), Lentils (French Green), Lentils (Green), Livestock Feed - Alfalfa Meal, Livestock Feed - Soybean Meal, Millet, Oats, Pre-Cooked Fonio, Quinoa, Rice Protein Concentrate, Rye, Soybean Oil, Soybeans (Feed grade), Soybeans (Food grade), Spelt, Spelt (Spelt Hulls ), Sunflower Meal, Wheat, Wheat (Durum Wheat), Whey (Sweet Whey Powder)</t>
  </si>
  <si>
    <t>Other: Seed (Amaranth), Seed (Artichoke), Seed (Arugula (Rocket)), Seed (Basil), Seed (Bean), Seed (Beet (Beetroot)), Seed (Borage), Seed (Broccoli), Seed (Brussels Sprout), Seed (Cabbage), Seed (Caraway), Seed (Carrots), Seed (Catnip), Seed (Cauliflower), Seed (Celery), Seed (Chamomile), Seed (Chervil), Seed (Chicory), Seed (Chives), Seed (Coriander/Cilantro), Seed (Corn), Seed (Corn Salad), Seed (Cucumber), Seed (Custom Blends: Beans, Lettuces, Radishes, Sunflowers, Mustards, Herbs), Seed (Dill), Seed (Eggplant (Aubergine)), Seed (Endive), Seed (Fennel), Seed (Fenugreek), Seed (Flowers (Various)), Seed (Garden Cress), Seed (Garlic Chives), Seed (Gourds), Seed (Hyssop), Seed (Kale), Seed (Kohlrabi), Seed (Lavender), Seed (Leek), Seed (Lemon Balm), Seed (Lettuce), Seed (Lovage), Seed (Marjoram), Seed (Melons), Seed (Micro Salad Greens), Seed (Mint (Peppermint, Spearmint)), Seed (Mustard), Seed (Okra), Seed (Onion), Seed (Oregano), Seed (Parsley), Seed (Peas), Seed (Peppers ( Hot, Sweet)), Seed (Pumpkin), Seed (Radish), Seed (Rosemary), Seed (Sage), Seed (Salad Burnet), Seed (Sorrel), Seed (Spinach), Seed (Squash (Summer, Winter)), Seed (Summer Savory), Seed (Swiss Chard), Seed (Tarragon), Seed (Thyme (English)), Seed (Tomatillo), Seed (Tomato), Seed (Turnip), Seed (Watercress), Seed (Watermelon), Seeds (Asparagus), Seeds (Cover Crops), Seeds (Grains), Seeds (Sunflower)</t>
  </si>
  <si>
    <t>Other: Acai (Acai Powder), Acai (Acai Powder, Freeze-Dried), Almonds (Dry Roasted), Almonds (Dry Roasted &amp; Salted Almonds (non-retail)), Almonds (Flour, Blanched), Almonds (Raw, Broken), Almonds (Whole Natural Extra Dark Grade 3 (Non-retail)), Almonds (Whole Natural Roasted Almonds), Almonds (Raw) (Mylk), Amla (Powder), Apricots (Dried) (Apricots (Dried)), Arrowroot (Arrowroot Flour), Beverage Powder (Acerola Cherry Powder), Beverage Powder (Ashwagandha Powder), Beverage Powder (Barley Grass Juice Powder), Beverage Powder (Chicory Latte), Beverage Powder (Coconut Focus Creamer - Original), Beverage Powder (Coconut Focus Creamer - Unsweetened), Beverage Powder (Coconut Water Powder Freeze Dried), Beverage Powder (Coconut Water Powder- Spray Dried), Beverage Powder (Cocotropic), Beverage Powder (Cognitive Coffee), Beverage Powder (Golden Latte), Beverage Powder (Masala Chai), Beverage Powder (Matcha Latte), Beverage Powder (Mocha Latte), Beverage Powder (Monk Fruit Powder), Beverage Powder (Moringa Powder), Beverage Powder (Mushroom Coffee), Beverage Powder (Pitaya Lemonade), Beverage Powder (Pomegranate Juice Powder), Beverage Powder (Pumpkin Spice Latte), Beverage Powder (Red Velvet Latte), Beverage Powder (Turmeric Powder), Beverage Powder (Wheatgrass Juice Powder), Black Pepper (Pepper, Ground, Black), Brazil Nuts (Brazil Nuts), Cacao (Beans), Cacao (Cacao Beans), Cacao (Cacao Paste), Cacao Butter (Cacao Butter), Cacao Nibs (Cacao Nibs), Cacao Nibs (Fermented), Cacao Nibs (Sweet Nibs), Cacao Powder (Cacao Powder), Cacao Powder (Cacao Powder), Cacao Powder (Cocoa (Cacao) Powder 10-12% fat content), Carob (Powder (Retail and Non-Retail)), Cashews (Cashew Pieces), Cashews (Cashews, Whole), Cashews (Cashews, Whole), Cashews (Dark Roasted (Non-retail)), Cashews (Dry Roasted), Cashews (Mylk (Split) Cashews), Cashews (Whole Dry Roasted Cashews), Cayenne (Pepper Powder, Cayenne), Cinnamon (Ceylon, Powder), Cinnamon (Ceylon, Powder), Cinnamon (Cinnamon Powder), Cocoa Butter (Cocoa Butter), Cocoa Powder (Wild Cocoa Powder), Coconut (Coconut Butter (non-retail)), Coconut (Coconut Shreds), Coconut (Coconut Syrup), Coconut (Coconut, Shredded, Fine, Unsweetened), Coconut (Coconut, Shredded, Medium, Unsweetened), Coconut (Coconut, Shredded, Unsweetened (non-retail)), Coconut (Dessicated Chips), Coconut (Flour), Coconut (Milk Powder), Coconut (Palm Sugar), Coconut (Toasted (Chips)), Coconut Oil (Coconut Oil,RBD), Coconut Oil (MCT Coconut Oil, Fractionated, Liquid), Coconut Oil (Virgin), Coffee (Coffee: Arabica Freeze Dried (Instant)), Cumin Seed (Cumin Seeds, Black - Nigella Sativa), Dairy Alternative (Creamy CocoCash ), Dates (Date Sugar), Dates (Date Sugar (non-retail)), Dates (Dates, Deglet Noor), Dates (Dates, Medjool), Dates (Dates, Medjool, Pitted), Dates (Dates, Medjool, Pitted (non-retail)), Dates (Dried) (Dates, Deglet-Pitted (non-retail)), Dates (Dried) (Dates, Medjool (non-retail)), Dietary Supplement (Tocos Powder), Dried Fruits (Diced Medjool Dates Chopped Brown Rice Flour Coated (non-retail)), Dried Fruits (Dried Mango Strips), Dried Fruits (Figs, Dried), Dried Fruits (Infused Dried Cranberries (Non-retail)), Dried Fruits (Mango), Dried Fruits (Mulberries), Dried Fruits (Sun Dried Apricots-Unsulphured (non-retail)), Dried Fruits (Sun-Dried White Mulberries (non-retail)), Dried Fruits (Sweetened Dried Cranberries), Extracts (Pure Vanilla), Figs (Turkish Calimyrna), Flax Seed (Brown), Flax Seed (Flax Seed, Brown, Ground), Flax Seed (Golden), Flax Seed (Ground Golden), Flour (Black Chia, Raw), Flour (Cassava Flour), Flour (Cassava Flour), Fruit Powder (Baobab), Fruit Powder (Camu Camu Powder), Fruit Powder (Elderberry - Freeze Dried), Fruit Powder (Mangosteen Powder), Fruit Powder (Maqui Powder), Fruit Powder (Maqui Powder), Fruit Powder (Noni Powder), Fruit Powder (Pitaya Powder), Garlic Powder (Garlic Powder), Ginger (Ginger Powder), Goji Berries (Goji Berries, Dried), Goji Berries (Goji Berries, Sun-Dried (non-retail)), Goldenberries (Goldenberries, Dark (Non-retail)), Goldenberries (Goldenberries, Dried), Granola (Granola, Flax - Hemp), Hemp Powder (Hemp Protein Powder), Hemp Seed (Hemp Seed), Hemp Seed (Hemp Seed, Chinese), Lucuma Powder (Lucuma Powder), Maca Powder (Black, Raw), Maca Powder (Maca Powder, Gelatinized), Maca Powder (Maca Powder, Raw), Mesquite (Mesquite Powder), Mushroom Powder (Chaga (retail and non-retail)), Mushroom Powder (Lion's Mane), Mushroom Powder (Maitake (retail and non-retail)), Mushroom Powder (Organic Cordyceps Mushroom Extract Powder), Mushroom Powder (Reishi 4:1 Extract Powder), Mushroom Powder (Shiitake), Mushroom Powder (Wild Shroom-Master Blend), Mushrooms (Lion's Mane Mushroom Extract), Oats (Oats, Rolled, Gluten Free), Oats (Oats, Rolled, Quick, Gluten Free), Oats (Oats, Whole Grain), Peanut Butter (Peanut Butter Salted, Unsweetened (non-retail)), Pecans (Dry Roasted Salted Large Pieces (non-retail)), Pecans (Raw Mammoth Halves), Powder (Aronia Powder, Freeze-Dried), Powder (Beet Juice), Powder (Blue Spirulina), Powder (Butterfly Pea), Powder (Chlorella), Powder (Guarana Powder), Powder (Half &amp; Half), Powder (Matcha), Powder (MCT), Powder (MCT Oil), Powder (Phycocyanin Powder), Powder (Psyllium Husk), Powder (Sacha Inchi), Powder (Triphala), Protein Supplement (Brown Rice Protein Powder), Protein Supplement (Chocolate Powder), Protein Supplement (Deep Green Powder), Protein Supplement (Pea Protein), Protein Supplement (Turmeric Powder), Protein Supplement (Unflavored Powder), Protein Supplement (Vanilla Powder), Protein Supplement (Whey Protein), Prunes (Pitted), Pumpkin Seed (Pumpkin Seeds), Pumpkin Seed (Pumpkin Seeds, Heirloom), Pumpkin Seed (Pumpkin Seeds, Raw and Shelled), Pumpkin Seed (Roasted &amp; Salted Pumpkin Seeds), Quinoa (Quinoa, Tri-Color), Quinoa (Quinoa, Tri-Color), Quinoa (Quinoa, White), Raisins (Thompson Raisins), Rice (Rice Bran, Stabilized), Seasoned Salt (All Season Salt), Seeds (Chia Seeds, Black), Seeds (Flax Chia Superseed Blend), Seeds (Pumpkin kernels), Seeds (Sunflower Seeds), Seeds (White Chia Seeds), Sesame Seed (Hulled), Sesame Seed (Natural), Sesame Seed (Sesame Seed, Raw &amp; Hulled), Sesame Seed (Sesame Seeds, Black (Raw &amp; Unhulled)), Snack Foods (Chocolate Cherry), Snack Foods (Cinnamon Apple), Snack Foods (Mango Chips), Snack Foods (Nutty Cacao), Snack Foods (Protein Balls: Chocolate Brownie), Snack Foods (Protein Balls: Chocolate Chip Cookie Dough), Snack Foods (Protein Balls: Dessert Dates), Snack Foods (Protein Balls: Salted Caramel), Snack Foods (Salted Cranberry), Snack Foods (Super Snack Mix - Cherry Cacao), Snack Foods (Super Snack Mix - Cherry Chocolate Chip), Snack Foods (Super Snack Mix - Cinnamon Apple Crunch), Snack Foods (Super Snack Mix - Cranberry Caramel Crunch), Snack Foods (Super Snack Mix - Cranberry Cashew), Snack Foods (Super Snack Mix - Double Chocolate Chip), Spice Blends (Pumpkin Pie Spice), Spices (Cardamom Powder), Spices (Clove Powder), Spices (Nutmeg Powder-used in blends), Spirulina (Powder), Sweetener (Stevia Extract, 98%), Tapioca (Tapioca Flour), Tea (Matcha, Ceremonial Japanese MKO-A), Tea (Matcha, Culinary Japanese MKO-D), Trail Mix (Thrive), Vanilla (Powder), Vanilla Bean (Powder), Walnuts (Whole, Halves 65s, Pieces), Yacon (Dried Root Slices), Yacon (Powder)</t>
  </si>
  <si>
    <t>Other: Rice (Jasmine (Brown &amp; White)), Rice (Long Grain (Brown &amp; White)), Rice (Medium Grain (Brown &amp; White)), Rice (Rice Bran), Rice (Rice Brokens), Rice Hulls, Soybeans</t>
  </si>
  <si>
    <t>Other Grains, Pastas and Cereals: Cereal (Amaranth, Corn), Wheat (Wheat); Nuts/Seeds: Seeds (Mustard, Rapeseeds); Health Products: Herbs (Sunflower); Other: Beans (Kidney beans, Soybean)</t>
  </si>
  <si>
    <t>Other: Black Broken Rice, Black Broken Rice, Black Glutinous Broken Rice, Black Glutinous Broken Rice, Black Glutinous Rice, Black Glutinous Rice, Black Hom Mali Broken Rice, Black Hom Mali Broken Rice, Black Hom Mali Rice, Black Hom Mali Rice, Black Jasmine Broken Rice, Black Jasmine Broken Rice, Black Jasmine Rice, Black Jasmine Rice, Black Mali Broken Rice, Black Mali Broken Rice, Black Mali Rice, Black Mali Rice, Black Rice, Black Rice, Color defected rice, Color defected rice, Glutinous Brown Broken Rice, Glutinous Brown Broken Rice, Glutinous Brown Rice, Glutinous Brown Rice, Glutinous White Broken Rice, Glutinous White Broken Rice, Glutinous White Rice, Glutinous White Rice, Jasmine Brown Broken Rice, Jasmine Brown Broken Rice, Jasmine Brown Rice, Jasmine Brown Rice, Jasmine White Broken Rice, Jasmine White Broken Rice, Jasmine White Rice, Jasmine White Rice, Long Grain Brown Broken Rice (Chainat, Phitsanulok, Lueng On), Long Grain Brown Rice (Chainat, Phitsanulok, Lueng On), Long Grain Brown Rice (Chainat, Phitsanulok, Lueng On), Long Grain White Broken Rice (Chainat, Phitsanulok, Lueng On), Long Grain White Rice (Chainat, Phitsanulok, Lueng On), Mixed Rice, Mixed Rice, Red Broken Rice, Red Broken Rice, Red Jamine Broken Rice, Red Jamine Broken Rice, Red Jamine Rice, Red Jamine Rice, Red Rice, Red Rice, Rice bran: (Thai) Hom Mali White Rice, Hom Mali Brown Rice, Jasmine White Rice, Jasmine Brown Rice, Long Grain (Chainat, Phitsanulok, Lueng On) White Rice, Long Grain (Chainat, Phitsanulok, Lueng On) Brown Rice, Glutinous White Rice, Glutinous Brown Rice, Black Glutinous Rice, Red Rice, Black Rice, Riceberry, Black Jasmine Rice, Black Hom Mali Rice, Black Mali Rice, Long Grain Black Rice, Mixed Rice, Riceberry Broken Rice, Riceberry Broken Rice, Riceberry Rice, Riceberry Rice, Thai Hom Mali Brown Broken Rice, Thai Hom Mali Brown Broken Rice, Thai Hom Mali Brown Rice, Thai Hom Mali Brown Rice, Thai Hom Mali White Broken Rice, Thai Hom Mali White Broken Rice, Thai Hom Mali White Rice, Thai Hom Mali White Rice</t>
  </si>
  <si>
    <t>Other Grains, Pastas and Cereals: Rice (Brown Rice Noodles), Rice (Instant Rice Noodles), Rice (Instant Rice Vermicelli), Rice (Instant Whole Grain Rice Noodles), Rice (Instant Whole Grain Rice Vermicelli), Rice (Mihoen Rice Vermicelli), Rice (Rice Noodles), Rice (Rice Pasta Fusilli), Rice (Rice vermicelli), Rice (White Rice Noodle), Rice (Whole Grain Rice Noodles), Rice (Whole Grain Rice Pasta Fusilli), Rice (Whole Grain Rice Vermicelli)</t>
  </si>
  <si>
    <t>Processed  Items: Banana dehydrated, Banana dehydrated, Camu Camu Powder, Camu Camu Powder, Hemp Protein Powder, Hemp Protein Powder, Kiwi (Actinidia chinensis) - dried, Kiwi (Actinidia chinensis) - dried, Maca dried, Maca dried, Pea Protein, Pea Protein, Peas, Protein, Peas, Protein, Pumpkin Kernel Protein Powder, Pumpkin Kernel Protein Powder, Pumpkin Protein Powder, Pumpkin Protein Powder, Reishi (Ganoderma lucidum), Powder / Extract, Reishi (Ganoderma lucidum), Powder / Extract, Rice Bran Oil, Rice Bran Oil, Rice Protein, Rice Protein, Sea Buckthorn Juice Powder, Sea Buckthorn Juice Powder, Sunflower Protein, Sunflower Protein, Sunflower Protein Powder, Sunflower Protein Powder, White Quinoa Powder, White Quinoa Powder, Cereal (Black quinoa flakes, Black quinoa flakes, Black Quinoa Powder, Black Quinoa Powder, Buckwheat Groats, Buckwheat Groats, Corn Chop (Corn Ballast), Corn Chop (Corn Ballast), Dehydrated precooked black quinoa, Dehydrated precooked black quinoa, Dehydrated precooked red quinoa, Dehydrated precooked red quinoa, Dehydrated precooked tricolor quinoa, Dehydrated precooked tricolor quinoa, Dehydrated precooked white quinoa, Dehydrated precooked white quinoa, Hommali rice bran, Hommali rice bran, Lucuma Powder, Lucuma Powder, Puffed Corn, Puffed Corn, Puffed Soybean, Puffed Soybean, Pumpkin seed Shineskin Kernel, Pumpkin seed Shineskin Kernel, Quinoa Flakes, Quinoa Flakes, Red quinoa flakes, Red quinoa flakes, Red quinoa pop, Red quinoa pop, Red Quinoa Powder, Red Quinoa Powder, Rice bran, Rice bran, Rice bran meal, Rice bran meal, White quinoa flakes, White quinoa flakes, White quinoa pop, White quinoa pop), Dehydrated Foods (Alfalfa, Alfalfa, Goji Berry, Dried, Goji Berry, Dried, Goji Berry, Powder, Goji Berry, Powder, Goji powder, Goji powder, Pineapple dehydrated, Pineapple dehydrated), Powders (Spirulina powder, Spirulina powder), Purees (Sea Buckthorn Puree, Sea Buckthorn Puree); Preservatives/Extracts/Flavors: Extracts (Chaga Mushroom Powder Extract, Chaga Mushroom Powder Extract, Fennel Seed Powder/Extract Powder, Fennel Seed Powder/Extract Powder, Ginger Extract, Ginger Extract, Pomegranate Seed Extract, Pomegranate Seed Extract); Other Grains, Pastas and Cereals: Barley (Barley, Barley), Cereal (Amaranth, Amaranth, Coix Seed Kernel (Job's tear kernel), Coix Seed Kernel (Job's tear kernel), Corn, Corn, Corn Cob, Corn Cob, Cracked Corn, Cracked Corn, Hulled Millet, Hulled Millet, Hulled Millet (Non-Sticky Millet), Hulled Millet (Non-Sticky Millet), Job's tear (Coix seed), Job's tear (Coix seed), Millet, Millet, Millet Husk, Millet Husk, Sticky Millet, Sticky Millet), Oats (Oat, Oat, Oat Kernel, Oat Kernel), Quinoa (Bicolor Quinoa, Bicolor Quinoa, Black quinoa, Black quinoa, Black quinoa, Black Quinoa Grains, Black quinoa, Black Quinoa Grains, Quinoa black, Quinoa black, Quinoa red, Quinoa red, Quinoa white, White Quinoa Grains, Quinoa white, White Quinoa Grains, Red Quinoa and Jasmine Brown Rice , Red Quinoa and Jasmine Brown Rice , Red quinoa, Red quinoa grains, Red quinoa, Red quinoa grains, Tri Color Quinoa, Tri Color Quinoa, White Quinoa and Riceberry Rice , White Quinoa and Riceberry Rice), Rice (Black Rice, Black Rice, Broken Rice, Broken Rice, Glutinous Rice, Glutinous Rice, Hom Mali Paddy Rice, Hom Mali Paddy Rice, Multi Rice Grains, Multi Rice Grains, Ready To Eat Hommali Brown Rice with Red Quinoa (Nutriris Easy Brand), Ready To Eat Hommali Brown Rice with Red Quinoa (Nutriris Easy Brand), Ready To Eat Hommali Rice with Red Quinoa (Nutriris Easy Brand), Ready To Eat Hommali Rice with Red Quinoa (Nutriris Easy Brand), Ready To Eat Riceberry Rice with White Quinoa (Nutriris Easy Brand), Ready To Eat Riceberry Rice with White Quinoa (Nutriris Easy Brand), Rice Berry Paddy, Rice Berry Paddy, Rice Berry Semi-Milled, Rice Berry Semi-Milled, Riceberry paddy, Riceberry paddy, Riceberry rice broken , Riceberry rice broken , Thai Cargo Black Rice / Rice Berry, Thai Cargo Black Rice / Rice Berry, Thai Cargo Hom Mali Broken Rice, Thai Cargo Hom Mali Broken Rice, Thai Cargo Hom Mali Rice 15% / Thai Hom Mali Brown Rice 15%, Thai Cargo Hom Mali Rice 15% / Thai Hom Mali Brown Rice 15%, Thai cargo hom mali rice/Brown jasmine rice, Thai cargo hom mali rice/Brown jasmine rice, Thai Cargo Red Broken Rice, Thai Cargo Red Broken Rice, Thai Cargo Red Rice / Thai Cargo Red Hom Mali Rice, Thai Cargo Red Rice / Thai Cargo Red Hom Mali Rice, Thai Germinated Hom Mali Rice /Thai Gaba Hom Mali, Thai Germinated Hom Mali Rice /Thai Gaba Hom Mali, Thai Hom Mali Broken Rice, Thai Hom Mali Broken Rice, Thai Hom Mali Green Colors / Thai Hom Mali Young Rice, Thai Hom Mali Green Colors / Thai Hom Mali Young Rice, Thai Hom Mali Semi-Milled, Thai Hom Mali Semi-Milled, Thai Long Grain Fragrant Rice Hom Mali / Thai Hom Mali Rice Milled / White Jasmine Rice, Thai Long Grain Fragrant Rice Hom Mali / Thai Hom Mali Rice Milled / White Jasmine Rice, Thai Sticky Rice, Thai Sticky Rice, Tri color rice, Tri color rice, White Sticky Paddy Rice, White Sticky Paddy Rice), Sorghum (Sorghum kernel, Sorghum kernel), Wheat (Buckwheat, Buckwheat, Buckwheat Kernels, Buckwheat Kernels, Buckwheat Kernels (Hulled Buckwheat), Buckwheat Kernels (Hulled Buckwheat), Roasted Buckwheat Kernel, Roasted Buckwheat Kernel, Wheat, Wheat, Wheat Bran, Wheat Bran, Wheat Bran (Wheat gluten), Wheat Bran (Wheat gluten)); Oils &amp; Oleoresins: Oils (Flax Oil, Flax Oil, Hemp Seed Oil, Hemp Seed Oil, Peanut Oil, Peanut Oil, Pumpkin Seed Oil, Pumpkin Seed Oil, Rapeseed Oil, Rapeseed Oil, Sacha Inchi Oil, Sacha Inchi Oil, Sea Buckthorn Oil, Sea Buckthorn Oil, Sea Buckthorn Pulp Oil, Sea Buckthorn Pulp Oil, Sesame Oil, Sesame Oil, Soybean Oil, Soybean Oil, Sunflower Oil, Sunflower Oil); Nuts/Seeds: Brazil Nut (Brazil nut, Brazil nut, Brazil nut - fresh, Brazil nut - fresh), Nuts (Peeled Roasted Chestnuts, Peeled Roasted Chestnuts, Roasted Chestnuts, Roasted Chestnuts, Roasted Shelled Chestnuts, Roasted Shelled Chestnuts), Peanuts (Peanut, Peanut, Peanut kernel, Peanut kernel), Pecans (Pecan Inshelled, Pecan Inshelled), Pine Nuts (Pinenut kernel, Pinenut kernel), Seeds (Black Chia/chia seed, Black Chia/chia seed, Flax brown, Flax brown, Flax Cake (Flax meal), Flax Cake (Flax meal), Flax golden, Flax golden, Flax Seed, Flax Seed, Flax Seed Protein, Flax Seed Protein, Flaxseed cake, Flaxseed cake, Hemp Seed, Hemp Seed, Hulled / Shelled Hemp Seed (Hemp Kernel / Hearts), Hulled / Shelled Hemp Seed (Hemp Kernel / Hearts), Hulled Hempseed, Hulled Hempseed, Pumpkin kernels, Pumpkin kernels, Pumpkin seed (Shine Skin), Pumpkin seed (Shine Skin), Pumpkin seed Grown without shell, Pumpkin seed Grown without shell, Pumpkin seeds, Pumpkin seeds, Rapeseed , Rapeseed , Roast Pumpkin, Roast Pumpkin, Roast Sunflower, Roast Sunflower, Sacha inchi (Plukenetia volubilis) - fresh, Sacha inchi (Plukenetia volubilis) - fresh, Sunflower Kernels, Sunflower Kernels, Sunflower seed, Sunflower seed), Walnuts (Chestnut, Chestnut, Ringent Chestnuts, Ringent Chestnuts, Smiling Chestnuts, Smiling Chestnuts, Walnut, Walnut, Walnut kernels, Walnut kernels); Health Products: Herbs (Barley Grass Powder, Barley Grass Powder, Ginger Powder, Ginger Powder, Hemp Cake (Hemp meal), Hemp Cake (Hemp meal), Monk Fruit Extract (Monk Fruit Sweetener), Monk Fruit Extract (Monk Fruit Sweetener), Perilla Seed, Perilla Seed, Watermelon seed, Watermelon seed, Watermelon Seed Kernels, Watermelon Seed Kernels, Yacon Powder, Yacon Powder); Fruits/Vegetables: Berries (Goji berries, Goji berries, Mulberry Leaf, Mulberry Leaf, Sea Buckthorn, Sea Buckthorn), Black Maca Powder, Black Maca Powder, Chinese date (Fructus Jujube), Chinese date (Fructus Jujube), Maca Powder, Maca Powder, Potato, Potato, Sweet potato (Iponomea batata), Sweet potato (Iponomea batata), Dehydrated Foods (Dried Banana, Dried Banana), Powders (Beet root powder, Beet root powder, Carob powder, Carob powder, Chia powder, Chia powder, Pomegranate powder, Pomegranate powder, Quinua Powder, Quinua Powder, Tea powder, Tea powder, Tumeric powder, Tumeric powder); Dry/Baking Goods: Flours and Meals (Amaranth powder, flour, Amaranth powder, flour, Black quinoa flour, Black quinoa flour, Brown Rice Flour, Brown Rice Flour, Buckwheat Flour, Buckwheat Flour, Corn Flour, Corn Flour, Glutinous Rice Flour, Glutinous Rice Flour, Millet Flour (Millet Powder), Millet Flour (Millet Powder), Oat Flour, Oat Flour, Peanut Meal, Peanut Meal, Quinoa flour, Quinoa flour, Red quinoa flour, Red quinoa flour, Rice Flour, Rice Flour, Sacha inchi flour, Sacha inchi flour, Wheat Flour, Wheat Flour, White quinoa flour, White quinoa flour); Condiments and Sweeteners: Seasoning Blends (Shoyu, Shoyu, Tamari (Soy Sauce), Tamari (Soy Sauce)), Sweeteners (Erythritol, Erythritol, Isomaltooligosaccharide, Isomaltooligosaccharide, Resistant dextrin/ resistant dextrin powder, Resistant dextrin/ resistant dextrin powder); Chocolate Goods: Alkalized Cacao Powder 10-12% Fat Content, Alkalized Cacao Powder 10-12% Fat Content, Alkalized Cacao Cake Fat Content 10-12%, Alkalized Cacao Cake Fat Content 10-12%, Alkalized Cacao Powder 20-22% Fat Content, Alkalized Cacao Powder 20-22% Fat Content, Cacao bean, Cacao bean, Cacao powder - roasted, Cacao powder - roasted, Cacao Powder Mixed with Cane Sugar/Drinking chocolate, Cacao Powder Mixed with Cane Sugar/Drinking chocolate, Cacao powder unsweetened, Cacao powder unsweetened, Cocoa Butter, Cocoa Butter, Cocoa Powder 10-12% Fat content, Cocoa Powder 10-12% Fat content, Drinking Chocolate Powder Sweetened with Coconut Sugar, Drinking Chocolate Powder Sweetened with Coconut Sugar, Drinking Chocolate Powder with Lucuma and Maca Sweetened with Coconut Sugar, Drinking Chocolate Powder with Lucuma and Maca Sweetened with Coconut Sugar, Natural Cocoa Cake 10-12% Fat, Natural Cocoa Cake 10-12% Fat, Natural Cocoa Powder 10-12% Fat content, Natural Cocoa Powder 10-12% Fat content, Natural Cocoa Powder 20-22% Fat, Natural Cocoa Powder 20-22% Fat, Raw Cocoa Nibs Covered with Organic Coconut Palm Sugar, Raw Cocoa Nibs Covered with Organic Coconut Palm Sugar, Red-Brown Alkalized Cocoa Powder 22-24% Fat Content, Red-Brown Alkalized Cocoa Powder 22-24% Fat Content, Roasted Cocoa Nibs, Roasted Cocoa Nibs, Roasted Cocoa Nibs Coated with Organic Coconut Palm Sugar, Roasted Cocoa Nibs Coated with Organic Coconut Palm Sugar, Toasted cacao nibs, Toasted cacao nibs, Baking Chips and Bars (Chocolate covered quinoa pop, Chocolate covered quinoa pop), Chocolate (Dried Banano Covered with Organic Chocolate 55% Cocoa Sweetened with Agave Powder, Dried Banano Covered with Organic Chocolate 55% Cocoa Sweetened with Agave Powder); Beverage Related Products: Coffee (Roasted Coffee, Roasted Coffee), Juice (Goji Berry, Juice, Goji Berry, Juice), Tea (Buckwheat Tea, Buckwheat Tea, Green Tea (Matcha), Green Tea (Matcha)); Animal Feed: Livestock Feed (Corn Germ Cake, Corn Germ Cake, Rapeseed Cake, Rapeseed Cake, Rapeseed Meal, Rapeseed Meal, Soybean cake, Soybean cake, Soybean Meal, Soybean Meal, Sunflower Meal (Sunflower cake), Sunflower Meal (Sunflower cake), Sunflower Meal/Sunflower Expeller/Sunflower cake, Sunflower Meal/Sunflower Expeller/Sunflower cake, Sunflower Seed Cake/Meal, Sunflower Seed Cake/Meal); Other: Beans (Adzuki bean, Adzuki bean, Black Bean (Black Soybean), Black Bean (Black Soybean), Black Bean with Green Kernels, Black Bean with Green Kernels, Black kidney bean (Black bean), Black kidney bean (Black bean), Black soybean with green kernels, Black soybean with green kernels, Black Turtle bean (Black Kidney bean), Black Turtle bean (Black Kidney bean), Broad Bean, Broad Bean, Corn Gluten Meal, Corn Gluten Meal, Dark Red Kidney Beans(Red Kidney Bean), Dark Red Kidney Beans(Red Kidney Bean), Green Soybean, Green Soybean, Light speckled Kidney Bean (Pinto bean), Light speckled Kidney Bean (Pinto bean), Mung bean, Mung bean, Pinto bean, Pinto bean, Pinto Beans (Light speckled kidney beans), Pinto Beans (Light speckled kidney beans), Soybean, Soybean, Sunflower Lecithin Powder, Sunflower Lecithin Powder, White Kidney Bean, White Kidney Bean), Chick Pea, Chick Pea, Chlorella Tablets, Chlorella Tablets, Chlorella, Powder, Chlorella, Powder, Cowpea, Cowpea, Lentils, Lentils, Pea, Pea, Seeds (Black chia, Black chia, Quinoa Tricolor Powder, Quinoa Tricolor Powder, Sesame, Sesame, Sesame Cake, Sesame Cake, Sesame Meal, Sesame Meal, White chia, White chia)</t>
  </si>
  <si>
    <t>Other Grains, Pastas and Cereals: Rice (Paddy Hommali Rice, Paddy Glutinous Rice)</t>
  </si>
  <si>
    <t>Other Grains, Pastas and Cereals: Rice (Black rice - in the husk (paddy), Processed rice (whit/brown rice, milled rice), Red rice - in the husk (paddy))</t>
  </si>
  <si>
    <t>Other Grains, Pastas and Cereals: Barley, Barley, Wheat; Other: Storage of Organic Grains, Storage of Organic Grains, Transloading of Organic Canola Meal, Transloading of Organic Corn, Transloading of Organic Pearled Wheat, Transloading of Organic Soft White Wheat, Transloading of Organic Soy Bean Meal, Transloading of Organic Sunflower Meal, Transloading of Organic Sunflower Pellets</t>
  </si>
  <si>
    <t>Trees/Whole Plant Products/Flowers: Seeds, Seeds; Other Grains, Pastas and Cereals: Buckwheat Grain, Buckwheat Grain, Buckwheat Hulls, Buckwheat Hulls, Buckwheat Hulls, Ground, Buckwheat Hulls, Ground, Cereal, Cereal, Cereal, Cereal, Cereal, Cereal, Wheat, Wheat, Wheat, Wheat, Wheat, Wheat, Wheat, Wheat, Wheat, Wheat, Wheat, Wheat; Fiber Textiles: Textiles;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t>
  </si>
  <si>
    <t>Other: FARRO PERLATO BEL ARIA ORGANIC FARRO WHOLE GRAIN OG BLUEBIRD SPLIT EMMER FARRO BLUEBIRD FLOUR UNBLEACHED WHITE OG ROLLED OATS ORGANIC BOB'S QUINOA BRM TRI COLOR ORGANIC CORN FLOUR ORG BOBS RED MILL FLOUR BUCKWHEAT OG FLOUR RYE DARK OG POLENTA COARSE OG COCONUT FLOUR ORGANIC AMARANTH GRAIN ORGANIC ORGANIC CHIA SEEDS Expresso Artisan Bread Flour FLOUR ORGANIC EDISON AP RETAIL QUINOA WHITE ORGANIC GOJI BERRIES ORGANIC CHS CLOUD CAP OG CHS BLUE GLACIER ORG CHS SLEEPING BEAUTY OG CHS SAWTOOTH OG ORGANIC PUMPERNICKEL RYE FLOUR FLOUR ORG ARTISAN BAKERS PLUS ORG HIGH GLUTEN MOUNTAIN FLOUR ARTISAN BAKERS FLOUR OG ORGANIC XTRA FANCY DURUM FLOUR ORGANIC DARK RYE FLOUR FLOUR PANISSIMO NORMAL 00 OG ORG WHOLE WHEAT SPECIAL FLOUR ORGANIC UNBLCHD PASTRY FLOUR CIAO ORGANIC TOMATOES COCONUT MILK ORGANIC UNSWEETENED CHS MT TAM CHS PIERCE POINT HERB COAT OG CHS RED HAWK ORG TRIPLE CREME CHS HOP ALONG CHS DEVILS GULCH OG ROASTED RED PEPPERS ORGANIC CLASSIC KRAUT EMERALD CITY KRAUT PICKLED CARROTS GIUSTOS FAMILY ORGANIC FLOUR MILLET WHOLE ORGANIC MISO *CHICKPEA ORGANIC &amp; GF BULK CHOC CHIP ORG FT 55% DRK 900CT 66% EGUITTARD ORGANIC COINS KOMBUCHA POMEGRANATE KOMBUCHA GINGER LEMON KOMBUCHA PINK LADY APPLE AGAVE SYRUP ORGANIC COCOA POWDER ORGANIC PERUVIAN SYRUP ORGANIC ALMOND CASE SYRUP ORGANIC CARAMEL CASE CHOCOLATE SAUCE ORGANIC SYRUP ORGANIC HAZELNUT CASE SYRUP ORGANIC VANILLA CASE SYRUP ORGANIC PUMPKIN SPICE CASE CHS OMA JASPER HILL FARM BUTTER UNSALTED ORG RICE BASMATI BROWN ORGANIC CORN TORTILLA SLIDER ORGNC OAT MILK BARISTA ORGANIC CANNED ORGANIC JACKFRUIT YOGURT WHOLE MILK ORG NOROHY VANILLA PASTE ORG MADAG FENNEL SEEDS WHOLE ORGANIC CINNAMON (CASSIA) POWDER ORGANIC PEPPER WHITE GROUND PARSLEY FLAKES PC5 PEPPER BLACK #28 MESH ORGANIC ALMOND MILK ORG UNSWEETENED PORTLAND KETCHUP ORGANIC PORTLAND MUSTARD ORGANIC VEGAN WORCESTERSHIRE GF ORG CHS BLUE OREGON ORG CHS BLUE CAVEMAN WEDGE CHS BLUE SMOKEY WEDGE CHS BLUE OREGONZOLA WEDGE CHS BLUEHORN ORG NOODLES RAMEN ORGANIC RETAIL FROZEN BUTTER UNSALTED ORGANIC BUTTER SALTED ORGANIC EUROPEAN BUTTER EUROPEAN STYLE US ORG TEA PORTLAND BREAKFAST # 1851 TAHINI SOOM ORGANIC CHIA SEEDS BLACK ORGANIC BULK QUINOA WHITE ORGANIC ORGANIC YAKISOBA SAUCE CHOC DRK VAL ANDOA 70% FT ORG WA MISO WHITE KYOTO SHIRO SUGAR LT BRO USDA ORG 50LB SUGAR DARK BRO USDA ORG 50LB SUGAR POWDERED USDA ORG 12X EGGS LG BROWN ORG CHS CHED CURD GARLIC PEPPER OG CHS CHED CURD CHIPOTLE OG EVOO ORGANIC</t>
  </si>
  <si>
    <t>Other Grains, Pastas and Cereals: Flours and Meals ((1 lb., 2 lbs., 5 lbs., 10 lbs., 20 lbs.) Grits, Polenta, Cornmeal, Corn Flour)</t>
  </si>
  <si>
    <t>Other: #Handling, storage, and distribution of grain - "100% organic" Corn, wheat, soybeans, Soybean meal, Soybeans</t>
  </si>
  <si>
    <t>Other: #Processing and handling of organic grain., *Corn (blue, *white, *yellow), *soybeans, *wheat (hard red winter wheat, *soft red winter wheat, *variety not specified)., Barley, corn (blue, popcorn, white, yellow), corn screenings, milo, oats, rye, soybeans, sunflowers, and wheat (soft white spring)., Corn, cracked</t>
  </si>
  <si>
    <t>Other: Artisan Baguette - Tuscan, Bake At Home Garlic Bread #358831, Bake-at-Home French Baguette Bread #10548R, Bake-at-Home Sourdough Bread #10552, Bake-Off Olive Bread #10115, Ciabatta Bread #10201, Ciabatta Bread Cubes #10456, Columbia Baguette Bread #10342, Columbia Bread #10101, Fremont Sour White Bread #10221, French Baguette Bread #10510B, Frozen Bake-Off Columbia Loaf Bread Rustic White #10113, Frozen Bake-Off Fremont Sourdough Bread #10112, Frozen Bake-Off Roasted Garlic Bread #10121, Frozen Bake-Off Rosemary Bread #10114, Frozen Bread Cubes #10457, Heritage Miche Loaf Sliced #10148S, Heritage Miche Loaf Unsliced #10148, Heritage Miche Loaf Unsliced, 70 oz, Mille Grane Whole Grains Bread #10141, Olive Bread #300113, Pain du George (Demi Sliced, Whole, Sliced) Bread #10582, #10582R, #10583HS, Panino Rolls #10528RP, Parisian Baguette Bread #10361, Pizza Crust - Artisan Thin Crust 2 Pack #10647, two 2 packs #10661, Pizza Crust - Caramelized Onion 2 Pack #340216, Pizza Crust - Garlic Herb 2 Pack #314861, Pizza Crust - Original #10646, Pizza Dough Balls #10209FRO, Roasted Garlic Bread #10236, Rosemary Diamante Bread #10181, Sliced Bread - Rosemary, Sliced Columbia Bread #300038, Sliced Como Bread #314865, Sliced Fremont Sour White Bread #10228RS, Sliced Multi-Grain Bread #10517RS, Sliced Oats &amp; Honey Bread #10146S, Sliced Rosemary Bread #10185HS, Sliced Whole Grain Bread #10143RS, Take &amp; Bake - Baguette Bread #10645, Take &amp; Bake - Ciabatta Flatbread #314866, Take &amp; Bake - Country French 3 Pack #10586, Take &amp; Bake - French Baguette #10645CBC, Take &amp; Bake - French Bread #10642CBC, Take &amp; Bake - French Loaf #10642, Take &amp; Bake - French Loaf #10642, Take &amp; Bake - Garlic Bread #10636, Take &amp; Bake - Garlic Bread #10658, Take &amp; Bake - Garlic Bread #10658, Take &amp; Bake - Italian Bread #10643CBC, Take &amp; Bake - Italian Loaf #10643, Take &amp; Bake - Italian Loaf #10643, Take &amp; Bake - Parmesan Cheese Bread #314863, Take &amp; Bake - Parmesan Cheese Bread #314863, Take &amp; Bake - Rosemary Bread #10644CBC, Take &amp; Bake - Rosemary Loaf #10644, Take &amp; Bake - Rosemary Loaf #10644, Take &amp; Bake - Sourdough Boules 6 Pack #10546, Take &amp; Bake - Sourdough Boules Twin Pack #10122, Take &amp; Bake - Sourdough Bread #10641CBC, Take &amp; Bake - Sourdough Loaf #10641, Take &amp; Bake - Sourdough Loaf #10641, Take &amp; Bake - Twin French Demi Baguettes #10126, Take &amp; Bake - Twin French Demi Baguettes #10126</t>
  </si>
  <si>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</si>
  <si>
    <t>Other: Acacia (Extract/ Powder), Acai ( 0.30 to 0.60 % Extract Dry), Acai (Powder / Extract / Pulp / Freeze Dried Powder / Oil / Juice Powder), Acai (Powder / Extract / Pulp / Freeze Dried Powder / Oil / Juice Powder), Acerola Extract (Acerola / Freeze Dried / Extract / 17 to 26% Extract / Powder / Juice Powder), Acerola Extract (Acerola / Freeze Dried / Extract / 17 to 26% Extract / Powder / Juice Powder), Acerola Extract (Acerola Extract, Pink), Agave Syrup (Agave Syrup), Agave Syrup (Agave Syrup / Inulin Liquid / Inulin Powder), Alcohol (Ethanol), Alfalfa (Alfalfa / Powder / Extract (Water)/ leaf powder / juice powder), Alfalfa (Alfalfa / Powder / Extract (Water)/ leaf powder / juice powder), Alfalfa (Alfalfa /Powder, leaf &amp; Grass Powder / Juice Powder), Alfalfa Seed (Sprouted), Aloe Vera (Aloe Vera / Juice /Powder), Amla (Amla  / Powder / Extract), Annatto (Annato Powder / Extract), Apples (Apple Fiber Powder / Cider / Powder  / Juice Concentrate), Apples (Dried) (Apples, Dried), Arrowroot (Arrow Root Powder), Artichokes (Artichoke / Powder / Extract), Ash (Prickly Ash Powder Extract (Water)), Ashwagandha (Ashwagandha root / powder / extract), Asparagus (Asparagus extract), Asparagus (Asparagus Powder), Asparagus (Asparagus Powder), Astragalus (Astragalus Root Powder Extract (Water) / Non Water), Astragalus (Astragalus Root Powder Extract (Water)/ Non-Water), Bananas (Dried) (Powder / Extract/ Freeze Dried Powder), Bananas (Dried) (Powder/ Dried / Chips), Barberry (Barberry root Powder Extract (Water)), Barley (Barley Juice powder), Barley Grass (Barley Grass (leaf) powder), Barley Grass (Barley Grass (leaf) powder / Juice Powder), Basil (Basil Powder), Bay Leaves (Bay Leaf powder), Beans (Guar Gum / powder / extract), Beans (White Kidney Bean / Powder / Extract), Beets (Beet Powder / Extract), Beets (Beet Powder / Extract), Beets (Beet Root Juice Powder), Beets (TGLORGBEETROOTPOWDER100%), Bell Peppers (Bell Pepper Powder Green or Red), Bell Peppers (Bell Red Pepper powder), Bell Peppers (Bell Red Pepper powder), Bilberry Fruit (Extract), Black Cohosh (Black Cohosh Powder Extract (Water)), Black Pepper (Black Pepper / Powder / Extract), Black Pepper (Black Pepper Powder), Blackberries (Blackberry Powder), Blackberries (Blackberry Powder), Blueberries (Blueberry Powder), Blueberries (Dried) (Blueberry dried, wild infused / Powder / Juice Powder/ Fiber / Juice Concentrate), Blueberries (Dried) (Blueberry Powder), Broccoli (Broccoli Powder), Broccoli (Broccoli Powder), Broccoli (Powder / Extract), Broker (Client Profile Products only) (Wholesale Botanical Herbs, Grains, Extracts, Powders, and Oils.), Brown Rice Beverage Base (Brown Rice Dry Milk Replacer), Brown Rice Syrup (Brown Rice Syrup), Brussels Sprouts (Brussel Sprout Powder), Burdock Root (Burdock Roots / Powder / Extract (Water)), Cabbage (Cabbage Powder), Cabbage (Cabbage Powder), Cabbage (Cabbage Powder/Extract), Canola Oil (Canola Oil, Refined), Cardamom (Cardamon extract / green, black powder), Carrots (Carrot Powder), Carrots (Carrot Powder), Carrots (Carrot Seed oil), Cauliflower (Cauliflower Powder), Cauliflower (Cauliflower Powder), Cayenne (Powder / Extract), Celery Seed (Celery Seed / powder / Extract), Chamomile (Chamomile  / Powder / Extract), Chaste Tree Berry (Chaste Berry Powder Extract (Water)), Cherimoyas (Cherimoya powder ), Cherimoyas (Cherimoya powder ), Chicory (Chicory Root / Powder / Extract), Chili (Chilli / powder, yellow powder), Chili (Chilli / powder, yellow powder), Cinnamon (Cinnamon / Powder / Extract), Cloves (Cloves powder), Cloves (Cloves powder), Cocoa Products (Cocoa / Beans / Natural Butter / Powder / Alkalized Powder / Nibs, sweet Nibs, Yacon Sweetened Cacao Nibs /  Butter / Liquor / Deshelled Beans /  Deodorized butter / Natural Powder/ cake ), Cocoa Products (Cocoa / Beans / Natural Powder / Powder / alkalized Powder / Nibs, sweet Nibs, Yacon Sweetened Cacao Nibs / Powder Black / Butter / Liquor / Deshelled Beans / Dutch Processed / Extract ), Coconut (Coconut / Powder/ Oil, Extra Virgin &amp; RBD / Desicated / Milk / Sugar / water powder), Coconut (Coconut Oil Powder), Coffee (Coffee Powder), Coffee (Green) (Green Coffee Bean / Extract / powder), Coffee (Roasted) (Roasted Cofee Beans, Ground Roasted Coffee), Coleus (Coleus forskohlii  / Powder / Extract), Coriander (Coriander powder), Coriander (Coriander powder), Corn (Purple) (Purple Corn / Extract / Powder / Gelatinized), Corn (Purple) (Purple Corn / Extract / Powder / Gelatinized), Cranberry (Cranberry Powder/Dry / Extract / Juice Powder), Cucumbers (Cucumber Powder), Currants (Currant Powder / Black Currant Powder), Curry Powder (Curry Powder), Dandelion (Dandelion Powder Extract (Water)), Dates (Date Paste), Dried Fruits (Luo Han Guo), Echinacea (Echinacea Powder), Echinacea (Echinacea Powder), Echinacea (Extract), Elderberry (Dried Elderberry), Extracts (Apple Extract Powder / Sugar), Extracts (Avocado Powder / Extract), Extracts (Bamboo / Powder / Extract), Extracts (Bamboo / Powder / Extract), Extracts (Banana Powder / Extract / Freeze Dried Powder / Flour), Extracts (Coconut Milk Powder), Extracts (Commiphora mukul Extract), Extracts (Cupuacu Powder / Extract), Extracts (Giant Knotweed Rizhome Extract), Extracts (Graviola Powder / Extract), Extracts (Holy Basil Extract), Extracts (Honeysuckle flower Powder Extract (Water)), Extracts (Honeysuckle flower Powder Extract (Water)), Extracts (Jabuticaba Powder / Extract), Extracts (Jenipapo Powder), Extracts (Momordica Charantia Extract), Extracts (Ocimum Sanctum Extract), Extracts (Papaya Dried / Powder), Extracts (Passion Fruit Powder / Extract), Extracts (Pine Bark Powder Extract (Water)), Extracts (Piper longum extract), Extracts (Pitanga Powder), Extracts (Pitaya / Dragonfruit Powder), Extracts (Propolis), Extracts (Psyllium Husk Extract / Powder), Extracts (Rhodiola Rosea Powder Extract (Water)), Extracts (Rhodiola Rosea Powder Extract (Water)), Extracts (Saffron), Extracts (Schisandra fruit Powder Extract (Water)), Extracts (Sea Buckthorn Powder Extract (Water)), Extracts (Stinging Nettle), Extracts (Tapioca / Powder, Native Starch / Dextrose / Maltodextrin / Syrup, Syrup Solids), Extracts (Tomato Extracts Dehydrated), Extracts (Tribulus Fruit Powder / Extract), Extracts (Tribulus Terrestris / Powder / Extract), Extracts (Tribulus Terrestris / Powder / Extract), Extracts (Triphala Extract), Extracts (Vanilla/Extract), Extracts (Withania Somnifera Extract), Fennel (Fennel / powder ), Fennel (Fennel / powder / Extract / Seeds), Fenugreek Seed (Fenugreek seeds /  Powder  /Extract (Water)), Fenugreek Seed (Fenugreek seeds /  Powder  /Extract (Water)), Figs (Dried) (Figs, Dried), Flax (Flax meal), Flax (Flax meal), Flax Seed (Flax Seed (Brown, Golden)), Flax Seed (Flax Seed (Brown, Golden)), Flour (Oat Flour/Powder), Flour (Oat Flour/Powder), Food Additives (Erythritol), Food Additives (Inulin / powder / Syrup), Food Additives (Jerusalem Artichoke Inulin), Foti (Fo-ti Powder Extract (Water)), Fruit Powder (Black Elderberry Powder ), Fruit Powder (Mangosteen Juice Powder), Fruit Powder (Mangosteen Powder), Fruit Powder (Maqui Berry Powder / Freeze Dried), Fruit Powder (Maqui Berry Powder / Freeze Dried), Fruit Powder (Mulberry), Fruit Products (Garcinia powder / Extract), Fruit Products (Peach Powder / Juice / Extract), Fruits (Schisandra Berry  ), Garlic Powder (Garlic Powder), Garlic Powder (Garlic Powder), Gentian (Gentian Root /Powder  / Extract (Water)), Ginger (Ginger / Powder / Extract / Dried), Ginger (Ginger / Powder / Extract / Dried), Ginger (Ginger / Powder / Ground), Ginkgo (Ginkgo Powder), Ginkgo (Leaf / Powder - Extract (Water)  / Non Water), Ginkgo (Leaf / Powder - Extract (Water)  / Non Water), Ginseng (Extract), Ginseng (Ginseng), Ginseng (Panax), Glycerine (Glycerine), Goji Berries (Goji Berries/Powder / Juice Powder / Extract), Goji Berries (Goji Berries/Powder / Juice Powder / Extract), Golden Seal (Golden  Seal Herb Powder Extract (Water)), Goldenberries (Goldenberry / dehydrated / seed Oil / dried), Goldenseal (Goldenseal powder), Gotu Kola (Gotu Kola Powder), Gotu Kola (Gotu Kola Powder), Grapefruit (Grapefruit  / Powder / Extract), Grapes (Grape Powder/Powder Concord), Grapes (Grape Seed powder / extract), Guarana (Guarana / Powder / 1.40 to 14% Extract / Extract), Guarana (Guarana Powder / Extract), Gymnema (Gymnema / Powder / Extract), Hawthorn (Hawthorn Berry Powder), Hawthorn (Hawthorn Fruit / leaf Powder Extract (Water) / Non Water), Hawthorn (Hawthorn Fruit / leaf Powder Extract (Water) / Non Water), Hemp Powder (Hemp Protein Powder), Hemp Seed (Hulled, Oil), Herbs (Bacopa monieri  / Powder / Extract), Herbs (Banaba / Powder / Extract), Herbs (Boswellia Serrata / Oil / Powder), Herbs (Boswellia Serrata / Oil / Powder), Herbs (Camu Camu Powder / extract / dried / freeze dried), Herbs (Camu Camu Powder / extract / dried / freeze dried), Herbs (Cat's Claw / Powder / Bark / Tea), Herbs (Cat's Claw / Powder / Bark / Tea), Herbs (Centella Asiatica  / Powder / Extract), Herbs (Cissus Quadrangularis / Powder / Extract), Herbs (Epimedium Powder Extract (Water)), Herbs (Green Banana Powder), Herbs (Herbs), Herbs (Kudzu root Powder Extract (Water) / Non Water), Herbs (Kudzu root Powder Extract (Water) / Non Water), Herbs (Marshmallow Powder/Extract), Herbs (Mongolian Dandelion Herb), Herbs (Moringa Powder /  Extract), Herbs (Moringa Powder /  Extract), Herbs (Mucuna pruriens / Powder / Extract), Herbs &amp; Spices (Arabic Gum), Herbs &amp; Spices (Asafoetida Powder), Herbs &amp; Spices (Devils Claw Extract), Herbs &amp; Spices (Devils Claw Powder), Herbs &amp; Spices (Phosphatidylserine), Hibiscus (Hibiscus), Hibiscus (Hibiscus Powder), Hibiscus (Powder / Extract), Honey Powder (Honey Powder), Horse Chestnut (Horse Chestnut Powder Extract (Water)), Horsetail (Horsetail Powder Extract (Water)), Jerusalem Artichokes (Jerusalem Artichoke Powder / Pulp), Jerusalem Artichokes (Jerusalem Artichokes), Jojoba (Jojoba / Oil / Seed / Powder), Juice Concentrate (Cherry /Juice concentrate /  Dried ), Juniper Berry (Juniper Berry), Kale (Kale Leaf Powder), Kale (Kale Powder), Kale (Kale Powder), Lecithin (Soy (Liquid &amp; Powder)), Lecithin (Soy lecithin), Lecithin (Sunflower Lecithin), Leeks (Leek Powder), Lemon Balm (Lemon Balm), Lemon Peel (Lemon Peel Powder), Lemongrass (Lemongrass ), Lemongrass (Lemongrass / Powder / Extract), Lemongrass (Lemongrass Powder), Lemons (Lemon / Powder/ Extract), Lemons (Lemon / Powder/ Extract), Lentils (Lentil Powder), Licorice (Licorice / Powder / Extract), Limes (Lime Powder), Limes (Lime Powder), Lucuma Powder (Lucuma / Powder / Chips ), Lucuma Powder (Lucuma Powder), Lucuma Powder (Mix lucuma powder &amp; maca gelatinized powder), Maca (Maca / Powder/ Gelatinized / Dry Granulated /Dry sliced/ Premium/  Seed  / Granulated dried), Maca (Powder/ Gelatinized / Chips / Dry Granulated /Dry sliced/ Premium/  Seed / Roasted granulated / Gelatinized Steriliezed Granulated dried), Mangos (Mango / Dried / Seed Oil), Mangos (Mango / Powder / Extract), Maple Syrup (Maple Syrup Powder), Mesquite (Mesquite / Powder / Powder Sterilized), Mesquite (Mesquite Powder), Millet (Millet Powder), Mint (Mint Oil), Mint (Mint Powder), Mullein (Mullein powder), Mushroom Powder (Agaricus blazei murill/Agaricus blazei murill/(Dried/Powder/Extract)), Mushroom Powder (Lion's Mane Powder/Extract), Mushroom Powder (Lion's Mane/Hericium erinaceus/(Dried/Powder/Extract)), Mushroom Powder (Reishi Mushroom / Powder / Extract (Water) / Non Water), Mushroom Powder (Reishi Mushroom / Powder / Extract (Water) / Non Water), Mushroom Powder (Shitake Mushroom Powder                                ), Mushroom Powder (Shitake Mushroom Powder                                ), Mushroom Powder (Tremella fuciformis/Tremella fuciformis/(Dried/Powder/Extract)), Neem (Neem / Extract / Leaf powder), Nettles (Nettle Powder Extract (Water)), Nuts (Brazil Nut-Castanha do Para/Powder), Nuts (Cashew Nut-Castanha de Caju/Powder), Oils (Palm / Fruit Oil, RBD, Oilein / Kernel), Oils (Sacha Inchi / Oil &amp; Powder), Olive Leaves (Leaf / Powder / Extract (Water) / Non Water), Olive Leaves (Leaf / Powder / Extract (Water) / Non Water), Olive Oil (Olive Oil, Extra Virgin), Onion Powder (Onion Powder), Onion Powder (Onion Powder), Oranges (Orange/ Powder/ Peel Powder), Oregano (Oregano Powder), Papaya (Dried) (Papaya, Dried), Paprika Powder (Paprika powder 120 ASTA), Paprika Powder (Paprika powder 120 ASTA), Parsley (Parsley powder), Parsley (Parsley powder), Peas (Protein/ Fiber Powder), Peas (Protein/ Fiber Powder), Peppermint (Peppermint / Powder / Extract (Water) / Non Water), Peppermint (Peppermint / Powder / Extract (Water) / Non Water), Peppermint (Peppermint Oil), Pineapple (Dried) (Dried Pineapple/ Pineapple chips and pieces/powder), Plums (Plum Powder), Pomegranates (Pomegranate Extract / Powder/ Seed Powder), Poppy Seed (Poppy / Powder / Seeds), Potato Products (Protein), Powder (Algarroba / Carob powder), Powder (Algarroba/ Carob powder), Powder (Amaranth - powder /Sterilized / Seed Extract), Powder (Andrographis Paniculata / Powder / Extract), Powder (Arracacha /powder), Powder (Bixa Orellana powder), Powder (Black Tea Powder), Powder (Blended Vegetable Powder), Powder (Cactus fruit / powder), Powder (Cactus fruit / powder), Powder (Chaga/Inonotus obliquus/(Dried/Powder/Extract)), Powder (Chlorella), Powder (Chlorella), Powder (Collard Greens Powder), Powder (Cordyceps millitaris/cordyceps sinensis/(Dried/Powder/Extract)), Powder (Cumin powder), Powder (Cumin powder), Powder (Cumin Powder, Black), Powder (Garbanzo powder (Chickpea)), Powder (Garbanzo powder (Chickpea)), Powder (Guava Powder), Powder (Kamut Powder), Powder (Kiwi Fruit Powder), Powder (Konjac Powder), Powder (Maitake/Grifola frondosa/(Dried/Powder/Extract)), Powder (Noni / Powder /  leaf Powder), Powder (Noni / Powder / Extract), Powder (Nutmeg Powder), Powder (Oat Grass (leaf) powder), Powder (Oat Grass Juice Powder ), Powder (Passion Flower Powder), Powder (Rocoto powder), Powder (Rye powder), Powder (Sage powder 30M), Powder (Salacia Chinensis powder, extract), Powder (Sarsaparilla), Powder (Sea buckthorn Juice Powder), Powder (Shatavari Powder), Powder (Soy Powder), Powder (Sprouted Amaranth Powder), Powder (Sprouted Barley Powder), Powder (Sprouted Brown Rice Powder), Powder (Sprouted Green Pea Powder), Powder (Sprouted Kamut Powder), Powder (Sprouted Quinoa Powder), Powder (Sprouted Wheat Powder), Powder (Sweet Potato Powder), Powder (Tara powder), Powder (Tara powder), Powder (Tart Cherry Powder), Powder (Terminalia Arjuna/ Powder / Extract), Powder (Triphala powder), Powder (Yacon / Powder), Prunes (Prune Powder), Pumpkin Seed (Pumpkin Seed), Pumpkin Seed (Pumpkin Seed / Powder / Extract / Protein (meal)), Pumpkin Seed (Sprouted), Pumpkins (Pumpkin Powder), Quinoa (Quinoa / Powder /  Gelatinized / Baby / Black / flaked / Puffed / Red / Tricolor / Whole Grain), Quinoa (Quinoa / Powder / Extruded / Gelatinized / Baby / Black / flaked / Puffed / Red / Tricolor / Whole Grain/ Sterilized / Powder Sterilized), Raspberry (Raspberry / Powder Extract (Water) / Juice Powder), Raspberry (Raspberry / Powder Extract (Water) / Juice Powder), Raspberry (Raspberry / Powder, leaf powder), Red Clover (Red Clover Powder Extract (Water)), Rhubarb (Rhubarb / Powder / Extract (Water)), Rice (Powder / Protein Powder (Brown, White)), Rose Hips (Rosehip fruit Powder Extract (Water)), Rosemary (Rosemary powder), Rosemary (Rosemary Powder), Saw Palmetto (Saw Palmeto Extract), Seed (Chia Seed / Black or White), Seed (Chia Seed / Black or White / Powder), Seed (Chia Seed / Black or White / Powder), Seed (Chia Seed Extract), Senna (Senna / Leaf Extract / Pods, Stem &amp; Leaf Powder), Senna Leaves (Senna Leaf ), Sesame (Sesame / Oil , extra virgin, refined, Gingelly / Seed, hulled &amp; natural), Siberian Ginseng Root (Siberian Gingseng Powder Extract (Water) / Non Water), Siberian Ginseng Root (Siberian Gingseng Powder Extract (Water) / Non Water), Slippery Elm Bark (Slippery elm bark Powder), Spearmint (Spearmint Oil), Spelt (Spelt Grass (leaf) powder), Spinach (Spinach Powder), Spinach (Spinach Powder), Spirulina (Spirulina powder), St. John's Wort (St. John's Worth Powder Extract (Water) / Non Water), St. John's Wort (St. John's Worth Powder Extract (Water) / Non Water), Starch (Isomalto-Oligosaccharide - IMO), Stevia (Stevia / Powder), Stevia (Stevia / Powder /Extract / Extct. 90-98% Steviosides Rebaundioside A 40-98% Powder), Strawberry (Juice Concentrate), Strawberry (Strawberry Powder), Strawberry (Strawberry Powder), Sunflower Seed (Sprouted), Sunflower Seed (Sunflower/ Oil refined, seed black / Seeds raw , hulled, roasted), Sweetener (Brown Rice Sweetener), Tamarind (Tamarind/  Powder / Extract), Tea (Green Tea  / Powder / Extract), Tea (Green Tea Powder Extract), Tea (Matcha Powder / Extract), Tea (Matcha Powder / Extract), Tomato Powder (Powder / Extract), Triphala (Triphala powder), Tulsi (Tulsi powder), Turmeric (Turmeric / Powder), Turmeric (Turmeric / Powder / Extract), Valerian (Valerian / Powder ), Valerian Root (Valerian Root Powder Extract (Water) / Non Water), Valerian Root (Valerian Root Powder Extract (Water) / Non Water), Vegetables (Powder / Freeze Dried), Vinegar (Vinegar Powder), Vinegar (White Vinegar Powder), Vinegar (Apple Cider) (Apple Cider Vinegar Powder), Wheatgrass (Wheat Grass (leaf) powder / Powder/ Juice Powder), Wheatgrass (Wheat Grass (leaf) powder / Powder/ Juice Powder), Whey (Whey ), White Willow (White Willow Bark Powder Extract (Water)), Yacon (Yacon / Powder / Chips / Syrup / Semi Dry / Leaf Dry / Powder Sterilized / Slices / Flour ), Yerba Mate (Yerba Mate / 7.0 to 9.1 Extract, Extract), Yerba Mate (Yerba Mate / 7.0 to 9.1 Extract, Extract), Yerba Mate (Yerba Mate Green and Aged / Medium, small, large cut / Powder / Stalk / Stick / Cancheada / toasted / Roasted / Chimarrao / cha / Special Cut without powder/ Soluble)</t>
  </si>
  <si>
    <t>Other: 100% Whole Grain Brown Rice, 100% Whole Grain Brown Rice &amp; Quinoa, Garlic Flavor, 100% Whole Grain Brown Rice with Ancient Grains, Black Pepper, Basmati Rice Seasoned with Cloves and Cardamom, Fruits &amp; Vegetables, Fuji Apples, Gala Apples, Granny Smith Green Apples, Honeycrisp Apples, Living Basil, Living Cilantro, Living Mint, Living Rosemary, Living Thyme, Pink Lady Apples, Products Previously Packaged by Certified Vendors, Strawberries</t>
  </si>
  <si>
    <t>Other: Alliums: Georgian Crystal, Alliums: Georgian Fire, Alliums: German Extra Hardy, Alliums: German Red, Alliums: GS Grey Shallot, Alliums: Metechi, Alliums: Music, Alliums: Potato Onions, Alliums: Russian Red, Cover crop: Buckwheat, Cover crop: Deep Till Radish, Cover Crop: Deer and Food Plot Mix, Cover crop: Field Peas, Cover crop: Hairy Vetch, Cover crop: Medium Red Clover, Cover Crop: MPL Biodiversity Mix, Cover Crop: Mustard Seed VNS, Cover crop: Oats, Cover crop: Oats/Peas 45%/55%, Cover Crop: Rivendell White Clover, Cover crop: Rye, Cover crop: Rye/Vetch 70%/30%, Flower Bulbs/Roots: Colchicum, Flower Bulbs/Roots: Narcissus Van Sion, Heritage Grain: Byron Flint Corn, Heritage Grain: Early Riser Flint Corn, Heritage Grain: Floriana Flint Corn, Heritage Grain: Hulless Oats, Heritage Grain: Red Fife Wheat, Heritage Grain: Rouge de Bordeaux, Heritage Grain: Sirvinta Wheat, Seed Potato: Adirondack Blue, Seed Potato: Adirondack Red, Seed Potato: All Blue, Seed Potato: Amarosa, Seed Potato: Banana, Seed Potato: Blackberry, Seed Potato: Caribou Russett, Seed Potato: Chieftain, Seed Potato: Dark Red Norland, Seed Potato: Elba, Seed Potato: Eva, Seed Potato: French Fingerling, Seed Potato: German Butterball, Seed Potato: Goldrush, Seed Potato: Kennebec, Seed Potato: Lehigh, Seed Potato: Magic Molly, Seed Potato: Purple Sun, Seed Potato: Red Maria, Seed Potato: Satina, Seed Potato: Superior, Seed Potato: Vivaldi, Seed Potato: Yukon Gem, Seed Potato: Yukon Gold, Sweet Potato: Beauregard, Sweet Potato: Murasaki, Sweet Potato: Orleans, Sweet Potato: Purple Splendor, Sweet Potato: White Bonita</t>
  </si>
  <si>
    <t>Other: Seeds (Vegetables: Carrots), Seeds (Grains: Barley), Seeds (Grains: Wheat)</t>
  </si>
  <si>
    <t>Other Grains, Pastas and Cereals: Rice (Black Glutinous Rice (brown, semi-complete, white, broken), Black Glutinous Rice (flour), Black Non-glutinous Rice (brown, semi-complete, white, broken), Black Non-glutinous Rice (flour), Glutinous Rice (brown, semi-complete, white, broken), Glutinous Rice (flour), Red Rice (brown, semi-complete, white, broken), Red Rice (flour), Thai Hom Mali Rice (brown, semi-complete, white, broken), Thai Hom Mali Rice (flour), Thai Long Grain Rice (brown, semi-complete, white, broken), Thai Long Grain Rice (flour)), Rice (Mixed Rice (Thai Hom Mali + Long Grain), Mixed Rice [Thai Hom Mali Rice (brown, semi-complete, white, broken) + Thai Long Grain Rice (brown, semi-complete, white, broken)]); Dry/Baking Goods: Flours and Meals (Rice Flour), Sugar; Other: Sugar Cane Processing, Rice and rice flour milling (Thai Long Grain Rice, Red Rice, Thai Hom Mali Rice, Black Glutinous Rice, Black Non-Glutionous Rice, Glutinous Rice)</t>
  </si>
  <si>
    <t>Other: Cinnamon Raison Bread, Crusty Italian (Sliced and Unsliced), Sourdough Multigrain 7 Bread, Sourdough Rye with Caraway Bread, Sourdough Rye with Coriander Bread, Sourdough Spelt Whole Grain Bread, Sourdough Wheat Bread, Traditional French Baguette, Wheat, Oats and Flax Bread, White Olive Oil Bread</t>
  </si>
  <si>
    <t>Other Grains, Pastas and Cereals: Pasta (Black Bean Spaghetti), Pasta (Black Fettuccine), Pasta (Soybean Spaghetti), Pasta (Edamame Fettuccine), Pasta (Edamame Spaghetti)</t>
  </si>
  <si>
    <t>Other: Amaranth Seeds, Amaranth Seeds (Chinese Giant Orange), Amaranth Seeds (Collection), Amaranth Seeds (Dreadlocks), Amaranth Seeds (Elephant Head), Amaranth Seeds (Green Tails), Amaranth Seeds (Hopi Red Dye), Amaranth Seeds (Red Callaloo), Anise Seeds, Anise-Hyssop Seeds, Artichoke Seeds, Arugula Seeds, Ashwaganda Seeds, Asparagus Seeds, Barley Seeds (Robust), Basil Seeds, Basil Seeds (Genovese), Basil Seeds (Italian Large Leaf Basil), Basil Seeds (Mrihani), Basil Seeds (Prospera® F1 ), Basil Seeds (Siam Queen Thai), Basil Seeds (Thai), Bean Seeds, Bean Seeds (Calypso/Wolverine), Bean Seeds (Dragon Tongue), Bean Seeds (Jade Snap Bean), Bean Seeds (New Mexican Appaloosa), Bean Seeds (Ruby Moon Hyacinth Bean), Bean Seeds (Tiger's Eye), Beet Seeds, Beet Seeds (Chioggia Guardsmark), Beet Seeds (Merlin F1), Beet Seeds (Shiraz), Beet Seeds (Touchstone), Blue Vervain Seeds, Blue Vervain Seeds (Western Vervain), Borage Seeds, Broccoli Seeds, Broccoli Seeds (Di Ciccio), Broccoli Seeds (Purple Sprouting), Buckwheat Seeds, Burdock Seeds, Cabbage Seeds, Cabbage Seeds (Green Express), Calendula Seeds, Calendula Seeds (Kablouna Mix), Calendula Seeds (Lemon Sorbet), Calendula Seeds (Neon), Calendula Seeds (Resina), Calendula Seeds (Sherbert Mix), Carrot Seeds, Carrot Seeds (Danvers 126), Carrot Seeds (Dara Queen Anne's Lace), Carrot Seeds (Dragon Carrot), Carrot Seeds (Nantes Coreless), Carrot Seeds (Queen Anne's Lace), Catnip Seeds, Cauliflower Seeds, Cauliflower Seeds (Snowball), Celosia Seeds (Amish Cockscomb), Chamomile Seeds (German), Chard Seeds, Chard Seeds (Rainbow), Chicory Seeds, Chicory Seeds (Red Veined), Chives Seeds, Cilantro Seeds, Clover Seeds, Clover Seeds (Collection), Clover Seeds (White), Collard Seeds (Champion), Comfrey Seeds (True Comfrey), Corn Seeds, Corn Seeds (Cherokee Long Ear Small Corn), Corn Seeds (Earth Tones Dent), Corn Seeds (Festivity Sweet), Corn Seeds (Glass Gem), Corn Seeds (Oaxacan Green Dent), Corn Seeds (Zanadoo), Cosmos Seeds (Bright Lights ), Crimson Clover Seeds, Cucumber Seeds, Cucumber Seeds (Fakous), Cucumber Seeds (Lemon Cucumber), Cucumber Seeds (Marketmore 76 Cucumber), Cucumber Seeds (Snow's Fancy), Dandelion Seeds (True), Dill Seeds, Dill Seeds (Sultana Parvanta Afghan), Echinacea Seeds, Eggplant Seeds, Eggplant Seeds (Aswad), Eggplant Seeds (Black Beauty), Eggplant Seeds (Diamond), Elderberry Seeds, Elecampane Seeds, Evening Primrose Seeds, Evening Primrose Seeds (Large Flower Evening Primrose), Fava Bean Seeds, Fava Bean Seeds (Broad Windsor Fava), Fava Bean Seeds (Crimson Flowered Fava ), Fava Bean Seeds (Finnish), Fava Bean Seeds (Guatemalan Purple Fava), Fava Bean Seeds (Purple Negreta Fava), Fennel Seeds (Bronze), Flower Seeds (Bee Balm Seeds), Flower Seeds (Cosmos Seeds), Flower Seeds (Craspedia / Billy Buttons), Flower Seeds (Devil's Claw / Unicorn Plant), Flower Seeds (Lemon Bee Balm), Flower Seeds (Wild Bee Balm), Flower Seeds (Wild Dagga/Lion's Tail), Flower Seeds (Yellow Flowered Spanish Lavender), Gaillardia Seeds, Garlic Seeds (Chimyan), Garlic Seeds (Dancing Bear Roja x Renee's Softneck), Grains (Great Grains Collection), Herb Seeds (Custom Blends), Hibiscus Seeds, Hibiscus Seeds (Kenaf), Hollyhock Seeds (Black), Hollyhock Seeds (Double Black), Hollyhock Seeds (Halo Blush), Hyssop Seeds, Hyssop Seeds (Purple Flowered), Kale Seeds, Kale Seeds (Fizz), Kale Seeds (Lacinato), Kale Seeds (Red Russian), Kale Seeds (True Siberian), Larkspur Seeds (Dark Blue), Lavender Seeds, Lavender Seeds (Vera English), Lavender Seeds (Yellow Flowered Spanish), Lemon balm Seeds, Lettuce Seeds, Lettuce Seeds (Buttercrunch), Lettuce Seeds (CSA Lettuce Mix), Lettuce Seeds (CSA Lettuce Mix No. 2), Lettuce Seeds (Dark Green Romaine), Lettuce Seeds (Emerald Fan), Lettuce Seeds (Green Salad Bowl), Lettuce Seeds (Mayan Jaguar), Lettuce Seeds (Speckled Butterhead), Lettuce Seeds (Sucrine Romaine), Lovage Seeds, Madder Seeds, Marigold Seeds, Marigold Seeds (Red Gem), Marigold Seeds (Tashkent), Marshmallow Seeds, Melon Seeds, Melon Seeds (Ice Cream ), Mint Seeds, Mint Seeds (Pennyroyal, European), Monarda Seeds (Wild Bee Balm), Motherwort Seeds, Mugwort Seeds, Mullein Seeds, Mullein Seeds (Common), Mullein Seeds (Dense Flowered), Mullein Seeds (Silk Mullein), Mullein Seeds (Tempress Purple), Mustard Seeds, Mustard Seeds (Dragon Tongue), Mustard Seeds (Ruby Streaks), Nasturtium Seeds (Mix), Oats Seeds (Common Oat), Oats Seeds (Hulless), Okra Seeds (Cajun Jewel), Okra Seeds (Heavy Hitter), Onion Seeds, Onion Seeds (Riverside), Oregano Seeds, Oregano Seeds (Italian Oregano), Parsley Seeds, Parsley Seeds (Flat Leaf), Parsley Seeds (Giant of Italy Parsley), Parsley Seeds (Italian Flat Leaf), Pea Seeds, Pea Seeds (Cascadia Snap), Pea Seeds (Painted Lady Sweet Pea), Pepper Seeds, Pepper Seeds (Aji Amarillo), Pepper Seeds (Cayenne ), Pepper Seeds (Chinese Giant Bell Pepper), Pepper Seeds (Shishito), Poppy Seeds, Poppy Seeds (After Midnight), Poppy Seeds (Cherry Glow), Poppy Seeds (Danish Flag), Poppy Seeds (Hungarian Breadseed Poppy), Poppy Seeds (Matilija), Pumpkin Seeds, Pumpkin Seeds (New England Pie), Pumpkin Seeds (Styrian), Radish Seeds, Radish Seeds (Cherry Belle), Radish Seeds (Pink Beauty), Radish Seeds (Purple Plum), Red Clover Seed, Red Clover Seed, Rye Grain Seeds, Rye Seeds (Finnish), Rye Seeds (Winter), Sage Seeds, Sage Seeds (Black Sage), Sage Seeds (Clary Sage), Sage Seeds (Collection), Sage Seeds (Hummingbird Sage), Sage Seeds (Purple Sage), Sage Seeds (White Sage), Seed Blend (Ivan's Cat Grass), Sorghum Seeds (Sorghum Seeds), Sorghum Seeds (Sorghum-Sudangrass BMR F1), Spinach Seeds, Spinach Seeds (Bloomsdale Longstanding), Spinach Seeds (Equinox), Squash Seeds, Squash Seeds (Green Fleshed Ayote), Squash Seeds (North Georgia Candy Roaster), Squash Seeds (Yellow Crookneck Squash), Stevia Seeds, Stinging Nettle Seeds, Straw Flower Seeds (Roggli Riesen Strawflower), Sunflower Seeds (Double Goldy F1 Sunflower ), Sunflower Seeds (Mammoth Sunflower), Sunflower Seeds (Mongolian Giant), Sunflower Seeds (Russian Mammoth Sunflower), Sunflower Seeds (Soraya), Sweet Pea Seeds (Sugar Snap), Thistle Seeds (Milk Thistle), Thistle Seeds (Southern Globe), Thyme Seeds, Thyme Seeds (English Thyme), Tobacco Seeds, Tobacco Seeds (Huichol Tobacco), Tobacco Seeds (Quadrivalvis), Tobacco Seeds (Rustica), Tobacco Seeds (Shirazi), Tobacco Seeds (Woodland), Tomatillo Seeds, Tomatillo Seeds (Purple), Tomatillo Seeds (Toma Verde), Tomato Seeds, Tomato Seeds (Be My Baby Cherry), Tomato Seeds (Black Cherry), Tomato Seeds (Black Prince), Tomato Seeds (Brandywine), Tomato Seeds (Collection), Tomato Seeds (Costoluto Genovese), Tomato Seeds (Czech Bush), Tomato Seeds (Ida Gold), Tomato Seeds (Marmande ), Tomato Seeds (Painted Ukrainian), Tomato Seeds (Sasha's Altai ), Tomato Seeds (Siskiyou Orange), Tomato Seeds (Sweet Datterino), Tomato Seeds (Yellow Datterini), Tulsi Seeds, Tulsi Seeds (Holy Basil Collection), Tulsi Seeds (Kapoor Holy Basil), Tulsi Seeds (Krishna), Tulsi Seeds (Rama Holy Basil), Tulsi Seeds (Vana Holy Basil), Valerian Seeds, Various Seeds (Beginning Gardeners Seed Collection ), Various Seeds (Hyssop Seed Collection), Various Seeds (Spearmint Seeds), Various Seeds (Sundangrass Seeds), Vegetable Seeds (Custom Blends), Vetch Seeds, Vetch Seeds (Purple), Watermelon Seeds, Watermelon Seeds (Çekirdeği Oyalı (Red Flesh)), Watermelon Seeds (Moon and Stars Yellow), Watermelon Seeds (Sugar Baby), Watermelon Seeds (Sweet Dakota Rose), Wheat Seeds (Black Eagle Spring), Wheat Seeds (Hard Red Spring), Wheat Seeds (Wheat Seeds ), Winter Squash Seed (Burgess Buttercup), Winter Squash Seed (Waltham Butternut ), Yarrow Seeds, Zinnia Seeds, Zinnia Seeds (Benary's Giant Coral Zinnia), Zinnia Seeds (Giant Purple), Zinnia Seeds (Oklahoma Salmon Zinnia), Zinnia Seeds (Queeny Red Lime), Zinnia Seeds (Red), Zinnia Seeds (Thumbelina), Zucchini Seeds, Zucchini Seeds (Black Beauty), Zucchini Seeds (Dark Star)</t>
  </si>
  <si>
    <t>Other: Storage &amp; Transloading of Organic Grain</t>
  </si>
  <si>
    <t>Processed  Items: Canola Meal, Soybean Meal; Other Grains, Pastas and Cereals: Corn, Grain Services--Transloading of organic grains exclusively for The Scoular Company, Wheat</t>
  </si>
  <si>
    <t>Other: Organic Brown Teff Flour, Brown Teff Grain, Brown Teff Seed, Ivory Teff Flour, Ivory Teff Grain, and Ivory Teff Seed.</t>
  </si>
  <si>
    <t>Other: Flour (Wheat) (All Purpose White - Complex Blend of White (2 lb. &amp; 5 lb.)), Flour (Wheat) (All-Purpose Flour - Unbleached White Wheat (2 lb. &amp; 5 lb.)), Flour (Wheat) (All-Purpose Flour - White Flour Milled from Red Wheat (2 lb. &amp; 5 lb.)), Flour (Wheat) (Bread Flour - Complex Blend of White and Red Wheat (2 lb. &amp; 5 lb.)), Flour (Wheat) (Bread Flour - Unbleached White Wheat (2 lb. &amp; 5 lb.)), Flour (Wheat) (Pastry Flour (2 lb. &amp; 5 lb.)), Flour (Wheat) (Pizzeria Flour (2 lb. &amp; 5 lb.)), Flour (Wheat) (Unbleached Bread Flour (2 lb. &amp; 5 lb.)), Flour (Wheat) (Whole Grain Wheat - Complex Blend of White and Red Wheat (2 lb. &amp; 5 lb.)), Flour (Wheat) (Whole Red Wheat Flour (2 lb. &amp; 5 lb.)), Flour (Wheat) (Whole Wheat Flour - Unbleached White Wheat (2 lb. &amp; 5 lb.)), Wheat Berries (Hard Red Spring Whole Berries (2 lb. &amp; 5 lb.))</t>
  </si>
  <si>
    <t>Other: Ancient Grain Granola - Original, Apple &amp; Oat - Soft-Baked Bar, Apple, Sweet Potato &amp; Spinach, Banana Chocolate Chip - Soft-Baked Bar, Banana, Pumpkin &amp; Cauliflower, Chocolate Oat - Soft-Baked Bar, Edibites - Blueberry Cranberry, Edibites - Peanut Butter Carob Swirl, Edibites - Sweet Potato Pie, Grain Free - Banana Nut Butter Granola, Grain Free - Cinnamon Peanut Butter Granola, Grain Free - Coconut Cashew Granola, Grain Free - Vanilla Almond Butter Granola, Mixed Berry - Soft-Baked Bar, Original Salty-Sweet - Granola, Pineapple &amp; Greens, Rasp-Berry Beet &amp; Kale, Strawberry, Pumpkin &amp; Beet</t>
  </si>
  <si>
    <t>Other Grains, Pastas and Cereals: Hominy (Blue Corn, White Corn, Yellow Corn), Hominy Grits (Blue Corn, White Corn, Yellow Corn), Masa (Blue Corn, White Corn, Yellow Corn); Bread/Bakery/Snacks: Tortillas (Blue Corn, Tortilla Verde, White Corn, Yellow Corn), Tortillas (Guajillo Chile)</t>
  </si>
  <si>
    <t>Other Grains, Pastas and Cereals: Quinoa (Quinoa); Meat Products: Chicken (Freeze Dried Cooked Chicken Diced White Meat); Health Products: Supplements (BlenditUp Protein+); Fruits/Vegetables: Fruit and Vegetable Snacks (Freeze Dried Mangoes), Vegetables (Freeze Dried Spinach)</t>
  </si>
  <si>
    <t>Other: Barley, Buckwheat, Cleaning, Conditioning, Bulk Packaging, Labeling, and Storage of Grains and Seed, Corn, Flax, Lentils, Oats, Peas, Rye, Screenings, Soybeans, Triticale, Wheat</t>
  </si>
  <si>
    <t>Other Grains, Pastas and Cereals: Buckwheat kernels, Gws pumpkin kernels, Lentils, Shine skin pumpkin kernels, Shine skin pumpkin seeds, Snow white pumpkin seeds, Soy beans, Sunflower kernels; Nuts/Seeds: Flax seeds, Sunflower seeds; Fruits/Vegetables: Beans (Adzuki beans), Beans (Dark red kidney beans), Beans (Light speckled kidney beans), Beans (Mung beans), Goji berry</t>
  </si>
  <si>
    <t>Processed  Items: Concentrated soybean protein, Flours and Meals (Corn flour), Flours and Meals (Glutinous rice flour), Flours and Meals (Oat flour), Flours and Meals (Pea starch), Flours and Meals (Potato starch), Flours and Meals (Rice bran), Flours and Meals (Rice flour), Flours and Meals (Wheat flour), Flours and Meals (Wheat starch), Flours and Meals (Corn gluten meal), Flours and Meals (Flax meal(Also called: Flax expeller;Flax cake)), Flours and Meals (Rapeseed meal(Also called: Rapeseed expeller,Rapeseed cake)), Flours and Meals (Rice bran meal), Flours and Meals (Sesame meal), Flours and Meals (Soybean meal(Also called: Soybean expeller,Soybean cake)), Flours and Meals (Brown rice flour), Flours and Meals (Buckwheat flour), Flours and Meals (Sunflower meal(Also called: Sunflower expeller,Sunflower cake)), Flours and Meals (Wheat bran), Flours and Meals (wheat gluten meal), Pea fiber, Pea protein, Powders (Soybean powder), Powders (Soybean protein powder), Roasted buckwheat kernel, Roasted corn, Roasted soybean; Other Grains, Pastas and Cereals: Barley, Beans (Mung bean), Beans (Mung bean hulled), Beans (Pinto bean(also called: Light speckled kindey bean)), Beans (Red kidney bean(Also called : Dark red kidney bean)), Beans (White kidney bean), Black soybean, Black soybean with green kernel, Buckwheat, Buckwheat groats, Buckwheat husk, Buckwheat kernel, Chickpea, Corn, Corn chop, Corn cob, Cowpea, Cracked corn, Green soybean, Lentil, Millet, Non-sticky millet(also called Hulled millet,Millet), Oats (Oat kernel), Pea, Puffed soybean, Rice (Paddy), Rice (Black paddy), Rice (Black rice), Rice (Glutinous paddy), Rice (Glutinous rice), Rice (Broken rice), Rice (Brown rice), Sorghum (Grain sorghum/Sorghum), Soybean, Soybean hulled, Squashed corn, Sticky hulled millet(Also called: Glutinous millet), Sticky millet, Sunflower kernel, Wheat (Wheat); Oils &amp; Oleoresins: Oils (Rapeseed oil), Oils (Raw flax oil), Oils (Rice bran oil), Oils (Sesame oil), Oils (Soybean oil), Oils (Sunflower oil); Nuts/Seeds: Nuts (Walnut kernels), Seeds (Watermelon seed), Seeds (Sunflower seed), Seeds (Flax seed), Seeds (Hemp seed), Seeds (Hemp seed kernel), Seeds (Perilla seed), Seeds (Pumpkin seed), Seeds (Pumpkin seed grwon without shell(Also called: Pumpkin kernels GWS)), Seeds (Pumpkin seed shine skin kernel), Seeds (Rape seed), Sesame; Fruits/Vegetables: Beans (Adzuki bean), Beans (Black kidney bean), Berries (Goji berries), Potato, Pumpkin kernel(also called: Pumpkin kernel shine skin); Animal Feed: Blended feed pellets, Corn germ cake, Mixed feed 2-1, Mixed feed 2-11, Mixed feed 2-15, Mixed feed 2-16, Mixed feed 2-2, Mixed feed 2-3, Mixed feed 2-4, Mixed feed 2-5, Mixed feed 2-6, Mixed feed 2-7, Mixed feed1, Mixed feed2</t>
  </si>
  <si>
    <t>Trees/Whole Plant Products/Flowers: Seeds (Watermelon seed); Preservatives/Extracts/Flavors: Extracts (Pea fiber), Extracts (Pea protein), Extracts (Pea starch), Extracts (Potato starch), Extracts (Wheat starch), Herbs (Rape seed); Other Grains, Pastas and Cereals: Barley, Buckwheat, Buckwheat kernel, Corn, Cracked corn, Millet, Non-sticky millet (also called Hulled millet,Millet), Oats (Oat kernel), Rice (Paddy), Rice (Rice bran), Rice (Glutinous paddy), Rice (Glutinous rice), Rice (Black paddy), Rice (Black rice), Rice (Broken rice), Rice (Brown rice), Roasted buckwheat kernel, Sorghum, Sticky hulled millet (Also called: Glutinous millet), Sticky millet, Wheat; Oils &amp; Oleoresins: Oils (Rapeseed oil), Oils (Raw flax oil), Oils (Rice bran oil), Oils (Sesame oil), Oils (Soybean oil), Oils (Sunflower oil); Nuts/Seeds: Flax seed, Perilla seed, Sesame, Sunflower kernel, Sunflower seed, Walnuts (Walnut kernels); Fruits/Vegetables: Beans (Adzuki bean), Beans (Black kidney bean), Beans (Black soybean), Beans (Black soybean with green kernel), Beans (Green soybean), Beans (Lentil), Beans (Mung bean), Beans (Mung bean hulled), Beans (Pinto bean (also called: Light speckled kindey bean)), Beans (Red kidney bean (Also called: Dark red kidney bean)), Beans (Soybean), Beans (Soybean hulled), Beans (White kidney bean), Beans (Concentrated soybean protein), Beans (Roasted soybean), Berries (Goji berries), Chickpea, Cowpea, Pea, Potato, Pumpkin kernel (also called: Pumpkin kernel shine skin), Pumpkin seed, Pumpkin seed grown without shell (Also called: Pumpkin kernels GWS), Pumpkin seed shine skin kernel, Roasted corn; Dry/Baking Goods: Flours and Meals (Brown rice flour), Flours and Meals (Buckwheat flour), Flours and Meals (Corn flour), Flours and Meals (Glutinous rice flour), Flours and Meals (Oat flour), Flours and Meals (Rice flour), Flours and Meals (Wheat flour); Bread/Bakery/Snacks: Cereal Bars (Corn cob); Animal Feed: Livestock Feed (Mixed feed 2-1), Livestock Feed (Mixed feed 2-11,), Livestock Feed (Mixed feed 2-2), Livestock Feed (Mixed feed 2-3,), Livestock Feed (Mixed feed 2-4,), Livestock Feed (Mixed feed 2-5), Livestock Feed (Mixed feed 2-6), Livestock Feed (Mixed feed 2-7), Livestock Feed (Blended feec pellets), Livestock Feed (Corn germ cake), Livestock Feed (Corn gluten meal), Livestock Feed (Flax meal (Also called: Flax expeller; Flax cake)), Livestock Feed (Mixed feed1), Livestock Feed (Mixed feed2),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bran), Livestock Feed (Wheat gluten meal), Livestock Feed (Buckwheat groats), Livestock Feed (Buckwheat husk), Livestock Feed (Corn chop); Other: Hemp seed kernel, Hump seed</t>
  </si>
  <si>
    <t>Other: Agaricus, Alfalfa – is powder/extract/extract/juice powder, Allulose, Anhydrous Glucose, Apricots, Astragalus,Bean Pastesorghum, Bean(Adzuki, Kidney, Mung, Red Kidney, Soya, Black Kidney), Bell Pepper, Black Boyabeans with Green Kernel, Black Currant,Black Dried Date,Black Dried Pitted,Black Pepper Extract,Black Sesame Seed/Oil/Paste/Powder White Sesame Seeds/Oil/Paste/Powder, Blackcurrant, Blueberry, Broccoli, Cabbage, China Cabbage, Carrot, Cauliflower, Cereals, Chaga, Cinnamon, Cordyceps Military, Corn, Corn Gluten Meal, Corn Starch, Sweet Corn, Dandelion, Dextrose Monohydrate, Dried Vegetables &amp; Derived Products, Edamame, Eleuthero Root, Flax Seeds cake/meal/expeller, Flaxseed, Frankincense, Fresh Mucowity Corn, Frozen Mucowity Corn, Fructose Syrup, Fructose syrup/crystalline fructose, Fruit-Based Preparations, Garlic, Garlic Root/Bolt/Stem/Sprout, Ginkgo, Ginseng, Glucose Syrup, Goji Berry, Goji Berry Dried, Goji Berry Fresh, Goji Berry Juice, Goji Berry Leaf Dried, Goji Berry Powder, Goji Berry Puree, Goji Berry Seabuckthorn Juice, Grain Corn, Grain Mill Products, Grains, Green Beans, Green Tea Powder, Hemp, Hulled Millet, Inulin – Powder/syrup/liquid, Isomaltooligosaccharide, Jerusalem Artichoke Inulin, Jujubes, Kukimame, Lavender &amp; Powder, Legume Fruits, Leguminous Crops and Oil Seeds, Licorice, Light Speckled Kidney Bean, Lingonberry, Lion’s Mane, Malt Syrup, Maltitol, Maltodextrin, Millet, Miso Soup, Mukimame, Mung Bean Starch, Not Husked Condiments And Seasonings, Oak Milk, Oils, Onion, Other Tree and Bush Fruits, Paddy Rice Paddy, Pea, Peach, Pepper/Chilli, Pome fruits &amp; Stone Fruits, Potato, Potato Flour, Sweet Potato, Pumpkin, Rapeseed cake/meal/expeller, Raspberries, Red Dried Date, Red Dried Pitted, Red Ginseng, Reduced Sodium Soy Sauce, Rice, Starch Rice, Vinegar Rice, Brown Rice, Rose Hip Powder &amp; Extract, Royal Jelly, Sashimi Soya Sauce, Schisandra Chinensis, Seasonings, Culinary Help, Concentrates Cooking Wine, Soyabean Curd/Fermented Tofu/Bean Curd, Sesame cake/meal/expeller, Snap Bean, Sorbitol, Sour Cabbage, Soya Sauce, Gluten Free Less Sodium Soy Sauce/Tamaegarri LESS SODIUM SOY SAUCE Natural Salt Organic Fresh Double-Breed Soy Sauce, Red Sorghum Vinegar/Vinegar/Aromatic Vinegar, Soyabean cake/meal/expeller, Soyabean Crude Oil, Soybean Kernel, Soybean Kernel/Mukimame, Soybean Starch, Soybean/Edamame, Black Soybeans, Spinach, Spirulina Chlorella, Spring Common Wheat, Star Anise Fruit, Strawberries, Sunflower Seed, Sunflower Seed cake/meal/expeller, Sunflower Seed Kernels, Sunflower Seeds, Sunflower Seeds Crude Oil, Sweet Soy Sauce, Tamari Soy Sauce/GLUTEN FREE SOY SAUCE, Vegetable &amp; Melons, Roots &amp; Tubers, Vegetable Fats And Derived Products Seasonings//Culinary Help/Concentrates, Vegetable-Based Preparation, Water Chestnut, White Ginseng, White Kidney Beans, Whole-Bean Low Salt Soy Sauce, Xylitol, Zucchini</t>
  </si>
  <si>
    <t>Other Grains, Pastas and Cereals: Buckwheat, Oats, Oats, Wheat; Nuts/Seeds: Alfalfa Seed, Sunflower Seed; Fruits/Vegetables: Beans, Beans, Vegetables; Condiments and Sweeteners: Mustards; Other: Dehulling of Seed, Grain Bagging, Grain Cleaning, Grain Storage, Seed Bagging</t>
  </si>
  <si>
    <t>Seasonings: Seasoning Blends (Cayenne Pepper), Seasoning Blends (Garlic &amp; Herb), Seasoning Blends (Onion Powder), Seasoning Blends (Everything Bagel Seasoning), Seasoning Blends (Chili Powder), Seasoning Blends (Curry Powder), Seasoning Blends (Garam Masala), Seasoning Blends (Everything (but the) Bagel), Seasoning Blends (Thai Spice), Seasoning Blends (Turmeric), Seasoning Blends (Allspice), Seasoning Blends (Black Pepper), Seasoning Blends (Cajun Seasoning), Seasoning Blends (Garlic Powder), Seasoning Blends (Nutmeg, Ground), Seasoning Blends (Lemongrass), Seasoning Blends (Onion, Minced), Seasoning Blends (Sesame Seed, Black), Seasoning Blends (Cinnamon, Ground), Seasoning Blends (Sesame Seed, Natural), Seasoning Blends (Cajun Style Everything Seasoning), Seasoning Blends (BBQ Everything Seasoning), Seasoning Blends (Curried Everything Seasoning), Seasoning Blends (Dill Everything Seasoning), Seasoning Blends (Herbed Everything Seasoning), Seasoning Blends (Jalapeno Everything Seasoning), Seasoning Blends (Smoked Paprika Everything Seasoning), Seasoning Blends (Peppercorn Pink), Seasoning Blends (Peppercorn Black), Seasoning Blends (Peppercorn Green), Seasoning Blends (Peppercorn Medley), Seasoning Blends (Peppercorn White); Processed  Items: Chocolate Salted Hazelnut Butter, Coconut Cashew Butter, Dehydrated Foods (Coconut Chips - Maple Toasted), Dehydrated Foods (Date Coconut Rolls), Dehydrated Foods (Raisins - Thompson), Dehydrated Foods (Medjool Dates), Dehydrated Foods (Plums), Dehydrated Foods (Prunes, Pitted), Dehydrated Foods (Raisins - Flame), Dehydrated Foods (Cherries, Tart), Dehydrated Foods (Coconut, Chips), Dehydrated Foods (Coconut, Shredded), Dehydrated Foods (Apple, Rings), Dehydrated Foods (Apricots, Turkish), Dehydrated Foods (Blueberries), Dehydrated Foods (Apple, Dices), Dehydrated Foods (Coconut - Maple Toasted), Dehydrated Foods (Coconut Chips -Sweet &amp; Salty Toasted), Dehydrated Foods (Cranberries), Dehydrated Foods (Currants - Zante), Dehydrated Foods (Figs - Black Mission), Dehydrated Foods (Figs - White Turkish), Dehydrated Foods (Ginger, Crystallized), Dehydrated Foods (Goji Berries), Dehydrated Foods (Golden Berries), Dehydrated Foods (Mango), Dehydrated Foods (Mango Slices), Dehydrated Foods (Mango Strips), Dehydrated Foods (Raisins - Sultana (Golden)), Dehydrated Foods (Mulberries), Dehydrated Foods (Papaya), Dehydrated Foods (Pineapple, Chunks), Dehydrated Foods (Pineapple, Rings), Dehydrated Foods (Very Berry Mix), Dehydrated Foods (Tomatoes - Sun Dried Unsalted), Dehydrated Foods (Raisins - Golden Select), Lightly Salted Mixed Nut Butter, Maple Almond Butter, Maple Cashew Butter, Maple Mixed Nut Butter, Maple Pecan Butter, Raw Almond Butter, Salted Almond Butter, Salted Cashew Butter, Unsalted Almond Butter, Unsalted Cashew Butter, Unsalted Hazelnut Butter; Preservatives/Extracts/Flavors: Powders (Ashwagandha Powder), Powders (Flax Powder), Powders (Hemp Powder), Powders (Pea Protein Powder), Powders (Maca Powder), Powders (Cacao Powder), Powders (Chia Powder); Other Grains, Pastas and Cereals: Oats (Gluten Free Whole), Quinoa (White Quinoa); Oils &amp; Oleoresins: Oils (Avocado Oil), Oils (Macadamia Nut Oil), Oils (Extra Virgin Olive Oil); Nuts/Seeds: Almonds (Blanched), Almonds (Blanched Roasted Salted), Almonds (Blanched Roasted Unsalted), Almonds (Cocoa Dusted), Almonds (Raw, California), Almonds (Raw, California Sliced), Almonds (Raw, Sliced), Almonds (Raw, Spanish), Almonds (Raw, Unpasteurized), Almonds (Raw, Whole), Almonds (Roasted Garlic), Almonds (Roasted Maple Glazed), Almonds (Roasted Picante), Almonds (Roasted Tamari), Almonds (Roasted, Salted), Almonds (Roasted, Unsalted), Almonds (Backyard BBQ), Almonds (Jalapeno Rosemary), Almonds (Maple Smoked), Black Chia Seed, Raw, Brazil Nut (Raw), Brazil Nut (Roasted, Salted), Brown Flax Seed, Raw, Cashew Nuts (Dill), Cashew Nuts (Raw, Pieces), Cashew Nuts (Raw, Whole), Cashew Nuts (Roasted Cajun), Cashew Nuts (Roasted Curry), Cashew Nuts (Roasted Garam Masala), Cashew Nuts (Roasted Garlic &amp; Herb), Cashew Nuts (Roasted Honey), Cashew Nuts (Roasted Honey Sriracha), Cashew Nuts (Roasted Maple), Cashew Nuts (Roasted Maple Ginger), Cashew Nuts (Roasted Pieces - Maple Cinnamon), Cashew Nuts (Roasted Pieces - Salted), Cashew Nuts (Roasted Pieces - Unsalted), Cashew Nuts (Roasted Salted), Cashew Nuts (Roasted Sea Salt &amp; Onion), Cashew Nuts (Roasted Sea Salt &amp; Pepper), Cashew Nuts (Roasted Tamari), Cashew Nuts (Roasted Thai Spiced), Cashew Nuts (Roasted, Unsalted), Cashew Nuts (Maple Cardamom), Cashew Nuts (Everything Bagel), Cashew Nuts (Carne Asada), Cashew Nuts (Chili Lime), Cashew Nuts (Curro), Cashew Nuts (Pizzeria), Cashew Nuts (Vanilla Flan), Cashew Nuts (Caliente Cashews), Cashew Nuts (Carne Asada), Cashew Nuts (Chili Lime), Cashew Nuts (Curro), Cashew Nuts (Roasted Honey Siracha), Cashew Nuts (Pizzeria), Cashew Nuts (Roasted Sea Salt &amp; Onion), Cashew Nuts (Vanilla Flan), Cashew Nuts (Caliente Cashews), Hazelnut (Raw), Hazelnut (Roasted Maple Glazed), Hazelnut (Roasted Salted), Hazelnut (Roasted Unsalted), Hemp Seeds, Hulled, Macadamia (Raw), Macadamia (Roasted Salted), Macadamia (Roasted Unsalted), Nuts (Chocolate Cranberry Cashew Mix (Triple C Mix)), Nuts (Mixed, Raw), Nuts (Raw, California Mix), Nuts (Tierra Raw Mix), Nuts (Super Food Base Blueberry Almond), Nuts (Super Food Base Cran-Apple Cashew), Nuts (Super Food Base Hazelnut Date), Nuts (Super Food Base Prune Pecan), Nuts (Cashew Coconut Bark), Nuts (Super Food Base), Nuts (Mixed Roasted Nuts - Maple Glazed), Nuts (Mixed Roasted Nuts - Salted), Nuts (Mixed Roasted Nuts - Unsalted), Nuts (Deluxe Nut Mix), Pecans (Raw), Pecans (Salted, Roasted), Pecans (Unsalted, Roasted), Pecans (Maple Glazed, Roasted), Pine Nuts (Italian, Raw), Pistachios (In Shell, Raw), Pistachios (Meats, Raw), Pistachios (Roasted In-Shell - Salted), Pistachios (Roasted In-Shell - Unsalted), Pistachios (Roasted Meats - Salted), Pistachios (Roasted Meats - Unsalted), Popcorn Kernels, Raw European Pumpkin Seeds, Raw Pumpkin Seeds (Pepitas), Roasted Pumpkin Seeds (Pepitas) - Maple Cinnamon, Roasted Pumpkin Seeds (Pepitas) - Salted, Roasted Pumpkin Seeds (Pepitas) - Spicy, Roasted Pumpkin Seeds (Pepitas) - Tamari, Roasted Pumpkin Seeds (Pepitas) - Unsalted, Roasted Salted European Pumpkin Seeds, Roasted Sunflower Seeds - Salted, Roasted Sunflower Seeds - Tamari, Roasted Sunflower Seeds - Unsalted, Roasted Sunflower Seeds - Unsalted, Sesame Seeds, Raw, Sunflower Seeds, Raw, Walnuts (Halves, Raw), Walnuts (Maple Cinnamon, Roasted), Walnuts (Maple, Roasted), Walnuts (Pieces, Raw), Walnuts (Salted, Roasted), Walnuts (Unsalted, Roasted), Walnuts (Maple Vanilla); Dry/Baking Goods: Flours and Meals (Brown Rice Flour), Flours and Meals (Garbanzo Bean Flour), Flours and Meals (Light Buckwheat Flour), Flours and Meals (Sorghum Flour), Flours and Meals (Millet Flour); Condiments and Sweeteners: Honey (Honey Pure), Sweeteners (Maple Sugar), Syrups (Maple Syrup, Amber Rich Grade A), Vinegar (Balsamic Vinegar); Chocolate Goods: Chocolate (Almond Bark), Chocolate (Chocolate Chips), Chocolate (Chocolate Covered Almonds), Chocolate (Chocolate Covered Cashews), Chocolate (Chocolate Covered Cherries), Chocolate (Chocolate Covered Coconut), Chocolate (Chocolate Covered Cranberries), Chocolate (Chocolate Covered Espresso Beans), Chocolate (Chocolate Covered Ginger), Chocolate (Chocolate Covered Hazelnuts), Chocolate (Chocolate Covered Raisins), Chocolate (Chocolate Dollops), Chocolate (Cocoa Dusted Cashews), Chocolate (Cranberry Pistachio Bark), Chocolate (Pistachio Bark), Chocolate (White Chocolate Chunks), Chocolate (Chocolate Covered Blueberries), Chocolate (Chocolate Covered Bananas), Chocolate (Cocoa Powder Dutch), Chocolate Nibs (Raw Cacao Nibs); Bread/Bakery/Snacks: Snack Mixes (Festivus Mix), Snack Mixes (Serenity Now Mix), Snack Mixes (Tierra Trail Mix), Snack Mixes (High Peaks Trail Mix), Snack Mixes (Goji Berry Granola), Snack Mixes (Cinnamon Maple Nut Granola), Snack Mixes (Cranberry Cashew Pecan Granola), Snack Mixes (Healthy Living Loves Granola), Snack Mixes (Just Granola (Granola Base)), Snack Mixes (Maple Ginger Cashew Granola), Snack Mixes (Pistachio Mulberry Granola), Snack Mixes (Triple Berry Granola), Snack Mixes (Cranberry Almond Granola Grain Free), Snack Mixes (Cranberry Cashew Pecan Maple Granola), Snack Mixes (Blueberry Almond Granola), Snack Mixes (Honey Nut Granola), Snack Mixes (Chocolate Granola Base), Snack Mixes (Grain Free Clusters - Original), Snack Mixes (Grain Free Clusters - Pecan Pie), Snack Mixes (Grain Free Clusters - Cacao Walnut Brownie), Snack Mixes (Island Heat Mix); Beverage Related Products: Coffee (After Dinner Blend (Half Decaf)), Coffee (Blonde Blend), Coffee (Breakfast Blend), Coffee (Chocolate Almond), Coffee (Summer Blend), Coffee (Three Region Blend), Coffee (Cold Brew (All Coffees)), Coffee (Colombian), Coffee (Decaf), Coffee (Espresso Blend), Coffee (Ethiopian), Coffee (Fall Blend), Coffee (French Roast), Coffee (French Vanilla), Coffee (Guatamalan), Coffee (Hazelnut), Coffee (Holiday Blend), Coffee (Honduran), Coffee (Honduran Natural), Coffee (Mexican), Coffee (Nicaragua), Coffee (Papau New Guinea), Coffee (Peruvian), Coffee (Pumpkin Spice), Coffee (Spring Blend), Coffee (Sumatra), Coffee (Sumatra Decaf), Coffee (Winter Warmer Blend), Coffee (Yin Yang Blend), Coffee (Tierra Decaf Blend), Tea (North Point Black), Tea (rish Breakfast), Tea (Black Vanilla), Tea (Roobios Coconut), Tea (Black Chai), Tea (Breakfast Blend), Tea (Cold Brew (All Teas)), Tea (Darjeeling Autumnal), Tea (Decaf Black), Tea (Decaf Earl Grey), Tea (Earl Grey), Tea (Ginger Black), Tea (Gunpowder), Tea (Herbal Chai), Tea (Orange Spice), Tea (Raspberry Black), Tea (Rooibos), Tea (Rooibos Vanilla), Tea (Tierra Green), Tea (Yerba Mate)</t>
  </si>
  <si>
    <t>Other: Barley, Brokering, Canola, Canola (Ground), Corn, Corn (Ground), Corn (Silage), Cotton (Cotton Burrs), Cotton (Cottonseed), Dried Distillers Grains, Flax seed Meal, Flaxseed Oil, Hay - Other, Hay - Other (Wheat), Hay - Straw, Milo, Milo (Ground), Peas (Field), Soybean Meal, Soybean Oil, Soybeans, Soybeans (Ground), Wheat, Wheat (Ground)</t>
  </si>
  <si>
    <t>Other Grains, Pastas and Cereals: Barley, Chickpeas, Lentils, Emmer. Farro, Spelt, Wheat - Kamut ®
See Product Addendum for Specifics and Export Status</t>
  </si>
  <si>
    <t>Animal Feed: Livestock Feed (Grain: Flax Meal), Livestock Feed (Grain: Flax Seed), Livestock Feed (Grain: Flax Meal, Ground (aka Flax Flour)), Livestock Feed (Grain: Blended Cake (defatted flax, sesame, and sunflower seed))</t>
  </si>
  <si>
    <t>Other Grains, Pastas and Cereals: Barley (Barley, cleaned), Barley (Barley, sprouted); Nuts/Seeds: Golden Flaxseed; Dairy: Cream (Cream - Grass Fed Certified Organic), Milk (Milk - bulk raw), Milk (Milk - Grass-Fed Certified Organic Whole Raw Milk)</t>
  </si>
  <si>
    <t>Other: Basmati Rice - White, Broken Rice, Brown Basmati Rice, Brown Rice, Brown Rice Flour, Brown Rice Syrup 28-64 DE, Brown Super Kernel Basmati Rice, Clarified Rice Syrup 28-64 DE, Date Paste, Dextrose Monohydrate, Long Grain Broken Brown Rice, Long Grain Brown Rice, Long Grain White Rice, Milled Rice, Parboiled Basmati Rice, Parboiled Long Grain Rice, Parboiled Rice, Rice Maltodextrins, Rice Milk Powder, Rice Protein 45-75%, Rice Syrup Solids, Super Basmati Rice (White), Super Kernel Basmati Rice, Tapioca Dextrose Monohydrate, Tapioca Maltodextrin (10DE-18DE), Tapioca Syrup (28DE-64DE), Tapioca Syrup Solid (20DE-42DE), White Rice Flour</t>
  </si>
  <si>
    <t>Seasonings: Seasoning Blends (Contact certifier for equivalency arrangement qualifications), Spices (Contact certifier for organic status: 100% organic, organic); Pet Products: Supplements; Other Grains, Pastas and Cereals: Cereal (Contact certifier for organic status: 100% organic, organic, made with Contact certifier for equivalency arrangement qualification), Hard Red Wheat Berries, Rolled oat products; Dry/Baking Goods: Cocoa powder; Beverage Related Products: Cocoa mixes, Shake Mixes; Animal Feed: Supplements (Livestock feed supplements); Other: Gluten free flour, Pea starch, Soy Flour (Contact certifier for equivalency arrangement qualifications), Whole Yellow Pea Flour</t>
  </si>
  <si>
    <t>Other: Grain Transport / Storage</t>
  </si>
  <si>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</si>
  <si>
    <t>Other: Acai Blueberry Cashews 8/5.3OZ, Almond Mini Bar, Almonds with Tamari, Aloe Vera Powder, Amaranth, Amla Fruit Powder, Ancient Black Rice 8/15OZ, Andalucia Mix, Apple Cinnamon Granola, Apple Juice Infused Cranberries, Apple Rings, Apricots, Banana Chips 8/4.8OZ, Barley Flakes, Barley Hulled, Beans Adzuki, Beans Black Turtle, Beans Dark Kidney, Beans Mung, Beans Navy, Beans Pinto, Beluga Lentils, Bitter Apricot Kernels, Black Chia Seeds, Black Eyed Peas, Black Sesame Seeds, Blanched Slivered Almonds, Blueberries w/ Apple Juice, Brazil Nut Mini Bars, Brazil Nutes (Medium), Brazil Nuts - Midget, Brazil Nuts (broken), Brown Flax Meal, Brown Flax Seeds, Brown Rice Puffed, Bulk Tahini, Cacao Beans Raw, Cacao Nibs Raw, California Almonds, California Conadria Figs, California Flame Raisin, California Mission Figs, California Walnuts, Cane Sugar, Cashew Butter, Cereal Berry Infusion, Cereal Coconut Chia, Cereal Muesli, Cherries w/Apple Juice, Chia Seeds 8/8.8OZ, Chia Walnuts 20/1.25OZ, Chia Walnuts 8/4.6OZ, Chickpeas, Choco Bites (chia, puffed quinoa and maca) 60% paste, Chocolate Toffee Pistachios, Cinnamon Apples 8/3.2OZ, Cocoa Butter Wafers, Cocoa Liquor Wafers (100 % cocoa paste), Cocoa Powder 10-12% Fat Content, Cocoa Powder 14-16% Fat Content, Coconut Butter, Coconut Butter (65% Fat Content), Coconut Cashews 20/1.25OZ, Coconut Cashews 8/5.6OZ, Coconut Date Rolls, Coconut Milk 18%, Coconut Oil, Coconut Smiles 8/4.4OZ, Coconut Sugar, Couscous, Cranberries, Creamy Almond Butter, Crystallized Diced Ginger 5-10MM, Crystallized Diced Ginger 8-16MM, Crystallized Sliced Ginger, Dark Chocolate Almonds, Dark Chocolate Caramel Mini Bars, Dark Chocolate Chia Seeds 70%, Dark Chocolate Chips (no sugar added) 70%, Dark Chocolate Chips 70%, Dark Chocolate Chunks Semi-Sweet 55%, Dark Chocolate cocoa nibs (70 %), Dark Chocolate Espresso Beans (70 %), Dark Chocolate Mocha Chips 55%, Dark Chocolate Peanut Butter Mini Bars, Dark Chocolate Pomegranate 70%, Dark Chocolate Quinoa Puffed 70%, Dark Chocolate Sea Salt Cashews, Dark Chocolate Wafers 70%, Deglet Nour Dates 250G, Deglet Nour Dates 500G, Deglet Nour Diced Dates, Deglet Nour Pitted Dates, Desiccated fine coconut, Diced Golden Berries, Diced Mango, Diced Sundried Tomatoes 8-10MM, Dried Cranberries, Dried Fancy Strawberries, Dry Roasted Almonds, Dry Roasted Almonds w/ Sea Salt, Dry Roasted Brazil Nuts, Dry Roasted Cashews, Dry Roasted Cashews w/ Sea Salt, Dry Roasted Hazelnut/Filberts, Dry Roasted Pecans, Dry Roasted Salted Pistachios, Dry Roasted Salted Sacha Inchi Nuts, Dry Split Peanuts, European Pumpkin Seeds, European Raw Almonds, Fancy Blueberries, Fancy Cherries, Farro, Fenugreek Seeds, Fiji Mix 8/4.8OZ, Filbert Butter, Fine Bulgur, Flax Seeds 8/9.7OZ, Flour - Almond, Flour All Purpose (Gluten Free), Flour Amaranth (Gluten Free), Flour Brown Rice (Gluten Free), Flour Buckwheat (Gluten Free), Flour Cassava (Gluten Free), Flour Cauliflower (Gluten Free), Flour Chickpea (gluten free), Flour Coconut (Gluten Free), Flour Green Banana (Gluten Free), Flour Millet (Gluten Free), Flour Oat Fine Grind (Gluten Free), Flour Peanut 14% Fat Content (Lightly Roasted) (Gluten Free), Flour Sorgho (Gluten Free), Flour Tapioca (Gluten Free), Flour Unbleached Bread (High Gluten), Flour White Quinoa (Gluten Free), Flour White Rice (Gluten Free), Freekeh Cracked, French Pitted Prunes, Fruit Gummy without Gelatine, Fruity Jungle Gummy Mix, Gaia Mix, Ginger Powder, Goji Berries, Goji Berries 8/4.9OZ, Goji Sport Mix, Golden Flax Seeds, Granulated erythritol, Granulated erythritol with monk fruit, Gum Dummies, Gummy Cola Bottles, Gummy Fruits Frites, Gummy Reduced Sugar Berry Vegan, Gummy Sour Cherries, Hazelnut/Filberts, Health Mix, Hemp - Canadian Hulled Seeds, Himalayan Sunshine Mix 8/5.3OZ, Hulled Hemp Seeds 8/5.8OZ, Hulled Millet, Hulled Sesame Seeds, Jackfruit, Kamut® Flakes, Kamut® Grains, Kathmandu Mix, Lentils Brown, Lentils French, Lentils Green, Lentils Red, Lentils Yellow Split, Licorice Rolls Helix, Maca Cashews 8/5.6OZ, Macademia Nuts, Mango Slices 8/4.4OZ, Maple Flakes, Maple Sugar, Matcha Almonds 8/5.6OZ, Matcha Green Tea Powder 6/8.8OZ, Mediterranean Mix 8/5.3OZ, Medjool Dates, Milk Chocolate Cashews, Mixed Quinoa, Mulberries, Natural Figs, Natural Sesame Seeds, Natural Sliced Almonds, Oat Bran (Gluten Free), Oats Quick Rolled (Gluten Free), Oats Rolled (Gluten Free), Oh Mega Mix 8/4.8OZ, Papaya Spears, Pasta Fusilli Kamut®, Pasta Fusilli Spelt, Pasta Fusilli Vegetable, Pasta Fusilli White Wheat, Pasta Macaroni Spinach, Pasta Macaroni Whole Wheat, Pasta Vegetable Shell, Pasta Whole Wheat Penne, Peanut Butter, Pearl Barley, Peas - Green Split, Peas Yellow Split, Pecans, Peppermint Candy, Pine Nuts, Pineapple Chunks, Pineapple Chunks 8/3.7OZ, Pineapple Rings, Pistachio Kernels, Pitted Dates, Pitted Dates 8/6.5OZ, Pitted Prune, Pitted Prunes 8/7.9OZ, Potato Starch (Gluten Free), Powder - Maqui (Freeze Dried), Powder - Spirulina, Powder - Tigernut, Powder Acai Berry (Freeze Dried), Powder Acerola (Freeze Dried), Powder Arrowroot, Powder Ashwagandha, Powder Baobab, Powder Beet Juice, Powder Black Chia Protein 35%, Powder Blueberry Juice, Powder Camu Camu, Powder Chaga, Powder Cinnamon (Cassia), Powder Coconut Milk, Powder Cranberry, Powder Date, Powder Flax Seeds Protein 35%, Powder Goji, Powder Kale (Air Dry), Powder Lucuma, Powder Maca, Powder Matcha Green Tea (3x1KG), Powder Mesquite, Powder Moringa, Powder Pomegranate Juice (Spray Dried), Powder Psyllium Husk 95%, Powder Purple Corn, Powder Raw Pumpkin Seeds Protein 65%, Powder Raw Sunflower Seeds Protein 35%, Powder Roasted Carob, Powder Sacha Inchi, Powder Spinach, Powder Sweet Potato, Powder Wheatgrass, Powder White Quinoa Protein 35%, Powder Yacon, Powdre Brazil Nut (Gluten Free), Protein Boost Mix, Pumpkin Flax Granola, Pumpkin Seed Butter, Pumpkin Seeds, Quick Rolled Oats, Quinoa - Black, Quinoa - Black &amp; Red, Quinoa - White &amp; Red, Quinoa and Bamboo Rice Mix, Quinoa Crispy, Quinoa Puffed, Quinoa White, Rainforest Mix 8/5.3OZ, Raw Almonds 8/7.1OZ, Raw Brazil Nuts, Raw Cashew Meal, Raw Cashew Pieces, Raw Cashews, Raw Hazelnuts 8/5.8OZ, Raw Pecans 8/4.4OZ, Raw Pistachios 8/4.8OZ, Raw Soya Beans, Raw Wild Jungle Peanut, Red Quinoa, Red Quinoa 8/15OZ, Regular Mix Flakes, Regular Rolled Oats, Rice - White Arborio, Rice - White Medium Grain Sushi, Rice Ancient Black, Rice Basmati, Rice Brown Long Grain, Rice Canadian Wild Long, Rice Crispy, Rice Jade Green Pearl, Rice Jasmine Red, Rice Long Brown Jasmine, Rice White Long Grain, Rice White Long Jasmine, Roasted Salted Soya Beans, Rye Flakes, Rye Kernels, Safari Mix, Safari Mix 8/5.2OZ, Sea Salted Pistachios 8/5.1OZ, Semi-Sweet Chocolate Chips 48%, Sesame Seeds 8/8.8OZ, Shelled Sunflower, Shelled Sunflower EU Bakery, Shelled Sunflower Seeds RNS, Shine Skin Pumpkin Seeds, Sliced Mango, Sour Gummy Mix, Spelt Flakes, Spelt Kernels, Steelcut Oats, Sultana Raisins, Sun Dried Tomatoes, Sun-Dried Apricots 8/7.1OZ, Sun-Dried Thompson Raisins 8/7.9OZ, Sunflower Butter, Sunflower Seeds 8/7.1OZ, Sunny Soup Mix, Super 6 Seed Mix, Sweet and Salty Mix 8/5.3OZ, Sweetened Banana Chips, Tamari Almonds 8/6.2OZ, Tea Chamomile Citrus Herbal, Tea Earl Grey Vanilla Loose, Tea Green Sencha Leaf, Tea Honeydew Loose, Tea Indian Black, Tea Japanese Genmaicha, Tea Japanese Hojicha, Tea Jasmine &amp; Blueberry Loose, Tea White Bai Mu Dan, Thompson Raisins, Tigernuts Peeled, Tigernuts Sliced, Toasted Coconut Chips, Toasted Coconut Smiles, Trailblazer Mix, Trek Mix, Tricolor Quinoa, Turmeric Powder, Unsalted 5 Deluxe Mix, Walnuts 8/5.3OZ, Watermelon Kernels, Wheat, Wheat Flakes, White Chocolate Chips Cocoa Butter 45%, White Mulberries 8/4.4OZ, White Quinoa 8/15OZ, White Quinoa Flakes, Whole Einkorn, Whole Oat Groats, Whole White Buckwheat Groats (Gluten Free), Wine Gums, Wonder Mix 8/5.2OZ, Yacon Chunks, Yerba Mate, Zante Currant Raisins</t>
  </si>
  <si>
    <t>Processed  Items: Dehydrated Foods (Beet root, red beet - dried, Garlic - dried or powder, Onion - dried); Other Grains, Pastas and Cereals: Cereal (Maize (corn)), Wheat (Wheat); Nuts/Seeds: Seeds (Caraway seeds, Flaxseed (Linum usitatissimum)); Health Products: Herbs (Anise Seeds - dried, Basil (Ocimum basilicum) - dried, Calendula, Marigolds (Calendula officinalis) - dried, Chamomile (Matricaria chamomilla) - dried, Clover sweet (Melilotus officinalis) - dried, Coneflower (Echinacea) - dried, Coriander (seeds), Cumin, Dill (Anethum graveolens) - dried, Fennel (seeds), Fenugreek - dried, Geranium (Pelargonium graveolens) - dried, Ginger - dried, Hibiscus, Roselle, Carcade (Hibiscus sabdariffa) - dried, Liquorice - dried, Marjoram (Origanum majorana) - dried, Moringa leaves - dried, Nigella (Nigella sativa) - dried, Nigella seeds, Parsley - dried, Peppermint (Mentha piperita) - dried, Spearmint (Mentha spicata) - dried, Thyme (Thymus serpyllum) - dried); Other: Seeds (Sesame)</t>
  </si>
  <si>
    <t>Other: Adzuki, Agave Syrup, Almond Butter, Almond Meal, Almonds (Dry Roasted No Salt, Raw, Spanish), Apricots (Turkish), Banana Chips, Barley (Flakes, Pearled), Beans (Adzuki, Ancient Ancestor, Black, Garbanzo, Kidney Red Dark, Mung, Navy, Pink, Pinto, Red Small, Soy, Baby Lima, Great Northern), Brazil Nuts (Raw Shelled), Buckwheat Groats White, Cashew Butter (Creamy and Unsalted, No Salt, Salted, Stock), Cashews (Dry Roasted No Salt, Raw), Chia Seed, Coconut Date Rolls, Corn Meal Blue, Couscous (Wheat, Whole-Wheat), Dark Chocolate Almonds, Dark Chocolate Banana Chips, Dark Chocolate Cashews, Dark Chocolate Cranberries, Dark Chocolate Raisins, Dark Chocolate Walnut Halves and Pieces, Dates (Medjool, Pitted, Pitted Deglet), Dried Cranberries, Dried Organic Banana, Farro, Figs (Black, Calimyrna, Turkish), Filberts, Flax Seeds, Flour (Coconut, Oat, Spelt, Unbleached, Whole-Wheat, Whole-Wheat Pastry), Goji Berries, Granola (Ancient Grain, Cocoa Chia), Gummi (Bears, Cherries, Worms), Kamut Berries, Lentil (Green, Red, Red Spilt), Macadamia Nuts, Mango Slices, Millet (Hulled), Mulberries, Oat Bran (Coarse), Oats (Quick, Rolled, Steel cut, Thick Rolled), Pancake/Waffle Multigrain Mix, Peanut Butter (Creamy, Creamy Salted, Creamy Unsalted, Salted), Peanuts (Blanched Raw), Peas (Blackeye, Green Split, Yellow Split), Pepitas (Roasted No Salt, Raw, Roasted and Salted), Pineapple (Wedges, Chunks), Polenta, Popcorn (Yellow), Prunes (Pitted), Pumpkin Seed Butter (Roasted Unsalted), Quinoa (Red, Tri-Colored), Raisins (Beauty Black, Thompson Seedless), Rice (Black, Basmati White, Basmati Brown, Brown Long Grain, Brown Short Grain, Brown Wild Blend, Brown Basmati &amp; Wild, Brown Jasmine, Crisp Brown Rice, GF Brown Rice, Long Grain White, Short Grain White), Soy Nuts (Dry Roasted salted, Dry Roasted no salt), Sugar (Coconut, Turbinado), Sunflower Seeds (Raw Hulled, Raw in Shell, Roasted No Salt, Roasted Salted), Trail Mix (14ers, Berry Fruit &amp; Nut, Century, Continental Divide, Cranberry, Joshua Tree), Walnuts (Shelled Halfs and Pieces, Raw), Wheat Bulgur, Peanuts Dry Roasted No Salt</t>
  </si>
  <si>
    <t>Beverage Related Products: Coffee (Roasted Coffee In Grain)</t>
  </si>
  <si>
    <t>Other: Acerola Powder (High Vitamin C Powder), Amaranth Flour, Ashwagandha (Root Powder), Banana Flour (Green Banana Flour), Beet Powder (Beet Root Powder), Blend (Ares Pepper), Blend (Zeus Blend), Blended Flour (Gluten Free All-Purpose Flour and Pie Crust Mix), Blended Flour (Gluten Free Make-A-Cake Your Way), Blended Flour (Gluten Free Pancake, Waffle, &amp; Crepe Mix), Blended Flour (Gluten Free Pizza Crust Mix), Brown Sugar, Brown Sugar (Brown Sugar), Buckwheat Flour (Dark), Buckwheat Flour (Gluten Free Bread Mix), Cacao Powder, Cacao Powder (Black Velvet Cacao Powder), Cane Sugar, Cane Sugar, Cassava Flour, Millet Flour (Long Grain Rice Flour), Millet Flour (Millet Flour), Millet Flour (Millet Flour (whole)), Oat Flour (GF Whole Grain), Oat Flour (Gluten Free Protein All-Ternative Flour), Pomegranate Powder, Rice Flour (Brown), Sugar (Lemon Rimming Sugar), Sugar (Lychee Rimming Sugar), Sugar Floss (Banana), Sugar Floss (Bubblegum), Sugar Floss (Caramel), Sugar Floss (Champagne), Sugar Floss (Cheesecake), Sugar Floss (Cherry), Sugar Floss (Chili), Sugar Floss (Chocolate), Sugar Floss (Coffee), Sugar Floss (Gingerbread), Sugar Floss (Honey), Sugar Floss (Jasmine), Sugar Floss (Lavender), Sugar Floss (Lemon), Sugar Floss (Lilikoi), Sugar Floss (Lychee), Sugar Floss (Mango), Sugar Floss (Marshmallow), Sugar Floss (Orange Cream), Sugar Floss (Papaya), Sugar Floss (Peppermint), Sugar Floss (Pineapple), Sugar Floss (Pistachio), Sugar Floss (Pumpkin Spice), Sugar Floss (Root Beer), Sugar Floss (Rose), Sugar Floss (Strawberry), Sugar Floss (Vanilla), Sugar Floss (Wasabi), Sugar Floss (Watermelon), Tapioca Starch (Tapioca Starch (Flour))</t>
  </si>
  <si>
    <t>Other: Cocoa/Chocolate - Chocolate Chunk, Cocoa/Chocolate - Chocolate Drops, Cocoa/Chocolate - Cocoa Butter, Cocoa/Chocolate - Cocoa Powder, Dairy Products - Butter, Dairy Products - Milk Protein Concentrate (MPC) 85%, Dairy Products - Whey Protein Concentrate (WPC) 80%, Flavoring / Extract - Lemon #3068889, Flavoring/Extract - Almond #2622291, Flavoring/Extract - Blackberry 15.48125, Flavoring/Extract - Blueberry #08.9721O, Flavoring/Extract - Cocoa #17.402O, Flavoring/Extract - Lemon #2923604, Flavoring/Extract - Peanut #2927037, Flavoring/Extract - Sweetness Enhancer, Flavoring/Extract - Vanilla #2622260, Flour - Amaranth, Flour - BakeArom, Flour - Barley, Flour - Brown Flax, Flour - Buckwheat, Flour - Millet, Flour - Oat, Flour - Oat Fiber, Flour - Peanut, Flour - Potato, Flour - Quinoa, Flour - Rice, Flour - Sesame, Flour - Sorghum, Flour - Soy, Flour - Wheat, Grain / Seed - Poppy, Grain/Seed - Amaranth, Grain/Seed - Barley, Grain/Seed - Buckwheat Groats, Grain/Seed - Caraway, Grain/Seed - Chia Seeds, Grain/Seed - Cornmeal, Grain/Seed - Flax, Grain/Seed - Millet, Grain/Seed - Oat Bran, Grain/Seed - Oat Flakes, Grain/Seed - Oats, Grain/Seed - Pumpkin, Grain/Seed - Quinoa, Grain/Seed - Sorghum, Grain/Seed - Sunflower, Grain/Seed - Wheat Gluten, Hydrocolloid - Locust Bean Gum, Juice Concentrate - Blueberry, Juice Concentrate - Mandarin, Juice Concentrate - Mixed Fruit, Juice Concentrate - Orange, Nuts/Nut Products - Almond Butter, Nuts/Nut Products - Almonds, Nuts/Nut Products - Coconut, Nuts/Nut Products - Peanut Butter, Nuts/Nut Products - Peanuts, Oil - Canola, Oil - Canola Lecithin, Oil - Coconut, Oil - Olive, Oil - Peanut, Oil - Safflower, Oil - Soybean, Oil - Sunflower, Oil - Sunflower Lecithin, Oil - Tocopherol, Protein - Hemp Seed, Protein - Pea, Protein - Rice, Shortening - Palm, Spice/Seasoning - Basil, Spice/Seasoning - Buffalo Style, Spice/Seasoning - Cinnamon, Spice/Seasoning - Garlic, Spice/Seasoning - Garlic Minced, Spice/Seasoning - Garlic Powder, Spice/Seasoning - Garlic Snack Seasoning, Spice/Seasoning - Italian, Spice/Seasoning - Nutmeg, Spice/Seasoning - Onion Chopped, Spice/Seasoning - Onion Granulated, Spice/Seasoning - Onion Powder, Spice/Seasoning - Onions, Starch - Corn, Starch - Potato, Starch - Rice, Starch - Tapioca, Starch - Tapioca Maltodextrin, Starch - Tapioca Solids, Starch - Wheat, Sweetener - Agave, Sweetener - Brown Sugar, Sweetener - Coconut Palm Sugar, Sweetener - Erythritol, Sweetener - Honey, Sweetener - Malt Extract, Sweetener - Molasses, Sweetener - Powdered Sugar, Sweetener - Rice Syrup, Sweetener - Sugar, Sweetener - Sugar Invert, Sweetener - Sugar Syrup, Sweetener - Tapioca Syurp, Tea - Yerba Mate, Vegetable/Fruit - Blueberries, Vegetable/Fruit - Carrot Powder, Vegetable/Fruit - Cranberries, Vegetable/Fruit - Mirepoix, Vegetable/Fruit - Parsley, Vegetable/Fruit - Raisin, Vegetable/Fruit - Spinach Powder, Vinegar - Apple Cider, Vinegar - White Distilled</t>
  </si>
  <si>
    <t>Other Grains, Pastas and Cereals: Rice (Black jasmine rice/ Cargo Black Jasmine Rice, Thai cargo long grain rice/ Chai Nat brown rice, Thai Cargo Red Rice/ Red Rice, Thai Hom Mali Brown Rice /Thai Jasmine Brown rice, Thai Hom Mali Rice/ Thai Jasmine Rice, Thai white rice/Chai Nat rice)</t>
  </si>
  <si>
    <t>Other Grains, Pastas and Cereals: Noodles (Brown rice vermicelli), Noodles (Turmeric Rice Vermicelli (bún nghệ)), Noodles (White Rice Noodle/Instant Rice Noodle), Noodles (Brown Rice Noodle/Instant Rice Noodle), Noodles (White Rice Vermicelli), Pasta (Brown Rice Paper (brand name: Ocean’s Halo Purple Spring Roll Rice Wrap)), Pasta (White Rice Paper (Brand name: Ocean's Halo White Spring Roll Rice Wrap)), Pasta (Fried Rice Paper (banh trang cha gio)), Pasta (Purple Rice Paper (banh trang tim)), Pasta (Rice Paper (F2)), Pasta (Turmeric Rice Paper), Powders (White Rice Powder); Dry/Baking Goods: Powders (Brown rice powder); Other: Broken Rice Paper, Brown Rice Noodle / Instant Rice Noodle (1), Brown Rice Noodle / Instant Rice Noodle (2), Brown Rice Noodle / Instant Rice Noodle (3), Brown Rice Paper (1), Brown Rice Paper (2), Brown Rice Paper (3), Brown Rice Paper (4), Brown Rice Paper (5), Rice Noodles (Pad Thai 1), Rice Noodles (Pad Thai 2), Rice Noodles (Pad Thai 3), Rice Noodles (Pho King Soba), Rice Paper (2). 1, Rice Paper (2). 2, Rice Paper (2). 3, Turmeric Rice Paper (1), Turmeric Rice Paper (2), Turmeric Rice Paper (3), Turmeric Rice Paper (4), Turmeric Rice Paper (5), White Rice Noodle / Instant Rice Noodle (1), White Rice Noodle / Instant Rice Noodle (2), White Rice Noodle / Instant Rice Noodle (3), White Rice Paper (1), White Rice Paper (2), White Rice Paper (3), White Rice Paper (4), White Rice Paper (5)</t>
  </si>
  <si>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</si>
  <si>
    <t>Other: 190 Proof Grain Neutral Spirits Ethanol, 190 Proof Grape Alcohol, 190 Proof Sugar Cane Ethanol, 80 Proof Sugar Cane Ethanol Denatured with Salt</t>
  </si>
  <si>
    <t>Other: Corn, Drying of organic grains, Oats, Soybeans, Storing of organic grains, Wheat</t>
  </si>
  <si>
    <t>Other: Ajwain, Almond, Almond Oil, Amaranth Flour, Amaranth Popped, Amaranth/Amaranthus/Thotakura, Amla Dried, Amla Oil, Amla Powder, Arhar Dal (Red Gram/Pigeon Pea), Ashwagandha Powder, Bajra Flour/ Atta, Bajra Porridge/Dalia, Barley Flour, Barley Porridge/Dalia, Barley Whole, Barnyard Millet Flour, Basmati Paddy, Basmati Rice, Basmati Rice -Brown, Bay Leaves/Tejpatta, Beaten Rice, Bengal Gram Whole, Bengal Gram(Chana)Flour, Black Gram Split White, Black Gram White, Black Mustard Seed, Black Pepper, Black Pepper Powder, Black Pepper TBC, Black Tea, Brahmi/Bacopa Monnieri, Brahmi/Bacopa Monnieri Powder, Broken Rice, Brown Gram/Gram/Chana (Cicer Arietinum), Brown Rice, Buckwheat (Other Than Seed), Buckwheat Flour, Cardamom, Cardamom Large, Cashew Nut (Roasted), Cashew Whole, Cashewnut Kernels, Castor Oil, Chana Dal, Chana Masala, Chia, Chicken Curry Masala, Chickpea/Kabuli Chana (Garbanzos), Chitra Kidney Beans/Rajma (Phaseolus Vulgaris), Cinnamon, Cinnamon (Powder), Clove Powder, Clove TBC, Clove Whole, Coconut, Coconut Oil, Coriander, Coriander Powder, Cowpea, Cowpea Red, Cumin Powder, Cumin Whole, Dried Curry Leaves, Dried Mango Slices, Fennel Powder, Fennel/Saunf, Fenugreek, Fenugreek Powder (Methi Powder), Flax Seed, Flax Seed Powder, Foxtail Millet, Foxtail Millet Flour, Garam Masala, Garlic, Garlic Powder, Ginger Powder, Ginger Whole (Dried), Gram Flour/Besan, Green Gram Flour, Green Gram Whole (Moong Sabut), Green Gram/Moong Dhuli, Green Peas, Green Tea, Groundnut/Peanut, Groundnut/Peanut Oil (Edible Grade), Groundnut/Peanut Roasted, Holy Basil Powder, Holy Basil/Rama Tulsi, Idly Rava, Idly Rice, Jaggery, Jaggery Powder, Jowar Porridge, Jowar/Sorghum, Jowar/Sorghum Flour, Kalonji/Nigella, Khandasari Sugar, Kodo Millet Flour, Kodo/Kodon Millet, Lentil Flour, Little Millet, Mace, Mace Powder, Maida, Maize (Corn), Maize/ Corn Porridge (Dalia), Maize/Corn Flour, Malka Whole, Mango Powder/ Aamchur, Masala Tea, Masoor Dal, Masoor/Lentil, Masur/Masoor Dhuli, Millet, Millet Flour, Millet Porridge, Mint Leaves Dehydrated, Missi Atta, Mix Dal, Mix Tea, Moong Dal-Split, Moringa (M.Oleifera), Moringa Powder, Moth, Multigrain Atta, Mustard, Mustard Oil (Aroma/E. Oil), Mutton Curry Masala, Non Basmati Paddy (Sarju-52), Non Basmati Paddy-Brown Dudheshwar, Non-Basmati Brown Rice, Non-Basmati Paddy Black, Non-Basmati Paddy-Brown Gobindbhog, Non-Basmati Paddy-Brown Telangana Sona/RNR 15048, Non-Basmati Paddy-Sona Masuri, Non-Basmati Rice, Non-Basmati Rice-Brown Telangana Sona/RNR 15048, Non-Basmati Rice-Dudheshwar Brown, Non-Basmati Rice-Dudheshwar White, Non-Basmati Rice-Gobindbhog Brown, Non-Basmati Rice-Gobindbhog White, Non-Basmati Rice-RNR/ Telangana Sona, Non-Basmati Rice-White Telangana Sona/RNR 15048, Non-Basmati White Rice (Long Grain), Nutmeg Powder, Nutmeg Whole, Oat Flour, Oats (Flakes), Oats (Seed/Grains), Onion, Onion (Powder), Onion Flakes, Pearl Millet/Bajra, Peshawari Biryani Masala, Poha Flattened Rice, Ponni Rice, Proso Millet, Puffed Rice Chivda, Pumpkin Seeds, Quinoa, Quinoa Flour, Ragi (Finger Millet- Other Than Seed), Ragi Flour, Raisins/Kismis, Raw Rice Sonamasuri, Red Chilli (Whole), Red Chilli Flakes, Red Chilli Powder, Red Flattened Rice, Red Kidney Beans/Rajma (Phaseolus Vulgaris), Red Rice, Red Rice Flour, Red Rice Paddy, Rice Flour, Rice Hand Pounded, Rice Sonamasuri Brown, Rice Sonamsuri, Roasted Almonds, Roasted Chana Dal, Roasted Gram/ Chana, Rosemary, Sattu, Sawan/Barnyard Millet, Seed Mix, Sesame, Sesame Seeds, Shatavari, Shatavari Powder, Soyabean/Soybean Flour, Soybean, Spice Mix, Split Chickpea/Kabuli Chana (Garbanzos), Split Lentil, Stevia Leaves-Dried, Sugar, Sugar (Brown/Natural), Suji/Semolina/ Cream Of Wheat, Sunflower Oil: Edible Grade, Sunflower Seeds: Of Seed Quality, Tamarind/Imli (T.indica), Tea Tulsi Ginger, Terminalia Arjuna, Terminalia Bellirica/Baheda, Thymes, Turmeric Fresh, Turmeric Powder, Turmeric Whole-Dried, Urad dal Dhuli, Urad Dal Split, Urad White /Urad White Whole ( Urad Gota), Urad Whole(Black Gram), Walnut, Wheat, Wheat Flour, Wheat Porridge/Dalia, Wheat Porridge/Dalia (Roasted), White Pepper, White Pepper Powder, Yellow Mustard</t>
  </si>
  <si>
    <t>Other: Almond Butter (Bulk, Nonretail), Almond Butter (Creamy Almond Butter), Cashew Butter (Creamy Cashew Butter), Coconut Butter (Coconut Butter), Pasta (Fusilli), Pasta (Gluten + Grain-Free Chickpea Linguini), Pasta (Gluten + Grain-Free Chickpea Linguini (IQF)), Pasta (Gluten + Grain-Free Red Lentil Fusilli), Pasta (Gluten + Grain-Free Red Lentil Fusilli (IQF)), Pasta (Gluten-Free Fettuccine), Pasta (Gluten-Free Four Cheese Tortelloni), Pasta (Gluten-Free Fusilli), Pasta (Gluten-Free Linguini), Pasta (Gluten-Free Red Lentil Elbow Macaroni - 6mm), Pasta (Gluten-Free Red Lentil Macaroni - 4.2mm), Pasta (Gluten-Free Spinach &amp; Cheese Ravioli), Pasta (Spaghetti), Pasta (Tagliatelle), Peanut Butter (Bulk, Nonretail), Peanut Butter (Creamy Peanut Butter), Peanut Butter (Crunchy Peanut Butter), Seed Butter (Creamy Sunflower Seed Butter), Tahini (Creamy Tahini)</t>
  </si>
  <si>
    <t>Other: Beans (Black), Beans (Black Beans), Beans (Dark Red Kidney Beans (bulk)), Beans (Garbanzo), Beans (Garbanzo Beans), Beans (Great Northern Beans (Bulk)), Beans (Great Nothern), Beans (Light Red Kidney), Beans (Navy Beans), Beans (Pinto), Beans (Red Kidney), Black Beans, Black Beans, Chia, Chia (Black Chia Seeds), Corn (Yellow Popcorn), Couscous, Flax Seed, Grains (Ancient Grains), Grains (Farro), Grains (Freekeh), Grains (Intercontinental Super Grains), Grains (Super Grains), Grains (Whole Grain Medley), Green Lentils, Lentils, Lentils (French Green), Lentils (French Green Lentils), Lentils (Green ), Lentils (Lentils), Lentils (Red), Packaging (Client Profile Products only) (Dry Beans &amp; Rice), Peas (Green Split Peas), Quinoa (Classic (White)), Quinoa (Golden), Quinoa (Quinoa), Quinoa (Red ), Quinoa (Red Quinoa), Quinoa (Traditional), Quinoa (Tri-Color), Quinoa (Tri-Color Quinoa), Quinoa (White), Quinoa (White Quinoa), Rice (Arborio), Rice (Basmati), Rice (Basmati - Brown), Rice (Basmati - White, Brown), Rice (Brown Basmati), Rice (Brown Jasmine), Rice (Brown Long Grain ), Rice (Brown Rice), Rice (Indian Basmati Long Grain Brown Rice), Rice (Indian Basmati Long Grain White Rice), Rice (Indian Basmati Rice), Rice (Indian Brown Basmati Long Grain), Rice (Indian White Basmati Long Grain), Rice (Instant White), Rice (Jasmine), Rice (Jasmine - Brown, White Thai), Rice (Jasmine Rice Regenerative Organic Certified), Rice (Jasmine White Thai), Rice (Long Grain), Rice (Long Grain Brown Rice), Rice (Long Grain White Basmati Rice Regenerative), Rice (Long Grain White Rice), Rice (Long Grain White Rice Regenerative Organic Certified), Rice (Rice and Lentil Medley), Rice (Rice Medley), Rice (Short Grain Brown Rice), Rice (Sushi Rice Short Grain White), Rice (Thai Jasmine White), Rice (Thai Jasmine White Rice), Rice (Variety Pack), Rice (White Basmati), Rice (White Jasmine), Rice (White Long Grain), Rice (White Rice), Rice (White Thailand Jasmine), Rice (Wild Rice Mix), Rice (Jasmine), Rice (Long Grain Brown), Rice (Long Grain Brown), Rice (Long Grain White), Rice (Long Grain White), Rice (Long Grain), Rice Blends (Ancient Grain Blend), Rice Blends (Antioxidant Blend), Rice Blends (Protein Blend), Short Grain Brown Rice, Split Peas (Green), Split Peas (Green Split Peas), Split Peas (Yellow (Bulk))</t>
  </si>
  <si>
    <t>Other Grains, Pastas and Cereals: Storage, Sorting and Bagging Dry Edible Beans and Grains; Fruits/Vegetables: Beans (Black Beans (100% Organic)), Beans (Garbanzo Beans (100% Organic)), Beans (Great Northern Beans (100% Organic)), Beans (Green Split Peas (100% Organic)), Beans (Lentils (100% Organic)), Beans (Lentils-Red Decorticated (100% Organic)), Beans (Light Red Kidneys (100% Organic)), Beans (Pinto Beans (100% Organic)), Beans (Yellow Split Peas (100% Organic))</t>
  </si>
  <si>
    <t>Other: Cooling (Produce, Grains, Legumes, Seeds), Fresh Fruit (Apples), Fresh Fruit (Berries), Fresh Fruit (Cherries), Fresh Fruit (Citrus), Fresh Fruit (Cranberries), Fresh Fruit (Dates), Fresh Fruit (Dragon Fruit), Fresh Fruit (Gooseberries), Fresh Fruit (Grapefruit), Fresh Fruit (Grapes), Fresh Fruit (Kiwi), Fresh Fruit (Lemon), Fresh Fruit (Lemons), Fresh Fruit (Lemons, Meyer), Fresh Fruit (Limes), Fresh Fruit (Mandarins), Fresh Fruit (Mango), Fresh Fruit (Melons), Fresh Fruit (Oranges), Fresh Fruit (Peach), Fresh Fruit (Pears), Fresh Fruit (Persimmon), Fresh Fruit (Persimmons), Fresh Fruit (Pineapple), Fresh Fruit (Pineapples), Fresh Fruit (Pluots), Fresh Fruit (Pomegranate), Fresh Fruit (Pomegranates), Fresh Fruit (Quince), Fresh Fruit (Stone Fruit), Fresh Fruit (Tropical Fruit), Fresh Fruit (Watermelon), Fresh Herbs (Cilantro), Fresh Herbs (Dill), Fresh Herbs (Fennel), Fresh Herbs (Herbs), Fresh Produce (Agretti), Fresh Produce (Anchocress), Fresh Produce (Artichokes), Fresh Produce (Asparagus), Fresh Produce (Assorted Clamshells), Fresh Produce (Avocados), Fresh Produce (Beans), Fresh Produce (Beans, Green), Fresh Produce (Beans, Green), Fresh Produce (Beets), Fresh Produce (Beets, Chioggia), Fresh Produce (Beets, Gold), Fresh Produce (Beets, Gold), Fresh Produce (Beets, Red), Fresh Produce (Beets, Red), Fresh Produce (Bok Choi), Fresh Produce (Braising Mix), Fresh Produce (Broccoli), Fresh Produce (Broccoli Rabe), Fresh Produce (Brussel Sprouts), Fresh Produce (Brussels), Fresh Produce (Burdock), Fresh Produce (Cabbage), Fresh Produce (Carrots), Fresh Produce (Carrots, Nantes), Fresh Produce (Carrots, Nantes), Fresh Produce (Cauliflower), Fresh Produce (Celery), Fresh Produce (Celery Root), Fresh Produce (Celtuce), Fresh Produce (Chard), Fresh Produce (Chard, Gold), Fresh Produce (Chard, Green), Fresh Produce (Chard, Green), Fresh Produce (Chard, Rainbow), Fresh Produce (Chard, Rainbow), Fresh Produce (Chard, Red), Fresh Produce (Chard, Red), Fresh Produce (Cipollini), Fresh Produce (Collards), Fresh Produce (Collards), Fresh Produce (Corn), Fresh Produce (Cucumber), Fresh Produce (Daikon), Fresh Produce (Daikon Radish), Fresh Produce (Dandelion), Fresh Produce (Eggplant), Fresh Produce (Endive), Fresh Produce (Escarole), Fresh Produce (Escarole), Fresh Produce (Fennel), Fresh Produce (Fennel), Fresh Produce (Frisee), Fresh Produce (Gai), Fresh Produce (Garlic), Fresh Produce (Ginger), Fresh Produce (Gourds), Fresh Produce (Green Onions, Scallions), Fresh Produce (Jicama), Fresh Produce (Kale), Fresh Produce (Kale, Dino), Fresh Produce (Kale, Dino), Fresh Produce (Kale, Green), Fresh Produce (Kale, Green), Fresh Produce (Kale, Red Russian), Fresh Produce (Kale, Redbor), Fresh Produce (Kale, Redbor), Fresh Produce (Kohlrabi), Fresh Produce (Komatsuna), Fresh Produce (Leeks), Fresh Produce (Lettuce), Fresh Produce (Lettuce butter), Fresh Produce (Lettuce butter), Fresh Produce (Lettuce, Butter Red), Fresh Produce (Lettuce, Butter Red), Fresh Produce (Lettuce, Leaf Green), Fresh Produce (Lettuce, Leaf Green), Fresh Produce (Lettuce, Leaf Red), Fresh Produce (Lettuce, Leaf Red), Fresh Produce (Lettuce, Romaine), Fresh Produce (Lettuce, Romaine), Fresh Produce (Micro Greens), Fresh Produce (Mushrooms), Fresh Produce (Mustard Greens), Fresh Produce (Nettles), Fresh Produce (Okra), Fresh Produce (Onions), Fresh Produce (Onions, Red), Fresh Produce (Onions, White), Fresh Produce (Onions, Yellow), Fresh Produce (Orach), Fresh Produce (Parsley), Fresh Produce (Parsnips), Fresh Produce (Peas), Fresh Produce (Peppers), Fresh Produce (Potato, Fingerling), Fresh Produce (Potato, Red), Fresh Produce (Potato, Russet), Fresh Produce (Potato, White), Fresh Produce (Potato, Yellow), Fresh Produce (Potatoes), Fresh Produce (Puntarella), Fresh Produce (Purslane), Fresh Produce (Raddichio), Fresh Produce (Radicchio), Fresh Produce (Radish), Fresh Produce (Rapini), Fresh Produce (Rhubarb), Fresh Produce (Root Vegetables), Fresh Produce (Rucola), Fresh Produce (Rutabaga), Fresh Produce (Scallion), Fresh Produce (Shallots), Fresh Produce (Shiso), Fresh Produce (Spinach), Fresh Produce (Squash), Fresh Produce (Squash, Winter, Acorn), Fresh Produce (Squash, Winter, Buttercup), Fresh Produce (Squash, Winter, Butternut), Fresh Produce (Squash, Winter, Delicata), Fresh Produce (Squash, Winter, Kabocha Gr), Fresh Produce (Squash, Winter, Kabocha Red), Fresh Produce (Squash, Winter, Red Kuri), Fresh Produce (Squash, Winter, Spaghetti), Fresh Produce (Squash, Winter, Sugar Pie), Fresh Produce (Squash, Winter, Sweet Dumpling), Fresh Produce (Summer Squash), Fresh Produce (Sunchokes), Fresh Produce (Sweet Potatoes), Fresh Produce (Sweet Potoates), Fresh Produce (Swiss Chard), Fresh Produce (Tatsoi), Fresh Produce (Tomatillos), Fresh Produce (Tomatoes), Fresh Produce (Turmeric), Fresh Produce (Turnips), Fresh Produce (Watercress), Fresh Produce (Winter Squash, Butternut), Fresh Produce (Zuchinni), Grains (Wheat Berries, Bulk (no label)), Packing (Client Profile Products only) (Produce, Grains, Legumes, Seeds), Seed (Various), Storage (Produce, Grains, Legumes, Seeds)</t>
  </si>
  <si>
    <t>Other Grains, Pastas and Cereals: Flours and Meals (Whole Grains or Seeds: Sunflower Seeds (Raw)), Seeds (Whole Grains or Seeds: Northwest Delights - Styrian Pumpkin Seeds), Seeds (Whole Grains or Seeds: Pepitas – Roasted and Salted), Seeds (Whole Grains or Seeds: Mother's California Market - Pepitas Dry Roasted &amp; Salted), Seeds (Whole Grains or Seeds: Mother's California Market - Pepitas Raw), Seeds (Whole Grains or Seeds: Haggen - Pepitas Raw), Seeds (Whole Grains or Seeds: Northwest Delights - Pepitas Dry Roasted &amp; Salted), Seeds (Whole Grains or Seeds: Atkinsons' - Pepitas Dry Roasted &amp; Salted), Seeds (Whole Grains or Seeds: Northwest Delights - Pepitas Raw), Seeds (Whole Grains or Seeds: Raw Pepitas); Nuts/Seeds: Nuts (Roasted: Almonds – Roasted and Salted), Nuts (Roasted: Northwest Delights - Almonds (Roasted No Salt)), Nuts (Roasted: Mother's California Market - Almonds Dry Roasted &amp; Salted), Nuts (Roasted: Mother's California Market - Cashews Dry Roasted No Salt), Nuts (Roasted: Mother's California Market - Cashews Dry Roasted &amp; Salted), Nuts (Roasted: Haggen - Cashews Dry Roasted &amp; Salted), Nuts (Roasted: Northwest Delights - Cashews Dry Roasted &amp; Salted), Nuts (Roasted: Atkinsons' - Cashews Dry Roasted &amp; Salted), Nuts (Roasted: Cashews (Roasted No Salt)), Nuts (Roasted: Cashews – Roasted and Salted), Nuts (Almonds: Mother's California Market - Almonds Raw), Nuts (Almonds: Haggen - Almonds Raw), Nuts (Almonds: Assorted Varieties), Nuts (Almonds: Atkinsons' - Almonds Raw), Nuts (Almonds: Northwest Delights - Almonds Raw), Nuts (Walnuts: Atkinsons' - Walnuts Halves &amp; Pieces), Nuts (Walnuts: Northwest Delights - Walnut Halves &amp; Pieces), Nuts (Walnuts: Assorted Varieties), Nuts (Walnuts: Mother's California Market - Walnut Halves &amp; Pieces), Nuts (Walnuts: Haggen - Walnut Halves &amp; Pieces), Nuts (Pine Nuts: Mother's California Market - Pine Nuts), Nuts (Pine Nuts: Northwest Delights - Pine Nuts), Nuts (Pine Nuts: Haggen - Pine Nuts), Nuts (Cashew Nuts: Northwest Delights – Cashews Raw), Nuts (Cashew Nuts: Mother's California Market - Cashews Raw), Nuts (Cashew Nuts: Haggen - Cashews Raw), Nuts (Pecans: Northwest Delights - Pecans Raw), Nuts (Pecans: Atkinsons' - Pecans Raw), Nuts (Pecans: Assorted Varieties), Nuts (Pecans: Mother's California Market - Pecans); Fruits/Vegetables: Dehydrated Foods (Dried: Mother's California Market - Zante Currants), Dehydrated Foods (Dried: Northwest Delights - Zante Currants), Dehydrated Foods (Dried: Zante Currants), Dehydrated Foods (Dried: Northwest Delights – Date Pieces), Dehydrated Foods (Dried: Haggen - Medjool Dates), Dehydrated Foods (Dried: Mother's California Market - Coconut Date Roll), Dehydrated Foods (Dried: Northwest Delights - Coconut Date Roll), Dehydrated Foods (Dried: Northwest Delights - Almond Date Roll), Dehydrated Foods (Dried: Northwest Delights - Chopped Dates), Dehydrated Foods (Dried: Northwest Delights - Medjool Dates), Dehydrated Foods (Dried: Northwest Delights - Date Powdered Sugar), Dehydrated Foods (Dried: Mother's California Market - Medjool Dates), Dehydrated Foods (Dried: Mother's California Market - Date Pieces), Dehydrated Foods (Dried: Mother's California Market - Almond Date Roll), Dehydrated Foods (Dried: Haggen - Coconut Date Roll), Dehydrated Foods (Dried: Haggen - Deglet Dates), Dehydrated Foods (Dried: Northwest Delights - Deglet Noor Dates), Dehydrated Foods (Dried: Mother's California Market - Turkish Apricots), Dehydrated Foods (Dried: Northwest Delights - Turkish Apricots), Dehydrated Foods (Dried: Mother's California Market - Apricots), Dehydrated Foods (Dried: Northwest Delights - Golden Figs), Dehydrated Foods (Dried: Northwest Delights - Black Mission Figs), Dehydrated Foods (Dried: Mother's California Market - Black Mission Figs), Dehydrated Foods (Dried: Mother's California Market - Golden Figs), Dehydrated Foods (Dried: Hawaii's Diamond Head Delights - Banana Chips), Dehydrated Foods (Dried: Mother's California Market - Banana Chips), Dehydrated Foods (Dried: Haggen - Banana Chips), Dehydrated Foods (Dried: Northwest Delights – Prunes), Dehydrated Foods (Dried: Mother's California Market - Pitted Prunes), Dehydrated Foods (Dried: Northwest Delights - Pitted Prunes), Dehydrated Foods (Dried: Haggen - Pitted Prunes), Dehydrated Foods (Dried: Atkinsons' - Pitted Prunes), Dehydrated Foods (Dried: Mother's California Market - Prunes), Dehydrated Foods (Dried: Northwest Delights - Sultana Raisins), Dehydrated Foods (Dried: Northwest Delights - Raisins), Dehydrated Foods (Dried: Mother's California Market - Raisins), Dehydrated Foods (Dried: Mother's California Market - Mango), Dehydrated Foods (Dried: Haggen - Mango Slices), Dehydrated Foods (Dried: Hawaii's Diamond Head Delights - Mango), Dehydrated Foods (Dried: Mother's California Market - Cranberry Delights), Dehydrated Foods (Dried: Mother's California Market - Cranberry), Dehydrated Foods (Dried: Haggen - Cranberry Delights), Dehydrated Foods (Dried: Northwest Delights - Cranberry Apple Juice Infused), Dehydrated Foods (Dried: Northwest Delights – Cranberry Delights); Chocolate Goods: Chocolate (Cocoa or Chocolate: Mother's California Market - Dark Chocolate Coconut Chews), Chocolate (Cocoa or Chocolate: Northwest Delights - Dark Chocolate Coconut Chews); Bread/Bakery/Snacks: Bread (Prepared Goods: Northwest Delights - Greek Yogurt Pretzels), Bread (Prepared Goods: Northwest Delights - Yogurt Pretzels)</t>
  </si>
  <si>
    <t>Other: Grain Services--Cleaning &amp; Bagging, Grain Services-Roasting, Grain Services--Storage, Grain Services--Transloading, Wheat, White Corn, White Corn Splits/Screenings, Yellow Corn, Yellow Corn Splits/Screenings</t>
  </si>
  <si>
    <t>Other: Grain Sales--Black Eyed Peas, Black Eyed Peas Splits/Screenings, Grain Services--Cleaning &amp; Bagging, Grain Services--Storage, Grain Services--Transloading, Wheat</t>
  </si>
  <si>
    <t>Other: Ajwain, Almond, Aloe Vera Juice, Amaranth Flour, Amaranth Seed/ Ram Dhana, Amla, Amla Dried, Amla Juice, Amla Powder, Arhar, Arhar Dal (Red Gram/Pigeon Pea), Ashwagandha Powder, Ashwagandha Root, Ashwagandha Root Powder, Bajra Flour/ Atta, Bajra Porridge/Dalia, Barley Flour, Barley Porridge/Dalia, Barley Whole, Basmati Paddy, Basmati Rice-Brown, Basmati Rice-White, Bay Leaf, Bay Leaf Powder, Beet Root, Beet Root Powder, Black Mustard Oil, Black Mustard Seed, Black Pepper, Black Pepper Powder, Black Pepper TBC, Broken Rice, Brown Gram/Gram/Chana (Cicer Arietinum), Brown Rice, Brown Rice Flour, Buckwheat (Other Than Seed), Buckwheat- Dehulled, Buckwheat Flour, Cardamom Large (Black), Cardamom Oil, Cardamom Powder, Cashew Whole, Castor Oil, Castor Seeds, Chana Dal, Chickpea/Kabuli Chana (Garbanzos), Chitra Kidney Beans/Rajma (Phaseolus Vulgaris), Cinnamon, Cinnamon (Powder), Clove Powder, Clove Whole, Coconut Oil, Coriander, Coriander Powder, Cowpea Red, Cowpea/Lobia Whole(V.unguiculata/Sinensis), CTC Tea, Cumin Powder, Cumin Whole, Dehydrated Bitter Gourd, Dehydrated Onion Powder, Dried Cardamom, Dried Curry Leaves, Fennel Powder, Fennel/Saunf, Fenugreek Powder (Methi Powder), Fenugreek Seed (Methi Seed), Flax Seed, Foxtail Millet, Garam Masala, Garlic Powder, Ginger Powder, Ginger Sliced Dried, Gram Flour/Besan, Green Gram Whole (Moong Sabut), Green Gram/Moong Dhuli, Green Tea, Groundnut/Peanut, Groundnut/Peanut Oil (Edible Grade), Groundnut/Peanut Roasted, Jaggery, Jaggery Powder, Jowar Porridge, Kalonji/Nigella, Kasuri Methi, Kodo/Kodon Millet, Lentil, Little Millet, Mace, Maida, Maize (Corn), Maize/ Corn Porridge (Dalia), Maize/Corn Flour, Mango (Fresh), Mango Powder/ Aamchur, Masur/Masoor Dhuli, Matki/Moth Bean, Mint/Mentha/Pudina, Mix Dal, Moong Dal-Split With Shell, Moth Dhuli, Multi Grain Atta, Multi Nine Grain Flour, Non-Basmati Rice, Nutmeg, Nutmeg Powder, Olive Oil, Parsley, Pea Pulse (Pisum Sativum), Pearl Millet/Bajra, Poha Flattened Rice, Psyllium Husk (Isobgul), Quinoa, Ragi Flour, Ragi/Finger Millet Grain, Raisins/Kismis, Red Chilli (Whole), Red Chilli Flakes, Red Chilli Powder, Red Kidney Beans/Rajma (Phaseolus Vulgaris), Red Lentil, Red Rice, Rice Flour, Rice Porridge/Dalia, Rice Puffed, Rice Sonamasuri Brown, Rice Sonamasuri Semi Brown, Rice-Sona Masuri, Roasted Bengalgram Dal, Roasted Gram/ Chana, Saffron, Sattu, Sawan/Barnyard Millet, Sesame Oil/Gingelly Oil, Sesame/Sesamum, Seven Grains Flour, Sorghum, Sorghum Flour, Soyabean/Soybean Flour, Soybean, Star Anise, Sugar, Sugar (Brown/Natural), Suji/Semolina/ Cream of Wheat, Sunflower Oil: Edible Grade, Thymes, Turmeric Dried, Turmeric Powder, Urad Dal-Spilt With Shell, Urad Dal-Split Without Shell, Urad Dal-Whole(White), Urad Whole(Black), Wheat, Wheat Bran, Wheat Flour, Wheat Porridge/Dalia, White Pepper, White Pepper Powder</t>
  </si>
  <si>
    <t>Seasonings: Herbs (Dried: Red Clover Leaf and Blossom - C/S, TBC, and Mixed Cut), Herbs (Dried: Catnip Leaf and Flower - C/S, TBC, and Mixed Cut), Herbs (Dried: Nettle Root - Rough Chop, C/S, TBC, and Mixed Cut), Herbs (Dried: Nettle Leaf - C/S, TBC, and Mixed Cut), Herbs (Dried: Burdock Root - Rough Chop, C/S, TBC, and Mixed Cut), Herbs (Dried: Skullcap - C/S, TBC, and Mixed Cut), Herbs (Dried: Peppermint - C/S, TBC, and Mixed Cut), Herbs (Dried: Valerian Root - Rough Chop, C/S, TBC, and Mixed Cut), Herbs (Dried: Lemon Balm - C/S, TBC, and Mixed Cut), Herbs (Dried: Codonopsis - Rough Chop, C/S, TBC, and Mixed Cut), Herbs (Dried: Ginkgo biloba - whole), Herbs (Dried: Ashwagandha Root - C/S, TBC, Mixed Cut, Powder), Herbs (Dried: Marshmallow Leaf - C/S, TBC, and Mixed Cut), Herbs (Dried: Marshmallow Root - Rough Chop, C/S, TBC, and Mixed Cut), Herbs (Dried: Alfalfa Leaf - C/S, TBC, and Mixed Cut), Herbs (Dried: Echinacea purpurea Herb - C/S, TBC, and Mixed Cut), Herbs (Dried: Echinacea purpurea Root - Rough Chop, C/S, TBC, and Mixed Cut), Herbs (Dried: Echinacea angustifolia Root - Rough Chop, C/S, TBC, and Mixed Cut), Herbs (Dried: Echinacea angustifolia Herb - C/S, TBC, and Mixed Cut), Herbs (Dried: Oatstraw - C/S, TBC, and Mixed Cut), Herbs (Dried: Spearmint - C/S, TBC, and Mixed Cut), Herbs (Dried: Dandelion Leaf - C/S, TBC, and Mixed Cut), Herbs (Dried: Dandelion Root - Rough Chop, C/S, TBC, and Mixed Cut), Herbs (Dried: Licorice Root - Rough Chop, C/S, TBC, and Mixed Cut); Other Grains, Pastas and Cereals: Flours and Meals (Whole Grains or Seeds: Winter Rye), Oats (Whole Grains or Seeds: Oats); Other: Seeds (Feed and Forage: Field Peas)</t>
  </si>
  <si>
    <t>Other Grains, Pastas and Cereals: Amaranth flour, Amaranth seed, Buckwheat, Buckwheat flour, Buckwheat groats / grits, Buckwheat hulled, Buckwheat roasted / kasha, Sorghum hulled</t>
  </si>
  <si>
    <t>Baby Food: Baby Food (Advanced Nutrition Blends (4 pack)), Baby Food (Apple &amp; Blueberry ), Baby Food (Apple &amp; Sweet Potato), Baby Food (Apple, Banana, Spinach &amp; Avocado ), Baby Food (Apple, Carrot, Beet &amp; Ginger ), Baby Food (Apple, Sweet Potato, Blueberry &amp; Coconut Milk ), Baby Food (Applesauce Apple Strawberry), Baby Food (Baby Blends - Butternut Squash (with Cinnamon)), Baby Food (Baby Blends-  Pear (with Ginger)), Baby Food (Baby Fruit &amp; Veggie Blend Apple, Banana &amp; Kale (with Flax Seed)), Baby Food (Coconut Milk Yogurt Alternative - Ba-nilla), Baby Food (Coconut Milk Yogurt Alternative - Mixed Berry), Baby Food (Coconut Milk Yogurt Alternative - Strawberry Banana), Baby Food (Dairy Free Smoothie - Berry Berry), Baby Food (Dairy Free Smoothie - Coco for Mangoes), Baby Food (Dairy Free Smoothie - Go-Go Greens), Baby Food (Dairy Free Smoothie - Peach Sunrise), Baby Food (Dairy Free Smoothie - Strawberry Banana Swirl), Baby Food (Farmer Jen &amp; the Giant Squash - Koginut Squash), Baby Food (Farmer Jen's Baby Fruit &amp; Veggie Blend Pumpkin Apple &amp; Carrot), Baby Food (Farmer Jen's Pumpkin Apple Pie), Baby Food (Farmer Jen's Sweet Potato Pie), Baby Food (Fruit &amp; Veggie Blend - Ancient Grains &amp; Greens), Baby Food (Fruit &amp; Veggie Blend - Cauliflower Fields), Baby Food (Fruit &amp; Veggie Blend - Farmer Jen's Blueberry Buckle ), Baby Food (Fruit &amp; Veggie Blend - Farmer Jen's Pumpkin Oatmeal Cookie), Baby Food (Fruit &amp; Veggie Blend - Oats &amp; Roots), Baby Food (Fruit &amp; Veggie Blend - Peach, Mango, Apple &amp; Squash), Baby Food (Fruit &amp; Veggie Blend - Power Bowl), Baby Food (Fruit and Veggie Blends Variety Packs (4, 8, 12 pouch packs)), Baby Food (Fruit Blend - Mango), Baby Food (Green Kale &amp; Apple / Apple, Banana, Kale with Hemp Seed), Baby Food (Immunity Blend - Blueberry, Banana, and Ginger), Baby Food (Immunity Blend (12 pack) - Apple Cherry Elderberry /Mango Banana Spirulina), Baby Food (Immunity Blends - Apple Cherry Elderberry), Baby Food (Immunity Blends - Mango Banana Spirulina), Baby Food (Immunity Blends - Pineapple Banana Dragon Fruit), Baby Food (Immunity Blends (4 Pack)), Baby Food (Mama Blueberry / Apple, Sweet Potato, Blueberry with Coconut Milk), Baby Food (Mango Coconut &amp; Carrot), Baby Food (Mango, Coconut &amp; Carrot ), Baby Food (Oatmeal Blend - Pear &amp; Blueberry), Baby Food (Oatmeal Blend- Apple), Baby Food (Oatmeal Blend-Banana), Baby Food (OhMyMega Veggie! / Apple, Carrot, Beet with Ginger &amp; Flax), Baby Food (Pineapple Banana &amp; Kale ), Baby Food (Pineapple, Banana &amp; Kale ), Baby Food (Pineapple, Banana, Avocado &amp; Mint ), Baby Food (Smart Blend - Bananas for Apples &amp; Greens), Baby Food (Smart Blend - Pine-Apple Berry Punch), Baby Food (Smart Blend (4 pack)), Baby Food (Smart Blend- Pear-y Blueberry &amp; Spinach), Baby Food (Smart Blend- Ras-Pear-y Kale), Baby Food (Strawberry Patch / Strawberry, Squash, Coconut with Date, Vanilla &amp; Chia), Baby Food (Strawberry, Butternut Squash &amp; Coconut ), Baby Food (Tropical Twirl), Baby Food (Wild Rumpus Avocado / Pineapple, Banana, Avocado with Mint); Other: Blend (Apple Cinnamon Applesauce), Blend (Baby Fruit &amp; Veggie Blend - Pear, Apple, Cranberry &amp; Beet), Blend (Belly Blend - Banana, Berry &amp; Acai), Blend (Belly Blend - Red Berries, Cherries &amp; Sweet Potato), Blend (Belly Blend 4 Pack - Red Berries, Cherries &amp; Sweet Potato and Banana Berry &amp; Acai), Blend (Fruit &amp; Veggie Blend - Cran-Berry Smash), Coconut (Frozen Coconut Milk), Dairy (A2/A2 Whole Milk Shake - Banana Creme), Dairy (A2/A2 Whole Milk Shake - Strawberry Creme), Dairy (A2/A2 Whole Milk Shake - Triple Berry), Dairy (Whole Milk Smoothie - Banana Berry Blast), Dairy (Whole Milk Smoothie - Mango Pear-adise), Dairy (Whole Milk Smoothie - Orange Squeeze), Oatmeal (Overnight Oats- Strawberry), Oatmeal (Overnight Oats-Apple Cinnamon), Oatmeal (Overnight Oats-Blueberry), Pasteurization (HPP)</t>
  </si>
  <si>
    <t>Other: Adzuki Beans, Alfalfa Powder (Super Food Sprout Powder - Alfalfa), Alfalfa Seeds, Alfalfa Seeds, Alfalfa Seeds, Alfalfa Seeds (Allstar), Alfalfa Seeds (Sprouting), Alfalfa Seeds (Sprouts Alfalfa), Amaranth Seeds (Coral Fountain ), Amaranth Seeds (Elephant Head), Amaranth Seeds (Hopi Red Dye), Amaranth Seeds (Hot Biscuits ), Amaranth Seeds (Polish), Amaranth Seeds (Red), Amaranth Seeds (Sprouting), Amaranth Seeds (Sprouting - Red Garnet), Artichoke Seeds (Imperial Star), Artichoke Seeds (Tavor Imperial Star Organic ), Artichoke Seeds (Wonder Organic ), Arugula Seeds, Arugula Seeds, Arugula Seeds (Arugula), Arugula Seeds (Arugula 'Roquette' ), Arugula Seeds (Astro), Arugula Seeds (Bellezia), Arugula Seeds (Herbs Arugula), Arugula Seeds (Microgreens Arugula), Arugula Seeds (Roquette), Arugula Seeds (Roquette), Arugula Seeds (Seed Packet - Arugula 'Roquette' 1.2g), Arugula Seeds (Slow Bolt), Arugula Seeds (Slow Bolt), Assorted Seed (Bee Happy Flowers Value 3-Pack Sunflower, Marigold, and Zinnia), Assorted Seed (Jumbo Garden Value 3-Pack Tomato, Watermelon, Pepper), Barley (Hulless), Barley Grass Powder (Super Food Sprout Powder - Barley), Barley Seeds, Barley Seeds, Barley Seeds (Common), Barley Seeds (Pearled), Barley Seeds (Purple), Basil Seeds, Basil Seeds, Basil Seeds (Basil - Culinary Blend), Basil Seeds (Basil - Lemon), Basil Seeds (Basil - Lime), Basil Seeds (Basil - Purple Dark Opal), Basil Seeds (Cardinal), Basil Seeds (Cinnamon), Basil Seeds (Dolly), Basil Seeds (Dwarf Greek), Basil Seeds (Emma), Basil Seeds (Fino Verde), Basil Seeds (Genovese), Basil Seeds (Genovese), Basil Seeds (Herb Basil Genovese), Basil Seeds (Herb Basil Red Rubin), Basil Seeds (Herb Basil Sweet), Basil Seeds (Herb Garden - Mason Jar Grow Kit 2 Pack), Basil Seeds (Herbs Basil), Basil Seeds (Italian Large Leaf), Basil Seeds (Italian Large Leaf ), Basil Seeds (Lettuce Leaf), Basil Seeds (Mint, Basil, Cilantro - Kitchen Herb Garden), Basil Seeds (Nufar ), Basil Seeds (Prospera CG1 ), Basil Seeds (Red Rubin), Basil Seeds (Rosie), Basil Seeds (Rutger's Obsession DMR), Basil Seeds (Sacred), Basil Seeds (Sacred), Basil Seeds (Sweet), Basil Seeds (Sweet Aroma II ), Basil Seeds (Thai), Basil Seeds (Thai ), Bean Seeds (Bean, Asparagus - Green Podded ), Bean Seeds (Blue Lake Bush), Bean Seeds (Blue Lake Bush), Bean Seeds (Blue Speckled Tepary), Bean Seeds (Bush Blue Lake 274), Bean Seeds (Cannellini), Bean Seeds (Celine PVP ), Bean Seeds (Cobra), Bean Seeds (Contender), Bean Seeds (Dark Red Kidney), Bean Seeds (Dow Purple Podded Pole), Bean Seeds (Gold Marie Vining), Bean Seeds (Gold Rush), Bean Seeds (Golden Gate ), Bean Seeds (Golden Wax), Bean Seeds (Jackson Wonder Lima), Bean Seeds (Kentucky Blue Pole), Bean Seeds (Kentucky Wonder Pole), Bean Seeds (Light Red Kidney), Bean Seeds (Pinto), Bean Seeds (Provider Bush), Bean Seeds (Provider Bush), Bean Seeds (Red Tail ), Bean Seeds (Royal Burgundy Bush), Bean Seeds (Royalty Purple Podded Pole), Bean Seeds (Seychelles), Bean Seeds (Tendergreen Bush), Beans Seeds (Adzuki), Beans Seeds (Bean, Asparagus - Red Podded ), Beans Seeds (Bean, Bush - Mardi Gras), Beans Seeds (Black), Beans Seeds (Blue Lake Bush), Beans Seeds (Red Chili), Beans Seeds (Seed Packet - Bean 'Blue Lake Bush Green' 8.4g), Beans Seeds (Seed Packet - Bean 'Kentucky Wonder Pole Green' 8.4g), Beans Seeds (Seed Packet - Bean 'Tendergreen Bush' 8.4g), Beans Seeds (Seychelles Pole Green), Beans Seeds (Sprouting), Beans Seeds (Tahoe Bush Green), Beet Seeds, Beet Seeds, Beet Seeds (Beet It), Beet Seeds (Boro), Beet Seeds (Bulls Blood), Beet Seeds (Bull's Blood), Beet Seeds (Chioggia), Beet Seeds (Chioggia Guardsmark ), Beet Seeds (Crosby Egyptian ), Beet Seeds (Cylindra), Beet Seeds (Detroit Dark Red), Beet Seeds (Detroit Dark Red ), Beet Seeds (Detroit Mix), Beet Seeds (Early Wonder), Beet Seeds (Green Top Bunching), Beet Seeds (Lutz Green Leaf), Beet Seeds (Roots Beet), Beet Seeds (Ruby Queen), Beet Seeds (Seed Packet - Beets 'Detroit Dark Red' 500mg), Bok Choy Seeds (Bok Choy  'White Stem'), Bok Choy Seeds (Seed Packet - Bok Choy 'White Stem' 500mg), Borage Seeds, Broccoli Powder (Super Food Sprout Powder - Broccoli), Broccoli Seeds, Broccoli Seeds, Broccoli Seeds (Belstar), Broccoli Seeds (Broccoli), Broccoli Seeds (Broccoli Raab), Broccoli Seeds (Broccoli Raab - Spring Rapini), Broccoli Seeds (Brocolli Calabrese), Broccoli Seeds (Brocolli Microgreen Seeds), Broccoli Seeds (Di Cicco), Broccoli Seeds (Green Sprouting Calabrese), Broccoli Seeds (Microgreens Broccoli), Broccoli Seeds (Purple Sprouting), Broccoli Seeds (Romanesco), Broccoli Seeds (Spring Rapini Broccoli Raab), Broccoli Seeds (Sprouting), Broccoli Seeds (Sprouting), Broccoli Seeds (Sprouting Jar Kit), Broccoli Seeds (Waltham 29), Broccoli Seeds (Waltham 29 ), Brussels Sprouts Seeds (Nautic ), Buckwheat Seeds (Groats), Buckwheat Seeds (Japanese), Buckwheat Seeds (Japanese), Buckwheat Seeds (Whole), Bupleurum Seeds (Green Gold), Cabbage Seeds (Agnostic), Cabbage Seeds (All Seasons), Cabbage Seeds (Baby Pak Choi), Cabbage Seeds (Baby Pok Choi), Cabbage Seeds (Bilko), Cabbage Seeds (Brunswick), Cabbage Seeds (Cabbage - White Stem Pak Choi ), Cabbage Seeds (Cabbage Golden Acre), Cabbage Seeds (Caraflex ), Cabbage Seeds (Deadon ), Cabbage Seeds (Famosa ), Cabbage Seeds (Farao ), Cabbage Seeds (Golden Acre), Cabbage Seeds (Integro ), Cabbage Seeds (Klimaro ), Cabbage Seeds (Reaction ), Cabbage Seeds (Red Acre), Cabbage Seeds (Red Acre Cabbage), Cabbage Seeds (Red Express), Cabbage Seeds (Tiara), Cabbage Seeds (Tokyo Bekana ), Calendula Seeds (Calendula Pacific Beauty), Calendula Seeds (Citrus Sherbet), Calendula Seeds (Flashback), Calendula Seeds (Herbs Calendula), Calendula Seeds (Lemon Pastel), Calendula Seeds (Solar Flashback), Calendula Seeds (Strawberry Blonde ), Calendula Seeds (Sunshine Flashback), California Poppy Seeds, Canola Seeds, Canola Seeds (Rape Seed), Cantaloupe Seeds, Cantaloupe Seeds, Cantaloupe Seeds (Hales Best Jumbo), Cantaloupe Seeds (Hale's Best Jumbo Melon), Cantaloupe Seeds (Seed Packet - Cantaloupe 'Hale's Best Jumbo Melon' 1.4g), Caraway Seeds, Carrot Seeds, Carrot Seeds (24 Carrot Magic), Carrot Seeds (Atomic Red), Carrot Seeds (Bambino), Carrot Seeds (Bangor), Carrot Seeds (Chantenay ), Carrot Seeds (Cosmic Purple), Carrot Seeds (Cosmic Purple), Carrot Seeds (Danvers 126), Carrot Seeds (Little Fingers), Carrot Seeds (Lunar White), Carrot Seeds (Napoli ), Carrot Seeds (Parisian), Carrot Seeds (Purple Dragon), Carrot Seeds (Rainbow Blend), Carrot Seeds (Rainbow Carrots), Carrot Seeds (Red Cored Chantenay), Carrot Seeds (Roots Carrot), Carrot Seeds (Scarlet Nantes), Carrot Seeds (Seed Packet - Carrot 'Bambino' 420mg), Carrot Seeds (Seed Packet - Carrot 'Chantenay Red Cored' 420mg), Carrot Seeds (Seed Packet - Carrot Rainbow Blend 420mg), Carrot Seeds (Seed Packet - Carrot 'Scarlet Nantes' 420mg), Carrot Seeds (Solar Yellow), Carrot Seeds (Tendersweet), Carrot Seeds (White Satin ), Carrot Seeds (Yaya), Cauliflower Seeds (Seed Packet - Cauliflower 'Snowball Y' 500mg), Cauliflower Seeds (Self Blanching), Cauliflower Seeds (Snowball Y Imp), Cauliflower Seeds (Veronica), Celeriac Seeds (Balena Pulse Gro-Coat ), Celery Seeds (Merengo ProBioPPL Mini ), Celery Seeds (Red Stalk), Celery Seeds (Redventure), Celery Seeds (Utah 52-70 Improved), Celosia Seeds (Flamingo Feather ), Celosia Seeds (Supercrest Mix ), Chamomile Seeds (German), Chamomile Seeds (Herb Chamomile German), Chard Seeds, Chard Seeds (Canary Yellow Swiss), Chard Seeds (Flamingo Pink), Chard Seeds (Fordhook Giant), Chard Seeds (Greens Swiss Chard), Chard Seeds (Oriole Orange Swiss), Chard Seeds (Rainbow Mix Swiss), Chard Seeds (Rainbow Swiss), Chard Seeds (Rainbow Swiss), Chard Seeds (Ruby Red), Chard Seeds (Seed Packet - Swiss Chard 'Ruby Red' 210mg), Chard Seeds (Swiss), Chard Seeds (Swiss Chard - Cardinal ), Chard Seeds (Swiss Chard - Fordhook Giant), Chard Seeds (Swiss Chard - Rhubarb), Chard Seeds (Swiss Chard - Rhubarb), Chard Seeds (Swiss Chard 'Ruby Red'), Chia Seeds, Chia Seeds (Black), Chia Seeds (Black), Chia Seeds (White), Chia Seeds (White), Chicory Seeds (Eliance Pulse Prep D), Chili Pepper Seeds (Chili Pepper - Cayenne Thin), Chili Pepper Seeds (Chili Pepper - Grow Kit), Chili Pepper Seeds (Poblano), Chili Pepper Seeds (Some Like 'em Hot), Chives Seeds, Chives Seeds, Chives Seeds, Chives Seeds (Garlic), Chives Seeds (Garlic Chive), Chives Seeds (Herb Chives Garlic), Chives Seeds (Nelly ), Cilantro Seeds, Cilantro Seeds, Cilantro Seeds (Cilantro Slow Bolting), Cilantro Seeds (Herbs Cilantro), Cilantro Seeds (Leisure Splits), Cilantro Seeds (Santo), Cilantro Seeds (Seed Packet - Cilantro 'Slow Bolting' 1.5g), Cilantro Seeds (Slow Bolt), Cilantro Seeds (Slow Bolt), Cilantro Seeds (Split), Cilantro Seeds (Splits), Clover Seeds, Clover Seeds, Clover Seeds (Alsike), Clover Seeds (Crimson), Clover Seeds (Mammoth Red), Clover Seeds (Medium Red), Clover Seeds (Sprouting), Clover Seeds (Sprouts Crimson Clover), Clover Seeds (Yellow Blossom), Corn Seeds (Double Standard), Corn Seeds (Glass Gem), Corn Seeds (Golden Bantam), Corn Seeds (Hopi Blue), Corn Seeds (Imporved Golden Bantam), Corn Seeds (Natural Bright XR ), Corn Seeds (Natural Sweet XR ), Corn Seeds (Northstine Dent), Corn Seeds (Painted Mountain), Corn Seeds (Painted Mountain), Corn Seeds (Popcorn), Corn Seeds (Reid's Yellow Dent), Corn Seeds (Strawberry Popcorn), Cosmos Seeds (Seed Packet - Cosmos 'Sensation Mix' 700mg), Cover Crop Seeds (Annual Ryegrass), Cover Crop Seeds (Austrian Winter Pea ), Cover Crop Seeds (Barley), Cover Crop Seeds (Bean Fava Diana ), Cover Crop Seeds (Buckwheat), Cover Crop Seeds (Common Vetch ), Cress Seeds, Cress Seeds (Curled), Cucumber Seeds, Cucumber Seeds, Cucumber Seeds (Armenian), Cucumber Seeds (Armenian), Cucumber Seeds (Calypso F1 Hybrid), Cucumber Seeds (Cucumber - Boston Pickling), Cucumber Seeds (Cucumber - Eversweet F1), Cucumber Seeds (Cucumber - Garden Sweet Burpless F1), Cucumber Seeds (Cucumber - Muncher), Cucumber Seeds (Cucumber - National Pickling), Cucumber Seeds (Cucumber - Poinsett 76), Cucumber Seeds (Cucumber - Spacemaster ), Cucumber Seeds (Cucumber - Straight Eight ), Cucumber Seeds (Double Yield), Cucumber Seeds (Eversweet F1), Cucumber Seeds (Excelsior), Cucumber Seeds (Garden Sweet Burpless F1), Cucumber Seeds (Homemade Pickles), Cucumber Seeds (Katrina), Cucumber Seeds (Lemon), Cucumber Seeds (Lemon), Cucumber Seeds (Manny), Cucumber Seeds (Marketmore), Cucumber Seeds (Marketmore), Cucumber Seeds (Marketmore 76), Cucumber Seeds (Minime ), Cucumber Seeds (Muncher Burpless), Cucumber Seeds (My Cucumber Its Bigger), Cucumber Seeds (Painted Serpent), Cucumber Seeds (Paraiso), Cucumber Seeds (Pickling), Cucumber Seeds (Picolino), Cucumber Seeds (Poniente), Cucumber Seeds (Seed Packet - Cucumber 'Marketmore 76' 1.5g), Cucumber Seeds (Seed Packet - Pickling 'Sumter' 1.7g), Cucumber Seeds (Slicing Muncher), Cucumber Seeds (Slicing Straight Eight), Cucumber Seeds (Straight Eight), Cucumber Seeds (Sumter), Cucumber Seeds (Suyo Long), Cucumber Seeds (Suyo Long), Cucumber Seeds (Tasty Green ), Cucumber Seeds (Tendergreen Burpless), Cucumber Seeds (Wisconsin SMR-58 Pickling), Dill Seeds, Dill Seeds, Dill Seeds (Bouquet), Dill Seeds (Bouquet), Dill Seeds (Dill - Mammoth), Dill Seeds (Dill Mammoth), Dill Seeds (Dukat), Dill Seeds (Ella ), Dill Seeds (Green Sleeves ), Dill Seeds (Licensed to Dill), Dill Seeds (Seed Packet - Dill 'Mammoth' 1g), Eggplant Seeds, Eggplant Seeds (Annina), Eggplant Seeds (Black Beauty), Eggplant Seeds (Eggplant - Black Beauty), Eggplant Seeds (Eggplant - Cook's Choice), Eggplant Seeds (Eggplant - Snowy), Eggplant Seeds (Gaudi), Eggplant Seeds (Long Purple), Eggplant Seeds (Long Purple), Eggplant Seeds (Pumpkin on a Stick ), Eggplant Seeds (Rosa Bianca), Eggplant Seeds (Rosa Bianca ), Eggplant Seeds (Seed Packet - Eggplant 'Black Beauty' 140mg), Eggplant Seeds (Traviata ), Eggplant Seeds (Turkish Orange), Einkorn, Endive Seeds (Broadleaf Batavian), Endive Seeds (Endive - Frisee), Endive Seeds (Endive - Tres Fine), Farro Seeds, Fava Bean Seeds (Aquadulce), Fava Bean Seeds (Broad Windsor), Fava Bean Seeds (Sprouting), Fennel Seeds (Dragon), Fennel Seeds (Finale), Fennel Seeds (Florence), Fennel Seeds (Preludio), Fennel Seeds (Victorio), Fenugreek Seeds, Fenugreek Seeds, Fenugreek Seeds, Flax Seeds (Brown), Flax Seeds (Golden), Flower Seeds (Alyssum - White), Flower Seeds (Bachelor Buttons - Jubilee), Flower Seeds (Cornflower/Bachelor Buttons Jubilee ), Flower Seeds (Cosmos - Dwarf Sensation Mix), Flower Seeds (Cosmos 'Sensation Mix'), Flower Seeds (Daisy Rudbeckia Gloriosa Double), Flower Seeds (Desert Globe Mallow), Flower Seeds (Echinacea  Purple Coneflower), Flower Seeds (Gourd - Caveman's Club), Flower Seeds (Linaria Fairy Bouquet), Flower Seeds (Marigold - Sparky), Flower Seeds (Marigold Sparky), Flower Seeds (Milkweed), Flower Seeds (Nasturtium), Flower Seeds (Nasturtium - Empress of India), Flower Seeds (Nasturtium - Jewel Mix), Flower Seeds (Nasturtium, Jewel Mix), Flower Seeds (Poppy California), Flower Seeds (Sweet Alyssum White), Flower Seeds (Wildflower Mix), Flower Seeds (You Become Among the Wildflowers), Flower Seeds (Zinnia - California Giants), Flower Seeds (Zinnia - Red Beauty), Flower Seeds (Zinnia - Thumbelina Mix), Flower Seeds (Zinnia 'California Giants'), Flower Seeds (Zinnia Cut and Come Again), Flower Seeds (Zinnia Red Beauty), Garbanzo Bean Seeds, Garbanzo Bean Seeds (Black), Garbanzo Bean Seeds (Chickpeas), Garbanzo Beans, Garlic Chive Seeds, Gourd Seeds (Cucurbit Rootstock - Flexifort ), Gourd Seeds (Cucuzzi), Gourd Seeds (Gourd - Birdhouse), Gourd Seeds (Gourd - Bottle), Gourd Seeds (Jaune et Vert ), Green Beans (Giant Green Bean - Grow Kit), Ground Cherry Seeds (Aunt Molly's), Herb Seeds (Arugula - Wild), Herb Seeds (Catnip), Herb Seeds (Lemon Balm), Herb Seeds (Tarragon - Mexican), Herb Seeds (Tea Garden), Kale Seeds, Kale Seeds, Kale Seeds (Black Magic Raw ), Kale Seeds (Darkibor ), Kale Seeds (Dwarf Blue Curled Scotch), Kale Seeds (Greens Kale, Dwarf Black Tuscan), Kale Seeds (Greens Kale, Dwarf Blue Scotch Curled), Kale Seeds (Greens Kale, Siberian), Kale Seeds (Kale - Garden Blend), Kale Seeds (Kale - Red Winter ), Kale Seeds (Kale - Scarlet), Kale Seeds (Kale 'Dwarf Blue Curled Vates' ), Kale Seeds (Kale 'Lacinato'), Kale Seeds (Lacinato), Kale Seeds (Lacinato), Kale Seeds (Red Russian), Kale Seeds (Seed Packet - Kale 'Dwarf Blue Curled Vates' 420mg), Kale Seeds (Seed Packet - Kale 'Lacinato' 280mg), Kale Seeds (Siberian Dwarf), Kale Seeds (Vates), Kale Seeds (Vates Blue Curled), Kale Seeds (Vates Blue Scotch Curled), Kale Seeds (Vates Blue Scotch Curled Kale), Kamut Seeds, Kohlrabi Seeds, Kohlrabi Seeds (Azur Star ), Kohlrabi Seeds (Early Purple Vienna), Kohlrabi Seeds (Early White Vienna), Kohlrabi Seeds (Kolibri ), Kohlrabi Seeds (Konan), Kohlrabi Seeds (Kossak), Kohlrabi Seeds (Microgreens Kohlrabi), Kohlrabi Seeds (Purple Vienna Kohlrabi Seed), Lavender Seeds, Lavender Seeds, Lavender Seeds (Common English), Lavender Seeds (Lavender), Lavender Seeds (Lavender - Grow Kit), Leek Seed (Bandit), Leek Seed (Comanche), Leek Seed (Defender), Leek Seed (Lancia ), Leek Seed (Oslo), Leek Seed (Tadorna ), Lemon balm Seeds (Herb Lemon Balm), Lentil Seed, Lentil Seed, Lentil Seed (Black), Lentil Seed (Black Unhulled), Lentil Seed (Green), Lentil Seed (Green), Lentil Seed (Red), Lentil Seed (Sprouting - Black Unhulled), Lentil Seed (Sprouting - French Unhulled), Lentil Seed (Sprouting - Green Unhulled), Lentil Seed (Sprouting - Red Unhulled), Lentil Seed (Sprouts French Lentil), Lettuce Seeds, Lettuce Seeds (Amish Deer Tongue), Lettuce Seeds (Arianna), Lettuce Seeds (Ashley), Lettuce Seeds (Azirka w/ Org. Pellet ), Lettuce Seeds (Bauer ProBio Oxykote E ), Lettuce Seeds (Bauer Splitkote Sp Org ), Lettuce Seeds (Bergam's Green SKS ), Lettuce Seeds (Black Seeded Simpson), Lettuce Seeds (Blade MT), Lettuce Seeds (Braising Greens), Lettuce Seeds (Breen Pulse PrepCoat), Lettuce Seeds (Brentwood Splitkote Sp), Lettuce Seeds (Burgandy SKS Organic ), Lettuce Seeds (Buttercrunch), Lettuce Seeds (Buttercrunch), Lettuce Seeds (Butterhead), Lettuce Seeds (Butterhead Bibb Mix), Lettuce Seeds (Celinet MT), Lettuce Seeds (Chicarita RZ SKS ), Lettuce Seeds (Clearwater ), Lettuce Seeds (Coastal Star Org SKS ), Lettuce Seeds (Ezflor Organic SKS ), Lettuce Seeds (Ezpark Organic SKS ), Lettuce Seeds (Eztron ProBio PPL E), Lettuce Seeds (Fall and Winter Mix), Lettuce Seeds (Freckles), Lettuce Seeds (Fusion Pulse PrepCoat ), Lettuce Seeds (Gourmet Lettuce Mix), Lettuce Seeds (Gourmet Mix), Lettuce Seeds (Gourmet Mix), Lettuce Seeds (Gourmet Salad Blend), Lettuce Seeds (Gourmet Salad Blend), Lettuce Seeds (Greens Lettuce, Butterhead), Lettuce Seeds (Greens Lettuce, Gourmet Mixture), Lettuce Seeds (Greens Lettuce, Leaf Black Seeded Simpson), Lettuce Seeds (Greens Lettuce, Leaf Lollo Rosso), Lettuce Seeds (Greens Lettuce, Parris Island Cos), Lettuce Seeds (Hampton SKS ), Lettuce Seeds (Heatwave Mix), Lettuce Seeds (Jericho), Lettuce Seeds (Lettuce Bibb Butterhead), Lettuce Seeds (Lettuce 'Gourmet Blend'), Lettuce Seeds (Lettuce Green leaf Black Seeded Simpson), Lettuce Seeds (Lettuce Romain Paris Isle Cos), Lettuce Seeds (Lettuce, Batavian - Great Lakes), Lettuce Seeds (Lettuce, Butterhead - Merveille 4 Seasons), Lettuce Seeds (Lettuce, Leaf - Ashley), Lettuce Seeds (Lettuce, Leaf - Oakleaf - Royal ), Lettuce Seeds (Lettuce, Leaf - Prizehead), Lettuce Seeds (Lettuce, Leaf - Red Sails ), Lettuce Seeds (Lettuce, Leaf - Salad Bowl - Green), Lettuce Seeds (Lettuce, Leaf - Sandy AAS ), Lettuce Seeds (Lettuce, Romaine - Brune D'Hiver), Lettuce Seeds (Lettuce, Romaine - Little Ceaser ), Lettuce Seeds (Lettuce, Romaine - Silvia), Lettuce Seeds (Lettuce, Romaine - Vivian ), Lettuce Seeds (Little Gem), Lettuce Seeds (Lolla Rosa Darky), Lettuce Seeds (Lollo Rosso), Lettuce Seeds (Lollo Rosso), Lettuce Seeds (Merveille Des Quarte Saisons), Lettuce Seeds (Mesclun Mixed), Lettuce Seeds (Milagro SKS ), Lettuce Seeds (New Red Fire ), Lettuce Seeds (New Red Fire Pulse PC ), Lettuce Seeds (Newham SKS ), Lettuce Seeds (Osterley MT ), Lettuce Seeds (Paris Island Cos), Lettuce Seeds (Pensacola ), Lettuce Seeds (Red Baron PulsePC ), Lettuce Seeds (Red Iceberg), Lettuce Seeds (Red Oakleaf), Lettuce Seeds (Red Sails), Lettuce Seeds (Red Salad Bowl), Lettuce Seeds (Rhone SKS), Lettuce Seeds (Romaine), Lettuce Seeds (Rouge D'Hiver), Lettuce Seeds (Seed Packet - Lettuce 'Bibb Butterhead' 420mg), Lettuce Seeds (Seed Packet - Lettuce 'Gourmet Blend' 420mg), Lettuce Seeds (Seed Packet - Lettuce 'Green Leaf Black Seeded Simpson' 420mg), Lettuce Seeds (Seed Packet - Lettuce Romaine 'Paris Isle Cos' 700mg), Lettuce Seeds (Spring Mix), Lettuce Seeds (Sulu ), Lettuce Seeds (Summer Bibb), Lettuce Seeds (Sunset), Lettuce Seeds (Surfside ), Lettuce Seeds (Tamarindo), Lettuce Seeds (Tango), Lettuce Seeds (Tom Thumb), Lettuce Seeds (Tricolor Romaine), Lettuce Seeds (Truchas PulsePrep Coat ), Lettuce Seeds (Xalbadora Nat. Coat M. ), Lettuce Seeds (Xalbadora Organic SKS ), Lettuce Seeds (Xiomara Organic w/ Org. Pellet ), Marigold Seeds (Seed Packet - Marigold 'Sparky' 420 mg), Marjoram Seeds (Marjoram), Melon Seeds, Melon Seeds (Arava), Melon Seeds (Bidwell Casaba), Melon Seeds (Casaba Sungold), Melon Seeds (Charentais), Melon Seeds (Crenshaw), Melon Seeds (Divergent), Melon Seeds (Glamorous F1), Melon Seeds (Green Flesh), Melon Seeds (Hales Best Cantaloupe), Melon Seeds (Hale's Best Jumbo), Melon Seeds (Hale's Best Jumbo), Melon Seeds (Hearts of Gold), Melon Seeds (Honey Dew Orange Flesh), Melon Seeds (Honey Rock), Melon Seeds (Honeydew Melon), Melon Seeds (Honeydew Stutz Supreme), Melon Seeds (Juane Canary), Melon Seeds (Melon - Edisto 47 ), Melon Seeds (Melon - Glamorous F1), Melon Seeds (Melon - Haogen), Melon Seeds (Melon - Imperial PMR 45), Melon Seeds (Melon - Iroquois), Melon Seeds (Melon - Schoon's Hardshell), Melon Seeds (Rocky Ford Green Flesh), Melon Seeds (Sierra Gold), Melon Seeds (Tirreno ), Microgreen Seeds (China Rose), Microgreen Seeds (Cilantro), Microgreen Seeds (Kale), Microgreens (Buckwheat), Microgreens (Detroit Dark Red Beets), Microgreens (Grow Kit), Microgreens (Microgreen Mighty Mix- Ceramic Kit), Microgreens (Microgreen Seed - Terrarium Microgreen Grow Kit), Microgreens (Mighty Mix - Microgreen Grow Kit), Microgreens (Purple Vienna Kohlrabi), Microgreens (Rainbow Mix - Microgreen Grow Kit), Microgreens (Red Acre Cabbage), Microgreens (Red Clover), Microgreens (Red Garnet Amaranth), Microgreens (Salad Mix), Microgreens (Speckled Pea Microgreens), Microgreens (Speckled Peas), Microgreens (Sweet Greens - Microgreen Grow Kit), Millet Seed (Hulled), Millet Seed (Whole), Mint Seeds, Mint Seeds (Herb Mint Peppermint), Mint Seeds (Peppermint), Mint Seeds (Peppermint), Mizuna Seeds (Early Mizuna ), Mung Bean Seeds, Mung Bean Seeds (Sprouting), Mung Bean Seeds (Sprouting), Mung Beans, Mustard Seeds, Mustard Seeds (Brown), Mustard Seeds (Brown), Mustard Seeds (Green Wave), Mustard Seeds (Mizuna), Mustard Seeds (Mizuna Red Streaks), Mustard Seeds (Mustard - Mizuna ), Mustard Seeds (Mustard - Osaka Purple), Mustard Seeds (Mustard - Tat Soi ), Mustard Seeds (Mustard - Tat Soi - Black Knight), Mustard Seeds (Mustard - Tat Soi - Scarlet Red ), Mustard Seeds (Mustard - Tokyo Bekana), Mustard Seeds (Osaka Purple), Mustard Seeds (Red Giant), Mustard Seeds (Southern Giant Curled), Mustard Seeds (Spicy Oriental), Mustard Seeds (Tat Soi), Mustard Seeds (Tat Soi - Black Knight), Mustard Seeds (Tat Soi - Scarlet Red), Mustard Seeds (Tendergreen), Mustard Seeds (Tokyo Bekana), Mustard Seeds (Wasabi), Mustard Seeds (White Ice), Mustard Seeds (Yellow), Nasturtium Seeds, Nasturtium Seeds (Herbs Nasturtium), Nigella Seeds (Love In A Mist), Oats Seeds (Groats), Oats Seeds (Hulless), Oats Seeds (Tesuque), Oats Seeds (Whole), Okra Seeds (Clemson Spineless 80), Okra Seeds (Cow's Horn), Okra Seeds (Okra - Star of David), Okra Seeds (Seed Packet - Okra 'Clemson Spineless 80' 1.4g), Onion Seeds, Onion Seeds (Bunching Evergreen), Onion Seeds (Bunching Evergreen), Onion Seeds (Bunching White Ishikura), Onion Seeds (Cabernet), Onion Seeds (Calibra), Onion Seeds (Evergreen White Bunching Nebuka), Onion Seeds (Evergreen White Nebuka), Onion Seeds (Intermediate Day - Utah Yellow Sweet Spanish), Onion Seeds (Monastrell), Onion Seeds (Onion Evergreen Bunching), Onion Seeds (Onion Walla Walla), Onion Seeds (Onion Yellow Sweet Spanish Utah), Onion Seeds (Parade ), Onion Seeds (Red Carpet ), Onion Seeds (Red Cipollini), Onion Seeds (Roots Bunching Onion), Onion Seeds (Stuttgarter ), Onion Seeds (Talon), Onion Seeds (Texas 1015 SuperSweet), Onion Seeds (Texas Grano 502), Onion Seeds (Tokyo Long White), Onion Seeds (Tokyo White Bunching), Onion Seeds (Walla Walla), Orach Seeds (Aurora), Oregano Seeds, Oregano Seeds, Oregano Seeds, Oregano Seeds (Common Italian), Oregano Seeds (Common Italian), Oregano Seeds (Herb Oregano Italian), Pac Choi Seeds (Bopak), Pak Choi (American Flag), Parsley Seeds, Parsley Seeds, Parsley Seeds, Parsley Seeds (Evergreen), Parsley Seeds (Forest Green), Parsley Seeds (Giant Italian), Parsley Seeds (Moss Curled), Parsley Seeds (Parsley - Kitchen Garden Blend), Parsley Seeds (Parsley - Moss Curled), Parsley Seeds (Parsley - Plain), Parsley Seeds (Parsley 'Italian Large Leaf'), Parsley Seeds (Plain), Parsley Seeds (Seed Packet - Parsley 'Italian Large Leaf' 420mg), Pea Seeds, Pea Seeds, Pea Seeds (Afila Tendril), Pea Seeds (Blue Podded), Pea Seeds (Blue Shelling), Pea Seeds (Cascadia), Pea Seeds (Dundale, Dun Pea), Pea Seeds (Dwarf Grey Sugar), Pea Seeds (Frostmaster), Pea Seeds (Golden Sweet ), Pea Seeds (Green), Pea Seeds (Green), Pea Seeds (Green Arrow), Pea Seeds (Green Sprouting), Pea Seeds (Laxton's Progress #9), Pea Seeds (Mammoth Melting Sugar), Pea Seeds (Oregon Giant), Pea Seeds (Oregon Sugar Pod II), Pea Seeds (Oregon Sugar Pod II ), Pea Seeds (Pea - Patio Pride AAS), Pea Seeds (Pea Shoot), Pea Seeds (PLS 595 ), Pea Seeds (Progress #9), Pea Seeds (Seed Packet - Pea 'Oregon Snow Sugar Pod II' 8.4g), Pea Seeds (Seed Packet - Pea 'Snap Sugar Daddy' 8.4g), Pea Seeds (Snap Sugar Daddy), Pea Seeds (Speckled), Pea Seeds (Speckled Field), Pea Seeds (Speckled Microgreen), Pea Seeds (Speckled Sprouting), Pea Seeds (SS 141 ), Pea Seeds (Sugar Ann ), Pea Seeds (Sugar Daddy), Pea Seeds (Sugar Daddy Snap Peas), Pea Seeds (Sugar Snap), Pea Seeds (Taiwan Sugar), Pea Seeds (Taiwan Sugar), Pea Seeds (Tom Thumb), Pea Seeds (Yellow Sprouting), Pea Seeds (Yellow Sugar), Pepper Seeds, Pepper Seeds (Abay ), Pepper Seeds (Aji ), Pepper Seeds (Alma Paprika), Pepper Seeds (Anaheim Chili), Pepper Seeds (Ancho Grande), Pepper Seeds (Bell Pepper Sweet Cal Wonder), Pepper Seeds (Bell Pepper Sweet Coral), Pepper Seeds (Bell Pepper Sweet Keysonte Giant), Pepper Seeds (Black Hungarian), Pepper Seeds (Brocanto ), Pepper Seeds (Cal Wonder), Pepper Seeds (California Wonder Bell), Pepper Seeds (Carmen), Pepper Seeds (Cayenne Long Red Thin), Pepper Seeds (Cayenne Long Slim), Pepper Seeds (Chinese Giant), Pepper Seeds (Emerald Giant), Pepper Seeds (Flavorburst ), Pepper Seeds (Gatherer's Gold Sweet), Pepper Seeds (Golden Calwonder), Pepper Seeds (Habanero Orange), Pepper Seeds (Hungarian Hot Wax), Pepper Seeds (Jalapeno), Pepper Seeds (Jalapeno Hot), Pepper Seeds (Jalapeno M), Pepper Seeds (Jalapeño Pepper), Pepper Seeds (Jimmy Nardello), Pepper Seeds (Jimmy Nardello's ), Pepper Seeds (Joelene's Red Italian ), Pepper Seeds (Little Bells), Pepper Seeds (Milena), Pepper Seeds (Oranos), Pepper Seeds (Padron), Pepper Seeds (Pepper, Hot - Big Jim), Pepper Seeds (Pepper, Hot - Habanero - Orange), Pepper Seeds (Pepper, Hot - Habanero - Red), Pepper Seeds (Pepper, Hot - Hungarian Hot Wax), Pepper Seeds (Pepper, Hot - Joe E. Parker), Pepper Seeds (Pepper, Hot - Poblano), Pepper Seeds (Pepper, Sweet - Marconi Red), Pepper Seeds (Pepper, Sweet - Pepperoncini Greek Golden ), Pepper Seeds (Pepper, Sweet - Pepperoncini Italian), Pepper Seeds (Pimiento de Padron), Pepper Seeds (Primero Red ), Pepper Seeds (Purple Beauty Bell), Pepper Seeds (Shishito), Pepper Seeds (Solero Ring O Fire ), Pepper Seeds (Sprinter), Pepper Seeds (Sweet - Cheese Red), Pepper Seeds (Sweet California Wonder), Pepper Seeds (Sweet Marconi), Pepper Seeds (Sweet Pepper Cal Wonder), Pepper Seeds (Sweet Red Marconi), Pepper Seeds (Sweet Sunset Italian), Peppermint Seeds, Popcorn Kernels, Popcorn Kernels (Yellow), Popcorn Seeds, Poppy Seeds (Jimi's Flag), Potato Seeds (French Fingerling), Potato Seeds (Lamoka), Potato Seeds (Purple Majesty), Potato Seeds (Purple Viking), Potato Seeds (Red Pontiac), Potato Seeds (Yukon Gold), Pumpkin Seeds, Pumpkin Seeds (Big Max), Pumpkin Seeds (Bumpkin F1), Pumpkin Seeds (Casper), Pumpkin Seeds (Cinderella), Pumpkin Seeds (Dickinson), Pumpkin Seeds (Howden), Pumpkin Seeds (Jack Be Little), Pumpkin Seeds (Jack-O-Lantern), Pumpkin Seeds (Jarrahdale), Pumpkin Seeds (Pumpkin - Bumpkin F1), Pumpkin Seeds (Pumpkin - Connecticut Field), Pumpkin Seeds (Pumpkin - Cushaw Orange Stripe ), Pumpkin Seeds (Pumpkin - Fall Rainbow Blend ), Pumpkin Seeds (Pumpkin - Jack Be Little), Pumpkin Seeds (Pumpkin - Spookie), Pumpkin Seeds (Seed Packet - Pumpkin 'Jack Be Little' 1.4g), Pumpkin Seeds (Seed Packet - Pumpkin 'Jack O'lantern' 4g), Pumpkin Seeds (Small Sugar), Pumpkin Seeds (Small Sugar ), Pumpkin Seeds (Winter Luxury ), Quinoa Seeds, Quinoa Seeds, Quinoa Seeds (Brightest Brilliant Rainbow), Quinoa Seeds (Cherry Vanilla), Quinoa Seeds (French Vanilla), Quinoa Seeds (Oro de Valle), Quinoa Seeds (Quinoa Grain), Quinoa Seeds (Red), Quinoa Seeds (Red Head), Radicchio Seeds (Leonardo), Radicchio Seeds (Vasari), Radish Seeds, Radish Seeds, Radish Seeds, Radish Seeds (Black Spanish Round), Radish Seeds (Champion), Radish Seeds (Cherry Belle), Radish Seeds (Cherry Belle), Radish Seeds (Cherry Belle’), Radish Seeds (China Rose), Radish Seeds (Confetti), Radish Seeds (Daikon), Radish Seeds (Easter Egg), Radish Seeds (French Breakfast), Radish Seeds (German Giant), Radish Seeds (Hong Vit), Radish Seeds (Microgreens Radish), Radish Seeds (Ostergruss Rosa 2 ), Radish Seeds (Patricia ), Radish Seeds (Pearl), Radish Seeds (Pink Beauty), Radish Seeds (Pink Beauty ), Radish Seeds (Purple Plum), Radish Seeds (Purple Sango), Radish Seeds (Radish), Radish Seeds (Rambo), Radish Seeds (Rambo Microgreen), Radish Seeds (Rambo Purple), Radish Seeds (Red Vulcano), Radish Seeds (Roots Radish), Radish Seeds (RunderSchwarzer Winter ), Radish Seeds (Sango), Radish Seeds (Sango, Purple), Radish Seeds (Seed Packet - Radish 'Cherry Belle' 1.4g), Radish Seeds (Sparkler White Top), Radish Seeds (Sprouting - China Rose), Radish Seeds (Sprouting - China Rose), Radish Seeds (Sprouting - Daikon), Radish Seeds (Sprouting - Daikon), Radish Seeds (Sprouts Radish), Radish Seeds (White Icicle), Red Clover Seed, Rosemary Seeds, Rosemary Seeds, Rudbeckia Seeds (Goldilocks), Rudbeckia Seeds (Prairie Sun ), Rudbeckia Seeds (Triloba Macau ), Rudbeckia Seeds (White Swan ), Rutabaga Seeds, Rutabaga Seeds (Helenor), Rye, Rye Grain Seeds (Winter), Rye Seeds, Sage Seeds, Sage Seeds, Sage Seeds, Sage Seeds (Ceres), Sage Seeds (Herb Sage Common), Sage Seeds (Herbs Sage), Salad Mix Seeds (4 Part Salad Mix), Salad Mix Seeds (Bean Salad Mix), Scallion Seeds (Flagpole ), Seed (Cosmos Grow Kit), Seed (Herb Collection), Seed (Herb Garden Kit), Seed (Lemon Balm Wellness Planter Grow Kit), Seed (Marigold Grow Kit), Seed (Strawberry - Grow Kit), Seed (Sweet Basil Wellness Planter Grow Kit), Seed (Wild Strawberry - Kids Grow Kit), Seed (Zinnia Grow Kit), Seed Blend (3 Part Salad Mix), Seed Blend (5 Part Salad Mix), Seed Blend (5 Part Salad Mix), Seed Blend (5-Part Mix), Seed Blend (Basic Salad Mix), Seed Blend (Basic Salad Mix Microgreens), Seed Blend (Bean Salad), Seed Blend (Bean Salad), Seed Blend (Biblical Bread Multi-Grain Mix), Seed Blend (Bird Seed Mix), Seed Blend (Cat Grass Blend), Seed Blend (Cat Grass Seed Blend), Seed Blend (Cocktail Garden), Seed Blend (Crunchy Lentil Fest), Seed Blend (Crunchy Lentil Fest), Seed Blend (Ezekiel Bread Mix), Seed Blend (Fresh Salad Blend), Seed Blend (Fruit and Vegges Garden 3-Pack), Seed Blend (Garden Starter Kit), Seed Blend (Grand Canyon Mix), Seed Blend (Herb Garden Value 3-Pack), Seed Blend (Hot Pepper Mix), Seed Blend (Medley), Seed Blend (Microgreen Salad Mix), Seed Blend (Mighty Greens Seeds), Seed Blend (Mighty Mix Microgreen Seeds), Seed Blend (Oats and Peas Mix), Seed Blend (Pet Grass Kit), Seed Blend (Pollinator Friendly Mix), Seed Blend (Poultry Forage Seeds), Seed Blend (Protein Blend), Seed Blend (Protein Mix), Seed Blend (Protein Powerhouse), Seed Blend (Protein Powerhouse), Seed Blend (Purple Power Seeds), Seed Blend (Rainbow Mix Microgreen Seeds), Seed Blend (Salad Mix), Seed Blend (Smoothie Blend), Seed Blend (Spicy Salad Mix), Seed Blend (Spicy Salad Mix Microgreens), Seed Blend (Spicy Salad Seeds), Seed Blend (Sprouting Health Blend), Seed Blend (Sprouting Kit), Seed Blend (Sprouting Mix - Health Blend), Seed Blend (Sprouting Sack), Seed Blend (Sprouting Sandwich Blend), Seed Blend (Superfood Blend), Seed Blend (Sweet Greens), Seed Blend (Sweet Protein Mix), Seed Blend (Wheatgrass Growing Kit), Seed Blend (Wildflower Cutting Mix), Seed Blend (Wildflower Mix), Shallot Seeds (Conservor), Shallot Seeds (Innovator ), Shiso Seeds, Sorrel Seeds, Sorrel Seeds (Garden), Soybean Seeds, Soybean Seeds, Soybean Seeds (Black), Soybean Seeds (Sprouting), Spearmint Seeds (Herbs Spearmint), Spelt Seeds, Spinach Seeds, Spinach Seeds, Spinach Seeds (Aurora Mountain), Spinach Seeds (Bloomsdale Long Standing), Spinach Seeds (Greens Spinach), Spinach Seeds (Norfolk), Spinach Seeds (Red Aztec), Spinach Seeds (Space), Spinach Seeds (Spinach Bloomsdale), Spinach Seeds (Strawberry), Spinach Seeds (Tundra), Squash Seeds, Squash Seeds (Autumn Frost ), Squash Seeds (Benning's Green Tint Scallop), Squash Seeds (Burgess Buttercup), Squash Seeds (Bush Delicata), Squash Seeds (Butterbaby), Squash Seeds (Buttercup Burgess ), Squash Seeds (Cash Machine ), Squash Seeds (Costata Romanesco), Squash Seeds (Dario ), Squash Seeds (Delicata), Squash Seeds (Delicata JS ), Squash Seeds (Desert), Squash Seeds (Dunja ), Squash Seeds (Early Prolific Straightneck), Squash Seeds (Essex), Squash Seeds (Fordhook Acorn), Squash Seeds (Golden Summer Crookneck), Squash Seeds (Green Machine ), Squash Seeds (Hamilton), Squash Seeds (Havana), Squash Seeds (Honeyboat ), Squash Seeds (Honeynut), Squash Seeds (Honeynut), Squash Seeds (Hopi Orange), Squash Seeds (Japanese Red Kuri), Squash Seeds (Jarrahdale),</t>
  </si>
  <si>
    <t>Other: Beans (Black Turtle Beans), Beans (Garbanzo Beans), Beans (Ingredient - Black Turtle Beans), Beans (Ingredient - Garbanzo Beans), Beans (Ingredient - Kidney Beans), Beans (Kidney Beans), Corn (Ingredient - Rainbow Popcorn), Corn (Ingredient - Yellow Popcorn), Corn (Rainbow Popcorn), Corn (Yellow Popcorn), Quinoa (Rainbow Quinoa), Quinoa (White Quinoa), Rice (Calrose Rice, Brown), Rice (Calrose Rice, White), Rice (Ingredient - Calrose Rice, Brown), Rice (Ingredient - Calrose Rice, White), Rice (Ingredient - Jasmine Rice, White), Rice (Ingredient - Long Grain, White), Rice (Ingredient - Paddy Rice (non-retail)), Rice (Ingredient - Sushi Rice), Rice (Jasmine Rice, White), Rice (Long Grain, White), Rice (Quick Cooking Brown Calrose Rice), Rice (Sushi Rice)</t>
  </si>
  <si>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</si>
  <si>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(SOYBEAN OIL); Nuts/Seeds: FLAX, SEEDBIRD; Fruits/Vegetables: Beans (PEA), Beans (SOYBEAN); Dry/Baking Goods: Flours and Meals (SOY MEAL)</t>
  </si>
  <si>
    <t>Processed  Items: SUNFLOWER EXPELLER; Other Grains, Pastas and Cereals: SUNFLOWER; Oils &amp; Oleoresins: Oils (SUNFLOWER OIL)</t>
  </si>
  <si>
    <t>Other: Processing, Cooking, Freezing, Packaging, and Labeling of IQF Grains, IQF Rice, and IQF Pasta</t>
  </si>
  <si>
    <t>Other: 100% Whole Wheat, 21 Whole Grains and Seeds Bread, Thin-Sliced, 21 Whole Grans and Seeds, Good Seed, Good Seed Thin Sliced - 24oz, Good Seed Thin Sliced 20.5oz, Power Seed Bread, Powerseed Bread, Thin Sliced, Raisin the Roof Bread, Sprouted Whole Grains Bread, Thin Sliced, Sprouted Whole Grains Thin Sliced Bread 24 oz., White Bread Done Right, White Bread Done Right Bread, Thin-Sliced</t>
  </si>
  <si>
    <t>Seasonings: Turmeric Powder; Processed  Items: Dehydrated Foods (Raisins); Other Grains, Pastas and Cereals: Buckwheat, Durum, Millet, Oats (Oats), Popcorn, Rye, Sorghum (Milo), Triticale, Wheat (Wheat (hard red spring)), Wheat (Wheat (hard red winter)), Wheat (Wheat (soft red winter)), Wheat (Wheat (soft white winter)), Wheat Flour; Oils &amp; Oleoresins: Oils (Soybean Oil), Oils (Sunflower Oil); Nuts/Seeds: Sunflower Seeds; Animal Feed: Alfalfa Meal, Alfalfa Pellets, Barley, Canola Meal, Canola Seed, Cinnamon, Corn, Corn (blue), Corn (white), Cracked Corn, Flax (brown), Flax (golden), Flax (meal), Grain Screenings, Hay, Hominy, Mill Feed Pellets, Millet, Oats, Peas, Peas (ground), Peas (split / culls), Pumpkin Seed, Rye, Sorghum (Milo), Soybean Hulls, Soybean Meal, Soybeans, Soybeans (roasted), Straw, Sunflower Meal, Triticale, Wheat (ground), Wheat (whole), Wheat Midds; Other: Cottonseed</t>
  </si>
  <si>
    <t>Other Grains, Pastas and Cereals: Bran, Rice (Bong Tram Rice), Rice (Broken Rice/ Bong Tram Broken Rice), Rice (Long Grain Brown Rice/ Bong Tram Brown Rice), Rice (Paddy), Rice Straw</t>
  </si>
  <si>
    <t>Other: Alfalfa; Barley; Corn; Forage Oats/Peas</t>
  </si>
  <si>
    <t>Other Grains, Pastas and Cereals: Services: Custom Grain Grinding; Cleaners: Cleaners (Beans (Grain and Seed Custom Cleaning)), Cleaners (Corn (Grain and Seed Custom Cleaning)), Cleaners (Small Grains (Grain and Seed Custom Cleaning))</t>
  </si>
  <si>
    <t>Other: ADZUKI BEANS ALFALFA PELLETS AMARANTH BARLEY BLACK BEANS AND SPLITS BLACKEYE PEAS BUCKWHEAT CAMELINA CANOLA OIL CANOLA MEAL CHIA CORN CORN (White, Blue, Yellow, pop) CORN BLUE DURUM EINKORN EINKORN FLOUR FLAX - MEAL FLAX OIL FLAX SEED FLAX SEED SCREENINGS FLAX GROUND FLAX PELLETS GARBANZO BEANS (CHICKPEAS) - WHOLE, CULLS AND SPLITS GARBANZO BLACK KABULI GRAIN SCREENINGS GREAT NORTHERN BEAN 13% HEIFER PELLETS HEMP HOMINY INDIA'S NATURE ORGANIC URAD GOTA - BLACK BEAN WHOLE WITHOUT SKIN KIDNEY BEANS - DARK RED, LIGHT RED, WHITE LENTILS - GREEN (LAIRD), FRENCH, BLACK, RED, YELLOW MILL SCREENINGS, VARIOUS CROPS MILL FEED PELLETS, VARIOUS CROPS MILLET FLOUR MILLET, MILLET (HULLED) MUNG BEAN NAVY BEANS OATS OAT GROATS OKARA (LIVESTOCK FEED) PEAS - YELLOW,GREEN PINTO BEANS POPCORN - WHITE AND YELLOW POTATO FLAKES QUINOA RICE (BROWN) Long Grain RICE (BROWN) Medium Grain RICE (WHITE) Long Grain RICE (White) Medium Grain RICE FLOUR, BROWN RICE MILO RYE SAFFLOWER SESAME SEED SCREENINGS LIVESTOCK FEED SMALL RED BEANS SMALL WHITE BEANS SORGHUM SOYBEANS SOYBEAN OIL SOYBEAN MEAL SOYBEAN HULLS SPELT SUNFLOWER OIL SUNFLOWER MEAL SUNFLOWER TEFF TRITICALE URAD WASHED - BLACK GRAM SPLIT DEHUSKED WHEAT - RED AND WHITE WHEAT - RED WHITE CORN DDGS, BULK HEMP SEED CORN BLOODY BUTCHER HEMPSEED CAKE / PELLETS SUNFLOWER EXPELLER SOYBEAN EXPELLER COTTONSEED RICE HULLS MILLFEED WHEAT CRACKED WHEAT WHEAT MIDDS (middlings) CRANBERRY BEANS PINK BEANS FLOUR- Wheat Flour RICE BRAN SESAME MEAL WHEAT SONORA WHEAT BERRIES ALFALFA SPELT, DEHULLED SPELT, SCREENINGS RICE (WILD) ALMOND HULLS MUSHROOM POPCORN</t>
  </si>
  <si>
    <t>Other Grains, Pastas and Cereals: Pasta (Red Rice Pasta), Rice (Thai Wholegrain Rice Fusilli), Rice (White Rice (Hommali/Long grain rice)), Rice (Brown Rice (Hommali/Long grain rice)), Rice (Paddy Rice (Hommali Rice)), Rice (Thai Black Rice Fusilli); Dry/Baking Goods: Flours and Meals (Cassava Flour.), Flours and Meals (Hom Mali Rice Flour (Brown/White), Flours and Meals (Tapioca starch), Powders (Maltodextrin.), Tapioca pearls; Condiments and Sweeteners: Syrups (Complex Glucose Syrup), Syrups (Complex Glucose Syrup 43DE), Syrups (Fructose syrup.), Syrups (Glucose Syrup 42DE.), Syrups (Glucose Syrup Solids), Syrups (Glucose Syrup.)</t>
  </si>
  <si>
    <t>Processed  Items: Cassava Residue; Other Grains, Pastas and Cereals: Rice (Hom Mali Rice Flour (Brown/White)); Dry/Baking Goods: Flours and Meals (Cassava flour), Flours and Meals (Purity Bio 301), Flours and Meals (Tapioca starch), Tapioca Pearl; Condiments and Sweeteners: Powders (Maltodextrin/Tapioca Maltodextrin), Syrups (Complex Glucose Syrup), Syrups (Complex Glucose Syrup 43DE), Syrups (Fructose Syrups/Tapioca Syrups), Syrups (Glucose Syrup / Tapioca Syrup), Syrups (Glucose Syrup 42DE.), Syrups (Glucose Syrup Solids/Tapioca Syrup Solids)</t>
  </si>
  <si>
    <t>Processed  Items: Cereal (Ricebran (Hommali), Ricebran (Long grain rice)); Other Grains, Pastas and Cereals: Rice (Paddy (Rice Berry), Rice Berry cargo), Rice (Black rice Paddy, Cargo, Broken rice (Hommali), Broken rice (Long grain rice), Brown rice (Hommali), Brown rice (Long grain rice), Color defected (Black rice from color sorting of Brown rice), Color defected (Red rice/ Local Variety from color sorting of Brown rice), Local variety (Kwan Nam Om – Ma Yhang) Paddy, Cargo, Paddy (Hommali), Paddy (Long grain rice), Red rice Paddy, Cargo, Sticky rice (Paddy), White rice (Hommali), White rice (Long grain rice))</t>
  </si>
  <si>
    <t>Other: Amarant (Amaranthus), Camu Camu, Powder, Cañihua, Grains, Chilis, Chocolate Drops, Cocoa, Cocoa Beans, Cocoa Beans, Dried, Cocoa Butter, Cocoa Powder, Cretan Dittany (Origanum dictamnus), Ginger Dehydrated, Ginger Powder, Gingerbread, Lucuma Powder, Maca, Maca Flakes, Maca, Dried, Maca, Extract, Maca, Gelatinized, Maca, Seeds, Maize, Mangos Dried, Physalis Dried, Physalis Dried, Quinoa, Quinoa Powder, Rocoto (Capsicum Pubescens), Sacha Inchi (Plukenetia Volubilis), Sacha Inchi (Plukenetia Volubilis) Oil, Sacha Inchi (Plukenetia Volubilis) Powder, Yacon Powder, Yacon Syrup</t>
  </si>
  <si>
    <t>Other: Corn Ethanol, Grain Neutral Spirits Ethanol, Grape Alcohol, Sugar Cane Ethanol</t>
  </si>
  <si>
    <t>Other: 80 Proof Sugar Cane Ethanol, Denatured with Salt, Corn Ethanol, Grain Neutral Spirits Ethanol, Grape Alcohol, SDA 35A Ethanol 190 Proof, SDA 35A Ethanol 200 Proof, Sugar Cane Ethanol</t>
  </si>
  <si>
    <t>Other: CHAINAT RICE PADDY*, HOM MALI PADDY RICE*, PATHUM THANI 1 PADDY RICE*, PATHUM THANI RICE MILLED 15%*, PATHUM THANI RICE MILLED*, RED RICE PADDY*, RICE BERRY BROKEN RICE*, RICE BERRY SEMI-MILLED*, RICE BRAN-HOM MALI*, RICEBERRY PADDY*, THAI CARGO BLACK RICE/RICEBERRY*, THAI CARGO HOM MALI BROKEN RICE*, THAI CARGO HOM MALI RICE 15%/THAI HOM MALI BROWN RICE 15%*, THAI CARGO HOM MALI RICE/THAI HOM MALI BROWN RICE*, THAI CARGO RED BROKEN RICE*, THAI CARGO RED RICE*, THAI HOM MALI BROKEN RICE*, THAI HOM MALI GREEN COLORS RICE/THAI HOM MALI YOUNG RICE*, THAI HOM MALI SEMI-MILLED RICE*, THAI LONG GRAIN FRAGRANT RICE HOM MALI/ THAI HOM MALI RICE MILLED*, THAI STICKY RICE-RD6*, WHITE STICKY PADDY RICE*</t>
  </si>
  <si>
    <t>Other: Agave Inulin Powder, Basil Oil (Basil Oil Chavicol-391124), Bergamot Oil (Bergamot-391125), Berry Flavor (UC-8260 Nat. Berry WONF Flavor ), Berry Flavor (UD-1982 Nat. Mixed Berry WONF Flavor ), Black Pepper Oil (Black Pepper-390250), Blackberry Flavor (UC-9731 Nat. Blackberry WONF Flavor), Blueberry Flavor (UA-7784 NAT BLUEBERRY WONF FLAVOR), Blueberry Flavor (UB-7409 Nat Blueberry WONF Flavor), Blueberry Flavor (UC-6326 Nat. Blueberry WONF Flavor), Canola Oil (Canola Oil- 391202), Caramel Flavor (UD-1409 Nat. Caramel Type FLVP), Cedarwood Oil (Cedarwood Atlas-391126), Chamomile Oil (Chamomile Roman-391179), Cheese Flavor (UC-8716 Nat. Parmesan Cheese Type Flavor ), Cheese Flavor (UC-8717 Nat. Mozzarella Cheese Type Flavor ), Cheese Flavor (UD-2668 Nat. Blue Cheese Type Flavor), Cherry Flavor (Nat. Cherry WONF Flavor UD-535), Cherry Flavor (UE-2132 Nat.Black Cherry Type Flavor), Cinnamon Flavor (UC-10900 Nat Cinnamon WONF Flavor), Cinnamon Flavor (UC-5384 Nat Cinnamon WONF Flavor), Cinnamon Leaf Oil (Cinnamon Leaf 390251), Citronella Oil (Citronella-390243), Clary Sage Oil (Clary Sage 391178), Clove Oil (391425 - Clove Stem Oil), Coconut Flavor (UE-661 Nat. Coconut Type Flavor), Dillweed Oil (Dillweed Oil 391441), Eucalyptus Oil (Eucalyptus 75%- 391427), Fruit Punch Flavor (UE-2130 Nat.Fruit Punch WONF Flavor), Geranium Oil (Geranium-391128), Ginger Flavor (UC-7285 NAT GINGER FLAVOR), Ginger Flavor (UC-7658 Nat. Ginger WONF Flavor ), Ginger Oil (Ginger-390246), Ginger Oil (Ginger-391198), Grain Alcohol (391673 - Alcohol Wheat 190 Proof), Grapefruit Flavor (UC-10946 Nat. Grapefruit Type FLVP), Green Tea Flavor (UC-7661 Nat. Green Tea Enh Flavor ), Hazelnut Flavor (UD-7450 Nat. Hazelnut Type Flavor), Hazelnut Flavor (UE-1700 Nat. Hazelnut Type Flavor), Jojoba Oil (392437), Juniper Berry Oil (Juniper-391129), Lavandin Oil (Lavandin-391147), Lavender Oil (Lavender-390895), Lavender Oil (Lavender-391146), Lemon Extract (UA-1173 NAT LEMON EXT), Lemon Extract (UB-7420 NAT LEMON EXT), Lemon Flavor (UC-5790 Nat. Lemon Dew Type Flavor), Lemon Oil (Lemon-391130), Lime Extract (UC-7656 Nat. Lime Extract), Lime Extract (UC-7727 Nat. Lime Ext.), Lime Extract (UE-2133 Nat. Lime Ext. ), Lime Juice Concentrate (Lime Juice 400 GP - 391746A), Lime Juice Concentrate (Lime Juice Concentrate-391746), Lime Juice Concentrate (Lime Juice Persain NFC - 391799), Lime Oil (Lime Oil-391102), Mango Flavor (UE-608 Nat. Mango WONF Flavor), Mango Flavor (UE-609 Nat. Mango WONF Flavor), Maple Flavor (FX-3403 Nat. Maple Type Flavor), Mint Flavor (UC-2205 Nat. Mint Ext. Flavor ), Mint Flavor (UD-1317 Nat. Mint Ext. Flavor), Misc. Flavor (FQ-10682 Nat. Sweetness ENH Flavor), Misc. Flavor (FZ-10235 Nat Raspberry WONF), Misc. Flavor (FZ-9238 NAT MASKING FL WS), Misc. Flavor (FZ-9980 Nat Peach Mango WONF FL WS), Misc. Flavor (UA-1880 Nat Goji Blackberry Wonf Fl), Misc. Flavor (UA-2323 Nat Berry Wonf Fl), Misc. Flavor (UA-7786 Goji Mangosteen WONF FL ), Misc. Flavor (UB-5351 Nat Strawberry WONF Flavor), Misc. Flavor (UB-7407 Nat Raspberry WONF Flavor), Misc. Flavor (UB-7408 - Nat. Berry WONF Flavor), Misc. Flavor (UC-10280 Nat. Peach WONF Flavor), Misc. Flavor (UC-10321 Nat. Sweetness Enh Flavor), Misc. Flavor (UC-10403 Nat. Clementine WONF Ext.), Misc. Flavor (UC-10635 Nat. Masking Flavor), Misc. Flavor (UC-10833 Nat. Chocolate Type Flavor), Misc. Flavor (UC-11261 Nat. Coffee WONF Flavor), Misc. Flavor (UC-11294 Nat. Alcoho Smoother Type), Misc. Flavor (UC-3934 Nat. Pineapple WONF Flavor ), Misc. Flavor (UC-4853 Nat. Coffee WONF Flavor), Misc. Flavor (UC-6052 Nat. Tea WONF Flavor), Misc. Flavor (UC-6369 Nat. Sweetness Enh Flavor ), Misc. Flavor (UC-6599 Nat. Sweet Masking Flavor ), Misc. Flavor (UC-7145 Nat. Sweetness Enh Flavor), Misc. Flavor (UC-7830 Nat. Clementine WONF Ext. Flavor ), Misc. Flavor (UC-7831 Nat. Yumberry WONF Flavor ), Misc. Flavor (UC-8124 Nat. Blood Orange WONF Ext Flavor), Misc. Flavor (UC-8630 Nat. Sweet Masking Type FLVP), Misc. Flavor (UC-9252 Nat. Lime Extract Flavor), Misc. Flavor (UC-9286 Nat. Ginger WONF Flavor), Misc. Flavor (UD-1462 Nat. Lingonberry Type Flavor ), Misc. Flavor (UD-2207 Nat. Ginger WONF Flavor), Misc. Flavor (UD-2875 Nat. Herbal Blend Type), Misc. Flavor (UD-2892 Nat. Basil Type Flavor), Misc. Flavor (UD-3102 Nat. Raspberry WONF Flavor ), Misc. Flavor (UD-3622 Nat. Vanilla Cream Type Flavor ), Misc. Flavor (UD-3629 Nat. Eucalyptus Type Flavor), Misc. Flavor (UD-3630 Nat Lemon Lime Ginger Mint WONF Flavor), Misc. Flavor (UD-3657 Nat. Vanilla Ext. WONF Flavor ), Misc. Flavor (UD-3658 Nat. Tea WONF Flavor), Misc. Flavor (UD-3659 Nat. Tea WONF Flavor ), Misc. Flavor (UD-4278 Nat. Vanilla WONF Ext FLVP), Misc. Flavor (UD-5408 Nat. Cucumber Type Flavor), Misc. Flavor (UD-5735 Nat. Pineapple Mango Peach WONF FLVP), Misc. Flavor (UD-5736 Nat. Raspberry Strawberry Lemon WONF FLVP), Misc. Flavor (UD-578 Nat. Masking Flavor), Misc. Flavor (UD-5839 Nat. Maple Type Flavor), Misc. Flavor (UD-5916 Nat. Rhubarb Type Flavor), Misc. Flavor (UD-5917 Nat. Clove Type Flavor), Misc. Flavor (UD-6259 Nat. Alcohol Spritzer Type Flavor), Misc. Flavor (UD-6260 Nat. Orange WONF Extract), Misc. Flavor (UD-6261 Nat. Tangerine Type Extract), Misc. Flavor (UD-6518 Nat. Masking Flavor), Misc. Flavor (UD-6521 Nat. Sugar Type Flavor), Misc. Flavor (UD-6924 Nat. Orange Peel WONF Flavor), Misc. Flavor (UD-7062 Nat. Blackberry WONF Flavor), Misc. Flavor (UD-7427 Nat. Rosehip Type Flavor), Misc. Flavor (UE-1669 Nat. Masking Flavor), Misc. Flavor (UE-1877 Nat. Peach Mango WONF Flavor), Misc. Flavor (UE-2198 Nat. Sweetness ENH Flavor), Misc. Flavor (UE-578 Nat. Masking Flavor), Misc. Flavor (UH-1151 Nat. Yumberry WONF Flavor ), Nutmeg Oil (Nutmeg-390252), Orange Extract (UC-6936 Nat. Orange Ext. Flavor ), Orange Flavor (UC-10401 Nat. Blood Orange WONF Ext. Flavor), Orange Flavor (UC-10565 Nat. Blood Orange WONF Ext Flavor), Orange Oil (Orange-391131), Origanum Oil (392193), Palmarosa Oil (Palmarosa-391177), Passionfruit Flavor (FX-6607 WONF), Patchouli Oil (Patchouli-391132), Peach Flavor (UC-8675 Nat. Peach WONF Flavor ), Peanut Flavor (UE-1884 Nat. Peanut Butter Type FLVP), Pear Flavor (UA-7785 NAT PEAR WONF FL), Peppermint Flavor (UD-2155), Peppermint Oil (Peppermint-390591), Plum Flavor (UC-11213 Nat. Sweet Plum Type Flavor ), Pomegranate Flavor (UA-7783 NAT POMEGRANATE WONF FL), Pomegranate Flavor (UB-7412 NAT POMEGRANATE WONF FL  ), Pomegranate Flavor (UC-10573 Nat. Pomegranate WONF Flavor Kosher), Pomegranate Flavor (UC-11249 Nat Pomegranate WONF Fl), Pomegranate Flavor (UC-7657 Nat. Pomegranate WONF Flavor), Pomegranate Flavor (UC-8261 Nat. Pomegranate WONF Flavor), Pomegranate Flavor (UE-2268 Nat. Pomegranate WONF Flavor), Raspberry Flavor (UC-6747 Nat. Raspberry WONF Flavor ), Raspberry Flavor (UD-4362 Nat. Raspberry WONF), Sandalwood Oil (Pure Australian Sandalwood-391525), Soybean Oil (Soybean Oil-391135), Spearmint Flavor (UC-7655 Nat. Spearmint WONF Flavor), Spearmint Flavor (UC-9287 Nat. Spearmint WONF Flavor), Strawberry Flavor (UB-7410 Nat Strawberry WONF Flavor ), Strawberry Flavor (UE-610 Nat. Strawberry WONF Flavor), Tea Flavor (UC-8676 Nat. Tea WONF Flavor ), Tea Tree Oil (Tea Tree Oil - 391879), Terpenes (PRE6033 Orange Terpenes), Vanilla Flavor (UC-5367 Nat Vanilla WONF Flavor), Vanilla Flavor (UC-5368 Nat Chocolate WONF Flavor), Vanilla Flavor (UF-520 Nat. Vanilla WONF FLVP), Vegetable Flavor (UC-8608 Nat. Veg Spring Type DB Flavor ), Vetiver Oil (Vetivert-390249), Ylang Ylang Oil (Ylang VOP-391361)</t>
  </si>
  <si>
    <t>Other: 7 Grain Multi Grain Flour/ Atta, Barley Flour, Brown Gram/Gram/Chana (Cicer Arietnum), Fenugreek Powder, Gram Flour/Besan, Jowar Flour, Maize/Corn Flour, Multi Grain Flour With Fenugreek, Ragi Flour, Split Green Gram/Moong(Vigna sp), Wheat, Wheat Porridge/Dalia, Wheat Suji ( Wheat Semolina), Whole Wheat Flour / Chakki Flour</t>
  </si>
  <si>
    <t>Other: Amla Powder, Amla Whole Dried, Ashwagandha Powder, Ashwagandha Root, Barley Whole/ Barley Grain, Basmati Rice, Black Cumin, Black Pepper, Cardamom, Castor Seed Meal, Coriander Powder, Coriander Seeds, Cumin Powder, Dehydrated Onion Powder, Expeller Variety Soybean Meal, Expellor Variety Soybean Crude Oil Raw Grade-1, Fennel Seeds, Fenugreek, Flaxseed, Maize (Corn-other than seeds), Maize Grain, Mint Powder, Moringa Leaves, Moringa/Drumstick Powder, Mustard, Neem Leaves, Onion Dried , Psyllium Husk Whole, Psyllium Powder, Rapeseed Meal, Soybean Seeds, Sunflower Seeds, Turmeric Powder, Wheat</t>
  </si>
  <si>
    <t>Other: Original Sea Salt Sprouted 100% Whloe Grain Wheat Pretzel Shells - Unique Snacks brand, Original Sea Salt Sprouted 100% Whole Grain Wheat Pretzel Splits - Unique Snacks brand</t>
  </si>
  <si>
    <t>Other Grains, Pastas and Cereals: Barley, Chickpeas, Lentils, Peas, Spring Wheat, Winter Wheat</t>
  </si>
  <si>
    <t>Other Grains, Pastas and Cereals: 10 Mixed Grains, 7 Mixed Grains, Barley, Green Mung Beans, Rice (Black Rice), Rice (GABA Rice), Soybeans; Fruits/Vegetables: Beans (Adzuki Red Bean), Beans (Mixed Bean), Beans (Red Kidney Bean)</t>
  </si>
  <si>
    <t>Other: Berry Blend, Berry Medley, Blackberries, Blueberries, Broth - Beef Flavored Broth, Broth - Chicken Broth, Broth - Chicken Stock, Broth - Low Sodium Chicken Organic Broth, Broth - Low Sodium Vegetable Broth, Broth - Vegetable Broth, Cacao Nibs, Canned Goods - Crushed Tomatoes with Basil in Tomato Puree, Canned Goods - Diced Tomatoes in Tomato Juice, Canned Goods - Diced Tomatoes in Tomato Juice - No Salt Added, Canned Goods - Tomato Paste, Canned Goods - Tomato Sauce, Cereals - Bran Plus Cereal, Cereals - Cinnamon Crunch Cereal, Cereals - Golden Rice Crisp Cereal, Cereals - Honey Nut O's Cereal, Cereals - Instant Oatmeal, Cereals - Irish-Style Oatmeal, Cereals - Toasted O's Cereal, Cereals - Wheat Squares Cereal, Classic Unsweetened Coconut Milk, Coconut Milk, Coconut Milk, Unsweetened, Condiments - Dijon Mustard, Condiments - Jalapeno Relish, Condiments - Mayonnaise, Condiments - Sauerkraut, Condiments - Stone Ground Mustard, Condiments - Stoneground Mustard, Condiments - Tomato Ketchup, Condiments - Tomato Ketchup, Condiments - Yellow Mustard, Condiments - Yellow Mustard, Cookies - Chocolate Chip Cookies, Cookies - Chocolate Cream Cookies, Cookies - Vanilla Cream Cookies, Cookies - Wildlife Friends Cocoa Chip Cookies, Cookies - Wildlife Friends Vanilla Cookies, Crackers - Golden Round Crackers, Crackers - Toasted Wheat Squares, Crackers - Traditional Water Crackers, Dark Sweet Cherries, Dates, Unsweetened Medjool, Dressings - Balsamic Vinaigrette, Dressings - French Dressing, Dressings - Goddess Dressing, Dressings - Green Goddess Dressing, Dressings - Italian Dressing, Dressings - Poppy Seed Dressing, Dressings - Ranch Dressing, Figs, Unsweetened Black Mission, Frozen Fruit - Papaya Chunks, Frozen Fruit - Pineapple Chunks, Frozen Fruit - Strawberries, Frozen Fruit - Wild Blueberries, Frozen Vegetables - Baby French Beans, Frozen Vegetables - Broccoli Florets, Frozen Vegetables - Cut Green Beans, Frozen Vegetables - Cut Spinach, Frozen Vegetables - Edamame Shelled, Frozen Vegetables - Edamame Whole Pods, Frozen Vegetables - Green Peas, Frozen Vegetables - Green Peas, Frozen Vegetables - Mixed Mushrooms, Frozen Vegetables - Mixed Vegetables, Frozen Vegetables - Peas and Carrots, Frozen Vegetables - Petite Peas, Frozen Vegetables - Shitake Mushrooms, Frozen Vegetables - Steamable Cut Green Beans, Frozen Vegetables - Steamable Green Peas, Frozen Vegetables - Steamable Mixed Vegetables, Frozen Vegetables - Steamable Supersweet Corn, Frozen Vegetables - Sugar Snap Peas, Frozen Vegetables - Supersweet Cut Corn, Frozen Vegetables - Supersweet Cut Corn, Frozen Vegetables - Supersweet White Corn, Frozen Vegetables - Whole Baby Asparagus, Fruit - Apple Sauce, Fruit - Cinnamon Applesauce, Fruit - Diced Peaches, Fruit - Diced Peaches &amp; Pears, Fruit - Diced Pears, Granola - Cinnamon Flax Granola, Granola - Honey Oat Granola, Granola - Vanilla Blueberry Granola, Juice - Apple Cranberry Juice, Juice - Concord Grape Juice, Juice - Cranberry Juice, Juice - Fruit Punch, Juice - Tart Cherry Juice, Light Coconut Milk, Light Unsweetened Coconut Milk, Mango Chunks, Nut Butters - Almond Butter Crunchy Unsalted, Nut Butters - Almond Butter Dry Roasted Crunchy/Unsalted, Nut Butters - Almond Butter Dry Roasted Smooth/Unsalted, Nut Butters - Almond Butter Lightly Toasted Smooth/Unsalted, Nut Butters - Almond Butter Smooth Unsalted, Nut Butters - Cashew Butter Dry Roasted Smooth/Unsalted, Nut Butters - Classic Peanut Butter Crunchy Salted, Nut Butters - Classic Peanut Butter Smooth Salted, Nut Butters - Easy Spread Peanut Butter, Crunchy, Nut Butters - Easy Spread Peanut Butter, Crunchy/Unsalted, Nut Butters - Easy Spread Peanut Butter, Smooth, Nut Butters - Easy Spread Peanut Butter, Smooth/Unsalted, Nut Butters - Lightly Toasted Almond Butter, Unsalted, Nut Butters - Peanut Butter Crunchy Salted, Nut Butters - Peanut Butter Crunchy Salted Spreadable, Nut Butters - Peanut Butter Crunchy Unsalted, Nut Butters - Peanut Butter Crunchy Unsalted Spreadable, Nut Butters - Peanut Butter Smooth Salted, Nut Butters - Peanut Butter Smooth Salted Spreadable, Nut Butters - Peanut Butter Smooth Unsalted, Nut Butters - Peanut Butter Smooth Unsalted Spreadable, Nut Butters - Sesame Tahini Unsalted, Nut Butters - Sunflower Butter, Lightly Sweetened, Salted, Nut Butters - Sunflower Butter, Unsweetened, Unsalted, Nuts - Brazil Nuts, Nuts - Pecan Halves, Oils - Canola Oil Cooking Spray, Oils - Coconut Oil, Oils - Coconut Oil Extra Virgin, Oils - Extra Virgin Olive Oil 1L, Oils - Extra Virgin Olive Oil 500mL, Oils - Extra Virgin Olive Oil Cooking Spray, Oils - Unrefined Coconut Oil, Olive - Green Pitted Olives with Herbs, Olives - Kalamata Olives Pitted, Olives - Kalamata Olives Pitted, Olives - Kalamata Pitted Olives with Cumin, Olives - Ripe Black Olives Pitted, Olives - Stuffed Green Olives Garlic, Olives - Stuffed Green Olives Garlic, Olives - Stuffed Green Olives Jalapeno Peppers, Olives - Stuffed Green Olives Red Peppers, Olives - Stuffed Green Olives Red Peppers, Pasta - Asian Vegetable Ramen, Pasta - Buckwheat Shoyu Ramen, Pasta - Capellini Angel Hair (durum wheat semolina), Pasta - Elbows (durum wheat semolina), Pasta - Fine Udon Pasta, Pasta - Fusilli (durum wheat semolina), Pasta - Garlic Pepper Ramen, Pasta - Lemongrass Ginger Ramen, Pasta - Linguine (durum wheat semolina), Pasta - Penne Rigate (durum wheat semolina), Pasta - Ramen Noodles, Pasta - Reduced Sodium Asian Vegetable Ramen, Pasta - Reduced Sodium Garlic Pepper Ramen, Pasta - Reduced Sodium Tofu Miso Ramen, Pasta - Round Udon Pasta, Pasta - Soba Noodles, Pasta - Spaghetti (durum wheat semolina), Pasta - Udon Pasta, Pasta - Wide Udon Pasta, Pickled Baby Carrots, Pickles - Kosher Baby Dill Pickles, Pickles - Kosher Dill Pickle Spears, Pickles - Kosher Sliced Dill Pickles, Pickles - Kosher Whole Dill Pickles, Pickles - Sweet Bread &amp; Butter Pickles, Pickles - Sweet Relish, Pretzels - Mini Rod Pretzels, Pretzels - Mini Twist Pretzels, Pretzels - Skinny Stick Pretzels,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Raspberries, Salsas - Black Bean &amp; Corn Salsa, Medium, Salsas - Double Fire Roasted Salsa, Medium, Salsas - Garlic Cilantro Salsa, Mild, Salsas - Jalapeno Lime Salsa, Hot, Salsas - Medium Fire-Roasted Garlic Salsa, Salsas - Tomato Cilantro Salsa, Medium, Sauce - BBQ Sauce Chipotle, Sauce - BBQ Sauce Hickory, Sauce - BBQ Sauce Original, Sauce - Classic Pizza Sauce, Sauce - Garden Vegetable Pasta Sauce, Sauce - Italian Herb Pasta Sauce, Sauce - Jellied Cranberry Sauce, Sauce - Marinara Pasta Sauce, Sauce - Pizza Sauce, Sauce - Portobello Mushroom Pasta Sauce, Sauce - Roasted Garlic Pasta Sauce, Sauce - Roasted Garlic Pasta Sauce, Sauce - Spicy Arrabbiata Pasta Sauce, Sauce - Spicy Arrabbiata Pasta Sauce, Sauce - Tomato Basil Pasta Sauce, Sauce - Tomato Basil Pasta Sauce, Sauce - Traditional Marinara Pasta Sauce, Sauce - Whole Cranberry Sauce, Seeds - Flax Seed, Shiitake Mushroom Ramen, Sliced Peaches, Snack Bars - Apple Multi-Grain, Snack Bars - Blueberry Multi-Grain, Snack Bars - Mixed Berry Multi-Grain, Snack Bars - Strawberry Multi-Grain, Snack Foods - Aztec Hot Chocolate Snack Mix, Snack Foods - Banana Chips Sweetened, Snack Foods - Berry Powerful Mix, Snack Foods - Calimyrna Figs, Snack Foods - Campfire Trail Mix, Snack Foods - Cashew Pieces, Snack Foods - Cashews Large Whole, Snack Foods - Cashews Whole Large Roasted and Salted, Snack Foods - Caveman Energy Mix, Snack Foods - Cheeky Cranberry Mix, Snack Foods - Cheeky Cranberry Mix, Snack Foods - Cherry Truffle Mix, Snack Foods - Cherry Truffle Mix, Snack Foods - Coconut Medium Shredded, Snack Foods - Cranberries Sweetened, Snack Foods - Dark Chocolate Almonds, Snack Foods - Dark Chocolate Coffee Beans, Snack Foods - Dark Chocolate Raisins, Snack Foods - European Escape Mix, Snack Foods - Ginger Chunks Sweetened, Snack Foods - Goji Berries, Snack Foods - Goji Getter Snack Mix, Snack Foods - Hiker's Harvest Mix, Snack Foods - Java Chip Snack Mix, Snack Foods - Java Chip Snack Mix, Snack Foods - Kumbaya Campfire Snack Mix, Snack Foods - Kumbaya Campfire Snack Mix, Snack Foods - Lemon Almonds, Snack Foods - Lemon Glow Snack Mix, Snack Foods - Microwave Popcorn Butter Flavor, Snack Foods - Microwave Popcorn Butter Flavor, Mini Packs, Snack Foods - Microwave Popcorn Light Butter Flavor, Snack Foods - Microwave Popcorn Salted, Snack Foods - Microwave Popcorn Salted, Mini Packs, Snack Foods - Mighty PB &amp; J Mix, Snack Foods - Monkey Munch Mix, Snack Foods - Paleo Go Snack Mix, Snack Foods - Pinenuts, Snack Foods - Pistachios Dry Roasted and Salted, Snack Foods - Pistachios Dry Roasted Unsalted, Snack Foods - Prunes Pitted, Snack Foods - Pumpkin Seeds, Snack Foods - Raw Almonds, Snack Foods - Seedalicious Sunset Mix, Snack Foods - Seedalicious Sunset Mix, Snack Foods - Sesame Seeds Hulled, Snack Foods - Sunflower Seeds Hulled, Snack Foods - Tamari Pumpkin Seeds, Snack Foods - Tamari Sunflower Seeds, Snack Foods - Thompson Raisins, Snack Foods - Tropical Thai Snack Mix, Snack Foods - Turkish Apricots, Snack Foods - Walnuts Halves and Pieces, Soy Products - Extra Firm Tofu, Soy Products - Firm Tofu, Spreads - Apricot Fruit Spread, Spreads - Blueberry Fruit Spread, Spreads - Mixed Berry Fruit Spread, Spreads - Raspberry Fruit Spread, Spreads - Strawberry Fruit Spread, Sweeteners - Brown Sugar, Sweeteners - Powdered Sugar, Sweeteners - Pure Cane Sugar, Sweeteners - Turbinado Sugar, Syrup - Maple Syrup Grade A, Tofu Miso Ramen, Tomatoes - Sundried Tomatoes, Tomatoes - Sundried Tomatoes in Olive Oil, Tortillas - Whole Wheat Flour Tortilla, Various - Stuffed Grape Leaves Dolmas, Vegetables - Fire Roasted Red &amp; Yellow Peppers, Vegetables - Fire Roasted Red Peppers, Vegetables - Fire Roasted Red Peppers, Vinegar - Apple Cider Vinegar, Vinegar - Balsamic Vinegar, Vinegar - Balsamic Vinegar, Vinegar - Red Wine Vinegar, Vinegar - White Wine Vinegar, Wakame Seaweed Ramen, Whole Strawberries, Whole Strawberries, 32oz, Wild Blueberries, Wild Non-Pareil Capers, Wild Non-Pareil Capers</t>
  </si>
  <si>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</si>
  <si>
    <t>Other: Bagel (Everything), Bagel (Plain), Bread (100% Whole Wheat), Bread (100% Whole Wheat Bread), Bread (Ancient Grains Sandwich Bread), Bread (Bare White), Bread (Big Horn Valley 100% Whole Wheat ), Bread (Early Bird Multi-Seed Bread), Bread (Great Seed), Bread (Great Seed Thin Sliced), Bread (Hearty Honey Oat), Bread (Honestly Sprouted), Bread (Mega-Grain), Bread (Minimalist Wheat), Bread (Multigrain and Seeds), Bread (Multigrain Bread), Bread (Multi-Seed Bread), Bread (Palouse Plateau Honey Oat), Bread (Rogue River 24 Grain &amp; Seed), Bread (Seed), Bread (Select Seeds), Bread (Simple Sourdough), Bread (Sourdough), Bread (The Great Sprouted), Bread (Touch o' Honey Bread), Bread (Twenty-Four Grains &amp; Seeds), Bread (Twenty-Four Grains &amp; Seeds Thin Sliced), Bread (White Bread), Bread (White Hamburger Buns), Bread (White Hot Dog Buns), Bread (White Hotdog Buns), Bread (White Sandwich Bread), Bread (Whole Wheat Hamburger Buns), Bread (Whole Wheat Hot Dog Buns), Bread (Whole Wheat Sandwich Bread), Bread (Willamette Valley Great Seed )</t>
  </si>
  <si>
    <t>Other Grains, Pastas and Cereals: Storage of Certified Organic Grains (Wheat, Barley, Oats)</t>
  </si>
  <si>
    <t>Other: BLACK CARGO BROKEN RICE, BLACK CARGO RICE, BLENDED BROWN, RED, BLACK RICE, LONG GRAIN BROWN RICE, LONG GRAIN JASMINE RICE, RED CARGO BROKEN RICE, RED CARGO RICE, RICE BRAN, THAI HOM MALI BROKEN RICE, THAI HOM MALI CARGO BROKEN RICE, THAI HOM MALI CARGO RICE (BROWN RICE), THAI HOM MALI CARGO RICE (BROWN RICE) AND RED CARGO RICE, THAI HOM MALI RICE, THAI HOM MALI RICE AND THAI HOM MALI CARGO RICE (BROWN RICE)</t>
  </si>
  <si>
    <t>Other: Storage and Distribution of Alfalfa, Edible Dry Beans (Black, Great Northern, Kidney (dark red and white), Navy, and Pinto), Small Grains (oats and wheat), and Potatoes (red and yellow)</t>
  </si>
  <si>
    <t>Trees/Whole Plant Products/Flowers: Flowers (Trees and Ornamentals: Bachelor's Buttons), Flowers (Trees and Ornamentals: Tithonia), Flowers (Trees and Ornamentals: Poppy), Flowers (Trees and Ornamentals: Sweet Pea), Flowers (Trees and Ornamentals: Saponaria), Flowers (Trees and Ornamentals: Statice), Flowers (Trees and Ornamentals: Yarrow), Flowers (Trees and Ornamentals: Flax), Flowers (Trees and Ornamentals: Datura), Flowers (Trees and Ornamentals: Columbine), Flowers (Trees and Ornamentals: Aster), Flowers (Trees and Ornamentals: Chinese Delphinium), Flowers (Trees and Ornamentals: Mallow), Flowers (Trees and Ornamentals: Cerinthe), Flowers (Trees and Ornamentals: Morning Glory), Flowers (Trees and Ornamentals: Dahlia), Flowers (Trees and Ornamentals: Nasturtium), Flowers (Trees and Ornamentals: Didiscus), Flowers (Trees and Ornamentals: Celosia), Flowers (Trees and Ornamentals: Mignonette), Flowers (Trees and Ornamentals: Chinese Forget-Me-Not), Flowers (Trees and Ornamentals: Cleome), Flowers (Trees and Ornamentals: Nigella), Flowers (Trees and Ornamentals: Strawflower), Flowers (Trees and Ornamentals: Zinnia), Flowers (Trees and Ornamentals: Rudbeckia), Flowers (Trees and Ornamentals: Coreopsis), Flowers (Trees and Ornamentals: Sunflower), Flowers (Trees and Ornamentals: Baby's Breath), Flowers (Trees and Ornamentals: Cosmos), Flowers (Trees and Ornamentals: Verbascum), Flowers (Trees and Ornamentals: Borage), Flowers (Trees and Ornamentals: Eryngium), Flowers (Trees and Ornamentals: Jacob's Ladder), Flowers (Trees and Ornamentals: Marigold), Flowers (Trees and Ornamentals: Snapdragon), Flowers (Trees and Ornamentals: Calaloo), Flowers (Trees and Ornamentals: Calendula), Flowers (Trees and Ornamentals: Echinacea), Flowers (Trees and Ornamentals: Salvia), Flowers (Trees and Ornamentals: Dianthus), Flowers (Trees and Ornamentals: Basket Flower), Flowers (Trees and Ornamentals: Craspedia), Flowers (Trees and Ornamentals: Bupleurum), Flowers (Trees and Ornamentals: Scabiosa), Flowers (Trees and Ornamentals: Amaranth), Flowers (Trees and Ornamentals: Foxglove), Flowers (Trees and Ornamentals: Achillea), Flowers (Trees and Ornamentals: Nicotiana), Flowers (Trees and Ornamentals: Agastache), Flowers (Trees and Ornamentals: Chinese Aster), Flowers (Trees and Ornamentals: Monarda), Flowers (Trees and Ornamentals: Phacelia), Flowers (Trees and Ornamentals: Hollyhock), Flowers (Trees and Ornamentals: Four O'Clocks), Flowers (Trees and Ornamentals: Larkspur), Trees and Ornamentals: Grass; Other: Mixed Vegetables (Vegetables: Braising Mix), Mixed Vegetables (Vegetables: Uprising Spicy Mesclun), Mixed Vegetables (Vegetables: Uprising Mild Mesclun), Mixed Vegetables (Vegetables: Gusto Italiano Project), Seeds (Vegetables: Cress), Seeds (Herbs: Mexican Tarragon), Seeds (Vegetables: Lentils), Seeds (Vegetables: Cauliflower), Seeds (Vegetables: Cabbage), Seeds (Vegetables: Chinese Cabbage), Seeds (Vegetables: Cowpea), Seeds (Vegetables: Snow Pea), Seeds (Vegetables: Shelling Pea), Seeds (Vegetables: Dry Pea), Seeds (Vegetables: Sugar Snap Pea), Seeds (Vegetables: Leeks), Seeds (Vegetables: Rapini), Seeds (Herbs: Holy Basil), Seeds (Herbs: Nigella), Seeds (Vegetables: Sweet Corn), Seeds (Vegetables: Flour Corn), Seeds (Vegetables: Popcorn), Seeds (Vegetables: 3 Kale Mix, "A Tale of 3 Kales"), Seeds (Vegetables: Kale), Seeds (Herbs: Sage), Seeds (Vegetables: Cicerchia), Seeds (Vegetables: Chrysanthemum - Shungiku), Seeds (Vegetables: Burdock), Seeds (Vegetables: Cardoon), Seeds (Vegetables: Sculpit), Seeds (Herbs: Dill), Seeds (Vegetables: Collards), Seeds (Vegetables: 3 Beet Mix), Seeds (Vegetables: Beets), Seeds (Grains: Agastache), Seeds (Grains: Sainfoin), Seeds (Vegetables: Rutabaga), Seeds (Vegetables: Celeriac), Seeds (Vegetables: Eggplants), Seeds (Herbs: Mullein), Seeds (Herbs: Sculpit), Seeds (Herbs: Basket Flower), Seeds (Herbs: Mentuccia Romana), Seeds (Herbs: Erba Stella), Seeds (Herbs: Trigonella), Seeds (Herbs: Shiso), Seeds (Vegetables: Radicchio), Seeds (Herbs: Chamomile), Seeds (Vegetables: Slicer Tomato), Seeds (Vegetables: Paste Tomato), Seeds (Vegetables: Cherry Tomato), Seeds (Vegetables: Heirloom Tomato), Seeds (Herbs: Parsley), Seeds (Vegetables: Belgian Endive - Witloof), Seeds (Vegetables: Chicory), Seeds (Vegetables: Escarole), Seeds (Vegetables: Curly Endive), Seeds (Vegetables: Mini Mix Lettuce), Seeds (Vegetables: Uprising Lettuce Mix), Seeds (Vegetables: Lettuce), Seeds (Vegetables: Shallots), Seeds (Vegetables: Summer Squash), Seeds (Vegetables: Winter Squash), Seeds (Vegetables: Zucchini), Seeds (Vegetables: Rainbow Carrot Mix), Seeds (Vegetables: Carrots), Seeds (Vegetables: Radishes), Seeds (Fruit: Watermelons), Seeds (Vegetables: Mixed Greens), Seeds (Vegetables: Asian Greens), Seeds (Vegetables: Sorrel), Seeds (Vegetables: Onions), Seeds (Herbs: Anise), Seeds (Vegetables: Groundcherries), Seeds (Vegetables: Arugula), Seeds (Vegetables: Parsnip), Seeds (Herbs: Insectary and Soil Building Mix), Seeds (Herbs: Edible Flower Mix), Seeds (Vegetables: Chard), Seeds (Vegetables: Broccoli), Seeds (Vegetables: Turnips), Seeds (Herbs: Monarda), Seeds (Vegetables: Pumpkins), Seeds (Grains: Quinoa), Seeds (Herbs: Marshmallow), Seeds (Grains: Wheat), Seeds (Vegetables: Sweet Pepper), Seeds (Vegetables: Hot Pepper), Seeds (Fruit: Melon), Seeds (Herbs: Basil), Seeds (Vegetables: Tomatillos), Seeds (Vegetables: Fennel), Seeds (Herbs: Fenugreek), Seeds (Vegetables: Spinach), Seeds (Herbs: Hyssop), Seeds (Vegetables: Fava Bean), Seeds (Vegetables: Snap Bean), Seeds (Vegetables: 4 Bean Mix), Seeds (Vegetables: Dry Bean), Seeds (Vegetables: Soy Bean), Seeds (Vegetables: Cucumbers)</t>
  </si>
  <si>
    <t>Other: Basmati Rice, Black rice, Deoiled Rice Bran (Black, Jasmine, Parboiled, Red, Thai Long Grain), Dragonfly - Organic black rice, Dried rice straw, Germinated Black Rice, Germinated Brown Rice, Germinated Red Rice, Glutinous rice (Brown, Black, white, Brown Rice Mill Run, White Rice Mill Run ), Glutinous Rice Flour ( Brown,Black, white, Brown Rice Mill Run, White Rice Mill Run ), Japanese Rice, Jasmine black rice, Jasmine brown rice, Jasmine Instant White Rice, Jasmine Rice Coated With Butterfly Pea, Jasmine Rice Coated With Roselle, Jasmine Rice Coated With Turmeric, Jasmine white rice, Lanna Valley Organic Jasmine white rice, Liquid smoke, Micronized rice husk, Organic Broken Rice (Jasmine, Thai Long Grain, Thai Parboiled, Glutinous) - Red Rice, Black Rice, White rice, Brown Rice, Organic Broken Rice (Jasmine,Thai Parboiled,Thai long grain, Glutinous - White rice, Organic micronized rice husk concentrate, Organic rice noodle flour (White, Brown, Black, Red), Organic Riceberry Rice, Organic semi brown rice, Organic Tri-Color rice, Puffed Rice, Quick Cook Rice, Ready to eat rice, Red rice, Reduced Arsenic Rice, Rice bran oil, Rice Bran Protein, Rice bran starch, Rice Bran Syrup, Rice Bran/ Parboiled bran/Thai Long Grain bran/Jasmine bran/Glutinous bran/Red Rice bran/ Black Rice Bran, Rice Flour, Rice husk, Rice Maltodextrin, Rice milk, Rice starch, Rice straw, Rice straw pulp, Rice Syrup liquid, Rice Syrup powder, Riceberry black rice, Riceberry rice (Jasberry), Soluble jasmine rice bran, Soluble red rice bran, Soluble thai long grain rice bran, Stabilized Micronized Rice Bran Extract, Stabilized Rice Bran Extract, Stabilized Rice Bran/ Parboiled bran/Thai Long Grain bran/Jasmine bran/Glutinous bran/Red Rice bran/ Black Rice bran, Sterilizer Rice Husk, Thai Hom Mali Black Rice, Thai Hom Mali Brown Rice, Thai Hom Mali White Rice, Thai Long Grain Brown Rice, Thai Long Grain Brown Rice Flour, Thai Long Grain Brown Rice Mill Run, Thai Long Grain White Rice, Thai Long Grain White Rice Flour, Thai Long Grain White Rice Mill Run, Thai Parboiled Brown Rice, Thai Parboiled White Rice</t>
  </si>
  <si>
    <t>Other: Durum A-Blend Flour (50lb, Bulk), Durum A-Blend Flour, Enriched (50lb, Bulk), Durum Extra Fancy Patent Flour (50lb, Bulk), Durum Extra Fancy Patent Flour, Enriched (50lb, Bulk), Durum First Clear Blend Flour (50lb, Bulk), Durum First Clear Blend Flour, Enriched (50lb, Bulk), Durum First Clear Flour (Bulk), Durum Patent Flour (50lb, Bulk), Durum Patent Flour, Enriched (50lb, Bulk), Durum Pelletized Wheat Midds (Bulk), Durum Second Clear Flour (Bulk), Durum Semolina Fine Blend Flour (50lb, Bulk), Durum Semolina Fine Blend Flour, Enriched (50lb, Bulk), Durum Semolina Flour ((2000lb, 50lb, Bulk), Durum Semolina Flour, Enriched (2000lb, 50lb, Bulk), Durum Wheat (2000lb), Durum Wheat Midds (Bulk), Durum Wheat Puffing (2000lb), Durum Whole Wheat Semolina Flour (50lb, Bulk), Durum Whole Wheat Semolina Flour, Enriched (50lb, Bulk), Durum Whole Wheat Whole Grain Flour (50lb, Bulk)</t>
  </si>
  <si>
    <t>Dry/Baking Goods: Organic Grains, Flour and Milled Products. Also Certified in Accordance with the Terms of the U.S.-Canada Organic Equivalency Arrangement.</t>
  </si>
  <si>
    <t>Nuts/Seeds: Cashew Nuts (Pasteurized whole cashew nuts), Cashew Nuts (Raw cashew kernels broken, pieces, butts, slipt, grains), Cashew Nuts (Roasted and salted cashew kernels broken, pieces, butts, slipt, grains), Cashew Nuts (Roasted cashew kernels whole), Cashew Nuts (Roasted cashew kernels broken, pieces, butts, slipt, grains), Cashew Nuts (Cashew nut liquid shell), Cashew Nuts (Cashew nut butter raw or roasted – light or dark.); Dry/Baking Goods: Flours and Meals (Raw cashew nut meal (flour)), Flours and Meals (Roasted cashew nut meal (flour))</t>
  </si>
  <si>
    <t>Nuts/Seeds: Cashew Nuts (Roasted and salted cashew kernels broken, pieces, butts, slipt, grains), Cashew Nuts (Roasted and salted cashew kernels broken, pieces, butts, slipt, grains), Cashew Nuts (Cashew nut butter raw or roasted – light or dark*), Cashew Nuts (Cashew nut liquid shell*), Cashew Nuts (Raw cashew kernels broken, pieces, butts, slipt, grains*), Cashew Nuts (Raw cashew nut meal (flour)*), Cashew Nuts (Roasted cashew kernels broken, pieces, butts, slipt, grains*), Cashew Nuts (Roasted cashew kernels whole*), Cashew Nuts (Roasted cashew nut meal (flour)*), Cashew Nuts (Whole raw cashew nuts*)</t>
  </si>
  <si>
    <t>Other Grains, Pastas and Cereals: Rice (Hommali 105 rice (paddy), Jasmine Rice (paddy), RD 95 rice (paddy), Rice berry (paddy), Sin Lek rice (paddy), Sticky rice (paddy), Tubtimchumpae rice (paddy)); Other: Beans (Mung bean)</t>
  </si>
  <si>
    <t>Other: BASMATI RICE SEASONED WITH CLOVES &amp; CARDAMOM, JASMIN RICE, WHOLE GRAIN BROWN RICE, WHOLE GRAIN BROWN RICE &amp; QUINOA (GARLIC FLAVORED), WHOLE GRAIN BROWN RICE WITH ANCIENT GRAINS ( BLACK PEPPER), CILANTRO LIME RICE, GG Organic Cilantro &amp; lime rice, Simple Truth Organic Cilantro &amp; Lime Rice (8.8oz 250g),Khazana Organic Cilantro &amp; Lime Rice (8.5Oz), SIMPLE TRUTH ORGANIC 100% WHOLE GRAIN BROWN RICE &amp; ANCIENT GRAINS WITH BLACK PEPPER (8.8Oz 250g), SIMPLE TRUTH ORGANIC 100% WHOLE GRAIN BROWN RICE &amp; QUINOA SEASONED WITH GARLIC (8.8Oz 250g),KHAZANA ORGANIC QUINOA &amp; BROWN RICE (GARLIC FLAVOURED) (8.5Oz), SIMPLE TRUTH ORGANIC 100% WHOLE GRAIN BROWN RICE (8.8Oz 250g), SIMPLE TRUTH ORGANIC BASMATI RICE SEASONED WITH CLOVES &amp; CARDAMOM (8.8Oz 250g), KHAZANA ORGANIC BASMATI RICE (8.5Oz), KHAZANA ORGANIC LEMON BASMATI RICE (8.5OZ), KHAZANA ORGANIC TURMERIC COCONUT BASMATI RICE (8.5Oz), KHAZANA ORGANIC TURMERIC COCONUT BASMATI RICE (8.5Oz), KHAZANA ORGANIC COCONUT JASMINE RICE (8.5Oz), KHAZANA ORGANIC ANCIENT GRAINS &amp; BROWN RICE WITH BLACK PEPPER (8.5Oz), KHAZANA ORGANIC JASMINE RICE (8.5OZ), RGG ORGANIC JASMINE RICE (8.8Oz 250g), SIMPLE TRUTH ORGANIC JASMINE RICE(8.8Oz 250g)</t>
  </si>
  <si>
    <t>Other: Ajwain, Almond, Aloo Bhujia, Amaranth Seed/ Ram Dhana, Amla Powder, Andhra Mixture, Andhra Mixture, Arhar, Arhar Dal (Red Gram/Pigeon Pea), Arisalu (Kajjaya/Adhirasam), Badhusha, Bajra Flour/ Atta, Bajra Porridge/Dalia, Banana Chips, Bandar Ladoo, Barley Flour, Barley Porridge/Dalia, Barley Whole, Basmati Rice-Brown, Basmati Rice-White, Bay Leaf Powder, Bay Leaves/Tejpatta, Beaten Rice, Beetroot Chakli Sticks, Bengal Gram Whole, Bhujia, Black Pepper, Black Pepper Powder, Broken Rice, Buckwheat (Other Than Seed), Buckwheat Flour, Butter Murukulu, Cardamom, Cardamom Large (Black), Cardamom Powder, Cashew Whole, Chana Dal, Chekkalu, Chekodilu, Cheti Chekkalu, Chickpea/Kabuli Chana (Garbanzos), Chilli Garlic Chakli, Chitra Kidney Beans/Rajma (Phaseolus Vulgaris), Chives (Allium Schoenoprasum), Cinnamon, Cinnamon (Powder), Clove Powder, Clove Whole, Cocktail Mixture, Coconut Oil, Coriander Powder, Coriander Seed, Cowpea, Cowpea Red, Crazy Party Peanuts, CTC Tea, Cumin Powder, Cumin Whole, Dalmoth, Dried Cardamom, Fennel Powder, Fennel/Saunf, Fenugreek Powder (Methi Powder), Fenugreek Seed (Methi Seed), Flax Seed, Garam Masala, Garlic Powder, Garlic Thattai, Gram Flour/Besan, Green Cardamom, Green Gram Whole (Moong Sabut), Green Gram/Moong Dhuli, Green Tea, Groundnut/Peanut, Groundnut/Peanut Oil (Edible Grade), Jaggery, Jaggery Powder, Janthikalu, Jowar Porridge, Kai Murukku, Kajjikayalu, Kaju Bite/Byte, Kalonji/Nigella, Kara Boondi, Karapusa, Karasev, Kasuri Methi, Khatha Meetha, Laung Sev, Lentil, Mace, Madras Mixture, Magic Masala Potato Chips, Maida, Maize (Corn), Maize/ Corn Porridge (Dalia), Maize/Corn Flour, Malai Mixture, Mango (Fresh), Masala Peanuts, Masur/Masoor Dhuli, Matki/Moth Bean, Mini Thattai, Mint/Mentha/Pudina, Mix Dal, Moong Dal-Split With Shell, Mota Sev, Moth Dhuli, Mullu Murukulu, Mustard Oil (Aroma/E. Oil), Mysore Pak Hard, Mysore Pak Soft, Nellore Special Mixture, Non-Basmati Rice, Olive Oil, Onion Palli Rava Chekkalu, Oregano, Pappu Chekodilu, Parsley, Pea Pulse (Pisum Sativum), Pearl Millet/Bajra, Pepper Thattai, Psyllium Husk (Isobgul), Quinoa, Ragi Flour, Ragi Jeedipappu Mixture, Ragi/Finger Millet Grain, Raisins/Kismis, Ratlami Sev, Red Chilli (Whole), Red Chilli Flakes, Red Chilli Powder, Red Kidney Beans/Rajma (Phaseolus Vulgaris), Red Lentil, Red Rice, Ribbon Pakoda (Aaha), Ribbon Pakoda (Thalaivaa), Rice Flour, Rice Porridge/Dalia, Rice Sonamasuri Brown, Rice-Sona Masuri, Ring Murukku, Roasted Sesame, Rosemary, Sanna Karapusa, Seedai, Sesame Oil/Gingelly Oil, Sesame/Sesamum, Sorghum, Sorghum Flour, Soyabean/Soybean Flour, Soybean Whole, Special Vada, Spicy Batani, Spicy Chekodi Sticks, Spicy Green Peas, Spicy Masala Peanuts, Split Green Gram/Moong (Vigna sp.), Sugar, Sugar (Brown/Natural), Suji/Semolina/ Cream Of Wheat, Sunflower Oil: Edible Grade, Sunnundalu, Tangy Tomato Sticks, Tapeswaram Kaju, Thattai, Thenkuzhal, Turmeric Dried, Turmeric Powder, Urad (Phasleolus Mungo) Black Gram, Urad Dal/Split Black Gram, Urad Dhuli, Vamupusa, Walnut, Wheat, Wheat Bran, Wheat Flour, Wheat Porridge/Dalia, White Pepper, White Pepper Powder</t>
  </si>
  <si>
    <t>Other: Avocados (Ripened Avocados (Non-Retail)), Bananas (Ripened Bananas (Non-Retail)), Fresh Fruit (Apple (various)), Fresh Fruit (Apricot), Fresh Fruit (Aprium), Fresh Fruit (Asian Pear), Fresh Fruit (Bananas), Fresh Fruit (Bitter Melon), Fresh Fruit (Blackberries), Fresh Fruit (Blueberries), Fresh Fruit (Cherries), Fresh Fruit (Citrus (various)), Fresh Fruit (Coconut), Fresh Fruit (Dates), Fresh Fruit (Figs), Fresh Fruit (Grapes (various)), Fresh Fruit (Kiwiberry), Fresh Fruit (Kumquat), Fresh Fruit (Lychee), Fresh Fruit (Mango), Fresh Fruit (Melons (various)), Fresh Fruit (Mizuna), Fresh Fruit (Papaya), Fresh Fruit (Pears), Fresh Fruit (Pineapple), Fresh Fruit (Pomegranates), Fresh Fruit (Prunes), Fresh Fruit (Quince), Fresh Fruit (Raspberries), Fresh Fruit (Stone Fruit (Plum, Peach, Nectarine, Pluot)), Fresh Fruit (Strawberries), Fresh Fruit (Watermelon), Frozen Fruits (Frozen Fruits (various)), Grains (Barley), Grains (Oats), Grains (Rye), Grains (Safflower), Herbs &amp; Spices (Anise), Herbs &amp; Spices (Basil), Herbs &amp; Spices (Borage), Herbs &amp; Spices (Calendula), Herbs &amp; Spices (Chives), Herbs &amp; Spices (Cilantro), Herbs &amp; Spices (Dill), Herbs &amp; Spices (Edible Flowers), Herbs &amp; Spices (Kaffir), Herbs &amp; Spices (Marigold), Herbs &amp; Spices (Marjoram), Herbs &amp; Spices (Oregano), Herbs &amp; Spices (Parsley), Herbs &amp; Spices (Peppermint), Herbs &amp; Spices (Purslane), Herbs &amp; Spices (Rosemary), Herbs &amp; Spices (Sage), Herbs &amp; Spices (Sorrel), Herbs &amp; Spices (Spearmint), Herbs &amp; Spices (Stinging Nettle), Herbs &amp; Spices (Tarragon), Herbs &amp; Spices (Thyme), Herbs &amp; Spices (Verdulaga), Lettuces (Arugula), Lettuces (Baby Lettuces (Arugula, Spinach, Romaine, Kale)), Lettuces (Broccoli Sprouts), Lettuces (Chervil), Lettuces (Dandelion), Lettuces (Endive), Lettuces (Frisee), Lettuces (Iceberg Lettuce), Lettuces (Mustard Greens), Lettuces (Radicchio), Lettuces (Romaine), Lettuces (Romaine Hearts), Lettuces (Salad Kits (various)), Lettuces (Salad Mixes (various)), Lettuces (Watercress), Nuts (Nuts), Storage (Storage and Distribution of Non-Retail Fresh Produce), Tropical Fruit Ripening (Client Profile Products only), Vegetables (Artichokes), Vegetables (Asparagus), Vegetables (Avocados), Vegetables (Baby Cauliflower), Vegetables (Beans), Vegetables (Beets), Vegetables (Bell Pepper Mini), Vegetables (Bell Peppers), Vegetables (Bok Choy), Vegetables (Broccoli), Vegetables (Brussel Sprouts), Vegetables (Cabbage), Vegetables (Carrot), Vegetables (Carrots (Mini Peeled)), Vegetables (Cauliflower), Vegetables (Celery), Vegetables (Celery Hearts), Vegetables (Chard), Vegetables (Collard Greens), Vegetables (Corn), Vegetables (Cucumber (various)), Vegetables (Eggplant), Vegetables (Fava Beans), Vegetables (Fennel), Vegetables (Galangal), Vegetables (Garlic), Vegetables (Ginger), Vegetables (Green Beans), Vegetables (Green Onions), Vegetables (Horseradish), Vegetables (Hot Peppers (various)), Vegetables (Jicama), Vegetables (Kale), Vegetables (Leek), Vegetables (Mushrooms (various - whole and sliced)), Vegetables (Onion (various)), Vegetables (Parsnips), Vegetables (Peas), Vegetables (Potatoes (various)), Vegetables (Radishes (various)), Vegetables (Rhubarb), Vegetables (Rutabaga), Vegetables (Shallots), Vegetables (Sprouts), Vegetables (Summer Squash), Vegetables (Sweet Potatoes), Vegetables (Tofu), Vegetables (Tomatoes (various)), Vegetables (Turmeric), Vegetables (Turnip), Vegetables (Winter Squash (various)), Vegetables (Yams), Vegetables (Zucchini)</t>
  </si>
  <si>
    <t>Nuts/Seeds: Cacao husk - Cascarilla de cacao / Roasted Fermented Organic Cocoa Hulls, Cacao husk - Cascarilla de cacao Raw; Chocolate Goods: Bitter Chocolate (Chocolate 70%), Cacao Beans - Cacao en grano, Cacao Beans - Cacao en grano raw, Cacao licor/mass/paste - Pasta de cacao (licor), Cacao licor/mass/paste - Pasta de cacao (licor) Raw, Cacao manteca/butter - Manteca de cacao, Cacao manteca/butter - Manteca de cacao Raw, Chocolate (Chocolate 100%), Chocolate (Chocolate 100% Raw), Chocolate (Chocolate 50%), Chocolate (Chocolate 56%), Chocolate (Chocolate 60% (Ecuador Chocolate Project - Energy)), Chocolate (Chocolate 62%), Chocolate (Chocolate 65% (Abemon)), Chocolate (Chocolate 70% (Abemon)), Chocolate (Chocolate 73%), Chocolate (Chocolate 75% (Abemon)), Chocolate (Chocolate 80%), Chocolate (Chocolate 90%), Chocolate (Chocolate Raw 50%), Chocolate (Chocolate Raw 56%), Chocolate (Chocolate Raw 62%), Chocolate (Chocolate Raw 70%), Chocolate (Chocolate Raw 73%), Chocolate (Chocolate Raw 80%), Chocolate (Chocolate Raw 90%), Chocolate Nibs (Nibs de cacao), Chocolate Nibs (Nibs de cacao Raw), Dried cacao grains - Cacao en grano seco, Dried cacao grains - Cacao en grano seco raw, Polvillo de cacao - Polvillo de cacao, Polvillo de cacao - Polvillo de cacao Raw, Powders (Polvo de cacao), Powders (Polvo de cacao Raw), Toasted cacao - Cacao tostado, Toasted cacao - Cacao tostado Raw, Torta de cacao - Torta de cacao, Torta de cacao - Torta de cacao Raw</t>
  </si>
  <si>
    <t>Other Grains, Pastas and Cereals: Pasta (Casarecce), Pasta (Dry, Heirloom Wheat, Campanelle), Pasta (Dry, Heirloom Wheat, Fusilli), Pasta (Dry, Heirloom Wheat, Mixed), Pasta (Dry, Heirloom Wheat, Rigatoni), Pasta (Dry, Heirloom Wheat, Zucca), Quinoa (COG), Quinoa (McCamant's, Black, COG); Fruits/Vegetables: Mixed Fruit (Apples, Fuji, COG), Mixed Fruit (Apples, Granny Smith, COG), Mixed Fruit (Grapefruit, Rio Red), Mixed Fruit (Grapefruit, Ruby), Mixed Fruit (Mandarin Oranges, Tangerine Royal), Vegetables (Garlic), Vegetables (Garlic, peeled), Vegetables (Onions, red), Vegetables (Onions, White), Vegetables (Onions, Yellow Jumbo), Vegetables (Onions, Yellow medium), Vegetables (Potatoes, Fingerlings, COG (Case, PURPLE, 50 lb case)), Vegetables (Potatoes, Fingerlings, COG (Case, RED, 50 lb case)), Vegetables (Potatoes, Fingerlings, COG (Case, YELLOW, 50 lb case)), Vegetables (Potatoes, Fingerlings, COG, Mixed), Vegetables (Potatoes, Red COG), Vegetables (Potatoes, Russet COG), Vegetables (Potatoes, Yellow COG); Dry/Baking Goods: Flours and Meals (Black beluga lentils), Flours and Meals (French Green Lentils), Flours and Meals (Green Lentils), Flours and Meals (Hard Red What, Bread), Flours and Meals (Hard Red Wheat, Cracked), Flours and Meals (Harvest Gold Lentils), Flours and Meals (Millet, hulled), Flours and Meals (Oat flour), Flours and Meals (Petite Crimson Lentils), Flours and Meals (Rolled Oats), Flours and Meals (Spanish Brown Lentils), Flours and Meals (Steel Cut Oats), Flours and Meals (Strong Bread, Unbleached), Flours and Meals (Whole Wheat Pastry), Flours and Meals (Whole Wheat, COG); Beverage Related Products: Juice (Big B's Apple, Lemonade, Cherry Apple, Spiced Apple)</t>
  </si>
  <si>
    <t>Animal Feed: Livestock Feed, Livestock Feed, Livestock Feed, Livestock Feed, Livestock Feed, Livestock Feed, Livestock Feed, Livestock Feed, Livestock Feed; Other: Feed Grinding, Feed Milling, Grain Storage, Livestock Feed Processing</t>
  </si>
  <si>
    <t>Other: Ajwain, Ajwain Powder, Alfa Alfa Powder, Almond, Aloe Vera Leaves, Aloe Vera Leaves Powder, Amaranth Flour, Amaranth Seed/ Ram Dhana, Amla, Amla Dried, Amla Powder, Arhar Dal (Red Gram/Pigeon Pea), Arjun Powder (Terminalia Arjuna), Arrowroot Powder, Ashok, Ashok Powder, Ashwagandha Powder, Ashwagandha Root, Ashwagandha TBC, Bajra Flour/ Atta, Barley- Dehulled, Barley Flour, Barley Grass Powder, Barley Porridge/Dalia, Barley Whole, Barnyard Millet, Basil/Tulsi, Basmati Rice-Brown, Basmati Rice-White, Bay Leaf, Bay Leaf Powder, Beet Root Powder, Bel/Bael/Aegle Marmelos, Bengal Gram Whole, Bengal Gram(Chana)Flour, Bhoomi Amla Powder, Black Cumin, Black Cumin Powder, Black Gram Flour, Black Gram Split White, Black Gram White Whole, Black Mustard Seed, Black Pepper, Black Pepper Powder, Black Pepper TBC, Black Rice/Non-Basmati Rice- Black Rice, Black Sesame, Brahmi Powder, Brahmi/Bacopa Monnieri, Broken Rice, Brown Gram/Gram/Chana (Cicer Arietinum), Brown Mustard, Brown Rice, Brown Rice Flour, Buck Wheat (Seed Quality), Buckwheat Flour, Buckwheat(Other Than Seed), Buckwheat(Seed Quality), Cardamom, Cardamom Large (Black), Cardamom Powder, Cardamom Seed, Cardamom TBC, Cashew Nut(In Shell), Cashew Whole, Castor Oil (Edible Grade), Celery Seed, Centella Asciatica Powder, Centella Asiatica, Chana Dal, Chana Masala, Chat Masala, Chia, Chickpea/Kabuli Chana (Garbanzos), Chicory Root Powder, Chicory Root Roasted Granules, Chicory Roots, Chilli Flakes-Bird Eye, Chilli Powder, Chilli Powder-Bird Eye, Chilli Whole, Chilli-Bird Eye, Chitra Rajma, Cinnamon, Cinnamon (Powder), Cinnamon TBC, Clove Powder, Clove TBC, Cloves, Coconut Flakes, Coconut Oil, Coconut Powder/Dried Coconut Powder, Coriander, Coriander Powder, Coriander Seed, Coriander TBC, Corn Starch, Cowpea, Cowpea Split, Ctc Tea, Culinary Red Chilli Paste In Oil, Cumin Powder, Cumin Seed Oil, Cumin Whole, Curry Leaf Powder, Curry Leaf/Leaves, Cyperus Rotandus(Nagarmootha), Cyperus Rotundus/Musta Powder, Dried Cardamom, Dry Rose Petal, Eclipta Alba (Bhrigjraj/Bhringraj), Eclipta Alba Powder, Eucalyptus Citriodora Leaves Tbc, Eucalyptus Leaves, Eucalyptus Powder, Fennel Powder, Fennel/Saunf, Fennel/Saunf TBC, Fenugreek, Fenugreek Powder (Methi Powder), Fenugreek TBC, Flax Seed, Flax Seed Powder, Foxtail Millet, Galangal Powder, Galangal Roots, Galangal TBC, Galangal(Alpinia Galanga), Garam Masala, Garcinia Cambogia (Fruit), Garcinia Cambogia Powder, Garlic, Garlic Flakes, Garlic Granules, Garlic Powder, Giloy Powder, Ginger Fresh, Ginger Garlic Paste, Ginger Powder, Ginger Sliced (Dried), Ginger TBC, Ginger Whole, Ginger Whole (Dried), Gokshura Fruit (Tribulus Terrestris), Gokshura Powder-Tribulus Terrestris, Gokshura TBC, GOTUKOLA TBC-Centella Asiatica, Gotukola TBC-Centella Asiatica-, Green Gram Flour, Green Gram Whole (Moong Sabut), Green Gram/Moong Dhuli, Groundnut/Pea Nut Oil (Edibla Grade), Groundnut/Peanut, Guar Gum Powder, Guruchi/Guduchi (Tinospora Cordifolons), Gymnema Powder, Haritaki Fruit, Haritaki Powder, Henna Leaves, Henna Powder, Hibiscus, Hibiscus Petal/Tea Bag Cut, Hibiscus Rosasinensis Powder, Indigofera Tinctoria, Indigofera Tinctoria Powder, Jaggery, Jaggery Powder, Jamun Patrai, Jamun Seed Powder, Jatamanasi, Jowar Flour, Kalmegh Powder (Andrographis Paniculata), Kalmegh(Andrographis Penniculata), Kalonji/Nigella, Khichadi Mix Green, Khichadi Mix Yellow, Kodo/Kodon Millet, Krishna Tulsi TBC-Ocimum Basilicum, Lemon Dip, Lemon Grass, Lemon Grass Powder, Lemon Grass TBC, Lemon Peel Dried, Lemon Peel TBC, Lemon Powder, Lentil, Liquorice Powder, Liquorice Roots, Liquorice TBC, Little Millet, Mace, Mace Powder, Madras Curry Powder, Maize (Corn), Maize (Corn) Flake, Maize/Corn Flour, Malka Whole, Mango Powder/ Aamchur, Manjeet(Rubia Cordiafolia), Manjistha/Rubia Cordiofolia, Manjistha/Rubia Cordiofolia Powder, Masala Mix Dried, Masur/Masoor Dal(Split Lentil), Masur/Masoor Dhuli, Masur/Masoor Whole, Matki/Moth Bean, Minced Garlic, Minced Ginger, Mint Powder, Mix Dal, Moong Dal, Moringa Leaves, Moringa Oil, Moringa Powder, Moringa Seed Oil, Moth Dal, Mucuna Pruriens (Mucuna), Mucuna Pruriens Powder, Multi Grain Flour (Atta), Muskmelon Seed, Mustard, Mustard Oil (Refined), Mustard Seeds-Yellow, Nagkeshar(Mesua Fera), Neem Leaves, Neem Leaves Powder, Neem Oil, Non-Basamti Brown Rice (Long Grain), Non-Basmati Rice, Noni Powder, Nutmeg Cracked Halves, Nutmeg Powder, Nutmeg TBC, Nutmeg Whole, Oats (Flakes), Oats (Seed/Grains), Onion (Powder), Onion Flakes, Onion Granules, Onion Minced, Orange Peel, Orange Peel Powder/Extract, Parboiled Rice ( Parboiled Rice ), Pearl Millet/Bajra, Pepper Long/Pippali (Piper Longum), Peppermint Tea Cut, Peppermint/Peppermint Leaves, Pippali Powder-Piper Longum, Poha/Rice Flakes, Proso Millet, Psyllium Husk (Isobgul), Psyllium Husk Powder, Psyllium Seed (Isobgul), Psyllium Seed Powder, Pumpkin Seed, Punarnava Powder, Quinoa Seed, Ragi (Finger Millet- Other Than Seed), Ragi Flour, Rama Tulsi- Ocimum Sanctum, Rama Tulsi- Ocimum Sanctum TBC, Red Chilli (Whole), Red Chilli Flakes, Red Chilli Powder, Red Kidney Beans/Rajma (Phaseolus Vulgaris), Red Lentil, Red Onion Powder, Red Rice, Rice Bran Oil(Edible Grade), Rice Flour, Rice Sonamasuri Brown, Rice Sonamasuri White, Roasted Chicory Root, Rose Petal TBC, Rose Petals Powder, Safed Musli Powder, Safed Musli/Chlorophytum Boribilianum, Saffron, Saffron Powder, Senna Leaves, Senna Leaves Powder, Senna Leaves Tea Bag Cut (TBC), Senna Pods, Senna Pods Powder, Sesame Oil/Gingelly Oil, Sesame Seeds, Shatavari, Shatavari Powder, Soap Nut/Reetha ( Powder), Soap Nut/Reetha (Nuts), Sorghum, Sorghum Flour, Soyabean/Soyabean Flour, Split Green Gram/Moong (Vigna Sp.), Split Lentil, Star Anise, Stevia, Stevia/Stevia Rebaudiana Powder, Sugar, Sugar (Brown/Natural), Suji/Semolina/ Cream Of Wheat, Sunflower Oil: Edible Grade, Tamarind Chutney, Tamarind Concentrate, Tamarind Paste, Tamarind Powder, Tapioca, Terminalia Bellirica Powder, Terminalia Bellirica/Baheda, Triphala Powder, Tulsi Powder, Tulsi TBC/Tulsi TBC Blend, Turmeric Dried, Turmeric Fingers, Turmeric Flakes, Turmeric Fresh, Turmeric Powder, Turmeric TBC, Urad Dal Split, Urad Whole(Black), Vana Tulsi, Vana Tulsi TBC-Ocimum Gratissimum, Virgin Coconut Oil, Water Melon Seed, Whaet Porridge/Dalia, Wheat, Wheat Flour, Wheat Maida, Wheatgrass Powder, White Pepper, White Pepper Powder, White Rice Flour, Yellow Mustard Powder/ Ground</t>
  </si>
  <si>
    <t>Other: Ajwain, Almond, Amaranth Flour, Amaranth Seed/ Ram Dhana, Amaranth/Amaranthus/Thotakura, Amla, Amla Powder, Arhar Dal (Red Gram/Pigeon Pea), Bajra Flour/ Atta, Barley Flour, Barley Whole, Basil/Tulsi, Basmati Paddy, Basmati Rice, Bay Leaves/Tejpatta, Beaten Rice, Beetroot Powder, Bengal Gram Whole, Black Gram Flour, Black Gram Split White, Black Gram White, Black Gram White Whole, Black Gram/Urd (Vigna Sp.), Black Pepper, Brown Gram/Gram/Chana (Cicer Arietinum), Brown Mustard, Buck Wheat (Seed Quality), Cane Sugar White, Cardamom, Cashew Whole, Chana Dal, Chia, Chickpea/Kabuli Chana (Garbanzos), Chitra Kidney Beans/Rajma (Phaseolus Vulgaris), Cloves, Coriander, Coriander Powder, Cowpea, Cowpea Red, Cumin Powder, Cumin Seed, Cumin Whole, Fennel Powder, Fennel Seed, Fennel/Saunf, Fenugreek, Fenugreek Powder (Methi Powder), Fenugreek Seed (Methi Seed), Flax Seed, Foxtail Millet, Garlic, Ginger Powder, Ginger Whole (Dried), Gram Flour/Besan, Green Gram Whole (Moong Sabut), Green Gram/Moong Dhuli, Groundnut/Peanut, Groundnut/Peanut Oil, Jaggery Lump, Jaggery Powder, Jowar, Jowar Flour, Kabuli Chana, Kalonji/Nigella, Lentil, Maida, Maize (Corn), Maize Grain, Maize/Corn Flour, Mango Powder/ Aamchur, Masoor (Lens Culinaris), Masoor Dal, Matki/Moth Bean, Mix Dal, Moong Dal, Mustard, Mustard Oil, Non Basamati Paddy, Non-Basmati Rice, Pea-Dried, Pearl Millet/Bajra, Pigeon Pea/Arhar Whole, Poha Flattened Rice, Psyllium Husk (Isobgul), Ragi Flour, Ragi/Finger Millet Grain, Raisins/Kismis, Red Chilli (Whole), Red Chilli Flakes, Red Chilli Powder, Red Kidney Beans/Rajma (Phaseolus Vulgaris), Red Lentil, Red Rice, Rice Sonamasuri Brown, Roasted Chana Dal, Roasted Gram/ Chana, Sattu, Sorghum, Split Chickpea/Kabuli Chana (Garbanzos), Split Green Gram/Moong (Vigna Sp.), Split Lentil, Split Pigeon Pea/Arhar/Red Gram, Sugar, Sugar (Brown/Natural), Sugarcane, Suji/Semolina/ Cream Of Wheat, Sunflower Oil, Tamarind/Imli (T.Indica), Turmeric Dried, Turmeric Powder, Turmeric Whole-Dried, Urad (Phasleolus Mungo) Black Gram, Urad Dal Split, Urad Dal/Split Black Gram, Urad Dal-Split Without Shell, Urad Dhuli, Wheat, Wheat Flour, Wheat Grain, Wheat Maida, Wheat Porridge/Dalia, Wheatgrass Powder, White Kidney Beans/Rajma (Phaseolus Vulgaris), White Pepper, Yellow Mustard</t>
  </si>
  <si>
    <t>Other Grains, Pastas and Cereals: Bhumi Natural Foods Organic Basmati Rice, Bhumi Natural Foods Organic Chana Dal, Bhumi Natural Foods Organic Dosa / Idli Rice, Bhumi Natural Foods Organic Moong Dal (Green), Bhumi Natural Foods Organic Moong Dal Whole, Bhumi Natural Foods Organic Rajamudi Rice, Bhumi Natural Foods Organic Sona Masoori Rice, Bhumi Natural Foods Organic Toor Dal (Arhar), Bhumi Natural Foods Organic Urad Dal Whole (White); Oils &amp; Oleoresins: Bhumi Natural Foods Organic Coconut Oil, Bhumi Natural Foods Organic Peanut Oil; Other: Bhumi Natural Foods Organic Turmeric Powder</t>
  </si>
  <si>
    <t>Other Grains, Pastas and Cereals: Rye, Screenings; Other: Flaxseed, Grain Distribution</t>
  </si>
  <si>
    <t>Processed  Items: Cereal (Arhar Dal (Red Gram/Pigeon Pea), Black Gram White Whole, Brown Gram / Gram / Chana (Cicer Arietinum), Castor Meal, Chana Dal, Cooked/ Roasted/ Cracked Soyabean Seeds, Cowpea Split, Cowpea White Dal, Fenugreek Oil, Flax Seed Oil, Green Gram / Moong Dhuli, Green Gram Split Yellow / Moong Dal-Yellow, Kabuli Chana, Kalonji / Nigella, Masur / Masoor Dhuli, Moringa Oil, Neem Oil, Neem Powder, Psyllium Husk (Isobgul), Psyllium Husk Powder, Psyllium Seed (Isobgul), Ragi Flour, Split Gram / Chana (Cicer Arietinum), Split Pigeon Pea / Arhar / Red Gram, Suji / Semolina / Cream of Wheat, Unrefined Soya Glycerine/ Glycerine, Unrefined Soya Lecithin/ Soya Lecithin, Unrefined Sunflower Lecithin), Coconut Flakes, Coconut Powder / Dried Coconut Powder, Rice Bran Oil, Unrefined Sunflower Glycerine/ Glycerine, Dehydrated Foods (Mango Powder / Aamchur); Other Grains, Pastas and Cereals: Barley (Barley Whole), Cereal (Cooked/ Roasted/ Cracked Corn, Maize (Corn), Maize / Corn Flour, Maize / Corn Porridge (Daliya), Maize Grain), Wheat (Malka Whole, Wheat); Oils &amp; Oleoresins: Essential Oils (Pomegranate Oil), Oils (Castor Oil, Coconut Oil, Groundnut / Peanut Oil (Crude), Mustard Meal, Mustard Oil (Crude), Mustard Powder, Soybean / Soyabean Oil , Sunflower Seed Oil, Virgin Coconut Oil); Nuts/Seeds: Cashew Nuts (Cashew Nut (Roasted)), Coconut, Seeds (Castor Seeds, Flax / Linseed Meal, Flax Seed, Flax Seed Powder, Sunflower , Sunflower Seeds: Of Seed Quality), Walnuts (Walnut Kernels); Health Products: Aloe Vera (Aloe Vera Leaves, Aloe Vera Powder), Herbs (Ajwain Powder, Black Cumin / Black Cumin Whole, Black Cumin Powder, Black Pepper Crushed, Black Pepper Powder, Cardamom Powder, Chilli Powder, Cinnamon (Powder), Clove Powder, Coriander Powder, Cumin Powder, Fennel Powder, Fenugreek Crushed, Fenugreek Powder (Methi Powder), Mint Powder, Moringa Leaves, Senna Leaves Powder, Sunflower Meal / Sunflower Seeds: Oil-Cake Meal, Tamarind Powder (Imli), Turmeric Fingers, Turmeric Powder); Fruits/Vegetables: Dehydrated Foods (Mango Butter, Mango Dried); Dry/Baking Goods: Flours and Meals (Amaranth Flour, Rice Flour, Wheat Flour); Condiments and Sweeteners: Sweeteners (Stevia / Stevia Rebaudiana Powder); Other: Beans (Cluster Beans / Guar, Guar Seeds, Red Kidney Beans / Rajma (Phaseolus Vulgaris), Soyabean / Soybean Flour, Soyabean Meal/ Soybean Oil-Cake Meal (Expeller Variety), Soybean White/ Soybean/ Soybean Whole, Split Green Gram / Moong (Vigna sp.), Urad Dal Split, Urad Dhuli), Gram Flour / Besan, Guar Gum Powder, Lentil Dal, Moong Dal-Split, Pea Pulse (Pisum sativum), Red Lentil, Split Lentil, Seeds (Hulled Sesame / Sesamum)</t>
  </si>
  <si>
    <t>Other: Ajwain Powder, Aloe Vera Leaves, Aloe Vera Powder, Amaranth Flour, Arhar Dal (Red Gram/Pigeon Pea), Barley Whole, Black Cumin / Black Cumin Whole, Black Cumin Powder, Black Gram White Whole, Black Pepper Crushed, Black Pepper Powder, Brown Gram / Gram / Chana (Cicer Arietinum), Cardamom Powder, Cashew Nut (Roasted), Castor Meal, Castor Oil, Castor Seeds, Chana Dal, Chilli Powder, Cinnamon (Powder), Clove Powder, Cluster Beans / Guar, Coconut, Coconut Flakes, Coconut Oil, Coconut Powder / Dried Coconut Powder, Cooked / Roasted / Cracked Corn, Cooked / Roasted / Cracked Soyabean Seeds, Coriander Powder, Cowpea Split, Cowpea White Dal, Cumin Powder, Fennel Powder, Fenugreek Crushed, Fenugreek Oil, Fenugreek Powder (Methi Powder), Flax / Linseed Meal, Flax Seed, Flax Seed Oil, Flax Seed Powder, Gram Flour / Besan, Green Gram / Moong Dhuli, Green Gram Split Yellow / Moong Dal-Yellow, Groundnut / Peanut Oil (Crude), Guar Gum Powder, Guar Seeds, Hulled Sesame / Sesamum, Kabuli Chana, Kalonji / Nigella, Lentil Dal, Maize (Corn), Maize / Corn Flour, Maize / Corn Porridge (Dalia), Maize Grain, Malka Whole, Mango Butter, Mango Dried, Mango Powder / Aamchur, Masur / Masoor Dhuli, Mint Powder, Moong Dal-Split, Moringa Leaves, Moringa Oil, Mustard Meal, Mustard Oil (Crude), Mustard Powder, Neem Oil, Neem Powder, Pea Pulse (Pisum Sativum), Pomegranate Oil, Psyllium Husk (Isobgul), Psyllium Husk Powder, Psyllium Seed (Isobgul), Ragi Flour, Red Kidney Beans / Rajma (Phaseolus Vulgaris), Red Lentil, Rice Bran Oil, Rice Flour, Senna Leaves Powder, Soyabean / Soybean Flour, Soyabean Meal / Soybean Meal / Soyabean Oil-Cake Meal (Expeller Variety) / Soybean Oil-Cake Meal (Expeller Variety), Soyabean White / Soybean White / Soybean / Soyabean / Soybean Whole / Soyabean Whole, Soybean / Soyabean Oil, Split Gram / Chana (Cicer Arietinum), Split Green Gram / Moong (Vigna sp.), Split Lentil, Split Pigeon Pea / Arhar / Red Gram, Stevia / Stevia Rebaudiana Powder, Suji / Semolina / Cream of Wheat, Sunflower, Sunflower Meal / Sunflower Seeds: Oil-Cake Meal, Sunflower Seed Oil, Sunflower Seeds: Of Seed Quality, Tamarind Powder (Imli), Turmeric Fingers, Turmeric Powder, Unrefined Soya Glycerine / Glycerine, Unrefined Soya Lecithin / Soya Lecithin, Unrefined Sunflower Glycerine / Glycerine, Unrefined Sunflower Lecithin, Urad Dal Split, Urad Dhuli, Virgin Coconut Oil, Walnut Kernels, Wheat, Wheat Flour</t>
  </si>
  <si>
    <t>Other: Seed (Grain), Seed Cleaning (Client Profile Products only)</t>
  </si>
  <si>
    <t>Other: Gousses de vanille entière Bourbon de Madagascar, Graines de vanille Bourbon de Madagascar</t>
  </si>
  <si>
    <t>Other Grains, Pastas and Cereals: Soybean, Soybean Meal Expeller Variety</t>
  </si>
  <si>
    <t>Other: Arroz Integral Orgânico/Organic Brown Rice/Arroz Integral Orgánico/Riz Integral Biologique/ Brauner Reis (250g, 1Kg) - Vapza, Feijão Carioca Orgânico/Organic Pinto Beans/Frijol Marrón Orgánico/Haricots Pinto Biologique (250g, 1Kg) - Vapza, Feijão Preto Orgânico/Organic Black Beans/Frijol Negro Orgánico/Haricots Noir Biologique (250g, 1Kg) - Vapza, Grão de Bico Orgânico/Organic Chickpeas/Garbanzos Orgánicos/Pois Chiches Biologique (250g, 1Kg) - Vapza, Mix de Quinoa Orgânica / Organic Quinoa Mix / Mezcla de Quinua Orgánico / Mix de Quinoa Biologique (1Kg) - Nobly, Mix de Quinoa Orgânica/Organic Quinoa Mix/Mezcla de Quinua Orgánico/Mix de Quinoa Biologique (250g, 1Kg) - Vapza, Quinoa Branca Orgânica / Organic White Quinoa / Quinua Blanca Orgánica / Quinoa Blanc Biologique (1kg) - Nobly, Quinoa Orgânica / Quinoa Orgânica Branca /Organic Quinoa (white) /Quinua Orgánica /Quinoa Biologique (250g, 1kg) - Vapza, Quinoa Vermelha Orgânica/Organic Red Quinoa/Quinua Roja Orgánica/Quinoa Rouge Biologique (1kg) Nobly, Quinoa Vermelha Orgânica/Organic Red Quinoa/Quinua Roja Orgánica/Quinoa Rouge Biologique (250g, 1kg) - Vapza, Soja Orgânica/Organic Soy Beans/Soya en Granos Orgánicos/Soja en Grains Biologique (250g, 1kg) - Vapza</t>
  </si>
  <si>
    <t>Other: Argan Oil, Baobab Oil, Bergamot, Essence (Citrus Bergamia), Clove Bud Oil, Cypress, Essential Oil (Cupressus sempervirens), Eucalyptus, Ginger Oil, Grapefruit, Oil, Herb Oils, Jojoba, Jojoba Oil, Lavender Oil, Lemon Oil, Lime Oil, Melon Seed, Niaouli Tree Oil, Oil, Oils, Oilseeds, Oliveoil, Orange Peel Oil, Palmarosa (Cymbopogon Martinii) Oil, Patchouli Oil, Peppermint (Eucalyptus Radiata), Peppermint Oil, Petit Grain Oil, Rose Geranium, Rose Water, Rosemary, Rosemary Oil, Sage Oil, Sesame Oil, Sheabutter, Spearmint (Mentha spicata var. Crispa), Spice Foils, Spice Oils, Tea Tree, tee tree Oil, Thyme Oil, Turmeric, Essential Oil, Vetiver Oil, Ylang-Ylang Oil (Cananga odorata)</t>
  </si>
  <si>
    <t>Trees/Whole Plant Products/Flowers: Seeds (Early Jersey Wakefield Cabbage Seed), Seeds (Einkorn Wheat Seed), Seeds (Rice Seed); Other Grains, Pastas and Cereals: Barley (Purple Hulless Barley), Rice (Brown Rice), Rice (White Rice), Rye Berries, Spelt Berries, Wheat (Einkorn Wheat Berries), Wheat (Turkey Red Wheat Berries), Whole-Grain Open-Pollinated Corn; Dry/Baking Goods: Flours and Meals (All-Purpose Einkorn Wheat Flour), Flours and Meals (Turkey Red Whole-Wheat Flour), Flours and Meals (White Spelt Flour), Flours and Meals (Whole-Grain Cornmeal), Flours and Meals (Whole-Grain Einkorn Wheat Flour), Flours and Meals (Whole-Grain Spelt Flour); Animal Feed: Livestock Feed (Roasted Soybeans); Other: Milling grain products, Repackaging of grain products, Roasting grains</t>
  </si>
  <si>
    <t>Other: 8 Grain Lavosh, Ancient Grains, Ancient Grains Flatbread, Ancient Grains Flatbread, Ancient Grains Flatbread Crackers, Ancient Grains Flatbread Crackers, Clubhouse Bite Size Crackers, Clubhouse Crackers, Clubhouse Crackers, Clubhouse Crackers, Clubhouse Little Dippers, Cracked Pepper Water Crackers, Flatbread Tuscan Style, Multigrain Flatbread, Multigrain Sea Salt Flatbread, Original Stoned Wheat Crackers, Original Water Crackers, Original Water Crackers, Pepper &amp; Poppy Water Crackers, Rosemary Flatbread, Rosemary Flatbread, Rosemary Flatbread, Rosemary Flatbread, Rosemary Flatbread Crackers, Rosemary Flatbread Crackers, Rosemary Flatbread Crackers, Rosemary Multigrain Flatbread Crackers, Saltine Crackers, Saltine Crackers, Saltine Crackers, Saltine Crackers, Saltine Crackers, Saltines, Saltines, Saltines, Sea Salt and Multigrain Flatbread, Sea Salt and Multigrain Flatbread, Sea Salt and Multigrain Flatbread, Sea Salt and Multigrain Flatbread Crackers, Sea Salt Multigrain Flatbread Crackers, Stone Ground Wheat Crackers, Stone Ground Wheat Crackers, Stoned Wheat Crackers, Stoned Wheat Multiseed Crackers, Stoned Wheat Vegetable Crackers, Thin Wheat Crackers, Thin Wheat Crackers, Thin Wheat Crackers, Thin Wheat Little Dippers, Thin Wheats Bite Size Crackers</t>
  </si>
  <si>
    <t>Other: Dairy (Distribution), Distributing (Client Profile Products only) (Organic Produce, Eggs, Herbs, Meat, Grains, Dairy, Tortillas, Tofu Products, Juices, and Floral), Eggs (Distribution), Floral Items (Distribution), Fresh Herbs (Distribution), Grains (Distribution), Juice (Distribution), Meats (Distribution), Produce (Distribution), Tofu (Tofu products - Distribution)</t>
  </si>
  <si>
    <t>Animal Feed: Livestock Feed (Alfalfa Meal), Livestock Feed (Alfalfa Pellets), Livestock Feed (Barley), Livestock Feed (Broiler Grower 19%), Livestock Feed (Calf Grower), Livestock Feed (Chick Starter 21%), Livestock Feed (Corn), Livestock Feed (Cracked Corn), Livestock Feed (Custom-Mix Feeds), Livestock Feed (Flax Meal), Livestock Feed (Flax Oil), Livestock Feed (Goat 16%), Livestock Feed (Layer Mash 16%), Livestock Feed (Molasses), Livestock Feed (Molasses Syrup), Livestock Feed (Oats), Livestock Feed (Peas), Livestock Feed (Roasted Soybeans), Livestock Feed (Rye), Livestock Feed (Scratch Grains), Livestock Feed (Sesame Meal), Livestock Feed (Soy Free Broiler Grower 19%), Livestock Feed (Soy Free Chick Starter 21%), Livestock Feed (Soy Free Layer Mash 16%), Livestock Feed (Soy Free Layer Pellet 16%), Livestock Feed (Soy Free Swine Grower/Finisher 16%), Livestock Feed (Soybean Oil), Livestock Feed (Soybeans), Livestock Feed (Spelt), Livestock Feed (Swine Grower/Finisher 16%), Livestock Feed (Wheat)</t>
  </si>
  <si>
    <t>Trees/Whole Plant Products/Flowers: Flowers (Lotus), Flowers (Waterlily); Seasonings: Seasoning Blends (Chilli pepper); Processed  Items: Rice (Brown Rice Paper/ Ocean''s Halo Purple Spring Roll Rice Wrap); Preservatives/Extracts/Flavors: Fruit and Vegetable Snacks (Banana flower), Fruit and Vegetable Snacks (Banana Powder), Fruit and Vegetable Snacks (Lemongrass Essential Oil/ Citronella Essential Oil), Sweeteners (Stevia), Sweeteners (Stevia dried); Other Grains, Pastas and Cereals: Powders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Rice (black rice bran); Health Products: Extracts (Moringa Leaves), Herbs (Ginger), Herbs (Hibiscus), Herbs (Hibiscus dried), Herbs (pennywort), Powders (Pennywort Powder), Powders (Moringa powder (leaves)), Powders (nutrient powder); Fruits/Vegetables: Beans (Black beans), Beans (Red Bean), Fruit and Vegetable Snacks (Banana), Fruit and Vegetable Snacks (Noni), Fruit and Vegetable Snacks (Coconut), Fruit and Vegetable Snacks (Dried banana), Fruit and Vegetable Snacks (Jackfruit), Fruit and Vegetable Snacks (Lemon), Fruit and Vegetable Snacks (Lemon grass/ Citronella), Fruit and Vegetable Snacks (Mango), Vegetables (Mung bean); Condiments and Sweeteners: Sweeteners (Dried Stevia)</t>
  </si>
  <si>
    <t>Processed  Items: Rice flour,Tapioca starch, Cane Sugar, Coconut Flour, Raw Coconut Water, Desiccated Coconut, Virgin Coconut Oil, Split Cinnamon (Split cassia), Cinnamon Powder, Dried Chilli, Dried Chilli Flakes, Dried Chilli Powder, Dried Cinnamon Stick, Dried Sliced Turmeric, Dried Sliced Ginger, Dried Turmeric Powder, Ground Black Pepper, Ground White Pepper, Broken Cinnamon (broken cassia)Whole White Pepper, Whole Black Pepper, Dried Passion Fruit Leaves, Dried Ginger Powder, Dried Lemongrass Powder, Star Anise Powder, Brown Rice Noodle/Instant Rice Noodle, Brown Rice Paper (Wrapper - Brown Rice Paper - Bánh tráng gạo lứt), Brown rice powder (Bột g, ạo lứt hữu cơ), Brown rice vermicelli (Bun - Brown Rice vermicelli - Bún gạo lứt hữu cơ), Turmeric Rice Paper, White Rice Noodle/Instant Rice Noodle , White Rice Paper, White Rice Powder (Bột gạo hữu cơ), White Rice Vermicelli , Fried Rice Paper (Bánh tráng Chả Giò Hữu Cơ), Coconut Flower Nectar, Coconut flower Sugar, Coconut Flower Vinegar, Coconut Flower Aminos, Black pepper Ground Steam Sterilized, Black pepper TBC Steam Sterilized, Black pepper Whole Steam Sterilized, Cashew butter, Cashew butter with black pepper, Cashew butter with chilli, Cashew roasted, Cashew roasted and salt, Cashew roasted with black pepper, Cashew roasted with chilli, Cashew kernels, White pepper whole, Black bean powder , Dried Black Bean, Dried black sesame, Dried mung bean , Dried peanut kernel, Dried soybean, Dried white sesame , Mung bean powder, Peanut butter, Peeled splitted dried mung bean, Roasted black bean, Roasted mung bean, Roasted Peanut Kernel, Roasted soy nut, Soybean powder, Splitted dried mung bean, Peanut Powder, Sesame Powder, Dried Peanut In Shell, Roasted Peel Pumpkin Seeds, Roasted Sesame, Coconut Puree, Pitaya Puree, Pitaya Slice, Pure Frozen Coconut Water, Fine robusta green bean coffee, Fine robusta roasted bean coffee, Fine robusta roasted powder coffee, Honey green bean coffee, Honey roasted bean coffee, Honey roasted powder coffee, Coconut Cream, Coconut Milk, Dragon Fruit juice with seeds pasteurized (Dragon Fruit juice), Dragon Fruit juice without seeds pasteurized (Dragon Fruit juice Seedless), Dried Dragon Fruit (Red/White), Dragon Fruit Puree with seeds (frozen) (Dragon Fruit Puree), Butternut squash, Nipa Palm Granulated Sugar, Nipa Palm Syrup, Nipa Palm Juice, Black sesame peanut salt, White sesame peanut salt, Roasted Salted with Skin Cashew, Roasted Unsalted with Skin Cashew, Macadamia Kernels, Macadamia in shell, Tapioca syrup / Glucose syrup/ Maltose syrup; Other Grains, Pastas and Cereals: Black Rice, Brown japonica rice, Brown Jasmine Rice, Jasmine rice, Long Grain Brown Rice, Long Grain white Rice, Organic Japonica Rice, Organic ST25 Rice, Red Rice; Fruits/Vegetables: Coconut Fruit, Fresh Chilli, Fresh Ginger, Fresh, Turmeric, Green Pepper, Red Pepper, Fresh Passion Fruit, Mango, Musk Melon (Cantaloupe), Yellow Melon, Durian</t>
  </si>
  <si>
    <t>Trees/Whole Plant Products/Flowers: Bengal Gram Whole, Roses (Dry Rose Petals - Rose); Preservatives/Extracts/Flavors: Extracts (Ajwain Powder), Herbs (Lemon Grass), Herbs (Rosemary), Herbs (Spearmint Leaves), Herbs (Ajwain), Herbs (Basil/Tulsi), Powders (Mango Powder/ Aamchur), Powders (Anardana Powder), Powders (Peppermint Powder), Spices (Quinoa), Spices (Ragi millet), Spices (Ragi/Finger Millet grain), Spices (Red Chilli Flakes), Spices (Red Chilli Powder), Spices (Mace), Spices (Nutmeg Whole), Spices (Pepper long/Pippali (Piper longum)), Spices (Star Anise), Spices (Turmeric Dried), Spices (Turmeric Powder), Spices (Bay Leaves/Tejpatta), Spices (Black Pepper), Spices (Black Pepper Crushed), Spices (Black Pepper Ground/Powder- Sterilized), Spices (Cardamom), Spices (Cardamom Large (Black)), Spices (Chat Masala), Spices (Cinnamon), Spices (Cinnamon (Powder)), Spices (Cloves), Spices (Coriander), Spices (Coriander Powder), Spices (Cumin Powder), Spices (Cumin Whole), Spices (Fennel Powder), Spices (Fennel/Saunf), Spices (Fenugreek), Spices (Garam Masala), Spices (Garam Masala Powder - Hot), Spices (Ginger Flakes), Spices (Ginger Powder), Spices (Green Cardamom Powder), Spices (Kasuri Methi); Other Grains, Pastas and Cereals: Bajra (other than seed), Dehulled Foxtail Millet, Foxtail Millet, Jowar, Kodo/Kodon Millet, Little Millet, Multi Grain Atta, Poha / Chivda, Proso Millet, Ribs (Red Flattened Rice), Rice (Sona masuri (Rice variety)), Rice (Non-Basmati Rice), Rice (Basmati Rice), Rice (Basmati Rice - Brown (Taraori)), Wheat (Suji/Semolina/ Cream of Wheat), Wheat; Oils &amp; Oleoresins: Oils (Almond oil), Oils (Black Mustard Oil), Oils (Coconut Oil), Oils (Extra Virgin Coconut Oil), Oils (Groundnut/Peanut oil (Edible grade)), Oils (Mustard Oil (Refined)), Oils (Sesame Seed - Oil), Oils (Sunflower Oil: Edible Grade); Nuts/Seeds: Almonds, Almonds (Almonds (Shelled)), Peanuts (Groundnut/Peanut), Seeds (Natural Sesame seeds), Seeds (Pomegranate Seeds/Anardana), Seeds (Pumpkin Seeds), Seeds (Amaranth Seed/ Ram Dhana), Seeds (Black Mustard Seed), Seeds (Black Sesame), Seeds (Chia), Seeds (Cooked/roasted/cracked sunflower seeds), Seeds (Fennel Seed), Seeds (Flax Seed), Walnuts, Walnuts (Walnut Kernels); Fruits/Vegetables: Apricots, Beans (Arhar Dal (Red gram/Pigeon pea)), Beans (Chana Dal), Beans (Chickpea/Kabuli Chana (garbanzos)), Beans (Chitra Kidney Beans/Rajma (Phaseolus vulgaris)), Beans (Split Green Gram/Moong (Vigna sp.)), Beans (Urad (phasleolus mungo) Black gram), Beans (Urad Dal Black Split), Beans (Urad Dhuli), Beans (Lentil), Beans (Malka Whole), Beans (Masoor Dal), Beans (Masoor Dal-Split with out Shell), Beans (Mix Dal), Beans (Moong Dal), Beans (Moong Dal-Split), Beans (Red Kidney Beans/Rajma (Phaseolus vulgaris)), Rice (Red Rice), Vegetables (Red Chilli (Whole)), Vegetables (Green Moong Dal); Dry/Baking Goods: Flours and Meals (Amaranth Flour), Flours and Meals (Bajra Flour/ Atta), Flours and Meals (Barley Flour), Flours and Meals (Barnyard Millet Flour), Flours and Meals (Bengal Gram(Chana)Flour), Flours and Meals (Finger Millet flour), Flours and Meals (Foxtail Millet Flour), Flours and Meals (Gram Flour/Besan), Flours and Meals (Jowar Flour), Flours and Meals (KODO Millet Flour), Flours and Meals (Maida), Flours and Meals (Millet Flour), Flours and Meals (Rice Flour), Flours and Meals (Wheat Flour), Sugar, Sugar (Sugar (Brown/Natural)), Sugar (Sugarcane), Wheat (Wheat Porridge/Dalia); Condiments and Sweeteners: Sweeteners (Jaggery), Sweeteners (Jaggery Powder); Beverage Related Products: Coffee (Coffee Beans), Coffee (Coffee Powder), Tea (Green Tea), Tea (Herbal Tea), Tea (Masala Chai), Tea (Masala Tea with Spices), Tea (Mint Tea), Tea (Peppermint Green Tea), Tea (Rose Tea), Tea (Slim Tea), Tea (Tulsi Chai Masala Tea), Tea (Black Tea), Tea (Cinnamon Green Tea)</t>
  </si>
  <si>
    <t>Other: Wine Aviador del Itata 2023, Wine Cabernet Sauvignon - Carignan 2023, Wine Musas 2023, Wine País bulk 2023, Wine Raro de Raros 2023, Wine Silvestre 2023, Wine Surcador Moscatel de Alejandría 2023, Wine Surcador País 2023</t>
  </si>
  <si>
    <t>Other Grains, Pastas and Cereals: Rice (ST Purple organic grain rice), Rice (ST Purple organic paddy), Rice (ST Red organic grain rice), Rice (ST Red organic paddy), Rice (ST25 Organic Bran), Rice (ST25 Organic brown grain rice), Rice (ST25 Organic paddy), Rice (ST25 Organic white grain rice), Rice (ST25 Organic white rice - broken)</t>
  </si>
  <si>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</si>
  <si>
    <t>Other: Grain Dehulling &amp; Packaging</t>
  </si>
  <si>
    <t>Other: Hay (Wheat/Grain), Wheat (Heritage Grain Sonora Wheat), Wheat (Sonora Heirloom (2 lb)), Wool (Bales from 2018 through 2024.)</t>
  </si>
  <si>
    <t>Processed  Items: Organic Sauce - Pasta 12/24 oz; Other Grains, Pastas and Cereals: Pasta (Whole Wheat Organic Fusilli 20/1lb), Pasta (Whole Wheat Organic Capellini 20/1lb), Pasta (Whole Wheat Organic Elbows 20/1lb), Pasta (Whole Wheat Organic Penne Rigate 20/1lb), Pasta (Whole Wheat Organic Rigatoni 20/1lb), Pasta (Whole Wheat Organic Spaghetti 20/1lb); Fruits/Vegetables: Organic Crushed Tomatoes 12/28 oz., Organic Whole Peeled Tomatoes 12/28 oz</t>
  </si>
  <si>
    <t>Other: 95-5011-21 Oil, Lavender Floral III, Almond Oil, Ashwaganda, Cacao Nibs, Cacao Powder, Castor oil, Chia seeds black, Coconut Flour, Coconut Oil (RBD), Elderberry, Vit C &amp; Zinc Gummies, Goji Berries dried, Hair Skin and Nails, Jojoba Oil, Maca Powder gelatinized, MCT Oil, Psyllium Husk Powder, Psyllium Husk Powder, Pumkin seeds, Quinoa grains, Sunflower Oil, Turmeric + Ginger, Turmeric Curcumin, Virgin Coconut Oil, Women's Multivitamin</t>
  </si>
  <si>
    <t>Other: Ajwain, Arhar Dal (Red Gram/Pigeon Pea), Bajra Porridge/Dalia, Barley-Dehulled, Basmati Rice-White, Black Gram White Whole, Chana Dal, Chickpea/Kabuli Chana (Garbanzos), Coriander Powder, Coriander Seed/Whole, Cowpea, Cumin Powder, Cumin Whole, Fennel/Saunf, Fenugreek Seed (Methi Seed), Green Gram Whole (Moong Sabut), Green Gram/Moong Dhuli, Jaggery, Masoor (Lens Culinaris), Masur/Masoor Dhuli, Matki/Moth Bean, Moth Dal, Pearl Millet/Bajra, Ragi Flour, Ragi/Finger Millet Grain, Red Chilli (Whole), Red Chilli Flakes, Red Chilli Powder, Red Lentil, Sorghum Flour, Split Green Gram/Moong (Vigna sp.), Sugar (Brown Natural), Suji/Semolina/Cream Of Wheat, Turmeric Powder, Urad Dal Black Split With Skin, Urad Dhuli / Urad Dal Split, Urad Whole (Black), Wheat, Wheat Flour, Yellow Mustard</t>
  </si>
  <si>
    <t>Other Grains, Pastas and Cereals: Rice (Basmati rice), Rice (Black rice), Rice (Carnaroli rice), Rice (Exotic black rice with husk), Rice (Long grain rice with husk), Rice (Polished broken rice), Rice (Polished long grain rice), Rice (Polished long grain rice with broken grains), Rice (Polished short grain rice), Rice (Red rice), Rice (Rice bran), Rice (Short grain rice with husk), Rice (Short grain rice with red rice and black rice), Rice (Whole broken rice), Rice (Whole long grain rice), Rice (Whole long grain rice with broken grains), Rice (Whole short grain rice), Rice (Whole short grain rice with red rice.); Dry/Baking Goods: Flours and Meals (Polished rice flour), Flours and Meals (Whole rice flour)</t>
  </si>
  <si>
    <t>Seasonings: Seasoning Blends (*Horseradish); Preservatives/Extracts/Flavors: Extracts (*Brown rice protein), Extracts (*Hydrolyzed rice protein), Extracts (*Pea protein), Extracts (*Pumpkin seed protein), Extracts (*Rice protein), Extracts (Cassava starch), Extracts (Wheat starch), Herbs (*Rape), Herbs (*Rapeseed), Powders (*Barley grass powder), Powders (*Beet root powder); Other Grains, Pastas and Cereals: *Buckwheat, *Buckwheat kernel, *Buckwheat shell, *Chickpeas, *Corn, *Millet, *Non-sticky millet, *Quinoa, *Quinoa kernel, *Sticky millet, *Sticky millet hulled, Barley (*Barley), Oats (*Oat), Oats (*Oat kernel), Pasta (*Sorghum kernel), Rice (*Paddy), Rice (*Red paddy), Rice (*Red rice), Rice (*Rice), Rice (*Black paddy), Rice (*Black rice), Rice (*Broken rice), Rice (*Brown rice), Rice (*Glutinous paddy), Rice (*Glutinous rice), Sorghum (*Sorghum), Wheat; Oils &amp; Oleoresins: Oils (*Borage oil), Oils (*Evening primrose oil), Oils (*Flax seed oil), Oils (*Hemp seed oil), Oils (*Peanut oil), Oils (*Perilla seed oil), Oils (*Pumpkin seed oil), Oils (*Rapeseed oil), Oils (*Rice bran oil), Oils (*Sesame cake), Oils (*Sesame oil), Oils (Coconut oil), Oils (Corn oil), Oils (Crude Corn oil), Oils (Crude Walnut oil), Oils (Walnut oil), Oils (Crude sesame oil), Oils (Crude flaxseed oil), Oils (Crude sunflower oil), Oils (Crude rapeseed oil), Oils (Crude peanut oil), Oils (Crude soybean oil), Oils (*Soybean oil), Oils (*Sunflower oil); Nuts/Seeds: *Safflowers seeds, *Sesame, Nuts (*Pinenut kernels), Nuts (*Hazelnut), Nuts (*Peanut kernel), Peanuts (*Peanut), Pine Nuts (Pinenut), Seeds (*Sunflower kernel (also called Sunflower seed kernel)), Seeds (*Sunflower seed), Seeds (*Watermelon seeds), Seeds (*White sesame), Seeds (*Perilla seed), Seeds (*Black sesame), Seeds (*Borage seed), Seeds (*Coix seed), Seeds (*Coix seed kernel); Health Products: Herbs (*Evening primrose seed); Fruits/Vegetables: *Alfalfa, *Apple, *Beet root, *Broccoli, *Carrot, *Cauliflower, *Chilli, *Garlic, *Ginger, *Grape, *Pear, *Strawberry, *Sweet potato, *Turmeric, Beans (*Red kidney bean), Beans (*Soybean), Beans (*Soybean dehulled), Beans (*Pinto bean), Beans (*Green soybean (green bean with green kernel)), Beans (*Hulled mung bean), Beans (*Lentil), Beans (*Mung bean), Beans (*Adzuki bean), Beans (*Broad bean (fava bean)), Beans (*Black bean (Also called: Black soybean)), Beans (*Black beans with green kernel (Also called: Black soybeans with green kernel)), Beans (*Black kidney bean), Beans (*Black soybean (Also called: Black soybean with yellow kernel; Black soybean with green kernel)), Berries (*Blueberry), Berries (*Cranberries), Berries (*Goji berries), Berries (*Raspberry), Stone Fruit (*Acerola cherry), Vegetables (*Cowpea), Vegetables (*Onion), Vegetables (*Pea), Vegetables (*Leek), Vegetables (*Potato), Vegetables (*Pumpkin seed), Vegetables (*Pumpkin seed grown without shell), Vegetables (*Pumpkin seed shine skin), Vegetables (*Pumpkin seed shine skin kernel), Vegetables (*Pumpkin seeds kernels), Vegetables (*Red beet root), Vegetables (*White kidney bean), Vegetables (*Spinach), Vegetables (*Tomato), Vegetables (*Zucchini); Dry/Baking Goods: Flours and Meals (*Brown rice flour), Flours and Meals (*Buckwheat flour), Flours and Meals (*Corn flour), Flours and Meals (*Corn grits), Flours and Meals (*Glutinous rice flour), Flours and Meals (*Oat flour), Flours and Meals (*Rice flour), Flours and Meals (*Sorghum flour), Flours and Meals (*Soybean flour), Flours and Meals (*Wheat flour), Powders (*Wheat grass powder); Bread/Bakery/Snacks: Cereal Bars (*Corn cobs); Animal Feed: Livestock Feed (*Borage meal), Livestock Feed (*Evening primrose meal), Livestock Feed (*Flax cake), Livestock Feed (*Flax meal (Also called:Flaxseed cake, Flaxseed meal)), Livestock Feed (*Flax seed), Livestock Feed (*Hemp seed meal), Livestock Feed (*Peanut cake), Livestock Feed (*Peanut meal (Also called: Peanut cake)), Livestock Feed (*Pumpkin meal), Livestock Feed (*Rapeseed cake (Also called: Canola seed cake)), Livestock Feed (*Rapeseed meal (Also called: Canola seed meal)), Livestock Feed (*Rice bran), Livestock Feed (*Rice bran cake), Livestock Feed (*Rice bran meal), Livestock Feed (*Sesame meal (Also called: Sesame cake)), Livestock Feed (*Soybean cake), Livestock Feed (*Soybean meal (Also called: Soybean cake)), Livestock Feed (*Sunflower seed meal (Also called: Sunflower seed cake)), Livestock Feed (*Dried distillers' grain (DDGS)), Livestock Feed (Walnut cake(Also called: Walnut meal)), Livestock Feed (*Sunflower seed cake), Livestock Feed (*Wheat bran), Livestock Feed (*Wheat gluten meal); Alcohol: *Alcohol; Other: *Hemp seed, *Hulled hemp seed, *Hulled millet</t>
  </si>
  <si>
    <t>Other Grains, Pastas and Cereals: Sorghum (Sorghum), Wheat (Wheat); Nuts/Seeds: Peanuts (Peanut/ Groundnut); Fiber Textiles: Cotton (Cotton); Animal Feed: Livestock Feed (Soybean Meal); Other: Beans (Soybean), Seeds (Sesame)</t>
  </si>
  <si>
    <t>Other: Broker (Client Profile Products only) (Brokering and Trucking), Grains (Wheat, Oats, Barley, Rye, Triticale, Corn (No Current Brokering of Corn)), Hay (Alfalfa (No Current Brokering of Alfalfa))</t>
  </si>
  <si>
    <t>Other: Long Grain Red Cargo Rice, Corn Kernel, Soybean, Long Grain Jasmine Rice, Black Bean, Mung Beans, Red Bean, Long Grain Brown Rice, Pearled Barley, Buckwheat Kernels, Sunflower Kernels, Chinese Pickled Cabbage, Roasted Chestnuts, Read to Eat Roasted Chestnuts, Millet Hulled, Edamame Frozen,  Sorghum, Quinoa, Pinto Bean, Non-Sticky Millet, Sticky Millet, Soybean Frozen Pea</t>
  </si>
  <si>
    <t>Other: Hoisin Sauce, Gluten-Free, Hot Mild Sodium Dumpling Sauce, Hot Worcestershire Sauce, Mild Sodium Dumpling Sauce, Ponzu Sauce, Ponzu Sauce, Rice Vinegar 100 Grain, Rice Vinegar 45 Grain, Rice Vinegar 90 Grain, Shiitake Stir-Fry Sauce, Soy Sauce, Soy Sauce (w/ Ethanol Sugar), Soy Sauce (w/ Ethanol), Soy Sauce, Gluten-Free, Soy Sauce, Gluten-Free Less Sodium, Soy Sauce, Gluten-Free Less Sodium, Soy Sauce, Less Sodium, Soy Sauce, Less Sodium (w/ Ethanol), Soy Sauce, Less Sodium (w/ Ethanol), Soybeans, Soybeans, Tamari, Tamari, Tamari (w/ Ethanol), Tamari, Gluten Free Less Sodium (w/ Ethanol), Tamari, Gluten-Free, Tamari, Gluten-Free (from Taiwan), Tamari, Gluten-Free (w/ Ethanol Sugar), Tamari, Gluten-Free (w/ Ethanol), Tamari, Gluten-Free Less Sodium, Tamari, Gluten-Free Less Sodium (w/ Ethanol), Tamari, Gluten-Free Less Sodium (w/ Ethanol, w/o Vinegar), Tamari, Less Sodium, Teriyaki, Teriyaki Gluten Free, Teriyaki Gluten-Free, Worcestershire Sauce, Worcestershire Sauce</t>
  </si>
  <si>
    <t>Other Grains, Pastas and Cereals: Seeds (Sesame), Soybean</t>
  </si>
  <si>
    <t>Other: Dry Milling/Mixing of Certified Organic Grains (7 Grain Cereal; Almond Flour; Blue Cornmeal; Blueberry Buttermilk Pancake and Waffle Mix; Buckwheat Flour; Buckwheat Pancake and Waffle Mix; Buttermilk Pancake and Waffle Mix; Chocolate Chip Pancakes and Waffle Mix; Corn Flour; Flax Meal; Flax Seed; multigrain Pancake Mix; Pastry Flour; Pecan Cinnamon Pancake and Waffle Mix; Potato Pancake Mix; Protein Pancake and Waffle Mix; Pumpkin Spiced Pancake and Waffle Mix; Quinoa; Rye Flour; Steel Cut Oats; Thick Rolled Oats; Unbleached All Purpose Flour; Unbleached Bread Flour; Wheat Bran; White Corn Grits; White Cornmeal; White Whole Wheat Flour; Whole Wheat Flour; Yellow Corn Grits; Yellow Cornmeal; Blue Cornmeal Pancake Mix; Buckwheat Pancake Mix; Cornbread Mix-Regular; Cornbread Mix-Restaurant; Hot Roll Mix; Hushpuppy Mix; Multi Grain Pancake Mix; Pecan Cinnamon Whole Grain Pancake Mix; Regular Buttermilk Biscuit Mix)</t>
  </si>
  <si>
    <t>Processed  Items: Spices (Amaranto - - Amaranto en grano (kiwicha) / Grain amaranth;
Amaranto - - Harina de amaranto (kiwicha) / Amaranth powder;
Amaranto - - Hojuelas de amaranto (kiwicha) / Amaranth flakes;
Amaranto - - Pop de amaranto (kiwicha) / Amaranth pop;
Cañihua - - Cañihua en grano / Grain cañihua;
Cañihua - - Harina de cañihua / Cañihua powder;
Cañihua - - Hojuelas de cañihua / Cañihua flakes;
Cañihua - - Pop de cañihua / Cañihua pop;
Quinoa - Quinua - Harina de quinua / Quinoa powder;
Quinoa - Quinua - Hojuelas de quinua cruda / Raw quinoa flakes;
Quinoa - Quinua - Hojuelas de quinua instantánea / Instant quinoa flakes;
Quinoa - Quinua - Pop de quinua / Quinoa pop;
Quinoa - Quinua - Quinua blanca perlada / Pearled white quinoa;
Quinoa - Quinua - Quinua blanca trillada / Threshed white quinoa;
Quinoa - Quinua - Quinua negra perlada / Pearled black quinoa;
Quinoa - Quinua - Quinua negra trillada / Threshed black quinoa;
Quinoa - Quinua - Quinua roja perlada / Pearled red quinoa;
Quinoa - Quinua - Quinua roja trillada / Threshed red quinoa;
Quinoa - Quinua - Quinua tostada / Quinoa toasted;
Quinoa - Quinua - Quinua tricolor perlada / Pearled tricolor quinoa;
Tarwi (Lupinus mutabilis) - Tarwi (Lupinus mutabilis) - Tarwi en grano / Grain tarwi;)</t>
  </si>
  <si>
    <t>Processed  Items: Cereal (Bulgur medium, Oat flakes - big oats, Oat flakes Regular, Oats flakes - gluten free), Coconut flour; Other Grains, Pastas and Cereals: Rice (Basmati rice brown, Basmati rice super, Rred rice); Health Products: Herbs (Cardamom, Cinnamon Powder, Cinnamon Stick, Cloves powder, Cloves, whole, Pepper black powder, Pepper black whole, Pepper white powder, Turmeric powder); Fruits/Vegetables: Dehydrated Foods (Black dried lemon, Fig - dried, Raisins, brown), Powders (Ginger Powder); Condiments and Sweeteners: Honey (Acacia Honey, Honey - Flowers), Sugar (Sugar , Sugar brown), Sweeteners (Coconut sugar); Beverage Related Products: Coffee (Green Coffee Beans); Other: Beans (White Kidney Beans), Chickpea, Lentils, brown, Lentils, yellow, Lentis, green, Lentis, red split, Lentis, red whole</t>
  </si>
  <si>
    <t>Other: Beans (Adzuki), Beans (Black), Beans (Black Eye), Beans (Chick Pea), Beans (Hulled Mung), Beans (Kidney), Beans (Mung), Beans (Mungbean Protein), Beans (Pinto), Beans (White Kidney), Beets (Powder), Beets (Pulp, Beet Pulp Pellets), Buckwheat (Hulled), Buckwheat (Unhulled), Chili, Corn, Corn (Corn Pellet), Corn (Cracked Corn), Edamame, Flax Seed, Flax Seed (meal), Goji Berries, Grains (DDGS, Bulk), Grains (Sorghum), Hemp Powder (Protein), Hemp Seed, Hemp Seed (Hulled), Millet (hulled), Oats, Peas (Pea Protein), Peas (Peas), Pine Nuts, Pine Nuts (Kernels), Pumpkin Seed, Pumpkin Seed (Kernels), Pumpkin Seed (Protein), Rice (Black), Rice (Brown), Rice Protein, Seed (Coix), Seeds (Perilla Seeds), Seeds (Rapeseed Meal (Canola Meal), Bulk), Sesame, Sesame (Meal), Soy Meal (Extruded/Expelled Bulk Soybean Meal), Soybean Oil, Soybeans (Bulk), Soybeans (Hulls), Sunflower Seed (Sunflower Meal,  Bulk), Wheat (Pellet, Gluten)</t>
  </si>
  <si>
    <t>Bread/Bakery/Snacks: Bread (Made with Organic NOS Rye Sourdough), Bread (Organic 100% Whole Wheat Bread), Bread (Organic 27 Grain and Seed Bread), Bread (Organic Einkorn Bread), Bread (Organic Honey Cracked Wheat Bread), Bread (Organic Honey Crisp Apple Breakfast Bread), Bread (Organic Miche Bread), Bread (Organic NOS Sprouted Multigrain), Bread (Organic NOS White Sourdough Bread), Bread (Organic Pane Italian), Bread (Organic Soft Italian), Bread (Organic Soft Wheat Bread), Bread (Organic Soft White Oatmeal Bread), Bread (Organic Soft White Wheat Bread), Bread (Organic Sprouted Multigrain Bread), Bread (Organic Stuffing Bread), Bread (Organic Tuscan), Bread (Organic White Sourdough Bread)</t>
  </si>
  <si>
    <t>Trees/Whole Plant Products/Flowers: Seeds (Barley Seed), Seeds (Brown Mustard Seed), Seeds (Buckwheat), Seeds (Flax Seed), Seeds (Hemp Seed), Seeds (Oats), Seeds (Rye), Seeds (Sorghum (Milo - Red)), Seeds (Sorghum (Milo - White)), Seeds (Sorghum (Milo)), Seeds (Soybean), Seeds (Soybeans), Seeds (Sunflower Seed), Seeds (Wheat), Seeds (Wheat Seed), Seeds (Yellow Mustard Seed); Other Grains, Pastas and Cereals: Buckwheat Groats</t>
  </si>
  <si>
    <t>Other: IM050990 Iron Drops, IM200170 Organic Honey Cough Syrup Children, IM200382 Sambucus Honey Cough Syrup Adult Daytime, IM200870 Gripe Water, IM200875 Nighttime Gripe Water, IM200880 Constipation Support, IM200950 Organic Children's Cough Day, IM200955 Organic Children's Cough Night, IM200990 Organic Sambucus Honey Cough Syrup Kid Daytime, IM201225 Organic Day Baby Cough Syrup, IM201230 Organic Nighttime Baby Cough Syrup, IM201300 Baby Cough AM Organic CC, IM201305 Baby Cough PM Organic CC, IM201310 Kids Cough Organic Daytime CC, IM201315 Kids Cough Organic Nighttime CC, IM201330 Mommy's Bliss Kids Cough Organic Daytime Grape, IM201335 Mommy's Bliss Kids Cough Organic Nighttime Grape, IM251050 Organic Immune Support, IM251080 Baby Multivitamin + Iron, IM251085 Baby Multivitamin + Iron, IM251100 Kid's Immunity Organic CC, IM900150 Organic Apple Cider Vinegar, 50 grain, Probiotic Stick Pack, WF200871 Probiotic Gripe Water (combo pack: Gripe Water [IM200870] plus a Probiotic Stick [PK95099], the latter mixed in by the customer), WF201302, WF201304 Mommy's Bliss Baby Cough AM, WF201307/WF201309 Mommy's Bliss Baby Cough PM, WF201312/WF201314 Kids Cough Organic Daytime CC, WF201317/WF201319 Kids Cough Organic NIghttime CC, WF251055 141158 Vitamin C &amp; Zinc Immune Support Organic (same formula as IM251050), WF251101, WF251103 Baby Immunity, WF370030 Castor Oil 8 oz., WF370035 Castor Oil 16 oz., WF370040 Castor Oil 32 oz., WF900040 Gripe Water Day &amp; Night combo Pack (IM200870 &amp; IIM200875), WF900060 Children's Cough Day &amp; Night Combo Pack (IM200950 &amp; IM200955), WF900200 Organic Baby Cough Day &amp; Night Combo Pack (IM201230 &amp; IM201225), WF900350 WF900355 Baby Cough AM+PM Combo (Kit), WF900375 Kids Cough AM+PM Combo (Kit)</t>
  </si>
  <si>
    <t>Other: Custom Conditioning, Inoculating, Packaging, and Labeling Seed of Alfalfa and Clover, Custom Conditioning, Packaging, and Labeling Seed of Alfalfa, Buckwheat, Clover, Radish, and Small Grains</t>
  </si>
  <si>
    <t>Other: Amaranth Flour (Amaranth Flour), Beans (Garbanzo Bean Flour (Non-Retail)), Beans (Garbanzo Beans  (Non-Retail)), Corn (Corn Germ), Corn Flour (Yellow Corn Flour), Cornmeal (Whole Grain Yellow Cornmeal), Cornmeal (Yellow), Flour (Base Blend (Non-retail)), Flour (Buckwheat Blend (Non-retail)), Flour (Corn Flour, Yellow), Flour (Garbanzo Bean Meal (Non-Retail)), Flour (Gluten Free Organic Millet Flour), Flour (Hippeas Pre-Gel Meal (Non-Retail)), Flour (Lentil Flour (Non-retail)), Flour (Pearled White Sorghum Flour), Flour (Sorghum Flour), Flour (Tapioca Flour), Flour (Yellow Peas Meal (Non-Retail)), Flour (Bean) (Pregel Red Bean (Non-retail)), Grains (Amaranth (Non-Retail)), Grains (Edison's Grain Blend ), Grains (Pearled White Sorghum), Grains (Sorghum Meal (Wholesale)), Grains (White Sorghum), Millet (Millet), Milling, Potato Products (Potato Starch), Quinoa (White, Red), Quinoa Flour (Quinoa Flour), Rice (Brown), Rice (Long Grain Brown), Rice (Long Grain Parboiled Brown), Rice (Long Grain Parboiled Brown), Rice (Long Grain Parboiled White ), Rice (Long Grain White), Rice (Medium Grain Brown Parboiled Rice), Rice (Medium Grain Brown Rice), Rice (Medium Grain Rice), Rice (Medium Grain White Rice), Rice (Short Grain Brown Rice), Rice (Short Grain White Rice), Rice (Sprouted Medium Grain Brown), Rice (Sweet Brown Rice ), Rice (Sweet White Rice (Non-Retail)), Rice (Whole Grain Mini Brown Crisp Rice), Rice (Broken) (White), Rice (Puffed) (10' Medium Grain Brown Puffed Rice), Rice Bran (Stabilized Rice Bran), Rice Flour (Blend), Rice Flour (Brown), Rice Flour (Fine (Product # 80921)), Rice Flour (Fine Brown), Rice Flour (Long Grain Brown), Rice Flour (Long Grain White Extruder Pre – Gel Coarse Rice Flour), Rice Flour (Long Grain White Extruder Pre – Gel Fine Rice Flour), Rice Flour (Long Grain White Rice Flour), Rice Flour (Medium Grain Fine White Rice Flour - Low Micro), Rice Flour (Medium Grain White Rice Flour), Rice Flour (Parboiled), Rice Flour (Pregel Brown Rice ), Rice Flour (Pregel White Rice ), Rice Flour (Sprouted Medium Grain Brown), Rice Flour (Sweet Brown Rice Flour (Wholesale) ), Rice Flour (Sweet Rice Flour (Wholesale)), Rice Flour (White), Rice Flour (White Fine Rice Flour Blend ), Rice Flour (Brown) (Fine Blend), Rice Flour (White) (Long Grain Parboiled), Rice Meal (Long Grain White, Short Grain White, Medium Grain White, Sweet), Rice Meal (Brown) (Long Grain, Short Grain, Medium Grain, Sweet), Rice Products (Rice Breading), Trader (Client Profile Products only)</t>
  </si>
  <si>
    <t>Other: Alfalfa (Hay), Barley, Corn (Whole Corn), Hay, Storage (Grain Storage), Wheat, Wheat (Durum), Wheat (Durum), Wheat (Screenings), Wheat (Wheat Midds, Pellets or Loose), Wheat (Whole, ground)</t>
  </si>
  <si>
    <t>Other: Produce-  - Bulk &amp; Packaged, Cheese - Packaged, Grains - Pulses - Flours -Packaged, Jam, Meat- Packaged- Beef &amp; Pork, Butter, Milk, , Eggs, Chutney, Spices- Packaged - See Addendum for Specifics</t>
  </si>
  <si>
    <t>Pet Products: Pet Products (Treats: Dog Bone Treat - Peanut Butter &amp; Molasses Flavor), Pet Products (Treats: Mud Bay Dog Biscuits - Pumpkin), Pet Products (Treats: Dog Treats - Peanut Butter &amp; Molasses Flavor), Pet Products (Treats: Dog Treats - Sweet Potato Pie Flavor), Pet Products (Treats: Dog Treats - Grain Free Apple &amp; Ginger Flavor), Pet Products (Treats: Dog Bone Treat - Gingerbread Flavor), Pet Products (Treats: Dog Treats - Grain Free Peanut Butter &amp; Banana Flavor), Pet Products (Treats: Dog Treats - Apple Pie Flavor), Pet Products (Treats: Training Treats - Peanut Butter Flavor), Pet Products (Treats: Dog Treats - Grain Free Carrot &amp; Sweet Potato Flavor), Pet Products (Treats: Dog Treats - Berry Blast Flavor), Pet Products (Treats: Training Treats - Sweet Potato Flavor), Pet Products (Treats: Mud Bay Dog Biscuits - Peanut Butter), Pet Products (Treats: Dog Treats - Apple &amp; Peanut Butter Flavor), Pet Products (Treats: Dog Treats - Grain Free Mixed Flavor Bucket), Pet Products (Treats: Dog Treats - Banana Bread Flavor), Pet Products (Treats: Mud Bay Dog Biscuits - Apples &amp; Carrots), Pet Products (Treats: Doggy Delirious - Peanut Butter Flavored Bones), Pet Products (Treats: Dog Treats - Grain Free Berry Blast Flavor), Pet Products (Treats: Doggy Delirious - Peanut Butter Banana-licious Flavor Dog Treats), Pet Products (Treats: Dog Bone Treat - Grain Free Big Bone Peanut Butter &amp; Molasses Flavor), Pet Products (Treats: Dog Bone Treat - Grain Free Big Bone Pumpkin &amp; Quinoa Flavor), Pet Products (Treats: Dog Treats - Pumpkin &amp; Quinoa Flavor), Pet Products (Treats: Dog Treats - Grain Free Banana &amp; Hemp Seed Flavor), Pet Products (Treats: Dog Bone Treat - Big Bone with Pumpkin), Pet Products (Treats: Dog Treats - Grain Free Pumpkin &amp; Quinoa Flavor), Pet Products (Treats: Dog Treats - Peanut Butter &amp; Banana Flavor), Pet Products (Treats: Dog Treats - Grain Free Peanut Butter &amp; Molasses Flavor), Pet Products (Treats: Dog Treats - Pumpkin Flavor)</t>
  </si>
  <si>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</si>
  <si>
    <t>Other: 14 Bean Soup Mix, Annatto, Apple Cinnamon, Instant Oatmeal 1.9 oz, Baby White Lima Beans, Barley Pearled, Basmati Brown Rice, Basmati White Rice, Black Beans, Black Beans, Black Beans, Black Beans, Black Beans, Black Turtle Beans, Black Turtle Beans, Brown Rice, Brown Rice, Quinoa, &amp; Cauliflower Pasta in Cheddar Cheese, Butter Flavor, Cane Sugar, Chili Bean Mix, Chili Bean Mix, Couscous, Dark Brown Sugar, Dark Red Kidney Beans, Dark Red Kidney Beans, Deluxe Elbows and Powdered Cheddar Cheese, Deluxe Red Lentil &amp; Quinoa Pasta in Cheddar Cheese, Elbows &amp; Cheese - Deluxe Cheddar Cheese Sauce, Elbows &amp; Cheese - Deluxe Cheddar Cheese Sauce Cups, Elbows &amp; Cheese - Deluxe White Cheddar Cheese Sauce, Elbows and Powder Cheddar Cheese, French Green Lentils, French Green Lentils, French Green Lentils, French Green Lentils, Garbanzo Beans, Garbanzo Beans, Garbanzo Beans, Garbanzo Beans, Garbanzo Beans, Garbanzo Beans, Granulated Cane Sugar, Great Northern Beans, Great Northern Beans, Great Northern Beans, Green Lentils, Green Lentils, Green Lentils, Green Lentils, Green Lentils, Green Split Peas, Green Split Peas, Green Split Peas, Green Split Peas, Hulled Red Lentils, KICKSTART Maple, Brown Sugar, &amp; Cinnamon Flavored Organic Instant Oatmeal, Kidney Beans, Light Brown Sugar, Light Brown Sugar, Long Grain Brown Rice, Macaroni &amp; Cheese - Cheddar Cheese Sauce Cups, Macaroni &amp; Cheese - Cheddar Cheese Sauce Cups, Macaroni &amp; Cheese - Classic Cheddar 12oz, Macaroni &amp; Cheese - Classic Cheddar 6oz, Macaroni &amp; Cheese - Deluxe Cheddar Cheese Sauce, Macaroni &amp; Cheese - Deluxe Cheddar Cheese Sauce Cups, Macaroni &amp; Cheese - Deluxe Cheddar Macaroni &amp; Cheese, Macaroni &amp; Cheese - Deluxe Four Cheese Shells &amp; Cheese, Macaroni &amp; Cheese - Deluxe Mild Cheddar Cheese Sauce, Macaroni &amp; Cheese - Deluxe White Cheddar Cheese Sauce, Macaroni &amp; Cheese - White Cheddar, Macaroni &amp; Cheese - White Cheddar Cheese Sauce, Macaroni and Cheese Mild Cheddar, Maple Brown Sugar Cinnamon Instant Oatmeal, Maple Brown Sugar, Instant Oatmeal 1.9 oz, Microwave Popcorn,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Microwave Popcorn - Butter Flavor, Mini Packs, Microwave Popcorn - Butter Flavor, Mini Packs, Microwave Popcorn - Butter Flavor, Mini Packs, Microwave Popcorn - Butter Flavor, Mini Packs, Microwave Popcorn - Buttery Flavor, Microwave Popcorn - Buttery Flavor (6 Pack), Microwave Popcorn - Kettle, Microwave Popcorn - Kettle, Microwave Popcorn - Light Butter Flavor, Microwave Popcorn - Light Butter Flavor, Microwave Popcorn - Light Butter Flavor, Microwave Popcorn - Light Butter Flavor, Microwave Popcorn - Light Butter Flavor,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Microwave Popcorn - Natural, Mini Packs, Microwave Popcorn - Natural, Mini Packs, Microwave Popcorn - No Oil or Salt Added, Microwave Popcorn - Salted, Mung Beans (China), Navy Beans, Oats and Apple Cinnamon Chia, Oats and Triple Berry, Oats Maple Brown Sugar Seasoning and Pecan, Oats, Steel Cut, Organic Apple Cinnamon Oatmeal, Organic Cane Sugar, Organic Cane Sugar, Organic Dark Brown Sugar, Organic Fair Trade Powdered Sugar, Organic Granulated Cane Sugar, Organic Maple Brown Sugar Oatmeal, Organic Old Fashion Rolled Oats, Organic Pure Cane Sugar, Organic Quick Cooking Rolled Oats, Organic Quick Oats Rolled Oats, Organic Quinoa, Organic Salted Maple Pecan Oatmeal, Organic Steel Cut Oats, Organic Steel Cut Whole Grain Oats, Organic Tri-Color Quinoa, Organic Triple Berry Oatmeal, Organic Whole Grain Rolled Oats, Palm Oil 39, Pinto Beans, Pinto Beans, Pinto Beans, Pinto Beans, Pinto Beans, Popcorn, Popcorn, Popcorn, Popcorn, Popcorn, Popcorn, Popcorn, Popcorn, Powdered Sugar, Powdered Sugar, Quinoa, Red, Quinoa, Tricolor, Red Lentils, Red Lentils, Rolled Oats, Instant Oatmeal 1.9oz, Shells &amp; Cheese - Cheddar Cheese Sauce, Shells &amp; Cheese - Cheddar Cheese Sauce, Shells &amp; Cheese - Cheddar Cheese Sauce Cups, Shells &amp; Cheese - Cheddar Cheese Sauce Cups, Shells &amp; Cheese - Deluxe Cheddar Cheese Sauce, Shells &amp; Cheese - Deluxe Cheddar Cheese Sauce, Shells &amp; Cheese - Deluxe Cheddar Cheese Sauce, Shells &amp; Cheese - Deluxe Cheddar Cheese Sauce Cups, Shells &amp; Cheese - Deluxe Mild Cheddar Cheese Sauce, Shells &amp; Cheese - Deluxe White Cheddar Cheese Sauce, Shells &amp; Cheese - Four Cheese Sauce Cups, Shells &amp; Cheese - Parmesan and Roasted Garlic Sauce Cups, Shells &amp; Cheese - White Cheddar Cheese Powder, Shells &amp; Cheese - White Cheddar Cheese Sauce, Shells &amp; Cheese- Classic Cheddar, Shells and Powder White Cheddar Cheese, Shells and Powder Yellow Cheddar Cheese, Shells and Yellow Liquid Cheddar Cheese, Soynuts, Roasted &amp; Salted, Stevia, Sugar, Brown Cane, Sugar, Cane, Sugar, Cane, Sugar, Cane, Sugar, Cane, Sugar, Cane, Sugar, Cane, Sugar, Cane, Sugar, Cane, Sugar, Cane, Sugar, Cane, Sugar, Light Brown, Sugar, Light Brown, Sugar, Light Brown, Sugar, Light Brown, Sugar, Light Brown, Sugar, Light Brown, Sugar, Light Brown, Sugar, Light Brown, Sugar, Light Brown, Sugar, Light Brown, Sugar, Light Brown, Sugar, Light Brown, Sugar, Light Brown, Sugar, Powdered, Sugar, Powdered, Sugar, Powdered, Sugar, Powdered, Sugar, Powdered, Sugar, Powdered, Sugar, Powdered, Sugar, Powdered, Sugar, Powdered, Sugar, Powdered, Sugar, Powdered, Sugar, Raw Cane, Sugar, Raw Cane, Sugar, Turbinado, Sugar, Turbinado, Sugar, Turbinado, Sugar, Turbinado, Sugar, Turbinado, Turbinado Sugar Raw Cane Sugar, Wheat Bran, White Kidney Beans/Cannellini Beans, White Rice, Whole Wheat Shells &amp; Cheese - Deluxe Cheddar Cheese Sauce, Whole Wheat Shells &amp; Cheese - Deluxe Cheddar Cheese Sauce, Yellow Popcorn Kernels, Yellow Split Peas, Yellow Split Peas</t>
  </si>
  <si>
    <t>Other Grains, Pastas and Cereals: Noodles (Black and Brown Rice Ramen), Noodles (Black and Brown Rice udon noodles), Noodles (Black Rice noodles), Noodles (Black Rice Ramen), Noodles (Black Rice udon noodles), Noodles (Brown Rice &amp; Buckwheat Noodles), Noodles (Black and Brown Rice noodles), Noodles (Brown Rice &amp; Buckwheat Ramen), Noodles (Brown Rice &amp; Millet Ramen), Noodles (Brown Rice &amp; Millet Noodles), Noodles (Buckwheat &amp; Brown Rice Noodles), Noodles (Buckwheat Ramen), Noodles (Forbidden Rice udon noodles), Noodles (Forbidden Rice noodles), Noodles (Forbidden Rice Ramen), Noodles (Instant Millet and Brown Rice Noodles), Noodles (Instant Millet and Brown Rice Ramen), Noodles (Millet &amp; Brown Rice Ramen), Noodles (Millet &amp; Brown Rice Noodles), Noodles (Millet and Brown Rice Noodles), Noodles (Millet and Brown Rice Ramen), Noodles (Millet Ramen), Noodles (Millet Ramen Noodles), Noodles (Brown Rice &amp;Wakame noodles), Noodles (Buckwheat &amp; Brown Rice Ramen), Noodles (Buckwheat Noodles), Noodles (Brown Rice &amp;Wakame Ramen), Noodles (Brown Rice and Purple Sweet Potato Noodles), Noodles (Brown Rice and Wakame Ramen), Noodles (Brown Rice and Wakame Udon noodles), Noodles (Brown Rice Noodles), Noodles (Brown Rice noodles with wakame), Noodles (Brown Rice Ramen), Noodles (Brown Rice Ramen Noodles), Noodles (Brown Rice udon noodles), Noodles (Brown Rice with Millet &amp; Purple Sweet Potato udon Noodles), Noodles (Brown Rice and Purple Sweet Potato Ramen), Noodles (Brown Rice and Wakame Noodles), Noodles (Buckwheat Noodles), Noodles (Buckwheat Ramen), Noodles (Buckwheat Ramen Noodles), Noodles (Buckwheat udon noodles), Noodles (Instant buckwheat Noodles), Noodles (Instant buckwheat Ramen), Noodles (Instant PHO), Noodles (Millet Ramen Noodles), Noodles (Pea&amp;Buckwheat Noodles), Noodles (Pea&amp;Buckwheat Ramen), Noodles (Pea&amp;Buckwheat spaghetti), Noodles (Pea&amp;millet Noodles), Noodles (Pea&amp;millet Ramen), Noodles (Pea&amp;millet spaghetti), Noodles (Purple Sweet Potato and Buckwheat Noodles), Noodles (Purple Sweet Potato and Buckwheat Ramen), Noodles (Purple Sweet Potato and Buckwheat Spaghetti), Noodles (Purple Sweet Potato and Millet Noodles), Noodles (Purple Sweet Potato and Millet Ramen), Noodles (Purple Sweet Potato and Millet Spaghetti), Noodles (Rice Noodles), Noodles (Rice Ramen), Noodles (Rice udon noodles), Noodles (Soba buckwheat Noodles), Noodles (Soba buckwheat Ramen), Noodles (Sweet Potato noodles), Noodles (Wakame Brown Rice noodles), Noodles (Wakame Brown Rice Ramen), Noodles (Wakame and Brown Rice Noodles), Noodles (White Rice Ramen), Noodles (White Rice udon noodles), Noodles (White RiceNoodles), Noodles (Miso noodle soup original), Noodles (Traditional Ramen), Noodles (Wakame and Brown Rice Ramen), Pasta (White Rice Pasta), Pasta (Wakame and Brown Rice Pasta), Pasta (Wakame Brown Rice Pasta), Pasta (Sweet Potato and purple sweet potato vermicelli), Pasta (Rice Pasta), Pasta (Purple Sweet Potato and Millet Pasta), Pasta (Purple Sweet Potato and Buckwheat Pasta), Pasta (Pea&amp;millet Pasta), Pasta (Pea&amp;Buckwheat Pasta), Pasta (Buckwheat Pasta), Pasta (Brown Rice and Wakame Pasta), Pasta (Buckwheat Angel hair pasta), Pasta (Brown Rice Pasta), Pasta (Brown Rice and Purple Sweet Potato Pasta), Pasta (Buckwheat Pasta), Pasta (Brown Rice &amp;Wakame Pasta), Pasta (Millet &amp; Brown Rice Pasta), Pasta (Millet and Brown Rice Pasta), Pasta (Millet and Brown Rice Angel hair pasta), Pasta (Millet &amp; Brown Rice Angel hair pasta), Pasta (Forbidden Rice Pasta), Pasta (Buckwheat &amp; Brown Rice Pasta), Pasta (Brown Rice &amp; Millet Pasta), Pasta (Brown Rice &amp; Millet Angel hair pasta), Pasta (Black and Brown Rice Pasta), Pasta (Brown Rice &amp; Buckwheat Pasta), Pasta (Black Rice Pasta), Powders (Purple sweet potato powder); Dry/Baking Goods: Noodles (Miso noodle soup spicy)</t>
  </si>
  <si>
    <t>Other: Rice (Akitakomachi) (Short Grain Akitakomachi Brown Rice), Rice (Akitakomachi) (Short Grain Akitakomachi White Sushi Rice), Rice (Jasmine), Rice (Short Grain) (Short Grain White Sushi Rice), Short Grain Brown Rice</t>
  </si>
  <si>
    <t>Other: Brokering of Organic Bulk Beans, Grains, Livestock Feed, Oils, &amp; Soy Products, Organic: Alfalfa Hay (Sun-Cured), Almond Hulls, Barley, Canola Meal, Corn (Ground &amp; Whole), Dried Kelp (Ascophyllum nodosum), Flaxseed oil, Linseed Meal (Mechanically Extracted), Linseed Oil, Mill Run, Mixed Screenings, Peas, Rice Hulls, Soybean Meal (Mechanically Extracted), Soybean Oil, Soybeans (Whole), Sunflower Meal (Mechanically Extracted), and Wheat</t>
  </si>
  <si>
    <t>Trees/Whole Plant Products/Flowers: Cleaning &amp; Bagging: Grain &amp; Seed; Other Grains, Pastas and Cereals: Yellow blossom sweet clover</t>
  </si>
  <si>
    <t>Other Grains, Pastas and Cereals: Quinoa (Flake), Quinoa (Par-cooked Red), Quinoa (Par-cooked White), Quinoa (Red), Quinoa (Tricolor), Quinoa (White); Animal Feed: Freeze Dried Organic Chicken Breast Dog and Cat Treats</t>
  </si>
  <si>
    <t>Processed  Items: Butter Alternative, Coconut Butter, Coconut Chips, Dehydrated Foods (Dehydrated Coconut Chips), Dehydrated Foods (Dehydrated Coconut Flakes (Fine Flakes, Small Flakes)), Dehydrated Foods (Dehydrated Sliced Mango), Nut Butter Almond - Pecan, Nut Butter Nut Medley; Preservatives/Extracts/Flavors: Powders (Coconut Milk Powder), Powders (Garlic Powder), Powders (Onion Powder); Other Grains, Pastas and Cereals: Black Chia; Oils &amp; Oleoresins: Oils (Centrifuge Extracted Coconut Oil), Oils (Coconut Oil), Oils (Craft Oil), Oils (Extra Virgin Olive Oil), Oils (Red Palm Oil), Oils (Refined Coconut Oil), Oils (Sauté Oil), Oils (Sesame Seed Oil), Oils (Unflavored MCT Oil), Oils (Virgin Unrefined Coconut Oil); Nuts/Seeds: Almonds, Brazil Nut (Brazil Nuts), Cashew Nuts (Cashews), Hazelnut (Hazelnuts), Mixed Nuts, Pecans (American Native Heirloom Pecans), Pecans (Pecans), Pistachios (Pistachio), Pumpkin Seeds, Sunflower Seeds, Walnuts; Fruits/Vegetables: Berries (Goji Berries); Dry/Baking Goods: Flours and Meals (Almond Flour), Flours and Meals (Coconut Flour); Condiments and Sweeteners: Original Mayonnaise, Sugar (Coconut Sugar), Sweeteners (Blue Agave Nectar), Syrups (Coconut Syrup); Chocolate Goods: Cacao Butter, Chocolate Nibs (Fermented Cacao Nibs), Chocolate Nibs (Fermented Cacao Powder), Chocolate Syrup, Coco Monkey; Bread/Bakery/Snacks: Snack Mixes (Trail Mix); Beverage Related Products: Hot Chocolate Mix</t>
  </si>
  <si>
    <t>Other Grains, Pastas and Cereals: SUNFLOWER; Oils &amp; Oleoresins: Essential Oils (SUNFLOWER OIL); Nuts/Seeds: BLACK CHIA, BROWN FLAXSEED, GOLDEN FLAXSEED, Nuts (WALNUT), Peanuts (PEANUT), SESAME, WHITE CHIA; Fruits/Vegetables: Beans (CHICKPEA), Beans (BEAN), Beans (SOYBEAN); Dry/Baking Goods: Flours and Meals (GOLDEN FLAXSEED FLOUR), Flours and Meals (BROWN FLAXSEED FLOUR)</t>
  </si>
  <si>
    <t>Other Grains, Pastas and Cereals: SUNFLOWER; Oils &amp; Oleoresins: Essential Oils (SUNFLOWER OIL); Nuts/Seeds: BLACK CHIA, BROWN FLAXSEED, GOLDEN FLAXSEED, Nuts (WALNUT), Peanuts (PEANUT), SESAME, WHITE CHIA; Fruits/Vegetables: Beans (CHICKPEA), Beans (ADZUKI BEAN), Beans (BEAN), Beans (RED DARK BEAN), Beans (LIGH RED BEAN), Beans (MUNG BEAN), Beans (BLACK BEAN), Beans (SOYBEAN)</t>
  </si>
  <si>
    <t>Other: Apple Cider Vinegar, Apple Cider Vinegar (Apple Cider Vinegar), Brown Mustard (Brown Mustard), Brown Mustard (Brown Mustard (Bulk)), Brown Mustard (Deli Style Spicy Brown Mustard), Brown Mustard (Spicy Brown Mustard), Brown Mustard (Spicy Deli Mustard), Brown Mustard (Stone Ground Mustard), Brown Mustard (Stoneground Mustard), Deli Mustard (Deli Mustard), Deli Mustard (Deli Mustard (Bulk)), Dijon Mustard, Dijon Mustard, Dijon Mustard (Dijon Mustard), Grain Vinegar (White Vinegar), Whole Grain Mustard (No Salt Whole Grain Mustard), Whole Grain Mustard (Whole Grain Mustard), Yellow Mustard, Yellow Mustard (8oz &amp; 20oz), Yellow Mustard (Yellow Mustard), Yellow Mustard (Yellow Mustard (Bulk))</t>
  </si>
  <si>
    <t>Other Grains, Pastas and Cereals: Noodles (Organic Chow Mein Noodle), Noodles (Organic Wonton Strip)</t>
  </si>
  <si>
    <t>Other: Potato Seed - Adirondack Red, Potato Seed - Caribou Russet, Potato Seed - Dark Red Norland, Potato Seed - Keuka Gold, Potato Seed - Russian Banana, Potato Seed - Yukon Gold, Potato Seed- Adirondack Black, Potato seed- All Blue, Potato Seed- Elba, Potato Seed- Purple Viking, Seed - Arugula Astro, Seed - Basil Rosie, Seed - Bean Celine Bush (purple), Seed - Bean Early Riser, Seed - Bean Gold Rush Yellow Wax, Seed - Bean Hutterite Dry, Seed - Bean Jade, Seed - Bean Kew Blue, Seed - Bean Provider, Seed - Bean Tavera, Seed - Beet Bull's Blood, Seed - Beet Chioggia Guardsmark, Seed - Beet Lutz Greenleaf, Seed - Beet Sweet Dakota Bliss, Seed - Beet Touchstone Gold, Seed - Broccoli DeCicco, Seed - Broccoli Waltham 29, Seed - Buckwheat Japanese Common, Seed - Bunching Onion Parade organic, Seed - Bunching Onion White Spear, Seed - Cabbage All Seasons, Seed - Cabbage Filderkraut, Seed - Cabbage Golden Acre, Seed - Calendula Resina, Seed - Carrot Atomic Red, Seed - Carrot Cosmic Purple, Seed - Carrot Red Cored Chantenay, Seed - Carrot Scarlet Keeper, Seed - Carrot Scarlet Nantes, Seed - Carrot Yellow Stone, Seed - Celery Ventura, Seed - Clover Alsike, Seed - Clover Medium Red, Seed - Clover Yellow Blossom Sweet, Seed - Corn Dorinny Sweet, Seed - Corn Orchard Baby Sweet, Seed - Cover Crop Crimson Clover, Seed - Cover Crop Hairy Vetch, Seed - Cover Crop Mammoth Red, Seed - Cover Crop Sorgum Sudan, Seed - Cucumber Addis Pickle, Seed - Cucumber Little Leaf, Seed - Cucumber Marketmore 76, Seed - Eggplant Diamond, Seed - Eggplant Ping Tung Long Eggplant, Seed - Fennel Seed, Seed - Flower Ammi Snow White, Seed - Flower Bach Button Polka Dot, Seed - Flower Bachelor Button Blue, Seed - Flower Cosmos Flashback Mix, Seed - Flower Cosmos Seashells, Seed - Flower Echinacea Purpurea, Seed - Flower Marigold Pinwheel, Seed - Flower Marigold Tangerine Gem, Seed - Flower Morning Glory Kniola's Purple, Seed - Flower Nasturtium Dwarf Jewel Blend, Seed - Flower Nigella Delft Blue, Seed - Flower Poppy California, Seed - Flower Poppy Elka, Seed - Flower Rudbeckia Goldilocks, Seed - Flower Rudbeckia Prairie Glow, Seed - Flower Snapdragon Lions Mouth, Seed - Flower Sunflower Evening Colors, Seed - Flower Sunflower Hungarian Black Seeded, Seed - Flower Sunflower Mammoth, Seed - Flower Sunflower Peredovik, Seed - Flower Teddy Bear, Seed - Flower Wild Bergamot, Seed - Flower Zinnia County Fair Blend, Seed - Flower Zinnia Dwarf Thumbolina, Seed - Grass Rye Annual, Seed - Grass Rye Perennial, Seed - Grass Timothy, Seed - Green Mikola, Seed - Green Mizspoona, Seed - Green Pandero (Red Romaine), Seed - Green Rainbow Chard seed, Seed - Green Shanghai Green Pac Choy, Seed - Green Tat Soi, Seed - Greens Fall &amp; Winter Salad Mix, Seed - Greens Spring Salad Mix, Seed - Herb Basil Genovese, Seed - Herb Celery Cutting Celery, Seed - Herb Chive Staro, Seed - Herb Cilantro Marino, Seed - Herb Dill Bouquet, Seed - Herb Fennel Perfection, Seed - Herb Greek Oregano, Seed - Herb Marjoram Sweet, Seed - Herb Parsley Italian Flatleaf, Seed - Herb Sage Common, Seed - Herb Thyme English, Seed - Herbs Chamomile, Seed - Kale Lacinato, Seed - Kale Red Ursa Ruso Siberian, Seed - Kale White Russian, Seed - Leek Alto Leek, Seed - Leek King Richard, Seed - Lettuce Cardinale, Seed - Lettuce Flashy Trout Back, Seed - Lettuce Romaine Zeb, Seed - Lettuce Salad Mix, Seed - Lettuce Summer Salad Mix, Seed - Lettuce Winter Density, Seed - Melon Black Tail Mountain, Seed - Melon Bozeman, Seed - Melon Delicious 51, Seed - Melon Early Moonbeam, Seed - Melon Golden Gopher, Seed - Oat Hayden, Seed - Oat Hull-less VNS, Seed - Oat Pea/Oat Cover Crop Mix, Seed - Onion Rossa di Milano, Seed - Parsnip Halblange, Seed - Pea Green Arrow, Seed - Pea Sugar Ann, Seed - Pea Sugar Snap, Seed - Pepper Czech Black, Seed - Pepper Jimmy Nardello, Seed - Pepper Joelene’s Red, Seed - Pepper King of the North, Seed - Pepper Klari Baby Cheese, Seed - Pepper Little Tangerine Bell, Seed - Pepper Matchbox, Seed - Pumpkin Howden, Seed - Pumpkin Long Pie, Seed - Pumpkin Winter Luxury, Seed - Radish Cherry Belle, Seed - Radish Oilseed Tillage, Seed - Radish Plum Purple, Seed - Rye Winter Aroostook VNS, Seed - Spinach Bloomsdale Long Standing, Seed - Spinach Giant Winter, Seed - Spinach Merlo Nero Spinach, Seed - Spinach Winter Bloomsdale, Seed - Squash Buttercup Burgess, Seed - Squash Butternut Waltham, Seed - Squash Canada Crookneck, Seed - Squash Delicata Zeppelin, Seed - Squash Sweet Meat, Seed - Squash Zucchini Costata, Seed - Squash Zuchini Black, Seed - Swiss Chard Oriole, Seed - Swiss Chard Ruby Red, Seed - Tomato Amish Paste, Seed - Tomato Cosmonaut Volkov, Seed - Tomato Goldie, Seed - Tomato Orange Banana, Seed - Tomato Speckled Roman, Seed - Tomato Una Hartsock, Seed - Turnip Joan, Seed - Turnip Purple Top White Globe, Seed - Wheat HRS Dylan, Seed - Wheat HRW Turkey Red, Seed- Alfalfa Viking 3800, Seed- Bean Coco Black, Seed- Bean Northeaster Pole Organic, Seed- Bean Silver Cloud Cannellini Dry Bean, Seed- Broccoli Spring Raab or Broccoli Raab, Seed- Cabbage Red Express, Seed- Carrot Dolciva, Seed- Carrot Little Finger Organic, Seed- Carrot Lunar White, Seed- Cover Crop Pea/Vetch/Oat mix, Seed- Cucumber Boothby's Blonde, Seed- Flower Blue Flax, Seed- Flower Calendula Flashback Mix, Seed- Flower Calendula Pacific Beauty Mix, Seed- Flower Cleome or Spider Flower Mix, Seed- Flower Dianthus Sweet William Volcano Mix, Seed- Flower Double Whoopee Shirley Poppy (P. rhoeas), Seed- Flower Empress of India Nasurtium (dwarf habit), Seed- Flower Jasmine Scented Nicotiana Organic (N. alata), Seed- Flower Larkspur Galilee Blend, Seed- Flower Larkspur Shades of Blue, Seed- Flower Liliput Blue Moon China Aster Organic (Callistephus Chinensis), Seed- Flower Marig Mexican Mint, Seed- Flower Monstrosum Tall Mix Strawflower, Seed- Flower Mother of Pearl Shirley Poppy Organic (P.rhoeas), Seed- Flower Nastur Kaleidoscope Mix, Seed- Flower Nicotiana Grandiflora, Seed- Flower Phacelia, Seed- Flower Pincushion Mix Scabiosa (Scabiosa atropurpuria), Seed- Flower Prairie Gayfeather, Seed- Flower Roggli Riesen Strawflower, Seed- Flower Roulette Coreopsis (Coreopsis tinctoria), Seed- Flower Speedwell Blue, Seed- Flower Summer Pastels Yarrow, Seed- Flower Sunball Craspedia (Craspedia Uniflora), Seed- Flower Sweet Pea, Seed- Flower White Sweet Alyssum, Seed- Flower Wild Mignonette, Seed- Flower Zinnia Persian Carpet, Seed- Green Green Wave Mustard, Seed- Green Vit Mache, Seed- Herb Blue Borage, Seed- Herb Catnip, Seed- Herb Coriander Santo, Seed- Herb Garlic Cives (kitchen window friendly), Seed- Herb Krausa Curled Parsley (kitchen window friendly), Seed- Herb Lavender Munstead, Seed- Herb Lemon Balm, Seed- Herb Lemon Basil (kitchen window friendly), Seed- Herb Lovage, Seed- Herb Peppermint, Seed- Herb Rosemary (kitchen window friendly), Seed- Herb Salad Burnet, Seed- Kohlrabi Azure Star, Seed- Lettuce Black Seeded Simpson, Seed- Lettuce Buttercrunch, Seed- Lettuce Crispino Crisphead (green crisphead type), Seed- Lettuce Dark Red Lollo Rossa, Seed- Lettuce Ear of the Devil, Seed- Lettuce Gildenstem Crisphead (green scripshead), Seed- Lettuce Green Salad Bowl (Green Oakleaf), Seed- Lettuce Kweik (green butterheadtype), Seed- Lettuce Red Salad Bowl (oakleaf type), Seed- Lettuce Tango (green loose-leaf type, overwintering type), Seed- Melon Hale's Best Jumbo, Seed- Melon Moon and stars watermelon, Seed- Melon Sugar Baby Watermelon, Seed- Onion Amber (long day), Seed- Onion Pama gold, Seed- Parsnip Lancer, Seed- Pea admiral pea seed, Seed- Pea Blizzard (Half Runner habit), Seed- Pea Golden Sweet (6ft vines), Seed- Pepper Ancho Poblano, Seed- Pepper California Wonder, Seed- Pepper Criolla Sella, Seed- Pepper Early Jalapeno, Seed- Pepper Serrano, Seed- Pumkin (Cinderella (AKA Rouge Vif), Seed- Pumpkin New England Pie, Seed- Radish Watermelon (fall storage type), Seed- Squash Bennings Green Tint Patty Pan (Summer squash), seed- Squash Blue Ballet Baby Hubbard (winter), Seed- Squash Spaghetti (winter), Seed- Squash Sweet Reba Acorn (bush habit), Seed- Squash Yellow Crookneck Summer Squash, Seed- Swiss Chard Forthook Giant, Seed- Tomato Black Cherry, Seed- Tomato Brandywine, Seed- Tomato Latah seed, Seed -Tomato Pruden's Purple, Seed- Tomato Sweetie Cherry, Seed- Tomato Tiny Tim, Seed- Turnip Golden Globe, Seed- White Clover Rivendell, Seed- Zuchini Cocozella, Seed-Kohlrabi Trero, Seed-Tomato Cherokee Purple, Seed-Tomato Stupice</t>
  </si>
  <si>
    <t>Seasonings: All-Purpose Seasoning Salt-Free, Ancho Chile Powder, Ancho Chiles, Celery Salt, Celery Seed, Celery Seed, ground, Celery Seed, whole, Chile Powder Spice Blend, Chili Powder, Chili Powder (Simple Truth), Chili Powder Blend, Chipotle Morita Chile Powder, Chipotle Morita, granulated, Curry Powder, Dibi African Rub, Dill Pollen, Everything Bagel Blend, Everything Bagel Seasoning, Garlic Herb Seasoning Salt-Free, Harissa Seasoning, Harissa Spice Blend, Italian Seasoning, Italian Seasoning Salt-Free, Jamaican Style Grill Spice, Korean BBQ Tenderloin Tips Seasoning, Lemon Herb Blend, Lemon Pepper Seasoning Salt-Free, Mediterranean Seafood Seasoning, Mediterranean Seasoning, Mesquite Seasoning, Mexican Style Al Pastor Rub, Mushroom Umami Herb Rub, Napa Valley Spice Blend, Pot Roast Seasoning, Ras El Hanout Blend, Ras El Hanout Spice Blend, Red Miso Powder, Rof African Rub, Salt-Free All-Purpose Seasoning, Salt-Free Garlic Herb Seasoning, Salt-Free Hot Curry Powder, Salt-Free Italian Seasoning, Salt-Free Lemon Pepper Seasoning, Seasoning Blends (Barbacoa Seasoning), Shawarma Seasoning, Smokehouse BBQ Rub, Tandoori Masala Seasoning, Verde Seasoning, Yassa African Rub; Processed  Items: Apple, diced, Banana Chips, Brown Flaxseed, ground, Cannellini Beans, Carrots, diced, Chicken &amp; Orzo Dry Soup Mix, Chicken Tortilla Dry Soup Mix, Chorizo Spice Dry Soup Mix, Coarse Diced Sun-Dried Tomatoes, Cranberries, Creamy Quinoa Dry Soup Mix, Cuban Mojo Rice &amp; Beans, Dry Roasted Pumpkin Seed Kernels (Pepitas), Fonio, pearled, precooked, Freeze Dried Sweet Corn, Garden Pilaf, Goji Berries, Green Bell Peppers, diced, Mediterranean Pilaf, Natural Seedless Raisins, Pumpkin Seed &amp; Natural Seedless Raisin Topper, Pumpkin Seed &amp; Whole Roasted ChickPeas Topper, Pumpkin Seed Chickpea Topper, Pumpkin Seeds, Pumpkin Seeds &amp; Cranberries, Red &amp; Green Bell Peppers, Red Bell Pepper, diced, Red Lentil Dry Soup Mix, Red Wine Tenderloin Tips Seasoning, Roasted Whole ChickPeas, Seedless Raisin Topper, Southern Pilaf, Sun-Dried Tomato Pilaf, Tamari Teriyaki Tenderloin Tips Seasoning; Preservatives/Extracts/Flavors: Extracts (Bourbon Vanilla Extract), Powders (Pea Powder, Green), Powders (Porcini Powder), Powders (Lime Juice Powder), Powders (Apple Cider Vinegar Powder), Powders (Vinegar Powder, White), Spices (White Pepper, ground), Spices (White Peppercorn, Fine Ground), Spices (Whole Bay Leaves), Spices (Whole Cloves), Spices (Whole Nutmeg), Spices (Baking Spices (Holiday Gift 3-PK Box - Ginger, Cinnamon and Nutmeg Whole)), Spices (Essential Spices (Holiday Gift 6-PK box - Oregano, Basil, Thyme, Paprika Sweet Smoke, Red Pepper Crushed Pizza and Garlic Roasted)), Spices (Lemon Herb), Spices (Black Peppercorn, Fine Cut), Spices (Black Peppercorn, Medium Cut), Spices (Black Peppercorn, Whole), Spices (Black Peppercorns, Medium Cut), Spices (Black Peppercorns, Whole), Spices (Black Sesame Seeds), Spices (Allspice, ground), Spices (Basil), Spices (Basil Leaves), Spices (Bay Leaves), Spices (Bay Leaves, ground), Spices (Mace, ground), Spices (Marjoram), Spices (Masa Harina), Spices (Nutmeg, gournd), Spices (Nutmeg, ground), Spices (Onion Powder), Spices (Onion, granulated), Spices (Onion, minced), Spices (Oregano), Spices (Oregano, ground), Spices (Paprika), Spices (Paprika Powder), Spices (Paprika, Sweet Smoked), Spices (Parsley Flakes), Spices (Pasilla Negro Powder), Spices (Jalapeno Powder), Spices (Red New Mexico Chile Flakes), Spices (Red New Mexico Chile Powder), Spices (Red New Mexico Hatch Chile Flakes), Spices (Red Pepper, crushed), Spices (Red Chile Flakes), Spices (Roasted Garlic Powder), Spices (Roasted Garlic, minced), Spices (Rosemary, cut), Spices (Rosemary, ground), Spices (Rosemary, whole), Spices (Rubbed Sage), Spices (Saffron Powder), Spices (Sage), Spices (Saigon Cinnamon, ground), Spices (Salt-Free Sweet Curry Powder), Spices (Spearmint Flakes), Spices (Sweet Paprika), Spices (Sweet Smoked Paprika), Spices (Tamari Powder), Spices (Tandoori Spice Blend), Spices (Tarragon), Spices (Thyme), Spices (Thyme Leaves), Spices (Tomato Powder), Spices (Tomato, granulated), Spices (Turmeric), Spices (Turmeric, ground), Spices (Yellow Mustard Powder), Spices (Yellow Mustard Seed), Spices (Yellow Mustard Seeds), Spices (Smoked Paprika), Spices (Tamarind Paste), Spices (Tandoori Blend), Spices (Caraway, ground), Spices (Cardamom, Green), Spices (Cardamom, ground), Spices (Carob Powder), Spices (Cayenne, ground), Spices (Cilantro), Spices (Cinnamon), Spices (Cinnamon, ground), Spices (Cloves, ground), Spices (Cloves, whole), Spices (Coriander Seed), Spices (Coriander, ground), Spices (Crushed Red Pepper), Spices (Dill Weed), Spices (Fennel Pollen), Spices (Fennel Seed), Spices (Fennel Seed, ground), Spices (Fenugreek Seed), Spices (Cut Black Peppercorns), Spices (Daikon Radish Seeds), Spices (De-Stemmed Chipotle Morita Chiles), Spices (Cumin Seed), Spices (Cumin, ground), Spices (Ground Allspice), Spices (Ground Cardamom), Spices (Ground Cayenne), Spices (Ground Cinnamon), Spices (Ground Cloves), Spices (Ground Coriander), Spices (Ground Cumin), Spices (Ground Ginger), Spices (Ground Nutmeg), Spices (Ground Rosemary), Spices (Ground Turmeric), Spices (Ground White Pepper), Spices (Galic Flake), Spices (Garam Masala Blend), Spices (Garam Masala Spice Blend), Spices (Garlic Powder), Spices (Garlic Powder, Roasted), Spices (Garlic Salt), Spices (Garlic, granulated), Spices (Garlic, minced), Spices (Ginger Powder), Spices (Granulated Garlic), Spices (Granulated Onion), Spinach Flake, Spinach Powder, Tuscan Trattoria Rub; Personal Care: Spices (Mediterranean Oregano); Other Grains, Pastas and Cereals: Adzuki, Amaranth, Amaranth, ground, Anasazi, Barley (Barley, black), Barley (Job's Tears (Barley)), Black Beans, Black Beans, dehydrated, Black Chia Seed, ground, Chia Seed, Black, Chia Seed, Black Ground, Chia Seed, White, Chia Seeds, Black, Chickpeas, Couscous Traditional, Cranberry Beans, Farro, Fava Beans, Flageolet Beans, Fonio, Great Northern Beans, Heirloom Bean Blend, Heritage Grain Medley, Heritage Grain Pilaf, Lentil, Green, Lentils, Black Beluga, Lentils, Brown, Lentils, French Green, Lentils, Green, Lentils, Split Crimson, Navy Beans, Orzo, Peas, Green Split, Peas, Whole Green, Peas, Whole Yellow, Peas, Yellow Split, Pinto Beans, Protein Bar Quinoa Blend, Quinoa (Quinoa Blend, Incan), Quinoa (Quinoa Flakes), Quinoa (Quinoa Flour, Golden), Quinoa (Quinoa Medley), Quinoa (Quinoa, Black), Quinoa (Quinoa, Crisped), Quinoa (Quinoa, Red), Quinoa (Quinoa, tri-color blend), Quinoa (Quiona Blend), Quinoa (Quiona Blend, Incan), Quinoa (Quinoa), Quinoa (Royal Quinoa, White), Quinoa (Tri-color Quinoa blend), Quinoa - Millet Blend, Red Pepper Herb Rice &amp; Quinoa, Rice (Wild Rice), Rice (Long Grain Rice, Brown), Rice (Long Grain Rice, White), Rice (Lowcountry Red Rice), Rice (Basmati Rice, Brown), Rice (Basmati Rice, White), Rice (Arborio Rice), Rice (Chinese Black Rice), Rice (Jasmine Rice, Brown), Rice (Jasmine Rice, Purple), Rice (Jasmine Rice, White), Roasted Chickpeas, whole, Spelt, Tuscan Couscous, Wheat Berries,, Wheat Berries, Hard Red, Wheat Berries, Soft White, Whole Wheat Couscous, Whole Wheat Couscous, Toasted; Dry/Baking Goods: Bourbon Vanilla Beans, Buckwheat Groats, Coconut Milk Powder, Flours and Meals (Banana Flour), Flours and Meals (Blue Corn Masa Flour), Flours and Meals (Chickpea Flour), Flours and Meals (Brown Rice Flour, heat treated), Flours and Meals (Coconut Flour), Flours and Meals (Fonio Flour), Flours and Meals (Kamut Brand Wheat), Flours and Meals (Rice Flour, Brown), Millet Seed Flour; Condiments and Sweeteners: Cinnamon Sugar Blend, Dried Cane Syrup, Powder, Sugar (Coconut Palm Sugar), Sugar (Date Sugar Powder), Sugar (Maple Sugar Powder), Syrups (Dried Cane Syrup); Bread/Bakery/Snacks: Bread (Kamut Brand Bread); Other: Black Trumpet, Champignon Powder, Champignon, kibbled, Champignon, sliced, Chanterelles, Flaxseed, Brown, Flaxseed, Golden, Hen Of The Woods, Kaniwa, Kidney Beans, Dark Red, Manitou Trading Co, Millet Seed, Moon Milk, Morels, Moringa Powder, Oyster Mushrooms, Poppy Seeds, Porcini, Porcini Shake, Portabella Mushrooms, Sliced, Portabella, Kibbled, Sesame Seed Hulled, White, Sesame Seed, Black, Shiitake Powder, Shiitake, Finely Diced, Shiitake, Finely Ground, Shiitake, kibbled, Shiitake, sliced, Shiitake, whole</t>
  </si>
  <si>
    <t>Other Grains, Pastas and Cereals: Austrian Winter Peas - VNS, Barley (Barley Seed - VNS), Canola, Cereal Rye Seed - VNS, Cleanings from Seed and Grain, Oats (Oats Seed - VNS), Roasted Soybeans, Wheat (Wheat); Other: Brokering Grain, Drying Grain, Red Clover Seed - VNS, Roasting of Grain, Seed/Grain Cleaning, Storing Grain, Transporting Grain</t>
  </si>
  <si>
    <t>Other: Adzuki Beans, Almonds, Apple Honey, Almonds, Diced Butterstick Dry Roasted, Almonds, Dry Roasted Salted, Almonds, Dry Roasted Salted, Almonds, Dry Roasted Salted, Almonds, Dry Roasted Salted, Almonds, Dry Roasted Salted, Almonds, Dry Roasted Salted, Almonds, Dry Roasted Salted, Almonds, Dry Roasted Salted, Almonds, Dry Roasted Salted, Almonds, Dry Roasted Salted, Almonds, Dry Roasted Unsalted, Almonds, Dry Roasted Unsalted, Almonds, Dry Roasted Unsalted, Almonds, Dry Roasted Unsalted, Almonds, Dry Roasted Unsalted, Almonds, Raw, Almonds, Raw, Almonds, Raw, Almonds, Raw, Almonds, Raw, Almonds, Raw, Almonds, Raw, Almonds, Raw, Almonds, Raw, Almonds, Raw, Almonds, Raw, Almonds, Raw, Almonds, Raw, Almonds, Raw, Almonds, Raw, Almonds, Raw, Almonds, Roasted Salt Free, Almonds, Roasted Salt Free, Almonds, Roasted Salt Free, Almonds, Roasted Salted, Almonds, Roasted Salted, Almonds, Roasted Salted, Almonds, Sriracha, Almonds, Tamari, Almonds, Tamari, Almonds, Tamari, Apple Diced, Apple Rings, Apple Rings, Apple Rings, Apple Rings, Apple Rings, Apricots, Turkish, Apricots, Turkish, Apricots, Turkish, Apricots, Turkish, Apricots, Turkish, Apricots, Turkish, Apricots, Turkish, Apricots, Turkish, Apriocts, Turkish, Banana Almond Trail Mix, Banana Almond Trail Mix, Banana Chips, Banana Chips, Banana Chips, Banana Chips, Banana Chips, Banana Chips, Banana Chips, Banana Chips, Banana Chips, Beans, Garbanzo, Beans, Mung, Beans, Pinto, Black Beans, Blueberries ECJ, Brazil Nuts, Brazil Nuts, Brazil Nuts, Brazil Nuts, Brazil Nuts, Brazil Nuts, Brazil Nuts, Brazil Nuts, Brazil Nuts, Campfire Trail Mix, Cane Sugar, Cashew Pieces, Raw, Cashew Pieces, Raw, Cashews Pieces, Dry Roasted Salted, Cashews Pieces, Dry Roasted Unsalted, Cashews Pieces, Roasted Salted, Cashews, Dry Roasted Salted, Cashews, Dry Roasted Salted, Cashews, Dry Roasted Salted, Cashews, Dry Roasted Salted, Cashews, Dry Roasted Salted, Cashews, Dry Roasted Salted, Cashews, Dry Roasted Salted, Cashews, Dry Roasted Salted, Cashews, Dry Roasted Salted, Cashews, Dry Roasted Unsalted, Cashews, Dry Roasted Unsalted, Cashews, Lightly Salted, Cashews, Lightly Salted, Cashews, Raw, Cashews, Raw, Cashews, Raw, Cashews, Raw, Cashews, Raw, Cashews, Raw, Cashews, Raw, Cashews, Raw, Cashews, Raw, Cashews, Raw, Cashews, Raw, Cashews, Raw, Cashews, Raw, Cashews, Raw, Cashews, Roasted and Salted, Cashews, Roasted Salt Free, Cashews, Roasted Salted, Cashews, Roasted Salted, Cashews, Roasted Salted, Cashews, Roasted Salted, Cashews, Roasted Unsalted, Cashews, Sriracha, Cashews, Sriracha, Cashews, Whole Dry Roasted Salted, Cashews, Whole Dry Roasted Unsalted, Cherries, Cherries, Cherries, Chia Seeds, Chia Seeds, Chia Seeds, Chocolate Banana Trail Mix, Chocolate Banana Trail Mix, Chocolate Cranberry Almond Mix, Chocolate Fruit &amp; Nut Trail Mix, Chocolate Fruit &amp; Nut Trail Mix, Chocolate Fruit &amp; Nut Trail Mix, Chocolate Fruit &amp; Nut Trail Mix, Chocolate Fruit &amp; Nut Trail Mix, Chocolate Fruit &amp; Nut Trail Mix, Chocolate Fruit &amp; Nut Trail Mix, Classic Blend, Classic Trail Mix, Classic Trail Mix, Cocoa Nibs, Coconut, Chips, Coconut, Medium Shred, Coconut, Medium Shred, Cranberries, Dried, Cranberries, Dried, Cranberries, Dried Fruit Juice Infused, Cranberry Nut Mix, Cranberry Nut Mix, Cranberry Seed Nut Salad Topper, Dark Chocolate Almonds, Dark Chocolate Almonds, Dark Chocolate Almonds, Dark Chocolate Almonds, Dark Chocolate Almonds, Dark Chocolate Almonds, Dark Chocolate Almonds, Dark Chocolate Almonds, Dark Chocolate Chips, Dark Chocolate Chips, Dark Chocolate Coffee Beans, Dark Chocolate Coffee Beans, Dark Chocolate Raisins, Dark Chocolate Raisins, Dark Chocolate Raisins, Dark Chocolate Raisins, Dark Chocolate Raisins, Date Pieces with Oat Flour, Date Pieces with Rice Flour, Date Pieces with Rice Flour, Date Rolls w/Coconut, Date Rolls with Coconut, Dates, Medjool, Dates, Medjool, Dates, Medjool, Dates, Medjool, Dates, Medjool, Dates, Medjool, Dates, Medjool, Dates, Medjool, Dates, Medjool, Dates, Medjool, Dates, Medjool Unpitted, Dates, Medjool Unpitted, Dates, Pitted Deglet Noor, Energy Mix, Energy Mix, Energy Mix, Everything Bagel Seasoning, Farro, Figs, Black Mission, Figs, Black Mission, Figs, Black Mission, Figs, Black Mission, Figs, Black Mission, Figs, Black Mission, Figs, Black Mission, Figs, Turkish, Figs, Turkish, Figs, Turkish, Filberts, Filberts (Hazelnuts), Flax Seeds, Flax Seeds, Flax Seeds, Flax Seeds, Flax Seeds, Flax Seeds, Flax Seeds, Fruit &amp; Nut Trail Mix, Fruit &amp; Nut Trail Mix, Fruit &amp; Nut Trail Mix, Fruit &amp; Nut Trail Mix, Fruit &amp; Nut Trail Mix, Fruit &amp; Nut Trail Mix, Fruit &amp; Nut Trail Mix No Apricots, Ginger Chunks, Ginger Medallions, Ginger Medallions, Ginger, Chunks, Ginger, Crystallized, Ginger, Crystallized, Ginger, Crystallized, Ginger, Crystallized, Ginger, Crystallized, Ginger, Crystallized, Ginger, Crystallized, Ginger, Crystallized, Goji Berries, Goji Berry Power Mix, Goji Berry Power Mix, Goji Getter Snack Mix, Grain, Amaranth, Groats, Buckwheat, Groats, Buckwheat, Gummy Bears Assorted, Harvest Blend Batch, Peeled Snacks, Harvest Blend Mix, Harvest Trail Mix, Harvest Trail Mix, Hemp Hearts, Hemp seeds, Hiker's Harvest Mix, Lentils, Green, Lentils, Red, Macadamia Nuts, Macadamia Nuts, Mango Slices, Mango Slices, Mango Slices, Mango Slices, Mango Slices, Mango Slices, Mango Slices, Mango Slices, Mango Slices, Mango Slices, Mango Slices, Mango, Diced, Mango, Slices, Mixed Nuts Deluxe Raw, Mixed Nuts Deluxe Raw, Mixed Nuts, Deluxe Roasted and Salted, Mixed Nuts, Deluxe Roasted Salt Free, Mixed Nuts, Deluxe Roasted Salt Free (plum formula), Mixed Nuts, Deluxe Roasted Salted, Mixed Nuts, Deluxe Roasted Salted, Mixed Nuts, Extra Fancy Roasted Salted, Mixed Nuts, Extra Fancy Roasted Unsalted, Mixed Nuts, Roasted Salted, Mixed Nuts, Roasted Salted, Mixed Nuts, Roasted Salted, Mocha Madness Mix, Monkey Munch Mix, Paleo Go Snack Mix, Peanut Splits, Dry Roasted Salted, Peanuts, Dry Roasted Salted, Peanuts, Dry Roasted Salted Splits, Peanuts, Dry Roasted Salted Splits, Peanuts, Honey Roasted, Peanuts, Roasted Salted Splits Blanched, Peanuts, Roasted Unsalted Splits Blanched, Pecan Halves, Pecan Halves, Pecan Halves, Pecan Halves, Pecan Halves, Pecan Halves, Pecan Halves, Pecan Halves, Pecan Halves, Pecan Halves, Pecan Halves, Pecan Pieces, Pine Nuts, Pine Nuts, Chinese, Pine Nuts, Chinese, Pine Nuts, Chinese, Pine Nuts, Mediterranean, Pineapple Chunks, Pineapple Chunks, Pineapple Rings, Pistachios, Dry Roasted Salt Free, Pistachios, Dry Roasted Salt Free, Pistachios, Dry Roasted Salt Free, Pistachios, Dry Roasted Salt Free, Pistachios, Dry Roasted Salt Free,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Unsalted, Pistachios, Dry Roasted UnsaltedFil, Premium Raw Mix, Premium Raw Mix, Premium Raw Mix, Prunes, Pitted, Prunes, Pitted, Prunes, Pitted, Prunes, Pitted, Prunes, Pitted, Prunes, Pitted, Prunes, Pitted, Prunes, Pitted, Prunes, Pitted, Prunes, Pitted, Prunes, Pitted, Pumpkin Seeds, Pumpkin Seeds, Pumpkin Seeds, Pumpkin Seeds, Pumpkin Seeds, Pumpkin Seeds, Pumpkin Seeds, Pumpkin Seeds, Pumpkin Seeds, Pumpkin Seeds, Pumpkin Seeds (Pepitas), Pumpkin Seeds, Dry Roasted Salted, Pumpkin Seeds, Roasted Salted, Pumpkin Seeds, Roasted Salted, Pumpkin Seeds, Roasted Salted, Pumpkin Seeds, Roasted Salted, Pumpkin Seeds, Tamari Roasted, Pumpkin Seeds, Tamari Roasted, Pumpkin Seeds, Tequila Lime, Quinoa, Red, Quinoa, Tri-Color, Quinoa, White, Quinoa, White, Quinoa, White, Raisins, Thompson, Raisins, Thompson, Raisins, Thompson, Raisins, Thompson, Raisins, Thompson, Raisins, Thompson, Raisins, Thompson, Raisins, Thompson, Raisins, Thompson, Raw California Mix, Seasoning, Apple Honey, Seasoning, Buffalo Hot Wing, Seasoning, Ginger Turmeric, Seasoning, Harvest Blend, Seasoning, Sriracha, Seasoning, Tequila Lime, Sesame Seeds, Brown, Sesame Seeds, Hulled, Sesame Seeds, Unhulled, Snack Attack, Soy Sauce, Tamari, Soybeans, Dry Roasted Salt Free, Strawberries, Sunflower Seeds, Sunflower Seeds, Sunflower Seeds, Sunflower Seeds, Sunflower Seeds, Sunflower Seeds, Sunflower Seeds, Sunflower Seeds, Sunflower Seeds, Dry Roasted Salted, Sunflower Seeds, Dry Roasted Salted, Sunflower Seeds, Roasted Salt Free, Sunflower Seeds, Roasted Salted, Sunflower Seeds, Roasted Salted, Sunflower Seeds, Tamari Roasted, Sweetened Dried Cranberries, Thrive Fruit, Seed, Nut Batch, Thrive Goji Mix Batch, Trail Mix, Trail Mix, Trek Mix, Tropical Fruit Stand Mix,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t>
  </si>
  <si>
    <t>Seasonings: Spices (Garlic Powder); Processed  Items: Garlic Granulated, Garlic Minced; Other Grains, Pastas and Cereals: Black Soybeans, Millet Hulled, Soybeans; Nuts/Seeds: Black Sesame, White Sesame; Fruits/Vegetables: Beans (Adzuki Beans), Beans (Mung Beans), Berries (Goji Berries); Dry/Baking Goods: Flours and Meals (Corn Flour), Flours and Meals (Cracked Corn); Other: Coix</t>
  </si>
  <si>
    <t>Processed  Items: Organic French Harvest Organic Grains - Roasted Garlic &amp; Olive Oil, Organic French Harvest Organic Grains - Tomato &amp; Oregano, Organic French Harvest Organic Grains - Turmeric &amp; Herbes de Provence; Preservatives/Extracts/Flavors: Spices (Organic Curry Powder Foodservice); Condiments and Sweeteners: Dressing (Organic Balsamic Glaze), Jam (Organic Fruit Spreads Strawberry), Jelly (Organic Fruit Spreads Concord Grape), Jelly (Organic Fruit Spreads Mango), Vinegar (Organic Balsamic Vinegar), Vinegar (Organic Red Wine Vinegar), Vinegar (Organic White Wine Vinegar); Beverage Related Products: Coffee (Organic Instant Coffee Decaf), Coffee (Organic Instant Coffee Regular), Tea (Organic Contentment Herbal Tea Bags), Tea (Organic Contentment Herbal Tea Loose), Tea (Organic Dream Herbal Tea Bags), Tea (Organic Dream Herbal Tea Loose), Tea (Organic Serenity Herbal Tea Bags), Tea (Organic Serenity Herbal Tea Loose), Tea (Organic Sweet Delight Herbal Tea Bags), Tea (Organic Sweet Delight Herbal Tea Loose), Tea (Organic Vitality Herbal Tea Bags), Tea (Organic Vitality Herbal Tea Loose)</t>
  </si>
  <si>
    <t>Fruits/Vegetables: Dry Peas; Other: Grain Processing</t>
  </si>
  <si>
    <t>Other Grains, Pastas and Cereals: Screenings; Fruits/Vegetables: Beans; Other: Grain Processing</t>
  </si>
  <si>
    <t>Other: Agave Syrup, Agave Syrup (Blue Agave Syrup), Aloe Vera (Leaves), Apples (Multiple Varieties), Apples (Various), Apricots, Apricots (White Apricots), Artichokes, Arugula, Asparagus, Avocados, Bananas, Bananas (Dried) (Banana Chips), Basil, Bay Leaves, Beans (Fresh) (Green), Beets, Beets (Baby Beets - Peeled &amp; Steamed), Beets (Baby Beets - Peeled &amp; Steamed), Beets (Red Beets - Peeled &amp; Steamed), Beets (Various), Bell Peppers (Green Bell Pepper (2-Count)), Bell Peppers (Red, Green, Yellow &amp; Orange), Bell Peppers (Various), Berries (Various), Blueberries, Blueberries (Dried), Broccoli, Broccoli (Purple Broccolini), Brussels Sprouts, Cabbage (Hot Kimchi), Cabbage (Red &amp; Green), Cabbage (Various), Cacao Nibs, Carrots, Carrots (Baby), Carrots (Various), Cauliflower, Celery, Chard (Red, Green &amp; Rainbow), Chard (Various), Cherries, Chervil, Chestnuts, Chestnuts (Chestnuts, Peeled &amp; Cooked), Chili Pepper, Chives, Cilantro, Citrus (Lemons &amp; Limes), Citrus (Satsuma), Citrus (Various), Coconut, Coconut (Brown), Coconut (Sliced), Coconut (Sweet Young Coconut (EZ Open)), Collards, Corn, Cranberries (Dried), Cranberry, Cucumbers, Cucumbers (Mini Cucumbers), Cucumbers (Various), Daikon, Dandelion, Dates (Date Almond Roll), Dates (Date Coconut Roll), Dates (Deglet Noor - pitted), Dates (Medjool), Dill, Dried Fruits (Various), Edamame (Shelled and In Shell), Eggplant, Eggplant, Figs (Black Mission), Figs (Golden California), Figs (Heirloom), Figs (Mission California), Fresh Herbs (Arugula), Fresh Herbs (Basil), Fresh Herbs (Bay Leaves), Fresh Herbs (Chervil), Fresh Herbs (Chives), Fresh Herbs (Dill), Fresh Herbs (Edible Flower Blend), Fresh Herbs (Edible Flowers), Fresh Herbs (Lemon Grass (Bulk)), Fresh Herbs (Marjoram), Fresh Herbs (Mint), Fresh Herbs (Oregano), Fresh Herbs (Rosemary), Fresh Herbs (Sage), Fresh Herbs (Savory), Fresh Herbs (Sorrel), Fresh Herbs (Tarragon), Fresh Herbs (Thyme), Fresh Herbs (Various Blends), Fresh Produce (Ginger and Turmeric Root), Frisee, Fruits (Dragon Fruit), Fruits (Magenta Dragon Fruit), Fruits (Mulberry), Fruits (Red Dragon Fruit), Fruits (White Dragon Fruit), Fruits (Yellow Dragon Fruit), Garlic, Garlic (Whole, Chopped), Gift Baskets, Ginger, Ginger (Whole, Chopped), Goji Berries, Goji Berries (Dried Goji Berries), Grains (Farrow), Grains (Polenta - Hatch Pepper), Grains (Polenta - Italian Herb), Grains (Polenta - Original Flavor), Grains (Polenta - Sun-Dried Tomato), Grapefruit, Grapes, Grapes (Various), Grapes (Table) (Cotton Candy Green Seedless), Grapes (Table) (Jelly Drops Black Seedless), Grapes (Table) (Muscatos Green Seedless), Grapes (Table) (Muscatos Red Seedless), Grapes (Table) (Seedless Black Grapes), Grapes (Table) (Seedless Green Grapes ), Grapes (Table) (Seedless Red Grapes), Grapes (Table) (Sweet Sapphire Black Seedless), Green Beans, Greens (Collards and Mustard), Jicama, Jujubes, Kale, Kale (Various), Kiwifruit, Kumquats, Leeks, Leeks (Trimmed), Lemons, Lentils (Steamed), Lettuces (Green Leaf, Red Leaf, Iceberg, Romaine, Romaine Hearts, &amp; Spring Mix), Lettuces (Various), Limes, Mandarins, Mangos, Mangos (California Green Keitt), Mangos (Dried), Marjoram, Melons (Emerald Watermelon), Melons (Kiwano Melon), Melons (Various), Mint, Mint (Mint Sleeve), Mustard Greens, Nectarines, Onions, Onions (Rainbow (Red, White, and/or Yellow)), Onions (Sweet), Onions (Various), Oranges, Oranges (Mandarin, Navel, and Valencia), Oregano, Papaya (Dried), Papayas, Parsley, Parsley (Various), Parsnips, Peaches, Peaches (Peach Bites), Peaches (Sweet Dream), Peaches (Various), Pears, Pears (Various), Peppers (Mini Sweet), Peppers (Various), Persimmons (Cinnamon Persimmons), Persimmons (Dried), Persimmons (Sweet Pumpkin Persimmons), Pine Nuts, Pineapple, Plums, Plums (Plum Bites), Pluots (Pluots, Plumcots), Pomegranates, Pomegranates (Arils), Potatoes (Russet, Baby Yellow, Fingerling, Baby Red), Potatoes (Various), Produce (Ginger &amp; Turmeric Root - Immunity Booster), Quinoa (Red Quinoa), Quinoa (Various), Radicchio, Radishes, Radishes (Various), Raisins, Raisins (Flame and Thompson Seedless), Raspberries, Rhubarb, Rosemary, Shallots, Shallots (Whole, Chopped), Snack Foods (Snax - Almond Dark Chocolate Covered ), Snack Foods (Snax - Almond Dry Roasted &amp; Salted ), Snack Foods (Snax - Almonds, Milk Chocolate Covered ), Snack Foods (Snax - Banana Chips Red Chile Pepper ), Snack Foods (Snax - Cashews Dry Roasted &amp; Salted ), Snack Foods (Snax - Dried Apricots), Snack Foods (Snax - Dried Mangos ), Snack Foods (Snax - Raisins, Dark Chocolate Covered ), Snack Foods (Snax - Raisins, Milk Chocolate Covered ), Snack Foods (Snax - Trail Mix Blend Performance ), Snack Foods (Snax-  Trail Mix Blend, Endurance ), Snack Foods (Snax - Trail Mix Blend, Sweet &amp; Spicy ), Snack Foods (Snax - Trail Mix Blend, Tropical Chocolate ), Sorrel, Spice Blends (Seasoning Grinder- Garden Herb Sea Salt), Spinach, Squash (Buttercup), Squash (Carnival), Squash (Delicata), Squash (Honeynut), Squash (Kabocha), Squash (Mixed Squash (3-Count)), Squash (Red Kuri), Squash (Spaghetti), Squash (Various), Squash (Winter and Summer), Strawberries, Summer Savory, Sweet Potatoes, Sweet Potatoes (Baby  ), Sweet Potatoes (Murasaki), Tangelos, Tangerine, Tarragon, Thyme, Tofu (Soft, Firm, Extra Firm, Extra Firm Pressed, Super Firm), Tofu (Various), Tomatoes (Fresh (Baby Heirloom, Darkloom, Grape, Ruby Heirloom, Roma)), Tomatoes (Various), Tomatoes (Dried), Turmeric, Turmeric, Turmeric (Blue), Turmeric (Jamaican), Turnip, Vegetables (Anise/Fennel (Bulk)), Watercress, Wheat (Farro), Wheatgrass, Yams, Yams (Charleston), Yams (Garnet), Yams (Japanese), Yams (Jewel), Yams (Various), Zucchini, Zucchini (Zucchini (2-Count))</t>
  </si>
  <si>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</si>
  <si>
    <t>Trees/Whole Plant Products/Flowers: Seeds (Chia Black), Seeds (Flaxseed Brown), Seeds (Flaxseed Golden), Seeds (Sunflower); Other Grains, Pastas and Cereals: Quinoa (Fully Cooked Organic Red quinoa), Quinoa (Fully Cooked Organic Tricolor quinoa), Quinoa (Fully Cooked Organic White quinoa), Quinoa (Quinoa Black), Quinoa (Quinoa Crispies), Quinoa (Quinoa Q-Flakes), Quinoa (Quinoa Red), Quinoa (Quinoa Tricolor), Quinoa (Quinoa White); Fruits/Vegetables: Beans (Beans Garbanzo), Beans (Lentils Black), Beans (Lentils French), Beans (Lentils Golden (Yellow)), Beans (Lentils Green), Beans (Lentils Red), Beans (Beans Black), Beans (Beans Red Kidney), Beans (Lentils Brown)</t>
  </si>
  <si>
    <t>Other Grains, Pastas and Cereals: Wheat; Fiber Textiles: Cotton</t>
  </si>
  <si>
    <t>Processed  Items: Sunflower (Cake, Oil, Protein Powder); Other Grains, Pastas and Cereals: Rice (Brown Rice Protein, Hydrolysed Protein Powder, Rice Protein); Nuts/Seeds: Grapeseed (Extract, Powder), Pea (Extract, Fibre, Powder, Protein), Pumpkin Seed (Oil, Protein Powder), Sunflower Seed Powder, Watermelon Seed Protein Powder; Health Products: Algae (Chlorella(Powder, Tablet), Spirulina(Powder, Tablet), Spirulina-Chlorella Tablet), Herbs (Barley Grass Powder, Wheatgrass Extract, Wheatgrass Powder, Butterfly Pea Flower), Leafy Greens (Mulberry Leaves), Phycocyanin, Sweeteners (Inulin Powder); Fruits/Vegetables: Fruit Product (Blueberry(Extract, Juice Powder, Powder), Kiwi((Extract, Juice Powder, Powder), Lemon Powder, Peach(Extract, Juice Powder, Fruit Powder), Pineapple(Fruit, Juice Powder), Strawberry(Juice, Powder),Raspberry(Extract, Powder), Pumpkin(Extract, Powder)), Goji (Dried, Powder), Shiitake Mushroom; Beverage Related Products: Tea (Black Tea, Green Tea, Matcha, White Tea)</t>
  </si>
  <si>
    <t>Preservatives/Extracts/Flavors: Dandelion root cut (also called: dandelion root whole), Ginkgo leaf cut (also called: ginkgo leaf whole), Powders (Goji berries powder); Other Grains, Pastas and Cereals: Alfalfa, Barley, Barley (Barley kernel (also called: barley groats)), Black soybean, Black soybeans with green kernel, Chick pea, Corn, Corn chop (also called: corn ballast), Cracked corn, Flax seed protein, Hemp kernel, Hulled broomcorn millet (also called: hulled sticky millet), Hulled flax seed (also called: flax kernel), Job’s tear (also called: coix seed), Job’s tear kernel (also called: coix seed kernel), Lentil, Millet, Millet husk, Non-sticky millet (also called: hulled millet; millet), Oat kernel, Oats, Pea, Pea protein, Pumpkin kernels (also called: pumpkin kernel shine skin), Raisin, Rice (Rice), Rice (Glutinous rice), Rice (Rice protein), Rice (Broken rice), Sesame, Sorghum (Sorghum kernel (also called: sorghum rice)), Sorghum (Grain sorghum), Soybean, Sticky hulled millet (also called: glutinous millet), Sticky millet, Sunflower protein, Wheat, Wheat (Roasted buckwheat kernel), Wheat (Buckwheat), Wheat (Buckwheat groats), Wheat (Buckwheat kernels (also called: hulled buckwheat)); Oils &amp; Oleoresins: Oils (Sunflower seed oil); Nuts/Seeds: Chestnuts (Roasted peeled chestnuts), Chestnuts (Chestnut whole), Flax seed, Hemp seed, Hemp seed kernel, Peanuts (Peanut), Peanuts (Peanut kernel (also called: hulled peanut)), Pine Nuts (Pinenut kernel), Pumpkin seed (also called: pumpkin seeds gws, pumpkin seeds shine skin), Pumpkin seed grown without shell (also called: pumpkin kernels gws), Sunflower kernel (also called:sunflower seed kernel), Sunflower seed, Walnuts, Walnuts (Walnut kernels), Watermelon seed, Watermelon seed kernels; Fruits/Vegetables: Beans (Adzuki bean), Beans (Black turtle bean (also called: black kidney beans)), Beans (Broad beans (also called: fava beans)), Beans (Cowpea (also called: black eye bean)), Beans (Dark red kidney bean (also called: red kidney bean)), Beans (Green blue bean), Beans (Hulled split mung bean (also called: mung bean without skin)), Beans (Mung bean), Beans (Pinto bean (also called: light speckled kidney bean)), Beans (Purple kidney bean), Beans (White kidney bean), Berries (Goji berries), Berries (Goji berries beverages), Sweet potato; Dry/Baking Goods: Dried dates (whole/slice/cut/powder), Flours and Meals (Brown rice flour), Flours and Meals (Buckwheat flour), Flours and Meals (Corn flour), Flours and Meals (Glutinous rice flour), Flours and Meals (Millet flour), Flours and Meals (Oat flour), Flours and Meals (Wheat flour), Powders (Pumpkin protein powder), Powders (Hemp protein powder), Powders (Ginger powder); Animal Feed: Livestock Feed (Corn gluten meal), Livestock Feed (Flax meal (Also called: Flax expeller; Flax cake)), Livestock Feed (Flaxseed cake), Livestock Feed (Hemp cake (Also called: Hemp meal)), Livestock Feed (Peanut meal (Also called: Peanut expeller; Peanut cake)), Livestock Feed (Pumpkin seed cake), Livestock Feed (Rapeseed meal (Also called: Rapeseed expeller; Rapeseed cake)), Livestock Feed (Rice bran), Livestock Feed (Rice bran meal), Livestock Feed (Sesame meal), Livestock Feed (Soybean meal (Also called: Soybean expeller; Soybean cake)), Livestock Feed (Sunflower meal (Also called: Sunflower seed meal, Sunflower expeller; Sunflower cake)), Livestock Feed (Wheat bran (Also called: Wheat gluten)); Other: Honeysuckle, Mulberry leaves</t>
  </si>
  <si>
    <t>Preservatives/Extracts/Flavors: Paprika (sweet paprika, dried paprika, dried sweet paprika), Spices (Garlic (fresh garlic)), Spices (Ginger (fresh ginger)); Other Grains, Pastas and Cereals: Corn (dried corn), Hemp seeds; Nuts/Seeds: Seeds (Pumpkin seeds), Seeds (Sunflower seeds); Animal Feed: Livestock Feed (Corn cob (dried corn cob))</t>
  </si>
  <si>
    <t>Other Grains, Pastas and Cereals: Labelling:
Chia beans
Amaranth grain, Labelling:
White quinoa
Red quinoa
Black quinoa
Tricolor quinoa
Pearled quinoa, Trader:
Chia beans
Amaranth grain, Trader:
White quinoa
Red quinoa
Black quinoa
Tricolor quinoa
Pearled quinoa; Dry/Baking Goods: Labelling:
Chia flour
Amaranth flour
Maca flour
Quinoa flour
Amaranth flakes
Quinoa flakes
Insufflated amaranth pop
Insufflated quinoa pop
Precooked quinoa
Toasted quinoa, Trader:
Chia flour
Amaranth flour
Maca flour
Quinoa flour
Amaranth flakes
Quinoa flakes
Insufflated amaranth pop
Insufflated quinoa pop
Precooked quinoa
Toasted quinoa</t>
  </si>
  <si>
    <t>Other Grains, Pastas and Cereals: Noodles (Organic Vermicelli)</t>
  </si>
  <si>
    <t>Trees/Whole Plant Products/Flowers: Aloe Vera (Aloevera), Ancillis, Basil, Bay Leaves, Binahong, Boesenbergia Rotunda, Cassava, Cinnamon, Clinacnthus Nutans, Clitoria ternatea, Cloves, Coleus atropurpureus Benth, Curcuma, Curcuma Whole, Dill, eleutherine bulbosa, Emprit Ginger, Ginger, Grass Jelly Leaf, Lemongrass, Lime Leaf, Mint, Onion Whole, Orthosiphon Aristatus, Pandan, Phaleria Marcocarpa, Phyllanthus urinaria, Plantago major, Powders (Cloves Powder/Ground), Red Ginger, Red Ginger Whole, Rosemary, Sage, Sauropus androgynus, Sembung, Shallot Whole, Spondias, Tea (Lemon tea), Thyme; Seasonings: Cumin, Extracts (Curcuma Extract), Extracts (Turmeric Extract), Galangal, Galangal whole, Garlic whole, Jampi Orthosiphon Aristatus, Powdered Eggs (Galangal powder), Powders (Garlic Powder), Powders (Ginger (Zingiber officinale) Powder), Powders (Ginger Powder), Powders (Turmeric Powder), Powders (Cayenne Powder), Powders (Chives Powder), Powders (Thyme powder), Powders (Parsley powder), Powders (Rosemary powder), Powders (Shallot Powder), Powders (Curcuma Powder), Powders (Coriander Powder), Powders (Cumin Powder), Powders (Oregano powder), Seasoning Blends (Oxtail Soup Blend), Seasoning Blends (Fried Chicken Blend), Seasoning Blends (Fried Chicken Soto Blend), Seasoning Blends (Fried Rice Blend (Multi Ingredients)), Seasoning Blends (Fried Vegetable), Seasoning Blends (Soursop Sweet), Seasoning Blends (Spicy Chicken), Seasoning Blends (Seafood BBQ Blend (Multi Ingredients)), Seasoning Blends (Coriander), Seasoning Blends (Cajun Spices Mix), Seasoning Blends (Capcay Mix Vegetable Blend), Seasoning Blends (Chicken BBQ), Seasoning Blends (Beef Rendang Blend), Seasoning Blends (Jampi Blumea Balsamifera Blend), Seasoning Blends (Jampi Bryophyllum Pinnatum Blend), Seasoning Blends (Jampi Catharanthus Roseus Blend), Seasoning Blends (Jampi Clitoria Ternatea Blend), Seasoning Blends (Jampi Eleutherine Bulbosa Blend (Multi Ingredients)), Seasoning Blends (Jampi Euphorbia Tithymaloides Blend), Seasoning Blends (Jampi Gynura Procumbens Blend), Seasoning Blends (Jampi Moringa Oleifera Blend), Seasoning Blends (Jampi Phaleria Macrocarpa Blend), Seasoning Blends (Jampi Plantago Major Blend), Seasoning Blends (Jampi Turmeric Blend), Seasoning Blends (Nutmeg), Seasoning Blends (Nutmeg mace), Spices (Nutmeg skin), Spices (Oregano), Spices (Black Pepper), Spices (Black Pepper Crushed), Spices (Black Pepper Powder), Spices (Black Pepper whole), Spices (Whole Clove), Spices (Whole Cloves), Spices (Whole ginger), Spices (Whole nutmeg), Spices (Chili), Spices (Chili Flakes), Spices (Chili powder), Spices (Sesame seed), Spices (Dried Chili), Spices (Dried Emprit Ginger), Spices (Dried Galangal), Spices (Dried Garlic), Spices (Dried ginger), Spices (Dried Coriander), Spices (Dried onion), Turmeric, Turmeric whole; Processed  Items: Alba Curcuma Powder, Aloe Vera (Dried Aloevera), Beans (Roasted Cocoan Beans), Bisbul, Cacao grains roasted, Dried Alba Curcuma, Dried Ancillis, Dried Betel, Dried Boesenbergia Rotunda, Dried Brotowali, Dried Bryophyllum Pinnatum, Dried Cayenne, Dried Chives, Dried Clinacnthus Nutans, Dried Clitoria ternatea, Dried Coleus atropurpureus Benth, Dried Coronam Dei, Dried Cumin, Dried Curcuma, Dried Dill, Dried Dulcis Saga, Dried Eleutherine Bulbosa, Dried Grass Jelly Leaf, Dried Gynura Procumbens, Dried Lemongrass, Dried marjoram, Dried Moringa, Dried Orthosiphon Aristatus, Dried Phaleria Marcocarpa, Dried Phyllanthus Urinaria, Dried Plantago Major, Dried Red Ginger, Dried rosemary, Dried sage, Dried Sauropus androgynous, Dried Sembung, Dried Star Anise, Dried Taragon, Dry Binahong, Dulcis Saga, Dulcis Saga Powder, Durian Bawor, Emprit Ginger Whole, Extracts (Emprit Ginger Extract), Packaged Snacks and Chips (Fermented Cassava), Packaged Snacks and Chips (Fermented Cassava Chips), Packaged Snacks and Chips (Pineapple Chips), Packaged Snacks and Chips (Pumpkin Chips), Packaged Snacks and Chips (Salacca Chips), Packaged Snacks and Chips (Sweet Potato Cilembu Chips Dried), Packaged Snacks and Chips (Sweet Potato Orange Chips Dried), Packaged Snacks and Chips (Sweet Potato Purple Chips Dried), Packaged Snacks and Chips (Sweet Potatoes Chips Cheese), Packaged Snacks and Chips (Sweet Potatoes Chips Original), Packaged Snacks and Chips (Jackfruit Chips), Packaged Snacks and Chips (Taro chips), Packaged Snacks and Chips (Banana Chips.), Packaged Snacks and Chips (Banana Dry / Chips), Packaged Snacks and Chips (Cassava Chips), Packaged Snacks and Chips (Chili Chips), Powdered Eggs (Binahong Powder), Powdered Eggs (Brotowali Powder), Powders (Bryophyllum Pinnatum Powder), Powders (Boesenbergia Rotunda Powder), Powders (Basil powder), Powders (Vanilla Powder), Powders (Ancillis Powder), Powders (Clinacnthus Nutans Powder), Powders (Clitoria ternatea Powder), Powders (Clove (Syzygium aromaticum) Powder), Powders (Copra Powder), Powders (Coronam Dei Powder), Powders (Coleus atropurpureus Benth Powder), Powders (Dill Powder), Powders (Lemongrass Powder), Powders (Gynura Procumbens Powder), Powders (Marjoram powder), Powders (Mint Powder), Powders (Moringa Powder), Powders (Nutmeg Powder), Powders (Onion Powder), Powders (Pandan Powder), Powders (Sweet Potato Purple Powder), Powders (Sweet Potato Orange Powder), Powders (Sweet Potato Cilembu Powder), Powders (Sauropus androgynous Powder), Powders (Sembung Powder), Powders (Star Anise Powder), Powders (Eleutherine Bulbosa Powder), Powders (Sage Powder), Powders (Plantago Major Powder), Powders (Red Ginger Powder), Powders (Orthosiphon Aristatus Powder), Powders (Phaleria Marcocarpa Powder), Powders (Phyllanthus Urinaria Powder), Powders (Grass Jelly Powder), Powders (Emprit Ginger Powder), Spices (Paprika powder), Spices (Dried basil), Spices (Dried Bayleaves), Spices (Dried mints), Spices (Dried oregano), Spices (Dried Pandan), Spices (Dried Parsley), Spices (Dried thyme), Spices (Dried Turmeric.), Spices (Dried Sesame Seed), Spices (Dried Shallot), Sugar (Dried Stevia), Taragon Powder, Vanilla Cutting; Preservatives/Extracts/Flavors: Extracts (Clove (Syzygium aromaticum) extract), Extracts (Clove Extract), Extracts (Cocoa extract), Extracts (Extract Ginger), Extracts (Galangal extract), Extracts (Mint Extract), Extracts (Nutmeg extract), Extracts (Pandan Extract), Extracts (Red Ginger Extract), Extracts (Vanilla extract), Powdered Eggs (Betel Powder), Powders (Bayleaves Powder); Personal Care: Body Care Products (Lulur Coklat), Body Care Products (Lulur Kopi), Body Care Products (Lulur Kuning), Body Care Products (Lulur Putih); Oils &amp; Oleoresins: Oils (Virgin Coconut Oil), Oils (Virgin Coconut Oil with Basil), Oils (Virgin coconut oil with chili), Oils (Virgin coconut oil with ginger), Oils (Virgin coconut oil with mint), Oils (Virgin coconut oil with oregano), Oils (Virgin Coconut Oil with Rosemary), Oils (Virgin Coconut Oil with Thyme), Oils (Virgin coconut oil with turmeric), Oils (Coconut Cooking Oil), Oils (Coconut Crude Oil), Oils (Crude coconut oil); Nuts/Seeds: Beans (Vanilla Beans), Beans (Dried Vanilla Beans), Chocolate (Cocoa beans), Nuts (Peanuts), Nuts (Candelnuts), Nuts (Candlenut), Peanuts (Kapri (Pea)); Fruits/Vegetables: Abiyu, Alba Curcuma, Banana, Beet, Betel, Brazil Spinach, Brotowali, Bryophyllum Pinnatum, Caisim, Carrot, Cermai, Chives, Citrus (Lime), Citrus (Orange), Citrus (Orange Purut), CNO, Coconut Pandan Wangi, Coconuts, Copra, Coronam Dei, Cui, Edamame, Grape, Green Lettuce, Guava Citra, Guava Cristal, Guava Jamaica, Gynura Procumbens, Head Lettuce, Jackfruit Dak, Jackfruit Dulang, Jackfruit Mini, Longan Ituh, Longan New Cristal, Mango Kiojay, Mango Okyong, Mangosteen, Marjoram, Melons (Melon), Moringa, Murbey, Pakcoy, Parsley, Pineapple, Powders (Taro), Pumkin, Red Guava, Red Lettuce, Salacca, Sawo, Spices (Paprika), Star Anise, Starfruit, Stone Fruit (Avocado Mentega), Strawberry, Sugar (Stevia), Sweet Potato Cilembu, Sweet Potato Orange, Sweet Potato Purple, Tamarind, Taragon, Zuccini; Condiments and Sweeteners: Cinnamon mill, Cinnamon Sticks, Cream (Vanilla Paste), Extracts (Cinnamon extract), Powders (Cinnamon powder), Powders (Stevia Powder), Sugar (Palm Sugar), Sugar (Palm Sugar with Cinnamon), Sugar (Palm Sugar with Ginger), Sugar (Palm Sugar with Turmeric), Sugar (Palm Sugar with Vanilla), Sugar (Cassava Sugar), Syrups (Syrup Basil), Syrups (Syrup Mint), Syrups (Syrup Stevia), Syrups (Syrup Vanilla); Beverage Related Products: Coffee (Coffee extract), Coffee (Coffee/Ca phe nhan Robusta); Alcohol: Distilled Alcohol Beverages (Ethanol); Other: Grass Jelly, Handlem, Lime Leaf Dry, Magic, White Copra, White Pepper, White Pepper Crushed, White Pepper Powder, White pepper whole</t>
  </si>
  <si>
    <t>Other Grains, Pastas and Cereals: Rice (*Organic Brown Glutinous Rice), Rice (*Organic Brown Rice), Rice (*Organic Paddy(Rice)), Rice (*Organic White Glutinous Rice), Rice (*Organic White Rice)</t>
  </si>
  <si>
    <t>Other Grains, Pastas and Cereals: Flax seed; Oils &amp; Oleoresins: Oils (High oleic sunflower oil), Oils (Sunflower oil), Oils (Flax oil crude); Nuts/Seeds: Sunflower seed cake, Sunflower seed meal</t>
  </si>
  <si>
    <t>Other Grains, Pastas and Cereals: Rice (Genmaicha); Health Products: Herbs (Jasmine Flowers), Herbs (Osmanthus (dried flowers)); Fruits/Vegetables: Berries (Mulberry leaves tea); Beverage Related Products: Tea (Jasmine tea bags (Green Tea, Black Tea, White Tea, Oolong Tea, Yellow tea, Puerh Tea, Dark tea) , Lapsang Black tea, Raw Puerh tea , Teabags of (Green Tea, Black Tea, White Tea, Oolong Tea, Yellow tea, Puerh Tea, Dark tea)), Tea (Black tea , Dark tea , Green tea, Jasmine tea (Green tea, Black tea, White tea, Yellow tea, Oolong tea, Puerh tea, Dark tea), Matcha , Oolong tea , Osmanthus tea , Puerh tea, Tea Flower, White tea , Yellow tea)</t>
  </si>
  <si>
    <t>Other Grains, Pastas and Cereals: Pasta (Adzuki bean fettuccine, Adzuki bean noodle, Adzuki bean spaghetti, Black bean fettuccine, Black bean instant noodle, Black bean lasagna, Black bean noodle, Black bean Spaghetti, Black Rice Noodles/spaghetti/fettuccine/pasta, Black Rice Pasta/macaroni (different shapes)/Corrugated Ramen/Straight Noodle, Brown Rice Noodles/spaghetti/fettuccine/pasta , Brown Rice Pasta/macaroni (different shapes)/Corrugated Ramen/Straight Noodle, Buckwheat Noodles/spaghetti/fettuccine/pasta, Buckwheat Pasta/macaroni (different shapes)/Corrugated Ramen/Straight Noodle, Buckwheat Soba Noodles, Corn Instant Noodles, Corn Pasta/macaroni (different shapes)/Corrugated Ramen/Straight Noodle, Edamame fettuccine, Edamame instant noodle, Edamame lasagna, Edamame noodle, Edamame spaghetti, Green soybean &amp; mung bean fettucine, Green soybean &amp; mung bean noodle, Green soybean &amp; mung bean spaghetti, Green soybean fettuccine, Green soybean instant noodle, Green soybean lasagna, Green soybean noodle, Green soybean spaghetti, Instant Cup Noodles/Instant Bag Noodles/Instant Noodle Cake, Konjac Pasta/Fettuccine/Spaghetti/Noodle/Rice, Millet Noodles/spaghetti/fettuccine/pasta, Millet Pasta/macaroni (different shapes)/Corrugated Ramen/Straight Noodle, Ramen Noodles, Rice Noodles/spaghetti/fettuccine/pasta, Rice Pasta/macaroni (different shapes)/Corrugated Ramen/Straight Noodle, Soba Noodles, Somen Noodles, Sorghum Pasta/macaroni (different shapes)/Corrugated Ramen/Straight Noodle, Soybean and Adzuki Bean Fettuccine, Soybean and Adzuki Bean Noodle, Soybean and Adzuki Bean Spaghetti, Soybean Chicken, Soybean Fettuccine, Soybean instant noodle, Soybean lasagna, Soybean noodle, Soybean sausage, Soybean shrimp, Soybean Spaghetti, Udon Noodles, Vegetable (Carrot/Spinach/Tomatoes) Noodles, Wheat Noodles)</t>
  </si>
  <si>
    <t>Processed  Items: Chocolate (Dark Chocolate 100% (Chocolate oscuro);
Cocoa Nibs - Cacao nibs - DARK CHOCOLATE 85%;), Chocolate (Chocolate blanco - Acai, Chocolate blanco - Spirulina, Chocolate blanco - Matcha, Chocolate blanco - Golden, 
Chocolate blanco - Maca), Mixed Condiments (Sesamun Seeds - Semillas de ajonjolí o sésamo;
Quinoa - - WHOLE GRAIN QUINOA (Quinoa Integral);
Pepita de calabaza - - ORGANIC PUMPKIN KERNELS (Pepitoria Orgánica);
Cocoa Nibs - Cacao nibs - Cacao Nibs (granos de Cacao);
Cacao;
 ORGANIC WALNUT (Nuez Nogal Orgánica);
Dates - Dátiles - MEDJOOL DATES (Datiles Medjool);
Matcha - - MATCHA LATTE;), Mixed Condiments (Cocoa butter - Manteca de cacao - GOLDEN MILK;
Cáscara de Cacao - - CACAO HUSK TEA (Té de Cáscara de Cacao);
Black maca dried - Maca negra seca - BLACK MACA;
Agave Syrup - Jarabe de Agave - AGAVE SYRUP (Jarabe de agave orgánico);
Cocoa butter - Manteca de cacao - RAW CACAO BUTTER SQUARED WAFERS;
Coconut oil - Aceite de coco - ACEITE DE COCO (Coconut oil);
Espirulina - - BLUE SPIRULINA;
Plant Proteins - Proteínas Vegetales - PEA PROTEIN (Proteina de Arveja);
Té de matcha - - MATCHA GREEN TEA (Te Matcha)), Powders (Cocoa powder - Polvo de cacao - RAW CACAO BUTTER (Cacao Orgánico Crudo en Polvo);
Cocoa powder, not containing added sugar or other sweetening matter - Cacao en polvo, sin adición de azúcar u 
otro edulcorante - RAW CACAO POWDER;); Oils &amp; Oleoresins: Oils (Coconut oil - Aceite de coco - ACEITE DE COCO (Coconut oil)); Fruits/Vegetables: Berries (Bayas de goji - - Goji Berries (Bayas de Goji))</t>
  </si>
  <si>
    <t>Other: 17% Organic, Fertrell Blend 17%, Fertrell Blend 19%, Fertrell Blend 22%, Organic All Stock 17%, Organic Aroostook Broiler, Organic Aroostook Dairy, Organic Aroostook Layer, Organic Aroostook Swine, Organic Board Arrow Swine Lactation, Organic Broad Arrow Swine Finisher, Organic Broad Arrow Swine Grower, Organic Broad Arrrow swine gestation, Organic Broiler (peas) 18%, Organic Broiler (peas) 21%, Organic Broiler 18%, Organic Broiler 19%, Organic Broiler 22%, Organic Broiler RC 21%, Organic Custom Blend, Organic Dairy 14%, Organic Grace Pond Dairy, Organic Layer, Organic no soy layer, Organic Sheep, Organic soy free whole grain mix, Organic Tide Mill Dairy 16%, Organic Tide Mill Swine, Organic Turkey</t>
  </si>
  <si>
    <t>Other Grains, Pastas and Cereals: Cereal (Muesli - Apple Cranberry), Cereal (Muesli - Cinnamon Twist), Oats (Oatmeal Superfood Blend: Blueberry Lemon Poppy), Oats (Oatmeal Superfood Blend: Cinnamon &amp; Spice), Oats (Oatmeal Superfood Blend: Superseeded), Oats (Double Protein Oats), Oats (Regenerative Oatmeal), Pure Plant Protein</t>
  </si>
  <si>
    <t>Other: Livestock Feed - Hay Blend (Alfalfa Hay), Processing (Toll-Processing of Compressed Hay and Grains)</t>
  </si>
  <si>
    <t>Other Grains, Pastas and Cereals: Cereal (Quinoa Puffs), Cereal (Quinoa Supercereal), Cereal (Quinoa Supercereal with Stevia), Cereal (Quinoa w Chia seeds, Cocoa, Coconut Sugar Supercereal), Cereal (Quinoa w Chia, Cinnamon, Stevia Supercereal), Cereal (Quinoa, Chia seeds Supercereal), Cereal (Supercereal Beet, Pumpkin, Broccoli), Cereal (Supercereal Chia, Flax, Pumpkin), Cereal (Supercereal Spinach, Strawberry), Cereal (Quinoa cereal w Hemp Seeds &amp; Chia Seeds), Cereal (Quinoa Chia seeds, Turmeric, Ginger Supercereal), Cereal (Quinoa Supercereal w Elderberries, Maca, Chia seeds); Bread/Bakery/Snacks: Packaged Snacks and Chips (Baby Quinoa puffs w Beet, Spinach), Packaged Snacks and Chips (Baby Quinoa puffs w Beet, Spinach), Packaged Snacks and Chips (Baby Quinoa puffs w Blueberry, Banana), Packaged Snacks and Chips (Baby Quinoa puffs w Carrot, raspberry), Packaged Snacks and Chips (Baby Quinoa puffs w Strawberry, Beet), Packaged Snacks and Chips (Beet and Spinach Superfood Baby Snacks), Packaged Snacks and Chips (Blueberry and Banana Superfood Baby Snacks), Packaged Snacks and Chips (Carrot and Raspberry Superfood Baby Snacks), Packaged Snacks and Chips (Strawberry and Beet Superfood Baby Snacks), Packaged Snacks and Chips (Superfood Cocoa Styx), Packaged Snacks and Chips (Superfood Protein Cocoa Bites), Packaged Snacks and Chips (Superfood Protein Snacks Cheddar), Packaged Snacks and Chips (Superfood Protein Snacks Chili Lime), Packaged Snacks and Chips (Superfood Protein Snacks Sour Cream and Onion), Packaged Snacks and Chips (Superfood Protein Snacks Spinach Parmesan), Packaged Snacks and Chips (Superfood Protein Vanilla Bites), Packaged Snacks and Chips (Superfood Puff Snacks Sour Cream and Onion), Packaged Snacks and Chips (Superfood Puff Snacks Spinach Parmesan), Packaged Snacks and Chips (Superfood Puffed Snacks Cheddar), Packaged Snacks and Chips (Superfood Puffed Snacks Chili Lime), Packaged Snacks and Chips (Superfood Vanilla Styx)</t>
  </si>
  <si>
    <t>Processed  Items: Dehydrated Foods (KOYO Shiitake Mushroom Ramen made with Organic Noodles); Other Grains, Pastas and Cereals: Pasta (KOYO Asian Vegetable Ramen made with Organic Noodles, KOYO Asian Vegetable Reduced Sodium Ramen made with Organic Noodles, KOYO Buckwheat Shoyu Ramen made with Organic Noodles, KOYO Garlic Pepper Ramen made with Organic Noodles, KOYO Garlic Pepper Reduced Sodium Ramen made with Organic Noodles, KOYO Garlic Pepper Reduced Sodium Ramen made with Organic Noodles, KOYO Lemongrass Ginger Ramen made with Organic Noodles, KOYO Tofu Miso Ramen made with Organic Noodles, KOYO Tofu Miso Ramen made with Organic Noodles, KOYO Tofu Miso Reduced Sodium Ramen made with Organic Noodles, KOYO Wakame Seaweed Ramen made with Organic Noodles, KOYO Wakame Seaweed Ramen made with Organic Noodles)</t>
  </si>
  <si>
    <t>Other: Roasting of Organic Grains and Beans</t>
  </si>
  <si>
    <t>Other Grains, Pastas and Cereals: Other Other Grains, Pastas and Cereals - Alfalfa Hay, Other Other Grains, Pastas and Cereals - Grass Hay, Other Other Grains, Pastas and Cereals - Hay, Other Other Grains, Pastas and Cereals - Oats Hay</t>
  </si>
  <si>
    <t>Other: Otto's Naturals Cassava Flour, Otto's Naturals Grain-Free Classic Brownie Mix, Otto's Naturals Grain-Free Paleo Brownie Mix, Otto's Naturals Grain-Free Ultimate Cookie Mix, Lovebird Cinnamon Granola, Lovebird Honey Sunflower Butter Granola, Lovebird Original Granola, Grandy's Organics Dark Chocolate Sea Salt Granola, That's It Apple + Blueberry Crunchables, That's It Apple Crunchables, That's It Apple + Cinnamon Crunchables, That's It Apple + Mango Crunchables, That's It Apple + Strawberry Crunchables</t>
  </si>
  <si>
    <t>Additional Certified Products Under HANDLING Scope</t>
  </si>
  <si>
    <t>Lecithin (Soy Lecithin), Lecithin (Sunflower Lecithin), Lecithin (Various), Meals (Almond Meal), Meals (Apricot Seed Meal), Meals (Black Cumin Seed Meal), Meals (Canola Meal), Meals (Jojoba Meal), Meals (Linseed Meal), Meals (Pomegranate Seed Meal), Meals (Pumpkin Seed Meal), Meals (Safflower meal), Meals (Sesame Seed Meal), Meals (Soy Flour), Meals (Soybean Meal ), Meals (Sunflower Meal), Meals (Various), Menthol Crystals, Milk (Coconut Milk  ), Milk (Various), Molasses (Various), Nut Butter (Almond Butter), Nut Butter (Almond Butter, raw), Nut Butter (Cashew Butter, roasted), Nut Butter (Cocoa Butter), Nut Butter (Cocoa Butter deodorized), Nut Butter (Cocoa Butter, prime pressed), Nut Butter (Cocoa Powder Natural), Nut Butter (Cupuacu Butter), Nut Butter (Macadamia-Cashew Butter, raw), Nut Butter (Pecan Butter, raw), Nut Butter (Various), Nut Butter (Walnut Butter, raw), Nuts (Cashew Kernels), Nuts (Cashews), Nuts (Diced &amp; Roasted Almonds ), Nuts (Hazelnuts (Filberts)), Nuts (Hazelnuts (Filberts)), Nuts (Pecans), Nuts (Pinenuts ), Nuts (Pistachios), Nuts (Various), Nuts (Walnuts), Nuts (Whole Almonds ), Oatmeal (Oatmeal), Oats (Oat Butter), Oil (Carrier) (Tamanu (Callophylum Innophylum, Foraha)), Oils (Acai Oil), Oils (Acai oil refined organic), Oils (Andiroba Oil), Oils (Apricot), Oils (Argan), Oils (Argan Nut Oil- Virgin), Oils (Argan Nut Oil- Virgin Deodorized), Oils (Argan Oil), Oils (Argan Oil Virgin), Oils (Argan oil virgin deodorised ), Oils (Armoise Oil), Oils (Artemisia Oil), Oils (Avocado), Oils (Avocado Oil Extra Virgin), Oils (Avocado Oil Refined), Oils (Babacu oil refined organic), Oils (Babassau Oil), Oils (Babassu ), Oils (Baobab Oil), Oils (Baobab Oil), Oils (Basil Citral Oil), Oils (Basil Linalol Oil), Oils (Basil Meth Oil), Oils (Basil Oil), Oils (Basil Oil (Linalool)), Oils (Basil Oil (Methyl chavicol)), Oils (Basil Oil (Ocimum basilcum)), Oils (Basil Oil Linalool), Oils (Basil Oil Methyl Chaviol), Oils (Beeswax absolute), Oils (Bergamot Bergaptene Free Oil), Oils (Bergamot Essential Oil), Oils (Bergamot Oil), Oils (Bergamot Oil Italian), Oils (Bergamot Oil Low Furanocoumarins), Oils (Black Cumin ), Oils (Black Cumin Oil), Oils (Black Currant Seed Oil), Oils (Black Pepper Oil), Oils (Blueberry Seed Oil), Oils (Borage), Oils (Borage Oil), Oils (Borage Oil Cold Pressed), Oils (Borage Seed Oil), Oils (Brazil Nut Oil), Oils (Broccoli Seed Oil), Oils (Buriti Oil), Oils (Cacao Absolute), Oils (Cacao Oleoresin), Oils (Cajeput Oil), Oils (Calamus Oil), Oils (Calendula Oil), Oils (Calendula Oil infused), Oils (Camelina Sativa Oil - cold pressed), Oils (Camellia), Oils (Camellia Seed Oil), Oils (Canola), Oils (Canola Oil), Oils (Canola Oil (aka rapeseed oil)), Oils (Canola Oil Bulk), Oils (Canola Oil, RBD), Oils (Canola Oil, Refined), Oils (Caraway Oil), Oils (Cardamom Oil), Oils (Carrot Macerated Oil), Oils (Carrot Seed Oil), Oils (Cassia Oil), Oils (Castor), Oils (Castor Oil - cold pressed), Oils (Castor Seed Oil), Oils (Cedar Oil), Oils (Cedarwood Oil), Oils (Chamomile Essential Oil), Oils (Chamomile Hydrosol), Oils (Chamomile Oil (Anthemis nobilis)), Oils (Chamomile Oil (Blue)), Oils (Chamomile Oil (Roman)), Oils (Chia Seed), Oils (Chia Seed refined), Oils (Cinnamon Bark Oil), Oils (Cinnamon Leaf Oil), Oils (cinnamon oil), Oils (Citronella Oil (Cymbopogon citratus)), Oils (Citronella Oil (Cymbopogon nardus)), Oils (Citrus Peel Oil), Oils (Clary Sage Essential Oil), Oils (Clary Sage Essential water), Oils (Clary Sage Hydrosol), Oils (Clary Sage Oil), Oils (Clove Bud Oil), Oils (Clove Oil), Oils (Coconut Oil Refined), Oils (Coconut Oil Unrefined), Oils (Coconut Oil, Extra Virgin), Oils (Coconut Oil, RBD), Oils (Coconut Oil, Virgin), Oils (Coconut RBD), Oils (Coffee Oil), Oils (Coriander Leaf Oil), Oils (Coriander Oil), Oils (Coriander Seed Oil), Oils (Corn Germ Oil), Oils (Corn Mint Oil), Oils (Cotton Seed Oil), Oils (Crude Palm Oil), Oils (Eucalyptus Citriadora Oil), Oils (Eucalyptus Globulus ), Oils (Eucalyptus Lemon Oil), Oils (Eucalyptus Oil), Oils (Eucalyptus Radiata Oil), Oils (Eucalyptus smithii Oil), Oils (Evening Primrose), Oils (Evening Primrose Oil), Oils (Evening primrose oil - cold pressed), Oils (Evening Primrose Seed Oil), Oils (Everlasting Oil (Helichrysum angustifolium)), Oils (Extra Virgin Coconut Oil), Oils (Extra Virgin Olive Oil), Oils (Fatty Acids from Coconut ), Oils (Fatty Acids from Palm Kernel ), Oils (Fatty Acids from Palm Oil), Oils (Fennel Oil), Oils (Fennel Sweet Oil), Oils (Fir Tree Oil), Oils (Flax Borage Oil), Oils (Flax Oil), Oils (Flax Oil Enriched with Lignans), Oils (Flax Oil Ultra Enriched with Lignans), Oils (Flax Oil with Antioxidant (shelf stable)), Oils (Flax Oil with DHA), Oils (Flax Seed Oil), Oils (Flax Seed Oil - cold pressed), Oils (Flax Seed Oil- Refined), Oils (Flax Seed Oil- Virgin), Oils (Flaxseed), Oils (Frankincense Oil), Oils (Garlic Oil), Oils (Geraniuim Essential water), Oils (Geranium Oil), Oils (German Chamomile Oil), Oils (Ginger Oil), Oils (Ginger Oleoresin), Oils (Glycerin), Oils (Golden Jojoba Oil), Oils (Grape Seed Oil), Oils (Grape seed oil ), Oils (Grapefruit Essential Water), Oils (Grapefruit Juice), Oils (Grapefruit Oil), Oils (Grapefruit Oil, decolorlized), Oils (Grapefruit Oil, pink), Oils (Grapefruit Seed Oil), Oils (Grapeseed Oil), Oils (Grapeseed Oil deodorised), Oils (Hazelnut Oil), Oils (Hazelnut Oil), Oils (Helychrysum Oil), Oils (Hemp Oil), Oils (Hemp Seed), Oils (High Oleic Safflower Oil), Oils (Jamaican Black Castor Oil), Oils (Jasmine Oil), Oils (Jojoba Clear and Deodorized), Oils (Jojoba Golden Oil), Oils (Jojoba Natural Golden), Oils (Jojoba Natural, Golden), Oils (Jojoba Oil), Oils (Jojoba Oil - incl. cold pressed), Oils (Jojoba Oil Clear), Oils (jojoba oil clear and deodorized), Oils (Jojoba Oil Golden), Oils (Jojoba Oil Inca Gold), Oils (Jojoba Oil inca lite ), Oils (Jojoba Oil Lite), Oils (Jojoba Oil Waterlight (Decolorized)), Oils (Kukui Seed Oil), Oils (Lavandin Abrialis Oil), Oils (Lavandin Grosso Oil), Oils (Lavandin Oil), Oils (Lavandin Super Oil), Oils (Lavender Essential Oil ), Oils (Lavender Hydrosol), Oils (Lavender Maillette Oil (Lavandula augustifolia var. maillatte)), Oils (Lavender Officinalis Oil (Lavandula officinalis)), Oils (Lavender Oil), Oils (Lavender Oil (Lavandula angustifolia)), Oils (Lavender Oil (Lavandula officinalis)), Oils (Lemon Oil, cold pressed), Oils (Lemongrass Oil), Oils (Lemongrass Oil, essential oil), Oils (Lime Oil), Oils (Lime Oil, cold pressed), Oils (Lime Seed Oil), Oils (Linseed ), Oils (Linseed Oil), Oils (Macadamia Nut Oil), Oils (Macadamia Oil cold pressed), Oils (Mandarin Oil), Oils (Mandarin Oil, decolorized), Oils (Mandarin Oil, green), Oils (Mandarin Oil, red), Oils (Mandarin Red Oil), Oils (Marjoram Oil), Oils (Marjoram Oil, Sweet), Oils (Marula Oil), Oils (MCT Oil), Oils (Melissa Oil), Oils (Mentha Arvensis Oil), Oils (Menthol Crystals), Oils (Moringa Oil), Oils (Mustard Seed Oil- cold pressed), Oils (Myrrh Oil), Oils (Myrtle Oil), Oils (Naiouli Oil), Oils (Neem), Oils (Neem Oil), Oils (Neem Oil - cold pressed), Oils (Neroli Oil), Oils (Niaouli Oil), Oils (Nutmeg Oil), Oils (Olean Palm Kernel Oil), Oils (Oleic Safflower Oil), Oils (Olive), Oils (Olive Oil , RBD ), Oils (Olive Oil RBD), Oils (Olive Oil Spray), Oils (Orange Oil), Oils (Orange Oil (Blood)), Oils (Orange Oil, cold pressed), Oils (Orange Oil, essential), Oils (Orange Sweet Oil), Oils (Oregano Oil, Spanish), Oils (Palm Fruit), Oils (Palm Fruit Oil, Extra Virgin), Oils (Palm Fruit Oil, RBD), Oils (Palm Fruit Stearin ), Oils (Palm Kernel), Oils (Palm kernel stearin ), Oils (Palm Kernel, RBD), Oils (Palm Oil), Oils (Palm Oil RBD), Oils (Palm Olein), Oils (Palm Shortening), Oils (Palm Stearine), Oils (Palm Stearine Oil), Oils (Palm, RBD), Oils (Palmarosa Oil), Oils (Passion Fruit Seed), Oils (Passion Fruit Seed oil), Oils (Patchouli Oil), Oils (Peanut Oil), Oils (Peanut Oil - cold pressed), Oils (Peppermint Essential Oil), Oils (Peppermint Oil (Mentha piperita)), Oils (Peppermint oil arvensis), Oils (Peppermint Oil Piperita), Oils (Peppermint Oil Rectified), Oils (Peppermint Piperita Oil), Oils (Perilla Oil - cold pressed), Oils (Perilla Seed), Oils (Perilla Seed Oil), Oils (Pine Oil), Oils (Pomegranate), Oils (Pomegranate , Cold Pressed), Oils (Pomegranate Oil), Oils (Pomegranate Oil (punica granatum)), Oils (Pomegranate Seed Oil), Oils (Poppy Seed Oil), Oils (Poppy Seed Oil - cold pressed), Oils (Pracaxi), Oils (Pumpkin Oil), Oils (Pumpkin Oil - cold pressed), Oils (Pumpkin Seed), Oils (Pumpkin Seed Oil), Oils (Rapeseed Oil), Oils (Raspberry Seed Oil), Oils (RBD Expeller Canola Oil ), Oils (RBD Expeller Coconut Oil), Oils (RBD Expeller Flax oil), Oils (RBD Expeller High Oleic Safflower Oil), Oils (RBD Expeller linoleic Safflower Oil), Oils (RBD Expeller Palm Oil), Oils (RBD Expeller Palm Stearine Oil ), Oils (RBD Expeller Soybean Oil ), Oils (RBD Palm Kernel Oil ), Oils (RBD Palm Kernel olein), Oils (RBD palm kernel stearin), Oils (RBWD Sesame Oil), Oils (Red and Green Tangerine Oil), Oils (Red Mandarin Oil), Oils (Red Raspberry Seed), Oils (Refined Palm Kernel Oil), Oils (Roman Chamomile Oil), Oils (Rose Geranium Essential Oil), Oils (Rose Geranium Oil), Oils (Rose Oil), Oils (Rosehip oil - refined), Oils (Rosehip Oil CP), Oils (Rosehip Seed Oil), Oils (Rosehip Seed Oil - cold pressed), Oils (Rosemary Essential Oil), Oils (Rosewood Oil), Oils (Sacha Inchi), Oils (Safflower), Oils (Safflower Oil), Oils (Safflower Oil High Linoleic), Oils (Safflower Oil High Oleic), Oils (Safflower Oil Refined, High Heat), Oils (Sage Oil (Salvia Lavandulifolia)), Oils (Sage Oil (Salvia officinalis)), Oils (Sandalwood Oil), Oils (Sea Buckthorne Kernel Oil), Oils (Sea Buckthorne Oil), Oils (Seabuckthorn Fruit Seed Oil - cold pressed), Oils (Seabuckthorn Kernel Oil - cold pressed), Oils (Seabuckthorn Seed Oil), Oils (Sesame), Oils (Sesame Oil), Oils (Sesame Oil Toasted, Unrefined), Oils (Sesame Oil Unrefined), Oils (Sesame Seed Oil), Oils (Sesame Seed Oil, Toasted), Oils (Shea Butter Oil - cold pressed), Oils (Soy Bean Oil), Oils (Soy Lecithin), Oils (Soy Lecithin dry blend), Oils (Soy Oil Refined), Oils (Soya Bean Oil), Oils (Soybean), Oils (Soybean Oil, Crude), Oils (Soybean Oil, RBD), Oils (Spearmint Oil), Oils (Spearmint Oil Rectified), Oils (Spearmint Oil, Essential), Oils (Sunflower Oil), Oils (Sunflower Oil Spray High Heat), Oils (Sunflower Oil, High Oleic), Oils (Sunflower Oil, OLEIC), Oils (Sunflower Oil, Refined), Oils (Sunflower Oil/ Sunflower Seed Oil ), Oils (Sunflower, High Oleic Refined), Oils (Sweet Almond Oil), Oils (Sweet Marjoram Oil), Oils (Sweet Orange Oil), Oils (Tamanu), Oils (Tamanu Oil), Oils (Tamanu Oil (Calophyllum Oil)), Oils (Tangerine Oil), Oils (Tarragon Oil), Oils (Tea Tree), Oils (Tea Tree Essential Oil), Oils (Tea Tree Oil), Oils (Toasted Sesame Oil), Oils (Unrefined Sesame Oil), Oils (Vanilla Oil), Oils (Vanilla Oleoresin), Oils (Various), Oils (Vetiver Essential oil), Oils (Vetiver Oil), Oils (Walnut), Oils (Walnut Oil), Oils (Walnut Oil - cold pressed), Oils (Watermelon Seed Oil), Oils (Wheat germ Oil  ), Oils (Wild Rosehip Seed Oil), Oils (Wintergreen Essential Oil), Oils (Wintergreen Oil (Gaultheria fragrantissima)), Oils (Wintergreen Oil Gaultheria spp)), Oils (Specialty) (Argan Oil), Olein (Palm Fruit Olein), Olein (Palm Fruit Super Olein), Olein (Palm Olean), Personal Care (Bio Scrub Acai), Personal Care (Bio Scrub Andiroba), Personal Care (Bio Scrub Buriti), Personal Care (Bio Scrub Cupuacu), Personal Care (Bio Scrub Murumuru), Personal Care (Bio Scrub Pracaxi), Personal Care (Bio Scrub Seed Acai), Personal Care (Bio Scrub Ucuuba), Personal Care (DeoPlex), Personal Care (Glycerin, Palm-free), Personal Care (Glycerin, USP), Personal Care (Various), Potato Products (Potato Flakes), Potato Products (Potato Flour), Potato Products (Potato Starch), Potato Products (Potatoes- Dehydrated), Potato Products (Potatoes- Dehydrofrozen), Potato Products (Potatoes- IQF), Potato Products (Various), Powder (Acacia Gum), Powder (Agave Inulin), Powder (Aloe Vera Whole Leaf Powder Spray Dried), Powder (Black Pepper), Powder (Bladderwrack Powder), Powder (Chaste Tree Berry Powder), Powder (Cinnamon Powder), Powder (Cocoa Powder), Powder (Cocoa Powder, Alkalized), Powder (Cocoa Powder, Black), Powder (Cumin Seed), Powder (Guar Gum Powder), Powder (Jerusalem Artichoke Powder), Powder (Lavender Powder), Powder (MCT Powder), Powder (menthol crystals powder), Powder (Milk Powder Whole), Powder (Oat), Powder (Pea Protein 80%), Powder (Rhodiola Rosea), Powder (Seaweed powder), Powder (Soymilk Powder), Powder (Spirulina), Powder (Wheatgrass Juice Powder), Powder (Wheatgrass Powder), Preservative (AIP - COP2), Preservative (BioSecur C160S), Preservative (Various), Raspberry Leaf, Rice (Brown Rice), Rice (Various), Sea Vegetables (Alaria), Sea Vegetables (Bladderwrack), Sea Vegetables (Dulse), Sea Vegetables (Kelp, Laminaria Digitata), Sea Vegetables (Laver), Sea Vegetables (Nori), Sea Vegetables (Norwegian Kelp, Ascophyllum nodosum), Sea Vegetables (Rockweed), Sea Vegetables (Sea Lettuce), Sea Vegetables (Various), Seasoned Salt, Seed (Various), Seed Butter (Various), Seeds (Alfalfa Seed), Seeds (Broccoli Seed), Seeds (Brown Flax Seed ), Seeds (Brown Flax Seed, Milled ), Seeds (Brown Mustard Seed ), Seeds (Canola Seed), Seeds (Caraway Seed), Seeds (Cardamom Seed tbc), Seeds (Chia Seed), Seeds (Chia Seeds, Black), Seeds (Chia Seeds, White), Seeds (Clover Seed), Seeds (Coriander Seed), Seeds (Coriander Seed Powder), Seeds (Dill Seed), Seeds (Fennel Seed), Seeds (Fennel Seed Powder), Seeds (Fenugreek Seed), Seeds (Fenugreek Seed Powder), Seeds (Flax Seed), Seeds (Flax Seed Flour), Seeds (Flax Seed Meal), Seeds (Flax Seed Powder), Seeds (Golden Flax Seed), Seeds (Golden Flax Seed), Seeds (Horsechestnut c/s), Seeds (Mustard Seed Brown), Seeds (Mustard Seed Yellow), Seeds (Mustard Seed Yellow Powder), Seeds (Psyllium Seed), Seeds (Psyllium Seed Powder), Seeds (Pumpkin Seed), Seeds (Radish Seed), Seeds (Rosehips c/s Seedless), Seeds (Safflower Seed), Seeds (Safflower Seed, High Oleic), Seeds (Salad Seed Blend), Seeds (Sandwich Seed Blend), Seeds (Sesame Seed), Seeds (Sesame Seed Hulled ), Seeds (Sesame Seed Natural), Seeds (Star Anise Seed), Seeds (Star Anise Seed Powder), Seeds (Sunflower Kernels), Seeds (Sunflower Meal), Seeds (Sunflower Seed), Seeds (Yellow Corn), Seeds (Yellow Flax Seeds), Seeds (Yellow Mustard Seed), Shea Butter (Nilotica Shea), Shea Butter (Shea Butter), Shea Butter (Shea Butter), Shea Butter (Shea Butter Crushed &amp; Refined), Shea Butter (Shea Butter natural), Shea Butter (Shea Butter Refined), Shea Butter (Shea Butter, Deodorized), Shea Butter (Shea Nut Butter refined), Shea Butter (Shea Nut Butter- Virgin ), Shortening (Palm Fruit Shortening), Shortening (Palm Shortening), Soap (Various), Soapnut (Various), Soy Products (Bleached Soy Lecithin), Soy Products (Lecithin), Soy Products (Lecithin CS1000), Soy Products (Okara Powder), Soy Products (Soy  Lecthin), Soy Products (Soy Lecithin), Soy Products (Soy Lecthin Dry blend), Soy Products (Soy Meal ), Soy Products (Various), Spices (Garlic Granulated), Spices (Garlic Minced), Spices (Garlic Powder), Spices (Pepper Black Fine Powder 14 Mesh), Spices (Pepper Black Fine Powder 32 Mesh), Spices (Pepper Black Fine Powder 60 Mesh), Spices (Pepper Black Whole), Spices (Plantain Leaf c/s), Spices (Pumpkin Pie Spice ), Spices (Various), Spices (White Pepper Ground), Spices (White Pepper Whole), Starch (Corn Starch), Starch (Tapioca Maltodextrin), Starch (Tapioca Native Starch/ Flour), Starch (Tapioca Starch, Pregel), Stearin (Palm Fruit Stearin), Stearin (Palm Kernel Stearin), Stearin (Palm Stearin ), Stearin (Palm Stearine), Stevia, Sugar (Cane Sugar), Sugar (Coconut Palm Sugar), Sugar (Coconut Sugar), Sugar (Evaporated Cane Juice), Sugar (Evaporated Cane Juice (Sugar)), Sugar (Various), Super Critical CO2 Extracts (Annatto Seed ), Super Critical CO2 Extracts (Ashwagandha), Super Critical CO2 Extracts (Basil), Super Critical CO2 Extracts (Black Pepper), Super Critical CO2 Extracts (Black Pepper Oil), Super Critical CO2 Extracts (Calendula ), Super Critical CO2 Extracts (Caraway Seed Oil), Super Critical CO2 Extracts (Cardamom Seed Oil), Super Critical CO2 Extracts (Cardamom, Select), Super Critical CO2 Extracts (Cardamom, Total), Super Critical CO2 Extracts (Carrot Seed Oil), Super Critical CO2 Extracts (Chili), Super Critical CO2 Extracts (Cinnamon Bark Oil), Super Critical CO2 Extracts (Clove Bud Oil), Super Critical CO2 Extracts (Coriander), Super Critical CO2 Extracts (Coriander Oil), Super Critical CO2 Extracts (Cumin ), Super Critical CO2 Extracts (Davana), Super Critical CO2 Extracts (Fennel Oil), Super Critical CO2 Extracts (Geranium Oil), Super Critical CO2 Extracts (Ginger), Super Critical CO2 Extracts (Ginger Oil), Super Critical CO2 Extracts (Hibiscus ), Super Critical CO2 Extracts (Lemongrass Oil), Super Critical CO2 Extracts (Marigold), Super Critical CO2 Extracts (Marigold, Total), Super Critical CO2 Extracts (Nutmeg ), Super Critical CO2 Extracts (Nutmeg Oil), Super Critical CO2 Extracts (Patchouli Oil), Super Critical CO2 Extracts (Pomegranate Oil), Super Critical CO2 Extracts (Pomegranate Seed), Super Critical CO2 Extracts (Pomegranate Seed, Total), Super Critical CO2 Extracts (Rosemary Oil), Super Critical CO2 Extracts (Rosemary Oil Antioxidant 14% DTP), Super Critical CO2 Extracts (Rosemary Oil Antioxidant 25% DTP), Super Critical CO2 Extracts (Seabuckthorn Pulp, Total), Super Critical CO2 Extracts (Seabuckthorn Seed, Total), Super Critical CO2 Extracts (Turmeric), Super Critical CO2 Extracts (Vanilla), Super Critical CO2 Extracts (Various), Surfactant (Sucrose Cocoate with Aloe AIP-SUR2), Sweetener (Agave Syrup), Sweetener (Evaporated Cane Juice), Sweetener (Honey), Sweetener (Molasses), Sweetener (Various), Tapioca (Tapioca Dextrose), Tapioca (Tapioca Granules), Tapioca (Tapioca Maltodextrin), Tapioca (Tapioca Syrup), Tea (Assam Tea), Tea (English Breakfast Tea (Fair Trade)), Tea (Rooibus Chai Tea), Tea (Rooibus Tea c/s), Tea (Various), Turmeric (Various), Vegetable Extracts (Broccoli), Vegetable Extracts (Carrot), Vegetable Extracts (Cucumber), Vegetable Extracts (Parsley), Vegetable Extracts (Tomato), Vinegar (Apple Cider Filtered Vinegar), Vinegar (Apple Cider Unfiltered Vinegar), Vinegar (Apple Cider Vinegar), Vinegar (Brown Rice Vinegar), Vinegar (Golden Balsamic Vinegar), Vinegar (Red Wine Vinegar), Vinegar (Various), Vinegar (White Wine Vinegar), Vinegar (Balsamic), Wax (Beeswax), Wax (Beeswax Beads, White), Wax (Beeswax Beads, Yellow), Wax (Beeswax granules), Wax (Beeswax pastilles), Wax (Beeswax refined), Wax (Carnauba ), Wax (Carnauba Wax), Wax (Various), Whey (Isolated Whey from skim milk), Whey (Various)</t>
  </si>
  <si>
    <t>Flavor (Kirschwasser Type Flavor Oil Soluble), Flavor (Kiwi Type Flavor), Flavor (Lavander Flavor Oil Soluble), Flavor (Lavander Lady Green Tea Type Organic Flavor Powder), Flavor (Lemon and Lime Flavor), Flavor (Lemon Berry Flavor Spray Dried), Flavor (Lemon Custard Type Flavor), Flavor (Lemon Extract Oil Soluble Flavor), Flavor (Lemon Extract Wonf Flavor), Flavor (Lemon Flavor (Powder, Spray Dried, Wonf)), Flavor (Lemon Flavor Emulsion), Flavor (Lemon Flavor Oil Soluble), Flavor (Lemon Herb Oil Soluble Flavor), Flavor (Lemon Juice Flavor), Flavor (Lemon Lime (Flavor, Oil Soluble Flavor)), Flavor (Lemon Oil Flavor), Flavor (Lemon Peel (Flavor, Oil Soluble Flavor)), Flavor (Lemon Zest Flavor Oil Soluble), Flavor (Licorice Root Type Flavor), Flavor (Lime (Flavor, Flavor Emulsion)), Flavor (Lime Powder Flavor), Flavor (Lime Zest Type Flavor), Flavor (Liver Type Organic Flavor Powder), Flavor (Lychee Type Flavor), Flavor (Macadamia Nut Type Oil Soluble Flavor), Flavor (Madagascar Vanilla Flavor), Flavor (Malt Type Flavor), Flavor (Malt Vingear Type Flavor), Flavor (Mandarin Orange Flavor), Flavor (Mango Flavor), Flavor (Mango Peach Type Flavor), Flavor (Mango Type Flavor), Flavor (Mango Type Flavor Oil Soluble), Flavor (Mangosteen Type Flavor), Flavor (Maple (Flavor, Powder Flavor)), Flavor (Maple Brown Sugar Type Flavor), Flavor (Maple Syrup Flavor Spray Dried), Flavor (Maple Type Flavor), Flavor (Maqui Berry Type Flavor), Flavor (Marshmallow Type Flavor), Flavor (Marshmallow Type Flavor Oil Soluble), Flavor (Maui Onion Type Flavor), Flavor (Meaty Beef Type Flavor), Flavor (Melon Type Flavor), Flavor (Mesquite Smoke Type Flavor), Flavor (Mesquite Type Flavor), Flavor (Mesquite Type Seasoning), Flavor (Mexican Chili Type Flavor), Flavor (Mexican Coffee Type Flavor), Flavor (Meyer Lemon Type Flavor), Flavor (Meyer Lemon Type Flavor Powder), Flavor (Milk Chocolate Flavor Powder), Flavor (Milk Chocolate Type Flavor), Flavor (Milk Type Flavor), Flavor (Mint (Flavor, Flavor Powder, Oil Soluble)), Flavor (Mint Flavor Concentrated Blend), Flavor (Mirepoix (Flavor, Flavor Powder)), Flavor (Mixed Berry Flavor), Flavor (Mixed Berry Grape Type Flavor), Flavor (Mixed Berry Type Flavor), Flavor (Mixed Fruit Type Flavor), Flavor (Mixed Vegetable Seasoning), Flavor (Mocha Almond Fudge Type Flavor Powder), Flavor (Mocha Cinnamon Almond Type Flavor), Flavor (Mocha Flavor Powder), Flavor (Mocha Type Flavor Oil Soluble), Flavor (Molasses Type Powder Flavor), Flavor (Mushroom Type Flavor), Flavor (Mushroom Type Organic Flavor Oil Soluble), Flavor (Nectarine Type Flavor), Flavor (Nutmeg Flavor), Flavor (Olive Oil Flavor), Flavor (Orange (Flavor, Flavor Oil Soluble, Flavor Powder)), Flavor (Orange Blossom Type Organic Flavor), Flavor (Orange Extract Wonf Flavor), Flavor (Orange Flavor (Spray Dried, Wonf Spray Dried)), Flavor (Orange Oil Flavor), Flavor (Orange Oil Soluble Flavor), Flavor (Orange Peel Extract Type Organic Flavor), Flavor (Orange Peel Extract Wonf), Flavor (Orange Peel Flavor), Flavor (Orange Peel Type (Flavor, Powder Flavor)), Flavor (Orange Powder Flavor), Flavor (Orange Spice Flavor), Flavor (Orange Type Flavor), Flavor (Orange Valencia Flavor), Flavor (Orange Vanilla Oil Soluble Flavor), Flavor (Orange Zest Oil Soluble Flavor), Flavor (Organic Chai Flavor), Flavor (Organic Cherry Flavor Powder), Flavor (Organic Chocolate Flavor Powder), Flavor (Organic Cilantro Flavor Oil Soluble), Flavor (Organic Cinnamon Orange Flavor Powder), Flavor (Organic Honey Flavor Spray Dried), Flavor (Organic Lavender Flavor), Flavor (Organic Lemon Flavor Oil Soluble), Flavor (Organic Lemonade Flavor), Flavor (Organic Strawberry Flavor (Powder, Spray Dried)), Flavor (Pancake Type Flavor), Flavor (Passion Fruit Flavor), Flavor (Passion Fruit Flavor Wonf), Flavor (Passion Fruit Type (Flavor, Flavor Emulsion, Oil Soluble Flavor)), Flavor (Peach Apricot Type Flavor), Flavor (Peach Flavor), Flavor (Peach Mango Type Seasoning), Flavor (Peach Oil Soluble Flavor), Flavor (Peach Type (Flavor, Flavor Powder)), Flavor (Peanut Butter Type Flavor), Flavor (Peanut Butter Type Flavor Oil Soluble), Flavor (Peanut Flavor Oil Soluble), Flavor (Pear Flavor), Flavor (Pear Type (Flavor, Oil Soluble Flavor)), Flavor (Pecan Praline Type Flavor Powder), Flavor (Pecan Type Flavor), Flavor (Peppermint (Extreme Mint) Flavor), Flavor (Peppermint Flavor), Flavor (Peppermint Flavor Oil Soluble), Flavor (Peppermint Type Flavor), Flavor (Persian Lime Type Flavor Oil Soluble), Flavor (Pesto Powder Flavor), Flavor (Pina Colada Flavor), Flavor (Pina Colada Type Flavor), Flavor (Pineapple Coconut Emulsion Flavor), Flavor (Pineapple Coconut Flavor Oil Soluble), Flavor (Pineapple Flavor), Flavor (Pineapple Flavor Oil Soluble), Flavor (Pineapple Flavor Spray Dried), Flavor (Pineapple Type (Flavor, Flavor Powder)), Flavor (Pink Grapefruit Flavor), Flavor (Pink Guava Passion Type Flavor), Flavor (Pistachio Type Flavor), Flavor (Plum Type Flavor), Flavor (Plum Type Flavor Oil Soluble), Flavor (Pomegranate Berry Flavor), Flavor (Pomegranate Berry Flavor Emulsion), Flavor (Pomegranate Flavor), Flavor (Pomegranate Type Flavor), Flavor (Pomegranate Type Flavor Oil Soluble), Flavor (Pomegranate Type Oil Soluble Flavor), Flavor (Pomelo Type Flavor), Flavor (Port Wine Flavor), Flavor (Praline and Cream Type Flavor), Flavor (Pretzel Type Flavor), Flavor (Pumpkin Pie Type Flavor), Flavor (Pumpkin Pie Type Flavor Oil Soluble), Flavor (Pumpkin Puree Type Flavor), Flavor (Pumpkin Spice Flavor), Flavor (Pumpkin Spice Flavor Oil Soluble), Flavor (Punch Flavor), Flavor (QL Cherry Type Flavor), Flavor (QL Chocolate Blend), Flavor (QL Creamy Vanilla Type Flavor), Flavor (QL Double Dutch Type Flavor Powder), Flavor (QL Sweet Mask Type Flavor), Flavor (QL Vanilla Chai Type Organic Flavor), Flavor (Ranch Dressing Type Flavor Oil Soluble), Flavor (Raspberry Flavor), Flavor (Raspberry Flavor (Emulsion, Powder, Spray Dried)), Flavor (Raspberry Lemonade Flavor), Flavor (Raspberry Lemonade Type Flavor), Flavor (Raspberry Liqueur Type Flavor), Flavor (Raspberry Type Flavor), Flavor (Raspberry Type Flavor (Oil Soluble, Powder, Spray Dried)), Flavor (Raspberry Type Flavor Emulsion), Flavor (Red Apple Flavor), Flavor (Red Apple Type Flavor), Flavor (Red Berry Flavor Wonf), Flavor (Red Grapefruit Flavor), Flavor (Red Raspberry Type), Flavor (Red Respberry Type Flavor Oil Soluble), Flavor (Ripe Banana Type Flavor), Flavor (Ripe Pineapple Type Flavor), Flavor (Roasted Almond Type Flavor), Flavor (Roasted Chicken Type Flavor Oil Soluble), Flavor (Roasted Garlic Type Flavor), Flavor (Roasted Garlic Type Flavor Oil Soluble), Flavor (Roasted Hazelnut Type Flavor Oil Soluble), Flavor (Rose Type Flavor), Flavor (Rosemary Flavor), Flavor (Rosemary Flavor Oil Soluble), Flavor (Rosemary Geranium Flavor), Flavor (Rum Type Flavor), Flavor (Saffron Type Flavor), Flavor (Salted Caramel Type Flavor), Flavor (Sarsaparilla Type Flavor), Flavor (Sassafras Type Flavor), Flavor (Sea Salt Caramel Type Organic Flavor), Flavor (Sherry Wine Type Flavor), Flavor (Sherry Wine Type Flavor Powder), Flavor (Sherry Wine Type Organic Flavor Oil Soluble), Flavor (Smoke Type Flavor), Flavor (Smoke Type Flavor Oil Soluble), Flavor (Sour Cherry Flavor), Flavor (Sour Green Apple Type Organic Flavor Oil Soluble), Flavor (Sour Peach Flavor), Flavor (Sour Watermelon Flavor), Flavor (Spanish Rice Type Organic Flavor), Flavor (Spearmint Flavor), Flavor (Spearmint Oil Soluble Flavor), Flavor (Spice Flavor Blend), Flavor (Spice Type Flavor), Flavor (Spicy Sweet Chili Seasoning), Flavor (Spicy Type Organic Seasoning), Flavor (St. John's Bread SE Flavor), Flavor (Strawberry and Cream Type Flavor), Flavor (Strawberry Apple Type Seasoning), Flavor (Strawberry Cream Type Flavor), Flavor (Strawberry Essence), Flavor (Strawberry Essence Flavor), Flavor (Strawberry Flavor), Flavor (Strawberry Flavor (Oil Soluble, Spray Dried)), Flavor (Strawberry Seasoning), Flavor (Strawberry Type Flavor), Flavor (Strawberry Type Flavor Powder), Flavor (Strawberry Type Oil Soluble Flavor), Flavor (Sumac Type Flavor), Flavor (Sun Dried Tomato Type Flavor Oil Soluble), Flavor (Sweet Aldoil Type Flavor), Flavor (Sweet Birch Type Flavor), Flavor (Sweet Cream Type Flavor Powder), Flavor (Sweet Tropical Type Flavor), Flavor (Tamarind Type Flavor), Flavor (Tangerine Flavor), Flavor (Tangerine Flavor Powder), Flavor (Tangerine Oil Soluble Flavor), Flavor (Tangerine Orange Flavor), Flavor (Tangerine Orange Oil Soluble Flavor), Flavor (Tangerine Seasoning), Flavor (Tangy Type Flavor), Flavor (Tequila Type Flavor), Flavor (Tequila Type Flavor Oil Soluble), Flavor (Teriyaki Seasoning), Flavor (Tiramisu Type Flavor), Flavor (Toasted Coconut Type Flavor), Flavor (Toasted Marshmallow Type Flavor), Flavor (Toasted Sesame Oil Type Organic Flavor), Flavor (Toffee Type Flavor), Flavor (Tomatillo Type Flavor), Flavor (Tomato Paste Type Flavor), Flavor (Tomato Type Flavor), Flavor (Tomato Type Flavor Oil Soluble), Flavor (Tres Leche Type Flavor), Flavor (Tropical Fruit Type Flavor), Flavor (Tropical Type Flavor), Flavor (Tropical Type Oil Soluble Flavor), Flavor (Turkey Type Flavor Oil Soluble), Flavor (Valencia Orange Flavor), Flavor (Vanilla Bean Flavor Spray Dried), Flavor (Vanilla Bean Spent 1x), Flavor (Vanilla Bean Type Flavor), Flavor (Vanilla Chai Type Organic Flavor), Flavor (Vanilla Coffee Type Oil Soluble Flavor), Flavor (Vanilla Concentrated Flavor), Flavor (Vanilla Cream Type Flavor), Flavor (Vanilla Flavor), Flavor (Vanilla Flavor (2x, 3x, 4x)), Flavor (Vanilla Flavor (Oil Soluble, Powder, Spray Dried, Wonf)), Flavor (Vanilla Ice Cream Type Flavor), Flavor (Vanilla Type Flavor), Flavor (Vanilla Type Flavor Oil Soluble), Flavor (Vanilla Type Flavor Powder), Flavor (Vegetable Type Flavor), Flavor (Vegetarian Au Jus Beef Type Flavor), Flavor (Vegetarian Bacon Type Flavor Spray Dried), Flavor (Vegetarian Beef Tallow Type Flavor Spray Dried), Flavor (Vegetarian Boiled Chicken Type Flavor Spray Dried), Flavor (Vegetarian Char Meaty Beef Type Flavor), Flavor (Vegetarian Chicken Bouillon Type Flavor), Flavor (Vegetarian Chicken Fat Type Flavor), Flavor (Vegetarian Chicken Soup Type Flavor Spray Dried), Flavor (Vegetarian Chicken Type Flavor (Oil Soluble, Spray Dried)), Flavor (Vegetarian Garlic Chicken Soup Base Type Flavor), Flavor (Vegetarian Grilled Chicken Type Flavor), Flavor (Vegetarian Meaty Beef Type Flavor), Flavor (Vegetarian Roasted Beef Type Flavor), Flavor (Vegetarian Roasted Beef Type Flavor Spray Dried), Flavor (Vegetarian Shio Chicken Noodle Soup Type Flavor), Flavor (Vegetarian Shoyu Garlic Chicken Soupe Base Type Flavor), Flavor (Vinegar Type Flavor Spray Dried), Flavor (Wasabi Type Flavor), Flavor (Wasabi Type Flavor (Oil Soluble, Spray Dried)), Flavor (Watermelon Type Flavor), Flavor (Watermelon Type Flavor (Oil Soluble, Powder, Spray Dried)), Flavor (Wheat Type Flavor), Flavor (Whiskey Type Flavor Oil Soluble), Flavor (White Cheddar Type Seasoning), Flavor (White Chocolate Macadamia Nut Type Flavor), Flavor (White Honey Ginger Type Flavor), Flavor (White Peach Type Flavor), Flavor (White Wine Type Oil Soluble Flavor), Flavor (Wintergreen Flavor), Flavor (Wintergreen Type Oil Soluble Flavor), Flavor (Worcestershire Powder Flavor), Flavor (Yeast Extract Type Flavor Oil Soluble), Flavor (Yellow Cake Type Flavor), Flavor (Yuca Type Flavor), Flavor (Yumberry Flavor), Flax (Flax Meal), Flax Seed (Flax Seed Extract), Flax Seed (Flax Seed Powder), Flour (3 Grain Flour), Flour (5 Grain Flour), Flour (Flour), Flour (Hemp Flour), Flour (Konjaku Flour), Flour (Millet Flour), Flour (Sprouted Amaranth Flour), Flour (Sprouted Barley Flour), Flour (Sprouted Black Beans Flour), Flour (Sprouted Brown Rice Flour), Flour (Sprouted Buckwheat Flour), Flour (Sprouted Corn Blue Corn Flour), Flour (Sprouted Corn Purple Corn Flour), Flour (Sprouted Einkorn Flour), Flour (Sprouted Garbanzo Beans Flour), Flour (Sprouted Green Pea Flour), Flour (Sprouted Kamut Flour), Flour (Sprouted Lentil Flour), Flour (Sprouted Millet Flour), Flour (Sprouted Mung Beans Flour), Flour (Sprouted Oat Flour), Flour (Sprouted Quinoa Flour), Flour (Sprouted Rye Flour), Flour (Sprouted Sorghum Flour), Flour (Sprouted Spelt Flour), Flour (Sprouted Wheat Flour (Red, White)), Flour (Teff Flour (Ivory or Brown)), Flour (Bean) (Garbanzo (Chick Peas) Flour), Flowers (Honeysuckle Flower), Flowers (Lily/Lancelesf Lily Bulb), Flowers (Lotus Flower (Whole/Cuts/Powder/Extract Powder)), Flowers (Magnolia Flower (Whole/Cuts/Powder/Extract Powder)), Food Additives (Coffee Type Flavor Enhancer), Food Additives (Egg Shade Type Organic Color), Food Additives (Masking Agent Flavor), Food Additives (Masking Agent Stevia Type Organic Flavor Powder), Food Additives (Masking Agent Type Flavor), Food Additives (Masking Agent Type Flavor Powder), Food Additives (QL Chocolate Enhancer Type Flavor Powder), Food Additives (Turmeric Color), Food Additives (Vanilla Enhancer Flavor), Food Additives (Vanilla Enhancer Wonf Flavor), Food Additives (Vegetarian Savory Enhancer Type Flavor), Fruit Concentrate (Apricot Puree Concentrate), Fruit Concentrate (Kiwi Puree Concentrate), Fruit Extracts (Common Flowering Quince Fruit), Fruit Puree (Sea Buckthorne Puree), Fruits (Apple (Juice/Juice Powder/ Powder/Extract)), Fruits (Apricot), Fruits (Black Currant (Whole/Cuts/Slice/Powder/Extract Powder)), Fruits (Camu Camu (Dried, Powder, Extract)), Fruits (Chaenomeles Fruit (Cut/Powder/Extract Powder)), Fruits (Chinese Scholartree (Fruits, Fruit Tea, Fruit Extract)), Fruits (Cornus Officinalis (Extract Powder/Powder)), Fruits (Cranberry/Oxycoccos (Whole/Cuts/Slice/Powder/Extract Powder)), Fruits (Fresh Strawberry), Fruits (Garcinia Powder/Extract), Fruits (Gorgon Fruit (Cut/Extract Powder/Powder)), Fruits (Grapes), Fruits (Kiwi Fruit (Concentrate/Juice/Puree/Juice Powder)), Fruits (Ligustrum Berry (Powder/Slice/Granule/Extract)), Fruits (Lingonberry), Fruits (Mangos), Fruits (Pear), Fruits (Schisandra Berry (Powder/Granule/Extract)), Fruits (Seabuckthorn (Fruit Oil/Juice/Powder/Juice Powder)), Fruits (Seabuckthorn Fruit (Whole/Cuts/Powder/Extract Powder)), Fruits (Soap Nuts), Fruits (Wild Chinese Gooseberry (Iqf/Fd)), Fruits (Wild Chinese Kiwi (Iqf/Fd)), Fruits (Wild Plum (Iqf/Fd)), Fruits (Wild Strawberry (Extract Powder/Powder)), Garlic (Garlic (Extract Powder/Powder/Extract)), Ginger (Dried Ginger (Slice/Powder/Grain)), Ginger (Ginger (Powder, Extract)), Ginger (Ginger (Whole/Slices/Cuts/Powder/Extract Powder)), Ginger (Manchurian Wild Ginger (Extract Powder/Powder)), Ginger (Rhizome Zingiberis/Dried Ginger), Ginseng (American Ginseng Root (Mial Roots/Tails/Whole/Roots/Slice/Cut/Powder/Extract)), Ginseng (Ginseng (Powder/Granule/Extract)), Ginseng (Ginseng American (Extract Powder)), Ginseng (Ginseng Fresh), Ginseng (Ginseng White), Ginseng (Ginseng White (Roots, Powder, Extract)), Ginseng (Red Ginseng ( Legs/Powder/Cuts/Slices/Roots)), Ginseng (White Ginseng (Extract/Slices/Powder/Cuts)), Ginseng (White Ginseng (Legs, Mixed Tails, Roots, Slices)), Ginseng (White Ginseng Entire Roots), Goji Berries (Goji Berries (Dried, Powder, Extract Powder)), Goji Berries (Goji Raw Juice), Gotu Kola (Gotu Kola (Powder, Extract)), Grains (4 Grain Flour), Grains (Amaranth), Grains (Canihua Grain), Grains (Chia Grain), Grains (Millet (Granule, Kernel)), Grains (Oat Grass (Powder/Extract)), Grains (Quinoa), Grains (Sprouted Amaranth), Grains (Sprouted Grain Blend), Grains (Sprouted Grain Blend Organic Sprouted Mix), Grains (Sprouted Sorghum), Grapes (Grape (Powder, Extract)), Grapes (Grape Marc (Powder, Extract)), Grapes (Wild Grape (Iqf/Fd)), Green Beans (Green Bean Powder), Guarana (Guarana (Powder, Extract)), Hawthorn (Hawthorn (Cut Flowering Tops Powder, Extract)), Hawthorn (Hawthorn Fruits/Leaves (Powder/Slice/Granule/Extract)), Hemp Seed (Hemp Seed Kernal Protein), Herbs (Acorus Calamus (Extract, Powder)), Herbs (Adhatoda Vasica (Extract, Powder)), Herbs (Aponynum (Whole/Cut/Granule/Powder/Extract)), Herbs (Ashok (Saraca Indica)), Herbs (Asialic Plantain Herb (Powder/Granule/Extract)), Herbs (Bacopa Monnieri), Herbs (Barberry Root (Whole/Powder Extract With Water)), Herbs (Betula Leaves (Whole/Powder Extract With Water)), Herbs (Black Cohosh (Powder/Slice/Granule/Extract)), Herbs (Black Cohosh Root (Whole/Cut/Slice/Powder/Extract Powder)), Herbs (Boerhaavia Diffusa (Extract/Powder)), Herbs (Boldo (Powder, Extract)), Herbs (Butcher's Broom (Powder, Extract)), Herbs (Capillary Wormwood Herb (Extract Powder/Powder)), Herbs (Cascara Sagrada (Powder/Slice/Granule/Extract)), Herbs (Cat's Whiskers (Powder, Extract)), Herbs (Codonopsis (Whole/Cuts/Powder/Powder Extract With Water)), Herbs (Codonopsis Root (Powder/Slice/Granule/Extract)), Herbs (Coleus Powder/Extract), Herbs (Common Poppy (Entire Petals, Liquid Extract)), Herbs (Cyperus Rotundus (Powder/Extract)), Herbs (Dan-Shen Root (Tablet)), Herbs (Desmodium (Leaves, Powder, Extract)), Herbs (Devil's Claw (Powder, Extract, Liquid Extract)), Herbs (Divaricate Saposhnikovia Root (Cut/Extract Powder)), Herbs (Echiancea Purpurea (Powder/Granule/Slice/Extract)), Herbs (Echinacea Purpurea Extract/Powder), Herbs (Epimedium (Whole/Cut/Powder/ Extract Powder)), Herbs (Eucalyptus), Herbs (Eucalyptus (Powder, Extract)), Herbs (Eucalyptus Globulus (Powder, Extract)), Herbs (Eucommia Bark (Extract, Powder)), Herbs (Feverfew (Granule/Powder/Extract)), Herbs (Ficus Carica (Powder/Extract)), Herbs (Fiveleaf Gynostemma Herb (Powder/Granule/Extract)), Herbs (Florium Ginkgo/Ginkgo Leaf), Herbs (Flos Chrysanthemum Flower), Herbs (Folium Isatidis (Powder Extract With Water)), Herbs (Forsythia (Whole/Cut/Powder/Extract Powder)), Herbs (Franchet Groundcherry (Extract Powder/Powder)), Herbs (Gardenia Jasminoides Flower), Herbs (Gastrodin (Cut/Extract Powder/Powder)), Herbs (Gentian Root (Extract, Powder)), Herbs (Gentian Roots (Powder Extract With Water)), Herbs (Ginkgo Leaf (Powder/Granule/Extract)), Herbs (Gokshura (Extract, Powder)), Herbs (Goldenseal Herb (Powder Extract With Water)), Herbs (Gotu Kola herb/ Herba centellae (whole, cuts, powder, extract powder)), Herbs (Gymnema (Powder, Extract)), Herbs (Gynostemma (Whole/Cuts/Powder/Extract Powder)), Herbs (Haritaki/Harad), Herbs (Heartleaf Houtluynia Herb (Extract Powder/Powder)), Herbs (Heather Plant (Cut, Liquid Extract)), Herbs (Herb Paris (Extract Powder With Water)), Herbs (Herba Lysimachiae (Powder Extract With Water)), Herbs (Heterophylly Falsestarwort Root (Extract Powder/Powder)), Herbs (Holy Basil (Powder, Extract)), Herbs (Honeysuckle Flower (Powder Extract With Water/Powder)), Herbs (Hypericum Perforatum (Powder/Extract)), Herbs (Indifowoad Leaf (Extract Powder/Powder)), Herbs (Inula Racemosa (Extract, Powder)), Herbs (Jamun/Neralea), Herbs (Jasmine Flower (Whole/Cuts/Powder/Extract Powder)), Herbs (Kalmegh (Andrographis Penniculata)), Herbs (Kokum/Garcinia), Herbs (Krishna Tulsi), Herbs (Kudzu Root (Whole/Slice/Cuts/Powder/Extract Powder)), Herbs (Ladie's Mantle Plant (Cut, Powder, Extract)), Herbs (Ladybell Roots (Powder Extract With Water)), Herbs (Lagenaria Siceraria (Powder/Extract)), Herbs (Largehead Atractylodes Rhizome (Cut/Extract Powder/Powder)), Herbs (Largeleaf Gentian Roots (Powder Extract With Water)), Herbs (Lavender Flower (Ad)), Herbs (Lotus Leaf (Whole/Cuts/Powder/Extract Powder)), Herbs (Magnolia Bark (Powder/Slice/Granule/Extract)), Herbs (Malabar Nut (Adhatoda Vasica)), Herbs (Marjoram (Cut/Extract Powder/Powder)), Herbs (Marshmallow (Whole/Cuts/Powder/Extract Powder)), Herbs (Meadowsweet (Extraction Cut, Powder, Extract)), Herbs (Mexican Poppy (Argemone Mexicana)), Herbs (Milk Thistle (Powder/Granule/Extract)), Herbs (Milk Thistle (Seed, Seed Powder)), Herbs (Mimosa Pudica (Powder/Extract)), Herbs (Mint/Mentha), Herbs (Mongolian Dandelion Herb (Powder/Granule/Extract)), Herbs (Morus Alba (Powder/Extract)), Herbs (Mouse-Ear Hawkweed (Powder, Extract)), Herbs (Mulberry Fruit/Leaf (Whole/Cuts/Powder/Extract Powder)), Herbs (Neem Extract Neem Leaf Powder), Herbs (Nettle (Leave Cut, Powder, Extract, Liquid Extract)), Herbs (Nettle Leaf/Root (Whole/Cuts/Powder/Extract Powder)), Herbs (Nipponese Yam (Powder Extract With Water)), Herbs (Ocimum Basilicum (Krishna/Vana Tulsi)), Herbs (Pagodatree Flower Bud (Whole/Cuts/Powder/Extract)), Herbs (Passion Flower (Extraction Cut, Powder, Extract, Liquid Extract)), Herbs (Perilla Fruit/Leaves (Fructus Perillae) (Powder/Extract)), Herbs (Pilose Asiabell Root (Cut/Powder/Extract)), Herbs (Pinella Tuber (Powder, Powder Extract With Water)), Herbs (Polygonati Officinalls Rhizome (Cut/Powder/Powder)), Herbs (Polygonum Root), Herbs (Polyporus (Whole/Slice/Cuts/Powder/Extract Powder)), Herbs (Portulac/Herbs Portulacae (Whole/Cuts/Powder/Extract Powder)), Herbs (Psyllium Husk), Herbs (Pueraria Root (Powder/Slice/Granule/Extract)), Herbs (Purslane (Powder, Extract)), Herbs (Radix Polygalae (Cut/Extract Powder/Powder)), Herbs (Red Peony Roots (Whole/Cuts/Powder/Extract Powder)), Herbs (Rehmannia Roots (Whole/Cuts/Powder/Extract Powder)), Herbs (Rehmannia Roots Prepared (Whole/Cuts/Powder/ Extract Powder)), Herbs (Rhodiola Root (Cut, Powder, Extract)), Herbs (Rhodiola Rosea (Cut/Powder/Powder Extract With Water)), Herbs (Ricinus Communis (Powder/Extract)), Herbs (Safflower/Flos Cathami (Whole/Cuts/Powder/Extract)), Herbs (Senna Leaves (Powder/Granule/Extract)), Herbs (Serrate Clubmoss Herb (Powder Extract With Water)), Herbs (Sida Cordifolia (Extract, Powder)), Herbs (Silver Lily (Powder Extract/Powder)), Herbs (Slippery Elm Bark), Herbs (Smoketree (Powder Extract With Water)), Herbs (Solanum Nigrum (Powder/Extract) (Kakamachi)), Herbs (Solanum Xanthocarpum (Powder/Extract)), Herbs (Sweet Blackberry Leaf (Whole/Cuts/Powder/Extract)), Herbs (Sweet Wormwood Herb (Powder Extract With Water)), Herbs (Sweet Wormwood Herb (Whole/Cuts/Powder/Extract Powder)), Herbs (Taiwan Angelica Root (Cut/Extract Powder/Powder)), Herbs (Tall Gastrodia Tuber (Powder Extract With Water)), Herbs (Taro (Slices/Powder)), Herbs (Terminalia Arjuna), Herbs (Terminalia Bellirica (Extract, Powder)), Herbs (Thermopsis Ianceolata (Powder Extract With Water)), Herbs (Tilia Flower (Extract Powder/Powder)), Herbs (Tinospora Cordifolia (Extract, Powder)), Herbs (Toona Sinensis (Extract Powder, Powder)), Herbs (Tribulus/Fructus Tribuli (Whole/Cuts/Powder/Extract/Powder)), Herbs (Uva Ursi), Herbs (Valeriana), Herbs (White Peony (Powder/Powder Extract)), Herbs (Wild Chrysanthemum (Chrysanthemum Indicum) (Powder/Extract Powder)), Herbs (Wild Mint Herb (Powder/Granule/Extract)), Herbs (Wild Rhodiola (Powder Extract)), Herbs (Witch Hazel (Powder, Extract)), Herbs (Wood Betony), Herbs (Wormwood), Herbs (Yarrow), Herbs (Yulan Magnolia Flower Bud (Extract Powder/Powder)), Herbs &amp; Spices (Allspice), Herbs &amp; Spices (Anathamoola (Sarsaparilla)), Herbs &amp; Spices (Anise Seed), Herbs &amp; Spices (Anise Star), Herbs &amp; Spices (Artichoke Leaf), Herbs &amp; Spices (Ashitaba (Dried, Flaked, Frozen)), Herbs &amp; Spices (Ashwaganda), Herbs &amp; Spices (Ashwagandha (Extract, Powder)), Herbs &amp; Spices (Astragalus Root), Herbs &amp; Spices (Bai Vidang (Embelia Ribes)), Herbs &amp; Spices (Barley Grass), Herbs &amp; Spices (Basil), Herbs &amp; Spices (Bay Leaves), Herbs &amp; Spices (Billberry Leaves, Berries), Herbs &amp; Spices (Birch Leaf), Herbs &amp; Spices (Black Pepper), Herbs &amp; Spices (Blackberry Leaf), Herbs &amp; Spices (Blessed Herbs), Herbs &amp; Spices (Boneset Herbs), Herbs &amp; Spices (Borage Herbs), Herbs &amp; Spices (Buckthorn), Herbs &amp; Spices (Burdock Root), Herbs &amp; Spices (Cajun Spice Blend), Herbs &amp; Spices (California Poppy), Herbs &amp; Spices (Caraway (Crops)), Herbs &amp; Spices (Caraway Seeds), Herbs &amp; Spices (Cardamom Seed &amp; Pod), Herbs &amp; Spices (Cayenne Peppers), Herbs &amp; Spices (Centaury), Herbs &amp; Spices (Chai Blend (Ag-Chai-Tc)), Herbs &amp; Spices (Chai Blend (Ewtc-Chai)), Herbs &amp; Spices (Chamomile Flower, Pollen), Herbs &amp; Spices (Chaste Tree Berry), Herbs &amp; Spices (Chia Seeds (Black, White)), Herbs &amp; Spices (Chicory), Herbs &amp; Spices (Chile Pepper Powder and Crushed (Flakes)), Herbs &amp; Spices (Chili Bird's Eye), Herbs &amp; Spices (Chipotle Blend), Herbs &amp; Spices (Chipotle Powder), Herbs &amp; Spices (Chrystanthemum), Herbs &amp; Spices (Cilantro), Herbs &amp; Spices (Cinnamon), Herbs &amp; Spices (Cinnamon Sticks), Herbs &amp; Spices (Cleavers), Herbs &amp; Spices (Cloves), Herbs &amp; Spices (Coltsfoot), Herbs &amp; Spices (Comfrey Root, Leaf), Herbs &amp; Spices (Coriander (Extract, Powder)), Herbs &amp; Spices (Coriander Seed), Herbs &amp; Spices (Cornflower), Herbs &amp; Spices (Cornsilk), Herbs &amp; Spices (Cramp Bark), Herbs &amp; Spices (Cumin (Extract, Powder)), Herbs &amp; Spices (Cumin Seed), Herbs &amp; Spices (Curry Powder (Hot, Mild)), Herbs &amp; Spices (Daisy Flower), Herbs &amp; Spices (Damiana), Herbs &amp; Spices (Dandelion Root and Leaf), Herbs &amp; Spices (Devil's Claw), Herbs &amp; Spices (Dill Weed), Herbs &amp; Spices (Dried Chilli (Whole/Crushed/Powder/Ring)), Herbs &amp; Spices (Echinacea Leaf, Root), Herbs &amp; Spices (Elderberry Berries, Flowers), Herbs &amp; Spices (Eleuthero Root), Herbs &amp; Spices (Fenugreek (Extract, Powder, Seed)), Herbs &amp; Spices (Flax (Seed, Extract)), Herbs &amp; Spices (Garlic), Herbs &amp; Spices (Ginger), Herbs &amp; Spices (Ginger Cinnamon Blend), Herbs &amp; Spices (Ginkgo Leaf), Herbs &amp; Spices (Ginseng), Herbs &amp; Spices (Goat's Rue), Herbs &amp; Spices (Golden Rod), Herbs &amp; Spices (Gotu Kola), Herbs &amp; Spices (Ground Black Cohosh Root), Herbs &amp; Spices (Guarana Seed), Herbs &amp; Spices (Hawthorn Leaf, Flower, Berry), Herbs &amp; Spices (Heather), Herbs &amp; Spices (Helichrysum), Herbs &amp; Spices (Herb Blend), Herbs &amp; Spices (Herb Blend Apple Spice), Herbs &amp; Spices (Herb Blend Cereal), Herbs &amp; Spices (Hibiscus), Herbs &amp; Spices (Hibiscus Flower), Herbs &amp; Spices (Hyssop), Herbs &amp; Spices (Iceland Moss), Herbs &amp; Spices (Juniper Berry), Herbs &amp; Spices (Ladies Bedstraw), Herbs &amp; Spices (Ladies Mantle), Herbs &amp; Spices (Lanvender), Herbs &amp; Spices (Lavandine Flower), Herbs &amp; Spices (Lavandula Flower), Herbs &amp; Spices (Lavender), Herbs &amp; Spices (Lemon Balm), Herbs &amp; Spices (Lemon Myrtle), Herbs &amp; Spices (Lemon Peel), Herbs &amp; Spices (Lemon Verbena), Herbs &amp; Spices (Licorice Root), Herbs &amp; Spices (Limo Chilli (Crushed, Powder)), Herbs &amp; Spices (Linden Flower), Herbs &amp; Spices (Mace (Extract, Powder)), Herbs &amp; Spices (Marjoram), Herbs &amp; Spices (Marshmallow Root, Leaves), Herbs &amp; Spices (Meadowsweet), Herbs &amp; Spices (Mugwort), Herbs &amp; Spices (Mullien Leaf, Herb), Herbs &amp; Spices (Mustard (Extract, Powder, Seed)), Herbs &amp; Spices (Nutmeg), Herbs &amp; Spices (Nutmeg (Extract, Powder)), Herbs &amp; Spices (Olive Leaves), Herbs &amp; Spices (Onion), Herbs &amp; Spices (Orange Peel), Herbs &amp; Spices (Oregano Leaves), Herbs &amp; Spices (Oregano Mexican, Mediterranean), Herbs &amp; Spices (Panca Chilli (Crushed, Powder)), Herbs &amp; Spices (Paprika), Herbs &amp; Spices (Parsley, Parsley Root), Herbs &amp; Spices (Passion Flower), Herbs &amp; Spices (Pepper, Black), Herbs &amp; Spices (Pepper, Black (Powder/Granule/Extract)), Herbs &amp; Spices (Pepper, White), Herbs &amp; Spices (Peppercorn (Black, White)), Herbs &amp; Spices (Peppermint (Whole/Cuts/Powder/Extract/Extract Powder)), Herbs &amp; Spices (Poppy Seed, Blue), Herbs &amp; Spices (Pumpkin Pie Spice Fragrance), Herbs &amp; Spices (Raspberry Leaf), Herbs &amp; Spices (Red Chili Powder), Herbs &amp; Spices (Red Clover Herb, and Flower), Herbs &amp; Spices (Red Jalapeno Powder), Herbs &amp; Spices (Rhodiola), Herbs &amp; Spices (Rhubarb Root), Herbs &amp; Spices (Rocoto Chilli Crushed), Herbs &amp; Spices (Rooibos Almond Vanilla), Herbs &amp; Spices (Rose), Herbs &amp; Spices (Rose Hips), Herbs &amp; Spices (Rosemary), Herbs &amp; Spices (Rosemary Antioxidant in Olive Oil), Herbs &amp; Spices (Sage), Herbs &amp; Spices (Savory Summer), Herbs &amp; Spices (Savory Winter), Herbs &amp; Spices (Semen Myristicae/Myristuca Fragrans Houtt), Herbs &amp; Spices (Senna), Herbs &amp; Spices (Sesame Seed, White and Black), Herbs &amp; Spices (Shatavari), Herbs &amp; Spices (Sheep Sorbel), Herbs &amp; Spices (Smoked Paprika), Herbs &amp; Spices (Spearmint), Herbs &amp; Spices (St. John's Wort), Herbs &amp; Spices (Star Anise Fruit (Whole/Cuts/Powder/Extract Powder)), Herbs &amp; Spices (Tarragon), Herbs &amp; Spices (Thyme), Herbs &amp; Spices (Tulsi- Krishna, Rama, Vana), Herbs &amp; Spices (Tumeric Root), Herbs &amp; Spices (Valerian), Herbs &amp; Spices (Vanilla), Herbs &amp; Spices (Vervain), Herbs &amp; Spices (Wild Cherry Bark), Herbs &amp; Spices (Yellow Chili (Crushed, Powder)), Herbs &amp; Spices (Yellow Dock, Root), Honey (Honey), Hops (Hops), Hops (Hops (Powder, Extract)), Horse Chestnut (Horse Chestnut (Powder/Slice/Granule/Extract)), Horseradish (Horseradish Ad), Horsetail (Horsetail (Whole/Cut/Powder/Extract, Extract Powder)), Inulin (Inulin), Jerusalem Artichokes (Jerusalem Artichoke (Helianthus Tuberosus)), Jerusalem Artichokes (Jerusalem Artichoke Pulp), Juice (Peat Juice Concentrate), Juice Concentrate (Apple Juice Concentrate), Juice Concentrate (Beet Juice Concentrate), Juice Concentrate (Mulberry Juice Concentrate), Juice Concentrate (Nopal Juice Concentrate), Juice Concentrate (Raspberry Juice Concentrate), Juice Concentrate (Sea Buckthorn Concentrate Juice), Juice Concentrate (Strawberry Juice Concentrate), Jujubes (Jujube/Chinese Date), Jujubes (Sour Jujube Seeds (Powder Extract With Water)), Kale (Kale), Kale (Kale (Chopped/Powder)), Lemon Balm (Lemon Balm (Powder, Extract)), Lemongrass (Lemongrass), Lemongrass (Lemongrass (Powder/Extract)), Lemons (Lemon (Powder, Extract)), Lentils (Sprouted Lentil), Lettuces (Lettuce (Crop, Fresh Qf, Fd)), Licorice (Licorice), Licorice (Licorice (Extract, Powder)), Limes (Lime (Extract, Powder)), Maca (Maca), Maca (Maca (Chips, Chips Premium Oss, Dried, Extract, Fresh, Powder)), Maca (Maca (Gelatinized, Gelatinized Premium Oss)), Maca (Maca Hp (Dices, Gelatinized, Powder)), Maca (Maca Hp Premium Oss (Dices, Gelatinized, Gelatinized Dices, Powder)), Maca (Maca Powder (Premium Oss, Premium Oss Dices)), Maca (Maca Tablet), Malt Extract (Dry Malt Extract), Maple Syrup (Maple Syrup Grade A (Dark Amber, Dark Robust, Medium Amber)), Maple Syrup (Maple Syrup Grade A Amber Color Rich Taste), Maple Syrup (Maple Syrup Grade A Dark Color Robust Taste), Maple Syrup (Maple Syrup Grade A Very Dark Color Strong Taste), Maple Syrup (Maple Syrup Grade B), Maple Syrup (Maple Syrup Processing Grade), Meals (Borage Meal), Meals (Evening Primrose Meal), Meals (Flaxseed Meal), Meals (Grape Seed Meal), Meals (Peanut Meal), Meals (Perilla Seed Meal), Meals (Sunflower Meal), Meals (Walnut Meal), Millet (Millet), Millet (Millet (Whole or Berries)), Millet (Sprouted Millet), Mushroom Powder (Agaricus Bisporus (Dried Powder, Dried Powder Extract with Water)), Mushroom Powder (Agaricus Blazei Muril (Dried Powder, Dried Powder Extract with Water)), Mushroom Powder (Boletus (Dried Powder, Dired Powder Extract With Water)), Mushroom Powder (Cantharellus Cibarius (Dried Powder, Dried Powder Extract With Water)), Mushrooms (Agaricus Bisporus), Mushrooms (Agaricus Blazei Birril), Mushrooms (Agaricus Mushroom (Extract, Powder)), Mushrooms (Agrocybe Aegirit (Dried Powder, Dried Powder Extract with Water)), Mushrooms (Auricularia (Black Fungus)), Mushrooms (Boletus Edulis), Mushrooms (Cantharellus Cibarius (Chantarelle)), Mushrooms (Chaga (Powder, Extract)), Mushrooms (Cordyceps (Powder, Extract)), Mushrooms (Cordyceps/Cordyceps Militaris (Whole/Cuts/Slice/Powder/Extract Powder)), Mushrooms (Coriolus Mushroom (Extract, Powder)), Mushrooms (Fomentarius (Powder, Extract)), Mushrooms (Forese Mushroom (Lentinulla Edodes) (Cut/Extract Powder/Powder)), Mushrooms (Ganoderma Lucidum), Mushrooms (Grifola Frondosa), Mushrooms (Hericium Erinaceus), Mushrooms (King Oyster), Mushrooms (Lentinus Edodes (Shiitake)), Mushrooms (Maitake Mushroom (Extract, Powder)), Mushrooms (Morel (Extract Powder/Powder)), Mushrooms (Oyster Mushroom), Mushrooms (Oyster Mushroom (Extract, Powder)), Mushrooms (P. Pini (Extract, Powder)), Mushrooms (Pholiota Nameko), Mushrooms (Pleurotus Eryngii), Mushrooms (Reishi Mushroom), Mushrooms (Reishi Mushroom (Powders/Slice/Granule/Extract)), Mushrooms (Shiitake (Powder, Extract)), Mushrooms (Termella Fuciformis), Mushrooms (Termella Fuciformis (Extract, Powder)), Mushrooms (Tricholoma Matsutake), Mushrooms (Tuber Indicum (Black Tuber)), Mushrooms (Umbellate Opore Fungus (Extract Powder/Powder)), Nuts (Blanched Peanut (Ground Nut) Kernels), Nuts (Cashews), Nuts (Peanut), Nuts (Peanut (Groundnut) In Shell), Nuts (Peanut (Groundnut) Kernel), Nuts (Pecans (In Shell, Shelled)), Nuts (Roasted Peanuts (Groundnut) In Shell), Oats (Oat (Whole/Cuts/Powder/Extract Powder)), Oats (Oat Bran), Oats (Oat Flakes), Oats (Oat Flour), Oats (Oat Grass), Oats (Sprouted Oat), Oats (Sprouted Oat Rolled), Oats (Steel Cut Oats), Oils (Ajwain Seed Oil), Oils (Almond Oil), Oils (Angellica Oil)</t>
  </si>
  <si>
    <t>Organic Coconut Curry Chickpeas, 10 Oz, Organic Coconut Flour, 14 Oz, Organic Coconut Milk, 13.5 Fl Oz, Organic Coconut Milk, 13.5 Fl Oz, Organic Coconut Milk, Lite, 13.5 Oz, Organic Coconut Milk, Regular, 13.5 Fl Oz, Organic Coconut Milk, Spicy, 13.5 Fl Oz, Organic Coconut Milk, Yellow Curry, 13.5 Fl Oz, Organic Coconut Palm Sugar, 16 Oz, Organic Coconut Smoothie Sample, Original, 10 Fl Oz, Organic Coconut Smoothie, Mocha, 10 Fl Oz, Organic Coconut Smoothie, Original, 10 Fl Oz, Organic Coconut Smoothie, Radiant Greens, 10 Fl Oz, Organic Coconut Smoothie, Strawberry Banana, 10 Fl Oz, Organic Coconut Smoothie, Vanilla Cinnamon, 10 Fl Oz, Organic Coconut Sugar, 1 Lb, Organic Coconut Water, 1 L, Organic Coconut Water, 11 Fl Oz, Organic Coconut Water, 12 Fl Oz, Organic Coconut Water, 12oz, Organic Coconut Water, 16 Fl Oz, Organic Coconut Water, 33.8 Fl Oz, Organic Coconut Water, 8.75 Fl Oz, Organic Coconut Water, Cucumber Mint, 12 Fl Oz, Organic Coconut Water, Pink Lady Apple, 12 Fl Oz, Organic Coconut Water, Strawberry Rose, 12 Fl Oz, Organic Coconut Water, Watermelon, 12 Fl Oz, Organic Coconut Water, With Pulp, 16 Fl Oz, Organic Coconut Whipping Cream, 13.5 Fl Oz, Organic Coconut Yogurt, Mango, 4.4 Oz, Organic Coconut Yogurt, Plain Unsweetened, 24 Oz, Organic Coconut Yogurt, Strawberry, 4.4 Oz, Organic Coconut Yogurt, Vanilla, 24 Oz, Organic Coconut Yogurt, Vanilla, 4.4 Oz, Organic Coffee Ecopods, Birchwood Breakfast Blend, 0.36 Oz (12 Ct), Organic Cold Brew &amp; MCT Protein Smoothie Mix, 8.4 Oz, Organic Cold Brew Coffee Concentrate, 32 Fl Oz, Organic Cold Brew Coffee On The Go, Mocha With Coconut Milk , 11 Fl Oz, Organic Cold Brew Coffee On The Go, Vanilla With Coconut Milk , 11 Fl Oz, Organic Cold Brew Coffee, Caramel, 32 Fl Oz, Organic Cold Brew Straight Black Coffee, 32 Fl Oz (1 Qt), Organic Cold Brew, Single Origin, 8 Fl Oz, Organic Cold Brew, Vanilla, 32 Oz, Organic Cold-Pressed Energy Juice Shot, Passionfruit, 1.7 Fl Oz, Organic Cold-Pressed Immunity Probiotic Juice Shot, Watermelon Strawberry, 1.7 Fl Oz, Organic Collards (ct), Organic Condensed Coconut Milk, Plain, 9.1 Oz, Organic Confectioners Stevia Blend, 1 Lb, Organic Cooked Red Beets, 8.8 Oz, Organic Cookie Bites, Chocolate Chip, 10.5 Oz (10 Ct), Organic Corn (ct), Organic Corn Chips with Sea Salt, 8.25 Oz, Organic Corn Flakes Cereal, 8.4 Oz, Organic Corn Tortillas, 9.33 Oz (8 Ct), Organic Cottage Cheese, Lowfat Classic, 16 Oz, Organic Cottage Cheese, Whole Milk Classic, 16 Oz, Organic Couscous and Quinoa, 8.8 Oz, Organic Crackers, Margherita Pizza, 4.4 Oz, Organic Crackers, Rosemary Garlic, 14 Oz, Organic Crackers, Sourdough Sea Salt, 4.4 Oz, Organic Crackers, Tomato Basil, 4 Oz, Organic Cranberry (8 oz), Organic Cream Cheese Bar, 8 Oz, Organic Cream of Cauliflower Condensed Soup, 10.5 Oz, Organic Creamy Butternut Squash Soup, 32 Fl Oz, Organic Creamy Garden Tomato Soup, 32 Fl Oz, Organic Creamy Peanut Butter, Salted, 16 Oz, Organic Creamy Peanut Butter, Salted, 16 Oz (1 Lb), Organic Creamy Plant-Based Broth, Herb and Roasted Garlic, 32 Fl Oz, Organic Creamy Tomato &amp; Bunny Pasta Soup, 14 Oz, Organic Creamy Tomato Basil Pasta Sauce, 16 Oz, Organic Creamy Tomato Basil Soup, 32 Fl Oz, Organic Crunchy Peanut Butter, 16 Oz, Organic Crunchy Snack Bites, Bold Buffalo, 7.2 Oz, Organic Crunchy Snack Bites, Epic Everything, 7.2 Oz, Organic Crunchy Snack Bites, PB &amp; Chocolate, 7.2 Oz, Organic Crunchy Snack Bites, Super Cinna Roll, 7.2 Oz, Organic Crunchy Snack Bites, Toasted Garlic, 7.2 Oz, Organic Crushed Tomatoes with Onion, Garlic and Basil, 14 Oz, Organic Crushed Tomatoes, 14 Oz, Organic Cucumber (ct), Organic Cucumber English (ct), Organic Cucumber Euro (ct), Organic Cucumber Mini Seedless (1 lb bag) (ct), Organic Cucumber Peppermint Tea, 15.9 Oz, Organic Cultured Coconut Yogurt, Strawberry Rhubarb, 4 Oz, Organic Cultured Coconut Yogurt, Vanilla &amp; Chamomile, 4 Oz, Organic Cultured Pure Coconut Yogurt, 16 Oz, Organic Cultured Sour Cream, 8 Oz, Organic Curry Sauce, Red Thai, 8.8 Oz, Organic Curry Sauce, Yellow Thai, 8.8 Oz, Organic Daikon Purple (ct), Organic Dairy-Free Gelato Pops, 13.5 Fl Oz (10 Ct), Organic Dairy-Free Smoothie Pouch, Berry Berry, 3.2 Oz, Organic Dairy-Free Smoothie Pouch, Strawberry Banana Swirl, 4 Oz, Organic Dairy-Free Tzatziki, 6 Oz, Organic Dairy-Free Unsweetened Plain Cashew Yogurt, 24 Oz, Organic Dandelion Greens (ct), Organic Dark Bark, Pumpkin Seed, 4.2 Oz, Organic Dark Chocolate 85% Cacao, Raspberry Blackout, 2.65 Oz, Organic Dark Chocolate Almond Butter Bombs, 3.8oz, Organic Dark Chocolate and Peanut Butter Granola, 11.5 Oz, Organic Dark Chocolate Baking Gems, 9 Oz, Organic Dark Chocolate Banana Bites, 3.5 Oz, Organic Dark Chocolate Chunks, 8 Oz, Organic Dark Chocolate Covered Cashews, Hazelnuts, &amp; Almonds, 4oz, Organic Dark Chocolate Covered Espresso Beans, 3.5 Oz, Organic Dark Chocolate Covered Macadamia Nuts, 3.5 Oz, Organic Dark Chocolate Dipped Banana Bites, 3.5 Oz, Organic Dark Chocolate Nut Pieces, 4 Oz, Organic Dark Chocolate Plant Protein Immunity Elixir, 12 Fl Oz, Organic Dark Chocolate Seed Bark, Celtic Sea Salt, 3.6 Oz, Organic Dark Chocolate Seed Bark, Raspberry Bliss, 3.6 Oz, Organic Dark Chocolate Snacking Squares, Blueberry, 3.28 Oz, Organic Dark Chocolate Snacking Squares, Extra Dark, 3.56 Oz, Organic Dark Chocolate Snacking Squares, Sea Salt, 3.56 Oz, Organic Dark Chocolate Snacking Squares, Tart Cherry, 3.28 Oz, Organic Dark Chocolate Wafer Bites, Almond Cream, 3.5 Oz, Organic Dark Chocolate Wafer Bites, Chocolate Cream, 3.5 Oz, Organic Dark Chocolate Wafer Bites, Hazelnut Cream, 3.5 Oz, Organic Dark Chocolate Wafer Bites, Peanut Butter Cream, 3.5 Oz, Organic Dark Chocolate Wafers with Peanut Butter Cream, 3.5 Oz, Organic Dark Hot Cocoa, 12 Oz, Organic Dark Maple Syrup, Pure 100% Grade A, Robust Flavor, 16 Fl Oz, Organic Dark Red Kidney Beans, 15 Oz, Organic Dark Robust Maple Syrup, 16 Oz (1 Pt), Organic Dates, Pitted, 4 Oz, Organic Deli Style Spicy Brown Mustard, 9 Oz, Organic Dia De Los Muertos Yellow Corn Tortilla Chips, 11 Oz, Organic Diced Tomatoes, 14.5 Oz, Organic Diced Tomatoes, 14.5 Oz, Organic Diced Tomatoes, 28 Oz, Organic Dill (0.5 oz clamshell), Organic Dill (0.75 oz clamshell), Organic Dill PurÃ©e, 2.8 Oz, Organic Dipped Granola Bars, Caramel, Value Size (10 Ct), Organic Ditalini Pasta, 1 Lb, Organic Domestic Unsalted Roasted Pumpkin Seeds, 1 Lb, Organic Double Concentrated Tomato Paste, 4.6 Oz, Organic Dried Banana, 2 Oz, Organic Dried Chili Mango, Regenerative Organic Certified, 3 Oz, Organic Dried Cranberries, 14 Oz, Organic Dried Cranberries, 14 Oz, Organic Dried Figs, 6oz, Organic Dried Goji Berries, 12 Oz, Organic Dried Kent Mango, Dark Chocolate, 2.12 Oz, Organic Dried Kent Mango, Enchilado, 2.12 Oz, Organic Dried Kent Mango, Matcha, 2.12 Oz, Organic Dried Kent Mango, Natural, 2.12 Oz, Organic Dried Mango Slices, 8 Oz, Organic Dried Mango, 1 Lb, Organic Dried Pineapple Pieces, 8 Oz (10 Ct), Organic Dried Pineapple Rings, 3.5 Oz, Organic Dried Pineapple, 10 Oz, Organic Dried Pineapple, 2 Oz, Organic Dried Turkish Apricots, 14 Oz, Organic Dried Turkish Apricots, 14 Oz, Organic Dried Turkish Figs, 8 Oz, Organic Drink &amp; Eat Coconut, 26.4 Oz, Organic Earl Grey Tea, 20 Ct, Organic Earth Greens Arugula (5 oz), Organic Earth Greens Baby Spinach (5 oz), Organic Earth Greens Lettuce Tender Greens (5 oz pack), Organic Earthbound Farms Baby Arugula (5oz clamshell), Organic Earthbound Farms Baby Spinach (5oz clamshell), Organic Earthbound Farms Spring Mix (5oz clamshell), Organic Easter Giggles, 5 Oz (10 Ct), Organic Easter Gummy Fruits, 10 Ct, Organic Easter Gummy Fruits, 7 Oz (10 Ct), Organic Easter Lollipops, 40 Ct, Organic Easter Lollipops, 8.7 Oz, Organic Edamame Spirulina Spaghetti, 8 Oz, Organic Eggnog, 32 Fl Oz, Organic Eggplant (ct), Organic Eggplant Graffiti (ct), Organic Elbows, 8 Oz, Organic Elderflower &amp; Rose Lemonade, 8.4 Fl Oz, Organic Elderflower Lemonade, 8.4 Fl Oz, Organic English Breakfast Tea, 20ct, Organic English Muffins, 6 Ct, Organic English Muffins, Rockin' Grains, 6 Ct, Organic Enriched Rice Milk, 32 Fl Oz, Organic Everything Puffed Kelp Chips, 2 Oz, Organic Extra Thick Rolled Oats, 32 Oz, Organic Extra Virgin Olive Oil Duo Gift Set, 17 Fl Oz, Organic Extra Virgin Olive Oil Spray, 5 Fl Oz, Organic Extra Virgin Olive Oil, 16 Fl Oz, Organic Extra Virgin Olive Oil, 17 Oz, Organic Extra Virgin Olive Oil, 32 Fl Oz, Organic Extra Virgin Olive Oil, Authentic Greek, 25.4 Oz, Organic Extra Virgin Olive Oil, Premium Everyday, 16.9 Fl Oz, Organic Extra Virgin Olive Oil, Premium, 16.9 Fl Oz, Organic Fair Trade Cocoa Chocolate Truffles, 5.3 Oz, Organic Fair Trade Whole Bean Coffee, Honduras, 12 Oz, Organic Farro, 16 Oz (1 Lb), Organic Fat Free Milk, 32 Fl Oz (1 Qt), Organic Fat Free Traditional Refried Beans, 16 Oz, Organic Fennel (ct), Organic Fettuccine, 17.6 Oz, Organic Finely Shredded Mozzarella Cheese, 6 Oz, Organic Finely Shredded Three Cheese Mexican Blend, 6 Oz, Organic Flax Mylk, Unsweetened Vanilla, 33.8 Fl Oz, Organic Flax Seed Crackers, Rosemary, 5 Oz, Organic Flax Seed Crackers, Savory, 5 Oz, Organic Flax Seed Crackers, Sea Salt, 5 Oz, Organic Flax Seeds, 1 Lb, Organic Flour Tortillas, 10.8 Oz (6 Ct), Organic Flour Tortillas, Burrito Size, 13.5 Oz (6 Ct), Organic Free Range Chicken Broth, 32 Fl Oz, Organic Free Range Low Sodium Chicken Broth, 32 Fl Oz, Organic Free Range Medium Eggs, 1 Dz, Organic Free-Range Brown Eggs, Large, 12 Ct (1 Dz), Organic Free-Range Brown Eggs, Medium, 1 Dz, Organic Free-Range Chicken Broth, 33.8 Fl Oz, Organic Freezer Pops, 30 Fl Oz (20 Ct), Organic French Style Winter Truffle Spread, 6.5 Oz, Organic Frisee (1 head), Organic Frosted Berry Strawberry Toaster Pastries, 22 Oz, Organic Fruit &amp; Nut Antioxidant Trail Mix, 16 Oz, Organic Fruit &amp; Nut Mix, 16 Oz, Organic Fruit &amp; Nut Trail Mix, 16 Oz (1 Lb), Organic Fruit &amp; Veggie Blend Pouch, Green Kale &amp; Apples, 3.2 Oz, Organic Fruit &amp; Veggie Blend Pouch, OhMyMega Veggie, 3.2 Oz, Organic Fruit &amp; Veggie Blend Pouch, Wild Rumpus Avocado, 3.2 Oz, Organic Fruit and Nut Granola, 13.5 Oz, Organic Fruit and Veggiez Variety Pack, 4 Ct, Organic Fruit Gummies, Mango Passionfruit, 2.5 Oz, Organic Fruit Jerky, Banana with Pecans, 0.8 Oz (12 Ct), Organic Fruit Jerky, Banana, 9.7 Oz (12 Ct), Organic Fruit Jerky, Mango with Cacao Drizzle, 0.8 Oz (12 Ct), Organic Fruit Jerky, Mango with Cacao Drizzle, 2.8 Oz, Organic Fruit Jerky, Mango with Chili and Salt, 0.8 Oz (12 Ct), Organic Fruit Jerky, Mango, 0.8 Oz (12 Ct), Organic Fruit Jerky, Pineapple Coconut with Cacao Drizzle, 12 Ct, Organic Fruit Jerky, Pineapple with Chili and Salt, 0.8 Oz (12 Ct), Organic Fruit Jerky, Pineapple with Coconut, 12 Ct, Organic Fruit Snacks Box, 10 Ct, Organic Fruit Snacks, 5 Oz, Organic Fruit Snacks, Building Blocks, 7 Oz, Organic Fruit Strips, Original Acai, 0.35 Oz, Organic Fruit Tape, Strawberry, 4.5 Oz (6 Ct), Organic Fruit Tape, Variety Pack, 9 Oz (12 Ct), Organic Fusilli Pasta, 16 Oz, Organic Fusilli Pasta, 16 Oz (1 Lb), Organic Fusilli, 17.6 Oz, Organic Garam Masala, 1 Oz, Organic Garbanzo Beans, 25 Oz, Organic Garlic (3 ct sleeve), Organic Garlic and Herb Cashews, 8 Oz, Organic Garlic and Herb Cashews, 8oz, Organic Garlic Herb Cashews, 8 Oz, Organic Ghee with Pink Himalayan Salt, 12 Oz, Organic Ghee, 13 Oz, Organic Ginger &amp; Turmeric Herbal Tea, 20 Ct, Organic Ginger (3 oz sleeve), Organic Ginger PurÃ©e, 2.8 Oz, Organic Ginger Tea, 1.4 Oz (20 Ct), Organic Ginger Turmeric Broth, 32 Fl Oz, Organic Gluten Free Almond SuperBites, 2.4 Oz, Organic Gluten Free Cashew Coconut SuperBites, 2.4 Oz, Organic Gluten Free Stroopwafel, Caramel, 1.16 Oz, Organic Gluten-Free Almond Dragonfruit SuperBites, 2.4 Oz, Organic Gluten-Free Brown Rice Flour, 24 Oz, Organic Gluten-Free Cereal, Mini Fruitfuls, 11.1 Oz, Organic Gluten-Free Elbow Pasta, 8 Oz, Organic Gluten-Free Linguine Pasta, 8 Oz, Organic Gluten-Free Overnight Oats, Apple Cinnamon, 8 Oz, Organic Gluten-Free Overnight Oats, Cinnamon Raisin, 8 Oz, Organic Gluten-Free Overnight Oats, Original, 8 Oz, Organic Gluten-Free Peanut Dark Chocolate SuperBites, 2.4 Oz, Organic Gluten-Free Peanut SuperBites, 2.4 Oz, Organic Gluten-Free Penne, 9.6 Oz, Organic Gluten-Free Restaurant Tortilla Chips, Sea Salt and Lime, 11 Oz, Organic Gluten-Free Spaghetti Pasta, 8 Oz, Organic Gluten-Free Steel Cut Oats, 24 Oz, Organic Gluten-Free Stroopwafel, Caramel, 1.16 Oz (4 Ct), Organic Gluten-Free Stroopwafel, Dark Chocolate Dipped, 1.16 Oz (4 Ct), Organic Gluten-Free Stroopwafel, French Vanilla, 1.16 Oz (4 Ct), Organic Goddess Dressing, Creamy Tahini &amp; Lemon, 8 Fl Oz, Organic Golden Cake Scratch Quality Baking Mix, Organic Golden Chai Tea Almond Latte, 11 Fl Oz, Organic Golden Mellow Mix, 7.05 Oz, Organic Gourmet Mushroom of the Week (8 oz clamshell), Organic Graham Sandwiches, Birthday Cake, 8 Oz, Organic Grain-Free Coconut Flour, 1 Lb, Organic Granny Smith Apple Chips, 3.0 Oz, Organic Granola Minis, Chocolate Chip, 4 Ct, Organic Granola Minis, Chocolate Chip, 4.25 Oz (5 Ct), Organic Granola Oats and Honey, 16 Oz, Organic Granola, Classic, 16 Oz, Organic Granola, Dark Chocolate Almond, 11 Oz, Organic Granola, Honey Oat, 16 Oz, Organic Granola, Oats &amp; Honey, 6 Oz, Organic Grape Champagne (1 lb clamshell), Organic Grape Green Seedless (2 lb clamshell), Organic Grape Red Seedless (2 lb clamshell), Organic Grape Thomcord (1 lb clamshell), Organic Grapefruit (ct), Organic Grass Fed Ground Beef, 16oz, Organic Grass-Fed Ground Beef 85/15, 1lb, Organic Grassfed Mighty Beef Jerky, Chipotle Lime, 2 Oz, Organic Grassfed Mighty Beef Jerky, Pineapple Chili, 2 Oz, Organic Grassfed Shelf Stable 2% Chocolate Milk, 8 Oz (4 Ct), Organic Gravy Mix, Roasted Turkey, 0.85 Oz, Organic Green Bean (1 lb bag), Organic Green Lentils, 16 Oz, Organic Green Onion (ct), Organic Green Split Lentils, 1 Lb, Organic Green Tea with Jasmine, 20 Ct, Organic Green Tea, 20 Ct, Organic Green Tea, 30 Teabags, Organic Ground Beef, Grass-Fed, 93% Lean, 75% Fat, 16 Oz (1 Lb), Organic Ground Cayenne Pepper, 1 Oz, Organic Ground Cinnamon, 1 Oz, Organic Ground Cloves, 2.82 Oz, Organic Ground Coffee, Birchwood Breakfast Blend, 12 Oz, Organic Ground Coffee, Blue Ox, 12 Oz, Organic Ground Coffee, French Roast Signature Blend, 12 Oz, Organic Ground Coffee, Guatemala Single Origin Dark Roast, 12 Oz, Organic Ground Coffee, Love Buzz, 10 Oz, Organic Ground Coffee, Mind Body &amp; Soul, 12 Oz, Organic Ground Coffee, Peru Single Origin, 12 Oz, Organic Ground Coffee, Think, 12 Oz, Organic Ground Coffee, Tree Hugger Signature Blend, 12 Oz, Organic Ground Coffee, Twin Cities Signature Blend, 12 Oz, Organic Ground Half Caf Coffee, Balance, 12 Oz, Organic Ground Nutmeg, 1 Oz, Organic Ground Nutmeg, 2.3 Oz, Organic Ground Turmeric, 1 Oz, Organic Gummy Fruits, 5 Oz, Organic Gummy Fruits, Halloween, 7 Oz (10 Ct), Organic Gummy Fruits, Halloween, 7.5 Oz (15 Ct), Organic Half &amp; Half, 16 Fl Oz, Organic Half and Half, 32 Fl Oz, Organic Half Tea &amp; Half Lemonade, 16 Fl Oz, Organic Halloween Candies Variety Pack, 50 Ct, Organic Halloween Giggles, Organic Halloween Gummy Fruits, 10 Ct, Organic Halloween Lollipops, 40 Ct, Organic Hard Candy, Variety, 1.94 Oz, Organic Hass Avocado Small (ct), Organic Hawaiian Style BBQ Sauce, 17.5 Oz, Organic Hearts of Palm Lasagna, 15.2oz, Organic Hearts of Palm Spaghetti, 15.2oz, Organic Hearty Oat Muffin Baking Mix, 14 oz, Organic Heirloom Tomato Pizza Sauce, 12 Oz, Organic Herbal Tea, Sweet &amp; Spicy, 4 Ct, Organic Hibiscus Berry Tea, 30 Teabags, Organic Himalaya Green Tea, 15 Ct, Organic Hint of Sea Salt Cultured Vegan Butter, 8 Oz, Organic Holiday Gummy Fruits, 7 Oz (10 Ct), Organic Honey &amp; Nuts Granola, 12 Oz, Organic Honey &amp; Nuts Granola, 12oz, Organic Honey Bunny Grahams, 7.5 Oz, Organic Honey Nut O's Cereal, 9.5 Oz, Organic Honey Roasted Sliced Turkey, 6 Oz, Organic Honey, 16 Oz, Organic Honeycrisp Apple Cider, 64 Fl Oz, Organic Honeycrisp Apple Sauce Jar, 24 Oz, Organic Honeydew Orange (ct), Organic Hot Cocoa Mix, 12 Oz, Organic Hummus, 8 Oz, Organic Hummus, Preserved Lemon, 8 Oz, Organic Ice Cream Shop Fruit Snack, 4 Oz (5 Ct), Organic Iced Green Tea, Unsweetened Passionfruit, 16 Fl Oz, Organic Iced Green Tea, Zero Calorie Raspberry, 16 Fl Oz, Organic Iced Tea, Easy Green, 12 Fl Oz, Organic Iced Tea, Giant Peach, 13.8 Fl Oz, Organic Iced Tea, Green Tea, 13.8 Fl Oz, Organic Iced Tea, Hibiscus Fusion, 12 Fl Oz, Organic Iced Tea, Watermelon Black, 12 Fl Oz (4 Ct), Organic Immunity Beverage, Blackberry &amp; Lemon &amp; Rosemary, 14.4 Fl Oz, Organic Immunity Beverage, Blood Orange &amp; Coconut, 14.4 Fl Oz, Organic Immunity Beverage, Grapefruit &amp; Mint &amp; Basil, 14.4 Fl Oz, Organic Immunity Boost Elderberry Juice Shots, 2 Fl Oz, Organic Immunity Boost Juice Shots, 2 Fl Oz, Organic Immunity Boost Shot, 4 Pack, Organic Indian Channa Masala, 10 Oz, Organic Indian Coconut Squash Dal, 10 Oz, Organic Instant Coffee, Fair Trade, 3.53 Oz, Organic Irish Moss Powder, 8 Oz, Organic Italian Herbs PurÃ©e, 2.8 Oz, Organic Jackfruit In Brine with Lime, 13.5 Oz, Organic Jackfruit, BBQ, 10.6 Oz, Organic Jackfruit, Chili &amp; Lime, 10.6 Oz, Organic Jackfruit, In Brine, 13.5 Oz, Organic Jackfruit, Original, 10.6 Oz, Organic Jackfruit, Shredded BBQ, 13.5 Oz, Organic Jalapeo Pure, 2.8 Oz, Organic Jasmine Rice Pouch, 8 Oz, Organic Jasmine Rice, 8.8 Oz, Organic Jasmine Rice, 90-Second, 8 Oz, Organic Jicama (ct), Organic Jodphur Lentils, 10 Oz, Organic Kalamata Olives, Pitted, 10.2 Oz, Organic Kale Green Curly (bunched), Organic Kale Lacinato (bunched), Organic Kale Red (bunched), Organic Kashmir Spinach, 10 Oz, Organic Kefir, Lowfat, Raspberry, 32 Fl Oz (1 Qt), Organic Kernza Baking Blend, 1 Lb, Organic Ketchup, 12 Fl Oz, Organic Ketchup, 24 Oz, Organic Keto Brownie Mix, 9.98oz, Organic Keto Cereal, Cinnamon Toast, 9 Oz, Organic Kids Cereal, Berry Super Loops, 9.5 Oz, Organic Kids Chocolate Bars, 5.2 Oz, Organic Kids Chocolate Cereal, 9.5 Oz, Organic Kids Whole Grain Bars, Strawberry, 5.2 Oz, Organic King Artichoke (ct), Organic Kiwi Gold (1 lb clamshell), Organic Kiwi Green (ct), Organic Koginut Squash, Organic Kombucha Lite, Orange Squeeze, 12 Fl Oz, Organic Kombucha Lite, Pineapple Ginger Ale, 12 Fl Oz, Organic Kombucha Lite, Pink Grapefruit, 12 Fl Oz, Organic Kombucha Lite, Strawberry Limeade, 12 Fl Oz, Organic Kombucha, Blood Orange Ginger, 14 Fl Oz, Organic Kombucha, Cherry Limeade, 14 Fl Oz, Organic Kombucha, Clear Mind, 12 Fl Oz (4 Ct), Organic Kombucha, Coastal Cranberry, 14 Fl Oz, Organic Kombucha, Crisp Apple, 14 Fl Oz, Organic Kombucha, Dark Cherry Vanilla, 14 Fl Oz, Organic Kombucha, Love Wins, 14 Fl Oz, Organic Kombucha, Peach Punch, 14 Fl Oz, Organic Kombucha, Pineapple Paradise, 12 Fl Oz (4 Ct), Organic Kombucha, Pink Lemonade, 14 Fl Oz, Organic Kombucha, Snickerdoodle, 14 Fl Oz, Organic Kombucha, Strawberry Fields, 12 Fl Oz (4 Ct), Organic Kombucha, Strawberry Fields, 14 Fl Oz, Organic Kombucha, Superberry, 14 Fl Oz, Organic Lactose-Free 1% Milk, Chocolate, 64 Fl Oz, Organic Large Ettinger Avocado, Organic Large Pasture-Raised Eggs, 1 Dz, Organic Leek (1 bunch), Organic Leek (ct), Organic Lemon &amp; Coconut Snack Bar, 1.1 Oz, Organic Lemon (2 lb bag), Organic Lemon Meyer (1 lb bag), Organic Lemongrass Herbal Tea, 30 Teabags, Organic Lentil Soup, 14.5 Oz, Organic Lentil Soup, No Salt, 15 Oz, Organic Lentil Vegetable Soup, 14.5 Oz, Organic Lentil Vegetable Soup, Low Sodium, 14.5 Oz, Organic Lettuce Green Leaf (ct), Organic Lettuce Iceberg (ct), Organic Lettuce Iceberg Baby (ct), Organic Lettuce Red Leaf (ct), Organic Lettuce Romaine (ct), Organic Lettuce Romaine Hearts (1 bag 3 ct), Organic Lettuce Spring Mix (5 oz clamshell), Organic Light Brown Sugar, 1.5 Lbs, Organic Lime Sweet (1 lb bag), Organic Limes Small (ct), Organic Lite Coconut Milk, 13.5 Fl Oz, Organic Low Sodium Chunky Tomato Bisque, 14.5 Oz, Organic Low Sodium Vegetable Broth, 32 Fl Oz, Organic Low Sodium Vegetarian No-Chicken Broth, 32 Fl Oz, Organic Lowfat Cottage Cheese, 16 Oz, Organic Low-Sodium Vegetable Broth, 32 Fl Oz, Organic Mac &amp; Cheese, Broccoli, 6 Oz, Organic Mac &amp; Cheese, Four Cheese, 6 Oz, Organic Mac &amp; Cheese, Kickin' Kale Cheddar, 6 Oz, Organic Mac &amp; Cheese, Southwest, 6 Oz, Organic Maca Powder, 8 Oz, Organic Macadamia Nuts, Roasted &amp; Salted, 4 Oz, Organic Madagascar Vanilla Extract, 1 Oz, Organic Madras Lentils 3 Bean, 10 Oz, Organic Madras Lentils, 10 Oz, Organic Madras Lentils, Hot and Spicy, 10 Oz, Organic Maitake Mushroom Powder, 4 Oz, Organic Mandarin (2 lb bag), Organic Mandarin Gold Nugget (ct), Organic Mango (ct), Organic Mango Bites, 6 Oz, Organic Mango Bites, 6 Oz, Organic Mango Fruit Strips, 12 Oz, Organic Mango Honey (ct), Organic Mango Slices, 8 Oz, Organic Maple Butter, 9.5 Oz, Organic Maple Roasted Cashews, 8 Oz, Organic Maple Syrup, 8 Fl Oz, Organic Maple Syrup, Golden Color, 8.5oz, Organic Maple Water, 16.9 Fl Oz, Organic Marinara Pasta Sauce, 25 Fl Oz, Organic Marinara Sauce, 25 Oz, Organic Matcha Green Tea Almond Milk Latte, 11 Fl Oz, Organic Mayo, Squeeze Bottle, 11.25 Oz, Organic Mayonnaise, 16oz, Organic Medium Brown Eggs, 1 Dz, Organic Medium Chili, 14.7 Oz, Organic Medjool Dates, 1 Lb, Organic Medjool Dates, 12 Oz, Organic Mega Beet (ct), Organic Melon Honeydew (ct), Organic Menthol Cough Drops, Throat Coat Eucalyptus Mint, 2.67 Oz (16 Ct), Organic Mesa Sunrise Cereal, 26.4 Oz, Organic Microwavable Quinoa with Chickpeas &amp; Garlic, 8 Oz, Organic Microwavable Quinoa with Sea Salt, 8 Oz, Organic Mild Taco Seasoning Mix, 1 Oz, Organic Minestrone Soup, 14.5 Oz, Organic Mini Bunny Fruit Snacks, 5 Pk, Organic Mini Yellow Rounds Tortilla Chips, 7.5 Oz, Organic Mint (0.75 oz clamshell), Organic Mint 1 clamshell (0.5 oz), Organic Mint Chocolate Pot de CrâˆšÂ®me, 3.5 Oz, Organic Mint Creme Truffle Thins, 2.96 Oz, Organic Miso Broth, 32 Fl Oz, Organic Mixed Berry Overnight Oats, 5.3 Oz, Organic Mocha Cold Brew Almond Milk Latte, 11 Fl Oz, Organic Moringa Spirulina Blend, 6 Oz, Organic Moroccan Mint Green Tea, 16 Fl Oz, Organic Moroccan Soup, 33.8 Oz, Organic Mulberries, 8 Oz, Organic Mung Bean Rotini, 8 Oz, Organic Mushroom Baby Bella (8 oz pack), Organic Mushroom Immune Blend Powder, 4 Oz, Organic Mushroom Lion's Mane (ct), Organic Mushroom Oyster (6oz clamshell), Organic Mushroom Oyster (ct), Organic Mushroom Portabella (6 oz pack), Organic Mushroom Portabello (8 oz tray), Organic Mushroom Shiitake (3.5 oz pack), Organic Mushroom Shiitake (6 oz pack), Organic Mushroom White (8 oz pack), Organic Nectarine (2 lb bag), Organic No Added Sugar Granola, Blueberry Vanilla, 11 Oz, Organic No Added Sugar Granola, Cinnamon Apple, 11 Oz, Organic No Salt Added Chicken Broth, 32 Fl Oz, Organic No Sugar Kombucha, Orange Splash, 11.2 Fl Oz (4 Ct), Organic No Sugar Kombucha, Raspberry Lemonade, 11.2 Fl Oz (4 Ct), Organic No Sugar Mixed Berry Kombucha, 11.2 Fl Oz (4 Ct), Organic No Sugar Peach Kombucha, 11.2 Fl Oz (4 Ct), Organic Non-Fat Skyr, Lemon Elderflower, 4.4 Oz, Organic Non-Fat Skyr, Plain, 16 Oz, Organic Non-Fat Skyr, Strawberry &amp; Rhubarb, 4.4 Oz, Organic Non-Fat Skyr, Vanilla, 4.4 Oz, Organic Nut Butter, Chocolate Power Fuel, 12oz, Organic Oat and Flax Mylk, Unsweetened, 33.8 Fl Oz, Organic Oat Bran Flakes, 12 Oz, Organic Oat Crackers, 8.8oz, Organic Oat Milk Latte, Vanilla, 7 Fl Oz, Organic Oat Milk, 1L, Organic Oat Milk, Chocolate, 28 Fl Oz, Organic Oat Milk, Chocolate, 32 Fl Oz, Organic Oat Milk, Original, 32 Fl Oz, Organic Oatmeal Chocolate Chunk Cookie Baking Mix, Organic Old Fashioned Oats, 18 Oz, Organic Olive Forest Loose Leaf Tea, 2.82 Oz, Organic Onion Red (2lb bag), Organic Onion Yellow (2lb bag), Organic Orange Blood (2 lb bag), Organic Orange Cara Cara (3 lb bag), Organic Orange Navel (ct), Organic Orange Valencia (3 lb bag), Organic Orange Valencia Small (ct), Organic Original Green Tea, 16 Fl Oz, Organic Original Paneer, 6 Oz, Organic Original Stuffing, 12 Oz, Organic Original Waffle &amp; Pancake Mix, 16 Oz (1 Lb), Organic Oven Baked Mac &amp; Cheese Shells, White Cheddar, 11.9 Oz, Organic Overnight Oat Bars, Dark Chocolate Cherry, 2 Oz (8 Ct), Organic Pancake/Waffle Mix, Apple Cider, 22 Oz, Organic Paneer, Turmeric Twist, 6 Oz, Organic Parmesan Cheese, Grated, 4 Oz, Organic Parmesan Cheese, Shredded, 4 Oz, Organic Parsley Italian (ct), Organic Parsley PurÃ©e, 2.8 Oz, Organic Pasta Sauce, Italian Herb, 23.5 Oz, Organic Pasta Sauce, Roasted Garlic, 24 Oz, Organic Pasta, Orecchiette, 16 Oz, Organic Pasture-Raised Eggs - Large, 24oz, Organic Peach (2 lb bag), Organic Peach Oolong Tea, 16 Fl Oz, Organic Peanut Butter Banana Brittle, 3.5 Oz, Organic Peanut Butter Cup, Milk Chocolate, 1.4 Oz, Organic Peanut Butter Dipped Banana Bites, 3.5 Oz, Organic Peanut Butter Puffs, Dark Chocolate, 3.5 Oz, Organic Peanut Butter Puffs, Strawberry PB&amp;J, 3.5 Oz, Organic Pear Autumn Bartlett (ct), Organic Pear Bartlett (2lb bag), Organic Pear Bartlett (ct), Organic Pear Bosc (2 lb bag), Organic Pear Bosc (ct), Organic Pear D'anjou Green (2 lb bag), Organic Pear Red Anjou (ct), Organic Penne Pasta, 16 Oz, Organic Penne Pasta, 16 Oz (1 Lb), Organic Penne, 17.6 Oz, Organic Pepper Hot Medley (12 oz bag), Organic Pepper Jalapeño (8 oz bag), Organic Pepper Jalapeno (ct), Organic Pepper Padron (1 pt clamshell), Organic Pepper Shishito (1 pt clamshell), Organic Pepper Shishito (ct), Organic Peppermint Tea, 1.42 Oz (20 Ct), Organic Peppermint Tea, 16 Ct, Organic Peppermint Tea, 20 Tea Bags, Organic Persimmon Fuyu (ct), Organic Persimmon Hachiya (ct), Organic Petit Toasts, 2.8 Oz, Organic Picked Beet Chips, 1.4 Oz, Organic Pineapple (ct), Organic Pineapple Rings, Dried, 5.5 Oz, Organic Pink Rice, 15 Oz, Organic Pistachio Pudding, 2 Ct, Organic Pitted Deglet Noor Dates, 8.8 Oz, Organic Plain Whole Milk Yogurt, 32 Oz (1 Qt), Organic Plantain Chips, Acapulco Lime, 5 Oz, Organic Plantain Chips, Spicy Mango Salsa, 5 Oz, Organic Plantain Crisps, Garlic, 4 Oz, Organic Plantain Crisps, Sea Salt, 4 Oz, Organic Plant-Based Chili Crisp Dip, 8 Oz, Organic Plant-Based Dark Chocolate Pudding, 3.5 Oz, Organic Plant-Based Oatmilk Pudding, Chocolate, 8 Oz, Organic Plant-Based Protein Powder, Creamy Chocolate Fudge, 16.3 Oz, Organic Plant-Based Protein Powder, Creamy Chocolate Fudge, 32.4 Oz, Organic Plant-Based Protein Powder, Vanilla Bean, 16.3 Oz, Organic Plant-Based Protein Powder, Vanilla Bean, 32.4 Oz, Organic Plant-Based Sambal Sweet Chili Dip, 8 Oz, Organic Plant-Based Sour Cream Alternative, 8.5 Oz, Organic Plant-Based Sour Cream, 12 Oz, Organic Plant-Based Vanilla Rice Pudding, 3.5 Oz, Organic Plum (2 lb bag), Organic Plum (lb), Organic Pomegranate Green Tea Sparkling Water 12 Fl Oz, 8 Pk, Organic Pomelo (ct), Organic Popcorn Snack Pack, Himalayan Gold, 3.68 Oz (8 Ct), Organic Popcorn, Avocado-licious, 5 Oz, Organic Popcorn, Halloween Multipack, 8.28 Oz (18 Ct), Organic Popcorn, Himalayan Gold, 4.6 Oz, Organic Popcorn, Himalayan Pink Salt, 5 Oz, Organic Popcorn, Himalayan Pink Salt, 6.75 Oz, Organic Popcorn, Himalayan Sweetness, 6.4 Oz, Organic Popcorn, Homer's Blend, 4.6 Oz, Organic Popcorn, Pumpkin Spice, 6.4 Oz, Organic Popcorn, Watermelon Hibiscus, 4.6 Oz, Organic Popcorn, White Cheddar, 5 Oz, Organic Potato Baby Mixed Medley (1.5 lb bag), Organic Potato Chips, Sea Salt &amp; Vinegar, 5oz, Organic Potato Chips, Sea Salt, 5oz, Organic Potato Gold Baby (1.5 lb bag), Organic Potato Red (3lb bag), Organic Potato Russet (3lb bag), Organic Potato Russet Jumbo Baker (ct), Organic Potato Yellow (3lb bag), Organic Potato Yellow Jumbo (ct), Organic Poultry Herb Mix 1 clamshell (1.5 oz), Organic Powdered Sugar, 1 Lb, Organic Powdered Sugar, 16 Oz (1 Lb), Organic Power Snacks, Blueberry Hemp, 8 Oz, Organic Power Snacks, Cacao Goji, 8 Oz, Organic Prebiotic Pop, Apple Snap, 12 Fl Oz, Organic Prebiotic Pop, Juicy Grape, 12 Fl Oz, Organic Private Select Extra Virgin Olive Oil, 500 mL, Organic Protein Chewy Bars, Peanut Butter Dark Chocolate Chip, 8.85 Oz (5 Ct), Organic Protein Drink, Dark Cocoa, 12 Fl Oz, Organic Protein Drink, Oatmeal Cookie, 12 Fl Oz, Organic Protein Drink, Strawberries &amp; Cream, 12 Fl Oz, Organic Protein Granola, Honey Cashew, 9 Oz, Organic Protein Rice Blend, 16 Oz, Organic Pumpkin Pie (ct), Organic Pumpkin Puree, 15 Oz, Organic Pumpkin Puree, 15 Oz, Organic Pumpkin Seeds, 12 Oz, Organic Pumpkin Spice Pudding, 3.5 Oz, Organic Pumpkin Spice, 1.94 Oz, Organic Pure Maple Syrup, Amber Rich, 16 Fl Oz, Organic Pure Vanilla Extract, 4 Fl Oz, Organic Quick Cook Steel Cut Oats, 24 Oz, Organic Quinoa Blend, Garlic &amp; Herb Entree, 5.5 Oz, Organic Quinoa, 14 Oz, Organic Quinoa, 16 Oz, Organic Quinoa, Antique White, 16 Oz, Organic Quinoa, Tri-Color Blend, 16oz, Organic Radicchio (ct), Organic Radicchio Castelfranco (ct), Organic Radicchio Mixed Variety (ct), Organic Radicchio Treviso (ct), Organic Radish Easter (ct), Organic Radish Red (ct), Organic Radish Red Watermelon (ct), Organic Rainbow Carrot Pieces, 2.2 Oz, Organic Ramen Broth, 32 Oz, Organic Raw Almonds, 16 Oz, Organic Raw Almonds, 16 Oz (1 Lb), Organic Raw and Unfiltered Honey, 16 Oz (1 Lb), Organic Raw Apple Cider Vinegar, 32 Fl Oz, Organic Raw Walnut Halves &amp; Pieces, 12 Oz, Organic Raw Walnut Halves &amp; Pieces, 12 Oz, Organic Red Lentil Everyday Dal, 10 Oz, Organic Red Lentils, 16 Oz, Organic Red Quinoa, 16 Oz, Organic Red Raspberry Breakfast Grains, 4.41 Oz, Organic Red Reishi Mushroom Powder, 4 Oz, Organic Red Split Lentils, 1 Lb, Organic Red Wine Vinegar, 16.9 Fl Oz, Organic Red Wine Vinegar, 16.9 Fl Oz, Organic Reduced Fat 2% Milk, 32 Fl Oz (1 Qt), Organic Reduced Fat 2% Milk, 64 Fl Oz, Organic Reduction with Balsamic Vinegar, 8.45 Oz, Organic Refried Beans With Vegan Chorizo, 10 Oz, Organic Refried Black Beans, 16 Oz, Organic Refried Pinto Beans, 10 Oz, Organic Regenerative Brown Rice, Short Grain, 32 Oz (2 Lbs), Organic Regenerative White Rice, Long Grain, 32 Oz (2 Lbs), Organic Rice Cakes, Dark Chocolate Topped, 3.5 Oz, Organic Rice Crisps Cereal, 8.4 Oz, Organic Rice Milk, 32 Fl Oz, Organic Rice Milk, Original, 32 Fl Oz, Organic Rice Pudding, 14 Oz (1 Pt), Organic Rice Pudding, 21 Oz (6 Ct), Organic Rigate-Lumache, 17.6 Oz, Organic Risotto, Creamy Parmesan, 5.5 Oz, Organic Risotto, Wild Porcini Mushroom, 5.9oz, Organic Roasted &amp; Salted Almonds, 14 Oz, Organic Roasted &amp; Salted Almonds, 14 Oz, Organic Roasted &amp; Salted Cashews, 14 Oz, Organic Roasted &amp; Salted Cashews, 14 Oz, Organic Roasted &amp; Salted Mixed Nuts, 14 Oz, Organic Roasted &amp; Salted Mixed Nuts, 14 Oz, Organic Roasted Chicken Breast With Rib Meat, 5 Oz, Organic Roasted Garlic Pasta Sauce, 16 Oz, Organic Roasted Red Pepper &amp; Tomato Soup, 32 Fl Oz, Organic Roasted Salted Cashews, 8 Oz, Organic Roasting Herb Mix (0.5 oz clamshell), Organic Rolled Oats, Quick Cooking, 16 Oz, Organic Romanesco (ct), Organic Rooibos Tea, 20 Ct, Organic Rosemary (0.5 oz clamshell), Organic Rye Flour, 20 Oz, Organic Salsa, Chipotle, 16 Oz, Organic Salsa, Medium, 15.5 Oz, Organic Salsa, Roja, 16 Oz, Organic Salsa, Verde, 16 Oz, Organic Salted Caramel Chocolate Truffles, 4.2 Oz, Organic Salted Caramel Granola, 11.5 Oz, Organic San Francisco Sourdough Bread, 22 Oz, Organic San Marzano Style Tomatoes, Diced, 14.5 Oz, Organic Sandwich Breakfast Biscuits, Hazelnut &amp; Cocoa, 5.3 Oz, Organic Santa Fe Chicken Soup, 17.6 Oz, Organic Savory Seaweed Cashews, 8 Oz, Organic Savory Seeds, Chipotle Lime, 1 Oz (12 Ct), Organic Savory Seeds, Classic Barbecue, 1 Oz (12 Ct), Organic Savory Seeds, Mellow Curry, 1 Oz (12 Ct), Organic Savory Seeds, Simply Salted, 1 Oz (12 Ct), Organic Sea Salt Puffed Kelp Chips, 2 Oz, Organic Seaweed Sheets, Avocado Oil Roasted Sea Salt , 0.92 Oz, Organic Seaweed Snacks, BBQ, 1.69 Oz (12 Ct), Organic Seaweed Snacks, Sea Salt, 1.69 Oz (12 Ct), Organic Sesame Blues Tortilla Chips, 7.5 Oz, Organic Sesame Ginger Vinaigrette, 8 Fl Oz, Organic Shallot (3oz bag), Organic Shallots 1 bag (1.5 lbs), Organic Sharp Cheddar Cheese, 6 Oz, Organic Sharp Cheddar Cheese, 8 Oz, Organic Shredded Beef Single-Serve Pouch, 3 Oz, Organic Shredded Beef Single-Serve Pouch, No Salt Added, 3 Oz, Organic Shredded Sharp Cheddar Cheese, 6 Oz, Organic Simply Banana Chips, 2.7 Oz, Organic Sirloin Steak, Boneless, 6 Oz, Organic Sliced American Cheese, 6 Oz, Organic Sliced Baby Swiss Cheese, 6 Oz, Organic Sliced Cheese, Smoky Cheddar, 6 Oz, Organic Sliced Turkey Breast, Herb Roasted, 6 Oz, Organic Sliced Turkey, Oven Roasted Sugar-Free, 6 Oz, Organic Slightly Sweetened Flax Mylk, 32 Fl Oz, Organic Small Artichoke (ct), Organic Small Eggplant, Organic Smoky BBQ Pinto Beans, 10 Oz, Organic Smoothie Baby Food, Pineapple Orange Banana, 4.2 Oz, Organic Snack Mix, Cheddar, 9 Oz, Organic Sour Cream, 8 Oz, Organic Sourdough Sea Salt Crackers, 4.4 Oz, Organic Spaghetti Pasta, 16 Oz, Organic Spaghetti, 10oz, Organic Spaghetti, 16 Oz, Organic Spaghetti, 16 Oz (1 Lb), Organic Spaghetti, 17.6 Oz</t>
  </si>
  <si>
    <t>Supplements (Lavender Alcohol-Free Extract, Tincture, Glycerite), Supplements (Devil's Claw Alcohol-Free Extract, Tincture, Glycerite), Supplements (Horny Goat Weed Alcohol-Free Extract, Tincture, Glycerite), Supplements (Turmeric Alcohol-Free Extract, Tincture, Glycerite), Supplements (Valerian Alcohol-Free Extract, Tincture, Glycerite), Supplements (White Willow Alcohol-Free Extract, Tincture, Glycerite), Supplements (Catnip Alcohol-Free Extract, Tincture, Glycerite), Supplements (Tribal Crohn's Alcohol-Free Extract, Tincture, Glycerite), Supplements (Cholesterol Secret Alcohol-Free Extract, Tincture, Glycerite), Supplements (Tribal Inflam-ease Alcohol-Free Extract, Tincture, Glycerite), Supplements (PMS Secret Alcohol-Free Extract, Tincture, Glycerite), Supplements (Rhodiola Alcohol-Free Extract, Tincture, Glycerite), Supplements (Sage Alcohol-Free Extract, Tincture, Glycerite), Supplements (Tribal Detox Alcohol-Free Extract, Tincture, Glycerite), Supplements (Bupleurum Capsules), Supplements (Urgent Immune Boost Alcohol-Free Extract, Tincture, Glycerite), Supplements (Papaya Alcohol-Free Extract, Tincture, Glycerite), Supplements (Red Sage Capsules), Supplements (Sarsaparilla Alcohol-Free Extract, Tincture, Glycerite), Supplements (Sheep Sorrel Capsules), Supplements (Buchu Capsules), Supplements (Curry Leaf Capsules), Supplements (Chaga Alcohol-Free Extract, Tincture, Glycerite), Supplements (Tribal Restoration Alcohol-Free Extract, Tincture, Glycerite), Supplements (Stevia Alcohol Extract, Tincture), Supplements (Stevia Alcohol-Free Extract, Tincture, Glycerite), Supplements (Stevia Capsules), Supplements (Artichoke Alcohol Extract, Tincture), Supplements (Youth Secret Capsules), Supplements (Youth Secret Alcohol-Free Extract, Tincture, Glycerite), Supplements (Youth Secret Alcohol Extract, Tincture), Supplements (Saw Palmetto Alcohol-Free Extract, Tincture, Glycerite), Supplements (Slippery Elm Alcohol-Free Extract, Tincture, Glycerite), Supplements (Reishi Alcohol-Free Extract, Tincture, Glycerite), Supplements (Turmeric Alcohol-Free Extract, Tincture, Glycerite), Supplements (Skullcap Alcohol-Free Extract, Tincture, Glycerite), Supplements (Boldo Capsules), Supplements (Bloodroot Alcohol-Free Extract, Tincture, Glycerite), Supplements (Black Cohosh Alcohol-Free Extract, Tincture, Glycerite), Supplements (White Willow Alcohol-Free Extract, Tincture, Glycerite), Supplements (Andrographis Alcohol-Free Extract, Tincture, Glycerite), Supplements (Elecampane Alcohol-Free Extract, Tincture, Glycerite), Supplements (Rosemary Alcohol-Free Extract, Tincture, Glycerite), Supplements (St. John's Wort Alcohol-Free Extract, Tincture, Glycerite), Supplements (Wild Yam Alcohol-Free Extract, Tincture, Glycerite), Supplements (Devil's Claw Alcohol-Free Extract, Tincture, Glycerite), Supplements (Osha Alcohol-Free Extract, Tincture, Glycerite), Supplements (Devil's Claw Capsules), Supplements (Star Anise Capsules), Supplements (Yarrow Alcohol-Free Extract, Tincture, Glycerite), Supplements (American Ginseng Alcohol-Free Extract, Tincture, Glycerite), Supplements (Watercress Capsules), Supplements (Shepherd's Purse Alcohol-Free Extract, Tincture, Glycerite), Supplements (Artichoke Alcohol-Free Extract, Tincture, Glycerite), Supplements (Nutmeg Capsules), Supplements (Eyebright Alcohol-Free Extract, Tincture, Glycerite), Supplements (Ceylon Cinnamon Alcohol-Free Extract, Tincture, Glycerite), Supplements (Calendula Capsules), Supplements (Cascara Sagrada Alcohol-Free Extract, Tincture, Glycerite), Supplements (Dong quai Alcohol-Free Extract, Tincture, Glycerite), Supplements (Grains of Paradise Alcohol Tincture), Supplements (Tribal Heart Alcohol-Free Extract, Tincture, Glycerite), Supplements (Tribal Tranquility Alcohol-Free Extract, Tincture, Glycerite), Supplements (Blue Vervain Capsules), Supplements (Catuaba Alcohol Tincture), Supplements (Spearmint Capsules), Supplements (Respiratory Fortitude Alcohol-Free Extract, Tincture, Glycerite), Supplements (Diarrhea Tribal Care Alcohol-Free Extract, Tincture, Glycerite), Supplements (Tribal Warrior Alcohol-Free Extract, Tincture, Glycerite), Supplements (Sage Capsules), Supplements (Spearmint Alcohol-Free Extract, Tincture, Glycerite), Supplements (Goat's Rue Capsules), Supplements (Sarsaparilla Capsules), Supplements (Couch Grass/Dog Grass Alcohol-Free Extract, Tincture, Glycerite), Supplements (Red Clover Herb Alcohol-Free Extract, Tincture, Glycerite), Supplements (Hirsu Secret Alcohol-Free Extract, Tincture, Glycerite), Supplements (Dream Secret Alcohol-Free Extract, Tincture, Glycerite), Supplements (Varicose Vein Alcohol-Free Extract, Tincture, Glycerite), Supplements (Stinging Nettle Root Alcohol Extract, Tincture), Supplements (Anise Seed Capsules), Supplements (Tribulus Alcohol-Free Extract, Tincture, Glycerite), Supplements (Blue Cohosh Alcohol-Free Extract, Tincture, Glycerite), Supplements (Blood Pressure Secret Alcohol-Free Extract, Tincture, Glycerite), Supplements (Stamina secret Alcohol-Free Extract, Tincture, Glycerite), Supplements (Artichoke Alcohol-Free Extract, Tincture, Glycerite), Supplements (Chicory Capsules), Supplements (Parsley Capsules), Supplements (Red Rose Alcohol-Free Extract, Tincture, Glycerite), Supplements (Coriander Alcohol-Free Extract, Tincture, Glycerite), Supplements (Osha Alcohol Extract, Tincture), Supplements (California Poppy Capsules), Supplements (Onion Capsules), Supplements (Dan Shen Alcohol-Free Extract, Tincture, Glycerite), Supplements (Red Sage Alcohol-Free Extract, Tincture, Glycerite), Supplements (Comfrey Leaf Alcohol-Free Extract, Tincture, Glycerite), Supplements (Tame the Monster Alcohol-Free Extract, Tincture, Glycerite), Supplements (White Oak Alcohol-Free Extract, Tincture, Glycerite), Supplements (Shatavari Alcohol-Free Extract, Tincture, Glycerite), Supplements (Stinging Nettle Leaf Alcohol-Free Extract, Tincture, Glycerite), Supplements (White Peony Alcohol-Free Extract, Tincture, Glycerite), Supplements (Ceylon Cinnamon Alcohol-Free Extract, Tincture, Glycerite), Supplements (Ceylon Alcohol-Free Extract, Tincture, Glycerite), Supplements (Spinach Alcohol-Free Extract, Tincture, Glycerite), Supplements (Intestinal Rescue Alcohol-Free Extract, Tincture, Glycerite), Supplements (Falcon Eye Alcohol-Free Extract, Tincture, Glycerite), Supplements (Mushrooms Blend Alcohol Extract, Tincture), Supplements (Periwinkle Alcohol-Free Extract, Tincture, Glycerite), Supplements (Pot Marigold Capsules), Supplements (Breast Fortitude Alcohol-Free Extract, Tincture, Glycerite), Supplements (Black Elderberry Alcohol-Free Extract, Tincture, Glycerite), Supplements (Allergy Secret Alcohol-Free Extract, Tincture, Glycerite), Supplements (Stinging Nettle Root Alcohol-Free Extract, Tincture, Glycerite), Supplements (Dan Shen Alcohol Extract, Tincture), Supplements (Red Sage Alcohol Extract, Tincture), Supplements (Eucalyptus Alcohol-Free Extract, Tincture, Glycerite), Supplements (California and Valerian Alcohol-Free Extract, Tincture, Glycerite), Supplements (Eucalyptus Capsules), Supplements (Elder Flowers Alcohol-Free Extract, Tincture, Glycerite), Supplements (Thyme Alcohol-Free Extract, Tincture, Glycerite), Supplements (Rue Alcohol-Free Extract, Tincture, Glycerite), Supplements (Fitness Fortitude Alcohol Extract, Tincture), Supplements (Fitness Fortitude Alcohol-Free Extract, Tincture, Glycerite), Supplements (Tame the Monster Capsules), Supplements (Angelica Capsules), Supplements (Angelica Alcohol Extract, Tincture), Supplements (Andrographis Capsules), Supplements (Andrographis Alcohol Extract, Tincture), Supplements (Indian Gooseberry Alcohol Extract, Tincture), Supplements (Amla Capsules), Supplements (Amla Alcohol Extract, Tincture), Supplements (Acacia Alcohol Extract, Tincture), Supplements (Fenugreek Alcohol Extract, Tincture), Supplements (Fenugreek Capsules), Supplements (UTI Secret Alcohol-Free Extract, Tincture, Glycerite), Supplements (UTI Secret Alcohol Extract, Tincture), Supplements (Carpal Secret Alcohol Extract, Tincture), Supplements (American Ginseng Alcohol Extract, Tincture), Supplements (Allergy Secret Alcohol Extract, Tincture), Supplements (Allergy Secret Capsules), Supplements (Alfalfa Alcohol Extract, Tincture), Supplements (Parsley Root Alcohol-Free Extract, Tincture, Glycerite), Supplements (Noni Alcohol-Free Extract, Tincture, Glycerite), Supplements (Corn silk Alcohol-Free Extract, Tincture, Glycerite), Supplements (Nutmeg Alcohol-Free Extract, Tincture, Glycerite), Supplements (Echinacea Angustifolia Alcohol-Free Extract, Tincture, Glycerite), Supplements (Ginkgo Biloba - Capsules), Supplements (Eyebright Capsules), Supplements (Elecampane Capsules), Supplements (Dandelion Leaf Capsules), Supplements (Couch Grass/Dog Grass Capsules), Supplements (Corn silk Capsules), Supplements (Butcher's Broom Capsules), Supplements (Burdock Capsules), Supplements (Bugleweed Capsules), Supplements (Brahmi Capsules), Supplements (Black Walnut Capsules), Supplements (Astragalus Capsules), Supplements (Agaricus Blazei Capsules), Supplements (Parsley Leaf Alcohol-Free Extract, Tincture, Glycerite), Supplements (Wild Lettuce Alcohol-Free Extract, Tincture, Glycerite), Supplements (Wild Cherry Alcohol-Free Extract, Tincture, Glycerite), Supplements (Agrimony Capsules), Supplements (Agrimony Alcohol Extract, Tincture), Supplements (Agaricus Blazei Alcohol Extract, Tincture), Supplements (Acne Secret Alcohol-Free Extract, Tincture, Glycerite), Supplements (Acacia Capsules), Supplements (Thyme Capsules), Supplements (Stinging Nettle Root Capsules), Supplements (Rhodiola Capsules), Supplements (Cacao Capsules), Supplements (Boneset Capsules), Supplements (Blue Cohosh Capsules), Supplements (Blessed Thistle Capsules), Supplements (Goldenseal and Echinacea Alcohol Extract, Tincture, Glycerite), Supplements (Goldenseal and Echinacea Alcohol-Free Extract, Tincture, Glycerite), Supplements (Bitter melon Capsules), Supplements (Birch Capsules), Supplements (Bilberry Fruit Capsules), Supplements (Benevolent Heart Capsules), Supplements (Beetroot Capsules), Supplements (Barrenwort Capsules), Supplements (Barberry Root Capsules), Supplements (Goji Alcohol Extract, Tincture), Supplements (Goat's Rue Alcohol Extract, Tincture), Supplements (Goji Alcohol-Free Extract, Tincture, Glycerite), Supplements (Ginkgo Biloba Alcohol Extract, Tincture), Supplements (Barberry Root Alcohol Extract, Tincture), Supplements (Garlic Alcohol Extract, Tincture), Supplements (Galangal Capsules), Supplements (Galangal Alcohol Extract, Tincture), Supplements (Astragalus Alcohol Extract, Tincture), Supplements (Ashwagandha Capsules), Supplements (Ashwagandha Alcohol Extract, Tincture), Supplements (Artichoke Capsules), Supplements (Fo-Ti Root Alcohol Extract, Tincture), Supplements (Arjuna Capsules), Supplements (Thyme Alcohol Extract, Tincture), Supplements (Bladderwrack Capsules), Supplements (Anise Alcohol Extract, Tincture), Supplements (Intestinal Rescue Capsules), Supplements (Hirsu Secret Capsules), Supplements (Herbal Munchies Capsules), Supplements (Head to Toe Capsules), Supplements (Happy Hormones Capsules), Supplements (HangOVER Capsules), Supplements (Male Libidix/Men?s Libido Formula Alcohol-Free Extract, Tincture, Glycerite), Supplements (Nexus Formula/Muscle and Joint Care Alcohol Extract, Tincture), Supplements (Nexus Formula/Muscle and Joint Care Alcohol-Free Extract, Tincture, Glycerite), Supplements (Renal System Formula/Urinary Tract Support Alcohol Extract, Tincture), Supplements (Renal System Formula/Urinary Tract Support Alcohol-Free Extract, Tincture, Glycerite), Supplements (Stone Breaker Formula Alcohol Extract, Tincture), Supplements (Stone Breaker Formula Alcohol-Free Extract, Tincture, Glycerite), Supplements (Testosteronix/Testosterone Blend Alcohol Extract, Tincture), Supplements (Testosteronix/Testosterone Blend Alcohol-Free Extract, Tincture, Glycerite), Supplements (Lomatium Alcohol-Free Extract, Tincture, Glycerite), Supplements (Sheep Sorrel Alcohol-Free Extract, Tincture, Glycerite), Supplements (Mistletoe Alcohol-Free Extract, Tincture, Glycerite), Supplements (Mucuna Alcohol Extract, Tincture), Supplements (Mucuna Alcohol-Free Extract, Tincture, Glycerite), Supplements (Mucuna Capsules), Supplements (Mullein Leaf Alcohol Extract, Tincture), Supplements (Mullein Leaf Alcohol-Free Extract, Tincture, Glycerite), Supplements (Mullein Leaf Capsules), Supplements (Fennel Seed Capsules), Supplements (Fennel Seed Alcohol Extract, Tincture), Supplements (Fennel Seed Alcohol-Free Extract, Tincture, Glycerite), Supplements (Olive Alcohol-Free Extract, Tincture, Glycerite), Supplements (Olive Alcohol Extract, Tincture), Supplements (Feverfew Alcohol Extract, Tincture), Supplements (Chamomile Capsules), Supplements (Chaparral Alcohol-Free Extract, Tincture, Glycerite), Supplements (Chamomile Alcohol-Free Extract, Tincture, Glycerite), Supplements (Chaparral Capsules), Supplements (Vitex Alcohol Extract, Tincture), Supplements (Chaste Tree Alcohol-Free Extract, Tincture, Glycerite), Supplements (Hops Alcohol-Free Extract, Tincture, Glycerite), Supplements (Horehound Alcohol-Free Extract, Tincture, Glycerite), Supplements (Lady's Mantle Alcohol Extract, Tincture), Supplements (Lady's Mantle Alcohol-Free Extract, Tincture, Glycerite), Supplements (Lady's Mantle Capsules), Supplements (Lemon Balm Alcohol Extract, Tincture), Supplements (Lemon Balm Alcohol-Free Extract, Tincture, Glycerite), Supplements (Lemon Balm Capsules), Supplements (Licorice Alcohol Extract, Tincture), Supplements (Licorice Alcohol-Free Extract, Tincture, Glycerite), Supplements (Licorice Capsules), Supplements (Lion's Mane Alcohol Extract, Tincture), Supplements (Lion's Mane Alcohol-Free Extract, Tincture, Glycerite), Supplements (Oatstraw Alcohol-Free Extract, Tincture, Glycerite), Supplements (Oatstraw Alcohol-Free Extract, Tincture, Glycerite), Supplements (Oatstraw Alcohol Extract, Tincture), Supplements (Milk Thistle Alcohol Extract, Tincture), Supplements (Milk Thistle Alcohol-Free Extract, Tincture, Glycerite), Supplements (Mistletoe Alcohol Extract, Tincture), Supplements (Catnip Alcohol-Free Extract, Tincture, Glycerite), Supplements (Celery Alcohol-Free Extract, Tincture, Glycerite), Supplements (Cellulite Secret Capsules), Supplements (Indian Gooseberry Alcohol-Free Extract, Tincture, Glycerite), Supplements (Angelica Alcohol-Free Extract, Tincture, Glycerite), Supplements (Anise Alcohol-Free Extract, Tincture, Glycerite), Supplements (Ashwagandha Alcohol-Free Extract, Tincture, Glycerite), Supplements (Astragalus Alcohol-Free Extract, Tincture, Glycerite), Supplements (Barberry Root Alcohol-Free Extract, Tincture, Glycerite), Supplements (Barrenwort Alcohol-Free Extract, Tincture, Glycerite), Supplements (Horny Goat Weed Alcohol-Free Extract, Tincture, Glycerite), Supplements (Beetroot Alcohol-Free Extract, Tincture, Glycerite), Supplements (Bilberry Fruit Alcohol-Free Extract, Tincture, Glycerite), Supplements (Bilberry Leaf Alcohol-Free Extract, Tincture, Glycerite), Supplements (Birch Alcohol-Free Extract, Tincture, Glycerite), Supplements (Black Peppercorn Alcohol-Free Extract, Tincture, Glycerite), Supplements (Black Walnut Alcohol-Free Extract, Tincture, Glycerite), Supplements (Bladderwrack Alcohol-Free Extract, Tincture, Glycerite), Supplements (Blessed Thistle Alcohol-Free Extract, Tincture, Glycerite), Supplements (Blood Pressure Secret Capsules), Supplements (Amla Alcohol-Free Extract, Tincture, Glycerite), Supplements (Blood Sugar Secret Capsules), Supplements (Bloodroot Alcohol-Free Extract, Tincture, Glycerite), Supplements (Blue Vervain Alcohol-Free Extract, Tincture, Glycerite), Supplements (Blue Vervain Capsules), Supplements (Boldo Alcohol-Free Extract, Tincture, Glycerite), Supplements (Boldo Capsules), Supplements (Boneset Alcohol-Free Extract, Tincture, Glycerite), Supplements (Brahmi/Bacopa Alcohol-Free Extract, Tincture, Glycerite), Supplements (Brahmi Capsules), Supplements (Acacia Alcohol-Free Extract, Tincture, Glycerite), Supplements (Agaricus Blazei Alcohol-Free Extract, Tincture, Glycerite), Supplements (Agrimony Alcohol-Free Extract, Tincture, Glycerite), Supplements (Alfalfa Alcohol-Free Extract, Tincture, Glycerite), Supplements (Burdock Alcohol-Free Extract, Tincture, Glycerite), Supplements (Burdock Capsules), Supplements (Butcher's Broom Alcohol-Free Extract, Tincture, Glycerite), Supplements (Butcher's Broom Capsules), Supplements (Cacao Alcohol-Free Extract, Tincture, Glycerite), Supplements (Calendula Alcohol-Free Extract, Tincture, Glycerite), Supplements (Pot Marigold Alcohol-Free Extract, Tincture, Glycerite), Supplements (California Poppy Alcohol-Free Extract, Tincture, Glycerite), Supplements (California Poppy Capsules), Supplements (Calm Secret Alcohol-Free Extract, Tincture, Glycerite), Supplements (Calm Secret Capsules), Supplements (Camu Camu Alcohol-Free Extract, Tincture, Glycerite), Supplements (Cardamom Alcohol-Free Extract, Tincture, Glycerite), Supplements (Cardio Secret Capsules), Supplements (Carpal Secret Alcohol-Free Extract, Tincture, Glycerite), Supplements (Cascara Sagrada Alcohol-Free Extract, Tincture, Glycerite), Supplements (Cascara Sagrada Capsules), Supplements (Horse Chestnut Alcohol-Free Extract, Tincture, Glycerite), Supplements (Vitex Alcohol-Free Extract, Tincture, Glycerite), Supplements (Chickweed Capsules), Supplements (Chickweed Alcohol-Free Extract, Tincture, Glycerite), Supplements (Horsetail Alcohol Extract, Tincture), Supplements (Horsetail Alcohol-Free Extract, Tincture, Glycerite), Supplements (Horsetail Capsules), Supplements (Hydrangea Alcohol Extract, Tincture), Supplements (Hydrangea Alcohol-Free Extract, Tincture, Glycerite), Supplements (Hydrangea Capsules), Supplements (Brazilian Peppertree Alcohol-Free Extract, Tincture, Glycerite), Supplements (Breast Fortitude Capsules), Supplements (Broccoli Alcohol-Free Extract, Tincture, Glycerite), Supplements (Buchu Alcohol-Free Extract, Tincture, Glycerite), Supplements (Bugleweed Alcohol-Free Extract, Tincture, Glycerite), Supplements (Bugleweed Capsules), Supplements (Bupleurum Alcohol-Free Extract, Tincture, Glycerite), Supplements (Fennel Seed Alcohol-Free Extract, Tincture, Glycerite), Supplements (Fenugreek Alcohol-Free Extract, Tincture, Glycerite), Supplements (Feverfew Alcohol-Free Extract, Tincture, Glycerite), Supplements (Fo-Ti Root Alcohol Free Extract, Tincture, Glycerite), Supplements (Frankincense Alcohol-Free Extract, Tincture, Glycerite), Supplements (Galangal Alcohol-Free Extract, Tincture, Glycerite), Supplements (Garlic Alcohol-Free Extract, Tincture, Glycerite), Supplements (Ginger Alcohol-Free Extract, Tincture, Glycerite), Supplements (Ginkgo Biloba Alcohol-Free Extract, Tincture, Glycerite), Supplements (Goat's Rue Alcohol-Free Extract, Tincture, Glycerite), Supplements (Goldenrod Alcohol-Free Extract, Tincture, Glycerite), Supplements (Gotu Kola Alcohol-Free Extract, Tincture, Glycerite), Supplements (Greater Celandine Alcohol-Free Extract, Tincture, Glycerite), Supplements (Guarana Alcohol-Free Extract, Tincture, Glycerite), Supplements (Guggul Alcohol-Free Extract, Tincture, Glycerite), Supplements (Gymnema Alcohol-Free Extract, Tincture, Glycerite), Supplements (HangOVER Alcohol-Free Extract, Tincture, Glycerite), Supplements (Happy Hormones Alcohol-Free Extract, Tincture, Glycerite), Supplements (Hawthorn berry Alcohol-Free Extract, Tincture, Glycerite), Supplements (He Shou Wu Alcohol-Free Extract, Tincture, Glycerite), Supplements (Head to Toe Alcohol-Free Extract, Tincture, Glycerite), Supplements (Hibiscus Alcohol-Free Extract, Tincture, Glycerite), Supplements (Histamine Secret Alcohol-Free Extract, Tincture, Glycerite), Supplements (Holy Basil Alcohol-Free Extract, Tincture, Glycerite), Supplements (Honeysuckle Alcohol-Free Extract, Tincture, Glycerite), Supplements (Goat's Rue Alcohol Extract, Tincture), Supplements (Rosemary Alcohol Extract, Tincture), Supplements (Witch Hazel Leaf Alcohol-Free Extract, Tincture, Glycerite), Supplements (Stinging Nettle Leaf Capsules), Supplements (Carpal Secret Alcohol Extract, Tincture), Supplements (Urgent Immune Boost Capsules), Supplements (Ceylon Cinnamon Alcohol Extract, Tincture), Supplements (Tribal Recall Alcohol-Free Extract, Tincture, Glycerite), Supplements (Liver Fortitude Alcohol Extract, Tincture), Supplements (Hawthorn Blend Alcohol Extract, Tincture), Supplements (Desert Breeze Capsules), Supplements (Black Walnut Alcohol Extract, Tincture), Supplements (Blue Vervain Capsules), Supplements (Sea Buckthorn Capsules), Supplements (Bitter melon Capsules), Supplements (Cardio Secret Capsules), Supplements (Uva Ursi Alcohol Extract, Tincture), Supplements (Varicose Vein Alcohol-Free Extract, Tincture, Glycerite), Supplements (Skullcap Capsules), Supplements (Violet Alcohol Extract, Tincture), Supplements (Warrior's Mane Alcohol Extract, Tincture), Supplements (Black Peppercorn Alcohol Extract, Tincture), Supplements (Plantain Alcohol-Free Extract, Tincture, Glycerite), Supplements (California and Valerian Alcohol-Free Extract, Tincture, Glycerite), Supplements (Urgent Immune Boost Alcohol-Free Extract, Tincture, Glycerite), Supplements (Dandelion Root Capsules), Supplements (Bacopa Alcohol Extract, Tincture), Supplements (Brahmi Alcohol Extract, Tincture), Supplements (Warrior's Mane Capsules), Supplements (Thyme Alcohol Extract, Tincture), Supplements (Cacao Capsules), Supplements (Black Cohosh Alcohol Extract, Tincture), Supplements (Wood Betony Alcohol-Free Extract, Tincture, Glycerite), Supplements (Cardamom Alcohol Extract, Tincture), Supplements (Maqui berry Capsules), Supplements (Wood Betony Capsules), Supplements (Oral Care Alcohol-Free Extract, Tincture, Glycerite), Supplements (Sage Alcohol-Free Extract, Tincture, Glycerite), Supplements (Buchu Alcohol Extract, Tincture), Supplements (Pre-Conceive Alcohol Extract, Tincture), Supplements (American Ginseng Alcohol Extract, Tincture), Supplements (Watercress Alcohol Extract, Tincture), Supplements (Quit Secret Alcohol-Free Extract, Tincture, Glycerite), Supplements (Agaricus Blazei Alcohol Extract, Tincture), Supplements (Long Pepper Alcohol Extract, Tincture), Supplements (Papaya Alcohol-Free Extract, Tincture, Glycerite), Supplements (Goat's Rue Capsules), Supplements (Tribal Warrior Alcohol Extract, Tincture), Supplements (Anise Alcohol Extract, Tincture), Supplements (Buchu Capsules), Supplements (Cardio Secret Alcohol Extract, Tincture), Supplements (Femme Fatale Alcohol Extract, Tincture), Supplements (Anise Seed Capsules), Supplements (Respiratory Immune Boost Alcohol Extract, Tincture), Supplements (Dream Secret Alcohol-Free Extract, Tincture, Glycerite), Supplements (Intesti Secret Alcohol Extract, Tincture), Supplements (Uva Ursi Capsules), Supplements (Eyebright Alcohol Extract, Tincture), Supplements (Hirsu Secret Alcohol-Free Extract, Tincture, Glycerite), Supplements (Tribal Parasite Purge Capsules), Supplements (Vein Secret Alcohol Extract, Tincture), Supplements (White Oak Alcohol-Free Extract, Tincture, Glycerite), Supplements (HangOVER Alcohol-Free Extract, Tincture, Glycerite), Supplements (Cycle Regulator Alcohol Extract, Tincture), Supplements (Bupleurum Alcohol Extract, Tincture), Supplements (Uva Ursi Alcohol-Free Extract, Tincture, Glycerite), Supplements (Tribal Detox Capsules), Supplements (Witch Hazel Leaf Capsules), Supplements (California Poppy Alcohol Extract, Tincture), Supplements (Motherwort Alcohol Extract, Tincture), Supplements (Red Clover Herb Alcohol Extract, Tincture), Supplements (Bloodroot Alcohol-Free Extract, Tincture, Glycerite), Supplements (Cascara Sagrada Alcohol-Free Extract, Tincture, Glycerite), Supplements (Collinsonia Alcohol Extract, Tincture), Supplements (Elecampane Alcohol Extract, Tincture), Supplements (Head to Toe Capsules), Supplements (Blood Sugar Secret Alcohol Extract, Tincture), Supplements (Wood Betony Alcohol Extract, Tincture), Supplements (Lung Fortitude Capsules), Supplements (Beetroot Capsules), Supplements (Korean Red Ginseng Alcohol Extract, Tincture), Supplements (Iron Secret Alcohol-Free Extract, Tincture, Glycerite), Supplements (Mushrooms Blend Alcohol-Free Extract, Tincture, Glycerite), Supplements (Clearway Capsules), Supplements (Cranberry Alcohol-Free Extract, Tincture, Glycerite), Supplements (Migra Secret Alcohol Extract, Tincture), Supplements (Red Raspberry Alcohol-Free Extract, Tincture, Glycerite), Supplements (Desert Breeze Alcohol-Free Extract, Tincture, Glycerite), Supplements (Joint Pain Secret Alcohol Extract, Tincture), Supplements (Falcon Eye Alcohol-Free Extract, Tincture, Glycerite), Supplements (California and Valerian Alcohol Extract, Tincture), Supplements (Turmeric Alcohol Extract, Tincture), Supplements (Prosta Vigor Alcohol-Free Extract, Tincture, Glycerite), Supplements (Agrimony Capsules), Supplements (Eucalyptus Capsules), Supplements (Stinging Nettle Leaf Alcohol Extract, Tincture), Supplements (Nerve Secret Alcohol Extract, Tincture), Supplements (Eleuthero Alcohol-Free Extract, Tincture, Glycerite), Supplements (Wheatgrass Capsules), Supplements (Teasel Alcohol-Free Extract, Tincture, Glycerite), Supplements (Tongkat Ali Alcohol-Free Extract, Tincture, Glycerite), Supplements (Catuaba Alcohol-Free Extract, Tincture, Glycerite), Supplements (Cinchona Alcohol-Free Extract, Tincture, Glycerite), Supplements (Cinchona Alcohol-Free Extract, Tincture, Glycerite), Supplements (Lomatium Alcohol-Free Extract, Tincture, Glycerite), Supplements (Prickly Ash Alcohol-Free Extract, Tincture, Glycerite), Supplements (Joint Pain Secret Alcohol-Free Extract, Tincture, Glycerite), Supplements (Lung Fortitude Alcohol Extract, Tincture), Supplements (Allergy Secret Alcohol-Free Extract, Tincture, Glycerite), Supplements (Tribal Inflam-ease Alcohol-Free Extract, Tincture, Glycerite), Supplements (Tame the Monster Capsules), Supplements (Acne Secret Alcohol-Free Extract, Tincture, Glycerite), Supplements (Women's Secret Alcohol-Free Extract, Tincture, Glycerite), Supplements (Cascara Sagrada Alcohol Extract, Tincture), Supplements (Cholesterol Secret Alcohol Extract, Tincture), Supplements (Thyroid Secret Alcohol-Free Extract, Tincture, Glycerite), Supplements (Celery Alcohol Extract, Tincture), Supplements (Cardio Secret Alcohol-Free Extract, Tincture, Glycerite), Supplements (Reishi Mushroom Capsules), Supplements (Pine Pollen Alcohol-Free Extract, Tincture, Glycerite), Supplements (Pine Pollen Alcohol-Free Extract, Tincture, Glycerite), Supplements (Muira Puama and Catuaba Alcohol-Free Extract, Tincture, Glycerite), Supplements (Sassafras Alcohol-Free Extract, Tincture, Glycerite), Supplements (Cat's Claw Alcohol-Free Extract, Tincture, Glycerite), Supplements (Chanca Piedra Alcohol-Free Extract, Tincture, Glycerite), Supplements (False Unicorn Alcohol-Free Extract, Tincture, Glycerite), Supplements (Devil's Club Alcohol-Free Extract, Tincture, Glycerite), Supplements (Lungwort Alcohol Extract, Tincture), Supplements (Tribal Shield Alcohol Extract, Tincture), Supplements (Greater Celandine Alcohol Extract, Tincture), Supplements (Chronic Fatigue Secret Alcohol Extract, Tincture), Supplements (Yarrow Capsules), Supplements (Garlic Alcohol Extract, Tincture), Supplements (Minor Pain Care Capsules), Supplements (Stamina secret Alcohol Extract, Tincture), Supplements (Dream Secret Alcohol Extract, Tincture), Supplements (Prickly Ash Alcohol Extract, Tincture), Supplements (Usnea Alcohol Extract, Tincture), Supplements (Barrenwort Capsules), Supplements (Yellow Dock Alcohol-Free Extract, Tincture, Glycerite), Supplements (Virasecret Alcohol Extract, Tincture), Supplements (Bromelain Alcohol-Free Extract, Tincture, Glycerite), Supplements (Anamu Alcohol-Free Extract, Tincture, Glycerite), Supplements (Umckaloabo Alcohol-Free Extract, Tincture, Glycerite), Supplements (Pine Pollen Alcohol Extract, Tincture), Supplements (Pine Pollen Testosterone Alcohol Extract, Tincture), Supplements (Pine Bark Alcohol Extract, Tincture), Supplements (Black Haw Alcohol-Free Extract, Tincture, Glycerite), Supplements (Cat's Claw Alcohol Extract, Tincture), Supplements (Devil's Club Alcohol Extract, Tincture), Supplements (Lomatium Alcohol Extract, Tincture), Supplements (Pau d'Arco Alcohol Extract, Tincture), Supplements (Bayberry Alcohol-Free Extract, Tincture, Glycerite), Supplements (Black Haw Alcohol Extract, Tincture), Supplements (Pau d'Arco Alcohol-Free Extract, Tincture, Glycerite), Supplements (Pleurisy Root Alcohol Extract, Tincture), Supplements (Pleurisy Root Alcohol-Free Extract, Tincture, Glycerite), Supplements (Astragalus Alcohol Extract, Tincture), Supplements (Clove Alcohol Extract, Tincture), Supplements (Liver Fortitude Capsules), Supplements (Stevia Alcohol Extract, Tincture), Supplements (Intesti Secret Alcohol-Free Extract, Tincture, Glycerite), Supplements (Cardamom Capsules), Supplements (Varicose Vein Alcohol Extract, Tincture), Supplements (Intestinal Rescue Alcohol Extract, Tincture), Supplements (Youth Secret Capsules), Supplements (Muscle Tension Care Capsules), Supplements (Iron Secret Alcohol Extract, Tincture), Supplements (Catnip Capsules), Supplements (Boldo Alcohol Extract, Tincture), Supplements (Tribal Recall Capsules), Supplements (Nerve Secret Capsules), Supplements (Blood Pressure Secret Capsules), Supplements (Kale Alcohol Extract, Tincture), Supplements (Youth Secret Alcohol Extract, Tincture), Supplements (Echinacea Root Alcohol Extract, Tincture), Supplements (Pot Marigold Capsules), Supplements (Yerba Santa Alcohol Extract, Tincture), Supplements (Yerba Santa Alcohol-Free Extract, Tincture, Glycerite), Supplements (Adrenix/Endocrine System Support Alcohol Extract, Tincture), Supplements (Adrenix/Endocrine System Support Alcohol-Free Extract, Tincture, Glycerite), Supplements (Detoxis/Detox Formula Alcohol Extract, Tincture), Supplements (Detoxis/Detox Formula Alcohol-Free Extract, Tincture, Glycerite), Supplements (Diarrhixis/Diarrhea Care Alcohol Extract, Tincture), Supplements (Diarrhixis/Diarrhea Care - Alcohol-Free Extract, Tincture, Glycerite), Supplements (Digestis/Digestive Health Support Alcohol Extract, Tincture), Supplements (Cycle Formula/Menstrual Cycle Support Alcohol-Free Extract, Tincture, Glycerite), Supplements (Digestis/Digestive Health Support Alcohol-Free Extract, Tincture, Glycerite), Supplements (Female Hair Growth Mix/Healthy Hair Alcohol Extract, Tincture), Supplements (Female Hair Growth Mix/Healthy Hair Alcohol-Free Extract, Tincture, Glycerite), Supplements (Flatus Relief Mix/Intestinal Comfort Formula Alcohol Extract, Tincture), Supplements (Flatus Relief Mix/Intestinal Comfort Formula Alcohol-Free Extract, Tincture, Glycerite), Supplements (Glucosate/Healthy Sugar Levels Blend Alcohol Extract, Tincture), Supplements (Glucosate/Healthy Sugar Levels Blend Alcohol-Free Extract, Tincture, Glycerite), Supplements (Herb-Flow/Circulation Blend Alcohol Extract, Tincture), Supplements (Herb-Flow/Circulation Blend Alcohol-Free Extract, Tincture, Glycerite), Supplements (Herb-Immunate/Immune Boost Blend Alcohol Extract, Tincture), Supplements (Herb-Immunate/Immune Boost Blend Alcohol-Free Extract, Tincture, Glycerite), Supplements (Ingestix/Throat Soothing Formula Alcohol Extract, Tincture), Supplements (Ingestix/Throat Soothing Formula Alcohol-Free Extract, Tincture, Glycerite), Supplements (Inhaleix/Healthy Lungs Formula Alcohol Extract, Tincture), Supplements (Inhaleix/Healthy Lungs Formula Alcohol-Free Extract, Tincture, Glycerite), Supplements (Lactatix/Lactation Blend Alcohol Extract, Tincture), Supplements (Lactatix/Lactation Blend Alcohol-Free Extract, Tincture, Glycerite), Supplements (Livertix/Liver Support Alcohol Extract, Tincture), Supplements (Livertix/Liver Support Alcohol-Free Extract, Tincture, Glycerite), Supplements (Male Hair Growth Mix/Men?s Hair Restore Alcohol Extract, Tincture), Supplements (Male Hair Growth Mix/Men?s Hair Restore Alcohol-Free Extract, Tincture, Glycerite), Supplements (Anti Stress Mix/Serenity Blend: Adaptogen Formula Alcohol Extract, Tincture), Supplements (Anti Stress Mix/Serenity Blend: Adaptogen Formula Alcohol-Free Extract, Tincture, Glycerite), Supplements (Appetite Stimulating Mix/Appetite Restore Alcohol Extract, Tincture), Supplements (Menopause Formula Alcohol Extract, Tincture), Supplements (Menopause Formula Alcohol-Free Extract, Tincture, Glycerite), Supplements (Nervosix/Tranquility Alcohol Extract, Tincture), Supplements (Nervosix/Tranquility Alcohol-Free Extract, Tincture, Glycerite)</t>
  </si>
  <si>
    <t>Squash Seeds (Lakota), Squash Seeds (Lunar Eclipse F1), Squash Seeds (Mexicana), Squash Seeds (Orangetti ), Squash Seeds (Peter Pan F1 Hybrid), Squash Seeds (Pilgrim F1 Hybrid), Squash Seeds (Ronde de Nice), Squash Seeds (Scallop Yellow Bush), Squash Seeds (Seed Packet - Squash 'Summer Black Zucchini' 2.8g), Squash Seeds (Seed Packet - Squash 'Summer Cocozelle Zucchini' 2.8g), Squash Seeds (Spaghetti), Squash Seeds (Squash - Winter - Amish Pie ), Squash Seeds (Squash - Winter - Blue Banana), Squash Seeds (Squash - Winter - Burgess Buttercup), Squash Seeds (Squash - Winter - Gold Nugget ), Squash Seeds (Squash - Winter - Golden Delicious ), Squash Seeds (Squash - Winter - Hubbard Baby Green), Squash Seeds (Squash - Winter - Hubbard Blue), Squash Seeds (Squash - Winter - Long Island Cheese ), Squash Seeds (Squash - Winter - Triamble), Squash Seeds (Squash - Winter - Winter Harvest Blend), Squash Seeds (Squash, Summer - Black Zucchini), Squash Seeds (Squash, Summer - Early Prolific Straightneck), Squash Seeds (Squash, Summer - Fordhook), Squash Seeds (Squash, Summer - Golden Zucchini ), Squash Seeds (Squash, Summer - Lunar Eclipse F1 ), Squash Seeds (Squash, Summer - Peter Pan F1), Squash Seeds (Squash, Summer - Scallop - White Bush), Squash Seeds (Summer Crookneck), Squash Seeds (Sunshine), Squash Seeds (Table King Bush Acorn), Squash Seeds (Table Queen Bush Acorn), Squash Seeds (Tahitian), Squash Seeds (Tahitian), Squash Seeds (Tiana), Squash Seeds (Uchiki Kuri ), Squash Seeds (Vegetable Spaghetti), Squash Seeds (Vegetable Spaghetti ), Squash Seeds (Waltham Butternut), Squash Seeds (Waltham Butternut ), Squash Seeds (Winter Pink Banana), Squash Seeds (Winter Pink Banana), Squash Seeds (Yellowfin), Straw Flower Seeds (Silvery Rose ), Sunflower Seeds, Sunflower Seeds (Autumn Beauty ), Sunflower Seeds (Black Oil), Sunflower Seeds (Black Oil - Large Seeded), Sunflower Seeds (Black Oil in shell), Sunflower Seeds (Black Oil Microgreen ), Sunflower Seeds (Classic Gold F1), Sunflower Seeds (Evening Sun ), Sunflower Seeds (Golden Ray ), Sunflower Seeds (Goldie F1), Sunflower Seeds (Goldy Double ), Sunflower Seeds (Kernels), Sunflower Seeds (Lemon), Sunflower Seeds (Lemon Queen), Sunflower Seeds (Mammoth Gray Stripe), Sunflower Seeds (Mardi Gras Dwarf), Sunflower Seeds (Sunflower), Sunflower Seeds (Sunflower - Black Mammoth), Sunflower Seeds (Sunflower - Classic Gold F1), Sunflower Seeds (Sunflower - Goldie F1 ), Sunflower Seeds (Sunflower - Grow Kit), Sunflower Seeds (Sunflower - Grow Kit), Sunflower Seeds (Sunflower - Mammoth Grey Stripe), Sunflower Seeds (Sunflower - Microgreen), Sunflower Seeds (Sunflower - Skyscraper ), Sunflower Seeds (Sunflower - Zohar F1 ), Sunflower Seeds (Sunflower ‘Mammoth Grey Stripe’), Sunflower Seeds (Sunflower Autumn Beauty), Sunflower Seeds (Sunflower Lemon Queen), Sunflower Seeds (Taiyo), Sunflower Seeds (Velvet Queen), Sunflower Seeds (Wild), Sunflower Seeds (Zohar F1), Sweet Pea Seeds (Sugar Daddy), Thyme Seeds, Thyme Seeds, Thyme Seeds (German Winter White), Thyme Seeds (Herb Thyme English), Thyme Seeds (Winter), Tomatillo Seeds (Grande Rio Verde), Tomatillo Seeds (Purple), Tomato Seeds (506 Bush), Tomato Seeds (Ace 55 VF), Tomato Seeds (Amish Paste), Tomato Seeds (Arbason ), Tomato Seeds (Baby Blues), Tomato Seeds (Beefsteak), Tomato Seeds (Big Rainbow), Tomato Seeds (Black Cherry), Tomato Seeds (Black Krim), Tomato Seeds (Bloody Butcher), Tomato Seeds (Blush), Tomato Seeds (Boxcar Willie), Tomato Seeds (Brandywine), Tomato Seeds (Brandywine), Tomato Seeds (Brandywine Black), Tomato Seeds (Brandywine Pink), Tomato Seeds (Brandywine Red), Tomato Seeds (Brandywine Yellow), Tomato Seeds (Caiman), Tomato Seeds (Chadwick Cherry), Tomato Seeds (Cherokee Purple), Tomato Seeds (Cherokee Purple), Tomato Seeds (Cherokee Purple Tomato), Tomato Seeds (Chocolate Sprinkles ), Tomato Seeds (Costuluto Florentino), Tomato Seeds (CubaLibre ), Tomato Seeds (Czech's Bush), Tomato Seeds (Damsel), Tomato Seeds (Esterina), Tomato Seeds (Galahad), Tomato Seeds (GinFiz ), Tomato Seeds (Golden Queen), Tomato Seeds (Golden Queen), Tomato Seeds (Granadero), Tomato Seeds (Green Zebra), Tomato Seeds (Green Zebra ), Tomato Seeds (herokee Purple), Tomato Seeds (Hillbilly), Tomato Seeds (Hillbilly), Tomato Seeds (Homestead), Tomato Seeds (Hungarian Paste), Tomato Seeds (Isis Candy), Tomato Seeds (Large Red Cherry), Tomato Seeds (MaiTai ), Tomato Seeds (Marglobe), Tomato Seeds (Marsalato), Tomato Seeds (Mr. Stripey), Tomato Seeds (Orange Flesh Purple Smudge), Tomato Seeds (Pineapple), Tomato Seeds (Pink Berkeley Tie-Dye ), Tomato Seeds (Ponderosa Red Beefsteak), Tomato Seeds (Pozzano ), Tomato Seeds (Purple Cherokee), Tomato Seeds (Rainbow Cherry), Tomato Seeds (Red Cherry), Tomato Seeds (Riesentraube), Tomato Seeds (Roma), Tomato Seeds (Roma VF), Tomato Seeds (Roostock Seeds - Estamino), Tomato Seeds (Rutgers), Tomato Seeds (San Marzano ), Tomato Seeds (San Marzano Short), Tomato Seeds (San Marzano Tall Vine), Tomato Seeds (Skyway 687 ), Tomato Seeds (Solar Flare ), Tomato Seeds (Stupice ), Tomato Seeds (Sungold Hybrid), Tomato Seeds (Sweetie), Tomato Seeds (Tomato - Amana Orange), Tomato Seeds (Tomato - Aunt Ruby's German Green), Tomato Seeds (Tomato - Big Rainbow ), Tomato Seeds (Tomato - Black Prince ), Tomato Seeds (Tomato - Brandywine - Red ), Tomato Seeds (Tomato - Burbank ), Tomato Seeds (Tomato - Dakota Sport), Tomato Seeds (Tomato - Delicious ), Tomato Seeds (Tomato - Dutchman), Tomato Seeds (Tomato - Flame), Tomato Seeds (Tomato - Fox Cherry), Tomato Seeds (Tomato - Gardener's Delight ), Tomato Seeds (Tomato - Golden Jubile), Tomato Seeds (Tomato - Grow Kit), Tomato Seeds (Tomato - Heirloom Blend ), Tomato Seeds (Tomato - Kellogg's Beefsteak ), Tomato Seeds (Tomato - Micado Violetter), Tomato Seeds (Tomato - Old German), Tomato Seeds (Tomato - Red Cherry Small ), Tomato Seeds (Tomato - Rutgers ), Tomato Seeds (Tomato - San Marzano ), Tomato Seeds (Tomato - Stupice), Tomato Seeds (Tomato - Sweetie), Tomato Seeds (Tomato - Valencia ), Tomato Seeds (Tomato - Yellow Perfection), Tomato Seeds (Tomato Yellow Pear), Tomato Seeds (Toronjina ), Tomato Seeds (Watermelon Beefsteak), Tomato Seeds (Yellow Pear), Tomato Seeds (Yellow Pear), Triticale Seeds, Triticale Seeds, Turnip Seeds (Golden Globe), Turnip Seeds (Golden Globe), Turnip Seeds (Purple Top White Globe), Turnip Seeds (Purple Top White Globe Turnip), Turnip Seeds (Seventop), Vetch Seeds (Common), Vetch Seeds (Hairy), Vetch Seeds (Hairy), Watermelon Seeds, Watermelon Seeds (Allsweet), Watermelon Seeds (Baby Doll F1), Watermelon Seeds (Bush Sugar Baby), Watermelon Seeds (Charleston Grey), Watermelon Seeds (Crimson Sweet), Watermelon Seeds (Dixie Queen), Watermelon Seeds (Jubilee), Watermelon Seeds (Jumbo Watermelon - Grow Kit), Watermelon Seeds (Moon &amp; Stars), Watermelon Seeds (Moon &amp; Stars Yellow Flesh), Watermelon Seeds (Red Garnet), Watermelon Seeds (Seed Packet - Watermelon 'Crimson Sweet' 2g), Watermelon Seeds (Seed Packet - Watermelon 'Sugar Baby' 2g), Watermelon Seeds (Sugar Baby), Watermelon Seeds (Sugar Baby), Watermelon Seeds (Tiger Baby F1), Watermelon Seeds (Triple Baby F1), Watermelon Seeds (Triple Crown F1), Watermelon Seeds (Triple Star F1), Watermelon Seeds (Watermelon - Baby Doll F1), Watermelon Seeds (Watermelon - Crimson Sweet Yellow), Watermelon Seeds (Watermelon - Golden Midget), Watermelon Seeds (Watermelon - Kleckly Sweet), Watermelon Seeds (Watermelon - Moon &amp; Stars Yellow), Watermelon Seeds (Watermelon - Sweet Princess ), Watermelon Seeds (Watermelon - Tendersweet Orange), Watermelon Seeds (Watermelon - Tiger Baby F1), Watermelon Seeds (Watermelon - Triple Baby F1), Watermelon Seeds (Watermelon - Triple Crown F1), Watermelon Seeds (Watermelon - Yellow Gem Sweet ), Wheat Seeds (Cat Grass), Wheat Seeds (Catgrass), Wheat Seeds (Hard Red), Wheat Seeds (Hard Red), Wheat Seeds (Hard Red Spring), Wheat Seeds (Hard Red Spring), Wheat Seeds (Hard Red Wheat), Wheat Seeds (Hard Red Winter), Wheat Seeds (Hard White), Wheat Seeds (Soft White), Wheat Seeds (Soft White), Wheat Seeds (Wheatgrass), Wheat Seeds (Wheatgrass), Winter Squash Seed (Seed Packet - Squash 'Winter Vegetable Spaghetti' 2.8g), Winter Squash Seed (Seed Packet - Squash 'Winter Waltham Butternut' 2.8g), Winter Squash Seed (Winter Spaghetti Squash), Yarrow Seeds (Summer Berries Mx ), Yarrow Seeds (Summer Pastels ), Zinnia Seeds (Seed Packet - Zinnia 'California Giants' 210mg), Zucchini Seeds, Zucchini Seeds (Black Beauty), Zucchini Seeds (Cocozelle), Zucchini Seeds (Cocozelle), Zucchini Seeds (Dark Green)</t>
  </si>
  <si>
    <t>Berbere Seasoning - 2.19 oz - Seasonings, Berry Blend - 32oz - Fruit Frozen, Berry Crisp Pillows - 10.6oz - Breakfast, Bing Cherries unsweetened - 8oz - Nuts and Seeds, Black Beans - 15oz - SS Vegetables, Black Beans - 16oz - Meals, Black Beans - 16oz - Meals/Pasta, Black Beans No Salt Added - 13.4 oz - SS Vegetables, Black Beans Spicy - 15 oz - SS Vegetables, Black Forest Uncured Ham-6oz-Deli Meat, Black Lentils - 16 oz - Packaged Beans, Grains &amp; Rice, Black Pepper Ground - 1.8 oz - Seasonings, Black Peppercorns - 1.87oz - Seasonings, Black Seed Oil - 8oz - Herbs, Black Tea - 4.9 oz - Breakfast, Black Tea-5.6 oz-Bulk &amp; Packaged Teas, Blackberry Conserve-17oz-Fruit Spreads, Blood Orange Italian Soda 4 pack - 44.8Fl oz - Sodas &amp; Sparkling Juices, Blue Cheese Dressing - 12oz - Condiments, Blue Cheese Dressing - 16fl oz - Condiments, Blue Corn Taco Shells - 5.5oz - Meals, Blueberries Sweetened - 8oz - Nuts and Seeds, Blueberries-32oz-Frozen Fruits, Blueberry Flax Granola - 25lb - Bulk, Blueberry Lavender Kombucha - 16fl oz - Refrigerated Functional Beverages, Blueberry Lemon Italian Sparkling Water - 750mL - Beverages, Blueberry Waffles - 7.4 oz - Frozen Breakfast, Blueberry Whole Milk Multipack Yogurt - 4x6oz - Yogurt, Bone Broth Chicken - 14.5fl oz - Broth Aseptic, Boneless Skinless Chicken Breast-0 LB-Meat, Boneless Skinless Chicken Thighs-0 LB-Meat, Bran Flakes - 15OZ - Cereals Cold, Bratwurst Chicken Sausage - 12oz - Sausage Cooked, Bread &amp; Butter Chips - 24 oz - Pickles, Olives, Peppers, Breakfast Blend City Roast Coffee, 12 Count Capsule - 4.66oz - Coffee, Breakfast Blend City Roast Coffee, 24 Count Capsule - 9.31oz - Coffee, Breakfast Blend Ground - 12oz- Coffee, Breakfast Blend Whole Bean - 12oz- Coffee, Brine and Seasoning Kit - 13.2oz - Seasonings, Broccoli Florets - 10oz - Frozen Vegetables - SO/FL, BROCCOLI FLORETS - 10oz - Produce, Broccoli Florets - 10oz - Vegetable Fresh, Broccoli Slaw - 12oz - Frozen Vegetables - SO/FL, BROCCOLI SLAW - 12oz - Produce, Broccoli Slaw - 12oz - Vegetable Fresh, Brown Basmati Rice - 8.8oz - Packaged Beans and Grains, Brown Large Grade A Eggs - 6ct - Dairy, Brown Medium Grade A Eggs - 30ct - Dairy, Brown Rice Crisps - 12 oz - Cereal Cold, Brown Whole Flaxseed - 16oz - Supplement, Brown Whole Flaxseed - CA only - 16oz - Supplement, Bucatini - 16oz - Pastas, Buffalo Wing Sauce - 12.5oz - Condiments, Bulgogi Marinade - 9FL OZ - Ethnic, Butternut Squash - 16 oz - Frozen Vegetables, Butternut Squash Ravioli - 8 oz - Frozen Entrees, Buttery Flavor Microwave Popcorn 6 pk - 21oz - Salty Snacks, Cacio E Pepe Pearled Couscous - 6.9oz - Entrees &amp; Mixes, Caesar Dressing - 16 oz - Condiments, Cafe La Duena Ground - 12oz- Coffee, Cafe La Duena Whole Bean - 12oz- Coffee, Cake Cones 12CT - 1.75oz - Baking Mixes, Ingredients and Flours, Calcium &amp; Vitamin D Orange Juice - 89 oz - Dairy Juices &amp; Functional Beverages, California Style Blend - 16 oz - Frozen Vegetables, Campfire Baked Beans - 15oz - SS Vegetables, Candy Canes - 10 pack - 5oz - Candy, Cane Sugar - 2 lb - Sweeteners, Cane Sugar - 4 lb - Sweeteners, Cannellini Beans - 15oz - SS Vegetables, Canola Oil - 16oz - Oils, Canola Oil Nonstick Cooking Spray - 5oz - Meals, Cape Cod Trail Mix - 25lb - Bulk, Caper Berries - 4oz - Pickles, Olives, Peppers, Capers Non-Pareil - 8.8oz - Pickles, Olives, Peppers, Caramel Coffee Ground - 12oz - Coffee, Caraway Seed - 1.76oz - Seasonings, Cardamom Whole - 2.36 oz - Seasonings, Carrot Sticks - 12oz - produce, Carrots - 16oz - Produce, Carrots - 32oz - Produce, Carrots - 5 lb - Produce, Carrots Chips - 16oz - Produce, Carrots Crinkle Cut - 16oz - Frozen Vegetables, Carrots Shredded - 10oz - Produce, Casarecce Italian Macaroni Product - 16 oz - Pastas, Cashews - Roasted &amp; Salted - 10oz - Functional Snacks, Cashews - Roasted &amp; Unsalted - 10oz - Functional Snacks, Cashews - Unroasted and Unsalted - 10oz - Functional Snacks, Cashews Unroasted and Unsalted - 10oz - Functional Snacks, Castelvetrano Olives - 4.6oz - Pickles, Olives, Peppers, Cauliflower - 16 oz - Frozen Vegetables, Cauliflower florets - 10oz - Frozen Vegetables - SO/FL, Cauliflower Florets - 10oz - Vegetable Fresh, CAULIFLOWER FLORETS - 12oz - Produce, Cauliflower Florets - 16oz - Frozen Vegetables, Cayenne Pepper - 1.69 oz - Seasonings, Celebration Blend Coffee - 12oz - Breakfast, Cheddar Chicks 8 Pack - 8oz - Crackers &amp; Crispbreads, Cheddar Square Crackers - 7oz - Crackers &amp; Crispbreads, Cheese Tortellini - 22 oz - Frozen Entrees, Cherry Lime, NF, Italian Soda - 25.4fl oz - Grocery/Sodas, Chicken Breast B/I Split OG Trayless PPK S3 - 0lbs - Chicken, Chicken Breast B/S OG Trayless PPK S3 - 0lbs - Chicken, Chicken Breast B/S VP OG S3 - 0lbs - Chicken, Chicken Breast, Oven Roasted - 6oz - Chicken, Chicken Broth - 32oz - Soups, Chicken Broth 6-pack - 192oz - Soups, Chicken Broth Low Sodium - 32oz - Soups, Chicken Broth Low Sodium 6-pack - 192oz - Soups, Chicken Broth Low Sodium-48oz- Soup, Chicken Broth-48oz-Soups, Chicken Leg Thigh B/S OG Trayless PPK S3 - 0lbs - Chicken, Chicken Leg Thigh B/S VP OG S3-0lbs-Chicken, Chicken Leg Thigh OG Trayless PPK S3 - 0lbs - Chicken, Chicken Noodle Soup - 17oz - Soups, Chicken Stock-32oz-Soups, Chicken Whole Fryer OG Trayless PPK S3 - 0lbs - Chicken, Chickpea Gluten Free Shells - 8oz - Pasta, Chili Beans - 15oz - SS Vegetables, Chili Powder Blend - 1.83 oz - Seasonings, Chimichurri Seasoning - 1.09 oz - Seasonings, Chocolate Almondmilk - 64oz - Dairy Non-Dairy Beverages, Chocolate Chip Animal Cookies - 11OZ - Cookies, Chocolate Chip Cookie Bites - 6 pack-1.05oz-Cookies, Chocolate Chip Cookies - 12 oz - Cookies, Chocolate Ice Cream - 16oz - Desserts, Chocolate Syrup-15.8oz-Baking Mixes, Ingredients &amp; Flours, Chocolate Truffles - 8.8 oz - Candy, Chopped Kale - 12oz - Produce, Chopped Kale-16 oz-Frozen Vegetable, Chopped Spinach - 16 oz - Frozen Vegetable, Cinnamon Ground - 1.90oz - Seasonings, Cinnamon Roll Flavored Ice Cream Sandwiches - 21.9oz - Frozen Desserts, Cinnamon Sticks - 1.28 oz - Seasonings, Citrus Blend Italian Sparkling Mineral Water - 33.8FL OZ - Water, Classic Caesar Salad Kit - 7.8oz - Salad, Classic Hamburger Buns 8 ct - 16OZ - Bread Regional NA, NE, MA, SO, FL, MW, Classic Hot Dog Buns - 16OZ - Bread Regional NA, NE, MA, SO, FL, MW, Classic Ranch Dressing &amp; Dip - 12 OZ - Condiments, Classic Ranch Dressing &amp; Dip - 22FL OZ - Condiments, Classic Sandwich Bread - 20OZ - Bread Regional NA, NE, MA, SO, FL, MW, Clear Acacia Fiber Powder - 12oz - Cleanse &amp; Detox, Clear Acacia Fiber Powder - California - 12oz - Cleanse &amp; Detox, Cloves Ground - 1.9 oz - Seasonings, Cloves Whole - 1.4 oz - Seasonings, Cocktail Sauce - 10 oz - Condiments, Cocktail Sauce - 8oz - Condiments, Cocoa Powder-8oz-Baking Mixes, Ingredients &amp; Flours, Cocoa Rice Crisps Cereal - 10oz - Cereal, Coconut Almond Granola - 25lb - Bulk, Coconut Cream - 13.50 OZ - Additional Ethnic, Coconut Flour - 16.00 OZ - Baking Mixes, Ingredients and Flours, Coconut Milk - 13.5 oz - Ethnic, Coconut Milk - 13.50 OZ - Additional Ethnic, Coconut Milk Unsweetened Original - 32FZ - SS Non-Dairy Beverages, Coconut Milk Unsweetened Original - 64FZ - SS Non-Dairy Beverages, Coconut Milk Unsweetened Vanilla - 32FZ - SS Non-Dairy Beverages, Coconut Milk Unsweetened Vanilla - 64FZ - SS Non-Dairy Beverages, Coconut Oil - 14oz - Meals, Coffee and Cream Ice Cream Bars - 10oz - Frozen Desserts, Coffee Chip Ice Cream - 16oz - Desserts, Colby Jack Cheese Slices - 6oz - Specialty, Coleslaw Mix - 12oz - Packaged Vegetables, Colombian Cup Vienna Roast Coffee, 12 count capsule - 4.66oz - Coffee, Concord Grape Jelly - 17.5 oz - Fruit Spread, Continental Blend Ground - 12oz- Coffee, Continental Blend Whole Bean - 12oz- Coffee, Cookies &amp; Cream - 16oz - Desserts, Cooking Spray - 5fl oz - Meals 1, Coriander Ground - 1.52 oz - Seasonings, Corn Chips Sea Salt - 9oz - Salty Snacks, Corn Flakes - 12 oz - Cereal Cold, Corn on the Cob - 6 CT - Frozen Vegetables, Cottage Cheese - 16.00 OZ - NOP, Cotton Balls - 100 count - Accessories, Cotton Rounds - 100Ct - Body Care, Couscous - Garlic and Olive Oil - 5.8 oz - Entrees &amp; Mixes, Couscous - Original - 10 oz - Entrees &amp; Mixes, Cracked Black Pepper Turkey Breast-6oz- Deli Meat, Cranberries - 1oz - Baking, Cranberries Sweetened - 8 oz - Prepack Snacks (Slatwall &amp; Tubs), Cranberry Flavored Apple Juice from Concentrate - 64oz - SS Juice, Cranberry Orange Sauce - 16oz - Freshpack, Cream Cheese - 8 oz - Milk Products, Cream Cheese - 8OZ - Grocery Dairy, Cream of Mushroom Condensed Soup-17oz-Soups, Creamy Peanut Butter Spread Unsweetened - 28oz - Nut Butters, Creamy Vodka Pasta Sauce-25oz-Pasta Sauce, Croutons Caesar - 4.5 oz - Condiments, Croutons Garlic and Butter Naturally Flavored - 4.5 oz - Condiments, Croutons Seasoned - 4.5 oz - Condiments, Crunchy Cinnamon Squares - 10OZ - Cereals Cold, Crunchy Peanut Butter - 16 oz - Nut Butters, Crushed tomato fire roasted - 28oz - SS Vegetables, Crushed tomato no salt added - 15oz - SS Vegetables, Crushed Tomatoes with Basil - 28 oz - SS Vegetables, Cumin Ground - 1.6 oz - Seasonings, Cumin Seed - 1.66 oz - Seasonings, Cut Green Beans - 16 oz - Frozen Vegetables, Cut Green Beans - NSA - 14.5oz - SS Vegetables, Dak Song Pepper Grinder - 2.01oz - Seasonings, Dark Chocolate - CA Only - 3oz - Candy, Dark Chocolate Bar - 3oz - Candy, Dark Chocolate Bar Almonds - 3oz - Candy, Dark Chocolate Bunny - 3.17 oz - Candy, Dark Chocolate Coconut - 3oz - Candy, Dark Chocolate Coconut- CA Only - 3oz - Candy, Dark Chocolate Nuts &amp; Berries Trail Mix - 12oz - Nuts and Seeds, Dark Chocolate Orange Peel Truffles - 7oz - Specialty, Dark Chocolate Peppermint Truffles - 7oz - Specialty, Dark Red Kidney Beans - 15oz - SS Vegetables, Decaf Peruvian Peak Vienna Roast Coffee, 12 count capsule - 4.66oz - Coffee, Decaffeinated Green Tea with Lemon Myrtle - 2.1 oz - Breakfast, Decaffeinated Green Tea with Lemon Myrtle - 40ct - Bulk &amp; Packaged Teas, Deluxe Macaroni &amp; Cheese with Shells - 12oz - Entrees, Deluxe White Cheddar Macaroni &amp; Cheese with Shells - 12oz - Entrees, Diced Fire Roasted Tomatoes - 15 oz - SS Vegetable, Diced Fire Roasted Tomatoes - 28 0z - SS Vegetable, Diced Pears in Pear Juice from Concentrate (4 4-oz bowls) - 16 oz - SS Fruits, Diced Tomatoes - 14.5 oz - SS Vegetables, Diced Tomatoes with Italian Herbs - 14.5 oz - SS Vegetables, Dijon Mustard - 8 oz - Condiments, Dijon Mustard [CAN only] - 237ml - Condiments, Dill Relish - 10 oz - Pickles, Olives, Peppers, Dill Weed - 0.46 oz - Seasonings, Dish Soap Foaming Unscented - 18fl oz - Household Cleaners, Distilled White Vinegar - 128oz - Vinegars, Distilled White Vinegar-32oz-Vinegars, Distilled White Vinegar-64oz-Vinegars, Double Chocolate Ice Cream Bars - 9oz - Frozen Desserts, Double Cocoa Peanut Pillow - 10.6oz - Cereals Cold, Dried Mango Bag in Bag (8 pack - 1.5 oz) - 12oz - Fruit Dried, Dried Mango Regenerative Organic Certified - 8oz - Functional Snacks, Dry Roasted &amp; Salted Almonds - 10oz - Functional Snacks, Dry Roasted &amp; Unsalted Almonds - 10oz - Functional Snacks, Dry Roasted Macadamia Nuts - 8oz - Functional Snacks, Early Bird Blend Ground - 12oz- Coffee, Early Bird Blend Whole Bean - 12oz- Coffee, Early Bird Multi-Seed Bread - CA Only - 20oz - Bread Regional PN, NC, SP, SW, RM, Early Bird Multi-Seed Bread-20oz-Bread, Edamame - 16 oz - Frozen Vegetables, Egg Whites - 16 oz - Eggs, Erythritol - 16oz - Sweeteners, Espresso Bel Canto Whole Bean - 12oz- Coffee, Evaporated Milk - 12oz - Baking Mixes, Ingredients &amp; Flours, Everything Bagels - 18oz - Bread Regional PN, NC, SP, SW, RM, Everything Bagels - CA Only - 18oz - Bread Regional PN, NC, SP, SW, RM, EVOO Spray - 10fl oz - Meals 1, Extra Large Brown Grade A Eggs [Regions: FL &amp; SW]-12ct-Eggs, Extra Large Brown Grade A Eggs [Regions: NA &amp; NE] - 12ct - Eggs, Extra Virgin Olive Oil 100% Mediterranean Blend-1L-Oils, Extra Virgin Olive Oil 100% Mediterranean Blend-500ml-Oils, Extra Virgin Olive Oil Nonstick Cooking Spray - 5oz - Meals, Extra Virgin Olive Oil Popcorn - 5oz - Salty Snacks, Extra Wide Egg Noodles - 16oz - Pastas, Fabric Softener Tangerine Zest - 32fl oz - Household Cleaners, Fair Trade Cacao Powder - 8oz - Baking Mixes, Ingredients &amp; Flours, Fair Trade Cashews - 8oz - Candy Snacks, Fair Trade Coconut Shreds Unsweetened - 8oz - Baking Mixes, Ingredients &amp; Flours, Fair Trade Vanilla Bean - 1 ea - Seasonings, Farfalle Italian Macaroni Product - 16 oz - Pastas, Fat Free Milk - 128fl oz - Milk - MW, RM, SW, Fat Free Milk - 128oz - Milk - MA, NA, Fat Free Milk - 128oz - Milk - MW, Fat Free Milk - 128oz - Milk - NE, Fat Free Milk - 128oz - Milk - PN, Fat Free Milk - 32fl oz - Milk - MW, RM, SW, Fat Free Milk - 64oz - Milk - MA, NA, Fat Free Milk - 64oz - Milk - MW, Fat Free Milk - 64oz - Milk - NE, Fat Free Milk - 64oz - Milk - PN, Fennel Seed - 1.02 oz - Seasonings, Feta &amp; Spinach Chicken Sausage - 12oz - Sausage, Fettuccine Italian Macaroni Product - 16 oz - Pastas, Fig Cream Soda Italian Soda - 750ml - Sodas &amp; Sparkling Juices, Fingerling Potatoes - 24oz - PN, RM, SP, SW, FINGERLING POTATOES - 24oz - Produce, Fire Roasted Corn - 16 oz - Frozen Vegetables, Flax Oil Filtered - 24fl oz - Supplements, Flax Oil Filtered - 8fl oz - Supplements, Flax Oil Unfiltered - 24fl oz - Supplements, Flax Oil Unfiltered - 8fl oz - Supplements, Flaxseed Ground - 14oz - Supplement, Flaxseed Ground - CA Only - 14oz - Supplement, Four Cheese Pasta Sauce - 25oz - Pasta Sauces, Four Cheese Ravioli - 22oz - Frozen Entrees, Frankincense &amp; Lemon Hydrosol - 3.89FL OZ - Aromatherapy, Freeka - 8.8oz - Entrees &amp; Mixes, French Lavender Hydrosol - 1.76FL OZ - Aromatherapy, French Lavender Hydrosol - 3.89FL OZ - Aromatherapy, French Roast Decaf Ground - 12oz- Coffee, French Roast Decaf Whole Bean - 12oz- Coffee, French Roast Ground - 12oz- Coffee, French Roast Whole Bean - 12oz- Coffee, French Style Green Beans - 16 oz - Frozen Vegetables, French Vanilla Almond Granola - 17oz- Cereal Cold, French Vanilla Almond Granola - 25lb - Bulk, Fresh Ground Chicken - 16oz - Chicken, Fresh Whole Chicken - 3 lb - Chicken, Fresh Young Turkey - 14/16lb - Meat, Fresh Young Turkey - 16/20 - lb - Meat, Fresh Young Turkey - 20/28lb - Meat, Fresh Young Turkey - 6/14lb - Meat, Frosted Flakes - 10 oz - Cereal Cold, FROZEN TURKEY WHOLE 14/18 - 1ct - Turkey - PN, NC, SP and RM, FROZEN TURKEY WHOLE 18/20 - 1ct - Turkey - PN, NC, SP and RM, FROZEN WHOLE TURKEY - 1ct - Turkey - MW, NA,NE,MA,SO, FL and SW, Fruit &amp; Grain Mixed Berry Cereal Bar (6 pack) - 7.8oz - Cereal/Granola Bars, Fruit &amp; Grain Strawberry Cereal Bar (6 pack) - 7.8oz - Cereal/Granola Bars, Fruit &amp; Nut Granola - 17oz - Cereal Cold, Fruit Punch - 64oz - SS Juice, Fruit Punch (8-pack) - 200ml - SS Juice, Fudge Bars - 10 oz - Frozen Desserts, Fuji Apples - 3lb - Fresh Fruit, Fuji Apples - 3lb - Regional RM, NC, SP, Fuji Apples - 3lb - SO, MA, FL, Gala Apples - 3lb - Fresh Fruit, Gala Apples - 3lb - Regional RM, NC, SP, Gala Apples - 3lb - SO, MA, FL, Garbanzo Beans - 15 oz - SS Vegetables, Garbanzo Beans - 16oz - Meals, Garlic - 3bulbs - Produce, Garlic &amp; Herb Goat Cheese - 4 oz - Fresh, Garlic &amp; Herb Rice Pilaf-6.1oz-Entrees &amp; Mixes, Garlic Granules - 2.57 oz - Seasonings, Garlic Powder - 2.33 oz - Seasonings, Garlic Stuffed Olives - 4.23oz - Pickles, Olives, Peppers, Garlic Teriyaki Sauce - 9oz - Condiments, German Mustard - 8 oz - Condiments, German Mustard [CAN only] - 237ml - Condiments, Ginger Ground - 1.52 oz - Seasonings, Ginger Lemon Kombucha - 16fl oz - Refrigerated Functional Beverages, Ginger Lemonade - 59FL OZ - Refrigerated Juice, Glaze Balsamic Vinegar of Modena - 8.45oz - Vinegars, Gluten Free Pasta Farm Shapes - 8.8oz - Pastas, Gluten-Free Pancake &amp; Waffle Mix - 18oz - Desserts and Toppings, Golden Milk - 6oz - Functional Foods, Grade A Maple Syrup - Amber Color - 12 oz - Sweeteners, Grade A Maple Syrup - Amber Color - 32 oz - Sweeteners, Grade A Maple Syrup - Dark Color - 12 oz - Sweeteners, Grade A Maple Syrup - Dark Color - 32 oz - Sweeteners, Grade A Maple Syrup - Golden Color - 8 oz - Sweeteners, Granny Smith Apples - 3lb - Fresh Fruit, Granny Smith Apples - 3lb - Regional RM, NC, SP, Granny Smith Apples - 3lb - SO, MA, FL, Grape Tomatoes - 10oz - Produce, Grapefruit Juice - 16oz - Produce, Grapefruit Juice - 32oz - Produce, Grapefruit Juice - 64oz - Produce, Grass Fed Beef Burgers - 1lb - Frozen Meat, Gravenstein Apple Juice - 32Fl oz - SS Juice, Gravenstein Apple Juice - 64 oz - SS Juices, Great Northern Beans - 15oz - SS Vegetables, Great Northern Beans - 16oz - Meals, Greek Nonfat Yogurt Plain - 32oz - Yogurt, Greek Whole Milk Yogurt Plain - 32oz - Yogurt, Greek Yogurt Blueberry Low Fat Dessert Bars - 2.5oz - Frozen Desserts, Green Beans - 12oz - Vegetable Fresh, Green Lentils - 16 oz - Packaged Beans, Grains &amp; Rice, Green Lentils - 16oz - Meals/Pasta, Green Olives - 8.8oz - Pickles, Olives, Peppers, Green Peas - 20 LB - Bulk, Green Peas No Salt Added - 16 oz - Frozen Vegetables, Green Split Peas - 16 oz - Packaged Beans, Grains &amp; Rice, Green Squeeze - 16oz - Produce, Green Tea - 4.9 oz - Breakfast, Green Tea- 5.6 oz-Bulk &amp; Packaged Teas, Grilled Chicken Breast Strips - 8oz - Sausage Cooked, Ground Cardamom - 1.8oz - Seasonings, Ground Cardamom - 53g - Seasonings, Ground Chicken - 16 oz - Chicken, Gut Refresher Shot Apple + Ginger - 2/12fl oz/pck - Supplements, Gut Refresher Shot Apple + Ginger - 2/6fl oz/pck - Supplements, Gut Refresher Shot Apple + Ginger - 2fl oz - Supplements, Half &amp; Half - 1 Pint - Dairy, Half &amp; Half - 1 Quart - Dairy, Half &amp; Half - 16fl oz - Creamers, Half &amp; Half - 32fl oz - Creamers, Haricot Verts - 16 oz - Frozen Vegetables, Harissa Seasoning - 1.94 oz - Seasonings, Hass Avocado - 4ct - Avocado, Havarti Cheese Slices - 6oz - Specialty, Hazelnut Cocoa Pillows - 10.6oz - Breakfast, Heavy Cream - 1 Pint - Dairy, Heavy Cream - 16fl oz - Creamers, Hemp Protein Unflavored Powder - 16oz - Protein Powders, Hemp Seed - CA-12oz-Supplements, Hemp Seed - CA-4oz-Supplements, Hemp Seed-12oz-Supplements, Hemp Seed-4oz-Supplements, Herb &amp; Garlic Water Crackers - 4.4 oz - Crackers &amp; Crispbreads, Herbes de Provence Vinaigrette - 12fl oz - Condiments, Hickory-Smoked Cheddar Slices - 6oz - Specialty, Homestyle Mini Waffles - 9 oz - Frozen Breakfast, Homestyle Waffles - 7.4 oz - Frozen Breakfast, Honey Cinnamon Whole Grain Animal Cookies - 11OZ - Cookies, Honey Flakes &amp; Oat Clusters - 12 oz - Cereals Cold, Honey Mustard - 8 oz - Condiments, Honey Mustard [CAN ONLY] - 237ml - Condiments, Honey Mustard Dressing - 16 oz - Condiments, Honeycrisp Apple Juice - 32 FZ - SS Juice, Honeycrisp Apples - 3lb - Regional RM, NC, SP, Honeycrisp Apples - 3lb - SO, MA, FL, Hot Cocoa Flavored Ice Cream Sandwiches - 21.9oz - Frozen Desserts, Hot Cocoa Milk Chocolate Flavor Mix - 10 oz - Baking Mixes, Ingredients &amp; Flours, Hot Cocoa Rich Chocolate Flavor Mix - 12 oz - Baking Mixes, Ingredients &amp; Flours, Ice Cream Sandwiches - 21.9 oz - Frozen Desserts, Ice Cream Sandwiches Pumpkin Pie - 21.9oz - Frozen Desserts, Iced Black Tea Ready to Brew Tea Bags - 4.6oz - Bulk &amp; Packaged Teas, Immune Refresher – Carrot &amp; Orange with Turmeric Juice Blend - 32oz - SS Juice, Immune Refresher – Purple Carrot, Beet &amp; Cherry with Elderberry &amp; Echinacea Juice Blend - 32 oz - SS Juice, Immune Refresher – Tropical Fruit Blend with Baobab Juice Blend - 32 oz - SS Juice, Immune Refresher Shot Elderby Pomegrante - 2/12fl oz/pck - Supplements, Immune Refresher Shot Elderby Pomegrante - 2/6fl oz/pck - Supplements, Immune Refresher Shot Elderby Pomegrante - 2fl oz - Supplements, Immune Refresher shot Ginger plus Turmeric plus Cayenne - 12pk - Dairy Juices &amp; Functional Beverages, Immune Refresher shot Ginger plus Turmeric plus Cayenne - 2oz - Dairy Juices &amp; Functional Beverages, Immune Refresher shot Ginger plus Turmeric plus Cayenne - 6pk - Dairy Juices &amp; Functional Beverages, Immune Refresher Shot Ginger Turmeric Cayenne - 2/6fl oz/pck - Supplements, Immune Refresher Shot Ginger Turmeric Cayenne - 2fl oz - Supplements, Immune Refresher Shot Ginger, Turmeric, Cayenne - 2/12fl oz/pck - Supplements, Immune Refresher Shot Pomegrante and Elderberry - 12pk - Dairy Juices &amp; Functional Beverages, Immune Refresher Shot Pomegrante and Elderberry - 2oz - Dairy Juices &amp; Functional Beverages, Immune Refresher Shot Pomegrante plus Elderberry - 6pk - Dairy Juices &amp; Functional Beverages, Indian Basamati Long Grain Brown Rice - 32oz - Grains &amp; Rice, Indian Basamati Long Grain White Rice - 32oz - Grains &amp; Rice, Indian Basmati White Rice - 20oz - Frozen Entrees, Instant Oatmeal Carrot Cake - 11.3oz - Cereals, Instant Oatmeal Cinnamon Roll - 11.3oz - Cereals, Instant Oatmeal Variety Pack - 11.3oz - Cereals, Instant Pudding Chocolate-3.7oz-Baking Mixes, Ingredients &amp; Flours, Instant Pudding Vanilla Flavored-3.7oz-Baking Mixes, Ingredients &amp; Flours, Italian Dressing - 16 oz - Condiments, Italian Herb Pasta Sauce - 25oz - Pasta Sauces, Italian Roast Ground - 12oz- Coffee, Italian Roast Whole Bean - 12oz- Coffee, Italian Romano Vinaigrette - 12fl oz - Condiments, Italian Salad - 10 oz - Produce, Italian Seasoning - 0.46oz - Seasonings, Italian-Style Blend Cheese Shreds - 6oz - Specialty, Jalapeno Monterey Jack Chicken Sausage - 12oz - Sausage Cooked, Jasmine Rice - 20 oz - Frozen Entrees, Jasmine Rice - 8.8oz - Packaged Beans and Grains, Jellied Cranberry Sauce - 14 oz - SS Fruits, Jojoba Oil - 4oz - Aromatherapy, Jumbo Blueberries - 1pt - Fruit, Kalamata Olives Pitted - 8.8oz - Pickles, Olives, Peppers, Kamut Khorasan Wheat - 8.8oz - Entrees &amp; Mixes, Kansas City Love Barbecue Sauce - 18oz - Condiments, Ketchup - 24 oz - Condiments, Kosher Baby Dills - 16 oz - Pickles, Olives, Peppers, Kosher Dill Pickles - 24 oz -Pickles, Olives, Peppers, Kosher Dill Pickles Reduced Sodium - 24 oz -Pickles, Olives, Peppers, Kung Pao Cooking Sauce - 9FL OZ - Ethnic, La Bailarina Spanish Roast Coffee, 12 count capsule - 4.66oz - Coffee, La Mesa Ground - 12oz- Coffee, La Mesa Whole Bean - 12oz- Coffee, Lactose Free Reduced Fat Milk - 64fl oz - Creamers, Lactose Free Whole Milk - 64fl oz - Creamers, Large Brown Grade A Eggs - 18ct - NA &amp; NE, Large Brown Grade A Eggs - 18ct - PN, SO &amp; RM, Large Brown Grade A Eggs - 18ct - SW &amp; FL, Large Brown Grade A Eggs [Region: NC]-12ct-Eggs, Large Brown Grade A Eggs [Regions: FL &amp; SW] - 12ct - Eggs, Large Brown Grade A Eggs [Regions: MA, PN, SO, RM]-12ct-Eggs, Large Brown Grade A Eggs [Regions: MW, SP, PN]-12ct-Eggs, Large Brown Grade A Eggs [Regions: NA &amp; NE] - 12ct - Eggs, Large Omega-3 Brown Grade A Eggs [Region: NC]-12ct-Eggs, Large Omega-3 Brown Grade A Eggs [Regions: FL &amp; SW]-12ct-Eggs, Large Omega-3 Brown Grade A Eggs [Regions: MA, PN, SO, RM]-12ct-Eggs, Large Omega-3 Brown Grade A Eggs [Regions: MW, SP, PN]-12ct-Eggs, Large Omega-3 Brown Grade A Eggs [Regions: NA &amp; NE] - 12ct - Eggs, Lasagne Italian Macaroni Product - 16 oz - Pastas, Lemon Elderflower Italian Soda - 25oz - Sodas &amp; Sparkling Juices, Lemon Italian Soda - 750ml - Sodas &amp; Sparkling Juices, Lemon Italian Sparkling Mineral Water - 16.9FL OZ - Water, Lemon Italian Sparkling Mineral Water 6-pack - 33.8oz - Water, Lemon Raspberry Italian Sparkling Mineral Water - 33.8FL OZ - Water, Lemon Thyme Italian Soda - 750ml - Sodas &amp; Sparkling Juices, Lemonade - 15.2oz - Dairy Juices &amp; Functional Beverages, Lemonade - 16oz - Produce, Lemonade - 32oz - Produce, Lemonade - 64 oz - SS Juices, Lemonade - 64oz - Produce, Lemonade (8-pack) - 200ml - SS Juice, Light Agave Nectar - 23.5 oz - Sweeteners, Light Balsamic Vinaigrette - 16oz - Condiments, Light Lemonade Sweetened with Sugar Cane &amp; Stevia - 64 oz - SS Juices, Light Mayo-11.2oz-Condiments, Light Orange - 59FL OZ - Refrigerated Juice, Light Ranch Dressing - 16 oz - Condiments, Light Sour Cream - 16 oz - Milk Products, Light String Cheese, 8-pack - 8oz - Cheese, Lime Italian Sparkling Mineral Water - 16.9FL OZ - Water, Lime Italian Sparkling Mineral Water 6-pack - 33.8oz - Water, Lime Mint Elderflower Italian Sparkling Mineral Water - 33.8FL OZ - Water, Linguine Italian Macaroni Product - 16 oz - Pastas, Long Grain &amp; Wild Rice Pilaf-6.1oz-Entrees &amp; Mixes, Long Grain Brown Rice - 32oz - Grains &amp; Rice, Long Grain White Rice - 32oz - Grains &amp; Rice, Low Fat Cottage Cheese - 16 oz - Milk Products, Lowfat (1%) Milk - 128oz - Milk - MA, NA, Lowfat (1%) Milk - 128oz - Milk - MW, Lowfat (1%) Milk - 128oz - Milk - NE, Lowfat (1%) Milk - 128oz - Milk - PN, Lowfat (1%) Milk - 64oz - Milk - MA, NA, Lowfat (1%) Milk - 64oz - Milk - MW, Lowfat (1%) Milk - 64oz - Milk - NE, Lowfat (1%) Milk - 64oz - Milk - PN, Lowfat Milk - 128fl oz - Milk - MW, RM, SW, Lowfat Milk - 32fl oz - Milk - MW, RM, SW, Lowfat Milk - 64fl oz - Milk - MW, RM, SW, Maca Powder - 8oz - Supplements, Maca Powder Gelatinized - 8oz - Supplements, Macaroni &amp; Cheese - 12 oz - Pastas, Macaroni &amp; Cheese - 6oz - Entrees, Macaroni and Cheese - 9oz - Entrees, Mango Apple Banana Avocado Kale Baby Food - 4oz - Baby Products, Mango Chunks-32oz-Frozen Fruits, Mango Fruit Strip - 30ct- Candy, MANGO GREEK YOGURT Low Fat Dessert Bars - 10oz - Frozen Desserts, Mango Habanero Coconut Sauce - 9oz - Condiments, Mango Lemonade - 64 oz - SS Juice, Mango Slices - 8oz - Prepack Snacks (Slatwall &amp; Tubs), Maple &amp; Brown Sugar Instant Oatmeal - 11.29oz - Breakfast, Maple &amp; Onion Baked Beans - 16oz - SS Vegetables, Marinara Pasta Sauce, Fat Free-25oz-Pasta Sauce, Marshmallow Galaxy Cereal - 10oz - Cereals Cold, Matcha Powder - 5oz - Functional Foods, Mayonnaise - 11.2oz - Condiments, Mayonnaise - 16FL OZ - Condiments, Mediterranean Blend - 16 oz - Frozen Vegetables, Memphis Madness Barbecue Sauce - 18oz - Condiments, Men's 40+ Multi Food-Sourced - 60TB - Supplements, Mexican Blend - 8oz - Shredded Cheese, Mexican-Style Blend Cheese Shreds - 6oz - Specialty, Microwave Popcorn Butter Flavor - 10.5 oz - Salty Snacks, Microwave Popcorn Light Butter Flavor - 9 oz - Salty Snacks, Microwave Popcorn No Oil or Salt Added - 9 oz -Salty Snacks, Mild Cheddar Cheese - 8 oz - Packaged Bars, Mild Cheddar Cheese Shreds - 6oz - Specialty, Mild Cheddar Cheese Slices - 6oz - Specialty, Mild Italian Chicken Sausage - 12oz - Sausage Cooked, Milk Chocolate Bar - 3oz - Candy, Milk Chocolate Bunny - 3.17oz - Candy, Milk Chocolate Crunchy Quinoa Bar - 3oz - Candy, Mini Cheddar Cheese Sandwich Crackers - 7oz - Crackers &amp; Crispbreads, Mini Peanut Butter Sandwich Crackers - 7oz - Crackers &amp; Crispbreads, Mini Pretzel Twists - 8 oz - Salty Snacks, Mini Pretzel Unsalted Twists - 8 oz - Salty Snacks, Mint Chip Ice Cream - 16oz - Desserts, Mixed Berry Conserve - 17 oz - Fruit Spread, Mixed Berry Fruit Spread - 375 ml - Fruit Spread, Mixed Mushrooms-10oz-Frozen Vegetables, Mixed Vegetables No Salt Added - 16 oz - Frozen Vegetables, Mocha Coffee Ground - 12oz - Coffee, Monterey Jack Cheese Shreds - 6oz - Specialty, Monterey Jack Cheese Slices - 6oz - Specialty, Morello Cherry Fruit Spread - 17OZ - Fruit Spreads, Morning Blend City Roast Coffee Capsule - 4.6oz - Coffee, Morning Blend City Roast Coffee Capsule - 9.3oz - Coffee, Morning O's - 14oz - Cereal Cold, Moroccan Rose Hydrosol - 1.76FL OZ - Aromatherapy, Moroccan Rose Hydrosol - 3.89FL OZ - Aromatherapy, Mozzarella Cheese Shreds - 6oz - Specialty, Mozzarella Cheese Slices - 6oz - Specialty, Muchi Curry Seasoning - 2.08 oz - Seasonings, Muenster Cheese Slices - 6oz - Specialty, Mulling Spice - 1.55oz - Seasonings, Multigrain Sandwich Bread - 20OZ - Bread Regional NA, NE, MA, SO, FL, MW, Multigrain Waffles - 7.4 oz - Frozen Breakfast, Multisurface Cleaner Lavender Lemon - 24fl oz - Household Cleaners, Multisurface Cleaner Unscented - 24fl oz - Household Cleaners, Mushroom Gravy - 12oz - Gravy, Mushroom Ravioli - 8oz - Frozen Entrees, Mustard Seed Ground - 1.69 oz - Seasonings, Navy Beans - 15oz - SS Vegetables, No Sugar Added Ketchup - 16.6oz - Meals, Nonfat Milk - 64fl oz - Milk - MW, RM, SW, Nutmeg Ground - 1.87 oz - Seasonings, Oat &amp; Honey Granola - 17 oz - Cereals Cold, Oatmeal Raisin Cookies-12oz-Cookies, Oats &amp; Flax Instant Oatmeal - 11.29 oz - Cereals Hot, Oats and Honey Granola - 25lb - Bulk, Old Fashioned Sauerkraut - 32 oz - Pickles, Olives, Peppers, Old School Vegetable Soup - 24oz - Prepared Foods, Old School Vegetable Soup - 6oz - Prepared Foods, Old-Fashioned Rolled Oats - 18oz - Cereals Hot, Old-Fashioned Rolled Oats - 42oz - Cereals Hot, Olive Tapenade - 8.1oz - Olives and Peppers, Omega-3 Trail Mix - 12oz - Nuts and Seeds, Onion Granules - 1.9oz - Seasonings, Onion Powder - 1.73 oz - Seasonings, Orange Hibiscus Italian Soda - 25.4FL OZ - Sodas &amp; Sparkling Juices, Orange Juice - 16fl oz - Produce, Orange Juice - 32fl oz - Produce, Orange Juice - 64fl oz - Produce, Orange Marmalade Fruit Spread - 17OZ - Fruit Spreads, Orange Peel Chocolate Truffle - 7oz - Candy, Orange Strawberry Banana Juice - 59 oz - Dairy Juices &amp; Functional Beverages, Orange Vanilla Creme Rooibos Tea - 40CT - Bulk &amp; Packaged Teas, Orecchiette Rigate Italian Macaroni Product - 16 oz - Pastas, Oregano - 0.35 oz - Seasonings, Original Almond Non-Dairy Beverage - 64oz - Dairy, Original Instant Oatmeal - 11.29 oz - Cereals Hot, Original Rice Pilaf-6.1oz-Entrees &amp; Mixes, Original Unsweetened Almond Milk 6 pk - 48oz - Dairy Non-Dairy Beverages, Orzo Italian Macaroni Product - 16 oz - Pastas, Outdoor Access Extra Large Brown Grade A Eggs 12 ct 15543, Outdoor Access Extra Large Brown Grade A Eggs 12 ct 15549, Papillon Italian Macaroni Product with Roots and Vegetables - 16oz - Pastas, Paprika-1.69oz-Seasonings, Parmesan &amp; Mushroom Chicken Sausage - 12oz - Sausage, Parsley - 0.24 oz - Seasonings, Pasta Rings in Tomato Sauce - 15 oz - Entrees &amp; Mixes, Peach Passion Fruit Kombucha - 16fl oz - Refrigerated Beverages, Peaches &amp; Pears in Pear Juice from Concentrate (4 4-oz bowls) - 16 oz - SS Fruits, Peanut Butter Balls - 10 oz - Cereal cold, Pear Carrot Broccoli Baby Food - 4oz - Baby Products, Pear Halves in Pear Juice from Concentrate - 15 oz - SS Fruits, Pear Strawberry Rhubarb Baby Food - 4oz - Baby Products, Pearled Couscous - Garlic and Olive Oil - 5.8 oz - Entrees &amp; Mixes, Pearled Couscous - Lemon and Herb - 5 oz - Entrees &amp; Mixes, Peas and Carrots No Salt Added - 16 oz - Frozen Vegetables, Pecan Halves - 30lb - Bulk, Pecans Chopped - 2.44oz - Baking, Pecans Halves and Pieces - 8oz - Functional Snacks, Peeled Garlic - 6oz - Garlic, Penne Rigate Italian Macaroni Product - 16 oz - Pastas, Pepper Jack Cheese - 8 oz - Packaged Bars, Pepper Jack Cheese Shreds - 6oz - Specialty, Pepper Jack Cheese Slices - 6oz - Specialty, Peppermint Lip Balm - 0.15 oz - Lip Care, Peppermint Tea - 1.8 oz - Breakfast, Peppermint Tea - 40ct - Bulk &amp; Packaged Tea, Peppermint Tea-1.83 oz-Bulk &amp; Packaged Teas, Peruvian Style - 2.93oz - Seasonings, Petite Carrots Peeled - 12oz - Produce, Petite Diced Tomatoes with Jalapeno &amp; Cilantro - 10 oz - SS Vegetable, Petite Green Peas No Salt Added - 16 oz - Frozen Vegetables, Pineapple Mango Sparkling Mineral Water - 33.8FL OZ - Water, Pineapple Slices - 8oz - Prepack Snacks (Slatwall &amp; Tubs), Pink Grapefruit Italian Soda - 750ml - Sodas &amp; Sparkling Juices, Pink Grapefruit Italian Soda 4 pack - 44.8Fl oz - Sodas &amp; Sparkling Juices, Pink Lady Apples © - 3lbs - RM, NC, SP, Pink Lady Apples © - 3lbs - SO, MA, FL, Pink Lady Apples © - 3lbs - SW, MW, PN, NA, NE, Pinto Beans - 15oz - SS Vegetables, Pinto Beans - 16oz - Meals, Pipe Rigate Italian Macaroni Product - 16 oz - Pastas, Pizza Sauce-14oz-Pasta Sauce, Plain Bagels - 18oz - Bread Regional PN, NC, SP, SW, RM, Plain Bagels - CA Only - 18oz - Bread Regional PN, NC, SP, SW, RM, Plain Bread Crumbs - 9oz - Baking Mixes, Ingredients and Flours, Plain Fresh Goat Cheese - 4 oz - Fresh, Plain Low Fat Yogurt - 32 oz - Yogurt, Plain Whole Milk Yogurt - 32 oz - Yogurt, Plant-Based Bolognese Pasta Sauce - 18oz - Pasta Sauces, Pomegranate Orange Lip Balm - 0.15 oz - Lip Care, Poppy Seed - 2.05 oz - Seasonings, Portobello Mushroom Pasta Sauce-25oz-Pasta Sauce, Portobello Mushroom Sliced - 6oz - Produce, Portobello Mushroom Whole - 6oz - Produce, Potato Chips Barbecue - 5 oz - Salty Snack, Potato Chips Sea Salt - 5 oz - Salty Snack, Potted Basil - 1EA - Floral, POWDERED MUSHROOM BLEND - 3.03oz - Supplements, POWDERED MUSHROOM BLEND - CA - 3.03oz - Supplements, Powdered Sugar - 24oz - Sweeteners, Prepared Yellow Mustard - 14oz - Meals 1, Pretzel Sticks - 8 oz - Salty Snacks, Prune Baby Food - 4oz - Baby Products, Pulp Free Orange Juice - 89 oz - Dairy Juices &amp; Functional Beverages, Pumpkin Pie Spice - 1.76oz - Seasonings, Pumpkin Puree - 15OZ - SS Vegetables, Pumpkin Seeds - 25lb - Bulk, Pumpkin Seeds - 8OZ - Prepack Snacks (Slatwall &amp; Tubs), Pumpkin Spice Apple Sauce - 24oz - SS Fruits, Pumpkin Spiced Apple Cider - 32oz - SS Juice</t>
  </si>
  <si>
    <t>Certificate Numbers for Certified Products Under HANDLING Scope</t>
  </si>
  <si>
    <t>US9553/24 subst. US9545/24</t>
  </si>
  <si>
    <t>US9394/24 subst. US9289/24</t>
  </si>
  <si>
    <t>CU 858202NOP-01.2023</t>
  </si>
  <si>
    <t>US9686/24 subst. US9678/24</t>
  </si>
  <si>
    <t>CO-308307</t>
  </si>
  <si>
    <t>NOP-009585-2025</t>
  </si>
  <si>
    <t>25916</t>
  </si>
  <si>
    <t>BINT-10684</t>
  </si>
  <si>
    <t>CO-312144</t>
  </si>
  <si>
    <t>CE-013360-2024</t>
  </si>
  <si>
    <t>24-202</t>
  </si>
  <si>
    <t>CO-311821</t>
  </si>
  <si>
    <t>CO-312054</t>
  </si>
  <si>
    <t>IA0088-H-18-1431</t>
  </si>
  <si>
    <t>CO-308309</t>
  </si>
  <si>
    <t>CO-312003</t>
  </si>
  <si>
    <t>CO-311702</t>
  </si>
  <si>
    <t>C0030101-NOPHDLR-8</t>
  </si>
  <si>
    <t>US9010/24</t>
  </si>
  <si>
    <t>C0750906-NOPHDLR-3</t>
  </si>
  <si>
    <t>C0029835-NOPHDLR-7</t>
  </si>
  <si>
    <t>,2016101</t>
  </si>
  <si>
    <t>NOP-008586-2023</t>
  </si>
  <si>
    <t>CO-311944</t>
  </si>
  <si>
    <t>25 12053 NOP</t>
  </si>
  <si>
    <t>CE-010206-2023</t>
  </si>
  <si>
    <t>,2325101</t>
  </si>
  <si>
    <t>CU 889766NOP-01.2023</t>
  </si>
  <si>
    <t>CO-310705</t>
  </si>
  <si>
    <t>,2120701</t>
  </si>
  <si>
    <t>SANPEDRO-191/12.23/0003-NOP</t>
  </si>
  <si>
    <t>24-531</t>
  </si>
  <si>
    <t>BINT-10955</t>
  </si>
  <si>
    <t>US9822/25</t>
  </si>
  <si>
    <t>CU 893288NOP-01.2024</t>
  </si>
  <si>
    <t>24-412</t>
  </si>
  <si>
    <t>US9004/24</t>
  </si>
  <si>
    <t>US8950/24</t>
  </si>
  <si>
    <t>C0804569-NOPHDLR-1</t>
  </si>
  <si>
    <t>C0250729-NOPHDLR-6</t>
  </si>
  <si>
    <t>C0055120-NOPHDLR-9</t>
  </si>
  <si>
    <t>BINT-10871</t>
  </si>
  <si>
    <t>24-1023,24-090</t>
  </si>
  <si>
    <t>CO-309786</t>
  </si>
  <si>
    <t>24692</t>
  </si>
  <si>
    <t>US10112/25 subst. US10042/25,</t>
  </si>
  <si>
    <t>US9950/25</t>
  </si>
  <si>
    <t>NPW96WCC</t>
  </si>
  <si>
    <t>US9172/24</t>
  </si>
  <si>
    <t>C0030327-NOPHDLR-6</t>
  </si>
  <si>
    <t>NPU24GCC</t>
  </si>
  <si>
    <t>US9502/24</t>
  </si>
  <si>
    <t>US9653/24 subst. US9639/24</t>
  </si>
  <si>
    <t>CO-310076</t>
  </si>
  <si>
    <t>CO-309096</t>
  </si>
  <si>
    <t>CO-310034</t>
  </si>
  <si>
    <t>CO-312072</t>
  </si>
  <si>
    <t>NOP-009022-2023</t>
  </si>
  <si>
    <t>C0031027-NOPHDLR-10</t>
  </si>
  <si>
    <t>CO-311003</t>
  </si>
  <si>
    <t>C0472891-NOPHDLR-5</t>
  </si>
  <si>
    <t>C0265702-NOPHDLR-5</t>
  </si>
  <si>
    <t>C0349816-NOPHDLR-5</t>
  </si>
  <si>
    <t>C0346706-NOPHDLR-5</t>
  </si>
  <si>
    <t>C0686299-NOPHDLR-5</t>
  </si>
  <si>
    <t>CO-309593</t>
  </si>
  <si>
    <t>CO-310541</t>
  </si>
  <si>
    <t>US9582/24</t>
  </si>
  <si>
    <t>US9540/24 subst. US8986/24,</t>
  </si>
  <si>
    <t>NPV13QCC</t>
  </si>
  <si>
    <t>C0809306-NOPHDLR-1</t>
  </si>
  <si>
    <t>1562</t>
  </si>
  <si>
    <t>C0519046-NOPHDLR-8</t>
  </si>
  <si>
    <t>C0048501-NOPHDLR-5</t>
  </si>
  <si>
    <t>CE-010915-2024</t>
  </si>
  <si>
    <t>25560</t>
  </si>
  <si>
    <t>C0030638-NOPHDLR-6</t>
  </si>
  <si>
    <t>C0450031-NOPHDLR-7</t>
  </si>
  <si>
    <t>C0030957-NOPHDLR-7</t>
  </si>
  <si>
    <t>NPK43TCC</t>
  </si>
  <si>
    <t>25906</t>
  </si>
  <si>
    <t>26045</t>
  </si>
  <si>
    <t>C0815663-NOPHDLR-1</t>
  </si>
  <si>
    <t>346_24_5</t>
  </si>
  <si>
    <t>US10064/25</t>
  </si>
  <si>
    <t>US10063/25</t>
  </si>
  <si>
    <t>C0031590-NOPHDLR-8</t>
  </si>
  <si>
    <t>NOP-009564-2025</t>
  </si>
  <si>
    <t>C0257820-NOPHDLR-9</t>
  </si>
  <si>
    <t>C0318712-NOPHDLR-5</t>
  </si>
  <si>
    <t>,2201906</t>
  </si>
  <si>
    <t>C0030416-NOPHDLR-8</t>
  </si>
  <si>
    <t>CO-309784</t>
  </si>
  <si>
    <t>2412301</t>
  </si>
  <si>
    <t>CO-309591</t>
  </si>
  <si>
    <t>NOP-009261-2024</t>
  </si>
  <si>
    <t>24732</t>
  </si>
  <si>
    <t>CU 855207NOP-01.2024</t>
  </si>
  <si>
    <t>US9256/24</t>
  </si>
  <si>
    <t>US9197/24</t>
  </si>
  <si>
    <t>US9959/25 subst US9209/24</t>
  </si>
  <si>
    <t>US9206/24 subst US9197/24 US</t>
  </si>
  <si>
    <t>US9389/24</t>
  </si>
  <si>
    <t>US9106/24</t>
  </si>
  <si>
    <t>CO-304901</t>
  </si>
  <si>
    <t>US9851/25</t>
  </si>
  <si>
    <t>US9852/25</t>
  </si>
  <si>
    <t>US9860/25</t>
  </si>
  <si>
    <t>7170230627.24.1</t>
  </si>
  <si>
    <t>NOP-009454-2024</t>
  </si>
  <si>
    <t>NOP-009269-2024</t>
  </si>
  <si>
    <t>,2218607</t>
  </si>
  <si>
    <t>24 10199 NOP,24 10199 NOP - 1,</t>
  </si>
  <si>
    <t>CO-309675</t>
  </si>
  <si>
    <t>CMX-NOP-1051-2024-113</t>
  </si>
  <si>
    <t>NOP-009249-2024</t>
  </si>
  <si>
    <t>CO-310539</t>
  </si>
  <si>
    <t>CE-014651-2024</t>
  </si>
  <si>
    <t>25341</t>
  </si>
  <si>
    <t>US8286/24</t>
  </si>
  <si>
    <t>25589</t>
  </si>
  <si>
    <t>25516</t>
  </si>
  <si>
    <t>25587</t>
  </si>
  <si>
    <t>CO-312122</t>
  </si>
  <si>
    <t>26129</t>
  </si>
  <si>
    <t>25967</t>
  </si>
  <si>
    <t>24-0386</t>
  </si>
  <si>
    <t>C0029825-NOPHDLR-9</t>
  </si>
  <si>
    <t>CO-309754</t>
  </si>
  <si>
    <t>CO-311038</t>
  </si>
  <si>
    <t>CU 854120NOP-01.2024</t>
  </si>
  <si>
    <t>NPU87YCC</t>
  </si>
  <si>
    <t>C0771444-NOPHDLR-2</t>
  </si>
  <si>
    <t>9730000064,9730000063</t>
  </si>
  <si>
    <t>CU 871502NOP-01.2024</t>
  </si>
  <si>
    <t>C0052195-NOPHDLR-7</t>
  </si>
  <si>
    <t>US10070/25</t>
  </si>
  <si>
    <t>US8944/24</t>
  </si>
  <si>
    <t>US9656/24</t>
  </si>
  <si>
    <t>US10053/25 subst. US9730/25</t>
  </si>
  <si>
    <t>US9907/25 subst. US9754/25</t>
  </si>
  <si>
    <t>US9577/24 subst US9463/24</t>
  </si>
  <si>
    <t>US9162/24 subst. US8901/24</t>
  </si>
  <si>
    <t>US9235/24</t>
  </si>
  <si>
    <t>US10108/25</t>
  </si>
  <si>
    <t>US9515/24 subst. US8711/24</t>
  </si>
  <si>
    <t>US9558/24</t>
  </si>
  <si>
    <t>US9765/25</t>
  </si>
  <si>
    <t>US9766/25</t>
  </si>
  <si>
    <t>US9685/24 subst US9015/24</t>
  </si>
  <si>
    <t>US9747/25</t>
  </si>
  <si>
    <t>US9930/25</t>
  </si>
  <si>
    <t>US9932/25</t>
  </si>
  <si>
    <t>US9792/25</t>
  </si>
  <si>
    <t>US10079/25</t>
  </si>
  <si>
    <t>US8955/24</t>
  </si>
  <si>
    <t>US8949/24</t>
  </si>
  <si>
    <t>US8942/24</t>
  </si>
  <si>
    <t>US8974/24 subst US8882/24</t>
  </si>
  <si>
    <t>US8522/24,US9995/25</t>
  </si>
  <si>
    <t>US9998/25</t>
  </si>
  <si>
    <t>US9914/25</t>
  </si>
  <si>
    <t>US9123 subst US7885/24 US</t>
  </si>
  <si>
    <t>US8936/24 subst. US8823/24</t>
  </si>
  <si>
    <t>US10062/25</t>
  </si>
  <si>
    <t>US9788/25</t>
  </si>
  <si>
    <t>US10121/25</t>
  </si>
  <si>
    <t>US9854/25</t>
  </si>
  <si>
    <t>US9856/25</t>
  </si>
  <si>
    <t>US10126/25 subst. US9815/25</t>
  </si>
  <si>
    <t>US10050/25 subst. US9816/25</t>
  </si>
  <si>
    <t>US10065/25</t>
  </si>
  <si>
    <t>US9557/24</t>
  </si>
  <si>
    <t>CO-310118</t>
  </si>
  <si>
    <t>US8789/24 subst. US7990/24</t>
  </si>
  <si>
    <t>US9344/24</t>
  </si>
  <si>
    <t>US9921/25 subst. US9528/24</t>
  </si>
  <si>
    <t>US9595/24</t>
  </si>
  <si>
    <t>US10038/25</t>
  </si>
  <si>
    <t>C0178554-NOPHDLR-7</t>
  </si>
  <si>
    <t>US10082/25</t>
  </si>
  <si>
    <t>US9506/24,US8770/24 subst. US7972/24</t>
  </si>
  <si>
    <t>NPW30RCC</t>
  </si>
  <si>
    <t>C0391746-NOPHDLR-7</t>
  </si>
  <si>
    <t>TX0648-G-20-1828</t>
  </si>
  <si>
    <t>CU 861233NOP-01.2025</t>
  </si>
  <si>
    <t>NOP-008845-2023</t>
  </si>
  <si>
    <t>041212USDA</t>
  </si>
  <si>
    <t>24-687</t>
  </si>
  <si>
    <t>CO-310352</t>
  </si>
  <si>
    <t>26112</t>
  </si>
  <si>
    <t>CO-311143</t>
  </si>
  <si>
    <t>24731</t>
  </si>
  <si>
    <t>26005</t>
  </si>
  <si>
    <t>C0834118-NOPHDLR-1</t>
  </si>
  <si>
    <t>24925</t>
  </si>
  <si>
    <t>NOP-008497-2023</t>
  </si>
  <si>
    <t>US8324/24</t>
  </si>
  <si>
    <t>US9569/24 subst. US10976/24</t>
  </si>
  <si>
    <t>US7668/23 substitute US7595/23</t>
  </si>
  <si>
    <t>CMX-NOP-762-2024-20</t>
  </si>
  <si>
    <t>C0286885-NOPHDLR-6</t>
  </si>
  <si>
    <t>C0250478-NOPHDLR-5</t>
  </si>
  <si>
    <t>NOP-008802-2023</t>
  </si>
  <si>
    <t>NOP-008493-2023</t>
  </si>
  <si>
    <t>CO-310299</t>
  </si>
  <si>
    <t>24-772</t>
  </si>
  <si>
    <t>17510-240225</t>
  </si>
  <si>
    <t>CO-311898</t>
  </si>
  <si>
    <t>CO-310627</t>
  </si>
  <si>
    <t>CO-312090</t>
  </si>
  <si>
    <t>C0164034-NOPHDLR-5</t>
  </si>
  <si>
    <t>CE-009137-2024</t>
  </si>
  <si>
    <t>CO-310875</t>
  </si>
  <si>
    <t>24-495,24-495-1</t>
  </si>
  <si>
    <t>25487</t>
  </si>
  <si>
    <t>CO-311923</t>
  </si>
  <si>
    <t>,487</t>
  </si>
  <si>
    <t>C0031151-NOPHDLR-6</t>
  </si>
  <si>
    <t>US8411/24</t>
  </si>
  <si>
    <t>26142</t>
  </si>
  <si>
    <t>26074</t>
  </si>
  <si>
    <t>US9764/25 subst. US8624/24</t>
  </si>
  <si>
    <t>US9033/24 subst US8722/24</t>
  </si>
  <si>
    <t>24875</t>
  </si>
  <si>
    <t>C0510154-NOPHDLR-5</t>
  </si>
  <si>
    <t>CO-311963</t>
  </si>
  <si>
    <t>C0366567-NOPHDLR-6</t>
  </si>
  <si>
    <t>C0676043-NOPHDLR-5</t>
  </si>
  <si>
    <t>C0763954-NOPHDLR-1</t>
  </si>
  <si>
    <t>CO-309703</t>
  </si>
  <si>
    <t>US8870/24 subst. US8763/24</t>
  </si>
  <si>
    <t>C0031240-NOPHDLR-5</t>
  </si>
  <si>
    <t>CO-308491</t>
  </si>
  <si>
    <t>CU 845529NOP-01.2024</t>
  </si>
  <si>
    <t>CO-310503</t>
  </si>
  <si>
    <t>CO-311897</t>
  </si>
  <si>
    <t>US8634/24</t>
  </si>
  <si>
    <t>NOP-009575-2025</t>
  </si>
  <si>
    <t>17490-231101</t>
  </si>
  <si>
    <t>US9762/25</t>
  </si>
  <si>
    <t>US9763/25</t>
  </si>
  <si>
    <t>CO-312176</t>
  </si>
  <si>
    <t>CU 844634NOP-02.2024</t>
  </si>
  <si>
    <t>C0327160-NOPHPC-9</t>
  </si>
  <si>
    <t>CO-309545</t>
  </si>
  <si>
    <t>C0029986-NOPHDLR-8</t>
  </si>
  <si>
    <t>CO-309719</t>
  </si>
  <si>
    <t>US9968/25</t>
  </si>
  <si>
    <t>BINT-10906</t>
  </si>
  <si>
    <t>,2231301,223130</t>
  </si>
  <si>
    <t>C0030617-NOPHDLR-6</t>
  </si>
  <si>
    <t>C0373042-NOPHDLR-5</t>
  </si>
  <si>
    <t>C0373048-NOPHDLR-5</t>
  </si>
  <si>
    <t>US9984/25</t>
  </si>
  <si>
    <t>US9982/25</t>
  </si>
  <si>
    <t>BINT-10983</t>
  </si>
  <si>
    <t>C0760844-NOPHDLR-3</t>
  </si>
  <si>
    <t>C0130742-NOPHDLR-7</t>
  </si>
  <si>
    <t>NPW69GCC</t>
  </si>
  <si>
    <t>C0755180-NOPHDLR-2</t>
  </si>
  <si>
    <t>NOP-008684-2023</t>
  </si>
  <si>
    <t>US8954/24</t>
  </si>
  <si>
    <t>US8953/24</t>
  </si>
  <si>
    <t>CO-310518</t>
  </si>
  <si>
    <t>US9780/25 subst. US8603/24</t>
  </si>
  <si>
    <t>NOP-008565-2023</t>
  </si>
  <si>
    <t>0322</t>
  </si>
  <si>
    <t>CO-310348</t>
  </si>
  <si>
    <t>25629</t>
  </si>
  <si>
    <t>,7170210384.24.1</t>
  </si>
  <si>
    <t>C0030628-NOPHDLR-5</t>
  </si>
  <si>
    <t>2410101,</t>
  </si>
  <si>
    <t>CU 893096NOP-01.2024</t>
  </si>
  <si>
    <t>CU 893400NOP-01.2024</t>
  </si>
  <si>
    <t>25456</t>
  </si>
  <si>
    <t>US9715/25 subst. US9579/24</t>
  </si>
  <si>
    <t>CO-311575</t>
  </si>
  <si>
    <t>7170220443.24.1</t>
  </si>
  <si>
    <t>CO-310501</t>
  </si>
  <si>
    <t>CO-308548</t>
  </si>
  <si>
    <t>1208</t>
  </si>
  <si>
    <t>US8409/24</t>
  </si>
  <si>
    <t>C0031318-NOPHDLR-7</t>
  </si>
  <si>
    <t>US8715/24</t>
  </si>
  <si>
    <t>US9296/24 subst. US9038/24</t>
  </si>
  <si>
    <t>C0030742-NOPHDLR-7</t>
  </si>
  <si>
    <t>US10024/25</t>
  </si>
  <si>
    <t>CO-311070</t>
  </si>
  <si>
    <t>US10114/25</t>
  </si>
  <si>
    <t>US8852/24</t>
  </si>
  <si>
    <t>24861</t>
  </si>
  <si>
    <t>US8112/24</t>
  </si>
  <si>
    <t>C0351171-NOPHDLR-6</t>
  </si>
  <si>
    <t>CU 859348NOP-01.2024</t>
  </si>
  <si>
    <t>,2032301</t>
  </si>
  <si>
    <t>,2102901</t>
  </si>
  <si>
    <t>C0352536-NOPHDLR-6</t>
  </si>
  <si>
    <t>C0308316-NOPHDLR-7</t>
  </si>
  <si>
    <t>C0129177-NOPHDLR-5</t>
  </si>
  <si>
    <t>C0029554-NOPHDLR-7</t>
  </si>
  <si>
    <t>CO-309641</t>
  </si>
  <si>
    <t>US9718/25</t>
  </si>
  <si>
    <t>12962-240723n</t>
  </si>
  <si>
    <t>CO-310891</t>
  </si>
  <si>
    <t>7170210434.24.1</t>
  </si>
  <si>
    <t>NOP-009373-2024</t>
  </si>
  <si>
    <t>NPV89CCC</t>
  </si>
  <si>
    <t>C0030534-NOPHDLR-7</t>
  </si>
  <si>
    <t>CO-309710</t>
  </si>
  <si>
    <t>25701</t>
  </si>
  <si>
    <t>CU 857388NOP-03.2024</t>
  </si>
  <si>
    <t>24127</t>
  </si>
  <si>
    <t>US8598/24</t>
  </si>
  <si>
    <t>C0435640-NOPHDLR-6</t>
  </si>
  <si>
    <t>CO-312002</t>
  </si>
  <si>
    <t>C0845511-NOPHDLR-1</t>
  </si>
  <si>
    <t>CO-311893</t>
  </si>
  <si>
    <t>BINT-10873</t>
  </si>
  <si>
    <t>C0337359-NOPHDLR-6</t>
  </si>
  <si>
    <t>C0147367-NOPHDLR-5</t>
  </si>
  <si>
    <t>CO-308537</t>
  </si>
  <si>
    <t>C0077381-NOPHDLR-5</t>
  </si>
  <si>
    <t>23-608</t>
  </si>
  <si>
    <t>NOP-009362-2024</t>
  </si>
  <si>
    <t>CE-024183-2024</t>
  </si>
  <si>
    <t>CO-310366</t>
  </si>
  <si>
    <t>NPU93VCC</t>
  </si>
  <si>
    <t>MI0082-H-23-2144</t>
  </si>
  <si>
    <t>CO-310433</t>
  </si>
  <si>
    <t>24-519</t>
  </si>
  <si>
    <t>CO-310131</t>
  </si>
  <si>
    <t>NPX27YCC</t>
  </si>
  <si>
    <t>NPV27ZCC</t>
  </si>
  <si>
    <t>25610</t>
  </si>
  <si>
    <t>25449</t>
  </si>
  <si>
    <t>C0757732-NOPHDLR-4</t>
  </si>
  <si>
    <t>C0812915-NOPHDLR-2</t>
  </si>
  <si>
    <t>US9519/24</t>
  </si>
  <si>
    <t>US9141/24 subst US06148/24</t>
  </si>
  <si>
    <t>US8956/24 subst. US8946/24</t>
  </si>
  <si>
    <t>US10054/25</t>
  </si>
  <si>
    <t>C0806742-NOPHDLR-2</t>
  </si>
  <si>
    <t>25520</t>
  </si>
  <si>
    <t>C0031241-NOPHDLR-7</t>
  </si>
  <si>
    <t>CE-009170-2024</t>
  </si>
  <si>
    <t>US8640/24</t>
  </si>
  <si>
    <t>CMX-NOP-1133-2024-38</t>
  </si>
  <si>
    <t>3731/2024-01</t>
  </si>
  <si>
    <t>25961</t>
  </si>
  <si>
    <t>25137</t>
  </si>
  <si>
    <t>C0031649-NOPHDLR-7</t>
  </si>
  <si>
    <t>C0737408-NOPHDLR-2</t>
  </si>
  <si>
    <t>25738</t>
  </si>
  <si>
    <t>CO-311857</t>
  </si>
  <si>
    <t>CO-309272</t>
  </si>
  <si>
    <t>C0029773-NOPHDLR-8</t>
  </si>
  <si>
    <t>CO-311470</t>
  </si>
  <si>
    <t>CO-309420</t>
  </si>
  <si>
    <t>24-675</t>
  </si>
  <si>
    <t>CO-309097</t>
  </si>
  <si>
    <t>26041</t>
  </si>
  <si>
    <t>C0029743-NOPHDLR-5</t>
  </si>
  <si>
    <t>25322</t>
  </si>
  <si>
    <t>25088</t>
  </si>
  <si>
    <t>25930</t>
  </si>
  <si>
    <t>CO-308490</t>
  </si>
  <si>
    <t>C0030591-NOPHDLR-7</t>
  </si>
  <si>
    <t>C0031205-NOPHDLR-6</t>
  </si>
  <si>
    <t>C0030498-NOPHDLR-7</t>
  </si>
  <si>
    <t>US10093/25</t>
  </si>
  <si>
    <t>ND0007-H-17-1362</t>
  </si>
  <si>
    <t>C0176604-NOPHDLR-2</t>
  </si>
  <si>
    <t>CO-311868</t>
  </si>
  <si>
    <t>US10031/25</t>
  </si>
  <si>
    <t>US8853/24 subst US8645/24</t>
  </si>
  <si>
    <t>US9626/24</t>
  </si>
  <si>
    <t>CO-309396</t>
  </si>
  <si>
    <t>1601</t>
  </si>
  <si>
    <t>,564</t>
  </si>
  <si>
    <t>C0557458-NOPHDLR-8</t>
  </si>
  <si>
    <t>CE-018628-2024</t>
  </si>
  <si>
    <t>1248</t>
  </si>
  <si>
    <t>CO-310040</t>
  </si>
  <si>
    <t>TR-2876-001.2023.NOP</t>
  </si>
  <si>
    <t>26119</t>
  </si>
  <si>
    <t>CO-310712</t>
  </si>
  <si>
    <t>C0031106-NOPHDLR-5</t>
  </si>
  <si>
    <t>CMX-NOP-1138-2024-53</t>
  </si>
  <si>
    <t>NOP-009359-2024</t>
  </si>
  <si>
    <t>C0031638-NOPHDLR-7</t>
  </si>
  <si>
    <t>NOP-008933-2023</t>
  </si>
  <si>
    <t>CU 882424NOP-03.2024</t>
  </si>
  <si>
    <t>9735389296</t>
  </si>
  <si>
    <t>C0031215-NOPHDLR-6</t>
  </si>
  <si>
    <t>WI0730-H-21-1927</t>
  </si>
  <si>
    <t>CU 833549NOP-01.2024</t>
  </si>
  <si>
    <t>C0461427-NOPHDLR-6</t>
  </si>
  <si>
    <t>25363</t>
  </si>
  <si>
    <t>24869</t>
  </si>
  <si>
    <t>C0030354-NOPHDLR-6</t>
  </si>
  <si>
    <t>US9952/25 subst. US9933/25</t>
  </si>
  <si>
    <t>US9934/25</t>
  </si>
  <si>
    <t>NOP-009297-2024</t>
  </si>
  <si>
    <t>C0031287-NOPHDLR-11</t>
  </si>
  <si>
    <t>CE-010963-2024</t>
  </si>
  <si>
    <t>C0448725-NOPHDLR-6</t>
  </si>
  <si>
    <t>C0030210-NOPHDLR-6</t>
  </si>
  <si>
    <t>C0774239-NOPHDLR-3</t>
  </si>
  <si>
    <t>C0302966-NOPHDLR-8</t>
  </si>
  <si>
    <t>C0279720-NOPHDLR-7</t>
  </si>
  <si>
    <t>C0029826-NOPHDLR-7</t>
  </si>
  <si>
    <t>,1460029668</t>
  </si>
  <si>
    <t>CU 890700NOP-01.2025</t>
  </si>
  <si>
    <t>C0030418-NOPHDLR-6</t>
  </si>
  <si>
    <t>0340</t>
  </si>
  <si>
    <t>9739998295,9730000333</t>
  </si>
  <si>
    <t>C0031575-NOPHDLR-8</t>
  </si>
  <si>
    <t>23-1130</t>
  </si>
  <si>
    <t>25934</t>
  </si>
  <si>
    <t>NPX04QCC</t>
  </si>
  <si>
    <t>CO-311553</t>
  </si>
  <si>
    <t>C0762477-NOPHDLR-4</t>
  </si>
  <si>
    <t>25952</t>
  </si>
  <si>
    <t>C0690352-NOPHDLR-4</t>
  </si>
  <si>
    <t>CU 895946NOP-01.2024</t>
  </si>
  <si>
    <t>CU 883443NOP-01.2024</t>
  </si>
  <si>
    <t>C0525096-NOPHDLR-5</t>
  </si>
  <si>
    <t>CU 857113NOP-01.2024</t>
  </si>
  <si>
    <t>C0030815-NOPHDLR-6</t>
  </si>
  <si>
    <t>C0029688-NOPHDLR-7</t>
  </si>
  <si>
    <t>US8968 subst. US8952/24</t>
  </si>
  <si>
    <t>US9085/24 subst US9014/24</t>
  </si>
  <si>
    <t>US9089/24,US7372/23</t>
  </si>
  <si>
    <t>US8307/24</t>
  </si>
  <si>
    <t>US9242/24</t>
  </si>
  <si>
    <t>TX0297-PH-19-1618</t>
  </si>
  <si>
    <t>021524(NEF)USDA.</t>
  </si>
  <si>
    <t>C0030566-NOPHDLR-6</t>
  </si>
  <si>
    <t>C0245789-NOPHDLR-6</t>
  </si>
  <si>
    <t>,2207002</t>
  </si>
  <si>
    <t>IA0134-H-22-2102</t>
  </si>
  <si>
    <t>24-582</t>
  </si>
  <si>
    <t>US8896/24 subst US8809/24</t>
  </si>
  <si>
    <t>,2309001</t>
  </si>
  <si>
    <t>BINT-10927</t>
  </si>
  <si>
    <t>CO-309823</t>
  </si>
  <si>
    <t>ND0005-PH-14-0916</t>
  </si>
  <si>
    <t>C0029611-NOPHDLR-8</t>
  </si>
  <si>
    <t>US8820/24 subst. US10160/24</t>
  </si>
  <si>
    <t>C0227569-NOPHDLR-6</t>
  </si>
  <si>
    <t>C0031562-NOPHDLR-9</t>
  </si>
  <si>
    <t>US9893/25 subst. US9732/25</t>
  </si>
  <si>
    <t>C0029762-NOPHDLR-2</t>
  </si>
  <si>
    <t>NOP-009286-2024</t>
  </si>
  <si>
    <t>24-0479</t>
  </si>
  <si>
    <t>CO-309746</t>
  </si>
  <si>
    <t>CMX-NOP-703-2024-86</t>
  </si>
  <si>
    <t>US9843/25</t>
  </si>
  <si>
    <t>25163</t>
  </si>
  <si>
    <t>C0030054-NOPHDLR-5</t>
  </si>
  <si>
    <t>,1415001</t>
  </si>
  <si>
    <t>25725</t>
  </si>
  <si>
    <t>NPU97XCC</t>
  </si>
  <si>
    <t>CO-312124</t>
  </si>
  <si>
    <t>: CU 801983NOP-01.2025</t>
  </si>
  <si>
    <t>NPV12QCC</t>
  </si>
  <si>
    <t>C0030570-NOPHDLR-6</t>
  </si>
  <si>
    <t>CU 899675NOP-01.2025</t>
  </si>
  <si>
    <t>CO-311381</t>
  </si>
  <si>
    <t>CO-308454</t>
  </si>
  <si>
    <t>CO-309956</t>
  </si>
  <si>
    <t>2431301</t>
  </si>
  <si>
    <t>C0030749-NOPHDLR-6</t>
  </si>
  <si>
    <t>C0031535-NOPHDLR-5</t>
  </si>
  <si>
    <t>CO-310381</t>
  </si>
  <si>
    <t>C0393405-NOPHDLR-5</t>
  </si>
  <si>
    <t>C0570737-NOPHDLR-5</t>
  </si>
  <si>
    <t>US8792/24 subst US8754/24 US</t>
  </si>
  <si>
    <t>25170</t>
  </si>
  <si>
    <t>CU 881699NOP-01.2025</t>
  </si>
  <si>
    <t>BINT-11007</t>
  </si>
  <si>
    <t>C0801672-NOPHDLR-1</t>
  </si>
  <si>
    <t>C0223746-NOPHDLR-6</t>
  </si>
  <si>
    <t>C0031736-NOPHDLR-5</t>
  </si>
  <si>
    <t>CO-309669</t>
  </si>
  <si>
    <t>C0030573-NOPHDLR-7</t>
  </si>
  <si>
    <t>NPV64VCC</t>
  </si>
  <si>
    <t>US9881/25</t>
  </si>
  <si>
    <t>US10140/25</t>
  </si>
  <si>
    <t>US9432/24</t>
  </si>
  <si>
    <t>CO-312008</t>
  </si>
  <si>
    <t>2422802</t>
  </si>
  <si>
    <t>US9482/24</t>
  </si>
  <si>
    <t>26024</t>
  </si>
  <si>
    <t>CO-311283</t>
  </si>
  <si>
    <t>C0792062-NOPHDLR-1</t>
  </si>
  <si>
    <t>C0472500-NOPHDLR-7</t>
  </si>
  <si>
    <t>24-1058,23-449</t>
  </si>
  <si>
    <t>24-1057</t>
  </si>
  <si>
    <t>NOP-008736-2023</t>
  </si>
  <si>
    <t>CE-009520-2024</t>
  </si>
  <si>
    <t>4600/2024-01</t>
  </si>
  <si>
    <t>C0030325-NOPHDLR-7</t>
  </si>
  <si>
    <t>C0547126-NOPHDLR-6</t>
  </si>
  <si>
    <t>CO-310972</t>
  </si>
  <si>
    <t>CO-310958</t>
  </si>
  <si>
    <t>CO-310820</t>
  </si>
  <si>
    <t>CO-312154</t>
  </si>
  <si>
    <t>CO-309124</t>
  </si>
  <si>
    <t>US9648/24 subst. US9572/24</t>
  </si>
  <si>
    <t>C0030576-NOPHDLR-5</t>
  </si>
  <si>
    <t>CO-311450</t>
  </si>
  <si>
    <t>CO-306717</t>
  </si>
  <si>
    <t>C0261829-NOPHDLR-8</t>
  </si>
  <si>
    <t>C0031411-NOPHDLR-10</t>
  </si>
  <si>
    <t>CU 888852NOP-01.2024</t>
  </si>
  <si>
    <t>25859</t>
  </si>
  <si>
    <t>US8924/24 substitute US8289/24</t>
  </si>
  <si>
    <t>NPU94DCC</t>
  </si>
  <si>
    <t>US10048/25</t>
  </si>
  <si>
    <t>25091</t>
  </si>
  <si>
    <t>25548</t>
  </si>
  <si>
    <t>25550</t>
  </si>
  <si>
    <t>CO-309476</t>
  </si>
  <si>
    <t>CO-309526</t>
  </si>
  <si>
    <t>NOP-009524-2025</t>
  </si>
  <si>
    <t>C0615205-NOPHDLR-2</t>
  </si>
  <si>
    <t>C0594996-NOPHDLR-4</t>
  </si>
  <si>
    <t>C0030486-NOPHDLR-6</t>
  </si>
  <si>
    <t>25468</t>
  </si>
  <si>
    <t>C0145906-NOPHDLR-1</t>
  </si>
  <si>
    <t>CU 862013NOP-01.2025</t>
  </si>
  <si>
    <t>C0566919-NOPHDLR-7</t>
  </si>
  <si>
    <t>C0029739-NOPHDLR-5</t>
  </si>
  <si>
    <t>25723</t>
  </si>
  <si>
    <t>CO-312080</t>
  </si>
  <si>
    <t>C0030400-NOPHDLR-7</t>
  </si>
  <si>
    <t>US9516/24 subst. 9500/24</t>
  </si>
  <si>
    <t>CMX-NOP-724-2024-73</t>
  </si>
  <si>
    <t>NOP-008965-2023</t>
  </si>
  <si>
    <t>NOP-009447-2024</t>
  </si>
  <si>
    <t>CU 895774NOP-01.2025</t>
  </si>
  <si>
    <t>UA-3216-001.2024.NOP</t>
  </si>
  <si>
    <t>,2117402</t>
  </si>
  <si>
    <t>2408001</t>
  </si>
  <si>
    <t>C0048128-NOPHDLR-1</t>
  </si>
  <si>
    <t>NPX32GCC</t>
  </si>
  <si>
    <t>C0834980-NOPHDLR-1</t>
  </si>
  <si>
    <t>23-1054</t>
  </si>
  <si>
    <t>CO-311380</t>
  </si>
  <si>
    <t>25446</t>
  </si>
  <si>
    <t>NPV15DCC</t>
  </si>
  <si>
    <t>CO-310026</t>
  </si>
  <si>
    <t>US9770/25 subst. US8687/24</t>
  </si>
  <si>
    <t>CU 851287NOP-02.2024</t>
  </si>
  <si>
    <t>US8804/24</t>
  </si>
  <si>
    <t>25765</t>
  </si>
  <si>
    <t>CU 889632NOP-01.2024</t>
  </si>
  <si>
    <t>US9443/24</t>
  </si>
  <si>
    <t>NPV14WCC</t>
  </si>
  <si>
    <t>CO-312231</t>
  </si>
  <si>
    <t>C0727385-NOPHDLR-2</t>
  </si>
  <si>
    <t>CC/NO 02870</t>
  </si>
  <si>
    <t>BINT-10980</t>
  </si>
  <si>
    <t>25425</t>
  </si>
  <si>
    <t>,2022601</t>
  </si>
  <si>
    <t>BINT-10920</t>
  </si>
  <si>
    <t>CO-308617</t>
  </si>
  <si>
    <t>03707</t>
  </si>
  <si>
    <t>US8294/24</t>
  </si>
  <si>
    <t>C0048357-NOPHDLR-6</t>
  </si>
  <si>
    <t>10137,</t>
  </si>
  <si>
    <t>C0327810-NOPHDLR-6</t>
  </si>
  <si>
    <t>C0030314-NOPHDLR-6</t>
  </si>
  <si>
    <t>CU 881605NOP-03.2024</t>
  </si>
  <si>
    <t>C0595819-NOPHDLR-5</t>
  </si>
  <si>
    <t>NOP-009474-2025</t>
  </si>
  <si>
    <t>CU 889681NOP-01.2024</t>
  </si>
  <si>
    <t>CO-309540</t>
  </si>
  <si>
    <t>C0550979-NOPHDLR-7</t>
  </si>
  <si>
    <t>25891</t>
  </si>
  <si>
    <t>C0149686-NOPHDLR-7</t>
  </si>
  <si>
    <t>NOP-008779-2023</t>
  </si>
  <si>
    <t>US8750/24</t>
  </si>
  <si>
    <t>CE-000017-2023</t>
  </si>
  <si>
    <t>CU 844751NOP-01.2025</t>
  </si>
  <si>
    <t>NOP-009466-2025</t>
  </si>
  <si>
    <t>NOP-009351-2024</t>
  </si>
  <si>
    <t>NOP-009352-2024</t>
  </si>
  <si>
    <t>NOP-009350-2024</t>
  </si>
  <si>
    <t>NOP-009355-2024</t>
  </si>
  <si>
    <t>NOP-009353-2024</t>
  </si>
  <si>
    <t>24-0450</t>
  </si>
  <si>
    <t>CO-311086</t>
  </si>
  <si>
    <t>CO-309147</t>
  </si>
  <si>
    <t>12651,13846</t>
  </si>
  <si>
    <t>2024-873-NOP</t>
  </si>
  <si>
    <t>US9418/24 subst. US9273/24</t>
  </si>
  <si>
    <t>US9419/24 subst. US9274/24</t>
  </si>
  <si>
    <t>2412001,</t>
  </si>
  <si>
    <t>CU 851339NOP-01.2024</t>
  </si>
  <si>
    <t>CO-308493</t>
  </si>
  <si>
    <t>CO-308457</t>
  </si>
  <si>
    <t>CO-309602</t>
  </si>
  <si>
    <t>CO-309273</t>
  </si>
  <si>
    <t>C0241964-NOPHDLR-6</t>
  </si>
  <si>
    <t>C0031507-NOPHDLR-7</t>
  </si>
  <si>
    <t>0706</t>
  </si>
  <si>
    <t>202221</t>
  </si>
  <si>
    <t>2428401</t>
  </si>
  <si>
    <t>C0031212-NOPHDLR-7</t>
  </si>
  <si>
    <t>MN1766-H-19-1586</t>
  </si>
  <si>
    <t>US9044/24 subst US8836/24</t>
  </si>
  <si>
    <t>US9009/24 subst. US8819/24</t>
  </si>
  <si>
    <t>C0822787-NOPHDLR-1</t>
  </si>
  <si>
    <t>CO-311285</t>
  </si>
  <si>
    <t>CO-308294</t>
  </si>
  <si>
    <t>C0813867-NOPHDLR-1</t>
  </si>
  <si>
    <t>CO-310719</t>
  </si>
  <si>
    <t>C0031486-NOPHDLR-6</t>
  </si>
  <si>
    <t>C0030907-NOPHDLR-6</t>
  </si>
  <si>
    <t>CO-308137</t>
  </si>
  <si>
    <t>C0461431-NOPHDLR-6</t>
  </si>
  <si>
    <t>2435001</t>
  </si>
  <si>
    <t>CO-312100</t>
  </si>
  <si>
    <t>C0783266-NOPHDLR-1</t>
  </si>
  <si>
    <t>C0783262-NOPHDLR-1</t>
  </si>
  <si>
    <t>NPS98SCC</t>
  </si>
  <si>
    <t>17640-231004</t>
  </si>
  <si>
    <t>NPT17CCC</t>
  </si>
  <si>
    <t>C0030898-NOPHDLR-6</t>
  </si>
  <si>
    <t>NPJ12VCC</t>
  </si>
  <si>
    <t>022524(UFC)USDA.</t>
  </si>
  <si>
    <t>US9525/24</t>
  </si>
  <si>
    <t>CU901569-01-2025</t>
  </si>
  <si>
    <t>NOP-009566-2025</t>
  </si>
  <si>
    <t>BINT-10874</t>
  </si>
  <si>
    <t>C0030123-NOPHDLR-6</t>
  </si>
  <si>
    <t>US9134/24</t>
  </si>
  <si>
    <t>25146</t>
  </si>
  <si>
    <t>C0195655-NOPHDLR-6</t>
  </si>
  <si>
    <t>US10049/25 subst. US9681/24</t>
  </si>
  <si>
    <t>CO-309103</t>
  </si>
  <si>
    <t>C0031196-NOPHDLR-7</t>
  </si>
  <si>
    <t>24-702</t>
  </si>
  <si>
    <t>CO-311919</t>
  </si>
  <si>
    <t>,2133503</t>
  </si>
  <si>
    <t>C0030956-NOPHDLR-8</t>
  </si>
  <si>
    <t>C0030121-NOPHDLR-7</t>
  </si>
  <si>
    <t>C0030595-NOPHDLR-8</t>
  </si>
  <si>
    <t>US9923/25</t>
  </si>
  <si>
    <t>26003</t>
  </si>
  <si>
    <t>,2130805</t>
  </si>
  <si>
    <t>C0029645-NOPHDLR-6</t>
  </si>
  <si>
    <t>US9847/25</t>
  </si>
  <si>
    <t>CO-311288</t>
  </si>
  <si>
    <t>CO-311287</t>
  </si>
  <si>
    <t>US9319/24 substitute US9298/24</t>
  </si>
  <si>
    <t>4326/2024-02</t>
  </si>
  <si>
    <t>CO-310102</t>
  </si>
  <si>
    <t>CO-308261</t>
  </si>
  <si>
    <t>25-195,24-124</t>
  </si>
  <si>
    <t>CO-310075</t>
  </si>
  <si>
    <t>MI0014-GLH-13-0542</t>
  </si>
  <si>
    <t>Physical Address: Street 1</t>
  </si>
  <si>
    <t>At least one of the two addresses (Physical or Mailing) is required</t>
  </si>
  <si>
    <t>OF. 8, 28A Komsomolskaya STR.</t>
  </si>
  <si>
    <t>Travessa Campos Sales, 493, Campina</t>
  </si>
  <si>
    <t>430 7th Avenue South</t>
  </si>
  <si>
    <t>497 Stevensville Airport Road</t>
  </si>
  <si>
    <t>68 Featherbed Lane</t>
  </si>
  <si>
    <t>127 Jaransanitwong 96/1</t>
  </si>
  <si>
    <t>16110 NE 68th St.</t>
  </si>
  <si>
    <t>H.NO.1-2-215/3, Street No-9,
Domalguda, Ashok Nagar-, Goshamahal Circle No. 14,</t>
  </si>
  <si>
    <t>D-270, MIDC, TTC Area, Turbhe, Navi Mumbai</t>
  </si>
  <si>
    <t>6770 NW 26th Street</t>
  </si>
  <si>
    <t>2619 S. Hwy 349</t>
  </si>
  <si>
    <t>Village Pakhana, Taraori.</t>
  </si>
  <si>
    <t>1156 NE Cleveland St.</t>
  </si>
  <si>
    <t>2468 Gulf Street</t>
  </si>
  <si>
    <t>51 Ziegler Road</t>
  </si>
  <si>
    <t>Calle Bolivar 472. Int 304. Urb. Leuro</t>
  </si>
  <si>
    <t>6133 Abel Rd.</t>
  </si>
  <si>
    <t>80 International Blvd</t>
  </si>
  <si>
    <t>1259 Indian Creek Road</t>
  </si>
  <si>
    <t>895 Maddux Loop</t>
  </si>
  <si>
    <t>Level 1, 37-39 Russell Street</t>
  </si>
  <si>
    <t>1030 East Street</t>
  </si>
  <si>
    <t>Primera Colonia 15, Ireneo Portela</t>
  </si>
  <si>
    <t>616 Exchange Street</t>
  </si>
  <si>
    <t>E-5, MIDC Industrial Estate, Malegaon, Sinnar</t>
  </si>
  <si>
    <t>Dhavli Road, Post Balwadi</t>
  </si>
  <si>
    <t>4190 West 50 North</t>
  </si>
  <si>
    <t>JR. CRUZ DEL SUR NRO. 154 INT. 809 URB. LOS GRANADOS - SANTIAGO DE SURCO - LIMA</t>
  </si>
  <si>
    <t>506, Jumeirah Bay X3 Cluster X</t>
  </si>
  <si>
    <t>402 Locust St</t>
  </si>
  <si>
    <t>1551 Grandview Road</t>
  </si>
  <si>
    <t>20, Industrial Area Rau District</t>
  </si>
  <si>
    <t>Area number 236, Food Sector</t>
  </si>
  <si>
    <t>Huerto El Peñón, Fundo Centenario s/n</t>
  </si>
  <si>
    <t>RM 707 07/F Fortress Tower 250 King˙s Road North Poin</t>
  </si>
  <si>
    <t>CALLE LAMBDA 194 URB. PAQ. INT. DE IND Y COM.</t>
  </si>
  <si>
    <t>AV. ALFREDO BENAVIDES NRO. 1180 DPTO. 302 URB. SAN ANTONIO - MIRAFLORES</t>
  </si>
  <si>
    <t>CALLE LOS EUCALIPTOS LOTE. 15 MZA. B LOTE. 15 ASC. SAN JOSE DEL GRAMADAL</t>
  </si>
  <si>
    <t>Av. Lavalle 158</t>
  </si>
  <si>
    <t>JR. ANTONIO JOSE DE SUCRE MZA. I LOTE. 11 A.V. HUERTOS DE HUACHIPA (ALT. KM. 7 DE AUTOPISTA RAMIRO PRIALE)</t>
  </si>
  <si>
    <t>Kazanlı Mh. 32001 Sk No: 8/A</t>
  </si>
  <si>
    <t>E. Konovaltsa 26 str.</t>
  </si>
  <si>
    <t>CAL.VALLE RIESTRA NRO. 947 URB. ORRANTIA DEL MAR - SAN ISIDRO</t>
  </si>
  <si>
    <t>38, 3A Main, Classic Paradise Layout, Begur, Bangalore Urban</t>
  </si>
  <si>
    <t>CAR.FERNANDO BELAUNDE TERRY NRO. SN INT. 2 SAN MARTIN - MARISCAL CACERES - JUANJUI</t>
  </si>
  <si>
    <t>CAL.MANUEL ARISPE NRO. 210 Z.I. URB.INDUSTRIAL LA CHALACA (ALTURA CDRA. 2 DE AV. NESTOR GAMBETA)</t>
  </si>
  <si>
    <t>44 Panteleimon Kulish Str,</t>
  </si>
  <si>
    <t>Plot No. 2, Road No. 6, K. No. 1049/740, Basni 2nd Phase</t>
  </si>
  <si>
    <t>Calle Buenos Aires y España N° 338</t>
  </si>
  <si>
    <t>Sitío Uberaba Orgânicos, Estrada Praia das Fontes, s/n - Lagoa da Uberaba</t>
  </si>
  <si>
    <t>Carretera al Norte, Nro: S/N Barrio Kilometro 9 Parque 1 Industrial Coronado, Frente a Play Land Park Fronton Parque Empresarial Coronado</t>
  </si>
  <si>
    <t>Mitre 342</t>
  </si>
  <si>
    <t>SF 17/18, SITE Superhighway, 75950 Karachi PAKISTAN</t>
  </si>
  <si>
    <t>48 Arbor Ln.</t>
  </si>
  <si>
    <t>10214 110th Street</t>
  </si>
  <si>
    <t>371 Hoes Lane Suite 104</t>
  </si>
  <si>
    <t>78 Moo 4 Bangkruay-Sainoi Rd., T. Bangbuathong, A. Bangbuathong</t>
  </si>
  <si>
    <t>Gündoğdu Mah., Evrensekiz Cad. Ak Nişasta Apt. No:6</t>
  </si>
  <si>
    <t>Manshat Al Omraa</t>
  </si>
  <si>
    <t>Factory: 3rd Industrial Zone, Borg el Arab City</t>
  </si>
  <si>
    <t>Manshat Abou Malih, Somasta</t>
  </si>
  <si>
    <t>Manshaat Al Omraa- Ahnesia -Beni Suef</t>
  </si>
  <si>
    <t>100 Cento Boulevard</t>
  </si>
  <si>
    <t>2015 Raccoon Rd</t>
  </si>
  <si>
    <t>1414 W Main St</t>
  </si>
  <si>
    <t>6511 Golden Gate Dr.</t>
  </si>
  <si>
    <t>chemin de Mon Soleil 1A</t>
  </si>
  <si>
    <t>Via E. Balestren, 236</t>
  </si>
  <si>
    <t>3641 NW Front Ave.</t>
  </si>
  <si>
    <t>8557 Wolfrey Rd</t>
  </si>
  <si>
    <t>16530 Bake Pkwy</t>
  </si>
  <si>
    <t>BVLD MANUEL AVILA CAMACHO COL LOMAS DE CHAPULTEPEC I SECCION MIGUEL CIUDAD DE MEXICO 36 Hidalgo</t>
  </si>
  <si>
    <t>Rua Professora Francisca Santos, 78 - Boa Vista</t>
  </si>
  <si>
    <t>Plot No- 1398, HSIIDC, Rai Industrial Area, Sonipat, Haryana</t>
  </si>
  <si>
    <t>Ruta Nacional 38, km 704</t>
  </si>
  <si>
    <t>Agoè Assiyéyé, Rue</t>
  </si>
  <si>
    <t>1280 Second St.</t>
  </si>
  <si>
    <t>1750 E. Golf Road</t>
  </si>
  <si>
    <t>1750 E. Golf Road Suite 388</t>
  </si>
  <si>
    <t>249 Baker's Branch Lane</t>
  </si>
  <si>
    <t>3692 W. Lenox Rd.</t>
  </si>
  <si>
    <t>2702 E. Fifth St.</t>
  </si>
  <si>
    <t>Ruta Nacional 9, Km 80, Camino S/N a Capilla del Señor</t>
  </si>
  <si>
    <t>Yıldızhan Mh. Erişim Sk. No: 3/1</t>
  </si>
  <si>
    <t>12205 West County Road 10</t>
  </si>
  <si>
    <t>2225 South McDowell Blvd Ext</t>
  </si>
  <si>
    <t>G.T. Road, Sadhoke-Kamoke District, Gujranwala, PAKISTAN</t>
  </si>
  <si>
    <t>At. Bhataji Post- Golegaon, Taluka, Khultabad</t>
  </si>
  <si>
    <t>At. Dhamangaon, Post Bodakha, Khultabad</t>
  </si>
  <si>
    <t>At. Mategaon, Post- Kasabkheda,  Tal. Kannad</t>
  </si>
  <si>
    <t>C/O, Gorakh Shrihari Agale, G No 219 Palasgaon, Khuldabad</t>
  </si>
  <si>
    <t>CALLE LIMON NRO: 2015 BARRIO LOS TUSEQUIS UV-017 MZA-002, 2DO ANILLO ENTRE AV. ALEMANA Y MUTUALISTA INGRESANDO POR LA CALLE LOS TOBOROCHIS</t>
  </si>
  <si>
    <t>19 Empire Rd.</t>
  </si>
  <si>
    <t>AV LOS ALAMOS 532, URB CANTO GRANDE, SAN JUAN DE LURIGANCHO</t>
  </si>
  <si>
    <t>CALLE LOS ALAMOS NRO. 547 (ALT. CDRA 8 DE BASADRE) SAN ISIDRO - LIMA - LIMA</t>
  </si>
  <si>
    <t>AV. QUINTA AVENIDA MZ C, LT 15, URB. LA CAPITANA, LURIGANCHO</t>
  </si>
  <si>
    <t>297/11/B, Koyyanapeta, Thulugu, Post, Gara Mandal</t>
  </si>
  <si>
    <t>803 E27th Street</t>
  </si>
  <si>
    <t>1510 S. 2nd St</t>
  </si>
  <si>
    <t>8968 Taft Street</t>
  </si>
  <si>
    <t>2880  N. 112th Street</t>
  </si>
  <si>
    <t>140 Sylvan Ave</t>
  </si>
  <si>
    <t>1 Fun Place</t>
  </si>
  <si>
    <t>510 Gilmore Ave.</t>
  </si>
  <si>
    <t>17113 County Road 29</t>
  </si>
  <si>
    <t>158 M. 1, Huai Rai</t>
  </si>
  <si>
    <t>10 Moo 2, T. Traseang</t>
  </si>
  <si>
    <t>1536 W Todd Drive</t>
  </si>
  <si>
    <t>#13A, St. Lum, Boeng Salang,</t>
  </si>
  <si>
    <t>C/O Baban Sarjerao Malode, Akhatwada Ta Khultabad Di, Khuldabad</t>
  </si>
  <si>
    <t>At. Post- Pimpri, Khultabad, Khuldabad</t>
  </si>
  <si>
    <t>At. Rel, Post. Bajar Sawangi, Khultabad</t>
  </si>
  <si>
    <t>C/o. House Plot No.10-11, Zainabad Colony, Block Khultabad-431101) At. Post, Tisgaon, Taluka Khultabad, Khuldabad</t>
  </si>
  <si>
    <t>At. Lamangaon, Post Takali Raje Rai, Khultabad, Khuldabad</t>
  </si>
  <si>
    <t>At. Nirgudi, Post-Galle Borgaon, Khultabad,</t>
  </si>
  <si>
    <t>At. Palaswadi Tanda, Post. Palaswadi, Khultabad</t>
  </si>
  <si>
    <t>At Sarai, Post. Sarai Tal. Khultabad</t>
  </si>
  <si>
    <t>At. Tisgaon Tanda, Post- Tisgaon, Khultabad</t>
  </si>
  <si>
    <t>553 Mission Vineyard Road</t>
  </si>
  <si>
    <t>Rua Monsenhor Bruno, 927/13</t>
  </si>
  <si>
    <t>No. 15, Lane 122, Nguyen Van Giap Street, Cau Dien Ward</t>
  </si>
  <si>
    <t>13385 Murphy Avenue</t>
  </si>
  <si>
    <t>2360 Industrial Parkway SW</t>
  </si>
  <si>
    <t>421 West 1st North</t>
  </si>
  <si>
    <t>13 Summit Terrace</t>
  </si>
  <si>
    <t>URB. MILENIUM, MANZANO G, LOTE 4, Nº 100 Y AV. CIRCUNVALACIÓN, ZONA NOR ESTE</t>
  </si>
  <si>
    <t>JR.PROCERES NRO.176 APV.SANTA ELENA(A UNA CUADRA DE AV.ARENALES)</t>
  </si>
  <si>
    <t>Av. Panamericana Nº 1959, Zona Rio Seco</t>
  </si>
  <si>
    <t>MZA. B LOTE 6 URB. EL ASESOR 1A – SANTA ANITA – LIMA</t>
  </si>
  <si>
    <t>4171 Alder Rd</t>
  </si>
  <si>
    <t>Rodovia Ilhéus, Itabuna, Km 18, s/n - Zona Rural</t>
  </si>
  <si>
    <t>5617 Odana Rd</t>
  </si>
  <si>
    <t>JR. HUANUCO 1013</t>
  </si>
  <si>
    <t>286 FM 1731</t>
  </si>
  <si>
    <t>335 Carroll Street Apt 4A</t>
  </si>
  <si>
    <t>11/372, 11/373, Podiyatt, Peleppuram, Elankur BO, Manjeri Circle</t>
  </si>
  <si>
    <t>Block G14, North Extensions of Industrial Zone, E2 Square, Industrial Development Grou (IDG), 6 October City</t>
  </si>
  <si>
    <t>Jebel Ali Free Zone P.O. Box 61459</t>
  </si>
  <si>
    <t>3. Organize Sanayi Bölgesi 83313 Nolu Cad. No: 6-8</t>
  </si>
  <si>
    <t>2807 Burlington Ave.</t>
  </si>
  <si>
    <t>1200 Putman Ave.</t>
  </si>
  <si>
    <t>500 North St. W,</t>
  </si>
  <si>
    <t>Villa 55, Bd Anoual, Hay Raja,</t>
  </si>
  <si>
    <t>Area Rural S/N - BR 472, Km 532 A</t>
  </si>
  <si>
    <t>601 E. Main Ave</t>
  </si>
  <si>
    <t>4034 Lumber Mill Road</t>
  </si>
  <si>
    <t>Toroslar Mah. Atatürk Bulv. No:17 Akdeniz</t>
  </si>
  <si>
    <t>118, 15th Street, Khayaban-e-Muhafiz, Phase-VI, D.H.A., Karachi PAKISTAN</t>
  </si>
  <si>
    <t>Lot 0508 E 19 Marodinta</t>
  </si>
  <si>
    <t>Contiguo a instalaciones de Central Azucarera Tempisque</t>
  </si>
  <si>
    <t>940 Riverside Pkwy</t>
  </si>
  <si>
    <t>2528 S 27th Ave</t>
  </si>
  <si>
    <t>4045 Perimeter W Dr. Suite 700</t>
  </si>
  <si>
    <t>Processing Unit Address:- E-29, Surajpur Site B, Industrial Block G Road,  Surajpur, Greater Noida, Gautam</t>
  </si>
  <si>
    <t>P.O. Box 51583</t>
  </si>
  <si>
    <t>Амурская Область, Благовещенск, УЛ. Пушкина Д.49/NO.49 Pushkin Street</t>
  </si>
  <si>
    <t>2856 150th Avenue S</t>
  </si>
  <si>
    <t>1330 North Forest Street</t>
  </si>
  <si>
    <t>Asmita House, Nayanagar, Mira Road (East),</t>
  </si>
  <si>
    <t>Comunidad Florida</t>
  </si>
  <si>
    <t>ASOCIACION BETHEL MZA. A LOTE. 18A C.P. SAN RAMON DE PANGOA - SATIPO</t>
  </si>
  <si>
    <t>Carretera localidad Culpina K Nro Zona Central Colcha</t>
  </si>
  <si>
    <t>Calle sin nombrar s/n, Comunidad Vintuta</t>
  </si>
  <si>
    <t>AV. ORURO N° 100 ZONA NORTE</t>
  </si>
  <si>
    <t>Km. 243.5 Ruta E/7 Aldea Campur</t>
  </si>
  <si>
    <t>MZA. SN C.P. MICAELA BASTIDAS_RIO ENE - JUNIN - SATIPO - PANGOA</t>
  </si>
  <si>
    <t>Calle Número 1, Edificio Jose Cocote numero 2ª, Provincia Monseñor Noel.</t>
  </si>
  <si>
    <t>8020 Hygiene Road</t>
  </si>
  <si>
    <t>55 Room, 5 Floor, 17A Anmin Street, Zhongshan District</t>
  </si>
  <si>
    <t>No.496, Weiguotun, Sanshilipu, Jinzhou District, Dalian City, Liaoning, China</t>
  </si>
  <si>
    <t>Lot 43 Route Abattoire</t>
  </si>
  <si>
    <t>9400 W. Main St.</t>
  </si>
  <si>
    <t>1 Atalanta Plaza</t>
  </si>
  <si>
    <t>1825 N. Theobald</t>
  </si>
  <si>
    <t>17 KM G.T Road, Kamoki, Gujranwala,</t>
  </si>
  <si>
    <t>Madame Curie 286</t>
  </si>
  <si>
    <t>2545 Prairie Road</t>
  </si>
  <si>
    <t>408 Burton Rd.</t>
  </si>
  <si>
    <t>205 Edison Road</t>
  </si>
  <si>
    <t>342 Greenmount-Etonvale Road</t>
  </si>
  <si>
    <t>1830 Curtner Ave.</t>
  </si>
  <si>
    <t>House no. 535, Ward no. 04, Shiv Mandir, Kumhar Mohalla</t>
  </si>
  <si>
    <t>Mz G, Lt 3, Urb. Nuevo horizonte</t>
  </si>
  <si>
    <t>Plot No: 225/1</t>
  </si>
  <si>
    <t>Nagla Sharki</t>
  </si>
  <si>
    <t>5731 West Slauson Avenue, Suite 210</t>
  </si>
  <si>
    <t>Carrera 13 8 N 67 Edificio Caña Brava Oficina 308</t>
  </si>
  <si>
    <t>Soğukpınar Mah. Armutlu yolu üzeri no:33</t>
  </si>
  <si>
    <t>945 North Plum Street</t>
  </si>
  <si>
    <t>74 Cotton Mill Hill, A110</t>
  </si>
  <si>
    <t>Village Rojanimal, Sendhwa</t>
  </si>
  <si>
    <t>39 Pond Rd</t>
  </si>
  <si>
    <t>4639 E Ridge Rd</t>
  </si>
  <si>
    <t>No. 18, Wei 7 Road Micro-Electronics Industrial Park, Jingang Highway.</t>
  </si>
  <si>
    <t>No.88 Mianfang Road, Taobei</t>
  </si>
  <si>
    <t>4770 Chino Ave., Suite E</t>
  </si>
  <si>
    <t>182 Village no.7, Tambon Du, Amphoe Rasi-salai, Changwat Si Sa Ket</t>
  </si>
  <si>
    <t>Zone industrielle de Thiès</t>
  </si>
  <si>
    <t>Lianfeng Village, Baoqing county</t>
  </si>
  <si>
    <t>1011 Fifth Street</t>
  </si>
  <si>
    <t>24444 Hwy 70</t>
  </si>
  <si>
    <t>1305 Co. Rd. 26</t>
  </si>
  <si>
    <t>Rio Negro Y Ruta 96 (Boulevard Artigas)</t>
  </si>
  <si>
    <t>16604 Fitzhugh Rd., Unit B</t>
  </si>
  <si>
    <t>Cumhuriyet Mah. Akeller Cad. Başak Tarım Blok No:91 Söke</t>
  </si>
  <si>
    <t>Village &amp; Post: Dulakhedi, Tehsil: Petlawad, Dist. Jhabua</t>
  </si>
  <si>
    <t>300 E. Vine Street</t>
  </si>
  <si>
    <t>775 Belden Ave Suite A</t>
  </si>
  <si>
    <t>158 Andrea Drive</t>
  </si>
  <si>
    <t>360 Hanson Way</t>
  </si>
  <si>
    <t>279 Beaudin Boulevard</t>
  </si>
  <si>
    <t>1053 17th Ave.</t>
  </si>
  <si>
    <t>3 Barker Avenue Ste 325</t>
  </si>
  <si>
    <t>2F, Room 000107 11B# Fortune Centre, Heping District, Bei'na.</t>
  </si>
  <si>
    <t>Songfeng Village, Xihe Town, Shulan City.</t>
  </si>
  <si>
    <t>2 / F, 1-5 axis, building a, Boda apartment, 259 Hongqi street, Xiangfang District</t>
  </si>
  <si>
    <t>101-03 Floor 7 Building 1 Yard 19, Huanjing Road, Beijing Economic Technical Development Area</t>
  </si>
  <si>
    <t>Room 0922, Floor 9, Building 3, Yard 1, Wuliqiao, 2 Street</t>
  </si>
  <si>
    <t>No. 8110, No. 81 Unit, East Block, Liulaogong Village, Tongzhou District</t>
  </si>
  <si>
    <t>1204, 12th floor, Bldg.2, Ronghua North Rd., Beijing Economic-Technological Development Area</t>
  </si>
  <si>
    <t>4207 Finch Rd.</t>
  </si>
  <si>
    <t>18871 Dillinger Road</t>
  </si>
  <si>
    <t>5055 E Industry Circle</t>
  </si>
  <si>
    <t>515 W. Saint Paul Street</t>
  </si>
  <si>
    <t>Av. Integración Final lado surtidor Vaca Diez 1</t>
  </si>
  <si>
    <t>1009 Picard Road</t>
  </si>
  <si>
    <t>2000 Energy Park Dr</t>
  </si>
  <si>
    <t>4380 County Rd N</t>
  </si>
  <si>
    <t>1230 N.E. Trail St</t>
  </si>
  <si>
    <t>2651 South Airport Way</t>
  </si>
  <si>
    <t>1762 West 20 South #100</t>
  </si>
  <si>
    <t>3710 Rawlins St. Suite 1420;</t>
  </si>
  <si>
    <t>Railway Road, Taraori, Karnal</t>
  </si>
  <si>
    <t>Bhilkhedi, Khandwa, Khandwa</t>
  </si>
  <si>
    <t>Dhavli Road, Sendhwa</t>
  </si>
  <si>
    <t>3630 Ridgevue Road</t>
  </si>
  <si>
    <t>19295 E Walnut Dr. N Unit C</t>
  </si>
  <si>
    <t>2701 Statham Blvd</t>
  </si>
  <si>
    <t>One Meadow Road</t>
  </si>
  <si>
    <t>1029 Cox Road</t>
  </si>
  <si>
    <t>901 North Elmer Avenue</t>
  </si>
  <si>
    <t>7301 South Freeway</t>
  </si>
  <si>
    <t>Village &amp; Tehsil-  Barshitakli,  District - Akola, Maharashtra</t>
  </si>
  <si>
    <t>438, Zeenat Block,Allama Iqbal Town, Lahore Punjab</t>
  </si>
  <si>
    <t>34/9 Soi Latphrao 101 soi 46 (Kittijit)</t>
  </si>
  <si>
    <t>7901 4th St N. St Petersburg, FL 33702-4305 Casilla postal.</t>
  </si>
  <si>
    <t>Istasyon Mah. 30425 Sk. No:17 Akşehir</t>
  </si>
  <si>
    <t>Av. Niño Obrero 2267 Col. Cd. Industrial</t>
  </si>
  <si>
    <t>Cal. Domingo Casanova Nro. 466</t>
  </si>
  <si>
    <t>5, Oreshaka str</t>
  </si>
  <si>
    <t>200 W16th Street</t>
  </si>
  <si>
    <t>NO.601 Houge Street, Ganjingzi District</t>
  </si>
  <si>
    <t>13 Chemin des Senteurs</t>
  </si>
  <si>
    <t>Reis Mah. 4. Sk. No: 30 /1 Akşehir</t>
  </si>
  <si>
    <t>Rodovia PR 182 - Km 458, Caixa Postal 152, s/n - Linha São Roque.</t>
  </si>
  <si>
    <t>Leontovycha street, 7, N.P. 5-1</t>
  </si>
  <si>
    <t>Calle Carlos Antonio Lopez y Paseo de Fátima Barrio Caacupemí Mariano Roque Alonso</t>
  </si>
  <si>
    <t>Unit 1510, 15/F., Seapower Tower, Concordia Plaza, 1 Science Museum Road</t>
  </si>
  <si>
    <t>91 rue de Rotterdam</t>
  </si>
  <si>
    <t>One Sea Street Place</t>
  </si>
  <si>
    <t>1000 SW Adams St.</t>
  </si>
  <si>
    <t>6054 Oxford Road</t>
  </si>
  <si>
    <t>479 Jones Rd.</t>
  </si>
  <si>
    <t>10039 High Grove Road</t>
  </si>
  <si>
    <t>630 Currant Road</t>
  </si>
  <si>
    <t>700 Abernethy Road</t>
  </si>
  <si>
    <t>No 52, Street 10, Him Lam Residence, Tan Hung Ward</t>
  </si>
  <si>
    <t>AV. REDUCTO 1363 PISO 2 (URB ARMENDARIZ)</t>
  </si>
  <si>
    <t>1448 Cormorant Ave</t>
  </si>
  <si>
    <t>19611 Hwy 20</t>
  </si>
  <si>
    <t>9768 Milledgeville-Jeffersonville Rd</t>
  </si>
  <si>
    <t>1565 280Th Street</t>
  </si>
  <si>
    <t>13521 SE Pheasant Court</t>
  </si>
  <si>
    <t>1350 Bridge Drive</t>
  </si>
  <si>
    <t>11 Lenel Road</t>
  </si>
  <si>
    <t>Quartier AGUZON</t>
  </si>
  <si>
    <t>59 Mall Drive</t>
  </si>
  <si>
    <t>7300 Legg Road</t>
  </si>
  <si>
    <t>400 N 2nd St</t>
  </si>
  <si>
    <t>13423 Kittyhawk Ave</t>
  </si>
  <si>
    <t>395 Herky St</t>
  </si>
  <si>
    <t>3449 E. 16th Road</t>
  </si>
  <si>
    <t>12420 SE Carpenter Drive</t>
  </si>
  <si>
    <t>33054 Hwy 550</t>
  </si>
  <si>
    <t>18 King St. E. Suite 900</t>
  </si>
  <si>
    <t>805 COUNTY ROAD L</t>
  </si>
  <si>
    <t>1900 S. Park Ave</t>
  </si>
  <si>
    <t>2700 W. 5th Ave.</t>
  </si>
  <si>
    <t>102 Soi Rimthangrodfaibangsue, Bangsue, Bangkok,</t>
  </si>
  <si>
    <t>José Ingenieros 3030, Oficina 10</t>
  </si>
  <si>
    <t>33656 County Road 126</t>
  </si>
  <si>
    <t>113 Great Buffalo Trace</t>
  </si>
  <si>
    <t>Ruta 188 - Km 160,5</t>
  </si>
  <si>
    <t>173 M.3, Phutthaisong Sub district</t>
  </si>
  <si>
    <t>9922 Irish Rd</t>
  </si>
  <si>
    <t>10139 Church Hill Road</t>
  </si>
  <si>
    <t>1504 East 4th Street</t>
  </si>
  <si>
    <t>Hans-Duncker-Str. 13</t>
  </si>
  <si>
    <t>2576 Matheson Blvd. East</t>
  </si>
  <si>
    <t>11025 M-140</t>
  </si>
  <si>
    <t>11675 N 4800 W</t>
  </si>
  <si>
    <t>1754 Road 10</t>
  </si>
  <si>
    <t>Mercedes, de la comandancia de Heredia 900 metros norte y 400 metros oeste</t>
  </si>
  <si>
    <t>Avenida Cairu, nº 163 – Navegantes</t>
  </si>
  <si>
    <t>Avenida Cairu, nº 170 – Navegantes</t>
  </si>
  <si>
    <t>20237 Masa St.</t>
  </si>
  <si>
    <t>70976 Drive 371</t>
  </si>
  <si>
    <t>1306 Scholarship</t>
  </si>
  <si>
    <t>1267 14th St.</t>
  </si>
  <si>
    <t>651A W Tower Ave. Suite A</t>
  </si>
  <si>
    <t>64405 Lincoln Street</t>
  </si>
  <si>
    <t>Rodo 1298</t>
  </si>
  <si>
    <t>AV. LOS EUCALIPTOS LOTE. 1C2 INT. NAV8 URB. AV LOS EUCALIPTOS LT ACUMULADO 1C2 SUB LOT B1-B2 INT NAVE 08 (URB SANTA GENOVEVA LURIN)</t>
  </si>
  <si>
    <t>03A Camino de Paz</t>
  </si>
  <si>
    <t>19380 270th St SW</t>
  </si>
  <si>
    <t>16424 Valley View</t>
  </si>
  <si>
    <t>70 Agway Lane</t>
  </si>
  <si>
    <t>4344 South Eldorado</t>
  </si>
  <si>
    <t>4820 RD 59E</t>
  </si>
  <si>
    <t>140 Sherman Street</t>
  </si>
  <si>
    <t>Ruta Nacional 18 km 204</t>
  </si>
  <si>
    <t>1595 Cedar Line Drive</t>
  </si>
  <si>
    <t>Plot 18, Straussburg</t>
  </si>
  <si>
    <t>300 State Hwy 27</t>
  </si>
  <si>
    <t>75906 Threemile Canyon Road</t>
  </si>
  <si>
    <t>Ruta Nacional 18, km 211</t>
  </si>
  <si>
    <t>Fundo El Campanario, Km 14,5 Ruta 485</t>
  </si>
  <si>
    <t>9737 NY-96</t>
  </si>
  <si>
    <t>708 8th Ave.</t>
  </si>
  <si>
    <t>50 Foundation Ave.</t>
  </si>
  <si>
    <t>Chez Nous</t>
  </si>
  <si>
    <t>130/20 A, Fantasy Garden, Kahanthota Road,Malabe.</t>
  </si>
  <si>
    <t>Çankaya Mah., Halit Ziya Blv. No:25 Gencerhan Kat:6, Daire:601</t>
  </si>
  <si>
    <t>1500 S. Western Avenue</t>
  </si>
  <si>
    <t>14400 North Highway 38</t>
  </si>
  <si>
    <t>122 East Center Street</t>
  </si>
  <si>
    <t>1090 West 1200 North</t>
  </si>
  <si>
    <t>1120 Holm Rd.</t>
  </si>
  <si>
    <t>Waterstreet 10</t>
  </si>
  <si>
    <t>2803 N Nebraska Ave</t>
  </si>
  <si>
    <t>158 Webster St</t>
  </si>
  <si>
    <t>218 1st Ave</t>
  </si>
  <si>
    <t>8735 Wamble Road</t>
  </si>
  <si>
    <t>3255 Los Osos Valley Rd.</t>
  </si>
  <si>
    <t>Municipios de Acapetahua, Escuintla, Huehuetan, Mazatan, Tuxtla chico, Tuzatan y Villa comatitlan</t>
  </si>
  <si>
    <t>34/9 Soi Latphrao 101 soi 46 (Kittijit) Khlongchan</t>
  </si>
  <si>
    <t>250 Moo 2, Bangpa-in Industrial Estate, Bangpa-in</t>
  </si>
  <si>
    <t>29 Ivan Vazov Str.,
entrance A</t>
  </si>
  <si>
    <t>1518 South Flores St.</t>
  </si>
  <si>
    <t>329 East 4th Street</t>
  </si>
  <si>
    <t>NO. 33/3 Wester Seaton Estate,</t>
  </si>
  <si>
    <t>3614 Hwy 45, 5 miles S of Hamilton City</t>
  </si>
  <si>
    <t>5 KM Stone, Kaithal Road, Opposite Central School</t>
  </si>
  <si>
    <t>19 Myers Way</t>
  </si>
  <si>
    <t>Rm 402 Sun Horizon Residential Tower No.355, Ximinzhu St</t>
  </si>
  <si>
    <t>Suifenhe Comprehensive Free Trade Zone</t>
  </si>
  <si>
    <t>Floor 1, Building E, No. 3, Times Square Community, Nangang E&amp;D District</t>
  </si>
  <si>
    <t>Fuxing village, Changbao Township, Wuchang City</t>
  </si>
  <si>
    <t>Logistics Industry and Trade Park, Qinggang County</t>
  </si>
  <si>
    <t>3124 Nipper Rd</t>
  </si>
  <si>
    <t>Xingrenpu Village, Chicheng Town, Chicheng County</t>
  </si>
  <si>
    <t>Maoshandong Village</t>
  </si>
  <si>
    <t>No. 1302, Floor 13, No. 3 Building, No. 19 of Beiyuan East Road, Chaoyang</t>
  </si>
  <si>
    <t>No 7-494, Jintang road, Binhaixin district</t>
  </si>
  <si>
    <t>No.910,9th Section, Jinsong, Chaoyang District</t>
  </si>
  <si>
    <t>88179 569 Ave</t>
  </si>
  <si>
    <t>16626 Allen West Rd</t>
  </si>
  <si>
    <t>4464 OH-39</t>
  </si>
  <si>
    <t>11700 NW 102 Road</t>
  </si>
  <si>
    <t>172 Friendship Village Rd</t>
  </si>
  <si>
    <t>De la entrada el Areno 5 km hasta Bar Chatillo y 800 m Sur</t>
  </si>
  <si>
    <t>76135 Road 428</t>
  </si>
  <si>
    <t>501 La Paloma Road</t>
  </si>
  <si>
    <t>No.186, The 80 National Highway, Thanh Phu Hamlet, Tan Binh Commune</t>
  </si>
  <si>
    <t>40 Mill St.</t>
  </si>
  <si>
    <t>474 High K Street</t>
  </si>
  <si>
    <t>3610 E Kearney St - Building 3, 4, 9</t>
  </si>
  <si>
    <t>5401 Terry Street</t>
  </si>
  <si>
    <t>AV. LOS ALAMOS MZA. I LOTE. 8 ASOC. LOT. SEMI RUSTICA CHILLON - PUENTE PIEDRA</t>
  </si>
  <si>
    <t>120 1st North Avenue</t>
  </si>
  <si>
    <t>8840 62nd St NW</t>
  </si>
  <si>
    <t>Mza. F, Lote. 9, Pqe Industrial Parcela II</t>
  </si>
  <si>
    <t>Carretera Oruro Potosì km 9 1/2 Nro. S/N, Comunidad Vichuloma</t>
  </si>
  <si>
    <t>Rancho Resolana 48b</t>
  </si>
  <si>
    <t>Calle Concepción Salazar No. 317-B. Col. Arturo Cavazos</t>
  </si>
  <si>
    <t>1805 Lucas Lane</t>
  </si>
  <si>
    <t>200 Old Mountain Road</t>
  </si>
  <si>
    <t>Zona: Llojeta, Avenida: AV Mario Mercado, Nro. 100 Calle E</t>
  </si>
  <si>
    <t>Intendente Moro 1079</t>
  </si>
  <si>
    <t>Carr. Panamericana Sur Km.29.5. Int C15-C16-C17.</t>
  </si>
  <si>
    <t>Av. Estructurante (Evitamiento) N° 25, Zona Pucarani</t>
  </si>
  <si>
    <t>100 Bomont Place</t>
  </si>
  <si>
    <t>JR. PONCE DE MAYOLO N°155 -BARRIOS ALTOS</t>
  </si>
  <si>
    <t>Ocotepec No.18 (Colonia Maravillas)</t>
  </si>
  <si>
    <t>8401 Dorsey Circle, Suite 101</t>
  </si>
  <si>
    <t>811, Siddharth Complex, R C Dutt Road, Alkapuri</t>
  </si>
  <si>
    <t>818 Ridge Road</t>
  </si>
  <si>
    <t>18700 Main Street</t>
  </si>
  <si>
    <t>KOUSSOUNTOU-PREFECTURE DE TCHAMBA-REGION CENTRALE</t>
  </si>
  <si>
    <t>CAL.AL.SANTA SABINA NRO NRO. 184 URB. SANTA EMMA LIMA - LIMA - LIMA</t>
  </si>
  <si>
    <t>JR. AMORIN BUENO NRO. SN PUEBLO SAN MARCOS (A 2 CDRAS Y MEDIA DE PLAZA PECUARIA) CAJAMARCA - SAN MARCOS - PEDRO GALVEZ</t>
  </si>
  <si>
    <t>Fazenda Plantações Michelin da Bahia, Km 10, s/n - Zona Rural.</t>
  </si>
  <si>
    <t>Frente a Gasolinera Puma</t>
  </si>
  <si>
    <t>969 Pine Street</t>
  </si>
  <si>
    <t>4885 Mill Street</t>
  </si>
  <si>
    <t>4245 Pigeon Rd</t>
  </si>
  <si>
    <t>Jr. Proceres N.176 San Juan Bautisya</t>
  </si>
  <si>
    <t>2820 E. 44th St.</t>
  </si>
  <si>
    <t>501 W. Third St</t>
  </si>
  <si>
    <t>Casilla 1513 Av. Villazón 3847 (Km 3 a Sacaba)</t>
  </si>
  <si>
    <t>Calle: 1ro. de Agosto – Sector Mishquilli, a 500 metros del taller del Gad Colta.</t>
  </si>
  <si>
    <t>1633 Sands Place, SE</t>
  </si>
  <si>
    <t>53 County Road 500</t>
  </si>
  <si>
    <t>1261 North Pine Grove Rd</t>
  </si>
  <si>
    <t>7110 Plymouth Road</t>
  </si>
  <si>
    <t>3385 Rd M.2 NE</t>
  </si>
  <si>
    <t>Storage 3, Opera bussiness hub, Lajamani chowk, Near savji bridge, Motavaracha, Chorasi, Surat</t>
  </si>
  <si>
    <t>AV. DEL PARQUE SUR NRO. 185 INT. 605 URB. CORPAC - SAN ISIDRO</t>
  </si>
  <si>
    <t>408 Wheatland Avenue South</t>
  </si>
  <si>
    <t>W1344 Industrial Drive</t>
  </si>
  <si>
    <t>11917 Snug Harbor Lane</t>
  </si>
  <si>
    <t>502 Brown St.</t>
  </si>
  <si>
    <t>Building 6, 3rd Floor, Little Giant Industrial Park, No. 39 Chuangxin Road</t>
  </si>
  <si>
    <t>73-1351 Hiolani Street</t>
  </si>
  <si>
    <t>277 Pleasant Hill Road</t>
  </si>
  <si>
    <t>Av. Guardia Peruana 912 Chorrillos</t>
  </si>
  <si>
    <t>26632 Towne Center Dr.</t>
  </si>
  <si>
    <t>1806 M. Ave</t>
  </si>
  <si>
    <t>103 W Onega POB 81</t>
  </si>
  <si>
    <t>175 Cadycentre #325</t>
  </si>
  <si>
    <t>21726 Academy Terrace</t>
  </si>
  <si>
    <t>131-135 Fitzgerald Road</t>
  </si>
  <si>
    <t>H. No. 8-2-400/1/A, Road No. 5, Banjara Hills</t>
  </si>
  <si>
    <t>NO 7 PHASE-II SATLAPUR GROWTH CENTER NEW INDUSTRIAL AREA MANDIDEEP</t>
  </si>
  <si>
    <t>99 Hudson Street</t>
  </si>
  <si>
    <t>2301 Purchase St.</t>
  </si>
  <si>
    <t>453 Valley Dr.</t>
  </si>
  <si>
    <t>100 East Ridge Rd.</t>
  </si>
  <si>
    <t>240 Food Center Drive</t>
  </si>
  <si>
    <t>323 East Washington St</t>
  </si>
  <si>
    <t>79/99, Thiruvalluvar Street, Cotton City Estates, G N Mills Post Coimbatotre</t>
  </si>
  <si>
    <t>One Pasta Ave.</t>
  </si>
  <si>
    <t>35451 253rd Street</t>
  </si>
  <si>
    <t>3301 12th Ave NW</t>
  </si>
  <si>
    <t>1061 Sugar Run Rd.</t>
  </si>
  <si>
    <t>Dengshahe Town Haitoutun, Jinzhou District</t>
  </si>
  <si>
    <t>RM1718-19, NO.127A Liaohexi Road, Economic and Technological Development Zone</t>
  </si>
  <si>
    <t>No.10-a, Wanbao Street, Dalian Economic and Technological Development Zone</t>
  </si>
  <si>
    <t>No. 191-1 of Guangningsi, guangningsi village, Ershilipu street, Dalian Free Trade Zone</t>
  </si>
  <si>
    <t>Room 1-6-1 No.6 Nansong Road,Shahekou District.</t>
  </si>
  <si>
    <t>East 1st Street To West 4th Village, Yuanfeng Village, Chengxin Village, Jixian Town, Jixian County</t>
  </si>
  <si>
    <t>Room 719C-19, Free Trade Building, No. 1 Dongting Road, Dalian Free Trade Zone</t>
  </si>
  <si>
    <t>Room 815, Free Trade Building, Free Trade Zone</t>
  </si>
  <si>
    <t>No.1 North Da Road, Xiajiahezi Villiage, Gezhenpu Town, Ganjingzi District</t>
  </si>
  <si>
    <t>Maoyingzi Village, Ganjingzi District, Dalianwan Street, Dalian City,</t>
  </si>
  <si>
    <t>Room 907, Building 2, No 69 Huili Street, Ganjingzi District</t>
  </si>
  <si>
    <t>Room 601, Unit1, No.62, Huanghaixisan Road, Free Trade Zone</t>
  </si>
  <si>
    <t>Dongsanshili Village, Sanshilipu Street, Puwan new District</t>
  </si>
  <si>
    <t>Dongsanshili Village, Sanshilipu Street Puwan New District</t>
  </si>
  <si>
    <t>Maoyingzi Village, Dalianwan Street, Ganjingzi District</t>
  </si>
  <si>
    <t>Beihai Village, Shihe Street</t>
  </si>
  <si>
    <t>Dalianwan</t>
  </si>
  <si>
    <t>Liaocheng City.</t>
  </si>
  <si>
    <t>No.3 Tianhe Street.</t>
  </si>
  <si>
    <t>Maoshandong Village, Maoshandong Town</t>
  </si>
  <si>
    <t>Dalianwan Street, Ganjingzi District</t>
  </si>
  <si>
    <t>Sanjia Village, Xiangying Street, Jinzhou District</t>
  </si>
  <si>
    <t>Liubangou Village, Ershilipu Town, Free Trade Zone.</t>
  </si>
  <si>
    <t>Ren Tun, Guiyunhua Village, Guiyunhua Manchu Towship, Zuanghe Dalian.</t>
  </si>
  <si>
    <t>188 XinglongTun, Lishugou Village Sanshilipu St.</t>
  </si>
  <si>
    <t>Touduandi Village &amp; Wuduandi Village</t>
  </si>
  <si>
    <t>No.158 Dongfeng Village Zhongchang Street, Jinzhou District</t>
  </si>
  <si>
    <t>Room 1300, 4th Floor, No. 35 Zhuhe Street, Zhongshan District</t>
  </si>
  <si>
    <t>Room2803,Building 4, No.100 Jinma Road, Economic and Technological Development Zone</t>
  </si>
  <si>
    <t>No.3, 14th Floor, Unit 2, No. 157, Northeast Sixth Street (HNA YOHO Bay), Dalian Free Trade Zone (Dalian development zone).</t>
  </si>
  <si>
    <t>Maoyingzi Village, Dalianwan Subdistrict, Ganjingzi District.</t>
  </si>
  <si>
    <t>Room 2803, Building 4, No.100, Jinma Road, Economic and Technological Development Zone</t>
  </si>
  <si>
    <t>Xiajiahezi Village, Gezhenpu Town, Ganjingzi District</t>
  </si>
  <si>
    <t>NO.496, WEIGUOTUN, SANSHILIPU</t>
  </si>
  <si>
    <t>Room 204, Government Office Building, Guangming Village, Shicheng Town, Zhuanghe</t>
  </si>
  <si>
    <t>857 farm, Mishan, Jixi, Heilongjiang.</t>
  </si>
  <si>
    <t>Room 2002, No. 128 Jinma Road, Dalian Development Zone.</t>
  </si>
  <si>
    <t>Room 10, 242 Chujin Road, Ganjingzi Dist</t>
  </si>
  <si>
    <t>Maoyingzi Village, Dalianwan Subdistrict, Ganjingzi District</t>
  </si>
  <si>
    <t>22-195, Floor 1-6, Zhanqian Street, Jinzhou District</t>
  </si>
  <si>
    <t>No. B21-7, Building 1, Wucaicheng District A, E&amp;T Development Zone</t>
  </si>
  <si>
    <t>No.B21-7,Building 1,Wucaicheng District A,E&amp;T Development Zone</t>
  </si>
  <si>
    <t>402Room, 2#,jinrong Road, Ganjingzi District</t>
  </si>
  <si>
    <t>Wudan Industrial Park (Wudan Town)</t>
  </si>
  <si>
    <t>No.496, Weiguotun, Sanshilipu, Jinzhou District</t>
  </si>
  <si>
    <t>Tianyiquan Village, Qiaotou Town, Wengniute District</t>
  </si>
  <si>
    <t>(#38-786-16), Dongfeng Village, Zhongchang Street</t>
  </si>
  <si>
    <t>Liujiazi Town, Kulun Qi, Tongliao City</t>
  </si>
  <si>
    <t>Room 1505, No.60-1, Haixing Steet, Ganjingzi District</t>
  </si>
  <si>
    <t>Room 2002, No. 128 Jinma Road, Dalian Development Zone</t>
  </si>
  <si>
    <t>Room 3622, No.9-1 Haifu Road.</t>
  </si>
  <si>
    <t>No. 367-1 Chengren Street, Shahekou District</t>
  </si>
  <si>
    <t>No. 6, Zhejiang Industrial Park, Economic Development Zone, Qianguo County, Songyuan City, Ganjingzi District.</t>
  </si>
  <si>
    <t>No.367-1, Chengren Street, Shahekou District</t>
  </si>
  <si>
    <t>1-701, NO. 89, Chengrunwanjia, Development Zone</t>
  </si>
  <si>
    <t>8-2-2-2, Wanfuyuan, Ganjingzi District, Dalian City, Liaoning Province</t>
  </si>
  <si>
    <t>Jurihe Town, Zhaluteqi, Tongliao City</t>
  </si>
  <si>
    <t>Room 1-6-1, No. 60 Naihuo, Tongde Road, Jinjia Street, Ganjingzi District</t>
  </si>
  <si>
    <t>60 McClellan Street</t>
  </si>
  <si>
    <t>27471 McCarty Ranch Ln</t>
  </si>
  <si>
    <t>2628 Cherry Ave.</t>
  </si>
  <si>
    <t>1885 490th Street</t>
  </si>
  <si>
    <t>302 N Dexter
PO Box 81</t>
  </si>
  <si>
    <t>1046 Willkow Rd</t>
  </si>
  <si>
    <t>1036 West Mountain Road</t>
  </si>
  <si>
    <t>West Onega &amp; South Dewitt</t>
  </si>
  <si>
    <t>721 Siegfriedale Rd</t>
  </si>
  <si>
    <t>19488 Fred-Amity Road</t>
  </si>
  <si>
    <t>633 W Hwy 20</t>
  </si>
  <si>
    <t>Daguang Industrial Park, Zhaoyuan County.</t>
  </si>
  <si>
    <t>Ulaanbaatar, Sukhbaatar district, Residential block 1, Transporters street, Khasvuu Plaza, Room 301, Mongolia.</t>
  </si>
  <si>
    <t>Block No: 381, Salal-Sonasan Road, Sonasan Village, Tal: Prantij, Dist: Sabarkantha, Himmatnagar,</t>
  </si>
  <si>
    <t>New town district</t>
  </si>
  <si>
    <t>5209 S.E. International Way</t>
  </si>
  <si>
    <t>9461 Road W</t>
  </si>
  <si>
    <t>8995 Chipman Rd</t>
  </si>
  <si>
    <t>11825 County Road 22</t>
  </si>
  <si>
    <t>517 A North Market St.</t>
  </si>
  <si>
    <t>Room No 11-AB, 18 Boon Lay Way, #08-128 Trade hub 21,.</t>
  </si>
  <si>
    <t>865 Stillwater Rd., Unit #8</t>
  </si>
  <si>
    <t>230 Daisy Drive</t>
  </si>
  <si>
    <t>N7724 Carver School Rd</t>
  </si>
  <si>
    <t>v. Stara Tsarichanka</t>
  </si>
  <si>
    <t>25 Vermilyea Lane</t>
  </si>
  <si>
    <t>PO Box 1729</t>
  </si>
  <si>
    <t>12310 FM 807</t>
  </si>
  <si>
    <t>10980 N Elyria Rd</t>
  </si>
  <si>
    <t>1801 Delp Road</t>
  </si>
  <si>
    <t>5464 Shore Meadows Rd</t>
  </si>
  <si>
    <t>933 Woodland Blvd.</t>
  </si>
  <si>
    <t>General José María Paz 961</t>
  </si>
  <si>
    <t>25100 Normandie Ave</t>
  </si>
  <si>
    <t>CUMHURİYET MAH. ATATÜRK_12 BLV.  NO: 60 A İÇ KAPI NO: 1</t>
  </si>
  <si>
    <t>Tlajomulco de Zuñiga</t>
  </si>
  <si>
    <t>Khashra no.679, Alampur Kotwal, Haridwar</t>
  </si>
  <si>
    <t>The Middle of Caiyuan Road, The Economic Development Zone of Ling County</t>
  </si>
  <si>
    <t>3055 West M-21</t>
  </si>
  <si>
    <t>970 Lawrence Ave W. Suite 900</t>
  </si>
  <si>
    <t>Anadolu Mah., Hakan Sok. No:3/1 İç Kapı No:1</t>
  </si>
  <si>
    <t>Oakland Avenue and Madera Avenue NE</t>
  </si>
  <si>
    <t>Camino a San Antonio No. 104, La Fortaleza</t>
  </si>
  <si>
    <t>506-B Jumeirah Bay Tower X3, Plot No: JLT-PH2-X3A,</t>
  </si>
  <si>
    <t>7920 County Rd. 29</t>
  </si>
  <si>
    <t>45 Petko Todorov str.</t>
  </si>
  <si>
    <t>4695 Hollenbeck Rd</t>
  </si>
  <si>
    <t>5043 Coal Bank Road</t>
  </si>
  <si>
    <t>RP 88, Km 3,1</t>
  </si>
  <si>
    <t>795 S. Major Dr.</t>
  </si>
  <si>
    <t>One North Clematis St</t>
  </si>
  <si>
    <t>15 Commercial Street, Everett</t>
  </si>
  <si>
    <t>18350 Deuel County Road 2</t>
  </si>
  <si>
    <t>876 Rd 158</t>
  </si>
  <si>
    <t>13388 Old Airline Highway</t>
  </si>
  <si>
    <t>1375 W 500 South</t>
  </si>
  <si>
    <t>492 Compass Road</t>
  </si>
  <si>
    <t>10222 N. Wilder Rd</t>
  </si>
  <si>
    <t>353 Banner Farm Road</t>
  </si>
  <si>
    <t>H1 -1200, RIICO Industrial Area, Sitapura, Sanganer</t>
  </si>
  <si>
    <t>5621 International Pkwy Ste 301</t>
  </si>
  <si>
    <t>129 Vine St</t>
  </si>
  <si>
    <t>86495 523 Ave</t>
  </si>
  <si>
    <t>Rua Jacob Nicoletti, 471 – Independencia</t>
  </si>
  <si>
    <t>Rua Jacob Nicoletti, 471 – Independência</t>
  </si>
  <si>
    <t>9636 Elkton Road, suite A</t>
  </si>
  <si>
    <t>Fanrongwei Village, Guandi Town.</t>
  </si>
  <si>
    <t>Santos Degollado 136</t>
  </si>
  <si>
    <t>2221 Mustang Way</t>
  </si>
  <si>
    <t>151 Creek Rd</t>
  </si>
  <si>
    <t>885 E Taylor Ave</t>
  </si>
  <si>
    <t>16180 North 4000 West</t>
  </si>
  <si>
    <t>3756 Blue Mountain Rd</t>
  </si>
  <si>
    <t>2425 Willow Avenue</t>
  </si>
  <si>
    <t>1060 Collier Center Way</t>
  </si>
  <si>
    <t>2143 SE Lafayette Street</t>
  </si>
  <si>
    <t>600 S. 74th Place, Suite #107</t>
  </si>
  <si>
    <t>2210 East Pettigrew Street</t>
  </si>
  <si>
    <t>316 W Grove Street</t>
  </si>
  <si>
    <t>Cal.Los Tapiceros Nro.117 Urb. Lotizacion Industrial El Artesano</t>
  </si>
  <si>
    <t>15410 NE 124th Street</t>
  </si>
  <si>
    <t>Plot No. 214-C &amp; D, New Industrial Area, Phase II,, Mandideep,Raisen, Madhya  Pradesh-462046 / Kanthali Warehouse- Plot No.5 , Industial área Phase II, Mandideep,</t>
  </si>
  <si>
    <t>Kila No. 75/22/2/2 MIN (0-5), 22/2/1/2 MIN (0-1), 23/2 MIN (1-9), 23/1 MIN (0-8) situated at Village-Kamaspur, Kishora Road</t>
  </si>
  <si>
    <t>4th Floor, Etihad Airways Center Building, Al Muneera island, Abu Dhabi, Abu Dhabi, United Arab Emi</t>
  </si>
  <si>
    <t>4th Floor B Wing , Stateman House, Barakhamba Road</t>
  </si>
  <si>
    <t>235 North Washington</t>
  </si>
  <si>
    <t>201 West Babb Rd.</t>
  </si>
  <si>
    <t>701 Tecumseh Rd.</t>
  </si>
  <si>
    <t>9104 Culver St.</t>
  </si>
  <si>
    <t>531 Getty Ct</t>
  </si>
  <si>
    <t>8244 Jackrabbit Ave</t>
  </si>
  <si>
    <t>3661 Hoyt Road</t>
  </si>
  <si>
    <t>1777 Alamar Way</t>
  </si>
  <si>
    <t>El-Galaa St, Abo Gansho, Ibsheway Center</t>
  </si>
  <si>
    <t>Petrol M. Org.Sanayi Bölg. 7.C No: 9 Merkez</t>
  </si>
  <si>
    <t>301 Crooks Ave.</t>
  </si>
  <si>
    <t>100 1st NW</t>
  </si>
  <si>
    <t>A-36, Sector-58, Dadri Tahsil, Gautam Buddha Nagar</t>
  </si>
  <si>
    <t>702 Town Line Rd.</t>
  </si>
  <si>
    <t>1501 Academy Ct.</t>
  </si>
  <si>
    <t>Avenida Arce Edificio: Hermanos Maldonado, Piso: 1, Departmento/Local/Officina:1, Nro. 2382 Zona Sopocachi, Subiendo Una Cuadra de la Plaza Isabel la Catolica</t>
  </si>
  <si>
    <t>110 Taksin 13, Taksin Road, Samrae, Thonbruri</t>
  </si>
  <si>
    <t>Beibitshilik str. 39</t>
  </si>
  <si>
    <t>1392, Ttangkkeut-daero, Hyeonsan-myeon</t>
  </si>
  <si>
    <t>182 Sunnyside Road</t>
  </si>
  <si>
    <t>3056 County Road 902</t>
  </si>
  <si>
    <t>UBR. SAN JOSE MZA O LOTE 01</t>
  </si>
  <si>
    <t>Parque Industrial Santivañez Lote 6 Manzano U</t>
  </si>
  <si>
    <t>7300 Biscayne Blvd</t>
  </si>
  <si>
    <t>288-170 Gongwon-ro, Moga-myeon，</t>
  </si>
  <si>
    <t>10400 Billings Rd</t>
  </si>
  <si>
    <t>365 Bryant Road</t>
  </si>
  <si>
    <t>Velika Zupa bb</t>
  </si>
  <si>
    <t>Altercity, Av.Peron 2300</t>
  </si>
  <si>
    <t>9 Lee Blvd</t>
  </si>
  <si>
    <t>1413, Block B, Jinqiao Bldg, No.50, Keji Rd, High-Tech District</t>
  </si>
  <si>
    <t>Anton-Hanl-Straße 8 d</t>
  </si>
  <si>
    <t>Block Shah Road, Jhang Sadar, Lahore</t>
  </si>
  <si>
    <t>51 G.T Road, Hide Market Lahore</t>
  </si>
  <si>
    <t>PLOT 33, JALAN PKNK UTAMA, KAWASAN PERUSAHAAN SUNGAI PETANI</t>
  </si>
  <si>
    <t>5069 Philothea Rd</t>
  </si>
  <si>
    <t>151 Main St. S.</t>
  </si>
  <si>
    <t>9110 NW 106th St</t>
  </si>
  <si>
    <t>393 W Dickerson Rd</t>
  </si>
  <si>
    <t>9/9 M. 6, Saladaeng Subdistrict, Bangnampriao District</t>
  </si>
  <si>
    <t>1603 Country Club Rd.</t>
  </si>
  <si>
    <t>7141 Maquam Shore Road</t>
  </si>
  <si>
    <t>720 Hall Street</t>
  </si>
  <si>
    <t>6 Taylor Lind Road</t>
  </si>
  <si>
    <t>423 Salinas Rd</t>
  </si>
  <si>
    <t>1170 Highway 9 NE</t>
  </si>
  <si>
    <t>3455 Nelson Rd.</t>
  </si>
  <si>
    <t>235 Hwy 133</t>
  </si>
  <si>
    <t>240 Aiken Road</t>
  </si>
  <si>
    <t>71 Brady Avenue</t>
  </si>
  <si>
    <t>12410 County Road 99W</t>
  </si>
  <si>
    <t>845 Kentucky Avenue</t>
  </si>
  <si>
    <t>Survey No. 1331, Surajnagar, At Village Dabhi, Tal. Unjha, Dist. Mahesana</t>
  </si>
  <si>
    <t>650 Sunset St</t>
  </si>
  <si>
    <t>12572 Rd 22</t>
  </si>
  <si>
    <t>Rua Santa Mônica, 401 - Parque Industrial San José</t>
  </si>
  <si>
    <t>No. 4 warehouse of the second line of warehousing, No. 267 Xingang Avenue</t>
  </si>
  <si>
    <t>4441 Thompson Creek Road</t>
  </si>
  <si>
    <t>3565 S Onondaga Rd</t>
  </si>
  <si>
    <t>Zed Paita Mz C lote2B- Zed Paita -
Paita, Piura</t>
  </si>
  <si>
    <t>v. Sergeevka</t>
  </si>
  <si>
    <t>124 Center Rd</t>
  </si>
  <si>
    <t>707 West Tower Ave.</t>
  </si>
  <si>
    <t>Bağyurdu Yeni Mah., İzmir-Ankara Cad. No:4/2</t>
  </si>
  <si>
    <t>18773 E 1600th Avenue</t>
  </si>
  <si>
    <t>22842 CR 15</t>
  </si>
  <si>
    <t>Lal Tappar Industrial Area, Haridwar Road</t>
  </si>
  <si>
    <t>Lot IVF 04 Fitroafana Talatamaty</t>
  </si>
  <si>
    <t>Calle Sucre entre Maximiliano y Pabon N S/N, Zona Sud Oeste</t>
  </si>
  <si>
    <t>140 Folmar Parkway</t>
  </si>
  <si>
    <t>501 Conestoga Way</t>
  </si>
  <si>
    <t>6208 Dannon Way</t>
  </si>
  <si>
    <t>1102 D St. NE</t>
  </si>
  <si>
    <t>Huangdao District (formerly Room 2108, Unit 1 No. 216, Changjiang middle Road, Development Zone)</t>
  </si>
  <si>
    <t>Taian industrial zone, Anshan, Liaoning, China.</t>
  </si>
  <si>
    <t>Lot 46 ZI Sapino Nouaceur CASABLANCA</t>
  </si>
  <si>
    <t>2991 E. Doherty St.</t>
  </si>
  <si>
    <t>Ba Thien Street, Xom Bung Hamlet</t>
  </si>
  <si>
    <t>Plot No. A-1, MIDC, Malegaon, Sinnar</t>
  </si>
  <si>
    <t>152 Mu 3 Chayangkoon Rd. T.KhokKlang</t>
  </si>
  <si>
    <t>28 Varick Avenue</t>
  </si>
  <si>
    <t>11805 Leonard Creek Rd.</t>
  </si>
  <si>
    <t>28 Hughes Pl</t>
  </si>
  <si>
    <t>717 Saxonburg Blvd.</t>
  </si>
  <si>
    <t>166 Love Road</t>
  </si>
  <si>
    <t>471 Leonard St</t>
  </si>
  <si>
    <t>300 Beanville Road</t>
  </si>
  <si>
    <t>26477 E County Road 1570</t>
  </si>
  <si>
    <t>30340 Whipple Rd.</t>
  </si>
  <si>
    <t>2300 NW 19th Street</t>
  </si>
  <si>
    <t>155 N Orange Ave.</t>
  </si>
  <si>
    <t>3159 State Highway 210</t>
  </si>
  <si>
    <t>1945 East Francisco Blvd.</t>
  </si>
  <si>
    <t>46735 County Rd. 32B</t>
  </si>
  <si>
    <t>PNO-241-C,1st FLOOR,NR VAJRAS SREE , NIVASAM, RAGHAVENDRA COLONY,
 KONDAPUR , RANGAREDDY</t>
  </si>
  <si>
    <t>Cal. Las Begonias 2639 Urb. San Eugenio</t>
  </si>
  <si>
    <t>No 32 Xincuo, Jishan Village, Guyong Townshiop, Jiangle County</t>
  </si>
  <si>
    <t>No.1,Fuli Road, Fujin Economic Development Zone</t>
  </si>
  <si>
    <t>16090 CR 43</t>
  </si>
  <si>
    <t>39.92509, -100.16533</t>
  </si>
  <si>
    <t>50 SE Nelson Rd</t>
  </si>
  <si>
    <t>668 NW Waldo Street</t>
  </si>
  <si>
    <t>Whando Road, Eimnabad, Gujranwala</t>
  </si>
  <si>
    <t>Ruta 21- Km 278.700</t>
  </si>
  <si>
    <t>Ruta 12, km 0</t>
  </si>
  <si>
    <t>Dr. Manuel Ferreria 786</t>
  </si>
  <si>
    <t>6262 Glade Ave</t>
  </si>
  <si>
    <t>EL MEZQUITE S/N LOCALIDAD EL MEZQUITE.</t>
  </si>
  <si>
    <t>Plot No. 1/18, RIICO Manglam Industrial Area, Kanakpura, Sirsi Road</t>
  </si>
  <si>
    <t>No.518, Dingxi Road, Chengguan.</t>
  </si>
  <si>
    <t>No.52, Fengxiang Town, Anding District.</t>
  </si>
  <si>
    <t>No.1, Xinhe Street, Huangyang Town, Liangzhou District</t>
  </si>
  <si>
    <t>Room 2307 and 2308, 23rd Floor, Haihong International Center, Building 6, No. 1683, Yanbei Road</t>
  </si>
  <si>
    <t>191 Commerce Drive</t>
  </si>
  <si>
    <t>1403 MLK Jr Industrial Blvd. East</t>
  </si>
  <si>
    <t>CALLE DR. LEONARDO NAVA, EDIFICIO: SMART ONE SOUL, PISO 1 OFICINA 209, Nro. 97 BARRIO GUAPAY UV 059, MZA 014. AV. SAN MARTIN</t>
  </si>
  <si>
    <t>Nandini Logistics Pack, Plot No 6 to 9 Village Chora, Dessa Dhanera Highway, Ta Dessa,Dist_x0002_Banaskant</t>
  </si>
  <si>
    <t>12866 Route 78</t>
  </si>
  <si>
    <t>KM. 26 CARRETERA A WARNES, AL FRENTE DE INDUSTRIAS ALICORP</t>
  </si>
  <si>
    <t>PARQUE MAZATLLAN 5721 SIN NUMERO PARQUE INDUSTRIAL MAZATLAN</t>
  </si>
  <si>
    <t>89 Mu 3, Tambol Wangrongyai, Amphur Si-khiu,</t>
  </si>
  <si>
    <t>1 General Mills Blvd., W01-C</t>
  </si>
  <si>
    <t>99 Mu 3, Tambol Wangrongyai</t>
  </si>
  <si>
    <t>No.910th floor, Jinsong 9th District, Chaoyang District</t>
  </si>
  <si>
    <t>303 Westridge Drive</t>
  </si>
  <si>
    <t>1 Delallo Blvd.</t>
  </si>
  <si>
    <t>1111 Buena Rd</t>
  </si>
  <si>
    <t>5882 East Lake Road</t>
  </si>
  <si>
    <t>931 E. Main St. Suite 9</t>
  </si>
  <si>
    <t>5070 Lakeville Hwy</t>
  </si>
  <si>
    <t>Mishra Lane, Opp Union Bank</t>
  </si>
  <si>
    <t>1117 East Walnut St.</t>
  </si>
  <si>
    <t>1420 Coil Ave</t>
  </si>
  <si>
    <t>344 Littlefield Ave.</t>
  </si>
  <si>
    <t>301 Heffernan Dr</t>
  </si>
  <si>
    <t>1900 S. Spresser Street</t>
  </si>
  <si>
    <t>Sujia Village, Dalianwan Street, Ganjingzi District</t>
  </si>
  <si>
    <t>Room A1-25, No. 98 Northeast Sixth Street</t>
  </si>
  <si>
    <t>13752 SW 192nd St.</t>
  </si>
  <si>
    <t>Calle Domingo Casanova N° 466 Lince, Lima, Perú</t>
  </si>
  <si>
    <t>ANADOLU MAH. HAKAN SK. NO:3/1 İÇ KAPI NO:1 AKDENİZ</t>
  </si>
  <si>
    <t>21 Meridian Rd.</t>
  </si>
  <si>
    <t>29W675 Stevens CT</t>
  </si>
  <si>
    <t>800 E Glendale Ave</t>
  </si>
  <si>
    <t>605 S Wayland Ave</t>
  </si>
  <si>
    <t>1680 Irving Rd</t>
  </si>
  <si>
    <t>Plot # AG 10, Eastern Industrial Zone, Port Qasim, Malir Bin Qasim Town, Karachi</t>
  </si>
  <si>
    <t>711 First Ave.</t>
  </si>
  <si>
    <t>4463 County Road 14</t>
  </si>
  <si>
    <t>Mariscal Jose Antonio Sucre 1530, piso 10, oficina 1003</t>
  </si>
  <si>
    <t>SURVEY No. 533/1/P2, Mauje Sidhpur, State  Highway No.1, Near Sujanpur Patia</t>
  </si>
  <si>
    <t>1590 E. Gertrude Place</t>
  </si>
  <si>
    <t>6200 Columbia Park Road</t>
  </si>
  <si>
    <t>Barrio Vallecito AV. Cataluña Km 8 norte (Frente al Vallecito U.A.G.R.M)</t>
  </si>
  <si>
    <t>5350 Pecos St</t>
  </si>
  <si>
    <t>37 Tompkins Point Road</t>
  </si>
  <si>
    <t>430 W. 5th Street</t>
  </si>
  <si>
    <t>#249,251,253- Chip Mong 598, St. Public,</t>
  </si>
  <si>
    <t>Room 205, No. 40, Fuqian West Street, Pinggu Town, Pinggu District</t>
  </si>
  <si>
    <t>On the west side of the entrance to the Yangyuan Highway, Yangyuan County</t>
  </si>
  <si>
    <t>195, Moo.1, Tambon Huai Rai7000</t>
  </si>
  <si>
    <t>No.16-4, Qugang Road, Dalian Bonded Zone</t>
  </si>
  <si>
    <t>5500 E Highway 71</t>
  </si>
  <si>
    <t>T17-N, NW Section 25 Range 36E</t>
  </si>
  <si>
    <t>4001 E. 2.5 N.</t>
  </si>
  <si>
    <t>300 Elmwood Avenue</t>
  </si>
  <si>
    <t>CAR.FERNANDO BELAUNDE TERRY NRO. SN INT. 1 - JUANJUI</t>
  </si>
  <si>
    <t>10th Fl., SPE Tower, 252 Phahonyothin Rd.,</t>
  </si>
  <si>
    <t>3654 E. Weidman Road</t>
  </si>
  <si>
    <t>1904 North Highway 14</t>
  </si>
  <si>
    <t>407 rue McGill, suite 315</t>
  </si>
  <si>
    <t>Unit 312-1020 Lorimer Blvd.</t>
  </si>
  <si>
    <t>300 Chubb Ave.</t>
  </si>
  <si>
    <t>Block B, LG1-2, Seri Gembira Avenue, No. 6, Jalan Senang Ria, Taman Gembira</t>
  </si>
  <si>
    <t>34 Schoolhouse Rd.</t>
  </si>
  <si>
    <t>Calle Los Rosale Mz. B2 Lote 13 - Urb. La Capitana, Huachipa</t>
  </si>
  <si>
    <t>Av. Bernardo Balaguer S/n Edi Nro. 2 Dpto. 802 Cnd. el Encanto de Ñaña, Lurigancho</t>
  </si>
  <si>
    <t>77249 125th St</t>
  </si>
  <si>
    <t>326 E 2500 North Rd.</t>
  </si>
  <si>
    <t>113 Road 6</t>
  </si>
  <si>
    <t>2590 220th St</t>
  </si>
  <si>
    <t>501 Fourth Ave.</t>
  </si>
  <si>
    <t>112th Ave and Mimosa Rd</t>
  </si>
  <si>
    <t>S2255 Yaeger Dugway</t>
  </si>
  <si>
    <t>1705 Northwest Harborside Drive</t>
  </si>
  <si>
    <t>26051 S Cleveland Avenue</t>
  </si>
  <si>
    <t>CALLE 1, NRO 103, URB. EL REFUGIO</t>
  </si>
  <si>
    <t>54182 Township Road 88</t>
  </si>
  <si>
    <t>Parakou  3ieme Arrondissement,Quartier Guema, Maison MAMA SOLEYMAN, 00229, PARAKOU-BENIN</t>
  </si>
  <si>
    <t>918 Road X</t>
  </si>
  <si>
    <t>F-96 RIICO Industrial Area Palsana, Palsana</t>
  </si>
  <si>
    <t>W 105, Greater Kalash 1, South</t>
  </si>
  <si>
    <t>2652 Long Beach Ave. Unit #2</t>
  </si>
  <si>
    <t>1304 KS Trade Tower Shahrah e Liaquat karchi south saddar town 00500 Karachi</t>
  </si>
  <si>
    <t>22862 C.R. 24</t>
  </si>
  <si>
    <t>1025 Paramount Parkway</t>
  </si>
  <si>
    <t>3620 Bethel New Wilmington Rd</t>
  </si>
  <si>
    <t>3641 Sullivan Road</t>
  </si>
  <si>
    <t>Near Police station, Railway Road Village Dodva, Taraori</t>
  </si>
  <si>
    <t>13875 Cerritos Corporate Dr.</t>
  </si>
  <si>
    <t>152 Moo 3 Tumbon Sobmaekha</t>
  </si>
  <si>
    <t>8735 E 33rd Street Building B</t>
  </si>
  <si>
    <t>HOUSING BOARD COLONY, 5/290, BALAJI NAGAR, GOVERDHAN VILAS, UDAIPUR</t>
  </si>
  <si>
    <t>NE of Tri Duncan Ave</t>
  </si>
  <si>
    <t>54898 Fillmore Street</t>
  </si>
  <si>
    <t>SW corner of Highline Rd &amp; Bear Valley Rd</t>
  </si>
  <si>
    <t>5098 SE Farm Rd.</t>
  </si>
  <si>
    <t>12000 Main Street</t>
  </si>
  <si>
    <t>500 Martin Ave</t>
  </si>
  <si>
    <t>12 Margison Rd.</t>
  </si>
  <si>
    <t>8121 1st Street</t>
  </si>
  <si>
    <t>Mendoza 1940, of 4 piso 1</t>
  </si>
  <si>
    <t>H-1169-72, Phase-III, Sitapura Industrial Area</t>
  </si>
  <si>
    <t>La Venta del Astillero - Calle Ejido 300, La Venta del Astillero</t>
  </si>
  <si>
    <t>Calle Esquillana Nro. 4014 Urbanizacion Cosmos 79 - Zona Collpani a una cuadra del Hospital del Sur</t>
  </si>
  <si>
    <t>Cal. Villa del Sol lote.3 a.v rural y pecuaria Virgen de Guadalupe - a dos cuadras de la Cajita Musical</t>
  </si>
  <si>
    <t>56 Gustin Rd.</t>
  </si>
  <si>
    <t>RM1612 MODERN INTERNATIONAL,#115-1 MINZU AVE</t>
  </si>
  <si>
    <t>No.5, Xinyuan Road, Yonghe Economic Zone of GETDD (Guangzhou Economic &amp; Technological Development District)</t>
  </si>
  <si>
    <t>Rua Ari Barroso, 21 – Centro</t>
  </si>
  <si>
    <t>12010 Taylor Road</t>
  </si>
  <si>
    <t>1 S. Memorial Drive</t>
  </si>
  <si>
    <t>SR. NO 1/1, PLOT NO 2, AT CHICHGHAT (RATHI), POST SHEGAON {KUND), TAH- HINGANGHAT, DIST. WARDHA ,</t>
  </si>
  <si>
    <t>363 Wonhomaengjin-ro, Masan-myeon</t>
  </si>
  <si>
    <t>2nd Floor UBL Building, I. I. Chundrigar Road 74000 Karachi</t>
  </si>
  <si>
    <t>Haifeng Village, Haibei Town</t>
  </si>
  <si>
    <t>Haibei Town, Hailun City,</t>
  </si>
  <si>
    <t>221 River Street</t>
  </si>
  <si>
    <t>7 Waringa Drive</t>
  </si>
  <si>
    <t>Shafi House, Lalazar, Opp: Beach Luxury Hotel, M.T. Khan Road, P.O. Box # 4524 Karachi 74000</t>
  </si>
  <si>
    <t>Wushan Village, Tianmushan Town, Lin' an District</t>
  </si>
  <si>
    <t>Gaoyun Huifeng Building 1506, Xiaoshan District.</t>
  </si>
  <si>
    <t>No.1, East Industry&amp;Trade Development Zone, Shouchang Town, Jiande City</t>
  </si>
  <si>
    <t>8300 High Level Rd</t>
  </si>
  <si>
    <t>1031 N. Topping Ave.</t>
  </si>
  <si>
    <t>Nanchengdong Street</t>
  </si>
  <si>
    <t>No. 1 Commercial (H-5-12, 5th Floor), 1st to 5th Floor, Songpu Furniture City, No. 2288 Songpu Avenue, Songbei District</t>
  </si>
  <si>
    <t>2304 Simonsen Road</t>
  </si>
  <si>
    <t>Ground Floor, No.44, Kethan Layout, Thurahalli.</t>
  </si>
  <si>
    <t>2191 FM 563</t>
  </si>
  <si>
    <t>Chak 17, Ml, Riico Agro Food Park, Road, Riico Industrial Area.</t>
  </si>
  <si>
    <t>825 South Worth St.</t>
  </si>
  <si>
    <t>One Cahill Drive</t>
  </si>
  <si>
    <t>Hayat Industries Ltd 33/4, Sector 15, Korangi Industrial Area, 74900 Karachi</t>
  </si>
  <si>
    <t>Units 4-6, Block S, 391 Park Road</t>
  </si>
  <si>
    <t>1350 Technology Way</t>
  </si>
  <si>
    <t>No. 02,</t>
  </si>
  <si>
    <t>GAT NO. 262/1 C, At Post - Borale, Taluka - Chandwad, Dist. - Nashik</t>
  </si>
  <si>
    <t>4666 Amber Valley Pkwy S</t>
  </si>
  <si>
    <t>311 Road 3168</t>
  </si>
  <si>
    <t>4210 Hwy 75 N</t>
  </si>
  <si>
    <t>833 14th St. SW</t>
  </si>
  <si>
    <t>1000 South Broadway</t>
  </si>
  <si>
    <t>PARQUE LOGISTICO NSA, AVDA GUILLERMO LEOZ, MOISES BERTONI BARRIO MAKAI, LUQUE</t>
  </si>
  <si>
    <t>118 S Court SQ</t>
  </si>
  <si>
    <t>775 State Route 251</t>
  </si>
  <si>
    <t>4185 44th Street Southeast</t>
  </si>
  <si>
    <t>3061 Shaffer Ave SE</t>
  </si>
  <si>
    <t>5220 S 19th St.</t>
  </si>
  <si>
    <t>124 N. Highway 167</t>
  </si>
  <si>
    <t>15115 Stears Road</t>
  </si>
  <si>
    <t>12275 Valley Road</t>
  </si>
  <si>
    <t>Room C116, Unit 0,3 # f, Rongchang District, Jiansanjiang, Fujin City</t>
  </si>
  <si>
    <t>Packing park, Eco&amp;Tech development district of Binxi, Bin county</t>
  </si>
  <si>
    <t>Packing Park of Binxi Economic＆ Technology Development District, Bin County</t>
  </si>
  <si>
    <t>Daquangou Village, Longtou Town</t>
  </si>
  <si>
    <t>High Tech Entrepreneurship Service Center</t>
  </si>
  <si>
    <t>East of Nanha Hei Road, Gas Station, Fusheng Village</t>
  </si>
  <si>
    <t>Hongguang Farm</t>
  </si>
  <si>
    <t>Halahai Farm Industrial Park, Meilisdaur District</t>
  </si>
  <si>
    <t>No. 0108 Commercial Service, No.5 Building (852 building), Farmers' Market, Changzhi Sixth District (106 Neighborhood)</t>
  </si>
  <si>
    <t>Shuishi Village, Shuishi Town, Angangxi District</t>
  </si>
  <si>
    <t>1.5 Km vía Briceño – Zipaquirá Vda Verganzo S. Tibitoc Bodega 64</t>
  </si>
  <si>
    <t>5401 S KIRKMAN RD, SUITE 310</t>
  </si>
  <si>
    <t>248 W. Portland Road</t>
  </si>
  <si>
    <t>304 Bordentown Hedding Road</t>
  </si>
  <si>
    <t>7000 Central Parkway</t>
  </si>
  <si>
    <t>67 Moo 4 Khlong Maduea, Krathum Baen, Samut Sakhon</t>
  </si>
  <si>
    <t>78 Westchester Avenue</t>
  </si>
  <si>
    <t>62784 Highway 491</t>
  </si>
  <si>
    <t>12101 Moya Blvd.</t>
  </si>
  <si>
    <t>Av. Aurelio Miro Quesada Nro. 576</t>
  </si>
  <si>
    <t>1579 120th Ave</t>
  </si>
  <si>
    <t>Near Ganesh Temple, Gopeshwar</t>
  </si>
  <si>
    <t>Village Seora, Baba Fareed Nagar, Bishnah Kunjwani Road, Bishnah</t>
  </si>
  <si>
    <t>Bakhundole-1</t>
  </si>
  <si>
    <t>20790 Bradner Rd</t>
  </si>
  <si>
    <t>9531 Indian Reserve Rd</t>
  </si>
  <si>
    <t>1 Gateway Center,</t>
  </si>
  <si>
    <t>196 Provincial Road 8</t>
  </si>
  <si>
    <t>110/26-110/28 Ong Ich Khiem Street, Ward 5</t>
  </si>
  <si>
    <t>76/1 An Đinh Hamlet, An Nhon Commune</t>
  </si>
  <si>
    <t>17141 Road J</t>
  </si>
  <si>
    <t>Dereağzı Mah. İnönü Cad. A Blok No: 112 A  Beylikdüzü</t>
  </si>
  <si>
    <t>C-5/10, Agro park Phase-II UPSIDC INDUSTRIAL AREA, KURSI ROAD, BARABANKI,</t>
  </si>
  <si>
    <t>1805 Timmons Road</t>
  </si>
  <si>
    <t>150 Shelton McMurphey Blvd. Suite 104</t>
  </si>
  <si>
    <t>2444 Dominguez Canyon Road</t>
  </si>
  <si>
    <t>3750 West 7200 North</t>
  </si>
  <si>
    <t>1000 Meters Westward of Village Committee, Hongwei Village, Hongqi Town, Xinxing District</t>
  </si>
  <si>
    <t>2700 East Third Street</t>
  </si>
  <si>
    <t>Auenstr. 18-20</t>
  </si>
  <si>
    <t>Tongliao Jinjia organic Planting Base, Commander Tu Bugacha</t>
  </si>
  <si>
    <t>7351 Orangewood Ave.</t>
  </si>
  <si>
    <t>Camino a Quinamávida S/N</t>
  </si>
  <si>
    <t>2993 Route 82</t>
  </si>
  <si>
    <t>1305 W 9 Road</t>
  </si>
  <si>
    <t>50051 Stateline Rd</t>
  </si>
  <si>
    <t>No.006 Shanyan Road,Jiashan Block</t>
  </si>
  <si>
    <t>No.19, Longyuan RD 1, Longping Hi-tech Industrial Zone, Furong District</t>
  </si>
  <si>
    <t>W3193 Hillview Rd</t>
  </si>
  <si>
    <t>No. 438, Zeenat Block, Alama Iqbal Town Lahore</t>
  </si>
  <si>
    <t>613 Buchland Road</t>
  </si>
  <si>
    <t>40928 County 18</t>
  </si>
  <si>
    <t>1979 Marcus Ave</t>
  </si>
  <si>
    <t>Street 217, Sangkat Choeung Ek, Khan Dangkor</t>
  </si>
  <si>
    <t>Örmegöze Köyü Ziyaret Yolu Cad. İdari Bina Sit. A Apt. No:2/A Beşiri</t>
  </si>
  <si>
    <t>Barkhan,</t>
  </si>
  <si>
    <t>Rakni, Barkhan,</t>
  </si>
  <si>
    <t>2760 E 800 N</t>
  </si>
  <si>
    <t>3050 Sterling Cir Unit #180</t>
  </si>
  <si>
    <t>1913 Industrial Way</t>
  </si>
  <si>
    <t>1034 Hancock Street</t>
  </si>
  <si>
    <t>Carrera 36A #10-112</t>
  </si>
  <si>
    <t>575 Northwest Ave</t>
  </si>
  <si>
    <t>AV. LA PAZ MZA. A LOTE. 42 C.P. SANTA MARÍA DE HUACHIPA</t>
  </si>
  <si>
    <t>Batalla de Tarqui S/N y Gregorio Escobedo</t>
  </si>
  <si>
    <t>88 Columbus Circle</t>
  </si>
  <si>
    <t>Nasop village</t>
  </si>
  <si>
    <t>PARROQUIA SANGOLQUI BARRIO EL MILAGRO CALLE AVENIDA GENERAL ENRIQUEZ NUMERO LOTE 5 INTERSECCION TANICUCHI BLOQUE BODEGA 13</t>
  </si>
  <si>
    <t>2139 U.S. Hwy. 321</t>
  </si>
  <si>
    <t>700 S.Hathaway St.</t>
  </si>
  <si>
    <t>Andres Balvarena 1035, Bartalome Frias y calle 22 Echeverria</t>
  </si>
  <si>
    <t>905 Pheasant Cove Drive</t>
  </si>
  <si>
    <t>Qigangacha Village &amp; Erpaizi Village,</t>
  </si>
  <si>
    <t>No. 189, South Chang 'an Street, West Renmin Road, Tsuqi Town, Tumert Left Banner</t>
  </si>
  <si>
    <t>South-1, Wuyuan Industrial Park</t>
  </si>
  <si>
    <t>1118 Pacific Coast Hwy</t>
  </si>
  <si>
    <t>909 Petaluma Blvd. N</t>
  </si>
  <si>
    <t>7300 S Central Ave.</t>
  </si>
  <si>
    <t>CAR. PANAMERICANA SUR KM. 37.2 MZA. G1 LOTE. 3 Z.I. ASOCIACION SUMAQ PACHA LIMA - LIMA - LURIN</t>
  </si>
  <si>
    <t>3300 E Vernon Ave</t>
  </si>
  <si>
    <t>606 Franklin Ave</t>
  </si>
  <si>
    <t>1342 W McNab Rd</t>
  </si>
  <si>
    <t>GUILLERMO LEOZ C/ MOISES BERTONI BARRIO LAGUNA GRANDE</t>
  </si>
  <si>
    <t>1061 NW 31st Ave.</t>
  </si>
  <si>
    <t>C/ ARTEMI Nº 13, BLQ. 2 LOCAL COMERCIAL EDIF. COSTAMAR</t>
  </si>
  <si>
    <t>179 Lincoln Ave</t>
  </si>
  <si>
    <t>656 Asbury St</t>
  </si>
  <si>
    <t>509 Bean Rd</t>
  </si>
  <si>
    <t>Av. Arica N. 550, Zona Senkata, Urbanización Rosas Pampa</t>
  </si>
  <si>
    <t>Avenida Silvio Pettirossi Parque Logistico América, Luque departamento Central</t>
  </si>
  <si>
    <t>303 South Meridian</t>
  </si>
  <si>
    <t>57 Stirling Rd</t>
  </si>
  <si>
    <t>Halka No. 11, Raisalpur</t>
  </si>
  <si>
    <t>Grand Trunk Road, Nagarampalem Post Box No. 317</t>
  </si>
  <si>
    <t>Chopal Sagar, Gawali Palasiya,</t>
  </si>
  <si>
    <t>Mesudiye Mah. Turanlar Cad. Tarimsal Depo No:45 A</t>
  </si>
  <si>
    <t>Zafer SB Mah. Nilüfer Sk. No: 12 Gaziemir</t>
  </si>
  <si>
    <t>5346 County Rd #35</t>
  </si>
  <si>
    <t>2691 16th Steet</t>
  </si>
  <si>
    <t>106 E. 5th ST.</t>
  </si>
  <si>
    <t>240 Stoltzfus Ln</t>
  </si>
  <si>
    <t>Av. Panamericana 14 (Zona Puerto Mejillones) - Rio Seco</t>
  </si>
  <si>
    <t>Calle Tomás Frias Nro. S/N</t>
  </si>
  <si>
    <t>2020 Raccoon Road</t>
  </si>
  <si>
    <t>14293 40th St S</t>
  </si>
  <si>
    <t>1650 Mullet Ct</t>
  </si>
  <si>
    <t>105 Copperwood Way Suite F</t>
  </si>
  <si>
    <t>C/O Ramesh Muvel,Near Gram</t>
  </si>
  <si>
    <t>House no. 535, Ward no. 04, Shiv Mandir</t>
  </si>
  <si>
    <t>Jain hills, Shirsoli road, Jalgaon</t>
  </si>
  <si>
    <t>D-28-A, Road No. 2, IPIA</t>
  </si>
  <si>
    <t>R.K. Industrial Zone 9, Plot No. 23-26 &amp; 37-40, Kuvadva - Wankaner Road, Ar Ranpar, Rajkot, Gujarat</t>
  </si>
  <si>
    <t>C/o. Lakhan S/o. Chajju, Village Jamniya Khurd</t>
  </si>
  <si>
    <t>405 N. 2nd St.</t>
  </si>
  <si>
    <t>147 Soi Ratchada Niwet, Sam Sen Nok, Huai Khwang</t>
  </si>
  <si>
    <t>Village - Jhanjhera, Ladwa</t>
  </si>
  <si>
    <t>38507 Cherry St Unit A</t>
  </si>
  <si>
    <t>243 Red Ridge Rd</t>
  </si>
  <si>
    <t>1224 Clark St.</t>
  </si>
  <si>
    <t>147 route de la Fénerie</t>
  </si>
  <si>
    <t>Khasra No. 340/4, Main Road, Ward No 17, Borgaon, Sausar,</t>
  </si>
  <si>
    <t>Building No. 6/450 ,Manickamangalam, Kalady</t>
  </si>
  <si>
    <t>2083 175th St</t>
  </si>
  <si>
    <t>8043 Ruth Rd</t>
  </si>
  <si>
    <t>1227 240th Street</t>
  </si>
  <si>
    <t>48501 250th Street</t>
  </si>
  <si>
    <t>101 Franklin Street</t>
  </si>
  <si>
    <t>2204 Rd 164</t>
  </si>
  <si>
    <t>7101 East Slauson Avenue</t>
  </si>
  <si>
    <t>309 Lexington St</t>
  </si>
  <si>
    <t>21515 Hawthorne Blvd.</t>
  </si>
  <si>
    <t>Jiucheng Village, Wuyun Town and Gongrong Village, Baoxing Town</t>
  </si>
  <si>
    <t>In The Industrial Park Base in Nenjiang City.</t>
  </si>
  <si>
    <t>Group 3, Committee 6, Hongqi, Fengman Subdisctict Office</t>
  </si>
  <si>
    <t>No. Jia 3, Ximinzhu Street, Chaoyang District</t>
  </si>
  <si>
    <t>Maoshan Branch, Liaohe Agricultural Reclamation Administrative District</t>
  </si>
  <si>
    <t>Yadahong Industrial Concentration Area</t>
  </si>
  <si>
    <t>Changye Village, Yongping Town</t>
  </si>
  <si>
    <t>Xinglong Village, Zhanyu Town, Tongyu County,</t>
  </si>
  <si>
    <t>141-10 Sangol-gil, Gyegok-myeon</t>
  </si>
  <si>
    <t>G-211-212, AGRO FOOD PARK, BORANADA, Jodhpur, Rajasthan</t>
  </si>
  <si>
    <t>51481 West Shields Avenue</t>
  </si>
  <si>
    <t>32516 132nd Street</t>
  </si>
  <si>
    <t>2261 Rokeby Rd</t>
  </si>
  <si>
    <t>21325 Hamburg Avenue</t>
  </si>
  <si>
    <t>8020 North Moscow Rd</t>
  </si>
  <si>
    <t>7401 State Route 89</t>
  </si>
  <si>
    <t>295 S. Four Buttes Rd.</t>
  </si>
  <si>
    <t>952 10 1/2 Ave</t>
  </si>
  <si>
    <t>1603 Country Club Rd</t>
  </si>
  <si>
    <t>41 Norwich - Westerly Rd.</t>
  </si>
  <si>
    <t>AH. LOS CHANKAS MZA M LOTE 16</t>
  </si>
  <si>
    <t>Carlos Pellegrini 713, piso 7</t>
  </si>
  <si>
    <t>84186 Highway 37</t>
  </si>
  <si>
    <t>Calle Sucre Nro. 16</t>
  </si>
  <si>
    <t>Rua Augusto Bayer, 600 - Praça.</t>
  </si>
  <si>
    <t>Calle Justo Sierra 1814</t>
  </si>
  <si>
    <t>NIRNJAN NAGAR KASARAWAD ROAD</t>
  </si>
  <si>
    <t>C/O/- Asharam Panwar, V/P-Mandla Khurd Dechu</t>
  </si>
  <si>
    <t>2700 Richards Rd.</t>
  </si>
  <si>
    <t>MOSQUE ROAD KAIMA COMMUNITY VILLAGE KWARA STATE NIGERIA</t>
  </si>
  <si>
    <t>7148 State Hwy 199</t>
  </si>
  <si>
    <t>5968 State Hwy 199</t>
  </si>
  <si>
    <t>305.5 carretera a peten , Livingston</t>
  </si>
  <si>
    <t>C/O Aatmaram, S/O Gulabsing Jaat Village Katkut,Taluka Badwah district Khargaon</t>
  </si>
  <si>
    <t>340 Southwest Blvd</t>
  </si>
  <si>
    <t>1565 Road 160</t>
  </si>
  <si>
    <t>1750 14th Street</t>
  </si>
  <si>
    <t>8494 Zachary Taylor Hwy</t>
  </si>
  <si>
    <t>268 Commission St.</t>
  </si>
  <si>
    <t>57147 871 Rd.</t>
  </si>
  <si>
    <t>2100 Maury Street</t>
  </si>
  <si>
    <t>9175 Little Dee Road</t>
  </si>
  <si>
    <t>72 New Hook Road</t>
  </si>
  <si>
    <t>67 New Schaefferstown Road</t>
  </si>
  <si>
    <t>1525 Mills Lane</t>
  </si>
  <si>
    <t>74219 Hwy 1054</t>
  </si>
  <si>
    <t>Room 311, 3rd Floor, Building 1, 239 Hong Kong and Macao Road, Pilot Free Trade Zone</t>
  </si>
  <si>
    <t>1094 Hwy 102</t>
  </si>
  <si>
    <t>Ke’erqin Street, Baokang Town</t>
  </si>
  <si>
    <t>20100 Johnson Rd</t>
  </si>
  <si>
    <t>01/08/2020</t>
  </si>
  <si>
    <t>163 Moo4 KhonKaen-Kalasin Rd.</t>
  </si>
  <si>
    <t>30068 Eigenbrodt Way</t>
  </si>
  <si>
    <t>148 Moo 1 Kae Yai Sub-district</t>
  </si>
  <si>
    <t>1725 Skyway Dr. Suite 140</t>
  </si>
  <si>
    <t>58 Billings Farm Road</t>
  </si>
  <si>
    <t>26/26 Moo4, bangnumjued</t>
  </si>
  <si>
    <t>Klipfontein Farm</t>
  </si>
  <si>
    <t>5621 S Highway 35</t>
  </si>
  <si>
    <t>Calle Ayacucho esquina Calle S/N Nro. S/N Zona Norte (Zona Ingenio)</t>
  </si>
  <si>
    <t>Calle German Schreiber 276 Int. 240</t>
  </si>
  <si>
    <t>2530 Pioneer Avenue</t>
  </si>
  <si>
    <t>Mamunyu, Gangoni village, Rudewa ward</t>
  </si>
  <si>
    <t>PLOT NO. A, RS 1149/1, SURAJNAGAR, AT VILLAGE DABHI</t>
  </si>
  <si>
    <t>1443 Ridge Rd</t>
  </si>
  <si>
    <t>2823 CR B</t>
  </si>
  <si>
    <t>22540 Russell Ave.</t>
  </si>
  <si>
    <t>1383 East Eastland Road</t>
  </si>
  <si>
    <t>42-43 Miles Stone, G.T. Karnal Road Sultanpur, Bahalgarh</t>
  </si>
  <si>
    <t>30 Todd Drive</t>
  </si>
  <si>
    <t>4241 N. Ravenswood Ave.</t>
  </si>
  <si>
    <t>215 Kreamer Ave.</t>
  </si>
  <si>
    <t>94 M.4 Nongpok Sub-district</t>
  </si>
  <si>
    <t>CAL.LOS ASTEROIDES NRO. 103 URB. LA CAMPIÑA (CD. 10 AV. LAS GAVIOTAS) - CHORRILLOS</t>
  </si>
  <si>
    <t>306 150th St</t>
  </si>
  <si>
    <t>Fields surround farm</t>
  </si>
  <si>
    <t>Group 3, Taoli Village, Dongtang Town</t>
  </si>
  <si>
    <t>2925 Huntleigh Dr.</t>
  </si>
  <si>
    <t>512 Metz Road</t>
  </si>
  <si>
    <t>5985 Portland Rd</t>
  </si>
  <si>
    <t>Tarcoola,</t>
  </si>
  <si>
    <t>87055 530 Ave</t>
  </si>
  <si>
    <t>Veteranos de Malvinas J. D. Bessel 1058</t>
  </si>
  <si>
    <t>820 rue Lucien-Beudin</t>
  </si>
  <si>
    <t>2727 Pittman Drive</t>
  </si>
  <si>
    <t>Ruta N° 6 kilometro 175 - 175,5</t>
  </si>
  <si>
    <t>3300 Westwind Blvd.</t>
  </si>
  <si>
    <t>Av. de Los Inmigrantes 204</t>
  </si>
  <si>
    <t>Ruta 41, Km 320</t>
  </si>
  <si>
    <t>Via Isaac Newton, 15</t>
  </si>
  <si>
    <t>N° 271 rue 5 lotissement Lina, zone industrielle Sidi Maarouf</t>
  </si>
  <si>
    <t>44200 HWY BB</t>
  </si>
  <si>
    <t>1343 Nutt Rd.</t>
  </si>
  <si>
    <t>Ruta 33 Km 655</t>
  </si>
  <si>
    <t>13104 Fowler Rd</t>
  </si>
  <si>
    <t>229 Alden Ave</t>
  </si>
  <si>
    <t>23629 Land's End Road</t>
  </si>
  <si>
    <t>3864 Hwy 124</t>
  </si>
  <si>
    <t>106/5 Mu.8</t>
  </si>
  <si>
    <t>249-257 E Sandford Blvd</t>
  </si>
  <si>
    <t>2069 SW 31st Ave</t>
  </si>
  <si>
    <t>810 E Glendale Ave</t>
  </si>
  <si>
    <t>44 Park Dr.</t>
  </si>
  <si>
    <t>1000 W. Royal Lee Dr.</t>
  </si>
  <si>
    <t>59 Maengjin-gil, Masan-myeon</t>
  </si>
  <si>
    <t>833 East Main St.</t>
  </si>
  <si>
    <t>4955 E. McKellips Road</t>
  </si>
  <si>
    <t>83 Cedar St.</t>
  </si>
  <si>
    <t>OPPOSITE SHELL PETROLEUM GT ROAD KAMOKE, GUJRANWALA</t>
  </si>
  <si>
    <t>2769 W 15th St.</t>
  </si>
  <si>
    <t>The plot on the north side of the new 102 line,On the east side of Jinyuewan Avenue,South side of Yingbin Avenue, Changtu Town, Changtu County</t>
  </si>
  <si>
    <t>Hong Yazi Town, Xing Cheng District.</t>
  </si>
  <si>
    <t>280 Middle Burnt Fork Road</t>
  </si>
  <si>
    <t>367C Bayshore Rd</t>
  </si>
  <si>
    <t>1680 Enterprise Dr</t>
  </si>
  <si>
    <t>2250 5th St</t>
  </si>
  <si>
    <t>7549 Claribel Rd.</t>
  </si>
  <si>
    <t>8/5 Pibuldham Bldg., North Sathorn Rd., Silom, Bangrak</t>
  </si>
  <si>
    <t>Linpan Town, Linyi County.</t>
  </si>
  <si>
    <t>234 Town Farm Rd.</t>
  </si>
  <si>
    <t>1455 Fifth St.</t>
  </si>
  <si>
    <t>PO Box 467</t>
  </si>
  <si>
    <t>Boulevard, building 7A, floor 2, premises 1, room 16</t>
  </si>
  <si>
    <t>43-A, Tsentralna street</t>
  </si>
  <si>
    <t>v. Vypasnoe</t>
  </si>
  <si>
    <t>1 Polova str.</t>
  </si>
  <si>
    <t>12, Shevchenko Str., office 3,</t>
  </si>
  <si>
    <t>2 Stromenka Str.</t>
  </si>
  <si>
    <t>2809 East 550 South</t>
  </si>
  <si>
    <t>Nur-Sultan, Baikonyr District, Kenesary Str., 40., n.p.48, Office 1102A.</t>
  </si>
  <si>
    <t>121 W Durkee Street</t>
  </si>
  <si>
    <t>No.837, Douzhong Road, Beidou Township</t>
  </si>
  <si>
    <t>1325 Armstrong Rd Ste 165</t>
  </si>
  <si>
    <t>1149 East Swamp Road</t>
  </si>
  <si>
    <t>Mza. Ie Lote. 3 Urb. Las Brisas De Villa (Pantanos De Villa) - Lima - Chorrillos</t>
  </si>
  <si>
    <t>W7036 Quinney Road</t>
  </si>
  <si>
    <t>5212 Wall Ave</t>
  </si>
  <si>
    <t>23601 E 600 N. Road</t>
  </si>
  <si>
    <t>30 Woodland Rd</t>
  </si>
  <si>
    <t>Terebovlia district., village Rizdviany</t>
  </si>
  <si>
    <t>785 - 787 Cach Mang Thang Tam Street, Quarter 2, Ward 3</t>
  </si>
  <si>
    <t>16 Osprey Point Road</t>
  </si>
  <si>
    <t>Primera Colonia 15 - Ireneo Portela</t>
  </si>
  <si>
    <t>1120 Fruitvale Avenue</t>
  </si>
  <si>
    <t>5311 Midway Road</t>
  </si>
  <si>
    <t>370-1199 West Pender Street</t>
  </si>
  <si>
    <t>1905 Hollins Mill Road</t>
  </si>
  <si>
    <t>95 Androvette Street</t>
  </si>
  <si>
    <t>707 Cromwell Ave</t>
  </si>
  <si>
    <t>4960 Horseshoe Pike</t>
  </si>
  <si>
    <t>Khandwa Road, Bhikangaon</t>
  </si>
  <si>
    <t>1, M.G. ROAD, BHIKANGAON, Khargone, Madhya Pradesh</t>
  </si>
  <si>
    <t>Khewat No. 423/1 And 3, Farmana Road, Guhna</t>
  </si>
  <si>
    <t>Santa Rita 2731</t>
  </si>
  <si>
    <t>25A, Jalan Anggerik Vanilla U31/U, Kota Kemuning</t>
  </si>
  <si>
    <t>Girish Bhai S/o Savabhai Parmar, Opp-Aklavya School Nava Agarwada, Teh- Lunavada</t>
  </si>
  <si>
    <t>CAL.LOS TAPICEROS NRO. 179</t>
  </si>
  <si>
    <t>42 Court St.</t>
  </si>
  <si>
    <t>Avenda Libertador Bolivar Edificio Santa Ana De Cala Cala Nro.1879 Piso 5 Oficina 7 Zona Cala Cala</t>
  </si>
  <si>
    <t>2400 Malin Siding Rd</t>
  </si>
  <si>
    <t>HACIAHMET MAH. CAY CAD. NO: 65 A</t>
  </si>
  <si>
    <t>25750 Millerick Road</t>
  </si>
  <si>
    <t>14451 Calhoun Rd</t>
  </si>
  <si>
    <t>7696 Bruxner Highway</t>
  </si>
  <si>
    <t>Av. Alfredo Benavides N°2150 of. 802</t>
  </si>
  <si>
    <t>1000 Montague Street</t>
  </si>
  <si>
    <t>Calle Miguel Lerdo de Tejada 2275, Col. Americana</t>
  </si>
  <si>
    <t>Rodovia Ilhéus, Uma, s/n - Zona Rural do Rio do Mamão</t>
  </si>
  <si>
    <t>14800 Byron Highway</t>
  </si>
  <si>
    <t>Ba. Roberto Gonzales, Esc. juan B Zelaya 02 cuadras al oeste 1/2 cuadra al sur</t>
  </si>
  <si>
    <t>1812 S. Oliver Rd.</t>
  </si>
  <si>
    <t>281 Smouse Rd</t>
  </si>
  <si>
    <t>19225 Fresno Dr.</t>
  </si>
  <si>
    <t>3394 Hwy J-46</t>
  </si>
  <si>
    <t>1132 W. Blackhawk St</t>
  </si>
  <si>
    <t>2995 Hwy 174</t>
  </si>
  <si>
    <t>2900 NE Blakeley St</t>
  </si>
  <si>
    <t>1104 230th Ave</t>
  </si>
  <si>
    <t>869 East Badger Road</t>
  </si>
  <si>
    <t>10 Greenfield Road</t>
  </si>
  <si>
    <t>Plot/ Khasra No. 906, Padru Payu, Village  &amp; P.O. Bawtra, Tehsil Sayla, Jalore,</t>
  </si>
  <si>
    <t>26703 Camp Branch Rd.</t>
  </si>
  <si>
    <t>Vía Samanga</t>
  </si>
  <si>
    <t>A-21 SITE, Super Highway, Karachi
.	75340 KARACHI PAKISTAN</t>
  </si>
  <si>
    <t>514 West County Road 78</t>
  </si>
  <si>
    <t>GR Floor, 56/001, MIDC, Road no - 17, Near Datamatics, Andheri</t>
  </si>
  <si>
    <t>10583 Harrison Road</t>
  </si>
  <si>
    <t>2470 Country Road WW</t>
  </si>
  <si>
    <t>3004 Hempland Road. Suite 4</t>
  </si>
  <si>
    <t>1037 Pacific Terrace</t>
  </si>
  <si>
    <t>1045 Silverline Drive</t>
  </si>
  <si>
    <t>37, Rue Ali Zlitni</t>
  </si>
  <si>
    <t>333 M.7 Chongsammor Sub-District</t>
  </si>
  <si>
    <t>Plot No. 26G, Sector 31, Ecotech-1, Greater Noida</t>
  </si>
  <si>
    <t>61 Crabapple</t>
  </si>
  <si>
    <t>80349 RD 432</t>
  </si>
  <si>
    <t>1100 Bonneau Rd.</t>
  </si>
  <si>
    <t>7400 Metro Blvd</t>
  </si>
  <si>
    <t>P.O. Box 1322</t>
  </si>
  <si>
    <t>2640 Hoffman Rd.</t>
  </si>
  <si>
    <t>173 State Route 511</t>
  </si>
  <si>
    <t>88860 564 Ave</t>
  </si>
  <si>
    <t>West Naldrett Street</t>
  </si>
  <si>
    <t>728 Montgomery St</t>
  </si>
  <si>
    <t>212 4th Ave. NW</t>
  </si>
  <si>
    <t>30 International Way</t>
  </si>
  <si>
    <t>5786 NY-96</t>
  </si>
  <si>
    <t>1300 E University Drive</t>
  </si>
  <si>
    <t>13405 Telegraph Rd</t>
  </si>
  <si>
    <t>Rodovia GO 070, Chácara 29 A - Km 3,9, s/n - Parque Maracana</t>
  </si>
  <si>
    <t>Rodovia GO 070 - Km 25, s/n - Area Rural</t>
  </si>
  <si>
    <t>248 East Chicago Road</t>
  </si>
  <si>
    <t>2132 32nd Ave</t>
  </si>
  <si>
    <t>73421 340 Ave</t>
  </si>
  <si>
    <t>303-306, Atlantis Enclave, Opp Maruti Row House, Memnagar</t>
  </si>
  <si>
    <t>2146 City Line Rd</t>
  </si>
  <si>
    <t>8125 Township Road 562</t>
  </si>
  <si>
    <t>371 Hoes 
Ln, Suite 104</t>
  </si>
  <si>
    <t>393 28th Avenue East</t>
  </si>
  <si>
    <t>989 S. Monterey Ave.</t>
  </si>
  <si>
    <t>P. O. BOX 9, Bunbong -Tamale</t>
  </si>
  <si>
    <t>Cal. Odriozola N° 189</t>
  </si>
  <si>
    <t>156 Bog Rd.</t>
  </si>
  <si>
    <t>46 Walker Street</t>
  </si>
  <si>
    <t>702 Kiddville St.</t>
  </si>
  <si>
    <t>Ruta Nacional N°9 KM 95.5</t>
  </si>
  <si>
    <t>1451 66th Street</t>
  </si>
  <si>
    <t>7575 Georgetown Rd.</t>
  </si>
  <si>
    <t>556 Champlin Road</t>
  </si>
  <si>
    <t>39332 W. Camelback Rd.</t>
  </si>
  <si>
    <t>6197 Township Rd 605</t>
  </si>
  <si>
    <t>225 State Highway 223</t>
  </si>
  <si>
    <t>141 Andrea Drive</t>
  </si>
  <si>
    <t>2123 Vaughn Road</t>
  </si>
  <si>
    <t>No.7/1, Pillayar Koil Street, Kangeyan kuppam, Sogandi Village, Thirukalukundram Taluk</t>
  </si>
  <si>
    <t>760 Epperson Dr.</t>
  </si>
  <si>
    <t>168 Payson Rd</t>
  </si>
  <si>
    <t>915 Highland Pointe Drive</t>
  </si>
  <si>
    <t>32 Technology Drive</t>
  </si>
  <si>
    <t>2970 County Highway 74</t>
  </si>
  <si>
    <t>5157 Stony Point Road</t>
  </si>
  <si>
    <t>28 Creamery Lane</t>
  </si>
  <si>
    <t>4318 Hayes Ave.</t>
  </si>
  <si>
    <t>25831 Jefferson Ave.</t>
  </si>
  <si>
    <t>42 W 300 N, Unit 2</t>
  </si>
  <si>
    <t>9 South Main Street</t>
  </si>
  <si>
    <t>3445 Adelaida Road</t>
  </si>
  <si>
    <t>14126 Millersburg Road SW</t>
  </si>
  <si>
    <t>301 East Jefferson St</t>
  </si>
  <si>
    <t>404, ACME INDL EST, 4TH FLOOR, GOREGAON EAST, MUMBAI, GREATER MUMBAI</t>
  </si>
  <si>
    <t>4214 West Beachway Dr</t>
  </si>
  <si>
    <t>57-01 49th Place</t>
  </si>
  <si>
    <t>200 Finley Road</t>
  </si>
  <si>
    <t>1192 Vanderbilt Circle</t>
  </si>
  <si>
    <t>4070 Stewart Rd.</t>
  </si>
  <si>
    <t>97 North Hatfield Road</t>
  </si>
  <si>
    <t>9421 N. Dos Palos Ave.</t>
  </si>
  <si>
    <t>122 M 5 Khok Klang Sub-district</t>
  </si>
  <si>
    <t>C/O Bhodariya, S/o Dipa, Thandla, Jhabua,  Madhya Pradesh</t>
  </si>
  <si>
    <t>82 Siripattana, M. 10</t>
  </si>
  <si>
    <t>6830 Walthall Way</t>
  </si>
  <si>
    <t>Calle Martin de Murua 150 Edificio Plexus Oficina 807</t>
  </si>
  <si>
    <t>72, Gram-Surpala, Surpala Bawi, Khargone, Madhya Pradesh - 451220.</t>
  </si>
  <si>
    <t>1865 East Anderson Rd.</t>
  </si>
  <si>
    <t>6524 180th St NE</t>
  </si>
  <si>
    <t>3306 Central Parkway SW</t>
  </si>
  <si>
    <t>7000 Kennedy Blvd E.</t>
  </si>
  <si>
    <t>Mariscal José Antonio de Sucre 1530</t>
  </si>
  <si>
    <t>1139 Lehigh Ave., Suite 300 B</t>
  </si>
  <si>
    <t>3040 Hill Avenue</t>
  </si>
  <si>
    <t>4403 Table Mountain Drive</t>
  </si>
  <si>
    <t>C/O Suryabhan Natthu Jadhar, At Post: Pishore, Pishor,  Kannad</t>
  </si>
  <si>
    <t>CAL.FIDEL OLIVAS ESCUDERO NRO. 123 URB. PANDO ET. UNO</t>
  </si>
  <si>
    <t>6473 County Road Z</t>
  </si>
  <si>
    <t>Plot No 5A &amp; 5B, Veerasandra Industrial Area, 19th KM Stone, Electronic City, Bangalore</t>
  </si>
  <si>
    <t>Survey No, 244 &amp; 246/2, Kakkadasam Village, Anniyalam post, Denkanikottai taluk, Krishnagiri District</t>
  </si>
  <si>
    <t>14550 State Highway B</t>
  </si>
  <si>
    <t>1800 Terminal St.</t>
  </si>
  <si>
    <t>24509-390th Street NE</t>
  </si>
  <si>
    <t>70 Ubi Crescent #01-01</t>
  </si>
  <si>
    <t>100 Overlook Center 2nd Floor Princeton, NJ</t>
  </si>
  <si>
    <t>Doutor Cardoso de Almeida 1374, Sala 01 - Centro</t>
  </si>
  <si>
    <t>15 Thatcher Road</t>
  </si>
  <si>
    <t>45 K.M Stone, G.T Karnal Road, Kamaspur</t>
  </si>
  <si>
    <t>Kh No. 21/28, Ground Floor, GT Road Village, Bakoli,Landmark Palm Green Resort Rohini, North West</t>
  </si>
  <si>
    <t>31902 Northeast Lewisville Highway</t>
  </si>
  <si>
    <t>Pasina Kalan Road, Pasina Kalan, Samalkha</t>
  </si>
  <si>
    <t>SCO 7, 1st &amp; 2nd Floor, Emperor Square, TDI City, Kundli</t>
  </si>
  <si>
    <t>6123 Arapahoe Road</t>
  </si>
  <si>
    <t>C.P. Chaquiccapampa Nro. S/N Anx. Chaquiccapampa</t>
  </si>
  <si>
    <t>D -325 &amp; 326, Agro Food Park, RIICO</t>
  </si>
  <si>
    <t>2220 Nature's Path Way</t>
  </si>
  <si>
    <t>W227-N6088 Sussex Road</t>
  </si>
  <si>
    <t>Economic Development Zone, Keshan County, Qiqihar City, Heilongjiang Province</t>
  </si>
  <si>
    <t>Economic Development Zone, Keshan County, Qiqihar City,</t>
  </si>
  <si>
    <t>159 N. Sunset Ave</t>
  </si>
  <si>
    <t>P.O. Box 22354</t>
  </si>
  <si>
    <t>C/o Ramesh Muvel, Near to Gram Panchayat,  Bagwainya, Semalda, Dharampuri, Dhar, Madhya Pradesh</t>
  </si>
  <si>
    <t>120 East 6th</t>
  </si>
  <si>
    <t>Changqing Village, Changfu Town</t>
  </si>
  <si>
    <t>In The Industrial Park Base in Nenjiang City</t>
  </si>
  <si>
    <t>105 S. Main Street</t>
  </si>
  <si>
    <t>12 Vreeland Avenue</t>
  </si>
  <si>
    <t>501 East Main Street</t>
  </si>
  <si>
    <t>7800 Congress Ave</t>
  </si>
  <si>
    <t>74 Fairview St. E.</t>
  </si>
  <si>
    <t>1424 Chapin Ave</t>
  </si>
  <si>
    <t>181 York St</t>
  </si>
  <si>
    <t>9012 153rd Rd</t>
  </si>
  <si>
    <t>17823 E Valley Blvd</t>
  </si>
  <si>
    <t>125 Moen Ave.</t>
  </si>
  <si>
    <t>437 S. McClure Road</t>
  </si>
  <si>
    <t>2950 Duluth Street</t>
  </si>
  <si>
    <t>528 Billy Sunday Road Suite 100</t>
  </si>
  <si>
    <t>9/256 LADPLAKHAO 78, ANUSAVAREE</t>
  </si>
  <si>
    <t>27 Moo. 3, Ngiudorn Sub-district</t>
  </si>
  <si>
    <t>80 SW 8th Street, suite 2000</t>
  </si>
  <si>
    <t>2733 Buckeystown Pike</t>
  </si>
  <si>
    <t>1700 Pleasantville Road</t>
  </si>
  <si>
    <t>Ihalamillawa Morawake</t>
  </si>
  <si>
    <t>No.295,3rd phase, KIADB industrial area, Kanachikkanahalli, Malur</t>
  </si>
  <si>
    <t>Road No.1, Tuanjie Village, Zhenbeipu Town, Xixia District</t>
  </si>
  <si>
    <t>39407 Highway 20</t>
  </si>
  <si>
    <t>2430 So.Watney Way</t>
  </si>
  <si>
    <t>Khandwa Road, Bhikangaon, Dist- Khargone Madhya</t>
  </si>
  <si>
    <t>1021 E Lincolnway</t>
  </si>
  <si>
    <t>69 M. 16 T. Nong Kae</t>
  </si>
  <si>
    <t>84/1 Moo 6, Salaengphan Sub District</t>
  </si>
  <si>
    <t>12549 Road M</t>
  </si>
  <si>
    <t>601 Carlson Parkway</t>
  </si>
  <si>
    <t>438 3rd Street NE</t>
  </si>
  <si>
    <t>921 Riverside St.</t>
  </si>
  <si>
    <t>345 Paul Rd.</t>
  </si>
  <si>
    <t>Jinyao Road No.38-7-1 Floor 1st, Economic and Technological Development Zone, Dalian Free Trade Test Area</t>
  </si>
  <si>
    <t>5169 Sudbury Road</t>
  </si>
  <si>
    <t>11829 Watertank Rd</t>
  </si>
  <si>
    <t>12555 Pulver Road</t>
  </si>
  <si>
    <t>575 Vista Blvd.</t>
  </si>
  <si>
    <t>395 S. Glen Ellyn Rd</t>
  </si>
  <si>
    <t>A-1204, SY NO: 20,21,22, APARNA TOWERS, KONDAPUR, HYDERABAD</t>
  </si>
  <si>
    <t>1202 E. 5th St.</t>
  </si>
  <si>
    <t>251 E Front St. Ste 100</t>
  </si>
  <si>
    <t>50 Sindle Avenue</t>
  </si>
  <si>
    <t>Room 902,Buiding D, Wangzuo Morden City No.35 of Tangyan Road, Zhangba Street Office</t>
  </si>
  <si>
    <t>6201 E Primrose Green Drive</t>
  </si>
  <si>
    <t>212 4th Street S</t>
  </si>
  <si>
    <t>C/O Konduru Venkata, Subbraju, 4-163, Isukapalli, Rajampet, Annamayya</t>
  </si>
  <si>
    <t>1115 South 2nd St.</t>
  </si>
  <si>
    <t>184 South Livingston Avenue</t>
  </si>
  <si>
    <t>8950 SW 74th Ct</t>
  </si>
  <si>
    <t>Ulucak Cumhuriyet Mah. 9085 Sk. No: 4/1 Kemalpaşa</t>
  </si>
  <si>
    <t>148 M.9, Kae Yai</t>
  </si>
  <si>
    <t>Rómulo O'Farril  No. 529, Col. Las Aguilas</t>
  </si>
  <si>
    <t>333 S Hacienda Blvd</t>
  </si>
  <si>
    <t>20268 Paver Barnes Road</t>
  </si>
  <si>
    <t>Lot B 87 D Ankadikely Ilafy</t>
  </si>
  <si>
    <t>1371 Clove Road</t>
  </si>
  <si>
    <t>1 Olson Road</t>
  </si>
  <si>
    <t>7 Straits View, Marina One East Tower #20-01</t>
  </si>
  <si>
    <t>10700 88th Avenue</t>
  </si>
  <si>
    <t>75155 Road 316</t>
  </si>
  <si>
    <t>1 Liberty St.</t>
  </si>
  <si>
    <t>2425 East Bakersview Rd.</t>
  </si>
  <si>
    <t>272 East Rd.</t>
  </si>
  <si>
    <t>950 Gilman Street</t>
  </si>
  <si>
    <t>843 State Route 12,Suite B-15</t>
  </si>
  <si>
    <t>49502 873RD</t>
  </si>
  <si>
    <t>Lot 83, Jalan Kesuma 2/3, Phasa 5d, Bandar Tasik Kesuma Techno Park</t>
  </si>
  <si>
    <t>140 Phrommatap Road</t>
  </si>
  <si>
    <t>2795 E Bakerview Rd Unit #17</t>
  </si>
  <si>
    <t>5095 Argyle Rd</t>
  </si>
  <si>
    <t>Carlos Antonio López y Paseo de Fátima, puerto Fénix- Mariano Roque Alonso-Paraguay</t>
  </si>
  <si>
    <t>112-Y, COMMERCIAL AREA, DHA, LAHORE CANTT.</t>
  </si>
  <si>
    <t>Sertus Chambers, Second Floor, The Quadrant, Manglier Street</t>
  </si>
  <si>
    <t>C-5/10, Agro Park Phase-II, UPSIDC Industrial Area, Kursi Road</t>
  </si>
  <si>
    <t>GATA NO- 48/2, VILLAGE BHADARWARA, PARGANA TEHSIL RATH</t>
  </si>
  <si>
    <t>Rut.Nac.nº18 Km 211</t>
  </si>
  <si>
    <t>Ruta nacional 18 km 209</t>
  </si>
  <si>
    <t>6743 Myrtle Avenue</t>
  </si>
  <si>
    <t>2705 E. Burnside St</t>
  </si>
  <si>
    <t>130 East 10th St</t>
  </si>
  <si>
    <t>416 Hungerford Dr.</t>
  </si>
  <si>
    <t>98 Spincaster Dr</t>
  </si>
  <si>
    <t>18107 N Eldridge Pkwy</t>
  </si>
  <si>
    <t>Plot No. 44, 10TH ROAD,</t>
  </si>
  <si>
    <t>Federico Lacroze 2252 2 B</t>
  </si>
  <si>
    <t>Khasra No. 295-296, Village: Babai, Tahsil Niwari</t>
  </si>
  <si>
    <t>701,Van Metropolis, No. 35 Tangyan Road</t>
  </si>
  <si>
    <t>Da Tho village, Xuan Tho commune</t>
  </si>
  <si>
    <t>14-2-71/1, 5 Incline, Godavarikhani, Peddapally</t>
  </si>
  <si>
    <t>Vişneyade Mah., Süleyman Seba Cad. No:79, İç kapı No:1</t>
  </si>
  <si>
    <t>4 Le Pont Martel</t>
  </si>
  <si>
    <t>600 E 132nd St</t>
  </si>
  <si>
    <t>25 Orinda Way</t>
  </si>
  <si>
    <t>Buca OSB Mah., 2/22 Sok. No:7, Begos 3. Bölge</t>
  </si>
  <si>
    <t>Shabramant, Giza Governorate</t>
  </si>
  <si>
    <t>203 Main St. Suite 201</t>
  </si>
  <si>
    <t>6095 Malburg Way</t>
  </si>
  <si>
    <t>140 Main St.</t>
  </si>
  <si>
    <t>1059 Court St.</t>
  </si>
  <si>
    <t>Ambachtstraat 9</t>
  </si>
  <si>
    <t>At/Po-Chawalpani, Tamia, Chawalpani, Tamia,</t>
  </si>
  <si>
    <t>4667 East Date Ave.</t>
  </si>
  <si>
    <t>3630 E. Wawona</t>
  </si>
  <si>
    <t>100 PacMoore Parkway</t>
  </si>
  <si>
    <t>51113 340th Street</t>
  </si>
  <si>
    <t>38-L, Commercial Area, PHASE VIII (EX. AIR AVENUE), DHA, 54000 Lahore PAKISTAN</t>
  </si>
  <si>
    <t>85/15 Moo 1, Pra Ram song road</t>
  </si>
  <si>
    <t>250 Assay Street, Suite 300, Office 342</t>
  </si>
  <si>
    <t>1073 W Park Blvd</t>
  </si>
  <si>
    <t>4800 US HWY 60</t>
  </si>
  <si>
    <t>225 South Lawton Ave</t>
  </si>
  <si>
    <t>4805 FM 809</t>
  </si>
  <si>
    <t>Yaguaron 1407, Of. 624</t>
  </si>
  <si>
    <t>Aananda Mahajan, Hari Om Nagar, Navapur Road, Pimpalner, Dhule, -</t>
  </si>
  <si>
    <t>Haba village, Pingan town, Dawa country</t>
  </si>
  <si>
    <t>415 Huguenot Street</t>
  </si>
  <si>
    <t>39-11, Jidong-gil, Masan-myeon</t>
  </si>
  <si>
    <t>65, Gahak-gil, Gyegok-myeon</t>
  </si>
  <si>
    <t>5550 Hwy 17</t>
  </si>
  <si>
    <t>2361 South 211th Street</t>
  </si>
  <si>
    <t>6348 Frost Avenue</t>
  </si>
  <si>
    <t>2430 30th Street</t>
  </si>
  <si>
    <t>60 East Main Street</t>
  </si>
  <si>
    <t>Colectora 12 de Octubre s/n km 42.5 Ramal Pilar, Complejo Office Park, Edificio Quatro, oficina 205</t>
  </si>
  <si>
    <t>5101 County Road X</t>
  </si>
  <si>
    <t>5564 York Rd</t>
  </si>
  <si>
    <t>24669 County Road 110</t>
  </si>
  <si>
    <t>13720 24th Street E, Suite 101</t>
  </si>
  <si>
    <t>Chacra 271</t>
  </si>
  <si>
    <t>133 Lorian Dr</t>
  </si>
  <si>
    <t>3000 Rene-Levesque Blvd.</t>
  </si>
  <si>
    <t>A Unit Of Peermade Development Society, 16/684 , Valanjanganam, Kuttikkanam PO., PEERMADE, Idukki</t>
  </si>
  <si>
    <t>Tarnavskogo M. generala lane, 2 app 253</t>
  </si>
  <si>
    <t>2406 N Brownlee Rd</t>
  </si>
  <si>
    <t>89/B, ECR Road, Keela Shanmugapuram, Soorangudi, Vilathikulam Block</t>
  </si>
  <si>
    <t>Jetwing House , 46/26, Navam Mawatha,00200, Colombo</t>
  </si>
  <si>
    <t>3250 NE 1st Avenue</t>
  </si>
  <si>
    <t>Alsina 86</t>
  </si>
  <si>
    <t>3110 Regina West Road</t>
  </si>
  <si>
    <t>2691 S Cedar Ave</t>
  </si>
  <si>
    <t>1805 Harbor Street</t>
  </si>
  <si>
    <t>114/1 Moo 5 T. Tap Man, Taphan Hin</t>
  </si>
  <si>
    <t>6906 Zion Church Rd, Salisbury</t>
  </si>
  <si>
    <t>1601 Campbell Street</t>
  </si>
  <si>
    <t>1801 Godwin Avenue</t>
  </si>
  <si>
    <t>240 GA Highway 247 Spur</t>
  </si>
  <si>
    <t>807 Palmer St.</t>
  </si>
  <si>
    <t>Calle Torres Paz 1430, Dpto. 305 Urb. Santa Beatriz</t>
  </si>
  <si>
    <t>Calle Rio Grande 135</t>
  </si>
  <si>
    <t>CARRETERA AUTOPISTA PANAMERICANA SUR NRO. 2001 (KM 38) PUNTA HERMOSA</t>
  </si>
  <si>
    <t>Las Gardenias MZA, I Lote. 12 Urb. Praderas de Lurin (Alt Km 40 Antigua Panamericana Sur), Lurin, Lima</t>
  </si>
  <si>
    <t>2022 North Avenue</t>
  </si>
  <si>
    <t>250 County Line Rd.</t>
  </si>
  <si>
    <t>314 E 1st Street</t>
  </si>
  <si>
    <t>Ruta 7 Km 153,5</t>
  </si>
  <si>
    <t>Ruta 51 Km 171</t>
  </si>
  <si>
    <t>Intendente José Moro 1079 y Beruti S/N</t>
  </si>
  <si>
    <t>Ruta nacional 8, km 110,1</t>
  </si>
  <si>
    <t>Ruta 7 km. 138,5</t>
  </si>
  <si>
    <t>Av. 13 de Octubre S/N</t>
  </si>
  <si>
    <t>351 Hanson Way</t>
  </si>
  <si>
    <t>SY#92/5, Kannalli, Segehalli Cross, Magadi Main Road, Yashwanthpura Hobli</t>
  </si>
  <si>
    <t>No. 92/5, Kannalli, Seegehalli Cross, Magadi Road, Bangalore Urban</t>
  </si>
  <si>
    <t>No.B20-5, Building 1, Wucaicheng District A, E&amp;T Development Zone</t>
  </si>
  <si>
    <t>Room 616, Science and Technology Innovation Center Building, No. 335 Jiansanjiang Yingbin Road, Fujin City</t>
  </si>
  <si>
    <t>East of Northern Wenshui Road</t>
  </si>
  <si>
    <t>93 M.8 T.Trasaeng</t>
  </si>
  <si>
    <t>14, Mers sultan 20000 – Casablanca</t>
  </si>
  <si>
    <t>2080 Cabrillo Highway</t>
  </si>
  <si>
    <t>231 Columbia Street</t>
  </si>
  <si>
    <t>5915 Broadway</t>
  </si>
  <si>
    <t>G.T. Road, Sadhoke-Kamoke District, Gujranwala</t>
  </si>
  <si>
    <t>House No. 6, Saraswati Colony, Udaynagar, Dewas,Madhya Pradesh-455227</t>
  </si>
  <si>
    <t>Estrada Borges BR 287 - Km 530, s/n - Primeiro Distrito</t>
  </si>
  <si>
    <t>9071 Fever Hill Rd</t>
  </si>
  <si>
    <t>168 M. 8 Sangnoktha, Muang</t>
  </si>
  <si>
    <t>33 Moo12, Tambon Prasaatthong</t>
  </si>
  <si>
    <t>Planet Downs,</t>
  </si>
  <si>
    <t>5072 Pacific Avenue</t>
  </si>
  <si>
    <t>4334 Old Hwy 99</t>
  </si>
  <si>
    <t>10407 Scribner Rd</t>
  </si>
  <si>
    <t>1222/58 Leabkhlong Rangsit Road, Prachathipat, Thanyaburi</t>
  </si>
  <si>
    <t>60 MOO 17 , SURIN-PRASAT RD , CHANEANG MUEANG</t>
  </si>
  <si>
    <t>54573 891 Road</t>
  </si>
  <si>
    <t>20802 Kensington Blvd</t>
  </si>
  <si>
    <t>N4734 County Road M</t>
  </si>
  <si>
    <t>151 E 1750 N, Unit F</t>
  </si>
  <si>
    <t>2917 East Shepherd Avenue</t>
  </si>
  <si>
    <t>Av. de los Inmigrantes 204 (Acceso)</t>
  </si>
  <si>
    <t>Av. San Martín 2500</t>
  </si>
  <si>
    <t>48444 Rudd Lane</t>
  </si>
  <si>
    <t>3992 41st Ave SE</t>
  </si>
  <si>
    <t>10093 South Prosperity Rd.</t>
  </si>
  <si>
    <t>Phumi Aekapheap, Sangkat Pal Hal, Krong Preah Vihear, Preah Vihear province</t>
  </si>
  <si>
    <t>3 Landmark Square</t>
  </si>
  <si>
    <t>203 Swiggum Rd</t>
  </si>
  <si>
    <t>13 Industrial Drive</t>
  </si>
  <si>
    <t>Sy No. 115/5, Harthi Village, Magadi Taluk, Magadi</t>
  </si>
  <si>
    <t>9282 West Dry Creek Road</t>
  </si>
  <si>
    <t>360/ 370, Village kherki Daula Gurugram, Gurugram</t>
  </si>
  <si>
    <t>2800 SW 42nd Street</t>
  </si>
  <si>
    <t>Plot No. 3B, KIADB Hoskote Industrial Area, Hoskote Taluk, Bengaluru</t>
  </si>
  <si>
    <t>Mylargudda Estate, Basaravalli village, Kanathi Post, Chikamagalur</t>
  </si>
  <si>
    <t>40 Ragsdale Drive</t>
  </si>
  <si>
    <t>40 Ragsdale Dr.</t>
  </si>
  <si>
    <t>1748 Wild Branch Road</t>
  </si>
  <si>
    <t>Calle 30# 2760,</t>
  </si>
  <si>
    <t>Calle 860, oriente 4, Ciudad Industrial</t>
  </si>
  <si>
    <t>61 Quilinchini Avenue</t>
  </si>
  <si>
    <t>CALLE YUCATAN 610 INDEPENDENCIA,MONTERREY NUEVO LEON</t>
  </si>
  <si>
    <t>ARCELACIÓN LAS SALINAS Mz P2 Lt 17-Carretera Antigua Panamericana Sur Km 35.5</t>
  </si>
  <si>
    <t>Joaquín Mancheno No. 74-34 y Mariano Cardenal Carcelén Industrial</t>
  </si>
  <si>
    <t>Coop Huertos Familiares Miras, Los Mirlos Lote 47B y los Cisnes</t>
  </si>
  <si>
    <t>97 Baker Street</t>
  </si>
  <si>
    <t>2346 Hwy 1 &amp; 92</t>
  </si>
  <si>
    <t>1785 South Broadway Avenue</t>
  </si>
  <si>
    <t>518 Main Street</t>
  </si>
  <si>
    <t>2737 N 700 E Rd</t>
  </si>
  <si>
    <t>Av. Parra N° 852, Pilcomayo</t>
  </si>
  <si>
    <t>Insurgentes Sur 1605, piso 31, Col. San José Insurgentes</t>
  </si>
  <si>
    <t>2590 Pioneer Ave., Suite D</t>
  </si>
  <si>
    <t>3000 S. Hulen St. Suite 124  #1044 Fort Worth, TX 76109</t>
  </si>
  <si>
    <t>2315 Moore Ave.</t>
  </si>
  <si>
    <t>1002 Walnut St. Suite 200</t>
  </si>
  <si>
    <t>B1+B2+B3/11, GIDC Electronic Estate, sector-25</t>
  </si>
  <si>
    <t>1864 311th Ave.</t>
  </si>
  <si>
    <t>105 South Maple Street,</t>
  </si>
  <si>
    <t>13915 Live Oak Ave</t>
  </si>
  <si>
    <t>Room 2403 No. 467-1, Changjiang Middle Road, Huangdao District</t>
  </si>
  <si>
    <t>No. 18 Tianshan 2 Road, Tongji Office, Jimo City ;</t>
  </si>
  <si>
    <t>No. 6 Shandong Road</t>
  </si>
  <si>
    <t>No.195 Hong Kong East Road, Laoshan Qingdao</t>
  </si>
  <si>
    <t>No.398 Tiejishan road, Xiazhuang street, Chengyang district</t>
  </si>
  <si>
    <t>No.18 Gaochang Road, Qingdao</t>
  </si>
  <si>
    <t>County Road 30 Hwy 196</t>
  </si>
  <si>
    <t>CONDOMINIO BRISAS DEL NORTE CASA 67 , ZONA NORTE EL REMANZO 8VO Y 9NO ANILLO, A 50 METROS DEL CANAL PEDRO VELEZ</t>
  </si>
  <si>
    <t>7950 NW 53rd Street Suite 221</t>
  </si>
  <si>
    <t>DOMICILIO FISCAL: CAL.GERMAN SCHEREIBER NRO. 276 URB. SANTA ANA LIMA - LIMA - SAN ISIDRO</t>
  </si>
  <si>
    <t>Rodovia RSC 122 - Km 67 - Sala B, s/n – Forqueta</t>
  </si>
  <si>
    <t>208 Old 71</t>
  </si>
  <si>
    <t>Calle 6 de Octubre entre Cochabamba y Ayacucho N° 1246 .Zona/Barrio Central.</t>
  </si>
  <si>
    <t>4653 Table Mountain Dr. Unit A</t>
  </si>
  <si>
    <t>AV. TIAHUANACU N° 100 ZONA: URB. MARISCAL SANTA CRUZ</t>
  </si>
  <si>
    <t>Jr.Vizcaya 231 Of. 201</t>
  </si>
  <si>
    <t>Antofagasta S/N entre Oruro y Uyuni</t>
  </si>
  <si>
    <t>4730 Quebec Ave N</t>
  </si>
  <si>
    <t>500 Mercy Springs Rd</t>
  </si>
  <si>
    <t>330 Mechanic Street</t>
  </si>
  <si>
    <t>214 Mechanic Street</t>
  </si>
  <si>
    <t>Opp. Gurudwara Tahla Sahib, Tarn Taran Road</t>
  </si>
  <si>
    <t>Ambodisatrana I CU SAMBAVA</t>
  </si>
  <si>
    <t>6060 County Road 230</t>
  </si>
  <si>
    <t>Estrada Caminho dos Orgânicos, km 15 - s/n - Área Rural de Avaré.</t>
  </si>
  <si>
    <t>38629 Auburn Enumclaw Rd SE</t>
  </si>
  <si>
    <t>No-267, Ground Floor, Jnana Bharathi, Nagadevanahalli, RR Nagara, B.B.M.P West, Bangalore, Karnataka</t>
  </si>
  <si>
    <t>12560 Marx St</t>
  </si>
  <si>
    <t>LOT IVC 180 BIS AMBODIVOANJO, ANKARAOBATO</t>
  </si>
  <si>
    <t>17028 315th Ave</t>
  </si>
  <si>
    <t>SURVEY NO. 4101 SAMRAT ESTATE, PLOT NO. 13 TO 19, PARTH INDUSTRIAL PARK, OPP. HOTEL AAVKARO UNJHA, UNJHA SIDHPUR HIGHWAY, AT KAMLI, UNJHA</t>
  </si>
  <si>
    <t>Plot No 544/545, 1st Floor, Hinglaj Nagar (Mojiya), Narmada Colony Road, Sanchore</t>
  </si>
  <si>
    <t>1336/1, Parth Industrial Estate, Near Gujcomasol, Unjha Unava Highway</t>
  </si>
  <si>
    <t>VILL - Chokhawada, Tehsil- Meghnagar, District- Jhabua, Madhya Pradesh</t>
  </si>
  <si>
    <t>Rattan Farm, Village: Barnagar Paota, Tehsil: Kotputli, District: Jaipur</t>
  </si>
  <si>
    <t>8820 Clear Lake Rd</t>
  </si>
  <si>
    <t>9320 Highway 66</t>
  </si>
  <si>
    <t>56084 844th Road</t>
  </si>
  <si>
    <t>89 Tompkins St.</t>
  </si>
  <si>
    <t>3233 16th Ave SW</t>
  </si>
  <si>
    <t>20315 Coleman Brake Road</t>
  </si>
  <si>
    <t>135 Raritan Center Parkway</t>
  </si>
  <si>
    <t>961 B US Rte 2</t>
  </si>
  <si>
    <t>23425 455th Ave</t>
  </si>
  <si>
    <t>35 Trautwein Cres</t>
  </si>
  <si>
    <t>501 42nd St. N</t>
  </si>
  <si>
    <t>2840 Sprouse Dr</t>
  </si>
  <si>
    <t>2816 Havlina Road</t>
  </si>
  <si>
    <t>1609 Trumansburg Rd</t>
  </si>
  <si>
    <t>113 Manheim St</t>
  </si>
  <si>
    <t>900 Square St</t>
  </si>
  <si>
    <t>140 Sylvan Ave.</t>
  </si>
  <si>
    <t>Number 392, Ground Floor, Sapthagiri Nilaya, 2nd Cross, Kempegowda layout, Laggere, BENGALURU</t>
  </si>
  <si>
    <t>7461 Coca Cola Drive</t>
  </si>
  <si>
    <t>2-KM GT Road 50661 Kamoke Gujranwala</t>
  </si>
  <si>
    <t>77/140, 33rd Floor Sinn Sathorn Tower, Krungthonburi Road, Klongtonsai, Klongsan</t>
  </si>
  <si>
    <t>14/1 Moo 4, Ayutthaya - Angthong Road</t>
  </si>
  <si>
    <t>410 South Ave</t>
  </si>
  <si>
    <t>2485 E County Road 4 N</t>
  </si>
  <si>
    <t>203 SW 159th Terr</t>
  </si>
  <si>
    <t>99 South Bedford Street, Suite 220</t>
  </si>
  <si>
    <t>7930 Occidental Ave S</t>
  </si>
  <si>
    <t>Av. de los Inmigrantes 351</t>
  </si>
  <si>
    <t>Av. de Los Inmigrantes 197</t>
  </si>
  <si>
    <t>Av. de los inmigrantes 309</t>
  </si>
  <si>
    <t>333 Highway 97 North</t>
  </si>
  <si>
    <t>3251 County Rd 101 E</t>
  </si>
  <si>
    <t>300 Forest Street</t>
  </si>
  <si>
    <t>2233A Sheppard Ave W. Unit 2</t>
  </si>
  <si>
    <t>716 N 2ND ST</t>
  </si>
  <si>
    <t>400 West Main St</t>
  </si>
  <si>
    <t>2362 Prospect St</t>
  </si>
  <si>
    <t>982 22nd Road</t>
  </si>
  <si>
    <t>701 Blackhawk Drive</t>
  </si>
  <si>
    <t>2685 Opus Way Suite 200</t>
  </si>
  <si>
    <t>1920 McGregor St</t>
  </si>
  <si>
    <t>113 Maple Drive</t>
  </si>
  <si>
    <t>13 Evergreen Road</t>
  </si>
  <si>
    <t>81148 463 Road Ave</t>
  </si>
  <si>
    <t>44360 Simpson Road</t>
  </si>
  <si>
    <t>Shafi House, 35-A/3, Lalazar, M.T. Khan Road, Opp. Beach</t>
  </si>
  <si>
    <t>9705 NW 108 Avenue</t>
  </si>
  <si>
    <t>28800 County Road 29</t>
  </si>
  <si>
    <t>32625 County Rd 3.75</t>
  </si>
  <si>
    <t>3447 CR HH</t>
  </si>
  <si>
    <t>Room No 11-A, 18 Boon Lay Way,</t>
  </si>
  <si>
    <t>15 Rowood Road</t>
  </si>
  <si>
    <t>563 WCR 76</t>
  </si>
  <si>
    <t>50 Maltese Drive</t>
  </si>
  <si>
    <t>1306 Chase Ave</t>
  </si>
  <si>
    <t>41758 County Road 112</t>
  </si>
  <si>
    <t>340 Port Road 22</t>
  </si>
  <si>
    <t>3300 Walnut Street</t>
  </si>
  <si>
    <t>70895 RD 373</t>
  </si>
  <si>
    <t>60 Cates Rd.</t>
  </si>
  <si>
    <t>312 Lame Jones Trail</t>
  </si>
  <si>
    <t>N29483 River Valley Rd</t>
  </si>
  <si>
    <t>39525 Weld CR 136</t>
  </si>
  <si>
    <t>Calle 44, entre 177 y 178</t>
  </si>
  <si>
    <t>IV-7 Block, A1 Area Industrial Zone Sa Dec</t>
  </si>
  <si>
    <t>Indore Road, Patwari Halka No 38, Village Dondwada Main Road</t>
  </si>
  <si>
    <t>905 South 34th St.</t>
  </si>
  <si>
    <t>5901 Sloane Drive</t>
  </si>
  <si>
    <t>1975 N Sheridan Rd</t>
  </si>
  <si>
    <t>Bellakka, PO. Nittur, TA. Hosanagar, Dist. Shimoga</t>
  </si>
  <si>
    <t>At.po- Pimpalner, Tal- Sakri</t>
  </si>
  <si>
    <t>1080 N Malia Ln</t>
  </si>
  <si>
    <t>Shine City Building, Zhang Ba Wu Rd., Hitech Development Zone</t>
  </si>
  <si>
    <t>5700 Limeville Road</t>
  </si>
  <si>
    <t>B-62, Sunder Nagar, Golyawas, Mansarovar</t>
  </si>
  <si>
    <t>Plot No. 113-114, Solitaire Industrial Park, N.H. 8, Ajmer Road, Village- Dehmi Kalan, Sanganer</t>
  </si>
  <si>
    <t>209 Avenida Fabricante, Ste. 200</t>
  </si>
  <si>
    <t>4 Station Road, Bijainagar, Ajmer, Ajmer, Rajasthan</t>
  </si>
  <si>
    <t>Udainagar</t>
  </si>
  <si>
    <t>House No. 33, Gauri Shankar Colony, Near Saras Hotel, Bharatpur, RAJASTHAN</t>
  </si>
  <si>
    <t>G 1 - 807, Sitapura Industrial Area, Tonk Road</t>
  </si>
  <si>
    <t>GAT No-1630, Jadhav Mala, Wadaki, Tal Haveli</t>
  </si>
  <si>
    <t>Gat No-115, Warehouse No-2, Gaigaon Road, Dabki, Akola Municipal Corporation</t>
  </si>
  <si>
    <t>19255 80th Avenue South</t>
  </si>
  <si>
    <t>689 Butler Rd. S.</t>
  </si>
  <si>
    <t>Lago Pátzcuaro 1120</t>
  </si>
  <si>
    <t>Nandpur Narkatopa Bazpur</t>
  </si>
  <si>
    <t>7325 H, West Friendly Avenue</t>
  </si>
  <si>
    <t>01/ D, Nalapaha, Divulapitiya.</t>
  </si>
  <si>
    <t>Unit 1 No 2 Turbo Road</t>
  </si>
  <si>
    <t>1940 Northgate Blvd</t>
  </si>
  <si>
    <t>3680 Ellis Road</t>
  </si>
  <si>
    <t>Village Seora, Baba Fareed Nagar, P.O. Dharap, Bishnah-Kunjwani Road</t>
  </si>
  <si>
    <t>At. Lane No. 4, Phase 2, SIDCO Industrial Complex, Purmandal, Bari Brahmana</t>
  </si>
  <si>
    <t>Office No. 535, 4th Floor, Vikram Tower, Sapna Sangeeta Road</t>
  </si>
  <si>
    <t>Plot No.-PAP-A-299, TTC Industrial Area, MIDC, Mahape, Thane</t>
  </si>
  <si>
    <t>1А, Zoryaniy Boulevard., Dnipro</t>
  </si>
  <si>
    <t>15681 35th St. SE</t>
  </si>
  <si>
    <t>808 N Hill Blvd</t>
  </si>
  <si>
    <t>1460 Sunnyview Rd NE</t>
  </si>
  <si>
    <t>1849 11th Street</t>
  </si>
  <si>
    <t>5600 E. CR 52</t>
  </si>
  <si>
    <t>6273 Lingle-Veteran Rd</t>
  </si>
  <si>
    <t>30 Maxwell</t>
  </si>
  <si>
    <t>872 North Hill Blvd</t>
  </si>
  <si>
    <t>425 W 39th St, South</t>
  </si>
  <si>
    <t>1150 West Central Ave. Unit A</t>
  </si>
  <si>
    <t>8001 South 194th St</t>
  </si>
  <si>
    <t>3218 E.C.R. 70</t>
  </si>
  <si>
    <t>7550 Elmore Road</t>
  </si>
  <si>
    <t>475 N Rivermede Rd</t>
  </si>
  <si>
    <t>1712 Pioneer Ave Suite 1009</t>
  </si>
  <si>
    <t>AV. ACAPULCO NRO. 105 URB. SANTA CLARA (FABRICA LAIVE) LIMA - ATE</t>
  </si>
  <si>
    <t>F-132, Malviya Nagar Industrial Area</t>
  </si>
  <si>
    <t>25550 County Road 880</t>
  </si>
  <si>
    <t>Rodovia do Café, BR 376, Km 290 - s/n</t>
  </si>
  <si>
    <t>1333 Nutt Rd</t>
  </si>
  <si>
    <t>8145 Enterprise Dr, Suite A</t>
  </si>
  <si>
    <t>311 Yeongangyehoe-Gil, Duwon-Myeon</t>
  </si>
  <si>
    <t>Ruta Nacional 38 - km 688</t>
  </si>
  <si>
    <t>1727 Cornerway Blvd. Bldg 2, Suite 202</t>
  </si>
  <si>
    <t>1702 Hempstead Rd, Suite 102</t>
  </si>
  <si>
    <t>1747 Hancock Sr. Suite A</t>
  </si>
  <si>
    <t>2284 County Road 100</t>
  </si>
  <si>
    <t>No.88 Dianchang Rd, Shijing Twon, Huyi District</t>
  </si>
  <si>
    <t>13275 Blair St</t>
  </si>
  <si>
    <t>28 - 1020 Mainland Street</t>
  </si>
  <si>
    <t>51 G.T Road Hide market,Lahore</t>
  </si>
  <si>
    <t>Shafi House, 35-A/3, Lalaza Opp Beach Luxery Hotel 7400 Karachi</t>
  </si>
  <si>
    <t>Plot No: B-22 to B-28, B-35 to B-42, B-244, B-244a &amp; B-244b Hub Industrial Trading Estate, 90250 District Lasbella Balochistan</t>
  </si>
  <si>
    <t>3451 McNicoll Avenue</t>
  </si>
  <si>
    <t>Toba Road, Jhang, Punjab</t>
  </si>
  <si>
    <t>JR. TOBIAS NORIEGA NRO. 603 SAN MARTIN - LAMAS - LAMAS</t>
  </si>
  <si>
    <t>No.1688 Sichou Road, Zhoucun Economic Development Zone</t>
  </si>
  <si>
    <t>Room 1911&amp;1912, No.501, Wuning Road</t>
  </si>
  <si>
    <t>Room 1301, 1st Building, No 1318 Zhouzhu Road</t>
  </si>
  <si>
    <t>West Of Xixinzhuang Village, Peicun Town, Hunyuan County</t>
  </si>
  <si>
    <t>Jinshuo Road No. 8, Xiyuan Community, Dingchang Town, Qinxian County</t>
  </si>
  <si>
    <t>7602 Condalia Avenue</t>
  </si>
  <si>
    <t>SURVEY NO. 47/1, GODOWN NO 6, BHARAPAR, KIDANA,GANDHIDHAM, Kachchh, Gujarat</t>
  </si>
  <si>
    <t>GROUND FLOOR, plot no 56, RICHA 9, ROAD No 17, MIDC, Andheri Kurla Road, Andheri East</t>
  </si>
  <si>
    <t>15439 Proctor Avenue</t>
  </si>
  <si>
    <t>Plot No. 23, Block No. 62, Vrundavan Industrial Park, Sanjan – Umbergaon Road, Palgam, Umbergaon</t>
  </si>
  <si>
    <t>3701-13701-1, No. 286 Qingnian Street, Heping District</t>
  </si>
  <si>
    <t>1615 Maryland Rd</t>
  </si>
  <si>
    <t>3437 D Street, Unit 110</t>
  </si>
  <si>
    <t>H-1139, Phase-3, Sitapura Industrial Area</t>
  </si>
  <si>
    <t>213 W River St.</t>
  </si>
  <si>
    <t>Plot No. 92 Industrial Area Shoghi, Shimla Town,</t>
  </si>
  <si>
    <t>26 km Stone, Village Chajjawadi, Jalandhar GT Road, Tangra,</t>
  </si>
  <si>
    <t>40 KM STONE, GT KARNAL ROAD BAHALGARH</t>
  </si>
  <si>
    <t>C/O - Mr. Amit Kumar Gupta, Near Police Station, Dhar Road</t>
  </si>
  <si>
    <t>C/O: Mr. Amit Kumar Gupta, Near Police Station, Dhar Road, Gandhwani</t>
  </si>
  <si>
    <t>34/1B/2B, Krishnapuri Shiwar, Mondhala Road - Jalgaon.</t>
  </si>
  <si>
    <t>Plot No. 1&amp;2 Survey No. 75/2, Near Hind Terminal Pvt Ltd CFS Dhrub</t>
  </si>
  <si>
    <t>G 1-73, FOOD ARGO PARK, BORANADA,</t>
  </si>
  <si>
    <t>Industrial Park, Huagai Town, Anzhou District</t>
  </si>
  <si>
    <t>2 Group, Fenghuang Village, Muxi Town</t>
  </si>
  <si>
    <t>Ward No. 18, Plot No. 116, Building No. 183, The Ichalkaranji Co. Op. Industrial Estate Ltd., Ichalkaranji, Tal. Hatkanangale</t>
  </si>
  <si>
    <t>3731 Finch Road</t>
  </si>
  <si>
    <t>2701 Deborah Ave</t>
  </si>
  <si>
    <t>#A21, A22, A23 One Park 3rd Floor, Street 566 Village 1, Sangkat Srah Chak,</t>
  </si>
  <si>
    <t>Dubai flower Center bldg., chamber 209 P.O. Box: 58331- Dubai- UAE</t>
  </si>
  <si>
    <t>BAŞPINAR(ORGANİZE)OSB MAH. MAHALLESİ O.S.B. 3. BÖLGE 83317 NOLU CAD. NO:4 ŞEHİTKAMİL</t>
  </si>
  <si>
    <t>600 Snyder Rd</t>
  </si>
  <si>
    <t>AV NUEVA TOLEDO NRO 127 CIENEGUILLA,</t>
  </si>
  <si>
    <t>3365 Hollins Ferry Rd</t>
  </si>
  <si>
    <t>Calle Litoral Nro. 442 Zona Mariscal Santa Cruz</t>
  </si>
  <si>
    <t>11810 Brocton Lane North</t>
  </si>
  <si>
    <t>253 Wagner St.</t>
  </si>
  <si>
    <t>Av. Arica No. 777</t>
  </si>
  <si>
    <t>Mothola Tea Estate, Mancotta Road</t>
  </si>
  <si>
    <t>77/65 Moo 7 Khlong Yong</t>
  </si>
  <si>
    <t>140 Danieltown Road</t>
  </si>
  <si>
    <t>9889 Cincinnati-Dayton Rd</t>
  </si>
  <si>
    <t>4265 45th St S, 111-58</t>
  </si>
  <si>
    <t>303 Ridge Road</t>
  </si>
  <si>
    <t>102 E 7th Street, Unit 6</t>
  </si>
  <si>
    <t>50 High Ridge Court</t>
  </si>
  <si>
    <t>Lot II B 106 bis Ambatomainty</t>
  </si>
  <si>
    <t>Sector Las Tijeras, Chillinhue Lote 2, Coihueco,</t>
  </si>
  <si>
    <t>Avenida Belén, Nro:100 Urbanización Los Andes, entre Avenida Achocalla y Avenida Larecaja</t>
  </si>
  <si>
    <t>Av. Arce Edificio Fortaleza Piso 9, Of. 901 No. 2799 Barrio San Jorge Esq. Pasaje Cordero</t>
  </si>
  <si>
    <t>3,Rue Jamel Abdelnnaceur, Zone industrielle Borj Cédria</t>
  </si>
  <si>
    <t>Village de M'brimbo S/P Tiassalé</t>
  </si>
  <si>
    <t>Z. I. Poudérière 1</t>
  </si>
  <si>
    <t>Ferme Jabri Bled Hajoui Rte De Meknes</t>
  </si>
  <si>
    <t>No 59 VC, Lower Gampola Road,</t>
  </si>
  <si>
    <t>4950 Olive St.</t>
  </si>
  <si>
    <t>1 A, Kanti Mansion Plot No. 31, Kira Road</t>
  </si>
  <si>
    <t>Avenida Hildebrando de Araujo Goes ,1008 - Érico Sabino de Souza</t>
  </si>
  <si>
    <t>Avda. Del Libertador 5990, Oficina 207</t>
  </si>
  <si>
    <t>Ruta 74 y Calle Pte. Illia 0</t>
  </si>
  <si>
    <t>8553 Raybourn Rd.</t>
  </si>
  <si>
    <t>FARM NO. 9 (next to western country club), PACHGAON - TAURU ROAD, Near Manesar, Gurgaon</t>
  </si>
  <si>
    <t>Quartier Avedji, Rond point Limousine</t>
  </si>
  <si>
    <t>56 Glen Road</t>
  </si>
  <si>
    <t>Ruta Nº 8, Km 111</t>
  </si>
  <si>
    <t>Ruta 7 km. 138.5</t>
  </si>
  <si>
    <t>Ruta 7 Km 153.5</t>
  </si>
  <si>
    <t>1530 47th Street NorthWest</t>
  </si>
  <si>
    <t>1000 W. First Street</t>
  </si>
  <si>
    <t>150 West Axton Rd., Unit 2</t>
  </si>
  <si>
    <t>12651 Stafford Rd.</t>
  </si>
  <si>
    <t>FDBC0513 Compass Building, AI Shohada Road,</t>
  </si>
  <si>
    <t>Plot No.11, Krithika Madhapur Layout, Situated in TS No.64 of Madhapur Village, Serilingampally Mandal,Rangareddi</t>
  </si>
  <si>
    <t>Sy.No.69, Gundlapochampally Village, Medchal Mandal, Medchal-Malkajgiri District</t>
  </si>
  <si>
    <t>Survey No. 659, Devaryamjal Village, Shamirpet Mandal, Shamirpet, Medchal-Malkajgiri</t>
  </si>
  <si>
    <t>16821 E FM 1097 RD</t>
  </si>
  <si>
    <t>1400 Madeline Lane</t>
  </si>
  <si>
    <t>308 E 6th St</t>
  </si>
  <si>
    <t>Dr. Héctor Miranda 2361, oficina 604</t>
  </si>
  <si>
    <t>Ruta 12, Km 21</t>
  </si>
  <si>
    <t>1180 11th Road</t>
  </si>
  <si>
    <t>684 Georgia Avenue</t>
  </si>
  <si>
    <t>40 KM Stone, Near Star Track Fastner, Bahalgarh</t>
  </si>
  <si>
    <t>Modern TCM Industrial Park</t>
  </si>
  <si>
    <t>2nd Floor, Bldg. 1, No. 18 Longqing Street</t>
  </si>
  <si>
    <t>11424 Eastside Rd.</t>
  </si>
  <si>
    <t>5650 Dolly Ave.</t>
  </si>
  <si>
    <t>D-41, SECTOR-3, DSIIDC BAWANA INDUSTRIAL AREA</t>
  </si>
  <si>
    <t>Bvar. España 2630 - Of 301</t>
  </si>
  <si>
    <t>4956 Stewart Rd</t>
  </si>
  <si>
    <t>Bet-El</t>
  </si>
  <si>
    <t>1188 Mountain House Road</t>
  </si>
  <si>
    <t>Kyshalte</t>
  </si>
  <si>
    <t>14698 State Hwy 15</t>
  </si>
  <si>
    <t>799 Crandon Blvd 1106</t>
  </si>
  <si>
    <t>1150 Maple Street</t>
  </si>
  <si>
    <t>2190 County Road 411</t>
  </si>
  <si>
    <t>235 Myers Road</t>
  </si>
  <si>
    <t>10909 Bald Hill Road Southeast</t>
  </si>
  <si>
    <t>3161 US Route 9</t>
  </si>
  <si>
    <t>2339 Road S SW</t>
  </si>
  <si>
    <t>124 S Decatur</t>
  </si>
  <si>
    <t>114 Washington Way</t>
  </si>
  <si>
    <t>669 Elevator Road</t>
  </si>
  <si>
    <t>11650 Westside Potter Valley Road</t>
  </si>
  <si>
    <t>12075 Collins Ave</t>
  </si>
  <si>
    <t>Calle 1 S/N - Carlos Keen</t>
  </si>
  <si>
    <t>Virgen de Loreto Nº 66, 1E</t>
  </si>
  <si>
    <t>88918 565 Ave</t>
  </si>
  <si>
    <t>4070 148th Avenue NE</t>
  </si>
  <si>
    <t>Dr. Gabriel Otero 6536, oficina 6</t>
  </si>
  <si>
    <t>No.1029, Trade Hall,Fumin Trade Zone.</t>
  </si>
  <si>
    <t>Av. Segunda, Calle G-2 S/N, Carretera La Joya, Urbanizacion Los Pinos</t>
  </si>
  <si>
    <t>Av. Villazon Nro. 3671 Zona Arocagua,</t>
  </si>
  <si>
    <t>JR. BUENA VISTA NRO. 213. AYACUCHO-HUAMANGA-ANDRES AVELINO CACERES</t>
  </si>
  <si>
    <t>7050 Eddy Rd.</t>
  </si>
  <si>
    <t>Plot No 19/1, Ground Floor, Stilt Parking, BLK-A, Rana Pratap Bagh, North</t>
  </si>
  <si>
    <t>1 Chapin Road Suite# 5</t>
  </si>
  <si>
    <t>Rincón 468, Piso 7</t>
  </si>
  <si>
    <t>67 A Katy's Church Rd</t>
  </si>
  <si>
    <t>411 S. Las Posas Rd.</t>
  </si>
  <si>
    <t>39724 Grand Ave</t>
  </si>
  <si>
    <t>Beylerbeyi Mahallesi, Semsi Efendi Sk. No. 16, Üsküdar 34676</t>
  </si>
  <si>
    <t>104 West Railroad</t>
  </si>
  <si>
    <t>Sultan Selim, 28100 Giresun</t>
  </si>
  <si>
    <t>19040 Pınarçay Osb</t>
  </si>
  <si>
    <t>Beylerbeyi Mahallesi, Semsi Efendi Sk. No. 16</t>
  </si>
  <si>
    <t>Edincik Mahallesi, Düzpınarlık Mevkii</t>
  </si>
  <si>
    <t>Sırrı Akalın Sokak No:9</t>
  </si>
  <si>
    <t>1621 Fair Meadow Trail</t>
  </si>
  <si>
    <t>53998 State Highway 48</t>
  </si>
  <si>
    <t>2 North Road</t>
  </si>
  <si>
    <t>2875A Eight Street</t>
  </si>
  <si>
    <t>1402 N 27th Rd</t>
  </si>
  <si>
    <t>1 Moo 3 Nongyaida Subdistrict</t>
  </si>
  <si>
    <t>Plot No. 405, 1st Stage, Sompura Industrial Area, Nelamangala Talluk, Bangalore rural dist</t>
  </si>
  <si>
    <t>325 W. 3rd</t>
  </si>
  <si>
    <t>4427 VanDerWal Drive</t>
  </si>
  <si>
    <t>210 M.1 T.Trasaeng</t>
  </si>
  <si>
    <t>72, Gram-Surpala, Surpala Bawi, Khargone, Madhya Pradesh.</t>
  </si>
  <si>
    <t>Ground Floor, 48, National Games Housing Project, 8th Block, Koramangala Village, Bangalore South, Bangalore Urban</t>
  </si>
  <si>
    <t>279/2 Moo 8 Muangchum sub-district, Wiangchai, Chiangrai</t>
  </si>
  <si>
    <t>1/2-3 Moo6 Srisachorakhae Yai, Bangsaothong</t>
  </si>
  <si>
    <t>Jamuna Kamal Nikunj, G-1, Brijvihar  Colony, Bistan Road</t>
  </si>
  <si>
    <t>363 Compass Road</t>
  </si>
  <si>
    <t>206 2nd St. SE</t>
  </si>
  <si>
    <t>29 Palladium Circuit</t>
  </si>
  <si>
    <t>145 South Park Dr.</t>
  </si>
  <si>
    <t>Oktyabrskaya street,72</t>
  </si>
  <si>
    <t>6-KM G.T Road, Muridkey, Punjab</t>
  </si>
  <si>
    <t>No 93, Kinh Hamlet, Trung Ngai Commune</t>
  </si>
  <si>
    <t>705A-13, Free Trade Building, No. 1 Dongting Road, Bonded Area</t>
  </si>
  <si>
    <t>Fangjia Village, Lushun Development Zone</t>
  </si>
  <si>
    <t>1100 Lake Street, Suit# 200</t>
  </si>
  <si>
    <t>Av. Parque de la Leyendas 210 – San Miguel. Lima Perú</t>
  </si>
  <si>
    <t>At/Po-Surli, Gat No.710, 788 Tal- Kara</t>
  </si>
  <si>
    <t>490, Village-Bhandgaon, Taluk-Daund, District-Pune, Maharashtra</t>
  </si>
  <si>
    <t>266 South Fifth Ave.</t>
  </si>
  <si>
    <t>87 Moo 9, Pueai</t>
  </si>
  <si>
    <t>3320 Taft Ave</t>
  </si>
  <si>
    <t>841 E. Artesia Blvd.</t>
  </si>
  <si>
    <t>Prektaten commune, Panhea Leu district, Kandal province</t>
  </si>
  <si>
    <t>Topağaç Mah. Malkara Cad. Tekirdağ Un No:164</t>
  </si>
  <si>
    <t>4599 McDermott Rd.</t>
  </si>
  <si>
    <t>1001 N E Loop 820 Ste. 500</t>
  </si>
  <si>
    <t>16044 Old Sour Lake Rd.</t>
  </si>
  <si>
    <t>Laboratornyy Al., 6, (office) 3</t>
  </si>
  <si>
    <t>317/1 Moo15 Senangkhanikhom</t>
  </si>
  <si>
    <t>158 Moo 15, Song Phon Road</t>
  </si>
  <si>
    <t>1/1 Moo 7, Poochaosamingprai Rd., T. Samrong, A. Phrapradaeng</t>
  </si>
  <si>
    <t>42 Moo 9 Prasat Sub-district, Huai Thap Than District</t>
  </si>
  <si>
    <t>125 M.5 Charaen Vilage, T.Ta Ong</t>
  </si>
  <si>
    <t>440 N Oregon Trail</t>
  </si>
  <si>
    <t>163 Main Street</t>
  </si>
  <si>
    <t>3305 NW Guam St.</t>
  </si>
  <si>
    <t>4248 W Post Rd.</t>
  </si>
  <si>
    <t>2801 South Western Ave</t>
  </si>
  <si>
    <t>619 Linn Street</t>
  </si>
  <si>
    <t>3717 W Washington St.</t>
  </si>
  <si>
    <t>2100 Luna Rd. Suite 120</t>
  </si>
  <si>
    <t>455 S Brea Canyon Rd.</t>
  </si>
  <si>
    <t>1250 Whipple Road</t>
  </si>
  <si>
    <t>7629 S 188th St.</t>
  </si>
  <si>
    <t>2237 S McDowell Blvd Ext.</t>
  </si>
  <si>
    <t>7477 Candlewood Rd</t>
  </si>
  <si>
    <t>333 Swedesboro Ave</t>
  </si>
  <si>
    <t>5559 NW 145th St</t>
  </si>
  <si>
    <t>1700 Alta Vista Drive</t>
  </si>
  <si>
    <t>2131 Logistics Court</t>
  </si>
  <si>
    <t>S. 545 Salt Box Rd</t>
  </si>
  <si>
    <t>5601 1st Ave S</t>
  </si>
  <si>
    <t>120 Brighton Road Unit 5</t>
  </si>
  <si>
    <t>1014 Vine Street</t>
  </si>
  <si>
    <t>90C Moosehead Trail</t>
  </si>
  <si>
    <t>803 A Street Southeast</t>
  </si>
  <si>
    <t>1 Washington St. Ste 1127</t>
  </si>
  <si>
    <t>3778 W Cheyenne Ave Suite 100</t>
  </si>
  <si>
    <t>320 National of Bucheng Village Section, Mabu Township</t>
  </si>
  <si>
    <t>3220 Road 107</t>
  </si>
  <si>
    <t>3600 N 5200 E</t>
  </si>
  <si>
    <t>8485 South Federal Way</t>
  </si>
  <si>
    <t>515-805 Morgan Road</t>
  </si>
  <si>
    <t>1775 Cherry St.</t>
  </si>
  <si>
    <t>7475 SE 72 Ave</t>
  </si>
  <si>
    <t>691 South Auto Mall Drive</t>
  </si>
  <si>
    <t>424 North Railway Street</t>
  </si>
  <si>
    <t>Room 2202, Building 30, Yutai Community, Lishuang Road, Xiqing District</t>
  </si>
  <si>
    <t>Dongsanshili Village, Sanshilipu Street, Puwan New District</t>
  </si>
  <si>
    <t>Room 847, Binhai Huamao Center</t>
  </si>
  <si>
    <t>12465 Mills Ave, B-9</t>
  </si>
  <si>
    <t>3050 650th Road</t>
  </si>
  <si>
    <t>2424 Rte 203</t>
  </si>
  <si>
    <t>48 Ulm Vaughn Road</t>
  </si>
  <si>
    <t>9010 Delta Line Road</t>
  </si>
  <si>
    <t>44373 280th St</t>
  </si>
  <si>
    <t>275 Pierce St</t>
  </si>
  <si>
    <t>4413 NE 14th Street</t>
  </si>
  <si>
    <t>2879 W Kem Road</t>
  </si>
  <si>
    <t>N7720 Sandy Hook Rd</t>
  </si>
  <si>
    <t>28 Valley Road</t>
  </si>
  <si>
    <t>El Gomhourya St, Abo Gensho</t>
  </si>
  <si>
    <t>Av. Panamericana Norte N° 1285</t>
  </si>
  <si>
    <t>10255 W Higgins Road</t>
  </si>
  <si>
    <t>44 Moo 1 Lamlukka-Wangnoi Road, Klong 7</t>
  </si>
  <si>
    <t>102 Tran Phu Street</t>
  </si>
  <si>
    <t>800 South Shamrock Ave.</t>
  </si>
  <si>
    <t>419 East DeSoto Ave.</t>
  </si>
  <si>
    <t>53762 Goose Road</t>
  </si>
  <si>
    <t>3050 Mowers Road</t>
  </si>
  <si>
    <t>Multigrain Processing Unit, Opp-Omax Colony, Near Metropolis Mall, Nainital Road, Rudrapur,</t>
  </si>
  <si>
    <t>2901 Progress Road-Bay 1 and 2</t>
  </si>
  <si>
    <t>1500 Right of Way Road</t>
  </si>
  <si>
    <t>615 5th Street</t>
  </si>
  <si>
    <t>1681 San Justo Road</t>
  </si>
  <si>
    <t>3800 1st Ave South</t>
  </si>
  <si>
    <t>413 E American Blvd</t>
  </si>
  <si>
    <t>1680 County Road 1044</t>
  </si>
  <si>
    <t>80444 Victoria Springs Rd</t>
  </si>
  <si>
    <t>Survey No 293, Opp KVK Centre-Vejalpur, Kanod Road, Vill- Kharsaliya, Kalol, Panchmahal</t>
  </si>
  <si>
    <t>42 Warner Road</t>
  </si>
  <si>
    <t>42 Warner Rd.</t>
  </si>
  <si>
    <t>Huygensstraat 6-8</t>
  </si>
  <si>
    <t>6535-B Caballero Boulevard</t>
  </si>
  <si>
    <t>2950 Duluth St.</t>
  </si>
  <si>
    <t>57/8 Moo 8, Huay Yai, Banglamung</t>
  </si>
  <si>
    <t>Avda. Corrientes 327, Piso 6</t>
  </si>
  <si>
    <t>Sección Quintas, Coronel Granada</t>
  </si>
  <si>
    <t>3060 Bellinger Hill Road</t>
  </si>
  <si>
    <t>16695 Common Rd</t>
  </si>
  <si>
    <t>546 15th St.</t>
  </si>
  <si>
    <t>7400 Old Berwick Road</t>
  </si>
  <si>
    <t>Nhon Hoa Hamlet, Nhon My Commune</t>
  </si>
  <si>
    <t>1705 E. 1500 S.</t>
  </si>
  <si>
    <t>2060 County Road 28</t>
  </si>
  <si>
    <t>407 East Vassalboro Rd.</t>
  </si>
  <si>
    <t>400 SW 6th Avenue, Suite 600</t>
  </si>
  <si>
    <t>168 Moo 9, Tambon Nadee</t>
  </si>
  <si>
    <t>299 Moo 9, Nadee, Nayear Ubon Ratchathani</t>
  </si>
  <si>
    <t>130 M.1 Aroonprasert Rd., Huai Rai sub-district</t>
  </si>
  <si>
    <t>Jr. Manuel del Pino N°691 DPTO. 305 Urb. Santa Beatriz - Lima</t>
  </si>
  <si>
    <t>6800 Enterprise Drive</t>
  </si>
  <si>
    <t>50 Old King Highway North</t>
  </si>
  <si>
    <t>181 M.7 T.Doo, Rasisalai, Sisaket</t>
  </si>
  <si>
    <t>Sharjah-Allayyeh, Inside Khalid Port,</t>
  </si>
  <si>
    <t>215 E. Bellevue Ave</t>
  </si>
  <si>
    <t>750 Josephine Lane</t>
  </si>
  <si>
    <t>903 Mariner St.</t>
  </si>
  <si>
    <t>260 Lake Rd.</t>
  </si>
  <si>
    <t>125 Half Mile Road,</t>
  </si>
  <si>
    <t>550 Centre Rd</t>
  </si>
  <si>
    <t>39/95 Moo 2, Tambal Bangkachao, Amphur Mueng Samutsakorn</t>
  </si>
  <si>
    <t>914 Bennoch Rd</t>
  </si>
  <si>
    <t>954 169th Ave NE</t>
  </si>
  <si>
    <t>Vill- Sitel , Post-Gulari Ghat</t>
  </si>
  <si>
    <t>270 E Wiser Lake Drive</t>
  </si>
  <si>
    <t>1501 Fraser St.</t>
  </si>
  <si>
    <t>1000/43 P.B. Tower 11st Floor, Sukhumvit 71 road,</t>
  </si>
  <si>
    <t>7900 Van Buren Street</t>
  </si>
  <si>
    <t>Rodovia CE 040, Km 16, s/n - Machuca</t>
  </si>
  <si>
    <t>Avenida Industrial Dehuel Vieira Diniz, s/n - Santa Julia</t>
  </si>
  <si>
    <t>11 M. 11, Thung Phong</t>
  </si>
  <si>
    <t>Plot no, 2010-2015, PHASE-2, HSIIDC, RAI INDUSTRIAL ESTATE</t>
  </si>
  <si>
    <t>No-247, Ground Floor, Next to Vrindavan Bliss Apartment, Kakolu Road, Itgalpur Cross, Rajankunte – Bangalore, B.B.M.P North</t>
  </si>
  <si>
    <t>740-746 South Alameda St.</t>
  </si>
  <si>
    <t>Nicolás Cortez S1-375</t>
  </si>
  <si>
    <t>5401 Terry St</t>
  </si>
  <si>
    <t>480 Pepper Road</t>
  </si>
  <si>
    <t>2875 State Highway 63</t>
  </si>
  <si>
    <t>G-314, 315, 3rd Phase, Boranada Industrial Area, Jodhpur Ward 12</t>
  </si>
  <si>
    <t>G No 2/10, Shiv Darsan Nagar, Gram Devguradiya, Nemwawar Road, Palda</t>
  </si>
  <si>
    <t>3901 E Plano Pkwy C56</t>
  </si>
  <si>
    <t>Highway 3 SW-33-3-24</t>
  </si>
  <si>
    <t>HIG-12A, Arvind Vihar Baghmugaliya</t>
  </si>
  <si>
    <t>F-19, Phase-II, Mandideep Industrial Area</t>
  </si>
  <si>
    <t>11620 S Bruner Rd</t>
  </si>
  <si>
    <t>340 ROUTE D'ETAMPES, VILLAGE ARTISANS</t>
  </si>
  <si>
    <t>Smederijstraat 2</t>
  </si>
  <si>
    <t>Rodovia PR 340 - KM 01, S/N  Samambaia</t>
  </si>
  <si>
    <t>Windermere Farm</t>
  </si>
  <si>
    <t>13777 Arnold Rd.</t>
  </si>
  <si>
    <t>70 Research Road</t>
  </si>
  <si>
    <t>1100 Cesar Chavez Street</t>
  </si>
  <si>
    <t>Mendoza 1940, of 4 píso 1</t>
  </si>
  <si>
    <t>85 Mud Run Rd.</t>
  </si>
  <si>
    <t>Carretera Oruro Vinto Km 1 1/2 S/N Frente a Es QV2</t>
  </si>
  <si>
    <t>An Phu Hamlet</t>
  </si>
  <si>
    <t>68 Nguyen Hue Street, Ben Nghe Ward, District 1,</t>
  </si>
  <si>
    <t>25 Friends Colony (West)</t>
  </si>
  <si>
    <t>Fundo la Posada s/n</t>
  </si>
  <si>
    <t>No.700, Hightway 91, Thoi Thanh Area, Thoi Thuan Ward</t>
  </si>
  <si>
    <t>81/3 Section 1, Tan Dinh Ward</t>
  </si>
  <si>
    <t>5494 Button Cross Rd</t>
  </si>
  <si>
    <t>16933 Shadow Valley Rd.</t>
  </si>
  <si>
    <t>21-00 Route 208 South</t>
  </si>
  <si>
    <t>100 Sheppard Ave E, Suite 700</t>
  </si>
  <si>
    <t>Block No. 86, At PO-Gangapur, Ta-Palsana, Bardoli</t>
  </si>
  <si>
    <t>Estrada Criúvas, s/n - Fazenda Capão Alto das Criúvas</t>
  </si>
  <si>
    <t>Street Of Komsomlskaya 28a</t>
  </si>
  <si>
    <t>204, Hassan Ali, Al Qassimi Building Al Ras</t>
  </si>
  <si>
    <t>125 4th Street</t>
  </si>
  <si>
    <t>40 County Road 126</t>
  </si>
  <si>
    <t>2130 Cecilton Warwick Road</t>
  </si>
  <si>
    <t>6281 Regio Avenue</t>
  </si>
  <si>
    <t>Mamunyu</t>
  </si>
  <si>
    <t>4 Sand Station Rd.</t>
  </si>
  <si>
    <t>P. O. Box 22, Wapuli-Tamale</t>
  </si>
  <si>
    <t>12017 Sellers Place Rd</t>
  </si>
  <si>
    <t>Jr. 28 De Julio Nro. 262 (Centro Comercial Plaza More)</t>
  </si>
  <si>
    <t>Busaita</t>
  </si>
  <si>
    <t>13528 Excelsior Dr.</t>
  </si>
  <si>
    <t>7162 160th Dr. NE</t>
  </si>
  <si>
    <t>1930 California Avenue</t>
  </si>
  <si>
    <t>1149 N County Road 22</t>
  </si>
  <si>
    <t>3080 Millersburg Blvd E</t>
  </si>
  <si>
    <t>420 N. Pioneer Ave.</t>
  </si>
  <si>
    <t>31120 West Street</t>
  </si>
  <si>
    <t>1500 Burns St. STE C</t>
  </si>
  <si>
    <t>14439 167th Avenue SE</t>
  </si>
  <si>
    <t>550 Bowie St</t>
  </si>
  <si>
    <t>147 Railroad Street</t>
  </si>
  <si>
    <t>C/O Raisingh Bhalsingh Vaskale,18, Kuvardeo, Jalgaon, (Jamod), Buldana</t>
  </si>
  <si>
    <t>C/O Motilal Kalu Dhandekar, 209, Village: Shivani , Jalgaon Jamod, Buldana, Maharashtra</t>
  </si>
  <si>
    <t>C/O Barela Ramlal, House No.40, Village: Umapur, Jalgaon (Jamod), Buldana</t>
  </si>
  <si>
    <t>1402 West Main St.</t>
  </si>
  <si>
    <t>No.39-2, Gangxing Street, Develpment District.</t>
  </si>
  <si>
    <t>2430 E Colorado Blvd</t>
  </si>
  <si>
    <t>115 13th Ave South</t>
  </si>
  <si>
    <t>25 16th St North</t>
  </si>
  <si>
    <t>15010 E 11th St.</t>
  </si>
  <si>
    <t>99 Edison Blvd ste 1</t>
  </si>
  <si>
    <t>8417 Frog Hollow Rd.</t>
  </si>
  <si>
    <t>2651 ACR 395</t>
  </si>
  <si>
    <t>Triumph Blvd. 3450., Suite 102</t>
  </si>
  <si>
    <t>Avenida Belgrano 2745 6to A</t>
  </si>
  <si>
    <t>220-222 Moore St.</t>
  </si>
  <si>
    <t>49 Kinney Rd</t>
  </si>
  <si>
    <t>3751 Sunset Avenue</t>
  </si>
  <si>
    <t>647 S. Kurzen Rd.</t>
  </si>
  <si>
    <t>96 Executive Ave.</t>
  </si>
  <si>
    <t>16555 Gale Ave</t>
  </si>
  <si>
    <t>1455 Broad Street, 4th Floor</t>
  </si>
  <si>
    <t>19715 321st Ave</t>
  </si>
  <si>
    <t>4620 284th St E</t>
  </si>
  <si>
    <t>5325 South Soto St.</t>
  </si>
  <si>
    <t>Grusonstraße 26</t>
  </si>
  <si>
    <t>4980 NW 165th St.</t>
  </si>
  <si>
    <t>Sabzal Road, Killi Gishkori,87300,Quetta,</t>
  </si>
  <si>
    <t>Sabzal Road, Killi Gishkori, 87300 Quetta</t>
  </si>
  <si>
    <t>Sabzal Road Killi Gishkori</t>
  </si>
  <si>
    <t>Sabzal Road, Killi Gishkori, .</t>
  </si>
  <si>
    <t>Sabzal Road, Killi Gishkori, 87300, Quetta</t>
  </si>
  <si>
    <t>Regional Oﬃce, Gishkori Town, Sabzal Road, Quetta</t>
  </si>
  <si>
    <t>ROOM 612, NO.802# YUANSHAN NAN ROAD</t>
  </si>
  <si>
    <t>No.1-2, 445 West Pearl Street</t>
  </si>
  <si>
    <t>Room 408 Building 10#, No. 28 Tianzhushan Street, Economic Development District,</t>
  </si>
  <si>
    <t>Calle Lambda 194 Parque La Industria y Comercio</t>
  </si>
  <si>
    <t>North of Zhangxi village</t>
  </si>
  <si>
    <t>Jalan Raya Kuyanga Tombatu Jaga 3</t>
  </si>
  <si>
    <t>221-106, Sinjeon-ro, Sinjeon-myeon</t>
  </si>
  <si>
    <t>Room 711, No. 38, Yinglun Road, China (Shanghai) Pilot Free Trade Zone</t>
  </si>
  <si>
    <t>Wudongdian Industral Zone, Yixian County</t>
  </si>
  <si>
    <t>No 8,Taixue Road, Lucun Town, Yiyuan County</t>
  </si>
  <si>
    <t>4ta. Avda #16 apto C,</t>
  </si>
  <si>
    <t>50 Barret rd</t>
  </si>
  <si>
    <t>129-4 Nogudang-gil, Haenam-eup</t>
  </si>
  <si>
    <t>56-9, Yonggye-gil, Gyegok-myeon</t>
  </si>
  <si>
    <t>30 Woodland Ave</t>
  </si>
  <si>
    <t>2160 Premier Row</t>
  </si>
  <si>
    <t>No. 185 Qingfeng Road</t>
  </si>
  <si>
    <t>7995 Mushroom Road</t>
  </si>
  <si>
    <t>3940 N 400 E</t>
  </si>
  <si>
    <t>14702 Karcher Road</t>
  </si>
  <si>
    <t>Physical Address: Street 2</t>
  </si>
  <si>
    <t>Sendhwa</t>
  </si>
  <si>
    <t>Industrial Zone</t>
  </si>
  <si>
    <t>LURIGANCHO</t>
  </si>
  <si>
    <t>Suite 100</t>
  </si>
  <si>
    <t>Suite #101</t>
  </si>
  <si>
    <t>Suite 388</t>
  </si>
  <si>
    <t>#756</t>
  </si>
  <si>
    <t>Ste A 103</t>
  </si>
  <si>
    <t>Sangkat Ruessei Keo, Khan Ruessei Kaev</t>
  </si>
  <si>
    <t>Sarwar Marg near Sai Mandir, Palsud</t>
  </si>
  <si>
    <t>A 5-7 Kaipoorikkara</t>
  </si>
  <si>
    <t>Söke V.D. 144 041 9945</t>
  </si>
  <si>
    <t>Barwani</t>
  </si>
  <si>
    <t>District 7, 700000</t>
  </si>
  <si>
    <t>583 route du col de Peyruergue</t>
  </si>
  <si>
    <t>Suite# 101</t>
  </si>
  <si>
    <t>Straussburg</t>
  </si>
  <si>
    <t>Old Klawer Road</t>
  </si>
  <si>
    <t>Kadirana North, Demanhandiya,</t>
  </si>
  <si>
    <t>Suite 2</t>
  </si>
  <si>
    <t>San Miguel de Bijagua</t>
  </si>
  <si>
    <t>Chau Thanh District</t>
  </si>
  <si>
    <t>1N-6E-20/1N-3E-13/1N-5W-1,24,33/1S-4E-14,21,27/1N-4E-21,18/1N-6E-7/54N-85W-22 50N-85W-20/1S-4E-9/3N-1E-17</t>
  </si>
  <si>
    <t>Suite 300</t>
  </si>
  <si>
    <t>11th Floor</t>
  </si>
  <si>
    <t>Puwan New District</t>
  </si>
  <si>
    <t>Yihegong Town</t>
  </si>
  <si>
    <t>JINZHOU DISTRICT</t>
  </si>
  <si>
    <t>Jinzhou District</t>
  </si>
  <si>
    <t>Tianzhen County</t>
  </si>
  <si>
    <t>Units A &amp; G</t>
  </si>
  <si>
    <t>Suite 200</t>
  </si>
  <si>
    <t>Colonia Las Pintitas Centro, El Salto</t>
  </si>
  <si>
    <t>Suite A</t>
  </si>
  <si>
    <t>Raisen Madhya Pradesh / Paper Udyog - Plot No.16, Warehousing complex, New Industrial  área, Phase II, Mandideep</t>
  </si>
  <si>
    <t>Central</t>
  </si>
  <si>
    <t>Unit C</t>
  </si>
  <si>
    <t>#5</t>
  </si>
  <si>
    <t>Nhuan Duc Commune</t>
  </si>
  <si>
    <t>Suite 47 / L</t>
  </si>
  <si>
    <t>LA URRACA NUEVA</t>
  </si>
  <si>
    <t>Paratwada, Achalpur, Amravati,</t>
  </si>
  <si>
    <t>Sangkat Chrang Chamreh2, Khan Russei Keo,</t>
  </si>
  <si>
    <t>Sam Sen Nai, Phaya Thai,</t>
  </si>
  <si>
    <t>&amp; May St intersection</t>
  </si>
  <si>
    <t>QINGXIU DISTRICT</t>
  </si>
  <si>
    <t>广州</t>
  </si>
  <si>
    <t>Suite 650</t>
  </si>
  <si>
    <t>HINGANGHAT, WARDHA, MAHARASHTRA</t>
  </si>
  <si>
    <t>12th Floor</t>
  </si>
  <si>
    <t>Police Park Avenue,</t>
  </si>
  <si>
    <t>Mingshui County</t>
  </si>
  <si>
    <t>Qinggang County, Suihua City</t>
  </si>
  <si>
    <t>Suite 1460</t>
  </si>
  <si>
    <t>Suite 2600</t>
  </si>
  <si>
    <t>Ha Bo Hamlet</t>
  </si>
  <si>
    <t>District 11</t>
  </si>
  <si>
    <t>Beşiri V.D. 463 726 312 82</t>
  </si>
  <si>
    <t>Arroyo hondo</t>
  </si>
  <si>
    <t>Wengniute Banner</t>
  </si>
  <si>
    <t>Unit F7</t>
  </si>
  <si>
    <t>Kumhar Mohalla, Sarwar Marg near Sai Mandir</t>
  </si>
  <si>
    <t>Tehsil Bhikangaon, District Khargone</t>
  </si>
  <si>
    <t>B.P. 5</t>
  </si>
  <si>
    <t>25N-47E-20,21,22,29</t>
  </si>
  <si>
    <t>Col. Ladrón de Guevara</t>
  </si>
  <si>
    <t>Building 3</t>
  </si>
  <si>
    <t>Mangtanwala Road,</t>
  </si>
  <si>
    <t>Greenmount</t>
  </si>
  <si>
    <t>Scrubbee Road</t>
  </si>
  <si>
    <t>Quarter 2, Ward 3</t>
  </si>
  <si>
    <t>BURHANIYE/ BALIKESIR</t>
  </si>
  <si>
    <t>Sandilands</t>
  </si>
  <si>
    <t>Suite 213</t>
  </si>
  <si>
    <t>Suite 217</t>
  </si>
  <si>
    <t>300 W. Southern Avenue</t>
  </si>
  <si>
    <t>Building 114</t>
  </si>
  <si>
    <t>Suite #250</t>
  </si>
  <si>
    <t>Galaxy Mall Ste M-17</t>
  </si>
  <si>
    <t>#206</t>
  </si>
  <si>
    <t>Unit#10</t>
  </si>
  <si>
    <t>Suite 400</t>
  </si>
  <si>
    <t>Suite 1714</t>
  </si>
  <si>
    <t>Alcaldía Alvaro Obregón</t>
  </si>
  <si>
    <t>Ankadikely Ilafy</t>
  </si>
  <si>
    <t>Suites 103 &amp; 105</t>
  </si>
  <si>
    <t>Suite 210</t>
  </si>
  <si>
    <t>Suite 140</t>
  </si>
  <si>
    <t>Suite 101</t>
  </si>
  <si>
    <t>Suite 120</t>
  </si>
  <si>
    <t>Suite 330</t>
  </si>
  <si>
    <t>Suite 305</t>
  </si>
  <si>
    <t>Phillips County/Malta, Montana 59538 25N-30E-19+30 / 25N-29E-14, 14,22, 23, 24, 25, 26</t>
  </si>
  <si>
    <t>Dawson Highway</t>
  </si>
  <si>
    <t>5th Floor</t>
  </si>
  <si>
    <t>Machuchal Industrial Zone</t>
  </si>
  <si>
    <t>PO Box 117</t>
  </si>
  <si>
    <t>Luxury Hotel P.O Box. 4524</t>
  </si>
  <si>
    <t>Suite 1 Bld 25</t>
  </si>
  <si>
    <t>#08-128, Trade hub 21,.</t>
  </si>
  <si>
    <t>5N-57E-6/6N-56E-36/6N-57E-30,31</t>
  </si>
  <si>
    <t>An Hoa Ward</t>
  </si>
  <si>
    <t>B4</t>
  </si>
  <si>
    <t>Khan Daun Penh, Phnom Penh .</t>
  </si>
  <si>
    <t>2ème étage</t>
  </si>
  <si>
    <t>BP 61</t>
  </si>
  <si>
    <t>Meewathura, Peradeniya</t>
  </si>
  <si>
    <t>Economic-Technological Development Area</t>
  </si>
  <si>
    <t>Uskudar 34676</t>
  </si>
  <si>
    <t>No:33, 10200</t>
  </si>
  <si>
    <t>Suite 1</t>
  </si>
  <si>
    <t>Madhya Pradesh - 451220</t>
  </si>
  <si>
    <t>Vung Liem District</t>
  </si>
  <si>
    <t>Senang Khanikhom district Amnat Charoen</t>
  </si>
  <si>
    <t>#100</t>
  </si>
  <si>
    <t>Wanzai County,</t>
  </si>
  <si>
    <t>Suite 500</t>
  </si>
  <si>
    <t>Ward 2</t>
  </si>
  <si>
    <t>Cho Moi District</t>
  </si>
  <si>
    <t>No. 200</t>
  </si>
  <si>
    <t>Klongton-Nua, Wattana,</t>
  </si>
  <si>
    <t>José Figueroa</t>
  </si>
  <si>
    <t>Khanh An Commune</t>
  </si>
  <si>
    <t>Unit A-20</t>
  </si>
  <si>
    <t>District Kohlu</t>
  </si>
  <si>
    <t>Quetta Islamabad</t>
  </si>
  <si>
    <t>HULI DISTRICT</t>
  </si>
  <si>
    <t>Zhangxing Town，Zhaoyuan City</t>
  </si>
  <si>
    <t>Kuyanga, Tombatu Timur, Minahasa Tenggara</t>
  </si>
  <si>
    <t>Physical Address: City</t>
  </si>
  <si>
    <t>Required (US)</t>
  </si>
  <si>
    <t>Ussuriysk</t>
  </si>
  <si>
    <t>Belém</t>
  </si>
  <si>
    <t>Buhl</t>
  </si>
  <si>
    <t>Stevensville</t>
  </si>
  <si>
    <t>Stockton</t>
  </si>
  <si>
    <t>Bangkok</t>
  </si>
  <si>
    <t>Cambridge</t>
  </si>
  <si>
    <t>Hyderabad</t>
  </si>
  <si>
    <t>Thane</t>
  </si>
  <si>
    <t>Owatonna</t>
  </si>
  <si>
    <t>Lamesa</t>
  </si>
  <si>
    <t>Karnal</t>
  </si>
  <si>
    <t>Clearwater</t>
  </si>
  <si>
    <t>Nome</t>
  </si>
  <si>
    <t>Milton</t>
  </si>
  <si>
    <t>Lima</t>
  </si>
  <si>
    <t>Brewster</t>
  </si>
  <si>
    <t>Mineral</t>
  </si>
  <si>
    <t>Salem</t>
  </si>
  <si>
    <t>Toowoomba</t>
  </si>
  <si>
    <t>Woodland</t>
  </si>
  <si>
    <t>Baradero</t>
  </si>
  <si>
    <t>Middlebury</t>
  </si>
  <si>
    <t>Nashik</t>
  </si>
  <si>
    <t>Wabash</t>
  </si>
  <si>
    <t>LIMA</t>
  </si>
  <si>
    <t>Jumeirah Lakes Towers</t>
  </si>
  <si>
    <t>Lathrop</t>
  </si>
  <si>
    <t>Mount Joy</t>
  </si>
  <si>
    <t>Indore</t>
  </si>
  <si>
    <t>Beni Suef</t>
  </si>
  <si>
    <t>Pelarco</t>
  </si>
  <si>
    <t>Hong Kong</t>
  </si>
  <si>
    <t>CALLAO</t>
  </si>
  <si>
    <t>PUENTE PIEDRA</t>
  </si>
  <si>
    <t>San Carlos de Bolivar</t>
  </si>
  <si>
    <t>Akdeniz</t>
  </si>
  <si>
    <t>Mykhailyky vill</t>
  </si>
  <si>
    <t>Bangalore</t>
  </si>
  <si>
    <t>Borzna</t>
  </si>
  <si>
    <t>Jodhpur</t>
  </si>
  <si>
    <t>Santa Cruz de la Sierra</t>
  </si>
  <si>
    <t>Beberibe</t>
  </si>
  <si>
    <t>Santa Cruz</t>
  </si>
  <si>
    <t>Rosario de La Frontera</t>
  </si>
  <si>
    <t>Dix Hills</t>
  </si>
  <si>
    <t>Lime Springs</t>
  </si>
  <si>
    <t>Piscataway</t>
  </si>
  <si>
    <t>Nonthaburi</t>
  </si>
  <si>
    <t>Lüleburgaz</t>
  </si>
  <si>
    <t>Ehnesia</t>
  </si>
  <si>
    <t>Borg Al-Arab</t>
  </si>
  <si>
    <t>Thorofare</t>
  </si>
  <si>
    <t>Albert Lea</t>
  </si>
  <si>
    <t>Dublin</t>
  </si>
  <si>
    <t>Genève</t>
  </si>
  <si>
    <t>Lucca</t>
  </si>
  <si>
    <t>Portland</t>
  </si>
  <si>
    <t>New Paris</t>
  </si>
  <si>
    <t>Irvine</t>
  </si>
  <si>
    <t>Vitória da Conquista</t>
  </si>
  <si>
    <t>La Invernada</t>
  </si>
  <si>
    <t>LOME</t>
  </si>
  <si>
    <t>Elko</t>
  </si>
  <si>
    <t>Schaumburg</t>
  </si>
  <si>
    <t>Louisa</t>
  </si>
  <si>
    <t>Alapaha</t>
  </si>
  <si>
    <t>Campana</t>
  </si>
  <si>
    <t>Alaca</t>
  </si>
  <si>
    <t>Alvada</t>
  </si>
  <si>
    <t>Petaluma</t>
  </si>
  <si>
    <t>Aurangabad</t>
  </si>
  <si>
    <t>SANTA CRUZ</t>
  </si>
  <si>
    <t>South Hackensack</t>
  </si>
  <si>
    <t>Srikakulam</t>
  </si>
  <si>
    <t>Paterson</t>
  </si>
  <si>
    <t>Cherokee</t>
  </si>
  <si>
    <t>Pembroke Pines</t>
  </si>
  <si>
    <t>Milwaukee</t>
  </si>
  <si>
    <t>Englewood Cliffs</t>
  </si>
  <si>
    <t>Sioux City</t>
  </si>
  <si>
    <t>New Ulm</t>
  </si>
  <si>
    <t>Muang Amnartcharoen</t>
  </si>
  <si>
    <t>Mueang</t>
  </si>
  <si>
    <t>Tempe</t>
  </si>
  <si>
    <t>Phnom Penh</t>
  </si>
  <si>
    <t>Aurangabad,</t>
  </si>
  <si>
    <t>San Juan Bautista</t>
  </si>
  <si>
    <t>Fortaleza</t>
  </si>
  <si>
    <t>Nam Tu Liem</t>
  </si>
  <si>
    <t>San Martin</t>
  </si>
  <si>
    <t>Dyersville</t>
  </si>
  <si>
    <t>Teton</t>
  </si>
  <si>
    <t>Dobbs Ferry</t>
  </si>
  <si>
    <t>AYACUCHO</t>
  </si>
  <si>
    <t>El Alto</t>
  </si>
  <si>
    <t>Pasco</t>
  </si>
  <si>
    <t>Ilhéus</t>
  </si>
  <si>
    <t>Madison</t>
  </si>
  <si>
    <t>TARMA</t>
  </si>
  <si>
    <t>FARWELL</t>
  </si>
  <si>
    <t>Brooklyn</t>
  </si>
  <si>
    <t>Malappuram</t>
  </si>
  <si>
    <t>Giza</t>
  </si>
  <si>
    <t>Dubai</t>
  </si>
  <si>
    <t>Sehitkamil</t>
  </si>
  <si>
    <t>Shelby</t>
  </si>
  <si>
    <t>Yuba City</t>
  </si>
  <si>
    <t>Harvey</t>
  </si>
  <si>
    <t>Casablanca</t>
  </si>
  <si>
    <t>Uruguaiana</t>
  </si>
  <si>
    <t>Casa Grande</t>
  </si>
  <si>
    <t>Dayton</t>
  </si>
  <si>
    <t>MERSİN</t>
  </si>
  <si>
    <t>Antsirabe</t>
  </si>
  <si>
    <t>Liberia</t>
  </si>
  <si>
    <t>West Sacramento</t>
  </si>
  <si>
    <t>Broadview</t>
  </si>
  <si>
    <t>Charlotte</t>
  </si>
  <si>
    <t>Buddha Nagar</t>
  </si>
  <si>
    <t>Fujairah</t>
  </si>
  <si>
    <t>Blagoveshchensk</t>
  </si>
  <si>
    <t>Moorhead</t>
  </si>
  <si>
    <t>Bellingham</t>
  </si>
  <si>
    <t>Oruro</t>
  </si>
  <si>
    <t>SATIPO</t>
  </si>
  <si>
    <t>POTOSI</t>
  </si>
  <si>
    <t>Vintuta</t>
  </si>
  <si>
    <t>LOCALIDAD MARKA AROMA</t>
  </si>
  <si>
    <t>La Tinta</t>
  </si>
  <si>
    <t>JUNIN</t>
  </si>
  <si>
    <t>Maimon</t>
  </si>
  <si>
    <t>Longmont</t>
  </si>
  <si>
    <t>Dalian</t>
  </si>
  <si>
    <t>Ambinan'Ankoalabe secteur 06</t>
  </si>
  <si>
    <t>Turlock</t>
  </si>
  <si>
    <t>Greenville</t>
  </si>
  <si>
    <t>Panjab</t>
  </si>
  <si>
    <t>San Isidro</t>
  </si>
  <si>
    <t>Linneus</t>
  </si>
  <si>
    <t>Orange</t>
  </si>
  <si>
    <t>San Jose</t>
  </si>
  <si>
    <t>Lurigancho</t>
  </si>
  <si>
    <t>Aluva</t>
  </si>
  <si>
    <t>Budaun</t>
  </si>
  <si>
    <t>Culver City</t>
  </si>
  <si>
    <t>Armenia</t>
  </si>
  <si>
    <t>Merkez</t>
  </si>
  <si>
    <t>Lancaster</t>
  </si>
  <si>
    <t>Brattleboro</t>
  </si>
  <si>
    <t>South Berwick</t>
  </si>
  <si>
    <t>Elsie</t>
  </si>
  <si>
    <t>Xiqing District</t>
  </si>
  <si>
    <t>Baicheng City</t>
  </si>
  <si>
    <t>Chino</t>
  </si>
  <si>
    <t>Thailand</t>
  </si>
  <si>
    <t>Thiès</t>
  </si>
  <si>
    <t>Shuangyashan City</t>
  </si>
  <si>
    <t>Bonanza</t>
  </si>
  <si>
    <t>Cedarvile</t>
  </si>
  <si>
    <t>Dolores</t>
  </si>
  <si>
    <t>Dripping Springs</t>
  </si>
  <si>
    <t>Aydın</t>
  </si>
  <si>
    <t>Jhabua</t>
  </si>
  <si>
    <t>Coldwater</t>
  </si>
  <si>
    <t>Addison</t>
  </si>
  <si>
    <t>Belgrade</t>
  </si>
  <si>
    <t>Bolingbrook</t>
  </si>
  <si>
    <t>White Plains</t>
  </si>
  <si>
    <t>Heihe City</t>
  </si>
  <si>
    <t>Jilin City</t>
  </si>
  <si>
    <t>Harbin City</t>
  </si>
  <si>
    <t>Beijing</t>
  </si>
  <si>
    <t>Modesto</t>
  </si>
  <si>
    <t>Hastings</t>
  </si>
  <si>
    <t>Saint Peter</t>
  </si>
  <si>
    <t>Beni</t>
  </si>
  <si>
    <t>Dorris</t>
  </si>
  <si>
    <t>Saint Paul</t>
  </si>
  <si>
    <t>Orland</t>
  </si>
  <si>
    <t>Larned</t>
  </si>
  <si>
    <t>Lindon</t>
  </si>
  <si>
    <t>Dallas, TX</t>
  </si>
  <si>
    <t>Ridgeway</t>
  </si>
  <si>
    <t>City of Industry</t>
  </si>
  <si>
    <t>Oxnard</t>
  </si>
  <si>
    <t>Oconomowoc</t>
  </si>
  <si>
    <t>Gastonia</t>
  </si>
  <si>
    <t>Sayre</t>
  </si>
  <si>
    <t>Fort Worth</t>
  </si>
  <si>
    <t>Petersburg</t>
  </si>
  <si>
    <t>KONYA</t>
  </si>
  <si>
    <t>63173 Tepic, Nayarit</t>
  </si>
  <si>
    <t>Lince</t>
  </si>
  <si>
    <t>V. Tazha</t>
  </si>
  <si>
    <t>Sheldon</t>
  </si>
  <si>
    <t>Dalian City</t>
  </si>
  <si>
    <t>Aouste-sur-Sye</t>
  </si>
  <si>
    <t>Realeza</t>
  </si>
  <si>
    <t>Kyiv</t>
  </si>
  <si>
    <t>Republic of Paraguay</t>
  </si>
  <si>
    <t>Tsimshatsui</t>
  </si>
  <si>
    <t>St-Augustin-de-Desmaures</t>
  </si>
  <si>
    <t>Rockland</t>
  </si>
  <si>
    <t>Peoria</t>
  </si>
  <si>
    <t>Niwot</t>
  </si>
  <si>
    <t>Palermo</t>
  </si>
  <si>
    <t>Bloomfield</t>
  </si>
  <si>
    <t>Fall River</t>
  </si>
  <si>
    <t>Forrestfield</t>
  </si>
  <si>
    <t>Ho Chi Minh City</t>
  </si>
  <si>
    <t>MIRAFLORES</t>
  </si>
  <si>
    <t>Detroit Lakes</t>
  </si>
  <si>
    <t>Winthrop</t>
  </si>
  <si>
    <t>Jeffersonville</t>
  </si>
  <si>
    <t>Webster City</t>
  </si>
  <si>
    <t>Milwaukie</t>
  </si>
  <si>
    <t>Waukegan</t>
  </si>
  <si>
    <t>Landing</t>
  </si>
  <si>
    <t>SAINT AUBAN SUR L'OUVEZE</t>
  </si>
  <si>
    <t>Commack</t>
  </si>
  <si>
    <t>Kingston</t>
  </si>
  <si>
    <t>Fairfield</t>
  </si>
  <si>
    <t>Carroll</t>
  </si>
  <si>
    <t>North Liberty</t>
  </si>
  <si>
    <t>Ottawa</t>
  </si>
  <si>
    <t>Clackamas</t>
  </si>
  <si>
    <t>Durango</t>
  </si>
  <si>
    <t>Toronto</t>
  </si>
  <si>
    <t>LAMESA</t>
  </si>
  <si>
    <t>Streamwood</t>
  </si>
  <si>
    <t>Béccar</t>
  </si>
  <si>
    <t>Millersburg</t>
  </si>
  <si>
    <t>Frankfort</t>
  </si>
  <si>
    <t>Junin</t>
  </si>
  <si>
    <t>Buriram</t>
  </si>
  <si>
    <t>Millington</t>
  </si>
  <si>
    <t>Mercersburg</t>
  </si>
  <si>
    <t>Mountain View</t>
  </si>
  <si>
    <t>Hamburg</t>
  </si>
  <si>
    <t>Mississauga</t>
  </si>
  <si>
    <t>Niles</t>
  </si>
  <si>
    <t>Cornish</t>
  </si>
  <si>
    <t>Clarkson</t>
  </si>
  <si>
    <t>Porto Alegre</t>
  </si>
  <si>
    <t>Madera</t>
  </si>
  <si>
    <t>Oakland</t>
  </si>
  <si>
    <t>Alameda</t>
  </si>
  <si>
    <t>Mecca</t>
  </si>
  <si>
    <t>Crookston</t>
  </si>
  <si>
    <t>La Mirada</t>
  </si>
  <si>
    <t>Winfield</t>
  </si>
  <si>
    <t>Dix</t>
  </si>
  <si>
    <t>San Salvador</t>
  </si>
  <si>
    <t>Rock Hill</t>
  </si>
  <si>
    <t>Upington</t>
  </si>
  <si>
    <t>Cashton</t>
  </si>
  <si>
    <t>Boardman</t>
  </si>
  <si>
    <t>Paihuano</t>
  </si>
  <si>
    <t>Trumansburg</t>
  </si>
  <si>
    <t>Ward Hill</t>
  </si>
  <si>
    <t>Clanwilliam</t>
  </si>
  <si>
    <t>Konak</t>
  </si>
  <si>
    <t>Chicago</t>
  </si>
  <si>
    <t>Collinston</t>
  </si>
  <si>
    <t>Logan</t>
  </si>
  <si>
    <t>Richmond</t>
  </si>
  <si>
    <t>Petrusburg</t>
  </si>
  <si>
    <t>York</t>
  </si>
  <si>
    <t>Hordville</t>
  </si>
  <si>
    <t>Oakdale</t>
  </si>
  <si>
    <t>Los Osos</t>
  </si>
  <si>
    <t>Tapachula</t>
  </si>
  <si>
    <t>Bangpa-in</t>
  </si>
  <si>
    <t>Sofia</t>
  </si>
  <si>
    <t>San Antonio</t>
  </si>
  <si>
    <t>Newport</t>
  </si>
  <si>
    <t>Negambo</t>
  </si>
  <si>
    <t>Hamilton City</t>
  </si>
  <si>
    <t>Willsboro</t>
  </si>
  <si>
    <t>Changchun</t>
  </si>
  <si>
    <t>Mudanjiang</t>
  </si>
  <si>
    <t>Harbin</t>
  </si>
  <si>
    <t>Suihua City</t>
  </si>
  <si>
    <t>Bancroft</t>
  </si>
  <si>
    <t>Zhangjiakou City</t>
  </si>
  <si>
    <t>Wengniute Banner, Chifeng City</t>
  </si>
  <si>
    <t>Tianjin City</t>
  </si>
  <si>
    <t>Hartington</t>
  </si>
  <si>
    <t>Bow</t>
  </si>
  <si>
    <t>Medley</t>
  </si>
  <si>
    <t>Bedford</t>
  </si>
  <si>
    <t>Upala</t>
  </si>
  <si>
    <t>Cozad</t>
  </si>
  <si>
    <t>El Sobrante</t>
  </si>
  <si>
    <t>Cohocton</t>
  </si>
  <si>
    <t>Springfield</t>
  </si>
  <si>
    <t>Mosca</t>
  </si>
  <si>
    <t>Great Falls</t>
  </si>
  <si>
    <t>Villa El Salvador</t>
  </si>
  <si>
    <t>Acatic</t>
  </si>
  <si>
    <t>Santiago</t>
  </si>
  <si>
    <t>Hiddenite</t>
  </si>
  <si>
    <t>La Paz</t>
  </si>
  <si>
    <t>LURIN</t>
  </si>
  <si>
    <t>Totowa</t>
  </si>
  <si>
    <t>Cuernavaca</t>
  </si>
  <si>
    <t>Manassas</t>
  </si>
  <si>
    <t>Vadodara</t>
  </si>
  <si>
    <t>Penn Yan</t>
  </si>
  <si>
    <t>Conway</t>
  </si>
  <si>
    <t>CAJAMARCA</t>
  </si>
  <si>
    <t>Igrapiúna</t>
  </si>
  <si>
    <t>La Dalía</t>
  </si>
  <si>
    <t>Sebewaing</t>
  </si>
  <si>
    <t>Elkton</t>
  </si>
  <si>
    <t>Ayacucho</t>
  </si>
  <si>
    <t>Vernon</t>
  </si>
  <si>
    <t>De Witt</t>
  </si>
  <si>
    <t>Sacaba</t>
  </si>
  <si>
    <t>Colta-Cajabamba, Chimborazo</t>
  </si>
  <si>
    <t>Marietta</t>
  </si>
  <si>
    <t>Homerville</t>
  </si>
  <si>
    <t>Crystal</t>
  </si>
  <si>
    <t>Ann Arbor</t>
  </si>
  <si>
    <t>Moses Lake</t>
  </si>
  <si>
    <t>Harlowton</t>
  </si>
  <si>
    <t>Ixonia</t>
  </si>
  <si>
    <t>Williamsport</t>
  </si>
  <si>
    <t>Ashton</t>
  </si>
  <si>
    <t>Kailua Kona</t>
  </si>
  <si>
    <t>Brunswick</t>
  </si>
  <si>
    <t>Foothill Ranch</t>
  </si>
  <si>
    <t>Jefferson</t>
  </si>
  <si>
    <t>Norcatur</t>
  </si>
  <si>
    <t>Northville</t>
  </si>
  <si>
    <t>Hagerstown</t>
  </si>
  <si>
    <t>Laverton North</t>
  </si>
  <si>
    <t>Raisen</t>
  </si>
  <si>
    <t>New York</t>
  </si>
  <si>
    <t>New Bedford</t>
  </si>
  <si>
    <t>Brisbane</t>
  </si>
  <si>
    <t>Ridgefield</t>
  </si>
  <si>
    <t>Bronx</t>
  </si>
  <si>
    <t>Coimbatore</t>
  </si>
  <si>
    <t>Carrington</t>
  </si>
  <si>
    <t>Kimball</t>
  </si>
  <si>
    <t>Fargo</t>
  </si>
  <si>
    <t>Avella</t>
  </si>
  <si>
    <t>Liaoning Province</t>
  </si>
  <si>
    <t>Dalian City, Liaoning Province</t>
  </si>
  <si>
    <t>Meihekou City</t>
  </si>
  <si>
    <t>Ongniud Banner, Inner Mongolia</t>
  </si>
  <si>
    <t>Dalian city</t>
  </si>
  <si>
    <t>DALIAN CITY</t>
  </si>
  <si>
    <t>Jixi</t>
  </si>
  <si>
    <t>Dalian, Liaoning Province</t>
  </si>
  <si>
    <t>Chifeng city</t>
  </si>
  <si>
    <t>Chifeng City</t>
  </si>
  <si>
    <t>Inner Mongolia Autonomous Region</t>
  </si>
  <si>
    <t>Dalian Free Trade Zone</t>
  </si>
  <si>
    <t>Dalilan</t>
  </si>
  <si>
    <t>Inner Mogolia Province</t>
  </si>
  <si>
    <t>Newark</t>
  </si>
  <si>
    <t>Fresno</t>
  </si>
  <si>
    <t>St. Ansgar</t>
  </si>
  <si>
    <t>Berlin</t>
  </si>
  <si>
    <t>Hegins</t>
  </si>
  <si>
    <t>Kutztown</t>
  </si>
  <si>
    <t>Fredericktown</t>
  </si>
  <si>
    <t>Valentine</t>
  </si>
  <si>
    <t>Daqing City</t>
  </si>
  <si>
    <t>Chu Lun Haoretsu Hemu</t>
  </si>
  <si>
    <t>State of Gujarāt</t>
  </si>
  <si>
    <t>Datong City</t>
  </si>
  <si>
    <t>Lenora</t>
  </si>
  <si>
    <t>Fenwick</t>
  </si>
  <si>
    <t>Spearman</t>
  </si>
  <si>
    <t>Myerstown</t>
  </si>
  <si>
    <t>Singapore</t>
  </si>
  <si>
    <t>Danielsville</t>
  </si>
  <si>
    <t>East Troy</t>
  </si>
  <si>
    <t>West Coxsackie</t>
  </si>
  <si>
    <t>Dalhart</t>
  </si>
  <si>
    <t>West Salem</t>
  </si>
  <si>
    <t>Whiteford</t>
  </si>
  <si>
    <t>Freeland</t>
  </si>
  <si>
    <t>Deland</t>
  </si>
  <si>
    <t>San Miguel de Tucuman</t>
  </si>
  <si>
    <t>Harbor City</t>
  </si>
  <si>
    <t>Mersin</t>
  </si>
  <si>
    <t>Jalisco</t>
  </si>
  <si>
    <t>Jhabrera</t>
  </si>
  <si>
    <t>Dezhou</t>
  </si>
  <si>
    <t>St. Johns</t>
  </si>
  <si>
    <t>Five Points</t>
  </si>
  <si>
    <t>Cortazar</t>
  </si>
  <si>
    <t>Varna</t>
  </si>
  <si>
    <t>Columbiaville</t>
  </si>
  <si>
    <t>Orrville</t>
  </si>
  <si>
    <t>San José de los Cerrillos</t>
  </si>
  <si>
    <t>Beaumont</t>
  </si>
  <si>
    <t>West Palm Beach</t>
  </si>
  <si>
    <t>Boston</t>
  </si>
  <si>
    <t>Big Springs</t>
  </si>
  <si>
    <t>Pine Bluffs</t>
  </si>
  <si>
    <t>Paicines</t>
  </si>
  <si>
    <t>Murtaugh</t>
  </si>
  <si>
    <t>Gap</t>
  </si>
  <si>
    <t>Evansville</t>
  </si>
  <si>
    <t>Mills River</t>
  </si>
  <si>
    <t>Jaipur</t>
  </si>
  <si>
    <t>New Hope</t>
  </si>
  <si>
    <t>La Crosse</t>
  </si>
  <si>
    <t>Ijuí</t>
  </si>
  <si>
    <t>Lisbon</t>
  </si>
  <si>
    <t>Dunhua City</t>
  </si>
  <si>
    <t>Elizabethtown</t>
  </si>
  <si>
    <t>St. Louis</t>
  </si>
  <si>
    <t>Fielding</t>
  </si>
  <si>
    <t>Wilseyville</t>
  </si>
  <si>
    <t>Panora</t>
  </si>
  <si>
    <t>Naples</t>
  </si>
  <si>
    <t>Durham</t>
  </si>
  <si>
    <t>Burlington</t>
  </si>
  <si>
    <t>Redmond</t>
  </si>
  <si>
    <t>Raisen-Madhya</t>
  </si>
  <si>
    <t>Tehsil &amp; District: Sonepat</t>
  </si>
  <si>
    <t>Merrill</t>
  </si>
  <si>
    <t>Eaton</t>
  </si>
  <si>
    <t>Detroit</t>
  </si>
  <si>
    <t>Benicia</t>
  </si>
  <si>
    <t>Sparta</t>
  </si>
  <si>
    <t>Fortuna</t>
  </si>
  <si>
    <t>Faiyum</t>
  </si>
  <si>
    <t>ADIYAMAN</t>
  </si>
  <si>
    <t>Clifton</t>
  </si>
  <si>
    <t>Spring Grove</t>
  </si>
  <si>
    <t>Noida</t>
  </si>
  <si>
    <t>Fort Collins</t>
  </si>
  <si>
    <t>Enbek village</t>
  </si>
  <si>
    <t>Haenam-gun</t>
  </si>
  <si>
    <t>ANDRÉS AVELINO CÁCERES</t>
  </si>
  <si>
    <t>Cochabamba</t>
  </si>
  <si>
    <t>Miami</t>
  </si>
  <si>
    <t>Icheon-si</t>
  </si>
  <si>
    <t>Live Oak</t>
  </si>
  <si>
    <t>Shoshone</t>
  </si>
  <si>
    <t>Prijepolje</t>
  </si>
  <si>
    <t>Yerba Buena</t>
  </si>
  <si>
    <t>Malvern</t>
  </si>
  <si>
    <t>Xi'an</t>
  </si>
  <si>
    <t>Amstetten</t>
  </si>
  <si>
    <t>SUNGAI PETANI</t>
  </si>
  <si>
    <t>St. Henry</t>
  </si>
  <si>
    <t>Seaforth</t>
  </si>
  <si>
    <t>Medley, Miami</t>
  </si>
  <si>
    <t>Unionville</t>
  </si>
  <si>
    <t>Chachoengsao</t>
  </si>
  <si>
    <t>Swanton</t>
  </si>
  <si>
    <t>Stewart</t>
  </si>
  <si>
    <t>Royal Oaks</t>
  </si>
  <si>
    <t>Murdock</t>
  </si>
  <si>
    <t>Hotchkiss</t>
  </si>
  <si>
    <t>Ottosen</t>
  </si>
  <si>
    <t>Unjha</t>
  </si>
  <si>
    <t>Dalton</t>
  </si>
  <si>
    <t>Sidney</t>
  </si>
  <si>
    <t>Cotia</t>
  </si>
  <si>
    <t>Tianjin Pilot Free Trade Zone (Tianjin Port Free Trade Zone)</t>
  </si>
  <si>
    <t>Jacksonville</t>
  </si>
  <si>
    <t>Eaton Rapids</t>
  </si>
  <si>
    <t>PIURA</t>
  </si>
  <si>
    <t>Sarata district</t>
  </si>
  <si>
    <t>Chimacum</t>
  </si>
  <si>
    <t>Kemalpaşa</t>
  </si>
  <si>
    <t>Yale</t>
  </si>
  <si>
    <t>Haxtun</t>
  </si>
  <si>
    <t>Dehradun</t>
  </si>
  <si>
    <t>ANTANANARIVO</t>
  </si>
  <si>
    <t>Challapata</t>
  </si>
  <si>
    <t>Montgomery</t>
  </si>
  <si>
    <t>Henderson</t>
  </si>
  <si>
    <t>West Jordan</t>
  </si>
  <si>
    <t>Auburn</t>
  </si>
  <si>
    <t>Qingdao City</t>
  </si>
  <si>
    <t>Anshan</t>
  </si>
  <si>
    <t>CASABLANCA</t>
  </si>
  <si>
    <t>Corona</t>
  </si>
  <si>
    <t>Cu Chi District</t>
  </si>
  <si>
    <t>A. Lue-Amnat</t>
  </si>
  <si>
    <t>Denio</t>
  </si>
  <si>
    <t>Summit</t>
  </si>
  <si>
    <t>Saxonburg</t>
  </si>
  <si>
    <t>Valencia</t>
  </si>
  <si>
    <t>Raynham</t>
  </si>
  <si>
    <t>Randolph</t>
  </si>
  <si>
    <t>MAYSVILLE</t>
  </si>
  <si>
    <t>Union City</t>
  </si>
  <si>
    <t>Pompano Beach</t>
  </si>
  <si>
    <t>Foxhome</t>
  </si>
  <si>
    <t>San Rafael</t>
  </si>
  <si>
    <t>Sanming City</t>
  </si>
  <si>
    <t>Fujin City</t>
  </si>
  <si>
    <t>Guinda</t>
  </si>
  <si>
    <t>Shelton</t>
  </si>
  <si>
    <t>Lake City</t>
  </si>
  <si>
    <t>Soriano</t>
  </si>
  <si>
    <t>Nueva Palmira</t>
  </si>
  <si>
    <t>Mercedes</t>
  </si>
  <si>
    <t>Woodland Hills</t>
  </si>
  <si>
    <t>GUAMUCHIL</t>
  </si>
  <si>
    <t>Lanzhou</t>
  </si>
  <si>
    <t>Dingxi City</t>
  </si>
  <si>
    <t>Wuwei City</t>
  </si>
  <si>
    <t>New Holland</t>
  </si>
  <si>
    <t>Lockhart</t>
  </si>
  <si>
    <t>Palanpur</t>
  </si>
  <si>
    <t>East Aurora</t>
  </si>
  <si>
    <t>MAZATLAN</t>
  </si>
  <si>
    <t>Nakhonratchasima</t>
  </si>
  <si>
    <t>Minneapolis</t>
  </si>
  <si>
    <t>Amphur Si-khiu</t>
  </si>
  <si>
    <t>Ord</t>
  </si>
  <si>
    <t>Penn</t>
  </si>
  <si>
    <t>Zillah</t>
  </si>
  <si>
    <t>Cazenovia</t>
  </si>
  <si>
    <t>Maharashtra</t>
  </si>
  <si>
    <t>Carson</t>
  </si>
  <si>
    <t>Wilmington</t>
  </si>
  <si>
    <t>S. San Francisco</t>
  </si>
  <si>
    <t>West Haven</t>
  </si>
  <si>
    <t>Taylorville</t>
  </si>
  <si>
    <t>Edison</t>
  </si>
  <si>
    <t>Warrenville</t>
  </si>
  <si>
    <t>Sparks</t>
  </si>
  <si>
    <t>Sioux Falls</t>
  </si>
  <si>
    <t>King of Prussia</t>
  </si>
  <si>
    <t>Hereford</t>
  </si>
  <si>
    <t>CABA</t>
  </si>
  <si>
    <t>Patan</t>
  </si>
  <si>
    <t>Santa Ana</t>
  </si>
  <si>
    <t>Hyattsville</t>
  </si>
  <si>
    <t>Denver</t>
  </si>
  <si>
    <t>Nunn</t>
  </si>
  <si>
    <t>Amphoe Mueang</t>
  </si>
  <si>
    <t>Del Valle</t>
  </si>
  <si>
    <t>Nara Visa</t>
  </si>
  <si>
    <t>Monte Vista</t>
  </si>
  <si>
    <t>Sharon Hill</t>
  </si>
  <si>
    <t>MARISCAL CACERES</t>
  </si>
  <si>
    <t>Rosebush</t>
  </si>
  <si>
    <t>Marquette</t>
  </si>
  <si>
    <t>Montreal</t>
  </si>
  <si>
    <t>Winnipeg</t>
  </si>
  <si>
    <t>Lyndhurst</t>
  </si>
  <si>
    <t>Kuala Lumpur</t>
  </si>
  <si>
    <t>Hiram</t>
  </si>
  <si>
    <t>LeRoy</t>
  </si>
  <si>
    <t>Ashkum</t>
  </si>
  <si>
    <t>Arion</t>
  </si>
  <si>
    <t>Menominee</t>
  </si>
  <si>
    <t>Leader</t>
  </si>
  <si>
    <t>Cochrane</t>
  </si>
  <si>
    <t>Vancouver</t>
  </si>
  <si>
    <t>Monee</t>
  </si>
  <si>
    <t>PARAKOU</t>
  </si>
  <si>
    <t>Bladen</t>
  </si>
  <si>
    <t>Sikar</t>
  </si>
  <si>
    <t>New Delhi</t>
  </si>
  <si>
    <t>Los Angeles</t>
  </si>
  <si>
    <t>Sanford</t>
  </si>
  <si>
    <t>Batavia</t>
  </si>
  <si>
    <t>New Wilmington</t>
  </si>
  <si>
    <t>Marlette</t>
  </si>
  <si>
    <t>Cerritos</t>
  </si>
  <si>
    <t>Hangdong</t>
  </si>
  <si>
    <t>Indianapolis</t>
  </si>
  <si>
    <t>UDAIPUR</t>
  </si>
  <si>
    <t>Bakersfield</t>
  </si>
  <si>
    <t>Thermal</t>
  </si>
  <si>
    <t>Tehachapi</t>
  </si>
  <si>
    <t>Lamont</t>
  </si>
  <si>
    <t>Rohnert Park</t>
  </si>
  <si>
    <t>Wellington</t>
  </si>
  <si>
    <t>Villa Allende</t>
  </si>
  <si>
    <t>ZAPOPAN</t>
  </si>
  <si>
    <t>Litchfield</t>
  </si>
  <si>
    <t>NANNING</t>
  </si>
  <si>
    <t>Ituberá</t>
  </si>
  <si>
    <t>Houston</t>
  </si>
  <si>
    <t>Hailun City</t>
  </si>
  <si>
    <t>Hoboken</t>
  </si>
  <si>
    <t>Wendouree</t>
  </si>
  <si>
    <t>Hangzhou City</t>
  </si>
  <si>
    <t>Hangzhou</t>
  </si>
  <si>
    <t>Kansas City</t>
  </si>
  <si>
    <t>Binzhou Town</t>
  </si>
  <si>
    <t>Harbin City,</t>
  </si>
  <si>
    <t>Bengaluru</t>
  </si>
  <si>
    <t>Anahuac</t>
  </si>
  <si>
    <t>Sri Ganganagar</t>
  </si>
  <si>
    <t>Centralia</t>
  </si>
  <si>
    <t>Regents Park</t>
  </si>
  <si>
    <t>Morristown</t>
  </si>
  <si>
    <t>Colombo 05.</t>
  </si>
  <si>
    <t>Valley City</t>
  </si>
  <si>
    <t>Watertown</t>
  </si>
  <si>
    <t>Luque</t>
  </si>
  <si>
    <t>McMinville</t>
  </si>
  <si>
    <t>Wenona</t>
  </si>
  <si>
    <t>Grand Rapids</t>
  </si>
  <si>
    <t>Kentwood</t>
  </si>
  <si>
    <t>Lincoln</t>
  </si>
  <si>
    <t>Marienthal</t>
  </si>
  <si>
    <t>Constantine</t>
  </si>
  <si>
    <t>Mount Vernon</t>
  </si>
  <si>
    <t>Jiamusi City</t>
  </si>
  <si>
    <t>Harbin city</t>
  </si>
  <si>
    <t>Baoqing County, Heilongjiang Province</t>
  </si>
  <si>
    <t>Suihua</t>
  </si>
  <si>
    <t>Yingchun Town</t>
  </si>
  <si>
    <t>Hailun City, Helongjiang Province</t>
  </si>
  <si>
    <t>Qiqihar City</t>
  </si>
  <si>
    <t>Keshan County, Qigihar City</t>
  </si>
  <si>
    <t>TOCANCIPA</t>
  </si>
  <si>
    <t>Orlando</t>
  </si>
  <si>
    <t>Lake Odessa</t>
  </si>
  <si>
    <t>Bordentown</t>
  </si>
  <si>
    <t>Sandy Springs</t>
  </si>
  <si>
    <t>Pound Ridge</t>
  </si>
  <si>
    <t>Dove Creek</t>
  </si>
  <si>
    <t>Reno</t>
  </si>
  <si>
    <t>Welcome</t>
  </si>
  <si>
    <t>Chamoli</t>
  </si>
  <si>
    <t>Jammu</t>
  </si>
  <si>
    <t>Lalitpur</t>
  </si>
  <si>
    <t>Luckey</t>
  </si>
  <si>
    <t>Alpena</t>
  </si>
  <si>
    <t>Tai Van Village, Tran De District</t>
  </si>
  <si>
    <t>Thanh Phu</t>
  </si>
  <si>
    <t>Cortez</t>
  </si>
  <si>
    <t>İSTANBUL</t>
  </si>
  <si>
    <t>Uttar Pradesh</t>
  </si>
  <si>
    <t>Grenada</t>
  </si>
  <si>
    <t>Delta</t>
  </si>
  <si>
    <t>Honeyville</t>
  </si>
  <si>
    <t>Qitaihe</t>
  </si>
  <si>
    <t>Hope</t>
  </si>
  <si>
    <t>Wolnzach</t>
  </si>
  <si>
    <t>Jiamatu Town, Horqin Left Middle Banner, Tongliao City</t>
  </si>
  <si>
    <t>Garden Grove</t>
  </si>
  <si>
    <t>Colbún</t>
  </si>
  <si>
    <t>Ancramdale</t>
  </si>
  <si>
    <t>Milton-Freewater</t>
  </si>
  <si>
    <t>Jinshi City</t>
  </si>
  <si>
    <t>Changsha City</t>
  </si>
  <si>
    <t>Narvon</t>
  </si>
  <si>
    <t>Mabel</t>
  </si>
  <si>
    <t>Lake Success</t>
  </si>
  <si>
    <t>PHNOM PENH</t>
  </si>
  <si>
    <t>Batman</t>
  </si>
  <si>
    <t>Boulder</t>
  </si>
  <si>
    <t>Sanger</t>
  </si>
  <si>
    <t>Sandusky</t>
  </si>
  <si>
    <t>Yumbo</t>
  </si>
  <si>
    <t>Northlake</t>
  </si>
  <si>
    <t>LIMA - LIMA – LURIGANCHO</t>
  </si>
  <si>
    <t>Ambato</t>
  </si>
  <si>
    <t>Athens</t>
  </si>
  <si>
    <t>Xaybuly</t>
  </si>
  <si>
    <t>SANGOLQUÍ</t>
  </si>
  <si>
    <t>Winnsboro</t>
  </si>
  <si>
    <t>Guadalajara,</t>
  </si>
  <si>
    <t>Cape Girardeau</t>
  </si>
  <si>
    <t>Hohhot</t>
  </si>
  <si>
    <t>Bayannur</t>
  </si>
  <si>
    <t>Huntington Beach</t>
  </si>
  <si>
    <t>Bedford Park</t>
  </si>
  <si>
    <t>Fort Lauderdale</t>
  </si>
  <si>
    <t>SANTA CRUZ DE TENERIFE</t>
  </si>
  <si>
    <t>Hamilton</t>
  </si>
  <si>
    <t>Itarsi, Narmadapuram</t>
  </si>
  <si>
    <t>Guntur</t>
  </si>
  <si>
    <t>Mhow, Indore</t>
  </si>
  <si>
    <t>İZMİR</t>
  </si>
  <si>
    <t>Artois</t>
  </si>
  <si>
    <t>Hopkins</t>
  </si>
  <si>
    <t>Patterson</t>
  </si>
  <si>
    <t>Honey Brook</t>
  </si>
  <si>
    <t>Oceanside</t>
  </si>
  <si>
    <t>panchayat,bagwaniya,Semalda,Dharampuri</t>
  </si>
  <si>
    <t>Palsud, Barwani</t>
  </si>
  <si>
    <t>Jalgaon</t>
  </si>
  <si>
    <t>Kota</t>
  </si>
  <si>
    <t>Kurukshetra</t>
  </si>
  <si>
    <t>Lewisburg</t>
  </si>
  <si>
    <t>PEGOMAS</t>
  </si>
  <si>
    <t>Chhindwāra</t>
  </si>
  <si>
    <t>Ernākulam</t>
  </si>
  <si>
    <t>Gravity</t>
  </si>
  <si>
    <t>Minden City</t>
  </si>
  <si>
    <t>Moorland</t>
  </si>
  <si>
    <t>Morris</t>
  </si>
  <si>
    <t>Auburndale</t>
  </si>
  <si>
    <t>Torrance</t>
  </si>
  <si>
    <t>Jiayin County, Yichun City, Heilongjiang Province</t>
  </si>
  <si>
    <t>Siping City</t>
  </si>
  <si>
    <t>Ningjiang District, Songyuan City, Jilin Province</t>
  </si>
  <si>
    <t>Songyuan City, Jilin Province</t>
  </si>
  <si>
    <t>Baicheng City, Jilin Province</t>
  </si>
  <si>
    <t>Firebaugh</t>
  </si>
  <si>
    <t>Kinross</t>
  </si>
  <si>
    <t>Milford</t>
  </si>
  <si>
    <t>Lakeville</t>
  </si>
  <si>
    <t>Parkesburg</t>
  </si>
  <si>
    <t>Ovid</t>
  </si>
  <si>
    <t>Scobey</t>
  </si>
  <si>
    <t>Barron</t>
  </si>
  <si>
    <t>North Stonington</t>
  </si>
  <si>
    <t>Hermiston</t>
  </si>
  <si>
    <t>Tijucas</t>
  </si>
  <si>
    <t>Guadalajara</t>
  </si>
  <si>
    <t>KHARGONE</t>
  </si>
  <si>
    <t>Bellevue</t>
  </si>
  <si>
    <t>Kwara</t>
  </si>
  <si>
    <t>Upper Sandusky</t>
  </si>
  <si>
    <t>Carey</t>
  </si>
  <si>
    <t>Tierra Colorada</t>
  </si>
  <si>
    <t>Lankin</t>
  </si>
  <si>
    <t>Laurel</t>
  </si>
  <si>
    <t>Des Moines</t>
  </si>
  <si>
    <t>Mer Rouge</t>
  </si>
  <si>
    <t>Bayonne</t>
  </si>
  <si>
    <t>Bernville</t>
  </si>
  <si>
    <t>Shanghai</t>
  </si>
  <si>
    <t>Tongliao City, Inner Mongolia</t>
  </si>
  <si>
    <t>Marysville</t>
  </si>
  <si>
    <t>T. Bungnium</t>
  </si>
  <si>
    <t>Surin</t>
  </si>
  <si>
    <t>White River Junction</t>
  </si>
  <si>
    <t>Muang Samut Sakhon</t>
  </si>
  <si>
    <t>Graafwater</t>
  </si>
  <si>
    <t>Kingsbury</t>
  </si>
  <si>
    <t>Vista</t>
  </si>
  <si>
    <t>Gangoni</t>
  </si>
  <si>
    <t>Unjah</t>
  </si>
  <si>
    <t>Wiggins</t>
  </si>
  <si>
    <t>South Dos Palos</t>
  </si>
  <si>
    <t>Cochise</t>
  </si>
  <si>
    <t>Sonipat</t>
  </si>
  <si>
    <t>Burgettstown</t>
  </si>
  <si>
    <t>Kreamer</t>
  </si>
  <si>
    <t>Thawatburi Distric</t>
  </si>
  <si>
    <t>West Bend</t>
  </si>
  <si>
    <t>Cersco</t>
  </si>
  <si>
    <t>Fengcheng City</t>
  </si>
  <si>
    <t>Raleigh</t>
  </si>
  <si>
    <t>King City</t>
  </si>
  <si>
    <t>Dingo</t>
  </si>
  <si>
    <t>Creighton</t>
  </si>
  <si>
    <t>Los Charruas</t>
  </si>
  <si>
    <t>St-Jean-sur-Richelieu</t>
  </si>
  <si>
    <t>Silver Spring</t>
  </si>
  <si>
    <t>Los Cardales, Exaltación de la Cruz</t>
  </si>
  <si>
    <t>Santa Rosa</t>
  </si>
  <si>
    <t>Alberti</t>
  </si>
  <si>
    <t>Castelbelforte</t>
  </si>
  <si>
    <t>Middletown</t>
  </si>
  <si>
    <t>Chesaning</t>
  </si>
  <si>
    <t>Chestertown</t>
  </si>
  <si>
    <t>Stowell</t>
  </si>
  <si>
    <t>Chiang Mai-Lampang Rd.</t>
  </si>
  <si>
    <t>Mt Vernon</t>
  </si>
  <si>
    <t>Hallandale</t>
  </si>
  <si>
    <t>Palmyra</t>
  </si>
  <si>
    <t>Lehi</t>
  </si>
  <si>
    <t>Mesa</t>
  </si>
  <si>
    <t>Lewiston</t>
  </si>
  <si>
    <t>Tieling City</t>
  </si>
  <si>
    <t>Huludao City</t>
  </si>
  <si>
    <t>Deer Park</t>
  </si>
  <si>
    <t>Dezhou City</t>
  </si>
  <si>
    <t>Unity</t>
  </si>
  <si>
    <t>Berkeley</t>
  </si>
  <si>
    <t>Sagle</t>
  </si>
  <si>
    <t>Kronshtadtsky Boulevard</t>
  </si>
  <si>
    <t>Sursko-Mykhailivka village</t>
  </si>
  <si>
    <t>v. Vypasnoe, Dnestrovsk district</t>
  </si>
  <si>
    <t>Nadiivka v.</t>
  </si>
  <si>
    <t>Solone v.</t>
  </si>
  <si>
    <t>North Kazakhstan</t>
  </si>
  <si>
    <t>Carlisle</t>
  </si>
  <si>
    <t>Zhanghua County</t>
  </si>
  <si>
    <t>Northfield</t>
  </si>
  <si>
    <t>Elkhorn</t>
  </si>
  <si>
    <t>Fairbury</t>
  </si>
  <si>
    <t>Ternopil area</t>
  </si>
  <si>
    <t>Tay Ninh City</t>
  </si>
  <si>
    <t>Newcastle</t>
  </si>
  <si>
    <t>Richvale</t>
  </si>
  <si>
    <t>Lynchburg</t>
  </si>
  <si>
    <t>Staten Island</t>
  </si>
  <si>
    <t>Khargone</t>
  </si>
  <si>
    <t>Boulogne</t>
  </si>
  <si>
    <t>Selangor</t>
  </si>
  <si>
    <t>Mahisagar</t>
  </si>
  <si>
    <t>ATE</t>
  </si>
  <si>
    <t>Skowhegan</t>
  </si>
  <si>
    <t>Malin</t>
  </si>
  <si>
    <t>Balıkesir</t>
  </si>
  <si>
    <t>Sonoma</t>
  </si>
  <si>
    <t>Mallanganee</t>
  </si>
  <si>
    <t>San Leandro</t>
  </si>
  <si>
    <t>Una</t>
  </si>
  <si>
    <t>Byron</t>
  </si>
  <si>
    <t>Newton</t>
  </si>
  <si>
    <t>Seymour</t>
  </si>
  <si>
    <t>Edisto Island</t>
  </si>
  <si>
    <t>Seattle</t>
  </si>
  <si>
    <t>Lynden</t>
  </si>
  <si>
    <t>S. Deerfield</t>
  </si>
  <si>
    <t>Sayla</t>
  </si>
  <si>
    <t>Sedalia</t>
  </si>
  <si>
    <t>Mumbai Suburban</t>
  </si>
  <si>
    <t>Apple Creek</t>
  </si>
  <si>
    <t>Klamath Falls</t>
  </si>
  <si>
    <t>Tunis</t>
  </si>
  <si>
    <t>Kaeng Khro</t>
  </si>
  <si>
    <t>Gautam Buddha Nagar</t>
  </si>
  <si>
    <t>Merna</t>
  </si>
  <si>
    <t>Olivehurst</t>
  </si>
  <si>
    <t>Nova</t>
  </si>
  <si>
    <t>Middleton</t>
  </si>
  <si>
    <t>Steele</t>
  </si>
  <si>
    <t>Lawrence</t>
  </si>
  <si>
    <t>Romulus</t>
  </si>
  <si>
    <t>Macomb</t>
  </si>
  <si>
    <t>Woodbridge</t>
  </si>
  <si>
    <t>Goiânia</t>
  </si>
  <si>
    <t>Goianira</t>
  </si>
  <si>
    <t>Wautoma</t>
  </si>
  <si>
    <t>Brookings</t>
  </si>
  <si>
    <t>Enders</t>
  </si>
  <si>
    <t>Ahmedabad</t>
  </si>
  <si>
    <t>Bethlehem</t>
  </si>
  <si>
    <t>Holmesville</t>
  </si>
  <si>
    <t>Dickinson</t>
  </si>
  <si>
    <t>Ontario</t>
  </si>
  <si>
    <t>Bunbong -Tamale</t>
  </si>
  <si>
    <t>PUEBLO LIBRE</t>
  </si>
  <si>
    <t>Albion</t>
  </si>
  <si>
    <t>Watsonville</t>
  </si>
  <si>
    <t>Belding</t>
  </si>
  <si>
    <t>Zárate</t>
  </si>
  <si>
    <t>Emeryville</t>
  </si>
  <si>
    <t>Tonopah</t>
  </si>
  <si>
    <t>Fort Benton</t>
  </si>
  <si>
    <t>Chengalpattu</t>
  </si>
  <si>
    <t>Union</t>
  </si>
  <si>
    <t>Roseville</t>
  </si>
  <si>
    <t>Arundel</t>
  </si>
  <si>
    <t>Morral</t>
  </si>
  <si>
    <t>Barnet</t>
  </si>
  <si>
    <t>Cheyenne</t>
  </si>
  <si>
    <t>Murrieta</t>
  </si>
  <si>
    <t>Wellsville</t>
  </si>
  <si>
    <t>New Milford</t>
  </si>
  <si>
    <t>Paso Robles</t>
  </si>
  <si>
    <t>Navarre</t>
  </si>
  <si>
    <t>Loda</t>
  </si>
  <si>
    <t>Mumbai</t>
  </si>
  <si>
    <t>Tampa</t>
  </si>
  <si>
    <t>Maspeth</t>
  </si>
  <si>
    <t>Easley</t>
  </si>
  <si>
    <t>Manteca</t>
  </si>
  <si>
    <t>Hatfield</t>
  </si>
  <si>
    <t>Nam Om, Korwang</t>
  </si>
  <si>
    <t>Paramount</t>
  </si>
  <si>
    <t>Sequim</t>
  </si>
  <si>
    <t>Arlington</t>
  </si>
  <si>
    <t>Decatur</t>
  </si>
  <si>
    <t>Guttenberg</t>
  </si>
  <si>
    <t>Whitehall</t>
  </si>
  <si>
    <t>Toledo</t>
  </si>
  <si>
    <t>LIMA - LIMA - SAN MIGUEL</t>
  </si>
  <si>
    <t>Blanca</t>
  </si>
  <si>
    <t>Northview</t>
  </si>
  <si>
    <t>Sacramento</t>
  </si>
  <si>
    <t>Middle River</t>
  </si>
  <si>
    <t>Princeton</t>
  </si>
  <si>
    <t>Botucatu</t>
  </si>
  <si>
    <t>Battle Ground</t>
  </si>
  <si>
    <t>Panipat</t>
  </si>
  <si>
    <t>Blaine</t>
  </si>
  <si>
    <t>Sussex</t>
  </si>
  <si>
    <t>Glenashley, KZN</t>
  </si>
  <si>
    <t>Nenjiang City</t>
  </si>
  <si>
    <t>Nevada</t>
  </si>
  <si>
    <t>New Deal</t>
  </si>
  <si>
    <t>Boca Raton</t>
  </si>
  <si>
    <t>Greenfield</t>
  </si>
  <si>
    <t>Burlingame</t>
  </si>
  <si>
    <t>La Puente</t>
  </si>
  <si>
    <t>Cranford</t>
  </si>
  <si>
    <t>Ames</t>
  </si>
  <si>
    <t>BANGKHEN</t>
  </si>
  <si>
    <t>Muang District</t>
  </si>
  <si>
    <t>Adamstown</t>
  </si>
  <si>
    <t>Pleasantville</t>
  </si>
  <si>
    <t>Kolar</t>
  </si>
  <si>
    <t>Yinchuan City</t>
  </si>
  <si>
    <t>Madhya Pradesh</t>
  </si>
  <si>
    <t>A. Rashesarai</t>
  </si>
  <si>
    <t>Minnetonka</t>
  </si>
  <si>
    <t>Tappen</t>
  </si>
  <si>
    <t>Rochester</t>
  </si>
  <si>
    <t>Walla Walla</t>
  </si>
  <si>
    <t>Bloomingdale</t>
  </si>
  <si>
    <t>Scott City</t>
  </si>
  <si>
    <t>Boise</t>
  </si>
  <si>
    <t>Little Falls</t>
  </si>
  <si>
    <t>Hi-Tech Zone Xi'an</t>
  </si>
  <si>
    <t>Regina</t>
  </si>
  <si>
    <t>Camden</t>
  </si>
  <si>
    <t>Livingston</t>
  </si>
  <si>
    <t>İzmir</t>
  </si>
  <si>
    <t>Ciudad de México</t>
  </si>
  <si>
    <t>Antananarivo</t>
  </si>
  <si>
    <t>Hill City</t>
  </si>
  <si>
    <t>Pleasant Prairie</t>
  </si>
  <si>
    <t>Venango</t>
  </si>
  <si>
    <t>New Sweden</t>
  </si>
  <si>
    <t>Frenchtown</t>
  </si>
  <si>
    <t>O'Neill</t>
  </si>
  <si>
    <t>Beranang Selangor</t>
  </si>
  <si>
    <t>Mariano Roque Alonso</t>
  </si>
  <si>
    <t>Barabanki</t>
  </si>
  <si>
    <t>Hamīrpur</t>
  </si>
  <si>
    <t>Eureka</t>
  </si>
  <si>
    <t>North Bend</t>
  </si>
  <si>
    <t>Rockville</t>
  </si>
  <si>
    <t>Spring</t>
  </si>
  <si>
    <t>Tomball</t>
  </si>
  <si>
    <t>Tikamgarh</t>
  </si>
  <si>
    <t>Xi'an City</t>
  </si>
  <si>
    <t>Da Lat</t>
  </si>
  <si>
    <t>Ramagundam</t>
  </si>
  <si>
    <t>Beşiktaş</t>
  </si>
  <si>
    <t>Courpière</t>
  </si>
  <si>
    <t>Orinda</t>
  </si>
  <si>
    <t>Buca</t>
  </si>
  <si>
    <t>Flemington</t>
  </si>
  <si>
    <t>Warsaw</t>
  </si>
  <si>
    <t>Moerkapelle</t>
  </si>
  <si>
    <t>Chhindwara</t>
  </si>
  <si>
    <t>Mooresville</t>
  </si>
  <si>
    <t>New York Mills</t>
  </si>
  <si>
    <t>Bang Nam Chuet</t>
  </si>
  <si>
    <t>DAWN</t>
  </si>
  <si>
    <t>Montevideo</t>
  </si>
  <si>
    <t>Pune</t>
  </si>
  <si>
    <t>Panjin city</t>
  </si>
  <si>
    <t>New Rochelle</t>
  </si>
  <si>
    <t>Bisbee</t>
  </si>
  <si>
    <t>Del Viso</t>
  </si>
  <si>
    <t>Stratford</t>
  </si>
  <si>
    <t>Versailles</t>
  </si>
  <si>
    <t>Rutledge</t>
  </si>
  <si>
    <t>Sumner</t>
  </si>
  <si>
    <t>Cervantes</t>
  </si>
  <si>
    <t>Selinsgrove</t>
  </si>
  <si>
    <t>Peermade</t>
  </si>
  <si>
    <t>Ternopil</t>
  </si>
  <si>
    <t>Sylvia</t>
  </si>
  <si>
    <t>Thoothukkudi</t>
  </si>
  <si>
    <t>Pehuajó</t>
  </si>
  <si>
    <t>Malta</t>
  </si>
  <si>
    <t>Phichit</t>
  </si>
  <si>
    <t>Maryland</t>
  </si>
  <si>
    <t>Hopkinsville</t>
  </si>
  <si>
    <t>Lumberton</t>
  </si>
  <si>
    <t>Kalamazoo</t>
  </si>
  <si>
    <t>Lurin</t>
  </si>
  <si>
    <t>Loretto</t>
  </si>
  <si>
    <t>Mountain Grove</t>
  </si>
  <si>
    <t>Tres Sargentos</t>
  </si>
  <si>
    <t>Chivilcoy</t>
  </si>
  <si>
    <t>San Antonio de Areco</t>
  </si>
  <si>
    <t>Carmen de Areco</t>
  </si>
  <si>
    <t>Gahan - Partido de Salto</t>
  </si>
  <si>
    <t>Bangalore Urban</t>
  </si>
  <si>
    <t>Anqiu City</t>
  </si>
  <si>
    <t>Muang</t>
  </si>
  <si>
    <t>Pescadero</t>
  </si>
  <si>
    <t>Omak</t>
  </si>
  <si>
    <t>São Borja</t>
  </si>
  <si>
    <t>Cuba City</t>
  </si>
  <si>
    <t>Amnartcharoen</t>
  </si>
  <si>
    <t>Kwaov Sinrin</t>
  </si>
  <si>
    <t>via Rolleston</t>
  </si>
  <si>
    <t>Pleasant Grove</t>
  </si>
  <si>
    <t>Maxwell</t>
  </si>
  <si>
    <t>Pathum Thani</t>
  </si>
  <si>
    <t>Crofton</t>
  </si>
  <si>
    <t>Delavan</t>
  </si>
  <si>
    <t>Vineyard</t>
  </si>
  <si>
    <t>Clovis</t>
  </si>
  <si>
    <t>San Pedro</t>
  </si>
  <si>
    <t>Havre</t>
  </si>
  <si>
    <t>Stamford</t>
  </si>
  <si>
    <t>Westby</t>
  </si>
  <si>
    <t>Florida</t>
  </si>
  <si>
    <t>Ramanagara</t>
  </si>
  <si>
    <t>Healdsburg</t>
  </si>
  <si>
    <t>Pillagumpa</t>
  </si>
  <si>
    <t>Chikkamagaluru</t>
  </si>
  <si>
    <t>Monterey</t>
  </si>
  <si>
    <t>Craftsbury</t>
  </si>
  <si>
    <t>Morelia</t>
  </si>
  <si>
    <t>Sabana Grande</t>
  </si>
  <si>
    <t>Monterrey</t>
  </si>
  <si>
    <t>Quito, Pichincha</t>
  </si>
  <si>
    <t>Maplewood</t>
  </si>
  <si>
    <t>Washington</t>
  </si>
  <si>
    <t>Othello</t>
  </si>
  <si>
    <t>Wray</t>
  </si>
  <si>
    <t>CIUDAD DE MEXICO</t>
  </si>
  <si>
    <t>Fullerton</t>
  </si>
  <si>
    <t>Gandhinagar</t>
  </si>
  <si>
    <t>Dawson</t>
  </si>
  <si>
    <t>Turtle Lake</t>
  </si>
  <si>
    <t>Irwindale</t>
  </si>
  <si>
    <t>Qingdao</t>
  </si>
  <si>
    <t>Laoshan District</t>
  </si>
  <si>
    <t>Mc Clave</t>
  </si>
  <si>
    <t>Caxias do Sul</t>
  </si>
  <si>
    <t>Cedar Creek</t>
  </si>
  <si>
    <t>Los Banos</t>
  </si>
  <si>
    <t>Momence,</t>
  </si>
  <si>
    <t>Momence</t>
  </si>
  <si>
    <t>Amritsar</t>
  </si>
  <si>
    <t>Sambava</t>
  </si>
  <si>
    <t>Albin</t>
  </si>
  <si>
    <t>Avaré</t>
  </si>
  <si>
    <t>Granada</t>
  </si>
  <si>
    <t>Mahesāna</t>
  </si>
  <si>
    <t>Jalor</t>
  </si>
  <si>
    <t>Unava</t>
  </si>
  <si>
    <t>Brown City</t>
  </si>
  <si>
    <t>Platteville</t>
  </si>
  <si>
    <t>Norfolk</t>
  </si>
  <si>
    <t>Milford Center</t>
  </si>
  <si>
    <t>Middlesex</t>
  </si>
  <si>
    <t>Closter</t>
  </si>
  <si>
    <t>Tulelake</t>
  </si>
  <si>
    <t>Ithaca</t>
  </si>
  <si>
    <t>Hanover</t>
  </si>
  <si>
    <t>Posa, Muang Angthong, Angthong</t>
  </si>
  <si>
    <t>Reedsburg</t>
  </si>
  <si>
    <t>Shakopee</t>
  </si>
  <si>
    <t>Riceville</t>
  </si>
  <si>
    <t>North York</t>
  </si>
  <si>
    <t>ALVIN</t>
  </si>
  <si>
    <t>Memphis</t>
  </si>
  <si>
    <t>Axtell</t>
  </si>
  <si>
    <t>Algona</t>
  </si>
  <si>
    <t>Sandy Hook</t>
  </si>
  <si>
    <t>Comstock</t>
  </si>
  <si>
    <t>Chilliwack</t>
  </si>
  <si>
    <t>Karachi</t>
  </si>
  <si>
    <t>Winters</t>
  </si>
  <si>
    <t>Lamar</t>
  </si>
  <si>
    <t>Prospect</t>
  </si>
  <si>
    <t>Kinights Landing</t>
  </si>
  <si>
    <t>Parkman</t>
  </si>
  <si>
    <t>Plevna</t>
  </si>
  <si>
    <t>Arcadia</t>
  </si>
  <si>
    <t>La Plata</t>
  </si>
  <si>
    <t>Sa Dec City</t>
  </si>
  <si>
    <t>Khandwa, East Nimar</t>
  </si>
  <si>
    <t>Little Rock</t>
  </si>
  <si>
    <t>Fairgrove</t>
  </si>
  <si>
    <t>Shimoga</t>
  </si>
  <si>
    <t>Dhule</t>
  </si>
  <si>
    <t>San Clemente</t>
  </si>
  <si>
    <t>Dewas</t>
  </si>
  <si>
    <t>Bharatpur</t>
  </si>
  <si>
    <t>Akola</t>
  </si>
  <si>
    <t>New London</t>
  </si>
  <si>
    <t>Udham Singh Nagar</t>
  </si>
  <si>
    <t>Greensboro</t>
  </si>
  <si>
    <t>Kings Park</t>
  </si>
  <si>
    <t>Sarasota</t>
  </si>
  <si>
    <t>Fort Myers</t>
  </si>
  <si>
    <t>Samba</t>
  </si>
  <si>
    <t>Navi Mumbai</t>
  </si>
  <si>
    <t>Casselton</t>
  </si>
  <si>
    <t>Veteran</t>
  </si>
  <si>
    <t>Brea</t>
  </si>
  <si>
    <t>Fruitland</t>
  </si>
  <si>
    <t>Concord</t>
  </si>
  <si>
    <t>Belle Glade</t>
  </si>
  <si>
    <t>Mauá da Serra</t>
  </si>
  <si>
    <t>Gokseong-gun,</t>
  </si>
  <si>
    <t>La Cocha</t>
  </si>
  <si>
    <t>San Diego</t>
  </si>
  <si>
    <t>Holland</t>
  </si>
  <si>
    <t>VANCouver</t>
  </si>
  <si>
    <t>SAN MARTIN</t>
  </si>
  <si>
    <t>Zibo Shi</t>
  </si>
  <si>
    <t>Pudong New Area</t>
  </si>
  <si>
    <t>Datong city</t>
  </si>
  <si>
    <t>Changzhi</t>
  </si>
  <si>
    <t>Yucca Valley</t>
  </si>
  <si>
    <t>Valsad</t>
  </si>
  <si>
    <t>Shenyang City</t>
  </si>
  <si>
    <t>Philadelphia</t>
  </si>
  <si>
    <t>Gandhwani, Dhar</t>
  </si>
  <si>
    <t>Dhar</t>
  </si>
  <si>
    <t>Pachora</t>
  </si>
  <si>
    <t>Mundra</t>
  </si>
  <si>
    <t>Mianyang City</t>
  </si>
  <si>
    <t>Leshan</t>
  </si>
  <si>
    <t>Kolhapur</t>
  </si>
  <si>
    <t>Zion</t>
  </si>
  <si>
    <t>GAZİANTEP</t>
  </si>
  <si>
    <t>Lansdowne</t>
  </si>
  <si>
    <t>El Alto/La Paz</t>
  </si>
  <si>
    <t>Maple Grove</t>
  </si>
  <si>
    <t>Dibrugarh, Assam</t>
  </si>
  <si>
    <t>Phuttha Monthon</t>
  </si>
  <si>
    <t>Dundas</t>
  </si>
  <si>
    <t>West Chester</t>
  </si>
  <si>
    <t>South Brunswick</t>
  </si>
  <si>
    <t>Ben Arous</t>
  </si>
  <si>
    <t>Tiassalé - Abidjan</t>
  </si>
  <si>
    <t>Sfax</t>
  </si>
  <si>
    <t>Fès</t>
  </si>
  <si>
    <t>Kandy</t>
  </si>
  <si>
    <t>Commerce City</t>
  </si>
  <si>
    <t>Kampala</t>
  </si>
  <si>
    <t>Itubera</t>
  </si>
  <si>
    <t>General Madariaga</t>
  </si>
  <si>
    <t>Weiner</t>
  </si>
  <si>
    <t>Toowong</t>
  </si>
  <si>
    <t>Brinkley</t>
  </si>
  <si>
    <t>AL Hamra Industrial Zone-FZ</t>
  </si>
  <si>
    <t>Willis</t>
  </si>
  <si>
    <t>Elgin</t>
  </si>
  <si>
    <t>St Ansgar</t>
  </si>
  <si>
    <t>Agraciada</t>
  </si>
  <si>
    <t>Beemer</t>
  </si>
  <si>
    <t>Palo Alto</t>
  </si>
  <si>
    <t>Anguo City</t>
  </si>
  <si>
    <t>Fort Jones</t>
  </si>
  <si>
    <t>Buena Park</t>
  </si>
  <si>
    <t>Sterling</t>
  </si>
  <si>
    <t>Koekenaap</t>
  </si>
  <si>
    <t>Halifax</t>
  </si>
  <si>
    <t>Vredendal</t>
  </si>
  <si>
    <t>Milbank</t>
  </si>
  <si>
    <t>Key Biscayne</t>
  </si>
  <si>
    <t>Elma</t>
  </si>
  <si>
    <t>Braggadocio</t>
  </si>
  <si>
    <t>Allenwood</t>
  </si>
  <si>
    <t>Yelm</t>
  </si>
  <si>
    <t>Hudson</t>
  </si>
  <si>
    <t>Quincy</t>
  </si>
  <si>
    <t>Chester</t>
  </si>
  <si>
    <t>Stanford</t>
  </si>
  <si>
    <t>Potter Valley</t>
  </si>
  <si>
    <t>Miami Beach</t>
  </si>
  <si>
    <t>Luján</t>
  </si>
  <si>
    <t>Villa de Santa Pola</t>
  </si>
  <si>
    <t>Suifenhe City</t>
  </si>
  <si>
    <t>Arbuckle</t>
  </si>
  <si>
    <t>Pine Brook</t>
  </si>
  <si>
    <t>Danville</t>
  </si>
  <si>
    <t>San Marcos</t>
  </si>
  <si>
    <t>North Branch</t>
  </si>
  <si>
    <t>Istanbul</t>
  </si>
  <si>
    <t>Çorum Merkez</t>
  </si>
  <si>
    <t>Bandirma, Balıkesir</t>
  </si>
  <si>
    <t>Tekkeköy</t>
  </si>
  <si>
    <t>South Lake Tahoe</t>
  </si>
  <si>
    <t>Hinckley</t>
  </si>
  <si>
    <t>Biggs</t>
  </si>
  <si>
    <t>Tap Than</t>
  </si>
  <si>
    <t>Nelamangala</t>
  </si>
  <si>
    <t>Petrolia</t>
  </si>
  <si>
    <t>Samutprakarn</t>
  </si>
  <si>
    <t>Freeport</t>
  </si>
  <si>
    <t>Clyde North</t>
  </si>
  <si>
    <t>Kittanning</t>
  </si>
  <si>
    <t>Kemlya village</t>
  </si>
  <si>
    <t>Oak Park</t>
  </si>
  <si>
    <t>Satara</t>
  </si>
  <si>
    <t>Lue-Amnat</t>
  </si>
  <si>
    <t>Hartley</t>
  </si>
  <si>
    <t>Süleymanpaşa</t>
  </si>
  <si>
    <t>Pak Raet</t>
  </si>
  <si>
    <t>Sisaket</t>
  </si>
  <si>
    <t>American Falls</t>
  </si>
  <si>
    <t>Las Vegas</t>
  </si>
  <si>
    <t>Cincinnati</t>
  </si>
  <si>
    <t>Phoenix</t>
  </si>
  <si>
    <t>Carrollton</t>
  </si>
  <si>
    <t>Walnut</t>
  </si>
  <si>
    <t>Gibbstown</t>
  </si>
  <si>
    <t>Opa-locka</t>
  </si>
  <si>
    <t>Columbia</t>
  </si>
  <si>
    <t>Joliet</t>
  </si>
  <si>
    <t>Dover</t>
  </si>
  <si>
    <t>North Las Vegas</t>
  </si>
  <si>
    <t>Yichun City</t>
  </si>
  <si>
    <t>Ravendale</t>
  </si>
  <si>
    <t>Louisville</t>
  </si>
  <si>
    <t>American Fork</t>
  </si>
  <si>
    <t>Mahnomen</t>
  </si>
  <si>
    <t>Tianjin Pilot Free Trade Zone (CBD)</t>
  </si>
  <si>
    <t>Rushville</t>
  </si>
  <si>
    <t>Valatie</t>
  </si>
  <si>
    <t>Ulm</t>
  </si>
  <si>
    <t>Custer</t>
  </si>
  <si>
    <t>Somerset</t>
  </si>
  <si>
    <t>Montclair</t>
  </si>
  <si>
    <t>Ibshway</t>
  </si>
  <si>
    <t>Chiclayo</t>
  </si>
  <si>
    <t>Rosemont</t>
  </si>
  <si>
    <t>Pathumthani</t>
  </si>
  <si>
    <t>Tra Vinh City</t>
  </si>
  <si>
    <t>Monrovia</t>
  </si>
  <si>
    <t>Good Thunder</t>
  </si>
  <si>
    <t>Kirkland</t>
  </si>
  <si>
    <t>Greeley</t>
  </si>
  <si>
    <t>Muleshoe</t>
  </si>
  <si>
    <t>Godhra</t>
  </si>
  <si>
    <t>Trout Lake</t>
  </si>
  <si>
    <t>Berkel en Rodenrijs</t>
  </si>
  <si>
    <t>Chonburi</t>
  </si>
  <si>
    <t>General Pacheco</t>
  </si>
  <si>
    <t>Hardeeville</t>
  </si>
  <si>
    <t>Tuscaloosa</t>
  </si>
  <si>
    <t>Bloomsburg</t>
  </si>
  <si>
    <t>Gooding</t>
  </si>
  <si>
    <t>South China</t>
  </si>
  <si>
    <t>Ampher Nayear</t>
  </si>
  <si>
    <t>Ratchathani</t>
  </si>
  <si>
    <t>Darien</t>
  </si>
  <si>
    <t>Sharjah</t>
  </si>
  <si>
    <t>Reading</t>
  </si>
  <si>
    <t>Dayville</t>
  </si>
  <si>
    <t>Red Bank</t>
  </si>
  <si>
    <t>Moama</t>
  </si>
  <si>
    <t>Old Town</t>
  </si>
  <si>
    <t>Buxton</t>
  </si>
  <si>
    <t>BANGKOK</t>
  </si>
  <si>
    <t>Saint Louis</t>
  </si>
  <si>
    <t>Alquiraz</t>
  </si>
  <si>
    <t>Mossoró</t>
  </si>
  <si>
    <t>Uthaithani</t>
  </si>
  <si>
    <t>SONIPAT</t>
  </si>
  <si>
    <t>Quito</t>
  </si>
  <si>
    <t>Seneca</t>
  </si>
  <si>
    <t>Plano</t>
  </si>
  <si>
    <t>Medora</t>
  </si>
  <si>
    <t>Bhopal</t>
  </si>
  <si>
    <t>Palo Verde</t>
  </si>
  <si>
    <t>Brières lès Scelles</t>
  </si>
  <si>
    <t>Breda</t>
  </si>
  <si>
    <t>Gingindlovu</t>
  </si>
  <si>
    <t>Hingham</t>
  </si>
  <si>
    <t>San Francisco</t>
  </si>
  <si>
    <t>Oley</t>
  </si>
  <si>
    <t>U Minh District</t>
  </si>
  <si>
    <t>Ho Chi Minh</t>
  </si>
  <si>
    <t>Portezuelo</t>
  </si>
  <si>
    <t>Can Tho</t>
  </si>
  <si>
    <t>Ben Cat</t>
  </si>
  <si>
    <t>Fair Lawn</t>
  </si>
  <si>
    <t>Surat</t>
  </si>
  <si>
    <t>Sentinela do Sul</t>
  </si>
  <si>
    <t>Ussuriysk City</t>
  </si>
  <si>
    <t>Trenton</t>
  </si>
  <si>
    <t>Warwick</t>
  </si>
  <si>
    <t>Rudewa</t>
  </si>
  <si>
    <t>Wapuli-Tamale</t>
  </si>
  <si>
    <t>Hindsville</t>
  </si>
  <si>
    <t>Dumat Al-Jandal</t>
  </si>
  <si>
    <t>Santa Fe Springs</t>
  </si>
  <si>
    <t>Drayton</t>
  </si>
  <si>
    <t>Goshen</t>
  </si>
  <si>
    <t>Missoula</t>
  </si>
  <si>
    <t>Wheatfield</t>
  </si>
  <si>
    <t>Pasadena</t>
  </si>
  <si>
    <t>Loveland</t>
  </si>
  <si>
    <t>Silver Bay</t>
  </si>
  <si>
    <t>Touchet</t>
  </si>
  <si>
    <t>Bridgewater</t>
  </si>
  <si>
    <t>Harrold</t>
  </si>
  <si>
    <t>Balochistan Quetta PAKISTAN</t>
  </si>
  <si>
    <t>Islamabad</t>
  </si>
  <si>
    <t>XIAMEN CITY</t>
  </si>
  <si>
    <t>Beitun City</t>
  </si>
  <si>
    <t>Wulumuqi City,</t>
  </si>
  <si>
    <t>Callao</t>
  </si>
  <si>
    <t>Yantai City</t>
  </si>
  <si>
    <t>Minahasa</t>
  </si>
  <si>
    <t>Gangjin-gun</t>
  </si>
  <si>
    <t>Biyang Town</t>
  </si>
  <si>
    <t>Zibo</t>
  </si>
  <si>
    <t>San Pedro Las Huertas</t>
  </si>
  <si>
    <t>blaine</t>
  </si>
  <si>
    <t>Haining City</t>
  </si>
  <si>
    <t>Deford</t>
  </si>
  <si>
    <t>Caldwell</t>
  </si>
  <si>
    <t>Physical Address: State/Province</t>
  </si>
  <si>
    <t>Primorsky Krai</t>
  </si>
  <si>
    <t>Pará</t>
  </si>
  <si>
    <t>Idaho</t>
  </si>
  <si>
    <t>Montana</t>
  </si>
  <si>
    <t>New Jersey</t>
  </si>
  <si>
    <t>Iowa</t>
  </si>
  <si>
    <t>Telangana</t>
  </si>
  <si>
    <t>Minnesota</t>
  </si>
  <si>
    <t>Texas</t>
  </si>
  <si>
    <t>Haryana</t>
  </si>
  <si>
    <t>Pennsylvania</t>
  </si>
  <si>
    <t>California</t>
  </si>
  <si>
    <t>Virginia</t>
  </si>
  <si>
    <t>Kentucky</t>
  </si>
  <si>
    <t>Queensland</t>
  </si>
  <si>
    <t>Buenos Aires</t>
  </si>
  <si>
    <t>Vermont</t>
  </si>
  <si>
    <t>Indiana</t>
  </si>
  <si>
    <t>Missouri</t>
  </si>
  <si>
    <t>Región del Maule</t>
  </si>
  <si>
    <t>PROV. CONST. DEL CALLAO</t>
  </si>
  <si>
    <t>Karnataka</t>
  </si>
  <si>
    <t>Chernigiv area</t>
  </si>
  <si>
    <t>Rajasthan</t>
  </si>
  <si>
    <t>Ceará</t>
  </si>
  <si>
    <t>Salta</t>
  </si>
  <si>
    <t>Kırklareli</t>
  </si>
  <si>
    <t>Egypt</t>
  </si>
  <si>
    <t>Kansas</t>
  </si>
  <si>
    <t>Oregon</t>
  </si>
  <si>
    <t>Ohio</t>
  </si>
  <si>
    <t>Bahia</t>
  </si>
  <si>
    <t>Tucumán</t>
  </si>
  <si>
    <t>Centrale</t>
  </si>
  <si>
    <t>Illinois</t>
  </si>
  <si>
    <t>Georgia</t>
  </si>
  <si>
    <t>Corum</t>
  </si>
  <si>
    <t>Andhra Pradesh</t>
  </si>
  <si>
    <t>Wisconsin</t>
  </si>
  <si>
    <t>Arizona</t>
  </si>
  <si>
    <t>Hà Nội</t>
  </si>
  <si>
    <t>HUAMANGA</t>
  </si>
  <si>
    <t>Kerala</t>
  </si>
  <si>
    <t>Gaziantep</t>
  </si>
  <si>
    <t>North Dakota</t>
  </si>
  <si>
    <t>Casablanca-Settat</t>
  </si>
  <si>
    <t>Rio Grande Do Sul</t>
  </si>
  <si>
    <t>Vakinankaratra</t>
  </si>
  <si>
    <t>Guanacaste</t>
  </si>
  <si>
    <t>North Carolina</t>
  </si>
  <si>
    <t>Amur Oblast</t>
  </si>
  <si>
    <t>Potosí</t>
  </si>
  <si>
    <t>Alta Verapaz</t>
  </si>
  <si>
    <t>Monseñor Noel</t>
  </si>
  <si>
    <t>Colorado</t>
  </si>
  <si>
    <t>Liaoning province</t>
  </si>
  <si>
    <t>Antalaha</t>
  </si>
  <si>
    <t>Mississippi</t>
  </si>
  <si>
    <t>Maine</t>
  </si>
  <si>
    <t>Connecticut</t>
  </si>
  <si>
    <t>Quindío</t>
  </si>
  <si>
    <t>Izmir</t>
  </si>
  <si>
    <t>Michigan</t>
  </si>
  <si>
    <t>Tianjin</t>
  </si>
  <si>
    <t>Jilin Province</t>
  </si>
  <si>
    <t>Heilongjiang Province</t>
  </si>
  <si>
    <t>South Dakota</t>
  </si>
  <si>
    <t>Nebraska</t>
  </si>
  <si>
    <t>Riberalta</t>
  </si>
  <si>
    <t>Utah</t>
  </si>
  <si>
    <t>Stara Zagora</t>
  </si>
  <si>
    <t>Auvergne-Rhône-Alpes</t>
  </si>
  <si>
    <t>Parana</t>
  </si>
  <si>
    <t>Kowloon</t>
  </si>
  <si>
    <t>Québec</t>
  </si>
  <si>
    <t>Massachusetts</t>
  </si>
  <si>
    <t>Western Australia</t>
  </si>
  <si>
    <t>AUVERGNE-RHONE-ALPES</t>
  </si>
  <si>
    <t>DE-HH</t>
  </si>
  <si>
    <t>Heredia</t>
  </si>
  <si>
    <t>Rio Grande do Sul</t>
  </si>
  <si>
    <t>New Mexico</t>
  </si>
  <si>
    <t>Entre Ríos</t>
  </si>
  <si>
    <t>South Carolina</t>
  </si>
  <si>
    <t>Northern Cape</t>
  </si>
  <si>
    <t>Región de Coquimbo</t>
  </si>
  <si>
    <t>Western Cape</t>
  </si>
  <si>
    <t>Free State</t>
  </si>
  <si>
    <t>Chiapas</t>
  </si>
  <si>
    <t>Ayuthaya</t>
  </si>
  <si>
    <t>China</t>
  </si>
  <si>
    <t>Heilongjiang</t>
  </si>
  <si>
    <t>Hebei</t>
  </si>
  <si>
    <t>Inner Mongolia</t>
  </si>
  <si>
    <t>Alajuela</t>
  </si>
  <si>
    <t>Dong Thap Province</t>
  </si>
  <si>
    <t>Nuevo León</t>
  </si>
  <si>
    <t>Gujarat</t>
  </si>
  <si>
    <t>Matagalpa</t>
  </si>
  <si>
    <t>Arkansas</t>
  </si>
  <si>
    <t>Shaanxi</t>
  </si>
  <si>
    <t>Hawaii</t>
  </si>
  <si>
    <t>Tamilnadu</t>
  </si>
  <si>
    <t>Liaoning</t>
  </si>
  <si>
    <t>Liao Ning Province</t>
  </si>
  <si>
    <t>Shandong Province</t>
  </si>
  <si>
    <t>LIAONING PROVINCE</t>
  </si>
  <si>
    <t>Lianoning</t>
  </si>
  <si>
    <t>(Liaoning) Pilot Free Trade Zone</t>
  </si>
  <si>
    <t>Dornod</t>
  </si>
  <si>
    <t>Shanxi pronince</t>
  </si>
  <si>
    <t>Belgorod Dnestrovsk district</t>
  </si>
  <si>
    <t>Uttrakhand</t>
  </si>
  <si>
    <t>Shandong</t>
  </si>
  <si>
    <t>Guanajuato</t>
  </si>
  <si>
    <t>Wyoming</t>
  </si>
  <si>
    <t>Pradesh</t>
  </si>
  <si>
    <t>Delhi</t>
  </si>
  <si>
    <t>Akmola Region</t>
  </si>
  <si>
    <t>Jeollanam-do</t>
  </si>
  <si>
    <t>HUAMANGA/AYACHUCHO</t>
  </si>
  <si>
    <t>Gyeonggi-do</t>
  </si>
  <si>
    <t>Shaanxi Province</t>
  </si>
  <si>
    <t>KEDAH</t>
  </si>
  <si>
    <t>São Paulo</t>
  </si>
  <si>
    <t>Odessa region</t>
  </si>
  <si>
    <t>Uttarakhand</t>
  </si>
  <si>
    <t>Alabama</t>
  </si>
  <si>
    <t>Amnat Charoen</t>
  </si>
  <si>
    <t>Oklahoma</t>
  </si>
  <si>
    <t>Fujian</t>
  </si>
  <si>
    <t>Colonia</t>
  </si>
  <si>
    <t>SINALOA</t>
  </si>
  <si>
    <t>Gansu</t>
  </si>
  <si>
    <t>Gansu Province</t>
  </si>
  <si>
    <t>LA PAZ</t>
  </si>
  <si>
    <t>Sinaloa</t>
  </si>
  <si>
    <t>Nakhon Ratchasima</t>
  </si>
  <si>
    <t>-</t>
  </si>
  <si>
    <t>Hebei Province</t>
  </si>
  <si>
    <t>Quebec</t>
  </si>
  <si>
    <t>Manitoba</t>
  </si>
  <si>
    <t>Wilayah Persekutuan</t>
  </si>
  <si>
    <t>Chiang Mai</t>
  </si>
  <si>
    <t>Cordoba</t>
  </si>
  <si>
    <t>JALISCO</t>
  </si>
  <si>
    <t>GUANGXI</t>
  </si>
  <si>
    <t>Guangdong Province</t>
  </si>
  <si>
    <t>Zhejiang Province</t>
  </si>
  <si>
    <t>Zhejiang</t>
  </si>
  <si>
    <t>New South Wales</t>
  </si>
  <si>
    <t>Tennessee</t>
  </si>
  <si>
    <t>Heilongjiang province</t>
  </si>
  <si>
    <t>CUNDINAMARCA</t>
  </si>
  <si>
    <t>Jammu and Kashmir</t>
  </si>
  <si>
    <t>Bagmati</t>
  </si>
  <si>
    <t>Soc Trang Province</t>
  </si>
  <si>
    <t>Ben Tre</t>
  </si>
  <si>
    <t>Bayern</t>
  </si>
  <si>
    <t>Hunan Province</t>
  </si>
  <si>
    <t>Hunan</t>
  </si>
  <si>
    <t>Valle del Cauca</t>
  </si>
  <si>
    <t>Tungurahua</t>
  </si>
  <si>
    <t>Savannakhet</t>
  </si>
  <si>
    <t>RUMIÑAHUI</t>
  </si>
  <si>
    <t>Jalisco,</t>
  </si>
  <si>
    <t>STA.CRUZ DE TENERIFE</t>
  </si>
  <si>
    <t>Aydin</t>
  </si>
  <si>
    <t>Dhar, Madhya Pradesh</t>
  </si>
  <si>
    <t>PROVENCE-ALPES-COTE D'AZUR</t>
  </si>
  <si>
    <t>Santa Catarina</t>
  </si>
  <si>
    <t>MADHYA PRADESH</t>
  </si>
  <si>
    <t>Izabal</t>
  </si>
  <si>
    <t>Louisiana</t>
  </si>
  <si>
    <t>Nankana Sahib</t>
  </si>
  <si>
    <t>Khon Kaen</t>
  </si>
  <si>
    <t>SAMUTSAKHON</t>
  </si>
  <si>
    <t>Morogoro</t>
  </si>
  <si>
    <t>Roi-et</t>
  </si>
  <si>
    <t>QC</t>
  </si>
  <si>
    <t>Mantova</t>
  </si>
  <si>
    <t>Santa Fe</t>
  </si>
  <si>
    <t>Moscow</t>
  </si>
  <si>
    <t>Dniprovskyi dist., Dnipropetrovsk reg.,</t>
  </si>
  <si>
    <t>Taiwan</t>
  </si>
  <si>
    <t>Tay Ninh Province</t>
  </si>
  <si>
    <t>British Columbia</t>
  </si>
  <si>
    <t>Shah Alam</t>
  </si>
  <si>
    <t>Chinandega</t>
  </si>
  <si>
    <t>Chaiyaphum</t>
  </si>
  <si>
    <t>Goias</t>
  </si>
  <si>
    <t>Tamil Nadu</t>
  </si>
  <si>
    <t>Yasothon</t>
  </si>
  <si>
    <t>Sakon Nakhon</t>
  </si>
  <si>
    <t>Ningxia</t>
  </si>
  <si>
    <t>Si Sa Ket</t>
  </si>
  <si>
    <t>Saskatchewan</t>
  </si>
  <si>
    <t>Analamanga</t>
  </si>
  <si>
    <t>Darul Ehsan</t>
  </si>
  <si>
    <t>Lâm Đồng</t>
  </si>
  <si>
    <t>Samut Sakhon</t>
  </si>
  <si>
    <t>Delaware</t>
  </si>
  <si>
    <t>Río Negro</t>
  </si>
  <si>
    <t>Michoacan de Ocampo</t>
  </si>
  <si>
    <t>Puerto Rico</t>
  </si>
  <si>
    <t>Ate</t>
  </si>
  <si>
    <t>Punjab</t>
  </si>
  <si>
    <t>SAVA</t>
  </si>
  <si>
    <t>Córdoba</t>
  </si>
  <si>
    <t>Querétaro</t>
  </si>
  <si>
    <t>Jammu &amp; Kashmir</t>
  </si>
  <si>
    <t>Paraná</t>
  </si>
  <si>
    <t>BC</t>
  </si>
  <si>
    <t>ON</t>
  </si>
  <si>
    <t>Shanxi</t>
  </si>
  <si>
    <t>Himachal Pradesh</t>
  </si>
  <si>
    <t>Sichuan</t>
  </si>
  <si>
    <t>Nakhon Pathom</t>
  </si>
  <si>
    <t>Ras AI Khaimah</t>
  </si>
  <si>
    <t>Alicante</t>
  </si>
  <si>
    <t>Giresun</t>
  </si>
  <si>
    <t>Çorum</t>
  </si>
  <si>
    <t>Turkey</t>
  </si>
  <si>
    <t>Samsun</t>
  </si>
  <si>
    <t>Uthai Thani</t>
  </si>
  <si>
    <t>Republic of Mordovia</t>
  </si>
  <si>
    <t>Vinh Long Province</t>
  </si>
  <si>
    <t>Tekirdağ</t>
  </si>
  <si>
    <t>Ban Pong Ratchaburi</t>
  </si>
  <si>
    <t>New Hampshire</t>
  </si>
  <si>
    <t>Jiangxi Province</t>
  </si>
  <si>
    <t>Lambayeque</t>
  </si>
  <si>
    <t>Tra Vinh Province</t>
  </si>
  <si>
    <t>Zuid Holland</t>
  </si>
  <si>
    <t>An Giang Province</t>
  </si>
  <si>
    <t>Ubon Ratchathani</t>
  </si>
  <si>
    <t>Ceara</t>
  </si>
  <si>
    <t>Rio Grande do Norte</t>
  </si>
  <si>
    <t>HARYANA</t>
  </si>
  <si>
    <t>Pichincha</t>
  </si>
  <si>
    <t>ILE-DE-FRANCE</t>
  </si>
  <si>
    <t>Ca Mau Province</t>
  </si>
  <si>
    <t>Región de Ñuble</t>
  </si>
  <si>
    <t>Thot Not</t>
  </si>
  <si>
    <t>Binh Duong</t>
  </si>
  <si>
    <t>Huamanga</t>
  </si>
  <si>
    <t>Liaionging</t>
  </si>
  <si>
    <t>Fujian Province</t>
  </si>
  <si>
    <t>Xinjiang</t>
  </si>
  <si>
    <t>Sulawesi Utara</t>
  </si>
  <si>
    <t>Anhui</t>
  </si>
  <si>
    <t>Sacatepéquez</t>
  </si>
  <si>
    <t>Physical Address: Country</t>
  </si>
  <si>
    <t>Russian Federation (the)</t>
  </si>
  <si>
    <t>Brazil</t>
  </si>
  <si>
    <t>United States of America (the)</t>
  </si>
  <si>
    <t>India</t>
  </si>
  <si>
    <t>Peru</t>
  </si>
  <si>
    <t>Australia</t>
  </si>
  <si>
    <t>Argentina</t>
  </si>
  <si>
    <t>United Arab Emirates (the)</t>
  </si>
  <si>
    <t>Chile</t>
  </si>
  <si>
    <t>Ukraine</t>
  </si>
  <si>
    <t>Bolivia (Plurinational State of)</t>
  </si>
  <si>
    <t>Pakistan</t>
  </si>
  <si>
    <t>Switzerland</t>
  </si>
  <si>
    <t>Italy</t>
  </si>
  <si>
    <t>Mexico</t>
  </si>
  <si>
    <t>Togo</t>
  </si>
  <si>
    <t>Cambodia</t>
  </si>
  <si>
    <t>Viet Nam</t>
  </si>
  <si>
    <t>Morocco</t>
  </si>
  <si>
    <t>Madagascar</t>
  </si>
  <si>
    <t>Costa Rica</t>
  </si>
  <si>
    <t>Guatemala</t>
  </si>
  <si>
    <t>Dominican Republic (the)</t>
  </si>
  <si>
    <t>Colombia</t>
  </si>
  <si>
    <t>Senegal</t>
  </si>
  <si>
    <t>Uruguay</t>
  </si>
  <si>
    <t>Bulgaria</t>
  </si>
  <si>
    <t>France</t>
  </si>
  <si>
    <t>Paraguay</t>
  </si>
  <si>
    <t>Canada</t>
  </si>
  <si>
    <t>Germany</t>
  </si>
  <si>
    <t>South Africa</t>
  </si>
  <si>
    <t>Sri Lanka</t>
  </si>
  <si>
    <t>Nicaragua</t>
  </si>
  <si>
    <t>Ecuador</t>
  </si>
  <si>
    <t>Mongolia</t>
  </si>
  <si>
    <t>Kazakhstan</t>
  </si>
  <si>
    <t>Korea (the Republic of)</t>
  </si>
  <si>
    <t>Serbia</t>
  </si>
  <si>
    <t>Austria</t>
  </si>
  <si>
    <t>Malaysia</t>
  </si>
  <si>
    <t>Benin</t>
  </si>
  <si>
    <t>Nepal</t>
  </si>
  <si>
    <t>Lao People's Democratic Republic (the)</t>
  </si>
  <si>
    <t>Spain</t>
  </si>
  <si>
    <t>Nigeria</t>
  </si>
  <si>
    <t>Tanzania, United Republic of</t>
  </si>
  <si>
    <t>Tunisia</t>
  </si>
  <si>
    <t>Ghana</t>
  </si>
  <si>
    <t>Seychelles</t>
  </si>
  <si>
    <t>Netherlands (the)</t>
  </si>
  <si>
    <t>Côte d'Ivoire</t>
  </si>
  <si>
    <t>Uganda</t>
  </si>
  <si>
    <t>Saudi Arabia</t>
  </si>
  <si>
    <t>Indonesia</t>
  </si>
  <si>
    <t>Physical Address: ZIP/ Postal Code</t>
  </si>
  <si>
    <t>692512</t>
  </si>
  <si>
    <t>66017-180</t>
  </si>
  <si>
    <t>83316</t>
  </si>
  <si>
    <t>59870</t>
  </si>
  <si>
    <t>08559</t>
  </si>
  <si>
    <t>10700</t>
  </si>
  <si>
    <t>50046</t>
  </si>
  <si>
    <t>500029</t>
  </si>
  <si>
    <t>400705</t>
  </si>
  <si>
    <t>55060</t>
  </si>
  <si>
    <t>79331</t>
  </si>
  <si>
    <t>132116</t>
  </si>
  <si>
    <t>33755</t>
  </si>
  <si>
    <t>77629</t>
  </si>
  <si>
    <t>17847</t>
  </si>
  <si>
    <t>15076</t>
  </si>
  <si>
    <t>95987</t>
  </si>
  <si>
    <t>10509</t>
  </si>
  <si>
    <t>23117</t>
  </si>
  <si>
    <t>42078</t>
  </si>
  <si>
    <t>4350</t>
  </si>
  <si>
    <t>95776</t>
  </si>
  <si>
    <t>2943</t>
  </si>
  <si>
    <t>05753</t>
  </si>
  <si>
    <t>422103</t>
  </si>
  <si>
    <t>451666</t>
  </si>
  <si>
    <t>46992</t>
  </si>
  <si>
    <t>64465</t>
  </si>
  <si>
    <t>17552</t>
  </si>
  <si>
    <t>453331</t>
  </si>
  <si>
    <t>62511</t>
  </si>
  <si>
    <t>000</t>
  </si>
  <si>
    <t>999077</t>
  </si>
  <si>
    <t>7041</t>
  </si>
  <si>
    <t>15100</t>
  </si>
  <si>
    <t>6550</t>
  </si>
  <si>
    <t>38013</t>
  </si>
  <si>
    <t>560068</t>
  </si>
  <si>
    <t>16400</t>
  </si>
  <si>
    <t>342005</t>
  </si>
  <si>
    <t>62840-000</t>
  </si>
  <si>
    <t>4190</t>
  </si>
  <si>
    <t>11746</t>
  </si>
  <si>
    <t>52155</t>
  </si>
  <si>
    <t>08854</t>
  </si>
  <si>
    <t>11110</t>
  </si>
  <si>
    <t>39750</t>
  </si>
  <si>
    <t>27118</t>
  </si>
  <si>
    <t>21521</t>
  </si>
  <si>
    <t>62848</t>
  </si>
  <si>
    <t>62631</t>
  </si>
  <si>
    <t>08086</t>
  </si>
  <si>
    <t>66532-9781</t>
  </si>
  <si>
    <t>56007</t>
  </si>
  <si>
    <t>94568</t>
  </si>
  <si>
    <t>1202</t>
  </si>
  <si>
    <t>55100</t>
  </si>
  <si>
    <t>97210</t>
  </si>
  <si>
    <t>45347</t>
  </si>
  <si>
    <t>92618</t>
  </si>
  <si>
    <t>45026415</t>
  </si>
  <si>
    <t>131029</t>
  </si>
  <si>
    <t>4158</t>
  </si>
  <si>
    <t>89801</t>
  </si>
  <si>
    <t>60173</t>
  </si>
  <si>
    <t>23093</t>
  </si>
  <si>
    <t>31622</t>
  </si>
  <si>
    <t>75701</t>
  </si>
  <si>
    <t>2804</t>
  </si>
  <si>
    <t>19600</t>
  </si>
  <si>
    <t>44802</t>
  </si>
  <si>
    <t>94954</t>
  </si>
  <si>
    <t>431101</t>
  </si>
  <si>
    <t>431111</t>
  </si>
  <si>
    <t>431102</t>
  </si>
  <si>
    <t>07606</t>
  </si>
  <si>
    <t>532405</t>
  </si>
  <si>
    <t>07513</t>
  </si>
  <si>
    <t>51012</t>
  </si>
  <si>
    <t>33024</t>
  </si>
  <si>
    <t>53222</t>
  </si>
  <si>
    <t>07632</t>
  </si>
  <si>
    <t>51108-1300</t>
  </si>
  <si>
    <t>95203</t>
  </si>
  <si>
    <t>56073</t>
  </si>
  <si>
    <t>37000</t>
  </si>
  <si>
    <t>32000</t>
  </si>
  <si>
    <t>85283</t>
  </si>
  <si>
    <t>12104</t>
  </si>
  <si>
    <t>95045</t>
  </si>
  <si>
    <t>60115-190</t>
  </si>
  <si>
    <t>100000</t>
  </si>
  <si>
    <t>95046</t>
  </si>
  <si>
    <t>52040</t>
  </si>
  <si>
    <t>83451</t>
  </si>
  <si>
    <t>10522</t>
  </si>
  <si>
    <t>5002</t>
  </si>
  <si>
    <t>0000</t>
  </si>
  <si>
    <t>99301</t>
  </si>
  <si>
    <t>45650-000</t>
  </si>
  <si>
    <t>53719</t>
  </si>
  <si>
    <t>79325</t>
  </si>
  <si>
    <t>11231</t>
  </si>
  <si>
    <t>676122</t>
  </si>
  <si>
    <t>12580</t>
  </si>
  <si>
    <t>61459</t>
  </si>
  <si>
    <t>27600</t>
  </si>
  <si>
    <t>59474</t>
  </si>
  <si>
    <t>95991</t>
  </si>
  <si>
    <t>58341</t>
  </si>
  <si>
    <t>20550</t>
  </si>
  <si>
    <t>85122</t>
  </si>
  <si>
    <t>22821</t>
  </si>
  <si>
    <t>110</t>
  </si>
  <si>
    <t>95605</t>
  </si>
  <si>
    <t>60155</t>
  </si>
  <si>
    <t>28214</t>
  </si>
  <si>
    <t>201308</t>
  </si>
  <si>
    <t>51583</t>
  </si>
  <si>
    <t>56560</t>
  </si>
  <si>
    <t>98225</t>
  </si>
  <si>
    <t>401107</t>
  </si>
  <si>
    <t>80503</t>
  </si>
  <si>
    <t>116600</t>
  </si>
  <si>
    <t>95380</t>
  </si>
  <si>
    <t>07206</t>
  </si>
  <si>
    <t>38703</t>
  </si>
  <si>
    <t>1642</t>
  </si>
  <si>
    <t>97402</t>
  </si>
  <si>
    <t>04730</t>
  </si>
  <si>
    <t>06477</t>
  </si>
  <si>
    <t>4359</t>
  </si>
  <si>
    <t>95124</t>
  </si>
  <si>
    <t>451447</t>
  </si>
  <si>
    <t>15046</t>
  </si>
  <si>
    <t>683105</t>
  </si>
  <si>
    <t>243601</t>
  </si>
  <si>
    <t>90230</t>
  </si>
  <si>
    <t>630002</t>
  </si>
  <si>
    <t>17602</t>
  </si>
  <si>
    <t>05301</t>
  </si>
  <si>
    <t>03908</t>
  </si>
  <si>
    <t>48831</t>
  </si>
  <si>
    <t>91710</t>
  </si>
  <si>
    <t>33160</t>
  </si>
  <si>
    <t>CP: 547</t>
  </si>
  <si>
    <t>155600</t>
  </si>
  <si>
    <t>97623</t>
  </si>
  <si>
    <t>96104</t>
  </si>
  <si>
    <t>75100</t>
  </si>
  <si>
    <t>78620</t>
  </si>
  <si>
    <t>457770</t>
  </si>
  <si>
    <t>45828</t>
  </si>
  <si>
    <t>60101</t>
  </si>
  <si>
    <t>59714</t>
  </si>
  <si>
    <t>60440</t>
  </si>
  <si>
    <t>95062</t>
  </si>
  <si>
    <t>10601</t>
  </si>
  <si>
    <t>164007</t>
  </si>
  <si>
    <t>150090</t>
  </si>
  <si>
    <t>100176</t>
  </si>
  <si>
    <t>100024</t>
  </si>
  <si>
    <t>101100</t>
  </si>
  <si>
    <t>95357</t>
  </si>
  <si>
    <t>57760</t>
  </si>
  <si>
    <t>68901</t>
  </si>
  <si>
    <t>56082</t>
  </si>
  <si>
    <t>96023</t>
  </si>
  <si>
    <t>55108</t>
  </si>
  <si>
    <t>95963</t>
  </si>
  <si>
    <t>67550</t>
  </si>
  <si>
    <t>95206</t>
  </si>
  <si>
    <t>84042</t>
  </si>
  <si>
    <t>75219</t>
  </si>
  <si>
    <t>450001</t>
  </si>
  <si>
    <t>53582</t>
  </si>
  <si>
    <t>91748</t>
  </si>
  <si>
    <t>93033</t>
  </si>
  <si>
    <t>53066</t>
  </si>
  <si>
    <t>28054</t>
  </si>
  <si>
    <t>18840</t>
  </si>
  <si>
    <t>76134</t>
  </si>
  <si>
    <t>444401</t>
  </si>
  <si>
    <t>10240</t>
  </si>
  <si>
    <t>33702-4305</t>
  </si>
  <si>
    <t>6160</t>
  </si>
  <si>
    <t>51201</t>
  </si>
  <si>
    <t>26400</t>
  </si>
  <si>
    <t>85770-000</t>
  </si>
  <si>
    <t>01054</t>
  </si>
  <si>
    <t>001521</t>
  </si>
  <si>
    <t>G3A 1T1</t>
  </si>
  <si>
    <t>04841</t>
  </si>
  <si>
    <t>61602</t>
  </si>
  <si>
    <t>04354</t>
  </si>
  <si>
    <t>40008</t>
  </si>
  <si>
    <t>02720</t>
  </si>
  <si>
    <t>6058</t>
  </si>
  <si>
    <t>15074</t>
  </si>
  <si>
    <t>56501</t>
  </si>
  <si>
    <t>98862</t>
  </si>
  <si>
    <t>43128</t>
  </si>
  <si>
    <t>50595</t>
  </si>
  <si>
    <t>97222</t>
  </si>
  <si>
    <t>60085</t>
  </si>
  <si>
    <t>07850</t>
  </si>
  <si>
    <t>26170</t>
  </si>
  <si>
    <t>11725</t>
  </si>
  <si>
    <t>48741</t>
  </si>
  <si>
    <t>52556</t>
  </si>
  <si>
    <t>51401</t>
  </si>
  <si>
    <t>52317</t>
  </si>
  <si>
    <t>61350</t>
  </si>
  <si>
    <t>97015</t>
  </si>
  <si>
    <t>81301</t>
  </si>
  <si>
    <t>M5C 1C4</t>
  </si>
  <si>
    <t>60107</t>
  </si>
  <si>
    <t>46404</t>
  </si>
  <si>
    <t>10800</t>
  </si>
  <si>
    <t>1643</t>
  </si>
  <si>
    <t>44654</t>
  </si>
  <si>
    <t>40601</t>
  </si>
  <si>
    <t>6000</t>
  </si>
  <si>
    <t>31120</t>
  </si>
  <si>
    <t>48746</t>
  </si>
  <si>
    <t>17236</t>
  </si>
  <si>
    <t>65548</t>
  </si>
  <si>
    <t>21035</t>
  </si>
  <si>
    <t>L4W 5H1</t>
  </si>
  <si>
    <t>49120</t>
  </si>
  <si>
    <t>84308</t>
  </si>
  <si>
    <t>68629</t>
  </si>
  <si>
    <t>90230031</t>
  </si>
  <si>
    <t>90230230</t>
  </si>
  <si>
    <t>93638</t>
  </si>
  <si>
    <t>69024</t>
  </si>
  <si>
    <t>92612</t>
  </si>
  <si>
    <t>94607</t>
  </si>
  <si>
    <t>94501</t>
  </si>
  <si>
    <t>92254</t>
  </si>
  <si>
    <t>87567</t>
  </si>
  <si>
    <t>56716</t>
  </si>
  <si>
    <t>90638</t>
  </si>
  <si>
    <t>17889</t>
  </si>
  <si>
    <t>69133</t>
  </si>
  <si>
    <t>06824</t>
  </si>
  <si>
    <t>3218</t>
  </si>
  <si>
    <t>29730</t>
  </si>
  <si>
    <t>8816</t>
  </si>
  <si>
    <t>54619</t>
  </si>
  <si>
    <t>97818</t>
  </si>
  <si>
    <t>14886</t>
  </si>
  <si>
    <t>52349</t>
  </si>
  <si>
    <t>01835</t>
  </si>
  <si>
    <t>8135</t>
  </si>
  <si>
    <t>35210</t>
  </si>
  <si>
    <t>60608</t>
  </si>
  <si>
    <t>84306</t>
  </si>
  <si>
    <t>84321</t>
  </si>
  <si>
    <t>84333</t>
  </si>
  <si>
    <t>9932</t>
  </si>
  <si>
    <t>68467</t>
  </si>
  <si>
    <t>68647</t>
  </si>
  <si>
    <t>68846</t>
  </si>
  <si>
    <t>95361</t>
  </si>
  <si>
    <t>93402</t>
  </si>
  <si>
    <t>13160</t>
  </si>
  <si>
    <t>1000</t>
  </si>
  <si>
    <t>78204</t>
  </si>
  <si>
    <t>41071</t>
  </si>
  <si>
    <t>95951</t>
  </si>
  <si>
    <t>132001</t>
  </si>
  <si>
    <t>12996</t>
  </si>
  <si>
    <t>157300</t>
  </si>
  <si>
    <t>150200</t>
  </si>
  <si>
    <t>83217</t>
  </si>
  <si>
    <t>075500</t>
  </si>
  <si>
    <t>024507</t>
  </si>
  <si>
    <t>300451</t>
  </si>
  <si>
    <t>68739</t>
  </si>
  <si>
    <t>98232</t>
  </si>
  <si>
    <t>33178</t>
  </si>
  <si>
    <t>15522</t>
  </si>
  <si>
    <t>69130</t>
  </si>
  <si>
    <t>94803</t>
  </si>
  <si>
    <t>14826</t>
  </si>
  <si>
    <t>65803</t>
  </si>
  <si>
    <t>81146</t>
  </si>
  <si>
    <t>59401</t>
  </si>
  <si>
    <t>58776</t>
  </si>
  <si>
    <t>45470</t>
  </si>
  <si>
    <t>67318</t>
  </si>
  <si>
    <t>28213</t>
  </si>
  <si>
    <t>28636</t>
  </si>
  <si>
    <t>15823</t>
  </si>
  <si>
    <t>07512</t>
  </si>
  <si>
    <t>05003</t>
  </si>
  <si>
    <t>62230</t>
  </si>
  <si>
    <t>20110</t>
  </si>
  <si>
    <t>390007</t>
  </si>
  <si>
    <t>14527</t>
  </si>
  <si>
    <t>98238</t>
  </si>
  <si>
    <t>00228</t>
  </si>
  <si>
    <t>45443000</t>
  </si>
  <si>
    <t>48759</t>
  </si>
  <si>
    <t>48731</t>
  </si>
  <si>
    <t>05001</t>
  </si>
  <si>
    <t>90058</t>
  </si>
  <si>
    <t>72042</t>
  </si>
  <si>
    <t>060301</t>
  </si>
  <si>
    <t>30067</t>
  </si>
  <si>
    <t>44235</t>
  </si>
  <si>
    <t>48818</t>
  </si>
  <si>
    <t>48105</t>
  </si>
  <si>
    <t>98837</t>
  </si>
  <si>
    <t>394101</t>
  </si>
  <si>
    <t>59036</t>
  </si>
  <si>
    <t>53036</t>
  </si>
  <si>
    <t>21795</t>
  </si>
  <si>
    <t>61006</t>
  </si>
  <si>
    <t>725000</t>
  </si>
  <si>
    <t>96740</t>
  </si>
  <si>
    <t>04011</t>
  </si>
  <si>
    <t>15054</t>
  </si>
  <si>
    <t>92610</t>
  </si>
  <si>
    <t>50129</t>
  </si>
  <si>
    <t>67653</t>
  </si>
  <si>
    <t>48167</t>
  </si>
  <si>
    <t>21740</t>
  </si>
  <si>
    <t>3026</t>
  </si>
  <si>
    <t>500034</t>
  </si>
  <si>
    <t>462046</t>
  </si>
  <si>
    <t>10013</t>
  </si>
  <si>
    <t>02746</t>
  </si>
  <si>
    <t>94005</t>
  </si>
  <si>
    <t>06877</t>
  </si>
  <si>
    <t>10474</t>
  </si>
  <si>
    <t>94952</t>
  </si>
  <si>
    <t>641029</t>
  </si>
  <si>
    <t>58421</t>
  </si>
  <si>
    <t>57355</t>
  </si>
  <si>
    <t>58102</t>
  </si>
  <si>
    <t>15312</t>
  </si>
  <si>
    <t>116105</t>
  </si>
  <si>
    <t>116000</t>
  </si>
  <si>
    <t>155921</t>
  </si>
  <si>
    <t>116699</t>
  </si>
  <si>
    <t>116113</t>
  </si>
  <si>
    <t>116103</t>
  </si>
  <si>
    <t>276800</t>
  </si>
  <si>
    <t>024526</t>
  </si>
  <si>
    <t>116032</t>
  </si>
  <si>
    <t>024000</t>
  </si>
  <si>
    <t>24500</t>
  </si>
  <si>
    <t>160001</t>
  </si>
  <si>
    <t>116021</t>
  </si>
  <si>
    <t>029117</t>
  </si>
  <si>
    <t>07114</t>
  </si>
  <si>
    <t>97826</t>
  </si>
  <si>
    <t>93706</t>
  </si>
  <si>
    <t>50472</t>
  </si>
  <si>
    <t>15530</t>
  </si>
  <si>
    <t>17938</t>
  </si>
  <si>
    <t>19530</t>
  </si>
  <si>
    <t>43019</t>
  </si>
  <si>
    <t>69201</t>
  </si>
  <si>
    <t>166500</t>
  </si>
  <si>
    <t>383210</t>
  </si>
  <si>
    <t>67645</t>
  </si>
  <si>
    <t>48834</t>
  </si>
  <si>
    <t>79081</t>
  </si>
  <si>
    <t>17067</t>
  </si>
  <si>
    <t>609966</t>
  </si>
  <si>
    <t>30633</t>
  </si>
  <si>
    <t>53120</t>
  </si>
  <si>
    <t>12192</t>
  </si>
  <si>
    <t>79022</t>
  </si>
  <si>
    <t>44287</t>
  </si>
  <si>
    <t>21160</t>
  </si>
  <si>
    <t>98249</t>
  </si>
  <si>
    <t>32720</t>
  </si>
  <si>
    <t>4000</t>
  </si>
  <si>
    <t>90710</t>
  </si>
  <si>
    <t>33281</t>
  </si>
  <si>
    <t>247665</t>
  </si>
  <si>
    <t>253500</t>
  </si>
  <si>
    <t>48879</t>
  </si>
  <si>
    <t>M6A 3B6</t>
  </si>
  <si>
    <t>33010</t>
  </si>
  <si>
    <t>93624</t>
  </si>
  <si>
    <t>38495</t>
  </si>
  <si>
    <t>95943</t>
  </si>
  <si>
    <t>9000</t>
  </si>
  <si>
    <t>48421</t>
  </si>
  <si>
    <t>44667</t>
  </si>
  <si>
    <t>4403</t>
  </si>
  <si>
    <t>77707</t>
  </si>
  <si>
    <t>33401</t>
  </si>
  <si>
    <t>02149</t>
  </si>
  <si>
    <t>69122</t>
  </si>
  <si>
    <t>82082</t>
  </si>
  <si>
    <t>95043</t>
  </si>
  <si>
    <t>83344</t>
  </si>
  <si>
    <t>17527</t>
  </si>
  <si>
    <t>53536</t>
  </si>
  <si>
    <t>28759</t>
  </si>
  <si>
    <t>302029</t>
  </si>
  <si>
    <t>55428</t>
  </si>
  <si>
    <t>54601</t>
  </si>
  <si>
    <t>68720</t>
  </si>
  <si>
    <t>98700-000</t>
  </si>
  <si>
    <t>44432</t>
  </si>
  <si>
    <t>45693</t>
  </si>
  <si>
    <t>53718</t>
  </si>
  <si>
    <t>17022</t>
  </si>
  <si>
    <t>63147</t>
  </si>
  <si>
    <t>84311</t>
  </si>
  <si>
    <t>95257</t>
  </si>
  <si>
    <t>50216</t>
  </si>
  <si>
    <t>34110</t>
  </si>
  <si>
    <t>97202</t>
  </si>
  <si>
    <t>98642</t>
  </si>
  <si>
    <t>27703</t>
  </si>
  <si>
    <t>53105</t>
  </si>
  <si>
    <t>15023</t>
  </si>
  <si>
    <t>98052</t>
  </si>
  <si>
    <t>131021</t>
  </si>
  <si>
    <t>110001</t>
  </si>
  <si>
    <t>97633</t>
  </si>
  <si>
    <t>47338</t>
  </si>
  <si>
    <t>49236</t>
  </si>
  <si>
    <t>48213</t>
  </si>
  <si>
    <t>94510</t>
  </si>
  <si>
    <t>54656</t>
  </si>
  <si>
    <t>95540</t>
  </si>
  <si>
    <t>63611</t>
  </si>
  <si>
    <t>07011</t>
  </si>
  <si>
    <t>55974</t>
  </si>
  <si>
    <t>201301</t>
  </si>
  <si>
    <t>14086</t>
  </si>
  <si>
    <t>80524</t>
  </si>
  <si>
    <t>0201-0220</t>
  </si>
  <si>
    <t>10600</t>
  </si>
  <si>
    <t>020111</t>
  </si>
  <si>
    <t>59058</t>
  </si>
  <si>
    <t>13812</t>
  </si>
  <si>
    <t>76058</t>
  </si>
  <si>
    <t>05016</t>
  </si>
  <si>
    <t>33138</t>
  </si>
  <si>
    <t>zip 17407</t>
  </si>
  <si>
    <t>95953</t>
  </si>
  <si>
    <t>83352</t>
  </si>
  <si>
    <t>31300</t>
  </si>
  <si>
    <t>19355</t>
  </si>
  <si>
    <t>710075</t>
  </si>
  <si>
    <t>3300</t>
  </si>
  <si>
    <t>08000</t>
  </si>
  <si>
    <t>45883</t>
  </si>
  <si>
    <t>N0K 1W0</t>
  </si>
  <si>
    <t>33187</t>
  </si>
  <si>
    <t>48767</t>
  </si>
  <si>
    <t>24000</t>
  </si>
  <si>
    <t>05488</t>
  </si>
  <si>
    <t>55385</t>
  </si>
  <si>
    <t>04284</t>
  </si>
  <si>
    <t>95076</t>
  </si>
  <si>
    <t>56271</t>
  </si>
  <si>
    <t>95958</t>
  </si>
  <si>
    <t>81419</t>
  </si>
  <si>
    <t>50570</t>
  </si>
  <si>
    <t>95697</t>
  </si>
  <si>
    <t>95695</t>
  </si>
  <si>
    <t>384170</t>
  </si>
  <si>
    <t>69131</t>
  </si>
  <si>
    <t>69162</t>
  </si>
  <si>
    <t>06715-865</t>
  </si>
  <si>
    <t>97530</t>
  </si>
  <si>
    <t>48827</t>
  </si>
  <si>
    <t>68263</t>
  </si>
  <si>
    <t>98325</t>
  </si>
  <si>
    <t>35743</t>
  </si>
  <si>
    <t>62481</t>
  </si>
  <si>
    <t>80731</t>
  </si>
  <si>
    <t>248140</t>
  </si>
  <si>
    <t>105</t>
  </si>
  <si>
    <t>36105</t>
  </si>
  <si>
    <t>89002</t>
  </si>
  <si>
    <t>84081</t>
  </si>
  <si>
    <t>98002</t>
  </si>
  <si>
    <t>266400</t>
  </si>
  <si>
    <t>92879</t>
  </si>
  <si>
    <t>422113</t>
  </si>
  <si>
    <t>37120</t>
  </si>
  <si>
    <t>11237</t>
  </si>
  <si>
    <t>89404</t>
  </si>
  <si>
    <t>07901</t>
  </si>
  <si>
    <t>16056</t>
  </si>
  <si>
    <t>16059</t>
  </si>
  <si>
    <t>02767</t>
  </si>
  <si>
    <t>05060</t>
  </si>
  <si>
    <t>73057</t>
  </si>
  <si>
    <t>94587</t>
  </si>
  <si>
    <t>33069</t>
  </si>
  <si>
    <t>91744</t>
  </si>
  <si>
    <t>56543</t>
  </si>
  <si>
    <t>94901</t>
  </si>
  <si>
    <t>95618</t>
  </si>
  <si>
    <t>500084</t>
  </si>
  <si>
    <t>353300</t>
  </si>
  <si>
    <t>95637</t>
  </si>
  <si>
    <t>98584</t>
  </si>
  <si>
    <t>32055</t>
  </si>
  <si>
    <t>750000</t>
  </si>
  <si>
    <t>70101</t>
  </si>
  <si>
    <t>75000</t>
  </si>
  <si>
    <t>91367</t>
  </si>
  <si>
    <t>81400</t>
  </si>
  <si>
    <t>303301</t>
  </si>
  <si>
    <t>730000</t>
  </si>
  <si>
    <t>743000</t>
  </si>
  <si>
    <t>17557</t>
  </si>
  <si>
    <t>78644</t>
  </si>
  <si>
    <t>385310</t>
  </si>
  <si>
    <t>14052</t>
  </si>
  <si>
    <t>82204</t>
  </si>
  <si>
    <t>30140</t>
  </si>
  <si>
    <t>55426</t>
  </si>
  <si>
    <t>100021</t>
  </si>
  <si>
    <t>68862</t>
  </si>
  <si>
    <t>15675</t>
  </si>
  <si>
    <t>98953</t>
  </si>
  <si>
    <t>13035</t>
  </si>
  <si>
    <t>53703</t>
  </si>
  <si>
    <t>444805</t>
  </si>
  <si>
    <t>90746</t>
  </si>
  <si>
    <t>90744</t>
  </si>
  <si>
    <t>94080</t>
  </si>
  <si>
    <t>06516</t>
  </si>
  <si>
    <t>62568</t>
  </si>
  <si>
    <t>33177</t>
  </si>
  <si>
    <t>08820</t>
  </si>
  <si>
    <t>60555</t>
  </si>
  <si>
    <t>89431</t>
  </si>
  <si>
    <t>57103</t>
  </si>
  <si>
    <t>19406</t>
  </si>
  <si>
    <t>79045</t>
  </si>
  <si>
    <t>1428</t>
  </si>
  <si>
    <t>384151</t>
  </si>
  <si>
    <t>92705</t>
  </si>
  <si>
    <t>20785</t>
  </si>
  <si>
    <t>80221</t>
  </si>
  <si>
    <t>80648</t>
  </si>
  <si>
    <t>78617</t>
  </si>
  <si>
    <t>88430</t>
  </si>
  <si>
    <t>81144</t>
  </si>
  <si>
    <t>19079</t>
  </si>
  <si>
    <t>22601</t>
  </si>
  <si>
    <t>10400</t>
  </si>
  <si>
    <t>48878</t>
  </si>
  <si>
    <t>68854</t>
  </si>
  <si>
    <t>H2Y2G3</t>
  </si>
  <si>
    <t>R3P 1C7</t>
  </si>
  <si>
    <t>07071</t>
  </si>
  <si>
    <t>58200</t>
  </si>
  <si>
    <t>04041</t>
  </si>
  <si>
    <t>051</t>
  </si>
  <si>
    <t>55951</t>
  </si>
  <si>
    <t>60911-7015</t>
  </si>
  <si>
    <t>68371</t>
  </si>
  <si>
    <t>51520</t>
  </si>
  <si>
    <t>49858</t>
  </si>
  <si>
    <t>80103</t>
  </si>
  <si>
    <t>54622</t>
  </si>
  <si>
    <t>98660</t>
  </si>
  <si>
    <t>60449</t>
  </si>
  <si>
    <t>43824</t>
  </si>
  <si>
    <t>98928</t>
  </si>
  <si>
    <t>332102</t>
  </si>
  <si>
    <t>110048</t>
  </si>
  <si>
    <t>81151</t>
  </si>
  <si>
    <t>60510</t>
  </si>
  <si>
    <t>16142</t>
  </si>
  <si>
    <t>48453</t>
  </si>
  <si>
    <t>90703</t>
  </si>
  <si>
    <t>50230</t>
  </si>
  <si>
    <t>46226</t>
  </si>
  <si>
    <t>313001</t>
  </si>
  <si>
    <t>93241</t>
  </si>
  <si>
    <t>92274</t>
  </si>
  <si>
    <t>93561</t>
  </si>
  <si>
    <t>32340</t>
  </si>
  <si>
    <t>94928</t>
  </si>
  <si>
    <t>04736</t>
  </si>
  <si>
    <t>80549</t>
  </si>
  <si>
    <t>5105</t>
  </si>
  <si>
    <t>302022</t>
  </si>
  <si>
    <t>45221</t>
  </si>
  <si>
    <t>15464</t>
  </si>
  <si>
    <t>04350</t>
  </si>
  <si>
    <t>41810-820</t>
  </si>
  <si>
    <t>77041</t>
  </si>
  <si>
    <t>63102</t>
  </si>
  <si>
    <t>442301</t>
  </si>
  <si>
    <t>59016</t>
  </si>
  <si>
    <t>07030</t>
  </si>
  <si>
    <t>3355</t>
  </si>
  <si>
    <t>311312</t>
  </si>
  <si>
    <t>311612</t>
  </si>
  <si>
    <t>77029</t>
  </si>
  <si>
    <t>64120</t>
  </si>
  <si>
    <t>560061</t>
  </si>
  <si>
    <t>77514</t>
  </si>
  <si>
    <t>335002</t>
  </si>
  <si>
    <t>27215</t>
  </si>
  <si>
    <t>62801</t>
  </si>
  <si>
    <t>37813</t>
  </si>
  <si>
    <t>422215</t>
  </si>
  <si>
    <t>58104</t>
  </si>
  <si>
    <t>58072</t>
  </si>
  <si>
    <t>57201</t>
  </si>
  <si>
    <t>.</t>
  </si>
  <si>
    <t>37110-2555</t>
  </si>
  <si>
    <t>61377</t>
  </si>
  <si>
    <t>49505</t>
  </si>
  <si>
    <t>49512</t>
  </si>
  <si>
    <t>68512</t>
  </si>
  <si>
    <t>67863</t>
  </si>
  <si>
    <t>49042-9716</t>
  </si>
  <si>
    <t>98273</t>
  </si>
  <si>
    <t>156300</t>
  </si>
  <si>
    <t>150431</t>
  </si>
  <si>
    <t>155602</t>
  </si>
  <si>
    <t>152300</t>
  </si>
  <si>
    <t>161621</t>
  </si>
  <si>
    <t>161032</t>
  </si>
  <si>
    <t>32819</t>
  </si>
  <si>
    <t>48849</t>
  </si>
  <si>
    <t>08505</t>
  </si>
  <si>
    <t>30328</t>
  </si>
  <si>
    <t>74110</t>
  </si>
  <si>
    <t>10576</t>
  </si>
  <si>
    <t>81324</t>
  </si>
  <si>
    <t>89506</t>
  </si>
  <si>
    <t>15027</t>
  </si>
  <si>
    <t>56181</t>
  </si>
  <si>
    <t>262401</t>
  </si>
  <si>
    <t>181132</t>
  </si>
  <si>
    <t>44700</t>
  </si>
  <si>
    <t>43443</t>
  </si>
  <si>
    <t>49707</t>
  </si>
  <si>
    <t>07102</t>
  </si>
  <si>
    <t>950000</t>
  </si>
  <si>
    <t>81321</t>
  </si>
  <si>
    <t>225302</t>
  </si>
  <si>
    <t>96038</t>
  </si>
  <si>
    <t>97401</t>
  </si>
  <si>
    <t>81416</t>
  </si>
  <si>
    <t>84314</t>
  </si>
  <si>
    <t>71801</t>
  </si>
  <si>
    <t>028001</t>
  </si>
  <si>
    <t>92841</t>
  </si>
  <si>
    <t>12503</t>
  </si>
  <si>
    <t>68818</t>
  </si>
  <si>
    <t>97862</t>
  </si>
  <si>
    <t>410126</t>
  </si>
  <si>
    <t>54452</t>
  </si>
  <si>
    <t>17555</t>
  </si>
  <si>
    <t>55954</t>
  </si>
  <si>
    <t>11042</t>
  </si>
  <si>
    <t>12400</t>
  </si>
  <si>
    <t>83444</t>
  </si>
  <si>
    <t>80301</t>
  </si>
  <si>
    <t>93657</t>
  </si>
  <si>
    <t>44870</t>
  </si>
  <si>
    <t>760502</t>
  </si>
  <si>
    <t>60164</t>
  </si>
  <si>
    <t>15457</t>
  </si>
  <si>
    <t>180103</t>
  </si>
  <si>
    <t>45701</t>
  </si>
  <si>
    <t>13000</t>
  </si>
  <si>
    <t>29180</t>
  </si>
  <si>
    <t>44970</t>
  </si>
  <si>
    <t>63701</t>
  </si>
  <si>
    <t>024500</t>
  </si>
  <si>
    <t>010000</t>
  </si>
  <si>
    <t>01500</t>
  </si>
  <si>
    <t>92648</t>
  </si>
  <si>
    <t>60638</t>
  </si>
  <si>
    <t>15845</t>
  </si>
  <si>
    <t>10550</t>
  </si>
  <si>
    <t>33309</t>
  </si>
  <si>
    <t>38111</t>
  </si>
  <si>
    <t>07050</t>
  </si>
  <si>
    <t>01982</t>
  </si>
  <si>
    <t>04352</t>
  </si>
  <si>
    <t>1109</t>
  </si>
  <si>
    <t>07059</t>
  </si>
  <si>
    <t>461111</t>
  </si>
  <si>
    <t>522004</t>
  </si>
  <si>
    <t>453441</t>
  </si>
  <si>
    <t>95913</t>
  </si>
  <si>
    <t>49328</t>
  </si>
  <si>
    <t>07524</t>
  </si>
  <si>
    <t>19344</t>
  </si>
  <si>
    <t>66532</t>
  </si>
  <si>
    <t>35102</t>
  </si>
  <si>
    <t>92058</t>
  </si>
  <si>
    <t>454552</t>
  </si>
  <si>
    <t>425001</t>
  </si>
  <si>
    <t>324005</t>
  </si>
  <si>
    <t>360023</t>
  </si>
  <si>
    <t>451331</t>
  </si>
  <si>
    <t>60911</t>
  </si>
  <si>
    <t>10310</t>
  </si>
  <si>
    <t>136132</t>
  </si>
  <si>
    <t>94560</t>
  </si>
  <si>
    <t>17837</t>
  </si>
  <si>
    <t>53094</t>
  </si>
  <si>
    <t>06580</t>
  </si>
  <si>
    <t>480106</t>
  </si>
  <si>
    <t>683574</t>
  </si>
  <si>
    <t>50848</t>
  </si>
  <si>
    <t>48456</t>
  </si>
  <si>
    <t>50566</t>
  </si>
  <si>
    <t>56267</t>
  </si>
  <si>
    <t>90040</t>
  </si>
  <si>
    <t>02466</t>
  </si>
  <si>
    <t>90503</t>
  </si>
  <si>
    <t>132106</t>
  </si>
  <si>
    <t>130061</t>
  </si>
  <si>
    <t>136507</t>
  </si>
  <si>
    <t>138000</t>
  </si>
  <si>
    <t>137000</t>
  </si>
  <si>
    <t>59017</t>
  </si>
  <si>
    <t>342001</t>
  </si>
  <si>
    <t>93622</t>
  </si>
  <si>
    <t>52335</t>
  </si>
  <si>
    <t>68405</t>
  </si>
  <si>
    <t>55044</t>
  </si>
  <si>
    <t>19365</t>
  </si>
  <si>
    <t>14521</t>
  </si>
  <si>
    <t>59263</t>
  </si>
  <si>
    <t>54812</t>
  </si>
  <si>
    <t>06359</t>
  </si>
  <si>
    <t>1009</t>
  </si>
  <si>
    <t>97838</t>
  </si>
  <si>
    <t>88200000</t>
  </si>
  <si>
    <t>45110</t>
  </si>
  <si>
    <t>451001</t>
  </si>
  <si>
    <t>342314</t>
  </si>
  <si>
    <t>98005</t>
  </si>
  <si>
    <t>234</t>
  </si>
  <si>
    <t>43351</t>
  </si>
  <si>
    <t>43316</t>
  </si>
  <si>
    <t>66103</t>
  </si>
  <si>
    <t>67860</t>
  </si>
  <si>
    <t>80302</t>
  </si>
  <si>
    <t>22567</t>
  </si>
  <si>
    <t>93901</t>
  </si>
  <si>
    <t>68745</t>
  </si>
  <si>
    <t>50317</t>
  </si>
  <si>
    <t>71261</t>
  </si>
  <si>
    <t>07002</t>
  </si>
  <si>
    <t>19506</t>
  </si>
  <si>
    <t>70444</t>
  </si>
  <si>
    <t>43040</t>
  </si>
  <si>
    <t>40000</t>
  </si>
  <si>
    <t>80504</t>
  </si>
  <si>
    <t>74000</t>
  </si>
  <si>
    <t>8120</t>
  </si>
  <si>
    <t>46345</t>
  </si>
  <si>
    <t>92081</t>
  </si>
  <si>
    <t>80654</t>
  </si>
  <si>
    <t>93665</t>
  </si>
  <si>
    <t>85606</t>
  </si>
  <si>
    <t>15021</t>
  </si>
  <si>
    <t>60613</t>
  </si>
  <si>
    <t>17833</t>
  </si>
  <si>
    <t>45170</t>
  </si>
  <si>
    <t>50597-8524</t>
  </si>
  <si>
    <t>68017</t>
  </si>
  <si>
    <t>27604</t>
  </si>
  <si>
    <t>93930</t>
  </si>
  <si>
    <t>4702</t>
  </si>
  <si>
    <t>68729</t>
  </si>
  <si>
    <t>J2X 5V5</t>
  </si>
  <si>
    <t>20910</t>
  </si>
  <si>
    <t>2812</t>
  </si>
  <si>
    <t>95403</t>
  </si>
  <si>
    <t>2942</t>
  </si>
  <si>
    <t>46032</t>
  </si>
  <si>
    <t>63359</t>
  </si>
  <si>
    <t>2601</t>
  </si>
  <si>
    <t>48616</t>
  </si>
  <si>
    <t>45750</t>
  </si>
  <si>
    <t>21620</t>
  </si>
  <si>
    <t>77661</t>
  </si>
  <si>
    <t>50140</t>
  </si>
  <si>
    <t>33009</t>
  </si>
  <si>
    <t>17752</t>
  </si>
  <si>
    <t>53156</t>
  </si>
  <si>
    <t>59020</t>
  </si>
  <si>
    <t>84043</t>
  </si>
  <si>
    <t>85215-2531</t>
  </si>
  <si>
    <t>04240</t>
  </si>
  <si>
    <t>11224</t>
  </si>
  <si>
    <t>12401</t>
  </si>
  <si>
    <t>62656</t>
  </si>
  <si>
    <t>10500</t>
  </si>
  <si>
    <t>04988</t>
  </si>
  <si>
    <t>94710</t>
  </si>
  <si>
    <t>83864</t>
  </si>
  <si>
    <t>125212</t>
  </si>
  <si>
    <t>52410</t>
  </si>
  <si>
    <t>67700</t>
  </si>
  <si>
    <t>52405</t>
  </si>
  <si>
    <t>52400</t>
  </si>
  <si>
    <t>83347</t>
  </si>
  <si>
    <t>72024</t>
  </si>
  <si>
    <t>521</t>
  </si>
  <si>
    <t>55057</t>
  </si>
  <si>
    <t>53121</t>
  </si>
  <si>
    <t>94804</t>
  </si>
  <si>
    <t>61739</t>
  </si>
  <si>
    <t>55424</t>
  </si>
  <si>
    <t>48178</t>
  </si>
  <si>
    <t>04553</t>
  </si>
  <si>
    <t>95974</t>
  </si>
  <si>
    <t>V6E 2R1</t>
  </si>
  <si>
    <t>24503</t>
  </si>
  <si>
    <t>10309</t>
  </si>
  <si>
    <t>17519</t>
  </si>
  <si>
    <t>131408</t>
  </si>
  <si>
    <t>1609</t>
  </si>
  <si>
    <t>40460</t>
  </si>
  <si>
    <t>388270</t>
  </si>
  <si>
    <t>15022</t>
  </si>
  <si>
    <t>04976</t>
  </si>
  <si>
    <t>97632</t>
  </si>
  <si>
    <t>95476</t>
  </si>
  <si>
    <t>49220</t>
  </si>
  <si>
    <t>2469</t>
  </si>
  <si>
    <t>94577</t>
  </si>
  <si>
    <t>45690-000</t>
  </si>
  <si>
    <t>94514</t>
  </si>
  <si>
    <t>67114</t>
  </si>
  <si>
    <t>21550</t>
  </si>
  <si>
    <t>64653</t>
  </si>
  <si>
    <t>52590</t>
  </si>
  <si>
    <t>60642</t>
  </si>
  <si>
    <t>29438</t>
  </si>
  <si>
    <t>98105</t>
  </si>
  <si>
    <t>68652</t>
  </si>
  <si>
    <t>98264</t>
  </si>
  <si>
    <t>01373</t>
  </si>
  <si>
    <t>343022</t>
  </si>
  <si>
    <t>65301</t>
  </si>
  <si>
    <t>400093</t>
  </si>
  <si>
    <t>44606</t>
  </si>
  <si>
    <t>17601</t>
  </si>
  <si>
    <t>97601</t>
  </si>
  <si>
    <t>2092</t>
  </si>
  <si>
    <t>36150</t>
  </si>
  <si>
    <t>92620</t>
  </si>
  <si>
    <t>68856</t>
  </si>
  <si>
    <t>55439</t>
  </si>
  <si>
    <t>85211</t>
  </si>
  <si>
    <t>95961</t>
  </si>
  <si>
    <t>44859</t>
  </si>
  <si>
    <t>48856</t>
  </si>
  <si>
    <t>58482</t>
  </si>
  <si>
    <t>01845</t>
  </si>
  <si>
    <t>14541</t>
  </si>
  <si>
    <t>61455</t>
  </si>
  <si>
    <t>22192</t>
  </si>
  <si>
    <t>74482-150</t>
  </si>
  <si>
    <t>75373-899</t>
  </si>
  <si>
    <t>54982</t>
  </si>
  <si>
    <t>57006</t>
  </si>
  <si>
    <t>69027</t>
  </si>
  <si>
    <t>380052</t>
  </si>
  <si>
    <t>18017</t>
  </si>
  <si>
    <t>44633</t>
  </si>
  <si>
    <t>58601</t>
  </si>
  <si>
    <t>91761</t>
  </si>
  <si>
    <t>+233</t>
  </si>
  <si>
    <t>15084</t>
  </si>
  <si>
    <t>04910</t>
  </si>
  <si>
    <t>48809</t>
  </si>
  <si>
    <t>2800</t>
  </si>
  <si>
    <t>94608</t>
  </si>
  <si>
    <t>46268</t>
  </si>
  <si>
    <t>83341</t>
  </si>
  <si>
    <t>94608-1004</t>
  </si>
  <si>
    <t>85354</t>
  </si>
  <si>
    <t>59442</t>
  </si>
  <si>
    <t>59404</t>
  </si>
  <si>
    <t>603405</t>
  </si>
  <si>
    <t>04862</t>
  </si>
  <si>
    <t>95678</t>
  </si>
  <si>
    <t>4214</t>
  </si>
  <si>
    <t>43337</t>
  </si>
  <si>
    <t>95407</t>
  </si>
  <si>
    <t>05821</t>
  </si>
  <si>
    <t>82001</t>
  </si>
  <si>
    <t>92562</t>
  </si>
  <si>
    <t>84319</t>
  </si>
  <si>
    <t>06776</t>
  </si>
  <si>
    <t>93446</t>
  </si>
  <si>
    <t>44662</t>
  </si>
  <si>
    <t>60948</t>
  </si>
  <si>
    <t>400063</t>
  </si>
  <si>
    <t>33609</t>
  </si>
  <si>
    <t>11378</t>
  </si>
  <si>
    <t>29642</t>
  </si>
  <si>
    <t>95337</t>
  </si>
  <si>
    <t>01038</t>
  </si>
  <si>
    <t>457777</t>
  </si>
  <si>
    <t>35160</t>
  </si>
  <si>
    <t>90723</t>
  </si>
  <si>
    <t>15088</t>
  </si>
  <si>
    <t>455227</t>
  </si>
  <si>
    <t>98382</t>
  </si>
  <si>
    <t>98223</t>
  </si>
  <si>
    <t>35603</t>
  </si>
  <si>
    <t>07093</t>
  </si>
  <si>
    <t>18052</t>
  </si>
  <si>
    <t>43607</t>
  </si>
  <si>
    <t>80403</t>
  </si>
  <si>
    <t>431104</t>
  </si>
  <si>
    <t>81123</t>
  </si>
  <si>
    <t>560100</t>
  </si>
  <si>
    <t>635107</t>
  </si>
  <si>
    <t>65706</t>
  </si>
  <si>
    <t>95691</t>
  </si>
  <si>
    <t>56737</t>
  </si>
  <si>
    <t>408570</t>
  </si>
  <si>
    <t>08540</t>
  </si>
  <si>
    <t>18.600-005</t>
  </si>
  <si>
    <t>08810</t>
  </si>
  <si>
    <t>110036</t>
  </si>
  <si>
    <t>98604</t>
  </si>
  <si>
    <t>132108</t>
  </si>
  <si>
    <t>131028</t>
  </si>
  <si>
    <t>80303</t>
  </si>
  <si>
    <t>98230</t>
  </si>
  <si>
    <t>53089</t>
  </si>
  <si>
    <t>161600</t>
  </si>
  <si>
    <t>4022</t>
  </si>
  <si>
    <t>44849</t>
  </si>
  <si>
    <t>79350</t>
  </si>
  <si>
    <t>33487</t>
  </si>
  <si>
    <t>01301</t>
  </si>
  <si>
    <t>94010</t>
  </si>
  <si>
    <t>13021</t>
  </si>
  <si>
    <t>32060</t>
  </si>
  <si>
    <t>07016</t>
  </si>
  <si>
    <t>50010</t>
  </si>
  <si>
    <t>10220</t>
  </si>
  <si>
    <t>47000</t>
  </si>
  <si>
    <t>33130</t>
  </si>
  <si>
    <t>21710</t>
  </si>
  <si>
    <t>43148</t>
  </si>
  <si>
    <t>563130</t>
  </si>
  <si>
    <t>94533</t>
  </si>
  <si>
    <t>45875</t>
  </si>
  <si>
    <t>55305</t>
  </si>
  <si>
    <t>58487</t>
  </si>
  <si>
    <t>04103</t>
  </si>
  <si>
    <t>14624</t>
  </si>
  <si>
    <t>99362</t>
  </si>
  <si>
    <t>98233</t>
  </si>
  <si>
    <t>89434</t>
  </si>
  <si>
    <t>60108</t>
  </si>
  <si>
    <t>67871</t>
  </si>
  <si>
    <t>83702</t>
  </si>
  <si>
    <t>07424</t>
  </si>
  <si>
    <t>S4V 3L7</t>
  </si>
  <si>
    <t>34102</t>
  </si>
  <si>
    <t>516126</t>
  </si>
  <si>
    <t>08103</t>
  </si>
  <si>
    <t>07039</t>
  </si>
  <si>
    <t>33156</t>
  </si>
  <si>
    <t>01710</t>
  </si>
  <si>
    <t>91745</t>
  </si>
  <si>
    <t>103</t>
  </si>
  <si>
    <t>10301</t>
  </si>
  <si>
    <t>83337</t>
  </si>
  <si>
    <t>53158</t>
  </si>
  <si>
    <t>69168</t>
  </si>
  <si>
    <t>10006</t>
  </si>
  <si>
    <t>98226</t>
  </si>
  <si>
    <t>04762</t>
  </si>
  <si>
    <t>94702</t>
  </si>
  <si>
    <t>08825</t>
  </si>
  <si>
    <t>68763</t>
  </si>
  <si>
    <t>43700</t>
  </si>
  <si>
    <t>48426</t>
  </si>
  <si>
    <t>2040</t>
  </si>
  <si>
    <t>334</t>
  </si>
  <si>
    <t>210431</t>
  </si>
  <si>
    <t>95503</t>
  </si>
  <si>
    <t>97214</t>
  </si>
  <si>
    <t>68649</t>
  </si>
  <si>
    <t>20850</t>
  </si>
  <si>
    <t>77389</t>
  </si>
  <si>
    <t>77377</t>
  </si>
  <si>
    <t>1426</t>
  </si>
  <si>
    <t>472442</t>
  </si>
  <si>
    <t>710065</t>
  </si>
  <si>
    <t>670000</t>
  </si>
  <si>
    <t>505209</t>
  </si>
  <si>
    <t>34357</t>
  </si>
  <si>
    <t>63120</t>
  </si>
  <si>
    <t>10454</t>
  </si>
  <si>
    <t>94563</t>
  </si>
  <si>
    <t>35400</t>
  </si>
  <si>
    <t>08822</t>
  </si>
  <si>
    <t>43844</t>
  </si>
  <si>
    <t>2751 GP</t>
  </si>
  <si>
    <t>480559</t>
  </si>
  <si>
    <t>93725</t>
  </si>
  <si>
    <t>46158</t>
  </si>
  <si>
    <t>56567</t>
  </si>
  <si>
    <t>74060</t>
  </si>
  <si>
    <t>77044</t>
  </si>
  <si>
    <t>85122-4338</t>
  </si>
  <si>
    <t>79025</t>
  </si>
  <si>
    <t>11100</t>
  </si>
  <si>
    <t>424306</t>
  </si>
  <si>
    <t>10801</t>
  </si>
  <si>
    <t>58317</t>
  </si>
  <si>
    <t>98198</t>
  </si>
  <si>
    <t>98236</t>
  </si>
  <si>
    <t>19711</t>
  </si>
  <si>
    <t>1669</t>
  </si>
  <si>
    <t>79084</t>
  </si>
  <si>
    <t>45380</t>
  </si>
  <si>
    <t>63563</t>
  </si>
  <si>
    <t>98390</t>
  </si>
  <si>
    <t>17870</t>
  </si>
  <si>
    <t>H3E 1T9</t>
  </si>
  <si>
    <t>685531</t>
  </si>
  <si>
    <t>46004</t>
  </si>
  <si>
    <t>67581</t>
  </si>
  <si>
    <t>628901</t>
  </si>
  <si>
    <t>33137</t>
  </si>
  <si>
    <t>6450</t>
  </si>
  <si>
    <t>59538</t>
  </si>
  <si>
    <t>66110</t>
  </si>
  <si>
    <t>21804</t>
  </si>
  <si>
    <t>42240</t>
  </si>
  <si>
    <t>28358</t>
  </si>
  <si>
    <t>31069</t>
  </si>
  <si>
    <t>49001</t>
  </si>
  <si>
    <t>150140</t>
  </si>
  <si>
    <t>40037</t>
  </si>
  <si>
    <t>65711</t>
  </si>
  <si>
    <t>6725</t>
  </si>
  <si>
    <t>560091</t>
  </si>
  <si>
    <t>156100</t>
  </si>
  <si>
    <t>262128</t>
  </si>
  <si>
    <t>94060</t>
  </si>
  <si>
    <t>98841</t>
  </si>
  <si>
    <t>80216</t>
  </si>
  <si>
    <t>450114</t>
  </si>
  <si>
    <t>97670-000</t>
  </si>
  <si>
    <t>53807</t>
  </si>
  <si>
    <t>95668</t>
  </si>
  <si>
    <t>95955</t>
  </si>
  <si>
    <t>48414</t>
  </si>
  <si>
    <t>12130</t>
  </si>
  <si>
    <t>68730</t>
  </si>
  <si>
    <t>53115</t>
  </si>
  <si>
    <t>84059</t>
  </si>
  <si>
    <t>93619</t>
  </si>
  <si>
    <t>2923</t>
  </si>
  <si>
    <t>59501</t>
  </si>
  <si>
    <t>58487-9362</t>
  </si>
  <si>
    <t>06901</t>
  </si>
  <si>
    <t>54667</t>
  </si>
  <si>
    <t>562127</t>
  </si>
  <si>
    <t>95448</t>
  </si>
  <si>
    <t>122004</t>
  </si>
  <si>
    <t>33312</t>
  </si>
  <si>
    <t>562114</t>
  </si>
  <si>
    <t>577111</t>
  </si>
  <si>
    <t>93940</t>
  </si>
  <si>
    <t>05826</t>
  </si>
  <si>
    <t>00637</t>
  </si>
  <si>
    <t>64720</t>
  </si>
  <si>
    <t>170303</t>
  </si>
  <si>
    <t>17-07-9231</t>
  </si>
  <si>
    <t>07040</t>
  </si>
  <si>
    <t>52353</t>
  </si>
  <si>
    <t>99344</t>
  </si>
  <si>
    <t>80758</t>
  </si>
  <si>
    <t>76109</t>
  </si>
  <si>
    <t>92833</t>
  </si>
  <si>
    <t>382024</t>
  </si>
  <si>
    <t>56232</t>
  </si>
  <si>
    <t>54889</t>
  </si>
  <si>
    <t>91706</t>
  </si>
  <si>
    <t>266555</t>
  </si>
  <si>
    <t>266200</t>
  </si>
  <si>
    <t>266071</t>
  </si>
  <si>
    <t>266061</t>
  </si>
  <si>
    <t>266109</t>
  </si>
  <si>
    <t>266000</t>
  </si>
  <si>
    <t>81057</t>
  </si>
  <si>
    <t>33166</t>
  </si>
  <si>
    <t>95115-550</t>
  </si>
  <si>
    <t>78612</t>
  </si>
  <si>
    <t>93635</t>
  </si>
  <si>
    <t>60954</t>
  </si>
  <si>
    <t>143022</t>
  </si>
  <si>
    <t>82050</t>
  </si>
  <si>
    <t>18709-899</t>
  </si>
  <si>
    <t>98092</t>
  </si>
  <si>
    <t>560056</t>
  </si>
  <si>
    <t>97230</t>
  </si>
  <si>
    <t>102</t>
  </si>
  <si>
    <t>50639</t>
  </si>
  <si>
    <t>384140</t>
  </si>
  <si>
    <t>343041</t>
  </si>
  <si>
    <t>384160</t>
  </si>
  <si>
    <t>457779</t>
  </si>
  <si>
    <t>303106</t>
  </si>
  <si>
    <t>48416</t>
  </si>
  <si>
    <t>80651</t>
  </si>
  <si>
    <t>68701</t>
  </si>
  <si>
    <t>14883</t>
  </si>
  <si>
    <t>98134</t>
  </si>
  <si>
    <t>43045</t>
  </si>
  <si>
    <t>08837</t>
  </si>
  <si>
    <t>05602</t>
  </si>
  <si>
    <t>57042</t>
  </si>
  <si>
    <t>07624</t>
  </si>
  <si>
    <t>23231</t>
  </si>
  <si>
    <t>96134</t>
  </si>
  <si>
    <t>14850</t>
  </si>
  <si>
    <t>560058</t>
  </si>
  <si>
    <t>21076</t>
  </si>
  <si>
    <t>14000</t>
  </si>
  <si>
    <t>53959</t>
  </si>
  <si>
    <t>33027</t>
  </si>
  <si>
    <t>01803</t>
  </si>
  <si>
    <t>98108</t>
  </si>
  <si>
    <t>54411</t>
  </si>
  <si>
    <t>55379</t>
  </si>
  <si>
    <t>50466</t>
  </si>
  <si>
    <t>M9M 2Z7</t>
  </si>
  <si>
    <t>77511</t>
  </si>
  <si>
    <t>38106</t>
  </si>
  <si>
    <t>68924</t>
  </si>
  <si>
    <t>18020</t>
  </si>
  <si>
    <t>50511</t>
  </si>
  <si>
    <t>06482</t>
  </si>
  <si>
    <t>68828</t>
  </si>
  <si>
    <t>V2R 4B7</t>
  </si>
  <si>
    <t>95694</t>
  </si>
  <si>
    <t>81052</t>
  </si>
  <si>
    <t>642674</t>
  </si>
  <si>
    <t>2148</t>
  </si>
  <si>
    <t>95645</t>
  </si>
  <si>
    <t>04443</t>
  </si>
  <si>
    <t>59344</t>
  </si>
  <si>
    <t>54612</t>
  </si>
  <si>
    <t>80732</t>
  </si>
  <si>
    <t>1900</t>
  </si>
  <si>
    <t>72206</t>
  </si>
  <si>
    <t>48733</t>
  </si>
  <si>
    <t>577452</t>
  </si>
  <si>
    <t>302020</t>
  </si>
  <si>
    <t>303007</t>
  </si>
  <si>
    <t>92672</t>
  </si>
  <si>
    <t>305624</t>
  </si>
  <si>
    <t>45227</t>
  </si>
  <si>
    <t>321001</t>
  </si>
  <si>
    <t>412308</t>
  </si>
  <si>
    <t>444001</t>
  </si>
  <si>
    <t>98032</t>
  </si>
  <si>
    <t>44851</t>
  </si>
  <si>
    <t>76230</t>
  </si>
  <si>
    <t>27410-6211</t>
  </si>
  <si>
    <t>34234</t>
  </si>
  <si>
    <t>33905</t>
  </si>
  <si>
    <t>181133</t>
  </si>
  <si>
    <t>452001</t>
  </si>
  <si>
    <t>400710</t>
  </si>
  <si>
    <t>49107</t>
  </si>
  <si>
    <t>58012</t>
  </si>
  <si>
    <t>97303</t>
  </si>
  <si>
    <t>49070</t>
  </si>
  <si>
    <t>82243</t>
  </si>
  <si>
    <t>68776</t>
  </si>
  <si>
    <t>92821</t>
  </si>
  <si>
    <t>83619</t>
  </si>
  <si>
    <t>L4K 3N1</t>
  </si>
  <si>
    <t>302017</t>
  </si>
  <si>
    <t>33430</t>
  </si>
  <si>
    <t>86828000</t>
  </si>
  <si>
    <t>10329</t>
  </si>
  <si>
    <t>4162</t>
  </si>
  <si>
    <t>78912</t>
  </si>
  <si>
    <t>92101</t>
  </si>
  <si>
    <t>98136</t>
  </si>
  <si>
    <t>49424</t>
  </si>
  <si>
    <t>V5T 2T5</t>
  </si>
  <si>
    <t>M1V 2V3</t>
  </si>
  <si>
    <t>255399</t>
  </si>
  <si>
    <t>200120</t>
  </si>
  <si>
    <t>37400</t>
  </si>
  <si>
    <t>92284</t>
  </si>
  <si>
    <t>370205</t>
  </si>
  <si>
    <t>396170</t>
  </si>
  <si>
    <t>14532</t>
  </si>
  <si>
    <t>19134</t>
  </si>
  <si>
    <t>27253</t>
  </si>
  <si>
    <t>171219</t>
  </si>
  <si>
    <t>143009</t>
  </si>
  <si>
    <t>131101</t>
  </si>
  <si>
    <t>454446</t>
  </si>
  <si>
    <t>424201</t>
  </si>
  <si>
    <t>370421</t>
  </si>
  <si>
    <t>342027</t>
  </si>
  <si>
    <t>621000</t>
  </si>
  <si>
    <t>614500</t>
  </si>
  <si>
    <t>416115</t>
  </si>
  <si>
    <t>60099</t>
  </si>
  <si>
    <t>12201</t>
  </si>
  <si>
    <t>58331</t>
  </si>
  <si>
    <t>44460</t>
  </si>
  <si>
    <t>21227</t>
  </si>
  <si>
    <t>55369</t>
  </si>
  <si>
    <t>08846</t>
  </si>
  <si>
    <t>786001</t>
  </si>
  <si>
    <t>73170</t>
  </si>
  <si>
    <t>23938</t>
  </si>
  <si>
    <t>45069</t>
  </si>
  <si>
    <t>10009</t>
  </si>
  <si>
    <t>N1R 7L3</t>
  </si>
  <si>
    <t>3870000</t>
  </si>
  <si>
    <t>2084</t>
  </si>
  <si>
    <t>3002</t>
  </si>
  <si>
    <t>80022</t>
  </si>
  <si>
    <t>45435000</t>
  </si>
  <si>
    <t>7163</t>
  </si>
  <si>
    <t>72479</t>
  </si>
  <si>
    <t>122105</t>
  </si>
  <si>
    <t>4066</t>
  </si>
  <si>
    <t>2760</t>
  </si>
  <si>
    <t>6727</t>
  </si>
  <si>
    <t>72021</t>
  </si>
  <si>
    <t>77477</t>
  </si>
  <si>
    <t>500081</t>
  </si>
  <si>
    <t>501401</t>
  </si>
  <si>
    <t>500078</t>
  </si>
  <si>
    <t>77378</t>
  </si>
  <si>
    <t>60124</t>
  </si>
  <si>
    <t>11300</t>
  </si>
  <si>
    <t>70700</t>
  </si>
  <si>
    <t>68716</t>
  </si>
  <si>
    <t>94306</t>
  </si>
  <si>
    <t>96032</t>
  </si>
  <si>
    <t>90621</t>
  </si>
  <si>
    <t>110039</t>
  </si>
  <si>
    <t>48659</t>
  </si>
  <si>
    <t>8146</t>
  </si>
  <si>
    <t>17032</t>
  </si>
  <si>
    <t>8160</t>
  </si>
  <si>
    <t>57252</t>
  </si>
  <si>
    <t>33149</t>
  </si>
  <si>
    <t>14059</t>
  </si>
  <si>
    <t>63826</t>
  </si>
  <si>
    <t>17810</t>
  </si>
  <si>
    <t>98597</t>
  </si>
  <si>
    <t>12534</t>
  </si>
  <si>
    <t>98848</t>
  </si>
  <si>
    <t>59522</t>
  </si>
  <si>
    <t>59479</t>
  </si>
  <si>
    <t>95469</t>
  </si>
  <si>
    <t>33154</t>
  </si>
  <si>
    <t>6701</t>
  </si>
  <si>
    <t>03130</t>
  </si>
  <si>
    <t>95912</t>
  </si>
  <si>
    <t>110009</t>
  </si>
  <si>
    <t>07058</t>
  </si>
  <si>
    <t>11000</t>
  </si>
  <si>
    <t>17821</t>
  </si>
  <si>
    <t>92078</t>
  </si>
  <si>
    <t>55056</t>
  </si>
  <si>
    <t>1904</t>
  </si>
  <si>
    <t>55310</t>
  </si>
  <si>
    <t>96150</t>
  </si>
  <si>
    <t>55037</t>
  </si>
  <si>
    <t>95917</t>
  </si>
  <si>
    <t>61120</t>
  </si>
  <si>
    <t>562111</t>
  </si>
  <si>
    <t>N0N 1R0</t>
  </si>
  <si>
    <t>560047</t>
  </si>
  <si>
    <t>57210</t>
  </si>
  <si>
    <t>10570</t>
  </si>
  <si>
    <t>56331</t>
  </si>
  <si>
    <t>3978</t>
  </si>
  <si>
    <t>16201</t>
  </si>
  <si>
    <t>431640</t>
  </si>
  <si>
    <t>60301</t>
  </si>
  <si>
    <t>0051</t>
  </si>
  <si>
    <t>415105</t>
  </si>
  <si>
    <t>412214</t>
  </si>
  <si>
    <t>91746</t>
  </si>
  <si>
    <t>51346</t>
  </si>
  <si>
    <t>59100</t>
  </si>
  <si>
    <t>76131</t>
  </si>
  <si>
    <t>77713</t>
  </si>
  <si>
    <t>01133</t>
  </si>
  <si>
    <t>37290</t>
  </si>
  <si>
    <t>10130</t>
  </si>
  <si>
    <t>33210</t>
  </si>
  <si>
    <t>83211</t>
  </si>
  <si>
    <t>89118</t>
  </si>
  <si>
    <t>45203</t>
  </si>
  <si>
    <t>85009</t>
  </si>
  <si>
    <t>75006</t>
  </si>
  <si>
    <t>91789</t>
  </si>
  <si>
    <t>08027</t>
  </si>
  <si>
    <t>33054</t>
  </si>
  <si>
    <t>29223</t>
  </si>
  <si>
    <t>60436</t>
  </si>
  <si>
    <t>53585</t>
  </si>
  <si>
    <t>07012</t>
  </si>
  <si>
    <t>45202</t>
  </si>
  <si>
    <t>04953</t>
  </si>
  <si>
    <t>03820</t>
  </si>
  <si>
    <t>89032</t>
  </si>
  <si>
    <t>336100</t>
  </si>
  <si>
    <t>83716</t>
  </si>
  <si>
    <t>96123</t>
  </si>
  <si>
    <t>80027</t>
  </si>
  <si>
    <t>97206</t>
  </si>
  <si>
    <t>84003</t>
  </si>
  <si>
    <t>56557</t>
  </si>
  <si>
    <t>300450</t>
  </si>
  <si>
    <t>69360-5214</t>
  </si>
  <si>
    <t>12184</t>
  </si>
  <si>
    <t>59485</t>
  </si>
  <si>
    <t>98240</t>
  </si>
  <si>
    <t>57043</t>
  </si>
  <si>
    <t>08873</t>
  </si>
  <si>
    <t>50313</t>
  </si>
  <si>
    <t>46952</t>
  </si>
  <si>
    <t>53521</t>
  </si>
  <si>
    <t>07042</t>
  </si>
  <si>
    <t>60018</t>
  </si>
  <si>
    <t>12120</t>
  </si>
  <si>
    <t>91016</t>
  </si>
  <si>
    <t>56037</t>
  </si>
  <si>
    <t>60146</t>
  </si>
  <si>
    <t>263153</t>
  </si>
  <si>
    <t>53716</t>
  </si>
  <si>
    <t>80751</t>
  </si>
  <si>
    <t>80631</t>
  </si>
  <si>
    <t>79347</t>
  </si>
  <si>
    <t>389340</t>
  </si>
  <si>
    <t>98650</t>
  </si>
  <si>
    <t>2652 XK</t>
  </si>
  <si>
    <t>90620</t>
  </si>
  <si>
    <t>20150</t>
  </si>
  <si>
    <t>1043</t>
  </si>
  <si>
    <t>29927</t>
  </si>
  <si>
    <t>48066</t>
  </si>
  <si>
    <t>35401</t>
  </si>
  <si>
    <t>17815</t>
  </si>
  <si>
    <t>83330</t>
  </si>
  <si>
    <t>04358</t>
  </si>
  <si>
    <t>97204</t>
  </si>
  <si>
    <t>34160</t>
  </si>
  <si>
    <t>40214</t>
  </si>
  <si>
    <t>06820</t>
  </si>
  <si>
    <t>4115</t>
  </si>
  <si>
    <t>19605</t>
  </si>
  <si>
    <t>06239</t>
  </si>
  <si>
    <t>07701</t>
  </si>
  <si>
    <t>2731</t>
  </si>
  <si>
    <t>04468</t>
  </si>
  <si>
    <t>58218</t>
  </si>
  <si>
    <t>246435</t>
  </si>
  <si>
    <t>98229</t>
  </si>
  <si>
    <t>10110</t>
  </si>
  <si>
    <t>63111</t>
  </si>
  <si>
    <t>61700000</t>
  </si>
  <si>
    <t>59623-300</t>
  </si>
  <si>
    <t>61110</t>
  </si>
  <si>
    <t>560064</t>
  </si>
  <si>
    <t>90021</t>
  </si>
  <si>
    <t>66538-2145</t>
  </si>
  <si>
    <t>342012</t>
  </si>
  <si>
    <t>75074</t>
  </si>
  <si>
    <t>R0M 1K0</t>
  </si>
  <si>
    <t>462043</t>
  </si>
  <si>
    <t>85343</t>
  </si>
  <si>
    <t>91150</t>
  </si>
  <si>
    <t>4814 DB</t>
  </si>
  <si>
    <t>84165-720</t>
  </si>
  <si>
    <t>3800</t>
  </si>
  <si>
    <t>44618</t>
  </si>
  <si>
    <t>02043</t>
  </si>
  <si>
    <t>94124</t>
  </si>
  <si>
    <t>19547</t>
  </si>
  <si>
    <t>970000</t>
  </si>
  <si>
    <t>70000</t>
  </si>
  <si>
    <t>110065</t>
  </si>
  <si>
    <t>14507</t>
  </si>
  <si>
    <t>95606</t>
  </si>
  <si>
    <t>07410</t>
  </si>
  <si>
    <t>M2N 6N5</t>
  </si>
  <si>
    <t>394310</t>
  </si>
  <si>
    <t>96765-000</t>
  </si>
  <si>
    <t>133002</t>
  </si>
  <si>
    <t>42286</t>
  </si>
  <si>
    <t>21912</t>
  </si>
  <si>
    <t>90602</t>
  </si>
  <si>
    <t>10940</t>
  </si>
  <si>
    <t>72738</t>
  </si>
  <si>
    <t>74343</t>
  </si>
  <si>
    <t>90670</t>
  </si>
  <si>
    <t>58225</t>
  </si>
  <si>
    <t>92881</t>
  </si>
  <si>
    <t>55019</t>
  </si>
  <si>
    <t>93227</t>
  </si>
  <si>
    <t>59802</t>
  </si>
  <si>
    <t>98272</t>
  </si>
  <si>
    <t>78703</t>
  </si>
  <si>
    <t>46392</t>
  </si>
  <si>
    <t>443402</t>
  </si>
  <si>
    <t>40203</t>
  </si>
  <si>
    <t>91107</t>
  </si>
  <si>
    <t>80537</t>
  </si>
  <si>
    <t>55614</t>
  </si>
  <si>
    <t>99360</t>
  </si>
  <si>
    <t>65285</t>
  </si>
  <si>
    <t>11206</t>
  </si>
  <si>
    <t>04735</t>
  </si>
  <si>
    <t>60087</t>
  </si>
  <si>
    <t>08817</t>
  </si>
  <si>
    <t>07003</t>
  </si>
  <si>
    <t>57536</t>
  </si>
  <si>
    <t>55065-8800</t>
  </si>
  <si>
    <t>22113</t>
  </si>
  <si>
    <t>33014</t>
  </si>
  <si>
    <t>361009</t>
  </si>
  <si>
    <t>836099</t>
  </si>
  <si>
    <t>830026</t>
  </si>
  <si>
    <t>07001</t>
  </si>
  <si>
    <t>59254</t>
  </si>
  <si>
    <t>04734</t>
  </si>
  <si>
    <t>59046</t>
  </si>
  <si>
    <t>94117</t>
  </si>
  <si>
    <t>32809</t>
  </si>
  <si>
    <t>314406</t>
  </si>
  <si>
    <t>48729</t>
  </si>
  <si>
    <t>47872</t>
  </si>
  <si>
    <t>83607</t>
  </si>
  <si>
    <t>County Code</t>
  </si>
  <si>
    <t>083</t>
  </si>
  <si>
    <t>153</t>
  </si>
  <si>
    <t>147</t>
  </si>
  <si>
    <t>115</t>
  </si>
  <si>
    <t>245</t>
  </si>
  <si>
    <t>093</t>
  </si>
  <si>
    <t>011</t>
  </si>
  <si>
    <t>109</t>
  </si>
  <si>
    <t>169</t>
  </si>
  <si>
    <t>049</t>
  </si>
  <si>
    <t>071</t>
  </si>
  <si>
    <t>089</t>
  </si>
  <si>
    <t>015</t>
  </si>
  <si>
    <t>013</t>
  </si>
  <si>
    <t>047</t>
  </si>
  <si>
    <t>001</t>
  </si>
  <si>
    <t>017</t>
  </si>
  <si>
    <t>007</t>
  </si>
  <si>
    <t>031</t>
  </si>
  <si>
    <t>019</t>
  </si>
  <si>
    <t>423</t>
  </si>
  <si>
    <t>097</t>
  </si>
  <si>
    <t>003</t>
  </si>
  <si>
    <t>035</t>
  </si>
  <si>
    <t>079</t>
  </si>
  <si>
    <t>193</t>
  </si>
  <si>
    <t>077</t>
  </si>
  <si>
    <t>069</t>
  </si>
  <si>
    <t>085</t>
  </si>
  <si>
    <t>043</t>
  </si>
  <si>
    <t>369</t>
  </si>
  <si>
    <t>101</t>
  </si>
  <si>
    <t>165</t>
  </si>
  <si>
    <t>027</t>
  </si>
  <si>
    <t>099</t>
  </si>
  <si>
    <t>151</t>
  </si>
  <si>
    <t>039</t>
  </si>
  <si>
    <t>037</t>
  </si>
  <si>
    <t>209</t>
  </si>
  <si>
    <t>087</t>
  </si>
  <si>
    <t>119</t>
  </si>
  <si>
    <t>123</t>
  </si>
  <si>
    <t>021</t>
  </si>
  <si>
    <t>145</t>
  </si>
  <si>
    <t>111</t>
  </si>
  <si>
    <t>133</t>
  </si>
  <si>
    <t>439</t>
  </si>
  <si>
    <t>167</t>
  </si>
  <si>
    <t>143</t>
  </si>
  <si>
    <t>179</t>
  </si>
  <si>
    <t>005</t>
  </si>
  <si>
    <t>157</t>
  </si>
  <si>
    <t>067</t>
  </si>
  <si>
    <t>073</t>
  </si>
  <si>
    <t>055</t>
  </si>
  <si>
    <t>091</t>
  </si>
  <si>
    <t>065</t>
  </si>
  <si>
    <t>081</t>
  </si>
  <si>
    <t>009</t>
  </si>
  <si>
    <t>029</t>
  </si>
  <si>
    <t>075</t>
  </si>
  <si>
    <t>061</t>
  </si>
  <si>
    <t>063</t>
  </si>
  <si>
    <t>117</t>
  </si>
  <si>
    <t>161</t>
  </si>
  <si>
    <t>163</t>
  </si>
  <si>
    <t>125</t>
  </si>
  <si>
    <t>059</t>
  </si>
  <si>
    <t>137</t>
  </si>
  <si>
    <t>195</t>
  </si>
  <si>
    <t>127</t>
  </si>
  <si>
    <t>053</t>
  </si>
  <si>
    <t>510</t>
  </si>
  <si>
    <t>023</t>
  </si>
  <si>
    <t>251</t>
  </si>
  <si>
    <t>041</t>
  </si>
  <si>
    <t>129</t>
  </si>
  <si>
    <t>086</t>
  </si>
  <si>
    <t>453</t>
  </si>
  <si>
    <t>045</t>
  </si>
  <si>
    <t>185</t>
  </si>
  <si>
    <t>197</t>
  </si>
  <si>
    <t>201</t>
  </si>
  <si>
    <t>095</t>
  </si>
  <si>
    <t>121</t>
  </si>
  <si>
    <t>203</t>
  </si>
  <si>
    <t>149</t>
  </si>
  <si>
    <t>173</t>
  </si>
  <si>
    <t>057</t>
  </si>
  <si>
    <t>159</t>
  </si>
  <si>
    <t>175</t>
  </si>
  <si>
    <t>131</t>
  </si>
  <si>
    <t>680</t>
  </si>
  <si>
    <t>225</t>
  </si>
  <si>
    <t>303</t>
  </si>
  <si>
    <t>171</t>
  </si>
  <si>
    <t>135</t>
  </si>
  <si>
    <t>421</t>
  </si>
  <si>
    <t>199</t>
  </si>
  <si>
    <t>155</t>
  </si>
  <si>
    <t>229</t>
  </si>
  <si>
    <t>139</t>
  </si>
  <si>
    <t>141</t>
  </si>
  <si>
    <t>219</t>
  </si>
  <si>
    <t>County</t>
  </si>
  <si>
    <t>Twin Falls County</t>
  </si>
  <si>
    <t>Polk County</t>
  </si>
  <si>
    <t>Steele County</t>
  </si>
  <si>
    <t>Dawson County</t>
  </si>
  <si>
    <t>Jefferson County</t>
  </si>
  <si>
    <t>Montour County</t>
  </si>
  <si>
    <t>Colusa County</t>
  </si>
  <si>
    <t>Louisa County</t>
  </si>
  <si>
    <t>Yolo County</t>
  </si>
  <si>
    <t>Wabash County</t>
  </si>
  <si>
    <t>Clinton County</t>
  </si>
  <si>
    <t>Lancaster County</t>
  </si>
  <si>
    <t>Suffolk County</t>
  </si>
  <si>
    <t>Howard County</t>
  </si>
  <si>
    <t>Gloucester County</t>
  </si>
  <si>
    <t>Brown County</t>
  </si>
  <si>
    <t>Freeborn County</t>
  </si>
  <si>
    <t>Alameda County</t>
  </si>
  <si>
    <t>El Dorado County</t>
  </si>
  <si>
    <t>Elko County</t>
  </si>
  <si>
    <t>Cook County</t>
  </si>
  <si>
    <t>Berrien County</t>
  </si>
  <si>
    <t>Smith County</t>
  </si>
  <si>
    <t>Seneca County</t>
  </si>
  <si>
    <t>Sonoma County</t>
  </si>
  <si>
    <t>Bergen County</t>
  </si>
  <si>
    <t>Cherokee County</t>
  </si>
  <si>
    <t>Broward County</t>
  </si>
  <si>
    <t>Milwaukee County</t>
  </si>
  <si>
    <t>Woodbury County</t>
  </si>
  <si>
    <t>San Joaquin County</t>
  </si>
  <si>
    <t>San Benito County</t>
  </si>
  <si>
    <t>Santa Clara County</t>
  </si>
  <si>
    <t>Fremont County</t>
  </si>
  <si>
    <t>Dane County</t>
  </si>
  <si>
    <t>Parmer County</t>
  </si>
  <si>
    <t>Toole County</t>
  </si>
  <si>
    <t>Sutter County</t>
  </si>
  <si>
    <t>Wells County</t>
  </si>
  <si>
    <t>Rockingham County</t>
  </si>
  <si>
    <t>Clay County</t>
  </si>
  <si>
    <t>Boulder County</t>
  </si>
  <si>
    <t>Stanislaus County</t>
  </si>
  <si>
    <t>Washington County</t>
  </si>
  <si>
    <t>Lane County</t>
  </si>
  <si>
    <t>Aroostook County</t>
  </si>
  <si>
    <t>Los Angeles County</t>
  </si>
  <si>
    <t>Windham County</t>
  </si>
  <si>
    <t>York County</t>
  </si>
  <si>
    <t>San Bernardino County</t>
  </si>
  <si>
    <t>Hays County</t>
  </si>
  <si>
    <t>Mercer County</t>
  </si>
  <si>
    <t>DuPage County</t>
  </si>
  <si>
    <t>Santa Cruz County</t>
  </si>
  <si>
    <t>Westchester County</t>
  </si>
  <si>
    <t>Butte County</t>
  </si>
  <si>
    <t>Nicollet County</t>
  </si>
  <si>
    <t>Siskiyou County</t>
  </si>
  <si>
    <t>Ramsey County</t>
  </si>
  <si>
    <t>Glenn County</t>
  </si>
  <si>
    <t>Pawnee County</t>
  </si>
  <si>
    <t>Utah County</t>
  </si>
  <si>
    <t>Iowa County</t>
  </si>
  <si>
    <t>Ventura County</t>
  </si>
  <si>
    <t>Waukesha County</t>
  </si>
  <si>
    <t>Gaston County</t>
  </si>
  <si>
    <t>Bradford County</t>
  </si>
  <si>
    <t>Tarrant County</t>
  </si>
  <si>
    <t>Sioux County</t>
  </si>
  <si>
    <t>Knox County</t>
  </si>
  <si>
    <t>Peoria County</t>
  </si>
  <si>
    <t>Waldo County</t>
  </si>
  <si>
    <t>Nelson County</t>
  </si>
  <si>
    <t>Bristol County</t>
  </si>
  <si>
    <t>Fayette County</t>
  </si>
  <si>
    <t>Hamilton County</t>
  </si>
  <si>
    <t>Clackamas County</t>
  </si>
  <si>
    <t>Lake County</t>
  </si>
  <si>
    <t>Tuscola County</t>
  </si>
  <si>
    <t>Carroll County</t>
  </si>
  <si>
    <t>LaSalle County</t>
  </si>
  <si>
    <t>La Plata County</t>
  </si>
  <si>
    <t>Franklin County</t>
  </si>
  <si>
    <t>Howell County</t>
  </si>
  <si>
    <t>Cache County</t>
  </si>
  <si>
    <t>Colfax County</t>
  </si>
  <si>
    <t>Madera County</t>
  </si>
  <si>
    <t>Riverside County</t>
  </si>
  <si>
    <t>Santa Fe County</t>
  </si>
  <si>
    <t>Union County</t>
  </si>
  <si>
    <t>Kimball County</t>
  </si>
  <si>
    <t>Monroe County</t>
  </si>
  <si>
    <t>Morrow County</t>
  </si>
  <si>
    <t>Benton County</t>
  </si>
  <si>
    <t>Essex County</t>
  </si>
  <si>
    <t>Box Elder County</t>
  </si>
  <si>
    <t>Caribou County</t>
  </si>
  <si>
    <t>Cedar County</t>
  </si>
  <si>
    <t>Holmes County</t>
  </si>
  <si>
    <t>Steuben County</t>
  </si>
  <si>
    <t>Gallatin County</t>
  </si>
  <si>
    <t>Cascade County</t>
  </si>
  <si>
    <t>Mountrail County</t>
  </si>
  <si>
    <t>Mecklenburg County</t>
  </si>
  <si>
    <t>Yates County</t>
  </si>
  <si>
    <t>Huron County</t>
  </si>
  <si>
    <t>Arkansas County</t>
  </si>
  <si>
    <t>Cobb County</t>
  </si>
  <si>
    <t>Montcalm County</t>
  </si>
  <si>
    <t>Washtenaw County</t>
  </si>
  <si>
    <t>Wheatland County</t>
  </si>
  <si>
    <t>Lee County</t>
  </si>
  <si>
    <t>Hawaii County</t>
  </si>
  <si>
    <t>Cumberland County</t>
  </si>
  <si>
    <t>Greene County</t>
  </si>
  <si>
    <t>Decatur County</t>
  </si>
  <si>
    <t>Wayne County</t>
  </si>
  <si>
    <t>New York County</t>
  </si>
  <si>
    <t>Foster County</t>
  </si>
  <si>
    <t>Brule County</t>
  </si>
  <si>
    <t>Cass County</t>
  </si>
  <si>
    <t>Umatilla County</t>
  </si>
  <si>
    <t>Fresno County</t>
  </si>
  <si>
    <t>Somerset County</t>
  </si>
  <si>
    <t>Berks County</t>
  </si>
  <si>
    <t>Cherry County</t>
  </si>
  <si>
    <t>Norton County</t>
  </si>
  <si>
    <t>Ionia County</t>
  </si>
  <si>
    <t>Hutchinson County</t>
  </si>
  <si>
    <t>Lebanon County</t>
  </si>
  <si>
    <t>Madison County</t>
  </si>
  <si>
    <t>Walworth County</t>
  </si>
  <si>
    <t>Dallam County</t>
  </si>
  <si>
    <t>Harford County</t>
  </si>
  <si>
    <t>Volusia County</t>
  </si>
  <si>
    <t>Lapeer County</t>
  </si>
  <si>
    <t>Deuel County</t>
  </si>
  <si>
    <t>Laramie County</t>
  </si>
  <si>
    <t>Rock County</t>
  </si>
  <si>
    <t>Henderson County</t>
  </si>
  <si>
    <t>Hennepin County</t>
  </si>
  <si>
    <t>La Crosse County</t>
  </si>
  <si>
    <t>Antelope County</t>
  </si>
  <si>
    <t>St. Louis city</t>
  </si>
  <si>
    <t>Calaveras County</t>
  </si>
  <si>
    <t>Guthrie County</t>
  </si>
  <si>
    <t>Collier County</t>
  </si>
  <si>
    <t>Multnomah County</t>
  </si>
  <si>
    <t>Durham County</t>
  </si>
  <si>
    <t>Racine County</t>
  </si>
  <si>
    <t>Delaware County</t>
  </si>
  <si>
    <t>Lenawee County</t>
  </si>
  <si>
    <t>Humboldt County</t>
  </si>
  <si>
    <t>Passaic County</t>
  </si>
  <si>
    <t>Houston County</t>
  </si>
  <si>
    <t>Larimer County</t>
  </si>
  <si>
    <t>Tioga County</t>
  </si>
  <si>
    <t>Johnson County</t>
  </si>
  <si>
    <t>Lincoln County</t>
  </si>
  <si>
    <t>McLeod County</t>
  </si>
  <si>
    <t>Monterey County</t>
  </si>
  <si>
    <t>Swift County</t>
  </si>
  <si>
    <t>Tompkins County</t>
  </si>
  <si>
    <t>Cheyenne County</t>
  </si>
  <si>
    <t>Jackson County</t>
  </si>
  <si>
    <t>Ingham County</t>
  </si>
  <si>
    <t>Jasper County</t>
  </si>
  <si>
    <t>Montgomery County</t>
  </si>
  <si>
    <t>Clark County</t>
  </si>
  <si>
    <t>King County</t>
  </si>
  <si>
    <t>Butler County</t>
  </si>
  <si>
    <t>Orange County</t>
  </si>
  <si>
    <t>Wilkin County</t>
  </si>
  <si>
    <t>Marin County</t>
  </si>
  <si>
    <t>Columbia County</t>
  </si>
  <si>
    <t>Caldwell County</t>
  </si>
  <si>
    <t>Erie County</t>
  </si>
  <si>
    <t>Westmoreland County</t>
  </si>
  <si>
    <t>San Mateo County</t>
  </si>
  <si>
    <t>Christian County</t>
  </si>
  <si>
    <t>Miami-Dade County</t>
  </si>
  <si>
    <t>Washoe County</t>
  </si>
  <si>
    <t>Minnehaha County</t>
  </si>
  <si>
    <t>Deaf Smith County</t>
  </si>
  <si>
    <t>Weld County</t>
  </si>
  <si>
    <t>Travis County</t>
  </si>
  <si>
    <t>Quay County</t>
  </si>
  <si>
    <t>Rio Grande County</t>
  </si>
  <si>
    <t>Isabella County</t>
  </si>
  <si>
    <t>Oxford County</t>
  </si>
  <si>
    <t>Mower County</t>
  </si>
  <si>
    <t>Iroquois County</t>
  </si>
  <si>
    <t>Crawford County</t>
  </si>
  <si>
    <t>Menominee County</t>
  </si>
  <si>
    <t>Adams County</t>
  </si>
  <si>
    <t>Buffalo County</t>
  </si>
  <si>
    <t>Will County</t>
  </si>
  <si>
    <t>Coshocton County</t>
  </si>
  <si>
    <t>Kane County</t>
  </si>
  <si>
    <t>Lawrence County</t>
  </si>
  <si>
    <t>Sanilac County</t>
  </si>
  <si>
    <t>Marion County</t>
  </si>
  <si>
    <t>Kern County</t>
  </si>
  <si>
    <t>Kennebec County</t>
  </si>
  <si>
    <t>Harris County</t>
  </si>
  <si>
    <t>Chambers County</t>
  </si>
  <si>
    <t>Barnes County</t>
  </si>
  <si>
    <t>Codington County</t>
  </si>
  <si>
    <t>Marshall County</t>
  </si>
  <si>
    <t>Kent County</t>
  </si>
  <si>
    <t>Wichita County</t>
  </si>
  <si>
    <t>St. Joseph County</t>
  </si>
  <si>
    <t>Dolores County</t>
  </si>
  <si>
    <t>Martin County</t>
  </si>
  <si>
    <t>Wood County</t>
  </si>
  <si>
    <t>Alpena County</t>
  </si>
  <si>
    <t>Pueblo County</t>
  </si>
  <si>
    <t>Hempstead County</t>
  </si>
  <si>
    <t>Marathon County</t>
  </si>
  <si>
    <t>Fillmore County</t>
  </si>
  <si>
    <t>Athens County</t>
  </si>
  <si>
    <t>Fairfield County</t>
  </si>
  <si>
    <t>Cape Girardeau County</t>
  </si>
  <si>
    <t>Allegan County</t>
  </si>
  <si>
    <t>Chester County</t>
  </si>
  <si>
    <t>San Diego County</t>
  </si>
  <si>
    <t>Taylor County</t>
  </si>
  <si>
    <t>Keokuk County</t>
  </si>
  <si>
    <t>Seward County</t>
  </si>
  <si>
    <t>Daniels County</t>
  </si>
  <si>
    <t>Barron County</t>
  </si>
  <si>
    <t>Wyandot County</t>
  </si>
  <si>
    <t>Wyandotte County</t>
  </si>
  <si>
    <t>Kearny County</t>
  </si>
  <si>
    <t>Morehouse Parish</t>
  </si>
  <si>
    <t>Tangipahoa Parish</t>
  </si>
  <si>
    <t>Windsor County</t>
  </si>
  <si>
    <t>LaPorte County</t>
  </si>
  <si>
    <t>Morgan County</t>
  </si>
  <si>
    <t>Merced County</t>
  </si>
  <si>
    <t>Cochise County</t>
  </si>
  <si>
    <t>Snyder County</t>
  </si>
  <si>
    <t>Kossuth County</t>
  </si>
  <si>
    <t>Audrain County</t>
  </si>
  <si>
    <t>Saginaw County</t>
  </si>
  <si>
    <t>Lycoming County</t>
  </si>
  <si>
    <t>Maricopa County</t>
  </si>
  <si>
    <t>Androscoggin County</t>
  </si>
  <si>
    <t>Kings County</t>
  </si>
  <si>
    <t>Chouteau County</t>
  </si>
  <si>
    <t>Logan County</t>
  </si>
  <si>
    <t>Jerome County</t>
  </si>
  <si>
    <t>Lonoke County</t>
  </si>
  <si>
    <t>Rice County</t>
  </si>
  <si>
    <t>Contra Costa County</t>
  </si>
  <si>
    <t>Livingston County</t>
  </si>
  <si>
    <t>Lynchburg city</t>
  </si>
  <si>
    <t>Klamath County</t>
  </si>
  <si>
    <t>Becker County</t>
  </si>
  <si>
    <t>Hillsdale County</t>
  </si>
  <si>
    <t>Harvey County</t>
  </si>
  <si>
    <t>Garrett County</t>
  </si>
  <si>
    <t>Linn County</t>
  </si>
  <si>
    <t>Boone County</t>
  </si>
  <si>
    <t>Pettis County</t>
  </si>
  <si>
    <t>Custer County</t>
  </si>
  <si>
    <t>Yuba County</t>
  </si>
  <si>
    <t>Ashland County</t>
  </si>
  <si>
    <t>Gratiot County</t>
  </si>
  <si>
    <t>Eaton County</t>
  </si>
  <si>
    <t>Kidder County</t>
  </si>
  <si>
    <t>Waushara County</t>
  </si>
  <si>
    <t>Middlesex County</t>
  </si>
  <si>
    <t>Stark County</t>
  </si>
  <si>
    <t>Hancock County</t>
  </si>
  <si>
    <t>Caledonia County</t>
  </si>
  <si>
    <t>Pickens County</t>
  </si>
  <si>
    <t>Hudson County</t>
  </si>
  <si>
    <t>Lehigh County</t>
  </si>
  <si>
    <t>Lucas County</t>
  </si>
  <si>
    <t>Costilla County</t>
  </si>
  <si>
    <t>Webster County</t>
  </si>
  <si>
    <t>Whatcom County</t>
  </si>
  <si>
    <t>Lubbock County</t>
  </si>
  <si>
    <t>Cayuga County</t>
  </si>
  <si>
    <t>Suwannee County</t>
  </si>
  <si>
    <t>Story County</t>
  </si>
  <si>
    <t>Solano County</t>
  </si>
  <si>
    <t>Putnam County</t>
  </si>
  <si>
    <t>Scott County</t>
  </si>
  <si>
    <t>Ada County</t>
  </si>
  <si>
    <t>Camas County</t>
  </si>
  <si>
    <t>Kenosha County</t>
  </si>
  <si>
    <t>Perkins County</t>
  </si>
  <si>
    <t>Holt County</t>
  </si>
  <si>
    <t>Dodge County</t>
  </si>
  <si>
    <t>Otter Tail County</t>
  </si>
  <si>
    <t>Pinal County</t>
  </si>
  <si>
    <t>Towner County</t>
  </si>
  <si>
    <t>New Castle County</t>
  </si>
  <si>
    <t>Sherman County</t>
  </si>
  <si>
    <t>Darke County</t>
  </si>
  <si>
    <t>Scotland County</t>
  </si>
  <si>
    <t>Reno County</t>
  </si>
  <si>
    <t>Phillips County</t>
  </si>
  <si>
    <t>Wicomico County</t>
  </si>
  <si>
    <t>Robeson County</t>
  </si>
  <si>
    <t>Kalamazoo County</t>
  </si>
  <si>
    <t>Wright County</t>
  </si>
  <si>
    <t>Lafayette County</t>
  </si>
  <si>
    <t>Shiawassee County</t>
  </si>
  <si>
    <t>Hill County</t>
  </si>
  <si>
    <t>Salt Lake County</t>
  </si>
  <si>
    <t>Vernon County</t>
  </si>
  <si>
    <t>Orleans County</t>
  </si>
  <si>
    <t>Yuma County</t>
  </si>
  <si>
    <t>Lac qui Parle County</t>
  </si>
  <si>
    <t>Bastrop County</t>
  </si>
  <si>
    <t>Kankakee County</t>
  </si>
  <si>
    <t>Faribault County</t>
  </si>
  <si>
    <t>Stanton County</t>
  </si>
  <si>
    <t>Henrico County</t>
  </si>
  <si>
    <t>Sauk County</t>
  </si>
  <si>
    <t>Mitchell County</t>
  </si>
  <si>
    <t>Brazoria County</t>
  </si>
  <si>
    <t>Shelby County</t>
  </si>
  <si>
    <t>Northampton County</t>
  </si>
  <si>
    <t>Valley County</t>
  </si>
  <si>
    <t>Prowers County</t>
  </si>
  <si>
    <t>Hitchcock County</t>
  </si>
  <si>
    <t>Piscataquis County</t>
  </si>
  <si>
    <t>Fallon County</t>
  </si>
  <si>
    <t>Trempealeau County</t>
  </si>
  <si>
    <t>Pulaski County</t>
  </si>
  <si>
    <t>Goshen County</t>
  </si>
  <si>
    <t>Skagit County</t>
  </si>
  <si>
    <t>Payette County</t>
  </si>
  <si>
    <t>Ottawa County</t>
  </si>
  <si>
    <t>Ontario County</t>
  </si>
  <si>
    <t>Alamance County</t>
  </si>
  <si>
    <t>Columbiana County</t>
  </si>
  <si>
    <t>Allegany County</t>
  </si>
  <si>
    <t>Brunswick County</t>
  </si>
  <si>
    <t>Poinsett County</t>
  </si>
  <si>
    <t>Cuming County</t>
  </si>
  <si>
    <t>Dauphin County</t>
  </si>
  <si>
    <t>Grant County</t>
  </si>
  <si>
    <t>Pemiscot County</t>
  </si>
  <si>
    <t>Liberty County</t>
  </si>
  <si>
    <t>Judith Basin County</t>
  </si>
  <si>
    <t>Mendocino County</t>
  </si>
  <si>
    <t>Morris County</t>
  </si>
  <si>
    <t>Chisago County</t>
  </si>
  <si>
    <t>Pine County</t>
  </si>
  <si>
    <t>Stearns County</t>
  </si>
  <si>
    <t>Armstrong County</t>
  </si>
  <si>
    <t>O'Brien County</t>
  </si>
  <si>
    <t>Power County</t>
  </si>
  <si>
    <t>Richland County</t>
  </si>
  <si>
    <t>Penobscot County</t>
  </si>
  <si>
    <t>Strafford County</t>
  </si>
  <si>
    <t>Lassen County</t>
  </si>
  <si>
    <t>Mahnomen County</t>
  </si>
  <si>
    <t>Sheridan County</t>
  </si>
  <si>
    <t>Turner County</t>
  </si>
  <si>
    <t>Green County</t>
  </si>
  <si>
    <t>Blue Earth County</t>
  </si>
  <si>
    <t>DeKalb County</t>
  </si>
  <si>
    <t>Bailey County</t>
  </si>
  <si>
    <t>Macomb County</t>
  </si>
  <si>
    <t>Tuscaloosa County</t>
  </si>
  <si>
    <t>Traill County</t>
  </si>
  <si>
    <t>Nemaha County</t>
  </si>
  <si>
    <t>Plymouth County</t>
  </si>
  <si>
    <t>San Francisco County</t>
  </si>
  <si>
    <t>Todd County</t>
  </si>
  <si>
    <t>Modoc County</t>
  </si>
  <si>
    <t>Cecil County</t>
  </si>
  <si>
    <t>Walsh County</t>
  </si>
  <si>
    <t>Tulare County</t>
  </si>
  <si>
    <t>Bingham County</t>
  </si>
  <si>
    <t>Hughes County</t>
  </si>
  <si>
    <t>Dakota County</t>
  </si>
  <si>
    <t>Parke County</t>
  </si>
  <si>
    <t>Canyon County</t>
  </si>
  <si>
    <t>Mailing Address: Street 1</t>
  </si>
  <si>
    <t>P.O. Box 509</t>
  </si>
  <si>
    <t>PO Box 130</t>
  </si>
  <si>
    <t>2400 Pepper Road</t>
  </si>
  <si>
    <t>1302 Sand Cherry Lane</t>
  </si>
  <si>
    <t>PO Box 241</t>
  </si>
  <si>
    <t>200 NW Victoria Ave</t>
  </si>
  <si>
    <t>PO Box 1012</t>
  </si>
  <si>
    <t>Po Box 184</t>
  </si>
  <si>
    <t>P.O. Box 520</t>
  </si>
  <si>
    <t>P.O. Box 3570</t>
  </si>
  <si>
    <t>P.O. Box 999</t>
  </si>
  <si>
    <t>25079 Brush Creek Rd</t>
  </si>
  <si>
    <t>San Martín 3285</t>
  </si>
  <si>
    <t>PO 404</t>
  </si>
  <si>
    <t>9450 SW Commerce Circle, Suite 440</t>
  </si>
  <si>
    <t>13951 Senlac Drive</t>
  </si>
  <si>
    <t>PO Box 245</t>
  </si>
  <si>
    <t>1307 Sudama Nagar, 60 Feet Road</t>
  </si>
  <si>
    <t>1626 S. Joaquin Drive</t>
  </si>
  <si>
    <t>Kazanlı Mh. 32001 Sk No: 4/A</t>
  </si>
  <si>
    <t>CAL.MANUEL ARISPE NRO. 210 Z.I. URB.INDUSTRIAL LA CHALACA (ALTURA CDRA. 2 DE AV. NESTOR GAMBETA) PROV. CONST. DEL CALLAO - PROV. CONST. DEL CALLAO - CALLAO</t>
  </si>
  <si>
    <t>PO Box 127</t>
  </si>
  <si>
    <t>250 E Park Center Blvd.</t>
  </si>
  <si>
    <t>via E.Montale, 21/23</t>
  </si>
  <si>
    <t>Agoè Assiyéyé, Rue LOME</t>
  </si>
  <si>
    <t>PO Box 8</t>
  </si>
  <si>
    <t>PO Box 11</t>
  </si>
  <si>
    <t>16735 Gresham Circle</t>
  </si>
  <si>
    <t>Arenales 1457 piso 9</t>
  </si>
  <si>
    <t>319 S. Vine St.</t>
  </si>
  <si>
    <t>2225 South McDowell Blvd</t>
  </si>
  <si>
    <t>C/O- Shri Ballu Raosaheb Tayde, H No.-13, Palasgaon, Taluka Khultabad</t>
  </si>
  <si>
    <t>Naturecare Farmer Producer Company Limited, C/O- Shri Ballu Raosaheb Tayde, H No.-13, Palasgaon, Taluka Khultabad</t>
  </si>
  <si>
    <t>Naturecare Farmer Producer Company Limited, C/O- Shri Ballu Raosaheb Tayde, H No.-13, Palasgaon, Taluka- Khultabad,</t>
  </si>
  <si>
    <t>Nature Care Farmers Producer Company Limited C/O- Shri Ballu Raosaheb Tayde, H No.-13, Palasgaon, Taluka Khultabad</t>
  </si>
  <si>
    <t>CAL.LOS BRILLANTES MZA. C-1 LOTE. S15B URB. LA CAPITANA (COSTADO C.E. VIRGILIO ESPINOZA-HUACHIPA) - LURIGANCHO</t>
  </si>
  <si>
    <t>Sresta house plot No. 11, Krithika Madhapur Layout, TS.64 Madhapur</t>
  </si>
  <si>
    <t>600 Stevens Port Dr., 1 River Place, Suite 305</t>
  </si>
  <si>
    <t>2675 N. Mayfair Road STE 680</t>
  </si>
  <si>
    <t>P.O. Box 4452</t>
  </si>
  <si>
    <t>C/O Shri Ballu Raosaheb Tayde, H. NO. 13,  Palasgaon TQ Khultabad,</t>
  </si>
  <si>
    <t>C/O- Shri Ballu Raosaheb Tayde, H No.-13, Palasgaon, Taluka Khultabad,</t>
  </si>
  <si>
    <t>NatureCare Farmer Producer Company Limited, C/O. Shri. Ballu Raosaheb Tayde, H. No. 13, Palasgaon Tq, Khultabad</t>
  </si>
  <si>
    <t>C/O Shri Ballu Raosaheb Tayde, H No 13 Palasgaon Tq Khultabad,</t>
  </si>
  <si>
    <t>Nature Care Farmer Producer Company Limited  C/O- Shri Ballu Raosaheb Tayde, H No.-13, Palasgaon, Taluka Khultabad,</t>
  </si>
  <si>
    <t>Naturecare Farmer Producer Company Limited, C/O Shri Ballu Raosaheb Tayde, H No 13 Palasgaon Tq Khultabad,</t>
  </si>
  <si>
    <t>20835 Alves Dr.</t>
  </si>
  <si>
    <t>P.O. Box 391</t>
  </si>
  <si>
    <t>250 E. Sandford Blvd</t>
  </si>
  <si>
    <t>7809 Budsage Dr.</t>
  </si>
  <si>
    <t>522 FM 145</t>
  </si>
  <si>
    <t>500 N Normandie Ave</t>
  </si>
  <si>
    <t>610 Alpha Drive</t>
  </si>
  <si>
    <t>20201 Hwy 97 S</t>
  </si>
  <si>
    <t>21151 SW 115th Ave</t>
  </si>
  <si>
    <t>3750 Wynkoop St</t>
  </si>
  <si>
    <t>1875 Lawrence St., Ste. 1200</t>
  </si>
  <si>
    <t>1875 Lawrence St</t>
  </si>
  <si>
    <t>Area Rural S/N - BR 472, KM 532 A-DNER</t>
  </si>
  <si>
    <t>Registed Office:- D-184, Freedom Fighters Enclave</t>
  </si>
  <si>
    <t>1330 N Forest St</t>
  </si>
  <si>
    <t>ASOCIACION BETHEL MZA. A LOTE. 18A C.P. SAN RAMON DE PANGOA (A 1 CDRA DE L RECREO OSCAR-SUM.1467) JUNIN - SATIPO - PANGOA</t>
  </si>
  <si>
    <t>1441 Brickell Ave #1018</t>
  </si>
  <si>
    <t>Hig 12A Arvind Vihar</t>
  </si>
  <si>
    <t>79709 Dufur Valley Road</t>
  </si>
  <si>
    <t>Niranjan Nagar, Kasrawad Road</t>
  </si>
  <si>
    <t>7321 Crider Avenue</t>
  </si>
  <si>
    <t>19963 NE San Rafael St</t>
  </si>
  <si>
    <t>P.O. Box 699</t>
  </si>
  <si>
    <t>4409 Bliss Road</t>
  </si>
  <si>
    <t>PO Box 1499</t>
  </si>
  <si>
    <t>Perimetral J.M Blanes y C. Ruiz</t>
  </si>
  <si>
    <t>556 Murlark Avenue</t>
  </si>
  <si>
    <t>4700 Creek Road</t>
  </si>
  <si>
    <t>One Nutritious Place</t>
  </si>
  <si>
    <t>12 W Willow Grove Avenue</t>
  </si>
  <si>
    <t>515 W. Saint Paul St</t>
  </si>
  <si>
    <t>6009 Andrews Rd.</t>
  </si>
  <si>
    <t>4380 Co Rd N</t>
  </si>
  <si>
    <t>Sanawad Road, Ganga Nagar, Khargone (M.P.)</t>
  </si>
  <si>
    <t>116 N. Blettner Ave</t>
  </si>
  <si>
    <t>P.O. Box 8112</t>
  </si>
  <si>
    <t>355 Business Center Drive</t>
  </si>
  <si>
    <t>5051 SW Western Ave</t>
  </si>
  <si>
    <t>70 de Rotterdam</t>
  </si>
  <si>
    <t>9889 North 51st St.</t>
  </si>
  <si>
    <t>753 Springdale Drive</t>
  </si>
  <si>
    <t>PO Box 443</t>
  </si>
  <si>
    <t>PO Box 57</t>
  </si>
  <si>
    <t>1585 S. Lakeside Drive</t>
  </si>
  <si>
    <t>90 Boroline Rd</t>
  </si>
  <si>
    <t>349 Collier Way</t>
  </si>
  <si>
    <t>1405 Ottawa Avenue</t>
  </si>
  <si>
    <t>8430 S Dwight Rd</t>
  </si>
  <si>
    <t>11601 SE Foster Road, Suite A</t>
  </si>
  <si>
    <t>PO Box 2289</t>
  </si>
  <si>
    <t>PO BOX 64214</t>
  </si>
  <si>
    <t>1335 Schiferl Road</t>
  </si>
  <si>
    <t>General Paz 187</t>
  </si>
  <si>
    <t>1000 Brickell Ave Ste 715, PMB 181</t>
  </si>
  <si>
    <t>300 Park Ave</t>
  </si>
  <si>
    <t>5488 CR333</t>
  </si>
  <si>
    <t>1133 Camelback St.</t>
  </si>
  <si>
    <t>J. E. Rodo 1298</t>
  </si>
  <si>
    <t>P.O. Box 669</t>
  </si>
  <si>
    <t>12836 Alondra Blvd.</t>
  </si>
  <si>
    <t>100 Adams Dr</t>
  </si>
  <si>
    <t>15407 McGinty Rd West</t>
  </si>
  <si>
    <t>4344 S El Dorado St</t>
  </si>
  <si>
    <t>7411  Old Post Rd., #5</t>
  </si>
  <si>
    <t>Ruta nacional 18 Km 204</t>
  </si>
  <si>
    <t>PO Box 31001-4259</t>
  </si>
  <si>
    <t>PO Box 187</t>
  </si>
  <si>
    <t>Juan B. Justo 54</t>
  </si>
  <si>
    <t>4254 Seneca Road</t>
  </si>
  <si>
    <t>PO Box 7</t>
  </si>
  <si>
    <t>412 W 48th St Suite 14</t>
  </si>
  <si>
    <t>5707 Langworth Rd.</t>
  </si>
  <si>
    <t>1288 1/2 2nd Street</t>
  </si>
  <si>
    <t>17 Calle Oriente Num. 62 Col. Centro</t>
  </si>
  <si>
    <t>601 E. Kensington Rd.</t>
  </si>
  <si>
    <t>P.O. Box 535</t>
  </si>
  <si>
    <t>P.O. Box 454</t>
  </si>
  <si>
    <t>960 Kelly Toponce Rd</t>
  </si>
  <si>
    <t>PO Box 290</t>
  </si>
  <si>
    <t>815 S 2nd St</t>
  </si>
  <si>
    <t>108 E Pitt St</t>
  </si>
  <si>
    <t>PO Box 59</t>
  </si>
  <si>
    <t>350 Heidner Lane</t>
  </si>
  <si>
    <t>PO Box 116</t>
  </si>
  <si>
    <t>1300 SW 5th Ave</t>
  </si>
  <si>
    <t>PO Box 33</t>
  </si>
  <si>
    <t>P.O. Box 100</t>
  </si>
  <si>
    <t>Po Box 1252</t>
  </si>
  <si>
    <t>1473 Johnson Road</t>
  </si>
  <si>
    <t>PO Box 576</t>
  </si>
  <si>
    <t>7211 East Michigan Ave</t>
  </si>
  <si>
    <t>641 52nd Street</t>
  </si>
  <si>
    <t>PO Box 1266</t>
  </si>
  <si>
    <t>PO Box 2909</t>
  </si>
  <si>
    <t>4065 West 11th Ave #47</t>
  </si>
  <si>
    <t>502 Brown Street</t>
  </si>
  <si>
    <t>One Organic Way</t>
  </si>
  <si>
    <t>302 N Dexter POB 81</t>
  </si>
  <si>
    <t>PO Box 236</t>
  </si>
  <si>
    <t>4014 15th Ave., NW</t>
  </si>
  <si>
    <t>Dongfeng Village 158#, Zhongchang Street</t>
  </si>
  <si>
    <t>27471 McCarty Ranch LN.</t>
  </si>
  <si>
    <t>39901 Foothill Ave</t>
  </si>
  <si>
    <t>5185 Buffalo Road</t>
  </si>
  <si>
    <t>17385 Keck Rd.</t>
  </si>
  <si>
    <t>PO Box 230</t>
  </si>
  <si>
    <t>1919 Flowers Circle</t>
  </si>
  <si>
    <t>2055 NW Elder St</t>
  </si>
  <si>
    <t>W1684 Honey Creek Rd</t>
  </si>
  <si>
    <t>PO Box 515</t>
  </si>
  <si>
    <t>47 Davies Ave.</t>
  </si>
  <si>
    <t>290 Depot Street</t>
  </si>
  <si>
    <t>13700 Oakland Avenue</t>
  </si>
  <si>
    <t>P.O. Box 97</t>
  </si>
  <si>
    <t>134 North 3300 East</t>
  </si>
  <si>
    <t>870 Woods Mill Road</t>
  </si>
  <si>
    <t>Av. San Martín 75</t>
  </si>
  <si>
    <t>PO Box 256</t>
  </si>
  <si>
    <t>822 VZCR 4614</t>
  </si>
  <si>
    <t>P.O. Box 8</t>
  </si>
  <si>
    <t>3173 N 4900 E</t>
  </si>
  <si>
    <t>10222 N Wilder rd</t>
  </si>
  <si>
    <t>PO Box 94</t>
  </si>
  <si>
    <t>PO Box 24868</t>
  </si>
  <si>
    <t>1362 Dutch American Way</t>
  </si>
  <si>
    <t>PO Box 279</t>
  </si>
  <si>
    <t>20315 NE 160 Street</t>
  </si>
  <si>
    <t>Unit No. 134, Rectangle-1, Saket District Centre</t>
  </si>
  <si>
    <t>P.O. Box 355</t>
  </si>
  <si>
    <t>121 E. J St.</t>
  </si>
  <si>
    <t>PO Box 128</t>
  </si>
  <si>
    <t>165 Warsaw St.</t>
  </si>
  <si>
    <t>142 Linley Ave</t>
  </si>
  <si>
    <t>14115 Mead Street</t>
  </si>
  <si>
    <t>3056 County Rd 902</t>
  </si>
  <si>
    <t>P.O. Box 387</t>
  </si>
  <si>
    <t>Av. Belgrano 4658, piso 13, oficina E</t>
  </si>
  <si>
    <t>Box 30</t>
  </si>
  <si>
    <t>423 Salinas Rd.</t>
  </si>
  <si>
    <t>P.O. Box 370</t>
  </si>
  <si>
    <t>P.O. Box 891</t>
  </si>
  <si>
    <t>PO BOX 220</t>
  </si>
  <si>
    <t>845 Kentucky Ave.</t>
  </si>
  <si>
    <t>684 Rd 111</t>
  </si>
  <si>
    <t>62 Barn Swallow Road</t>
  </si>
  <si>
    <t>16360 CR 13</t>
  </si>
  <si>
    <t>No.78, Street 48</t>
  </si>
  <si>
    <t>PO Box 650</t>
  </si>
  <si>
    <t>10002 Harmony Hill Road</t>
  </si>
  <si>
    <t>1186 French Creek Dr</t>
  </si>
  <si>
    <t>3630 E Wawona Ave</t>
  </si>
  <si>
    <t>2611 W County Road 0 NS</t>
  </si>
  <si>
    <t>P.O. Box 251</t>
  </si>
  <si>
    <t>6941 Wildshore Dr</t>
  </si>
  <si>
    <t>PO Box 7634</t>
  </si>
  <si>
    <t>7th Floor, C-704, Mahima Panorama, Near SRN International School</t>
  </si>
  <si>
    <t>CAMINO VECINAL KM 2.5 COL. NEXNOPALA</t>
  </si>
  <si>
    <t>3059 Townsgate Road Suite 101</t>
  </si>
  <si>
    <t>1 General Mills Blvd</t>
  </si>
  <si>
    <t>4301 Harriet Lane</t>
  </si>
  <si>
    <t>PO Box 267</t>
  </si>
  <si>
    <t>27355 County 8</t>
  </si>
  <si>
    <t>1264 East Walnut St.</t>
  </si>
  <si>
    <t>19300 S.W. 137th Ave.</t>
  </si>
  <si>
    <t>ATTN: Ketul Gandhi</t>
  </si>
  <si>
    <t>7901 4th St N</t>
  </si>
  <si>
    <t>711 First Avenue</t>
  </si>
  <si>
    <t>PO Box 67</t>
  </si>
  <si>
    <t>21 Penn St</t>
  </si>
  <si>
    <t>P.O. Box 2</t>
  </si>
  <si>
    <t>PO Box 2</t>
  </si>
  <si>
    <t>Carretera San Miguel a dr.Mora km 6.5</t>
  </si>
  <si>
    <t>12058  US Hwy 87</t>
  </si>
  <si>
    <t>10400 Viking Drive</t>
  </si>
  <si>
    <t>315 Madison Street</t>
  </si>
  <si>
    <t>605 Grain Millers Drive</t>
  </si>
  <si>
    <t>333 Starke Rd.</t>
  </si>
  <si>
    <t>702 Salzburg Avenue</t>
  </si>
  <si>
    <t>9 Christensen Ct</t>
  </si>
  <si>
    <t>S2964 Indian Creek Road</t>
  </si>
  <si>
    <t>1705 NW Harborside Drive</t>
  </si>
  <si>
    <t>17839 360th Street</t>
  </si>
  <si>
    <t>P.O. Box 210</t>
  </si>
  <si>
    <t>3647 New Castle Road</t>
  </si>
  <si>
    <t>3573 Sullivan Rd</t>
  </si>
  <si>
    <t>58 Vale Road</t>
  </si>
  <si>
    <t>P.O. Box 81498</t>
  </si>
  <si>
    <t>190 Stanford Street</t>
  </si>
  <si>
    <t>PO Box 203</t>
  </si>
  <si>
    <t>Pje Bouquet 32, Cofico</t>
  </si>
  <si>
    <t>16470 State Route 20</t>
  </si>
  <si>
    <t>12231 Emmet St</t>
  </si>
  <si>
    <t>4412 W. 44th Street</t>
  </si>
  <si>
    <t>Po Box HH</t>
  </si>
  <si>
    <t>P.O. Box 2043</t>
  </si>
  <si>
    <t>2381 Rosegate</t>
  </si>
  <si>
    <t>PO Box 3201</t>
  </si>
  <si>
    <t>420 Lexington Avenue</t>
  </si>
  <si>
    <t>155 Mata Way #112</t>
  </si>
  <si>
    <t>Mangal Murthi Apartment Flat No. 2, Prabhat Nagar, Masrool, Dindori Road,</t>
  </si>
  <si>
    <t>4666 Amber Valley Parkway</t>
  </si>
  <si>
    <t>4666 Amber Valley Parkway S.</t>
  </si>
  <si>
    <t>3333 Finley Rd Suite 800</t>
  </si>
  <si>
    <t>15115 Stears Rd</t>
  </si>
  <si>
    <t>3600 Sunset Ave</t>
  </si>
  <si>
    <t>6425 Grand River Avenue</t>
  </si>
  <si>
    <t>PO Box 1150</t>
  </si>
  <si>
    <t>PO Box 721</t>
  </si>
  <si>
    <t>Khasra No. 148CHA, Mauza Chandrabani Khalsa, Mohabbewala Industrial Area</t>
  </si>
  <si>
    <t>8426 Marwede Rd</t>
  </si>
  <si>
    <t>1040 West 600 North</t>
  </si>
  <si>
    <t>2944 SE Powell Blvd</t>
  </si>
  <si>
    <t>1511 Frederickson Road</t>
  </si>
  <si>
    <t>1537 S 1600 E</t>
  </si>
  <si>
    <t>1912 Industrial Way</t>
  </si>
  <si>
    <t>Yulong Industrial Park,</t>
  </si>
  <si>
    <t>2911 Pepper Rd</t>
  </si>
  <si>
    <t>CAR.CAR. PANAMERICANA SUR KM. 37.2 MZA. G1 LOTE. 3 Z.I. ASOCIACION SUMAQ PACHA LIMA - LIMA - LURIN</t>
  </si>
  <si>
    <t>2019 West Orangewood Ave.</t>
  </si>
  <si>
    <t>2 Corporate Drive</t>
  </si>
  <si>
    <t>4 Hickory Road</t>
  </si>
  <si>
    <t>4260 Capital Circle Drive</t>
  </si>
  <si>
    <t>Po Box 2381</t>
  </si>
  <si>
    <t>PO Box 88</t>
  </si>
  <si>
    <t>P.O. Box 281</t>
  </si>
  <si>
    <t>112 Eagle Ridge Dr</t>
  </si>
  <si>
    <t>P.O. Box 636</t>
  </si>
  <si>
    <t>HIG 12A ARVIND VIHAR BAGHMUGALIYA</t>
  </si>
  <si>
    <t>C/o. Sohansingh S/o. Bhagwansingh, Village Abdul Falya(Thokanbeda)</t>
  </si>
  <si>
    <t>235, Sirvel, Post- Sirvel</t>
  </si>
  <si>
    <t>13200 Danielson St.</t>
  </si>
  <si>
    <t>PO Box 14523</t>
  </si>
  <si>
    <t>6526 Ocean Crest Dr.</t>
  </si>
  <si>
    <t>P.O. Box 2455</t>
  </si>
  <si>
    <t>1703 N Randall Road</t>
  </si>
  <si>
    <t>7662 North Moscow Rd</t>
  </si>
  <si>
    <t>P.O. Box 791</t>
  </si>
  <si>
    <t>New Arvind Nagar, Behind Ice Factory, Sundarvas</t>
  </si>
  <si>
    <t>2700 Richards Road</t>
  </si>
  <si>
    <t>7148 State Hwy. 199</t>
  </si>
  <si>
    <t>205 Stockton St</t>
  </si>
  <si>
    <t>Po Box 1044</t>
  </si>
  <si>
    <t>2372 Morse Ave</t>
  </si>
  <si>
    <t>8306 Everona Rd.</t>
  </si>
  <si>
    <t>1900 Scott Avenue</t>
  </si>
  <si>
    <t>P.O. Box 650</t>
  </si>
  <si>
    <t>501 Railroad Ave</t>
  </si>
  <si>
    <t>2402 7th Street NW</t>
  </si>
  <si>
    <t>1725 Skyway Dr., Suite 140</t>
  </si>
  <si>
    <t>62 Fogg Farm Road</t>
  </si>
  <si>
    <t>PO Box 66</t>
  </si>
  <si>
    <t>6484 Silverleaf Ave</t>
  </si>
  <si>
    <t>P.O. Box 10</t>
  </si>
  <si>
    <t>PO Box 38</t>
  </si>
  <si>
    <t>433 Sayre St</t>
  </si>
  <si>
    <t>16253 SE 122nd Ave</t>
  </si>
  <si>
    <t>850 S Cypress St</t>
  </si>
  <si>
    <t>6272 Agnew Road</t>
  </si>
  <si>
    <t>Tarcoola</t>
  </si>
  <si>
    <t>PO Box 264</t>
  </si>
  <si>
    <t>Av. Olazabal 1185</t>
  </si>
  <si>
    <t>2205 E. Riverside Dr</t>
  </si>
  <si>
    <t>Av. de Los Inmigrantes 280</t>
  </si>
  <si>
    <t>Via Molino, 37</t>
  </si>
  <si>
    <t>Alvear 2251</t>
  </si>
  <si>
    <t>1265 Central Drive</t>
  </si>
  <si>
    <t>501 W Williams St., Suite 397</t>
  </si>
  <si>
    <t>PO Box 399</t>
  </si>
  <si>
    <t>S7760 Bishop Rd</t>
  </si>
  <si>
    <t>P.O. Box 1900</t>
  </si>
  <si>
    <t>4200 Concourse St.</t>
  </si>
  <si>
    <t>1134 Carlls Straight Path</t>
  </si>
  <si>
    <t>1017 State Road 17M</t>
  </si>
  <si>
    <t>7763 Lindley Mill Rd</t>
  </si>
  <si>
    <t>P.O. Box 10082</t>
  </si>
  <si>
    <t>6005 Hwy. 99</t>
  </si>
  <si>
    <t>P.O. Box 416</t>
  </si>
  <si>
    <t>PO Box 144</t>
  </si>
  <si>
    <t>San Martin 3285</t>
  </si>
  <si>
    <t>P.O. Box 301</t>
  </si>
  <si>
    <t>P.O. Box 369</t>
  </si>
  <si>
    <t>326 Mason Blvd</t>
  </si>
  <si>
    <t>3079 E. Palm Ave., Ste 101</t>
  </si>
  <si>
    <t>M/s Nirmal Natural Fibers, Near BuS Stand, Bhikangaon, Khargone, M.P</t>
  </si>
  <si>
    <t>82-B, 1st Floor, Platinum Enclave, Pocket-I, Sector-18, Rohini, North West</t>
  </si>
  <si>
    <t>2625 Weston Road SUITE D, WESTON</t>
  </si>
  <si>
    <t>Trishya Natural And Eco Products LLP, 15, Shakti Nagar Society Bhuravav, Godhra, Panch Mahals,</t>
  </si>
  <si>
    <t>PO Box 2060</t>
  </si>
  <si>
    <t>PO Box 148</t>
  </si>
  <si>
    <t>27500 Skaggs Island Road</t>
  </si>
  <si>
    <t>14191 Calhoun Rd</t>
  </si>
  <si>
    <t>PO Box 3013</t>
  </si>
  <si>
    <t>PO Box 609</t>
  </si>
  <si>
    <t>5289 Hwy NN</t>
  </si>
  <si>
    <t>103 27th St</t>
  </si>
  <si>
    <t>P.O. Box 221660</t>
  </si>
  <si>
    <t>PO Box 45607</t>
  </si>
  <si>
    <t>PO Box 206</t>
  </si>
  <si>
    <t>P.O. Box 276</t>
  </si>
  <si>
    <t>C-5/10, Agro Park, UPSIDC Kursi Road,</t>
  </si>
  <si>
    <t>7755 East Monroe Street</t>
  </si>
  <si>
    <t>7743 Hamlet Rd.</t>
  </si>
  <si>
    <t>599 West County Rd 78</t>
  </si>
  <si>
    <t>752 Interchange Drive</t>
  </si>
  <si>
    <t>3004 Hempland Road</t>
  </si>
  <si>
    <t>3144 S 3600 E Franklin</t>
  </si>
  <si>
    <t>2202 Vernon Ave</t>
  </si>
  <si>
    <t>445 North Canal Street</t>
  </si>
  <si>
    <t>P.O. Box 1552</t>
  </si>
  <si>
    <t>7500 Flying Cloud Dr.</t>
  </si>
  <si>
    <t>2953 Ridgewood Road NW</t>
  </si>
  <si>
    <t>1661 Feehanville Dr.</t>
  </si>
  <si>
    <t>PO Box A</t>
  </si>
  <si>
    <t>John F. Kennedy 160</t>
  </si>
  <si>
    <t>P.O. Box 872</t>
  </si>
  <si>
    <t>PO Box 517</t>
  </si>
  <si>
    <t>NO. 5, 12 th Street, Nandanam Extension</t>
  </si>
  <si>
    <t>6150 Mill Lane</t>
  </si>
  <si>
    <t>317 Payson Rd.</t>
  </si>
  <si>
    <t>319 S Vine St</t>
  </si>
  <si>
    <t>P.O. Box 149</t>
  </si>
  <si>
    <t>P.O. Box 20549</t>
  </si>
  <si>
    <t>P.O.Box 892713</t>
  </si>
  <si>
    <t>PO Box 50220</t>
  </si>
  <si>
    <t>P.O. Box 569</t>
  </si>
  <si>
    <t>P.O. Box 24940</t>
  </si>
  <si>
    <t>PO Box 48</t>
  </si>
  <si>
    <t>P.O. Box 425</t>
  </si>
  <si>
    <t>1865 East Anderson Rd</t>
  </si>
  <si>
    <t>8626 US Hwy 12</t>
  </si>
  <si>
    <t>20801 Biscayne Boulevard Suite 403</t>
  </si>
  <si>
    <t>Puneet Enterprises, Gut No.423 Dongargaon Road,  Sillod, Tal- Sillod</t>
  </si>
  <si>
    <t>PO Box 659</t>
  </si>
  <si>
    <t>3112 S. Pickwick Place</t>
  </si>
  <si>
    <t>14 Waterthrush Ct</t>
  </si>
  <si>
    <t>7100 Marshall Rd</t>
  </si>
  <si>
    <t>45 Km Stone, G.T. Road, Kamaspur</t>
  </si>
  <si>
    <t>13813 Northeast 371st Street</t>
  </si>
  <si>
    <t>600 Kaiser Drive</t>
  </si>
  <si>
    <t>9100 Van Horne Way</t>
  </si>
  <si>
    <t>6 Doreen Cresent</t>
  </si>
  <si>
    <t>319 S. Vine Street</t>
  </si>
  <si>
    <t>P O Box 265</t>
  </si>
  <si>
    <t>1 Huntington Quad</t>
  </si>
  <si>
    <t>33440 Western Avenue</t>
  </si>
  <si>
    <t>1300 SE Stark Ave. Suite 401</t>
  </si>
  <si>
    <t>8825 Mercury Lane</t>
  </si>
  <si>
    <t>2540 Hoffman Road</t>
  </si>
  <si>
    <t>P.O. Box 2508</t>
  </si>
  <si>
    <t>1110 Brickell Ave., Suite 719</t>
  </si>
  <si>
    <t>8565 Horseshoe Lane</t>
  </si>
  <si>
    <t>105 W 2nd St</t>
  </si>
  <si>
    <t>PO Box 310</t>
  </si>
  <si>
    <t>PO Box 855</t>
  </si>
  <si>
    <t>345 Westfield St #108</t>
  </si>
  <si>
    <t>395 S. Glen Ellyn Road</t>
  </si>
  <si>
    <t>P.O. Box 105</t>
  </si>
  <si>
    <t>PO Box 2144</t>
  </si>
  <si>
    <t>3532 North 300 West</t>
  </si>
  <si>
    <t>PO Box 306</t>
  </si>
  <si>
    <t>HC 1 Box 136</t>
  </si>
  <si>
    <t>5920 Nall Ave, Suite 400</t>
  </si>
  <si>
    <t>2111 San Pablo Ave.</t>
  </si>
  <si>
    <t>33456 - 200th Ave</t>
  </si>
  <si>
    <t>Mariscal Antonio José de Sucre 1530</t>
  </si>
  <si>
    <t>José Hernández 1889, Piso 22</t>
  </si>
  <si>
    <t>2705 E. Burnside St.</t>
  </si>
  <si>
    <t>24313 Newbury Rd.</t>
  </si>
  <si>
    <t>Basni 2nd Phase, Udyog Nagar,</t>
  </si>
  <si>
    <t>Federico Lacroze 2252, Of. 2º B</t>
  </si>
  <si>
    <t>1133 Broadway,</t>
  </si>
  <si>
    <t>Postbus 24</t>
  </si>
  <si>
    <t>Plot No:236, Sector:56, HSIIDC-Kundli</t>
  </si>
  <si>
    <t>4667 E. Date Ave.</t>
  </si>
  <si>
    <t>P.O. Box 3028 Pinedale Station</t>
  </si>
  <si>
    <t>730 17th St Suite 600</t>
  </si>
  <si>
    <t>730 17th Street</t>
  </si>
  <si>
    <t>506, Amanora Chambers East, Amanora Town Centre, Hadapsar,</t>
  </si>
  <si>
    <t>2361 South 211th St.</t>
  </si>
  <si>
    <t>P.O Box 262</t>
  </si>
  <si>
    <t>Av. Córdoba 1351, 11 A</t>
  </si>
  <si>
    <t>3626 FM 281</t>
  </si>
  <si>
    <t>5564 York Road</t>
  </si>
  <si>
    <t>27459 County Road 161</t>
  </si>
  <si>
    <t>6906 Zion Church Road</t>
  </si>
  <si>
    <t>31149 Old Ocean City Rd</t>
  </si>
  <si>
    <t>350 Pearl Street</t>
  </si>
  <si>
    <t>Las Gardenias MZ I, lote 12, Urb. Praderas de Lurin, Lima.</t>
  </si>
  <si>
    <t>1420 Bluegrass Pike</t>
  </si>
  <si>
    <t>Ruta Nacional 7, Km. 153,5</t>
  </si>
  <si>
    <t>1801 North 36th Street</t>
  </si>
  <si>
    <t>P.O. Box 363</t>
  </si>
  <si>
    <t>231 Columbia St</t>
  </si>
  <si>
    <t>9071 Fever Hill Rd.</t>
  </si>
  <si>
    <t>PO Box 415</t>
  </si>
  <si>
    <t>P.O. Box 625</t>
  </si>
  <si>
    <t>9 de Julio 65</t>
  </si>
  <si>
    <t>PO Box 27</t>
  </si>
  <si>
    <t>PO Box 455</t>
  </si>
  <si>
    <t>16 De Hart Road</t>
  </si>
  <si>
    <t>860 South Crestline Road</t>
  </si>
  <si>
    <t>P.O. Box 445</t>
  </si>
  <si>
    <t>8560 Red Prairie Road</t>
  </si>
  <si>
    <t>PO Box 19622</t>
  </si>
  <si>
    <t>1660 Suckle Hwy</t>
  </si>
  <si>
    <t>95 Brown Rd Suite 208,</t>
  </si>
  <si>
    <t>Room 101, East of building 3, South Jinyuan, No.1, Maidao Road,Laoshan District, Qingdao</t>
  </si>
  <si>
    <t>1609 Washington Ave</t>
  </si>
  <si>
    <t>P.O. Box 929</t>
  </si>
  <si>
    <t>300 W. 6th Street</t>
  </si>
  <si>
    <t>PO Box 52</t>
  </si>
  <si>
    <t>P.O. Box 424</t>
  </si>
  <si>
    <t>P.O. Box 850</t>
  </si>
  <si>
    <t>Po Box 155</t>
  </si>
  <si>
    <t>15520 Woodinville-Redmond Road NE</t>
  </si>
  <si>
    <t>5900 Mack Rd</t>
  </si>
  <si>
    <t>Capilla 6878</t>
  </si>
  <si>
    <t>725 Aspen Dr.</t>
  </si>
  <si>
    <t>2770 S 171st Street</t>
  </si>
  <si>
    <t>607 Railroad Street</t>
  </si>
  <si>
    <t>29 Robinson Road</t>
  </si>
  <si>
    <t>PO Box 80187</t>
  </si>
  <si>
    <t>9 de Julio 51</t>
  </si>
  <si>
    <t>Po Box 250</t>
  </si>
  <si>
    <t>PO Box 910</t>
  </si>
  <si>
    <t>1015 North 205th St</t>
  </si>
  <si>
    <t>18137 Nine Oaks Dr.</t>
  </si>
  <si>
    <t>4420 Larkin Rd.</t>
  </si>
  <si>
    <t>115 W. 18th Street, Floor 5</t>
  </si>
  <si>
    <t>6550 N 95th Street</t>
  </si>
  <si>
    <t>1500 Citywest Blvd.</t>
  </si>
  <si>
    <t>1047 - 202nd Avenue</t>
  </si>
  <si>
    <t>P.O. Box 28</t>
  </si>
  <si>
    <t>Calle 58, N° 331</t>
  </si>
  <si>
    <t>Lot CII-3, 05 Street, Industrial Zone C</t>
  </si>
  <si>
    <t>1728 16th St.</t>
  </si>
  <si>
    <t>506, Amanora Chambers East, Amanora Town Centre, Hadapsar</t>
  </si>
  <si>
    <t>1080 N. Malia Ln</t>
  </si>
  <si>
    <t>216 Avendia Fabricante, Suite #109</t>
  </si>
  <si>
    <t>Bijainagar Sub Post Office, 4 OPP. RAILWAY STATION, Bijainagar, Ajmer, Rajasthan</t>
  </si>
  <si>
    <t>315, Shri Nagar, Ext. Colony</t>
  </si>
  <si>
    <t>30 Brighton Drive</t>
  </si>
  <si>
    <t>7038 West Country Club Drive North</t>
  </si>
  <si>
    <t>PO Box 9079</t>
  </si>
  <si>
    <t>872 N, Hill Blvd</t>
  </si>
  <si>
    <t>8001 South 194th</t>
  </si>
  <si>
    <t>1206 North Chaney Avenue</t>
  </si>
  <si>
    <t>AV. ACAPULCO NRO. 105 URB. SANTA CLARA (FABRICA LAIVE) LIMA - LIMA - ATE</t>
  </si>
  <si>
    <t>41222 Malcolmson St #7</t>
  </si>
  <si>
    <t>4343 NW 38th Street</t>
  </si>
  <si>
    <t>5524 W Highway 290</t>
  </si>
  <si>
    <t>PO Box 460</t>
  </si>
  <si>
    <t>57556 29 Palms Hwy, Ste. 59</t>
  </si>
  <si>
    <t>2865 Sellers Street</t>
  </si>
  <si>
    <t>C/O: Mr. Arpit Khandelwa, Awalda Bagh Road, Village- Bariya, Gandhwani, Dhar</t>
  </si>
  <si>
    <t>Shree Ram Fibres India Pvt. Ltd. C/O: Mr. Arpit Khandelwal House No./ Street/ City- Awalda-Bagh Road, Village-Bariya, Gandhwani</t>
  </si>
  <si>
    <t>Po Box 432</t>
  </si>
  <si>
    <t>1429 Walnut St. STE 1100</t>
  </si>
  <si>
    <t>17590 County Road T.5</t>
  </si>
  <si>
    <t>Avenida del Libertador 5990 - oficina 207</t>
  </si>
  <si>
    <t>P.O. Box 185</t>
  </si>
  <si>
    <t>PO Box 1401</t>
  </si>
  <si>
    <t>Ruta Nº 51, Km 119.5</t>
  </si>
  <si>
    <t>1261 Pacific Avenue</t>
  </si>
  <si>
    <t>131 W. Kellogg Road</t>
  </si>
  <si>
    <t>PO Box 6596</t>
  </si>
  <si>
    <t>Plot No.11, Krithika Madhapur Layout, Situated in TS No.64 of Madhapur Village,Serilingampally Mandal,Rangareddi</t>
  </si>
  <si>
    <t>3122 Stahlbush Island Rd.</t>
  </si>
  <si>
    <t>Ground Floor, SCO no. – 07, Eldeco County, GT Karnal Road, Sector – 19</t>
  </si>
  <si>
    <t>PO Box 800</t>
  </si>
  <si>
    <t>1803B S. Foothills Hwy</t>
  </si>
  <si>
    <t>PO Box 598</t>
  </si>
  <si>
    <t>6573 WA-283</t>
  </si>
  <si>
    <t>PO BOX 156</t>
  </si>
  <si>
    <t>P.O. Box 114</t>
  </si>
  <si>
    <t>Calle 1 S/N, Carlos Keen</t>
  </si>
  <si>
    <t>PO Box 263581</t>
  </si>
  <si>
    <t>Box 605</t>
  </si>
  <si>
    <t>3. Organize San Bolgesi 83313 NOLU Cad. No. 6-8</t>
  </si>
  <si>
    <t>P.O. Box 2075</t>
  </si>
  <si>
    <t>500 Burning Tree Rd.</t>
  </si>
  <si>
    <t>1550 Drew Ave. Ste. 150</t>
  </si>
  <si>
    <t>Super Soy LLC / Cashton Farm Supply, Ltd N 3503 Hwy 104</t>
  </si>
  <si>
    <t>44 St. Croix Trail South</t>
  </si>
  <si>
    <t>2 Bailey Farm Road</t>
  </si>
  <si>
    <t>1201 North Market Str. Ste 111</t>
  </si>
  <si>
    <t>199 Nolte Drive</t>
  </si>
  <si>
    <t>90 Glade Dr.</t>
  </si>
  <si>
    <t>730 - 2nd Ave South</t>
  </si>
  <si>
    <t>P.O. Box 171</t>
  </si>
  <si>
    <t>304 TF Building, Srinakarin Rd, Hua Mak Bang Kapi, Bangkok</t>
  </si>
  <si>
    <t>1350 Parkway Dr, Ste #23</t>
  </si>
  <si>
    <t>214 Allen Street</t>
  </si>
  <si>
    <t>5601 1st Avenue S.</t>
  </si>
  <si>
    <t>PO Box 65</t>
  </si>
  <si>
    <t>PO Box 307</t>
  </si>
  <si>
    <t>298 Ladprao 80,</t>
  </si>
  <si>
    <t>226 W Ojai Ave, Ste 101-539</t>
  </si>
  <si>
    <t>13660 California Street</t>
  </si>
  <si>
    <t>1505 Madrona St N #900 Ste 100</t>
  </si>
  <si>
    <t>P.O. Box 66</t>
  </si>
  <si>
    <t>195 Colorado Technology Center Blvd</t>
  </si>
  <si>
    <t>8512 SE 9th Ave.</t>
  </si>
  <si>
    <t>P.O. Box 217</t>
  </si>
  <si>
    <t>2424 State Rte 203</t>
  </si>
  <si>
    <t>PO Box 51991</t>
  </si>
  <si>
    <t>PO Box 331</t>
  </si>
  <si>
    <t>780W Army Trail Rd</t>
  </si>
  <si>
    <t>5139 210th St</t>
  </si>
  <si>
    <t>1800 W. Holt Ave.</t>
  </si>
  <si>
    <t>14851 Michael Lane</t>
  </si>
  <si>
    <t>10255 W Higgins Road Suite 300</t>
  </si>
  <si>
    <t>419 East Desoto Avenue</t>
  </si>
  <si>
    <t>P.O. Box 387007</t>
  </si>
  <si>
    <t>P.O. Box 60</t>
  </si>
  <si>
    <t>4103 2nd Ave S.</t>
  </si>
  <si>
    <t>808 W 19th Street</t>
  </si>
  <si>
    <t>808 W 19th St</t>
  </si>
  <si>
    <t>PO Box 95</t>
  </si>
  <si>
    <t>PO Box 181</t>
  </si>
  <si>
    <t>6535 B. Caballero Blvd</t>
  </si>
  <si>
    <t>175 W 2700 S Ste 150</t>
  </si>
  <si>
    <t>PO Box 69</t>
  </si>
  <si>
    <t>299 Moo 9, Nadee, Nayear Ubon Ratchathani THAILAND</t>
  </si>
  <si>
    <t>4 Ungerer Way</t>
  </si>
  <si>
    <t>E-521, Sitapura Industrial Area</t>
  </si>
  <si>
    <t>313 Iron Horse Way</t>
  </si>
  <si>
    <t>715 West Park Avenue,</t>
  </si>
  <si>
    <t>340 NE 11th</t>
  </si>
  <si>
    <t>21 Wemeth Rd</t>
  </si>
  <si>
    <t>101 Winslow Hall</t>
  </si>
  <si>
    <t>1501 Fraser St</t>
  </si>
  <si>
    <t>7315 Government Farm Rd</t>
  </si>
  <si>
    <t>P.O. Box 866004</t>
  </si>
  <si>
    <t>P.O. Box 35</t>
  </si>
  <si>
    <t>P.O. Box 82</t>
  </si>
  <si>
    <t>70 Research Rd.</t>
  </si>
  <si>
    <t>Av. Los Alamos 1111, Lote 337, La Rufina</t>
  </si>
  <si>
    <t>Sa Duphamlet, Phuoc Sang Commune</t>
  </si>
  <si>
    <t>P.O. Box 155</t>
  </si>
  <si>
    <t>P.O. Box 144</t>
  </si>
  <si>
    <t>P.O. Box 789</t>
  </si>
  <si>
    <t>Jr. Ricardo Palma Mza. N Lote. 21 Urb. Jorge Chávez II Etapa Prov. Const. Del  Callao</t>
  </si>
  <si>
    <t>1121 County Road 10 NE</t>
  </si>
  <si>
    <t>1500 Brooks Ave</t>
  </si>
  <si>
    <t>1449 N County Road 13</t>
  </si>
  <si>
    <t>14658 252nd Street</t>
  </si>
  <si>
    <t>PO Box 115</t>
  </si>
  <si>
    <t>P.O. Box 1029</t>
  </si>
  <si>
    <t>Po Box 1028</t>
  </si>
  <si>
    <t>2316 Lowden Gardena Rd</t>
  </si>
  <si>
    <t>1966 Commerce Circle</t>
  </si>
  <si>
    <t>ROOM 3105, NO.33# XIANGLIANLI</t>
  </si>
  <si>
    <t>The Vida Office Building Lantai 9, J. Raya Perjuangan No. 8</t>
  </si>
  <si>
    <t>331 East Blaine Rd.</t>
  </si>
  <si>
    <t>912 Cole Street #294</t>
  </si>
  <si>
    <t>2444 East Dock Street</t>
  </si>
  <si>
    <t>Mailing Address: Street 2</t>
  </si>
  <si>
    <t>STE 150</t>
  </si>
  <si>
    <t>Unti 102</t>
  </si>
  <si>
    <t>#D13</t>
  </si>
  <si>
    <t>Baghmugaliya</t>
  </si>
  <si>
    <t>STE 2</t>
  </si>
  <si>
    <t>10636</t>
  </si>
  <si>
    <t>#2929</t>
  </si>
  <si>
    <t>Unit #476</t>
  </si>
  <si>
    <t>Tan Quy Dong area</t>
  </si>
  <si>
    <t>#105</t>
  </si>
  <si>
    <t>34 Minebrook, Apt. 122A</t>
  </si>
  <si>
    <t>Ste 300</t>
  </si>
  <si>
    <t>Suite 301</t>
  </si>
  <si>
    <t>Suite 1402</t>
  </si>
  <si>
    <t>hceinc@gmail.com</t>
  </si>
  <si>
    <t>Suite 136</t>
  </si>
  <si>
    <t>Tehsil- Bhagvanpura, District- Khargone</t>
  </si>
  <si>
    <t>Suite A-1</t>
  </si>
  <si>
    <t>Unit A211</t>
  </si>
  <si>
    <t>Suite 176</t>
  </si>
  <si>
    <t>Scrubee Road</t>
  </si>
  <si>
    <t>Ubicación Geográfica	Ruta Nac. 14 km 325</t>
  </si>
  <si>
    <t>Suite 360</t>
  </si>
  <si>
    <t>Suite 4</t>
  </si>
  <si>
    <t>Suite 1C04</t>
  </si>
  <si>
    <t>Suite 2216</t>
  </si>
  <si>
    <t>Suite 161</t>
  </si>
  <si>
    <t>Suite 600</t>
  </si>
  <si>
    <t>MS 1028</t>
  </si>
  <si>
    <t>No 3</t>
  </si>
  <si>
    <t>Suite #D-200</t>
  </si>
  <si>
    <t>Suite 425</t>
  </si>
  <si>
    <t>Tan Quy Dong Ward</t>
  </si>
  <si>
    <t>Unit 101</t>
  </si>
  <si>
    <t>Sehitkamil 27600</t>
  </si>
  <si>
    <t>Suite 125</t>
  </si>
  <si>
    <t>Suite 700</t>
  </si>
  <si>
    <t>PO Box #205</t>
  </si>
  <si>
    <t>No. 222</t>
  </si>
  <si>
    <t>SIMING DISTRICT</t>
  </si>
  <si>
    <t>Kel. Kebon Jeruk, Kec. Kebon Jeruk</t>
  </si>
  <si>
    <t>Mailing Address: City</t>
  </si>
  <si>
    <t>Huxley</t>
  </si>
  <si>
    <t>Lees Summit</t>
  </si>
  <si>
    <t>Sweet Home</t>
  </si>
  <si>
    <t>Bristol</t>
  </si>
  <si>
    <t>Wilsonville</t>
  </si>
  <si>
    <t>Dallas</t>
  </si>
  <si>
    <t>Mifflintown</t>
  </si>
  <si>
    <t>Casaleone</t>
  </si>
  <si>
    <t>Flint</t>
  </si>
  <si>
    <t>Fostoria</t>
  </si>
  <si>
    <t>Dakota Dunes</t>
  </si>
  <si>
    <t>El Dorado Hills</t>
  </si>
  <si>
    <t>Cupertino</t>
  </si>
  <si>
    <t>Mt. Vernon</t>
  </si>
  <si>
    <t>Pittsburgh</t>
  </si>
  <si>
    <t>Klamath</t>
  </si>
  <si>
    <t>Tualatin</t>
  </si>
  <si>
    <t>Neb Sarai</t>
  </si>
  <si>
    <t>Dufur</t>
  </si>
  <si>
    <t>Pico Rivera</t>
  </si>
  <si>
    <t>Pendleton</t>
  </si>
  <si>
    <t>Amsterdam</t>
  </si>
  <si>
    <t>Rowland Heights</t>
  </si>
  <si>
    <t>Horsham</t>
  </si>
  <si>
    <t>Beaverton</t>
  </si>
  <si>
    <t>St. Augustin</t>
  </si>
  <si>
    <t>Exton</t>
  </si>
  <si>
    <t>Bordertown</t>
  </si>
  <si>
    <t>Allendale</t>
  </si>
  <si>
    <t>Etna</t>
  </si>
  <si>
    <t>Dwight</t>
  </si>
  <si>
    <t>LUBBOCK</t>
  </si>
  <si>
    <t>Bartlett</t>
  </si>
  <si>
    <t>Warminster</t>
  </si>
  <si>
    <t>Koshkonong</t>
  </si>
  <si>
    <t>Newport Beach</t>
  </si>
  <si>
    <t>Alvadore</t>
  </si>
  <si>
    <t>Wayzata</t>
  </si>
  <si>
    <t>Royal City</t>
  </si>
  <si>
    <t>Arroyo Seco</t>
  </si>
  <si>
    <t>Kearney</t>
  </si>
  <si>
    <t>Mount Prospect</t>
  </si>
  <si>
    <t>Westport</t>
  </si>
  <si>
    <t>Harrisburg</t>
  </si>
  <si>
    <t>Huntsville</t>
  </si>
  <si>
    <t>Bozeman</t>
  </si>
  <si>
    <t>Pigeon</t>
  </si>
  <si>
    <t>Pullman</t>
  </si>
  <si>
    <t>La Farge</t>
  </si>
  <si>
    <t>Jinzhou District, Danlian City</t>
  </si>
  <si>
    <t>Erie</t>
  </si>
  <si>
    <t>Butler</t>
  </si>
  <si>
    <t>Thomasville</t>
  </si>
  <si>
    <t>Corvallis</t>
  </si>
  <si>
    <t>SINGAPORE</t>
  </si>
  <si>
    <t>Scandinavia</t>
  </si>
  <si>
    <t>Highland Park</t>
  </si>
  <si>
    <t>Rigby</t>
  </si>
  <si>
    <t>Ballwin</t>
  </si>
  <si>
    <t>Cerrillos</t>
  </si>
  <si>
    <t>Julesburg</t>
  </si>
  <si>
    <t>Ben Wheeler</t>
  </si>
  <si>
    <t>Fort Rock</t>
  </si>
  <si>
    <t>Beecher</t>
  </si>
  <si>
    <t>Woodinville</t>
  </si>
  <si>
    <t>Delhi West</t>
  </si>
  <si>
    <t>Depew</t>
  </si>
  <si>
    <t>Empire</t>
  </si>
  <si>
    <t>St. Alban Bay</t>
  </si>
  <si>
    <t>Yolo</t>
  </si>
  <si>
    <t>Tan Phong ward, district 7</t>
  </si>
  <si>
    <t>Winnemucca</t>
  </si>
  <si>
    <t>Marengo</t>
  </si>
  <si>
    <t>Lansing</t>
  </si>
  <si>
    <t>Timnath</t>
  </si>
  <si>
    <t>Olympia</t>
  </si>
  <si>
    <t>Jagatpura</t>
  </si>
  <si>
    <t>ALTZAYANCA</t>
  </si>
  <si>
    <t>Westlake Village</t>
  </si>
  <si>
    <t>Fort Smith</t>
  </si>
  <si>
    <t>Buena</t>
  </si>
  <si>
    <t>Fountain</t>
  </si>
  <si>
    <t>Saint Petersburg</t>
  </si>
  <si>
    <t>Dawn</t>
  </si>
  <si>
    <t>San Miguel de Allende</t>
  </si>
  <si>
    <t>Eden Prairie</t>
  </si>
  <si>
    <t>Saint Ansgar</t>
  </si>
  <si>
    <t>Carlstadt</t>
  </si>
  <si>
    <t>Bay City</t>
  </si>
  <si>
    <t>Brush</t>
  </si>
  <si>
    <t>Fountain City</t>
  </si>
  <si>
    <t>Goodhue</t>
  </si>
  <si>
    <t>West Middlesex</t>
  </si>
  <si>
    <t>Brookfield</t>
  </si>
  <si>
    <t>South Portland</t>
  </si>
  <si>
    <t>Omaha</t>
  </si>
  <si>
    <t>Downers Grove</t>
  </si>
  <si>
    <t>Saranac</t>
  </si>
  <si>
    <t>Ogden</t>
  </si>
  <si>
    <t>West Orange</t>
  </si>
  <si>
    <t>Janesville</t>
  </si>
  <si>
    <t>Waverly</t>
  </si>
  <si>
    <t>Valley Center</t>
  </si>
  <si>
    <t>District Khargone</t>
  </si>
  <si>
    <t>Poway</t>
  </si>
  <si>
    <t>Fremont</t>
  </si>
  <si>
    <t>Rancho Palos Verdes</t>
  </si>
  <si>
    <t>Udaipur</t>
  </si>
  <si>
    <t>Lakin</t>
  </si>
  <si>
    <t>Firestone</t>
  </si>
  <si>
    <t>La Habra</t>
  </si>
  <si>
    <t>Ceresco</t>
  </si>
  <si>
    <t>Los Charrúas/Chajarí</t>
  </si>
  <si>
    <t>Eagle</t>
  </si>
  <si>
    <t>Vigasio</t>
  </si>
  <si>
    <t>Venado Tuerto</t>
  </si>
  <si>
    <t>Apex</t>
  </si>
  <si>
    <t>Carlton</t>
  </si>
  <si>
    <t>De Soto</t>
  </si>
  <si>
    <t>DixHills</t>
  </si>
  <si>
    <t>Walpole</t>
  </si>
  <si>
    <t>Clark</t>
  </si>
  <si>
    <t>Spirit Lake</t>
  </si>
  <si>
    <t>South Deerfield</t>
  </si>
  <si>
    <t>Ossian</t>
  </si>
  <si>
    <t>CROSSVILLE</t>
  </si>
  <si>
    <t>Franklin</t>
  </si>
  <si>
    <t>Rio Oso</t>
  </si>
  <si>
    <t>Lorton</t>
  </si>
  <si>
    <t>Atlanta</t>
  </si>
  <si>
    <t>Cañuelas</t>
  </si>
  <si>
    <t>Chennai</t>
  </si>
  <si>
    <t>Redding</t>
  </si>
  <si>
    <t>Temecula</t>
  </si>
  <si>
    <t>Ripon</t>
  </si>
  <si>
    <t>Aventura</t>
  </si>
  <si>
    <t>Dexter</t>
  </si>
  <si>
    <t>La Center</t>
  </si>
  <si>
    <t>Folcroft</t>
  </si>
  <si>
    <t>Glenashley, Durban North, KwaZulu Natal</t>
  </si>
  <si>
    <t>Melville</t>
  </si>
  <si>
    <t>Potomac</t>
  </si>
  <si>
    <t>Silverton</t>
  </si>
  <si>
    <t>Cedar City</t>
  </si>
  <si>
    <t>Spanish Fork</t>
  </si>
  <si>
    <t>Twain Hart</t>
  </si>
  <si>
    <t>Mission</t>
  </si>
  <si>
    <t>Red Wing</t>
  </si>
  <si>
    <t>Gaithersburg</t>
  </si>
  <si>
    <t>Denber</t>
  </si>
  <si>
    <t>Manuel Alberti, Pilar</t>
  </si>
  <si>
    <t>Salisbuty</t>
  </si>
  <si>
    <t>Salisbury</t>
  </si>
  <si>
    <t>Fort Wayne</t>
  </si>
  <si>
    <t>Grand Forks</t>
  </si>
  <si>
    <t>San German</t>
  </si>
  <si>
    <t>Pennsauken</t>
  </si>
  <si>
    <t>Parsons</t>
  </si>
  <si>
    <t>Bieber</t>
  </si>
  <si>
    <t>Howell</t>
  </si>
  <si>
    <t>Villa Warcalde</t>
  </si>
  <si>
    <t>New Berlin</t>
  </si>
  <si>
    <t>Lexington</t>
  </si>
  <si>
    <t>Colusa</t>
  </si>
  <si>
    <t>Spallumcheen</t>
  </si>
  <si>
    <t>Fort Atkinson</t>
  </si>
  <si>
    <t>Bella Vista</t>
  </si>
  <si>
    <t>LAMAS</t>
  </si>
  <si>
    <t>Gandhwani</t>
  </si>
  <si>
    <t>Philidelphia</t>
  </si>
  <si>
    <t>Fort Morgan</t>
  </si>
  <si>
    <t>Erlanger</t>
  </si>
  <si>
    <t>Ephrata</t>
  </si>
  <si>
    <t>Dunnigan</t>
  </si>
  <si>
    <t>Pender</t>
  </si>
  <si>
    <t>Brodhead</t>
  </si>
  <si>
    <t>Lakeland</t>
  </si>
  <si>
    <t>Harriman</t>
  </si>
  <si>
    <t>Wimington</t>
  </si>
  <si>
    <t>Hua Mak Bang Kapi</t>
  </si>
  <si>
    <t>Blackfoot</t>
  </si>
  <si>
    <t>Guilford</t>
  </si>
  <si>
    <t>Wangthonglang District</t>
  </si>
  <si>
    <t>Ojai</t>
  </si>
  <si>
    <t>Twin Falls</t>
  </si>
  <si>
    <t>Amarillo</t>
  </si>
  <si>
    <t>Carol Stream</t>
  </si>
  <si>
    <t>Holstein</t>
  </si>
  <si>
    <t>POMONA</t>
  </si>
  <si>
    <t>Spring Lake</t>
  </si>
  <si>
    <t>Salt Lake City</t>
  </si>
  <si>
    <t>Shrewsbury</t>
  </si>
  <si>
    <t>Lincoln Park</t>
  </si>
  <si>
    <t>Providence</t>
  </si>
  <si>
    <t>Oakhurst</t>
  </si>
  <si>
    <t>Wemeth</t>
  </si>
  <si>
    <t>Orono</t>
  </si>
  <si>
    <t>Knoxville</t>
  </si>
  <si>
    <t>Phu Giao</t>
  </si>
  <si>
    <t>Leoti</t>
  </si>
  <si>
    <t>Jakarta Barat</t>
  </si>
  <si>
    <t>Mailing Address: State/Province</t>
  </si>
  <si>
    <t>AKDENİZ</t>
  </si>
  <si>
    <t>Verona</t>
  </si>
  <si>
    <t>SA</t>
  </si>
  <si>
    <t>TLAXCALA</t>
  </si>
  <si>
    <t>Entre Rios</t>
  </si>
  <si>
    <t>Jebel Ali Freezone</t>
  </si>
  <si>
    <t>Rhode Island</t>
  </si>
  <si>
    <t>Prov. Const. Del Callao</t>
  </si>
  <si>
    <t>DKI jakarta</t>
  </si>
  <si>
    <t>Mailing Address: Country</t>
  </si>
  <si>
    <t>Mailing Address: ZIP/ Postal Code</t>
  </si>
  <si>
    <t>50124</t>
  </si>
  <si>
    <t>64086</t>
  </si>
  <si>
    <t>97386</t>
  </si>
  <si>
    <t>05443</t>
  </si>
  <si>
    <t>97070</t>
  </si>
  <si>
    <t>75234</t>
  </si>
  <si>
    <t>17059</t>
  </si>
  <si>
    <t>452009</t>
  </si>
  <si>
    <t>46953</t>
  </si>
  <si>
    <t>83706</t>
  </si>
  <si>
    <t>37052</t>
  </si>
  <si>
    <t>89803</t>
  </si>
  <si>
    <t>75762</t>
  </si>
  <si>
    <t>44830</t>
  </si>
  <si>
    <t>57049</t>
  </si>
  <si>
    <t>53226</t>
  </si>
  <si>
    <t>95762</t>
  </si>
  <si>
    <t>95014</t>
  </si>
  <si>
    <t>90004</t>
  </si>
  <si>
    <t>15238</t>
  </si>
  <si>
    <t>97603</t>
  </si>
  <si>
    <t>97062</t>
  </si>
  <si>
    <t>80202</t>
  </si>
  <si>
    <t>97514-899</t>
  </si>
  <si>
    <t>110068</t>
  </si>
  <si>
    <t>33131</t>
  </si>
  <si>
    <t>97021</t>
  </si>
  <si>
    <t>90660</t>
  </si>
  <si>
    <t>97801</t>
  </si>
  <si>
    <t>97304</t>
  </si>
  <si>
    <t>45242</t>
  </si>
  <si>
    <t>12010</t>
  </si>
  <si>
    <t>19118</t>
  </si>
  <si>
    <t>17331</t>
  </si>
  <si>
    <t>19044</t>
  </si>
  <si>
    <t>97005</t>
  </si>
  <si>
    <t>G3A 1S9</t>
  </si>
  <si>
    <t>19341</t>
  </si>
  <si>
    <t>5268</t>
  </si>
  <si>
    <t>07401</t>
  </si>
  <si>
    <t>96027</t>
  </si>
  <si>
    <t>60420</t>
  </si>
  <si>
    <t>97266</t>
  </si>
  <si>
    <t>97015-9594</t>
  </si>
  <si>
    <t>79464</t>
  </si>
  <si>
    <t>60103</t>
  </si>
  <si>
    <t>18974</t>
  </si>
  <si>
    <t>65692</t>
  </si>
  <si>
    <t>92658</t>
  </si>
  <si>
    <t>97409</t>
  </si>
  <si>
    <t>55391</t>
  </si>
  <si>
    <t>68506</t>
  </si>
  <si>
    <t>91110</t>
  </si>
  <si>
    <t>99357</t>
  </si>
  <si>
    <t>68845</t>
  </si>
  <si>
    <t>30700</t>
  </si>
  <si>
    <t>60056</t>
  </si>
  <si>
    <t>12993</t>
  </si>
  <si>
    <t>44610</t>
  </si>
  <si>
    <t>97446</t>
  </si>
  <si>
    <t>84317</t>
  </si>
  <si>
    <t>59718</t>
  </si>
  <si>
    <t>97201</t>
  </si>
  <si>
    <t>48755</t>
  </si>
  <si>
    <t>49450</t>
  </si>
  <si>
    <t>54639</t>
  </si>
  <si>
    <t>80516</t>
  </si>
  <si>
    <t>44822</t>
  </si>
  <si>
    <t>31792</t>
  </si>
  <si>
    <t>97330</t>
  </si>
  <si>
    <t>M4M 2A9</t>
  </si>
  <si>
    <t>54977</t>
  </si>
  <si>
    <t>48203</t>
  </si>
  <si>
    <t>83442</t>
  </si>
  <si>
    <t>63011</t>
  </si>
  <si>
    <t>80737</t>
  </si>
  <si>
    <t>75754</t>
  </si>
  <si>
    <t>97735</t>
  </si>
  <si>
    <t>60401</t>
  </si>
  <si>
    <t>98077</t>
  </si>
  <si>
    <t>110017</t>
  </si>
  <si>
    <t>14043</t>
  </si>
  <si>
    <t>95319</t>
  </si>
  <si>
    <t>05481</t>
  </si>
  <si>
    <t>95938</t>
  </si>
  <si>
    <t>95696</t>
  </si>
  <si>
    <t>89446</t>
  </si>
  <si>
    <t>60152</t>
  </si>
  <si>
    <t>52151</t>
  </si>
  <si>
    <t>46041</t>
  </si>
  <si>
    <t>80547</t>
  </si>
  <si>
    <t>98507</t>
  </si>
  <si>
    <t>91361</t>
  </si>
  <si>
    <t>72904</t>
  </si>
  <si>
    <t>98921</t>
  </si>
  <si>
    <t>55935</t>
  </si>
  <si>
    <t>33702</t>
  </si>
  <si>
    <t>02724</t>
  </si>
  <si>
    <t>37700</t>
  </si>
  <si>
    <t>55344</t>
  </si>
  <si>
    <t>07072</t>
  </si>
  <si>
    <t>48706</t>
  </si>
  <si>
    <t>80723</t>
  </si>
  <si>
    <t>54629</t>
  </si>
  <si>
    <t>98668</t>
  </si>
  <si>
    <t>55027</t>
  </si>
  <si>
    <t>16159</t>
  </si>
  <si>
    <t>06804</t>
  </si>
  <si>
    <t>93380</t>
  </si>
  <si>
    <t>04106</t>
  </si>
  <si>
    <t>5000</t>
  </si>
  <si>
    <t>68164</t>
  </si>
  <si>
    <t>60632</t>
  </si>
  <si>
    <t>27216</t>
  </si>
  <si>
    <t>55113</t>
  </si>
  <si>
    <t>10170</t>
  </si>
  <si>
    <t>92069</t>
  </si>
  <si>
    <t>420005</t>
  </si>
  <si>
    <t>60515</t>
  </si>
  <si>
    <t>49042</t>
  </si>
  <si>
    <t>48881</t>
  </si>
  <si>
    <t>97352</t>
  </si>
  <si>
    <t>248002</t>
  </si>
  <si>
    <t>180001</t>
  </si>
  <si>
    <t>84404</t>
  </si>
  <si>
    <t>83263</t>
  </si>
  <si>
    <t>92868</t>
  </si>
  <si>
    <t>06484</t>
  </si>
  <si>
    <t>07052</t>
  </si>
  <si>
    <t>53546</t>
  </si>
  <si>
    <t>50677</t>
  </si>
  <si>
    <t>92082</t>
  </si>
  <si>
    <t>451332</t>
  </si>
  <si>
    <t>451441</t>
  </si>
  <si>
    <t>92064</t>
  </si>
  <si>
    <t>94539</t>
  </si>
  <si>
    <t>90275</t>
  </si>
  <si>
    <t>60123</t>
  </si>
  <si>
    <t>92614</t>
  </si>
  <si>
    <t>55901</t>
  </si>
  <si>
    <t>29624</t>
  </si>
  <si>
    <t>90631</t>
  </si>
  <si>
    <t>83616</t>
  </si>
  <si>
    <t>37068</t>
  </si>
  <si>
    <t>77706</t>
  </si>
  <si>
    <t>27502-2256</t>
  </si>
  <si>
    <t>97111</t>
  </si>
  <si>
    <t>54624</t>
  </si>
  <si>
    <t>04211-1900</t>
  </si>
  <si>
    <t>91764</t>
  </si>
  <si>
    <t>10950</t>
  </si>
  <si>
    <t>94709</t>
  </si>
  <si>
    <t>04573</t>
  </si>
  <si>
    <t>110089</t>
  </si>
  <si>
    <t>33331</t>
  </si>
  <si>
    <t>389001</t>
  </si>
  <si>
    <t>65243</t>
  </si>
  <si>
    <t>51360</t>
  </si>
  <si>
    <t>60622</t>
  </si>
  <si>
    <t>98145</t>
  </si>
  <si>
    <t>52161</t>
  </si>
  <si>
    <t>38571</t>
  </si>
  <si>
    <t>83237</t>
  </si>
  <si>
    <t>95674</t>
  </si>
  <si>
    <t>48917</t>
  </si>
  <si>
    <t>01843</t>
  </si>
  <si>
    <t>22199</t>
  </si>
  <si>
    <t>1814</t>
  </si>
  <si>
    <t>600035</t>
  </si>
  <si>
    <t>96002</t>
  </si>
  <si>
    <t>82003</t>
  </si>
  <si>
    <t>92589</t>
  </si>
  <si>
    <t>97405</t>
  </si>
  <si>
    <t>95366</t>
  </si>
  <si>
    <t>98579</t>
  </si>
  <si>
    <t>33180</t>
  </si>
  <si>
    <t>431112</t>
  </si>
  <si>
    <t>79044</t>
  </si>
  <si>
    <t>65804</t>
  </si>
  <si>
    <t>95831</t>
  </si>
  <si>
    <t>48130</t>
  </si>
  <si>
    <t>98629</t>
  </si>
  <si>
    <t>19032</t>
  </si>
  <si>
    <t>V6X 1W3</t>
  </si>
  <si>
    <t>4051</t>
  </si>
  <si>
    <t>11747</t>
  </si>
  <si>
    <t>95901</t>
  </si>
  <si>
    <t>20854</t>
  </si>
  <si>
    <t>97381</t>
  </si>
  <si>
    <t>84721</t>
  </si>
  <si>
    <t>84660</t>
  </si>
  <si>
    <t>95383</t>
  </si>
  <si>
    <t>66202</t>
  </si>
  <si>
    <t>55066</t>
  </si>
  <si>
    <t>1429</t>
  </si>
  <si>
    <t>20882</t>
  </si>
  <si>
    <t>10010</t>
  </si>
  <si>
    <t>2750 AA</t>
  </si>
  <si>
    <t>93650</t>
  </si>
  <si>
    <t>411028</t>
  </si>
  <si>
    <t>98260</t>
  </si>
  <si>
    <t>1629</t>
  </si>
  <si>
    <t>21802</t>
  </si>
  <si>
    <t>21643</t>
  </si>
  <si>
    <t>46802</t>
  </si>
  <si>
    <t>40422</t>
  </si>
  <si>
    <t>58203</t>
  </si>
  <si>
    <t>4014</t>
  </si>
  <si>
    <t>00683</t>
  </si>
  <si>
    <t>97378</t>
  </si>
  <si>
    <t>97280</t>
  </si>
  <si>
    <t>08110</t>
  </si>
  <si>
    <t>67357</t>
  </si>
  <si>
    <t>96009</t>
  </si>
  <si>
    <t>98072</t>
  </si>
  <si>
    <t>48855</t>
  </si>
  <si>
    <t>55355</t>
  </si>
  <si>
    <t>53151</t>
  </si>
  <si>
    <t>02420</t>
  </si>
  <si>
    <t>54460</t>
  </si>
  <si>
    <t>95932</t>
  </si>
  <si>
    <t>68022</t>
  </si>
  <si>
    <t>V4Y 1A6</t>
  </si>
  <si>
    <t>10011</t>
  </si>
  <si>
    <t>77042</t>
  </si>
  <si>
    <t>52144</t>
  </si>
  <si>
    <t>2153</t>
  </si>
  <si>
    <t>34243</t>
  </si>
  <si>
    <t>LIMA 03</t>
  </si>
  <si>
    <t>94538</t>
  </si>
  <si>
    <t>68524</t>
  </si>
  <si>
    <t>78735</t>
  </si>
  <si>
    <t>23</t>
  </si>
  <si>
    <t>19137</t>
  </si>
  <si>
    <t>19102</t>
  </si>
  <si>
    <t>80701</t>
  </si>
  <si>
    <t>41018</t>
  </si>
  <si>
    <t>97228</t>
  </si>
  <si>
    <t>97333</t>
  </si>
  <si>
    <t>131001</t>
  </si>
  <si>
    <t>98823</t>
  </si>
  <si>
    <t>95937</t>
  </si>
  <si>
    <t>68047</t>
  </si>
  <si>
    <t>92659</t>
  </si>
  <si>
    <t>53520</t>
  </si>
  <si>
    <t>55043</t>
  </si>
  <si>
    <t>19801</t>
  </si>
  <si>
    <t>55402</t>
  </si>
  <si>
    <t>83221</t>
  </si>
  <si>
    <t>53525</t>
  </si>
  <si>
    <t>93023</t>
  </si>
  <si>
    <t>68154</t>
  </si>
  <si>
    <t>83301</t>
  </si>
  <si>
    <t>79159</t>
  </si>
  <si>
    <t>60188</t>
  </si>
  <si>
    <t>51025</t>
  </si>
  <si>
    <t>91768</t>
  </si>
  <si>
    <t>49456</t>
  </si>
  <si>
    <t>80237</t>
  </si>
  <si>
    <t>84115</t>
  </si>
  <si>
    <t>17361</t>
  </si>
  <si>
    <t>07035</t>
  </si>
  <si>
    <t>02908</t>
  </si>
  <si>
    <t>07755</t>
  </si>
  <si>
    <t>97232</t>
  </si>
  <si>
    <t>3352</t>
  </si>
  <si>
    <t>04469</t>
  </si>
  <si>
    <t>37920</t>
  </si>
  <si>
    <t>90086</t>
  </si>
  <si>
    <t>07036</t>
  </si>
  <si>
    <t>55929</t>
  </si>
  <si>
    <t>67861</t>
  </si>
  <si>
    <t>52570</t>
  </si>
  <si>
    <t>45504</t>
  </si>
  <si>
    <t>177</t>
  </si>
  <si>
    <t>Pinellas County</t>
  </si>
  <si>
    <t>Allegheny County</t>
  </si>
  <si>
    <t>Denver County</t>
  </si>
  <si>
    <t>Wasco County</t>
  </si>
  <si>
    <t>Okanogan County</t>
  </si>
  <si>
    <t>Grundy County</t>
  </si>
  <si>
    <t>Bucks County</t>
  </si>
  <si>
    <t>San Luis Obispo County</t>
  </si>
  <si>
    <t>Island County</t>
  </si>
  <si>
    <t>McHenry County</t>
  </si>
  <si>
    <t>Garvin County</t>
  </si>
  <si>
    <t>Allamakee County</t>
  </si>
  <si>
    <t>Alpine County</t>
  </si>
  <si>
    <t>Thurston County</t>
  </si>
  <si>
    <t>Sebastian County</t>
  </si>
  <si>
    <t>Yakima County</t>
  </si>
  <si>
    <t>Goodhue County</t>
  </si>
  <si>
    <t>Walla Walla County</t>
  </si>
  <si>
    <t>Olmsted County</t>
  </si>
  <si>
    <t>Anderson County</t>
  </si>
  <si>
    <t>Yamhill County</t>
  </si>
  <si>
    <t>Fulton County</t>
  </si>
  <si>
    <t>Shasta County</t>
  </si>
  <si>
    <t>Clallam County</t>
  </si>
  <si>
    <t>Snohomish County</t>
  </si>
  <si>
    <t>Iron County</t>
  </si>
  <si>
    <t>Tuolumne County</t>
  </si>
  <si>
    <t>Pierce County</t>
  </si>
  <si>
    <t>Grand Forks County</t>
  </si>
  <si>
    <t>Camden County</t>
  </si>
  <si>
    <t>Labette County</t>
  </si>
  <si>
    <t>Prince George's County</t>
  </si>
  <si>
    <t>Meeker County</t>
  </si>
  <si>
    <t>Winneshiek County</t>
  </si>
  <si>
    <t>Ida County</t>
  </si>
  <si>
    <t>Klickitat County</t>
  </si>
  <si>
    <t>Van Buren County</t>
  </si>
  <si>
    <t>Skamania County</t>
  </si>
  <si>
    <t>Phone</t>
  </si>
  <si>
    <t>+86-15541177087</t>
  </si>
  <si>
    <t>91 32242609</t>
  </si>
  <si>
    <t>208-571-7403</t>
  </si>
  <si>
    <t>406-777-7096</t>
  </si>
  <si>
    <t>707-688-8866</t>
  </si>
  <si>
    <t>602-828-8102</t>
  </si>
  <si>
    <t>+66(0)2 0779228</t>
  </si>
  <si>
    <t>(331) 223-7572</t>
  </si>
  <si>
    <t>9032032130</t>
  </si>
  <si>
    <t>+91 9820277231</t>
  </si>
  <si>
    <t>(507) 456-1468</t>
  </si>
  <si>
    <t>806-497-6400</t>
  </si>
  <si>
    <t>(919) 91007-6590</t>
  </si>
  <si>
    <t>727-461-5626</t>
  </si>
  <si>
    <t>409-284-9879</t>
  </si>
  <si>
    <t>(570) 412-3094</t>
  </si>
  <si>
    <t>+591 68938712</t>
  </si>
  <si>
    <t>530-473-2827</t>
  </si>
  <si>
    <t>845-230-8819</t>
  </si>
  <si>
    <t>540-894-1470</t>
  </si>
  <si>
    <t>61417674790</t>
  </si>
  <si>
    <t>530-668-2062</t>
  </si>
  <si>
    <t>(541) 367-1105</t>
  </si>
  <si>
    <t>(54) (011) 47722002</t>
  </si>
  <si>
    <t>802-234-1525</t>
  </si>
  <si>
    <t>+91 7720048218</t>
  </si>
  <si>
    <t>(503) 902-0746</t>
  </si>
  <si>
    <t>(972) 242-1832</t>
  </si>
  <si>
    <t>260-225-0490</t>
  </si>
  <si>
    <t>01-6821459</t>
  </si>
  <si>
    <t>(717) 436-2616</t>
  </si>
  <si>
    <t>+91 0731-2480123</t>
  </si>
  <si>
    <t>+20 100 567 5838</t>
  </si>
  <si>
    <t>992205731</t>
  </si>
  <si>
    <t>(765) 662-0606</t>
  </si>
  <si>
    <t>+86 186 986 804 65</t>
  </si>
  <si>
    <t>623-5002; 997564425; 975106779</t>
  </si>
  <si>
    <t>54) (011) 47722002</t>
  </si>
  <si>
    <t>51 987 401 146</t>
  </si>
  <si>
    <t>905330306788</t>
  </si>
  <si>
    <t>+380535297659</t>
  </si>
  <si>
    <t>999682721; 997865030</t>
  </si>
  <si>
    <t>+91 9133781690</t>
  </si>
  <si>
    <t>998252702</t>
  </si>
  <si>
    <t>465-1449</t>
  </si>
  <si>
    <t>+380 465321745</t>
  </si>
  <si>
    <t>+91 8209023779</t>
  </si>
  <si>
    <t>+591 700 754 47</t>
  </si>
  <si>
    <t>85 999251127</t>
  </si>
  <si>
    <t>+591 388 88 56</t>
  </si>
  <si>
    <t>+92-3008200272</t>
  </si>
  <si>
    <t>631-629-4668</t>
  </si>
  <si>
    <t>(641) 220-3041</t>
  </si>
  <si>
    <t>732-339-0071</t>
  </si>
  <si>
    <t>66 84726687</t>
  </si>
  <si>
    <t>+90 288 443 98 27</t>
  </si>
  <si>
    <t>0020 1159 295447</t>
  </si>
  <si>
    <t>+20 128 873 044 7</t>
  </si>
  <si>
    <t>+201145670606</t>
  </si>
  <si>
    <t>201159295447</t>
  </si>
  <si>
    <t>856-853-7800</t>
  </si>
  <si>
    <t>785-544-6860</t>
  </si>
  <si>
    <t>800-352-5247, Fax 507-373-7032</t>
  </si>
  <si>
    <t>(925)951-4115</t>
  </si>
  <si>
    <t>078 743 13 98</t>
  </si>
  <si>
    <t>+39 058340521</t>
  </si>
  <si>
    <t>503-438-5960</t>
  </si>
  <si>
    <t>937-437-0414</t>
  </si>
  <si>
    <t>201-777-4484</t>
  </si>
  <si>
    <t>77 34248000</t>
  </si>
  <si>
    <t>8587029227</t>
  </si>
  <si>
    <t>(54) (381) 3651578</t>
  </si>
  <si>
    <t>00228 92219836</t>
  </si>
  <si>
    <t>510-684-4719</t>
  </si>
  <si>
    <t>847-375-8675</t>
  </si>
  <si>
    <t>434-981-6286</t>
  </si>
  <si>
    <t>(352)442-3622</t>
  </si>
  <si>
    <t>(54) (11) 47371139</t>
  </si>
  <si>
    <t>903644116105</t>
  </si>
  <si>
    <t>(800) 688-8151</t>
  </si>
  <si>
    <t>(707)283-0300</t>
  </si>
  <si>
    <t>92556665002</t>
  </si>
  <si>
    <t>+591 78058755</t>
  </si>
  <si>
    <t>5512326742</t>
  </si>
  <si>
    <t>4135377</t>
  </si>
  <si>
    <t>988083717</t>
  </si>
  <si>
    <t>051013711443 051975340703</t>
  </si>
  <si>
    <t>347-874-2907</t>
  </si>
  <si>
    <t>786-442-0527</t>
  </si>
  <si>
    <t>414-982-2340</t>
  </si>
  <si>
    <t>201-947-1000</t>
  </si>
  <si>
    <t>712-239-1232</t>
  </si>
  <si>
    <t>507-359-2300 ext 53612; Cell 507-217-7207; FAX 507-354-1521</t>
  </si>
  <si>
    <t>+66 854108152</t>
  </si>
  <si>
    <t>+66 954944954</t>
  </si>
  <si>
    <t>480-557-7060</t>
  </si>
  <si>
    <t>+(855)23 990 900</t>
  </si>
  <si>
    <t>831-623-7400</t>
  </si>
  <si>
    <t>+55 85 3224 9491</t>
  </si>
  <si>
    <t>+84 975 877 768</t>
  </si>
  <si>
    <t>845-636-0856</t>
  </si>
  <si>
    <t>563-258-6260</t>
  </si>
  <si>
    <t>208-390-1188</t>
  </si>
  <si>
    <t>917-576-0576</t>
  </si>
  <si>
    <t>591 78610069</t>
  </si>
  <si>
    <t>956298621</t>
  </si>
  <si>
    <t>+591 228 630 58</t>
  </si>
  <si>
    <t>+51 934339049</t>
  </si>
  <si>
    <t>509-845-0201</t>
  </si>
  <si>
    <t>73 99945-2545</t>
  </si>
  <si>
    <t>847-533-6489</t>
  </si>
  <si>
    <t>964601943</t>
  </si>
  <si>
    <t>806-782-6006</t>
  </si>
  <si>
    <t>(412) 963-2330</t>
  </si>
  <si>
    <t>9497451331</t>
  </si>
  <si>
    <t>+20 1002149848</t>
  </si>
  <si>
    <t>+(90) (538) 0513813</t>
  </si>
  <si>
    <t>406-315-7711</t>
  </si>
  <si>
    <t>(503) 694-7008</t>
  </si>
  <si>
    <t>530-790-0602</t>
  </si>
  <si>
    <t>(620) 639-3070</t>
  </si>
  <si>
    <t>(720) 225-9449</t>
  </si>
  <si>
    <t>520-840-4829</t>
  </si>
  <si>
    <t>540-879-2054</t>
  </si>
  <si>
    <t>903242380729</t>
  </si>
  <si>
    <t>034 42 340 33</t>
  </si>
  <si>
    <t>506 71097093</t>
  </si>
  <si>
    <t>707-939-1765</t>
  </si>
  <si>
    <t>7867479430</t>
  </si>
  <si>
    <t>91-7838753935</t>
  </si>
  <si>
    <t>+911126659020/21</t>
  </si>
  <si>
    <t>360-393-4106</t>
  </si>
  <si>
    <t>9920774466, 8369453816</t>
  </si>
  <si>
    <t>+591 711 750 90</t>
  </si>
  <si>
    <t>979534364; 939475737</t>
  </si>
  <si>
    <t>73295833</t>
  </si>
  <si>
    <t>+591 682 840 52</t>
  </si>
  <si>
    <t>67211821</t>
  </si>
  <si>
    <t>4001 3404</t>
  </si>
  <si>
    <t>950645351, 990126237</t>
  </si>
  <si>
    <t>18296481896</t>
  </si>
  <si>
    <t>303-808-9583</t>
  </si>
  <si>
    <t>135-9118-0910</t>
  </si>
  <si>
    <t>32 05 229 19</t>
  </si>
  <si>
    <t>209-664-3323</t>
  </si>
  <si>
    <t>(858)792-3531</t>
  </si>
  <si>
    <t>(229)344-1807</t>
  </si>
  <si>
    <t>923216466414</t>
  </si>
  <si>
    <t>+(54) (11) 68630329</t>
  </si>
  <si>
    <t>(541)743-9539</t>
  </si>
  <si>
    <t>207-521-0094</t>
  </si>
  <si>
    <t>203-375-9956</t>
  </si>
  <si>
    <t>617 4697 0300</t>
  </si>
  <si>
    <t>800-747-0536</t>
  </si>
  <si>
    <t>919584696808</t>
  </si>
  <si>
    <t>0091 484 284 8240</t>
  </si>
  <si>
    <t>9393710640</t>
  </si>
  <si>
    <t>800-711-3587</t>
  </si>
  <si>
    <t>+57 3113894871</t>
  </si>
  <si>
    <t>+90 533 431 64 44</t>
  </si>
  <si>
    <t>(971) 200-8351</t>
  </si>
  <si>
    <t>717-393-3535</t>
  </si>
  <si>
    <t>(802) 579-1135</t>
  </si>
  <si>
    <t>(978) 239-5330 (Charley)</t>
  </si>
  <si>
    <t>989-666-3637</t>
  </si>
  <si>
    <t>022-67296168</t>
  </si>
  <si>
    <t>0086 18643686888</t>
  </si>
  <si>
    <t>(562) 929-1054</t>
  </si>
  <si>
    <t>(562) 949-1054</t>
  </si>
  <si>
    <t>(542) 949-1054</t>
  </si>
  <si>
    <t>909-979-9696</t>
  </si>
  <si>
    <t>+66863228953</t>
  </si>
  <si>
    <t>(00221) 77 025 20 98 / 33 951 70 54</t>
  </si>
  <si>
    <t>13 33933-0456</t>
  </si>
  <si>
    <t>530-473-3333</t>
  </si>
  <si>
    <t>531-515-3995</t>
  </si>
  <si>
    <t>(541) 612-3844</t>
  </si>
  <si>
    <t>530-640-2461</t>
  </si>
  <si>
    <t>+(54) (011) 47722002</t>
  </si>
  <si>
    <t>512-554-5981</t>
  </si>
  <si>
    <t>+90 256 518 6435</t>
  </si>
  <si>
    <t>+919977727766</t>
  </si>
  <si>
    <t>(419)678-2304</t>
  </si>
  <si>
    <t>708-865-2600</t>
  </si>
  <si>
    <t>(513) 552-7400</t>
  </si>
  <si>
    <t>772-882-5918</t>
  </si>
  <si>
    <t>530-666-6565</t>
  </si>
  <si>
    <t>831-423-9242</t>
  </si>
  <si>
    <t>(914) 683-1119</t>
  </si>
  <si>
    <t>(800) 233-2468</t>
  </si>
  <si>
    <t>17845273001</t>
  </si>
  <si>
    <t>15304565128</t>
  </si>
  <si>
    <t>+86 15810670160</t>
  </si>
  <si>
    <t>+86 10 57571006</t>
  </si>
  <si>
    <t>+86 105 646 65 82</t>
  </si>
  <si>
    <t>+86 132 201 269 68</t>
  </si>
  <si>
    <t>209-549-5939</t>
  </si>
  <si>
    <t>308-882-0720</t>
  </si>
  <si>
    <t>591 76710391</t>
  </si>
  <si>
    <t>530-397-4450</t>
  </si>
  <si>
    <t>651-558-9714, Fax 651-558-9702</t>
  </si>
  <si>
    <t>(530) 228-8468</t>
  </si>
  <si>
    <t>530-228-8468</t>
  </si>
  <si>
    <t>(620)285-7777</t>
  </si>
  <si>
    <t>800-282-6645</t>
  </si>
  <si>
    <t>801-673-3278</t>
  </si>
  <si>
    <t>+1 21 07397491</t>
  </si>
  <si>
    <t>(91)9910076590</t>
  </si>
  <si>
    <t>7747899099</t>
  </si>
  <si>
    <t>(717) 632-6000</t>
  </si>
  <si>
    <t>(608) 636-6795</t>
  </si>
  <si>
    <t>626-964-5178</t>
  </si>
  <si>
    <t>7000607345</t>
  </si>
  <si>
    <t>923107777007</t>
  </si>
  <si>
    <t>+66 22 257 799</t>
  </si>
  <si>
    <t>59176790109</t>
  </si>
  <si>
    <t>903328134050</t>
  </si>
  <si>
    <t>+523111589689</t>
  </si>
  <si>
    <t>(503) 303-0360</t>
  </si>
  <si>
    <t>+359 889 450 550</t>
  </si>
  <si>
    <t>(712) 722-2037</t>
  </si>
  <si>
    <t>186-0426-0577</t>
  </si>
  <si>
    <t>06 26 03 01 68</t>
  </si>
  <si>
    <t>905423736421</t>
  </si>
  <si>
    <t>46 3543-4613</t>
  </si>
  <si>
    <t>380 990172175</t>
  </si>
  <si>
    <t>+59 598 714 7115</t>
  </si>
  <si>
    <t>+86-18202956966</t>
  </si>
  <si>
    <t>207-691-0648</t>
  </si>
  <si>
    <t>309-208-0323</t>
  </si>
  <si>
    <t>303-717-6836</t>
  </si>
  <si>
    <t>207-505-0644</t>
  </si>
  <si>
    <t>(270)392-1100</t>
  </si>
  <si>
    <t>(484) 631-2005</t>
  </si>
  <si>
    <t>08 8752 111</t>
  </si>
  <si>
    <t>08 8752 0111</t>
  </si>
  <si>
    <t>0931789438</t>
  </si>
  <si>
    <t>981414109 / 014451900 / 949690116</t>
  </si>
  <si>
    <t>218-850-3334</t>
  </si>
  <si>
    <t>509-996-3526</t>
  </si>
  <si>
    <t>740-426-6683</t>
  </si>
  <si>
    <t>(515) 832-2992</t>
  </si>
  <si>
    <t>(503)654-3215</t>
  </si>
  <si>
    <t>(847)693-7241</t>
  </si>
  <si>
    <t>973-2071422</t>
  </si>
  <si>
    <t>0475286469</t>
  </si>
  <si>
    <t>631-543-7000</t>
  </si>
  <si>
    <t>(845) 429-9080</t>
  </si>
  <si>
    <t>(989) 827-9067</t>
  </si>
  <si>
    <t>(530) 524-0354</t>
  </si>
  <si>
    <t>(815) 584-1850</t>
  </si>
  <si>
    <t>(971) 337-0379</t>
  </si>
  <si>
    <t>(503)742-1161</t>
  </si>
  <si>
    <t>647-929-5335</t>
  </si>
  <si>
    <t>806-441-8596</t>
  </si>
  <si>
    <t>630-830-0340</t>
  </si>
  <si>
    <t>219-883-5126</t>
  </si>
  <si>
    <t>(+54) (11) 27116953</t>
  </si>
  <si>
    <t>330-556-8221</t>
  </si>
  <si>
    <t>859-533-4769</t>
  </si>
  <si>
    <t>+(54) (11) 68830212</t>
  </si>
  <si>
    <t>(54) (11) 38177297</t>
  </si>
  <si>
    <t>+66 446 553 77</t>
  </si>
  <si>
    <t>989-871-3176</t>
  </si>
  <si>
    <t>(215) 674-4900</t>
  </si>
  <si>
    <t>(223) 205-8171</t>
  </si>
  <si>
    <t>417-264-3166</t>
  </si>
  <si>
    <t>+49407341030</t>
  </si>
  <si>
    <t>(905)206-7793</t>
  </si>
  <si>
    <t>269-362-2059</t>
  </si>
  <si>
    <t>435-994-9817</t>
  </si>
  <si>
    <t>(402) 750-1414</t>
  </si>
  <si>
    <t>(506) 22771641</t>
  </si>
  <si>
    <t>51 33251616</t>
  </si>
  <si>
    <t>(559)661-4845</t>
  </si>
  <si>
    <t>949-396-2290</t>
  </si>
  <si>
    <t>510-452-4500</t>
  </si>
  <si>
    <t>510-666-6419</t>
  </si>
  <si>
    <t>760-625-3884</t>
  </si>
  <si>
    <t>(541) 357-5448</t>
  </si>
  <si>
    <t>505-747-9717</t>
  </si>
  <si>
    <t>218-891-7840</t>
  </si>
  <si>
    <t>(562)404-4321</t>
  </si>
  <si>
    <t>(973) 256-8886</t>
  </si>
  <si>
    <t>(570)524-4777</t>
  </si>
  <si>
    <t>209-938-8732</t>
  </si>
  <si>
    <t>203-256-8133</t>
  </si>
  <si>
    <t>(54) (011) 1540568362</t>
  </si>
  <si>
    <t>0646522091</t>
  </si>
  <si>
    <t>(561) 935-3815</t>
  </si>
  <si>
    <t>(509) 346-1089</t>
  </si>
  <si>
    <t>800-822-6671</t>
  </si>
  <si>
    <t>541-314-2440</t>
  </si>
  <si>
    <t>607-227-0836</t>
  </si>
  <si>
    <t>319-560-7324</t>
  </si>
  <si>
    <t>(978)372-8010</t>
  </si>
  <si>
    <t>0726574719</t>
  </si>
  <si>
    <t>94 11 241 25 21</t>
  </si>
  <si>
    <t>+90 232 4899040</t>
  </si>
  <si>
    <t>435-458-2249</t>
  </si>
  <si>
    <t>435-752-6625</t>
  </si>
  <si>
    <t>435-258-2425</t>
  </si>
  <si>
    <t>707-778-1073</t>
  </si>
  <si>
    <t>0823863510</t>
  </si>
  <si>
    <t>402-757-3251</t>
  </si>
  <si>
    <t>209-795-1721</t>
  </si>
  <si>
    <t>805-528-4007</t>
  </si>
  <si>
    <t>52 962 62 86423</t>
  </si>
  <si>
    <t>(847) 818-1550</t>
  </si>
  <si>
    <t>+66819155619</t>
  </si>
  <si>
    <t>+359 876142253</t>
  </si>
  <si>
    <t>564-169-5738</t>
  </si>
  <si>
    <t>509-929-4188</t>
  </si>
  <si>
    <t>+94312233773</t>
  </si>
  <si>
    <t>530-519-8628</t>
  </si>
  <si>
    <t>0184-2290758</t>
  </si>
  <si>
    <t>518-963-7650</t>
  </si>
  <si>
    <t>86 431 88524159</t>
  </si>
  <si>
    <t>(18) 77786-9777</t>
  </si>
  <si>
    <t>86 13702019631</t>
  </si>
  <si>
    <t>+86 0476 666 6026</t>
  </si>
  <si>
    <t>(13) 91017-2730</t>
  </si>
  <si>
    <t>+86 10 87763938</t>
  </si>
  <si>
    <t>(402)-640-9094</t>
  </si>
  <si>
    <t>360-757-6465</t>
  </si>
  <si>
    <t>330-893-4915</t>
  </si>
  <si>
    <t>(541) 995-6384</t>
  </si>
  <si>
    <t>866-249-0400</t>
  </si>
  <si>
    <t>814-494-5714</t>
  </si>
  <si>
    <t>+506 7290 7403</t>
  </si>
  <si>
    <t>(308)-325-5732</t>
  </si>
  <si>
    <t>510-381-1132</t>
  </si>
  <si>
    <t>0974790555</t>
  </si>
  <si>
    <t>607-368-6723</t>
  </si>
  <si>
    <t>406-539-0859</t>
  </si>
  <si>
    <t>417-864-4304</t>
  </si>
  <si>
    <t>719-206-3184</t>
  </si>
  <si>
    <t>051 1 5510134</t>
  </si>
  <si>
    <t>406-453-6506   503-535-5629</t>
  </si>
  <si>
    <t>0051 1 288-0019; 2873703; 0051 964 333 227</t>
  </si>
  <si>
    <t>+591 67 233 239</t>
  </si>
  <si>
    <t>442 457 5909</t>
  </si>
  <si>
    <t>812 451 5873</t>
  </si>
  <si>
    <t>(716) 853-1071</t>
  </si>
  <si>
    <t>508-776-0412</t>
  </si>
  <si>
    <t>+591 698 008 74</t>
  </si>
  <si>
    <t>(54) (11) 11 3086 1478</t>
  </si>
  <si>
    <t>961782404</t>
  </si>
  <si>
    <t>+591 228 072 28</t>
  </si>
  <si>
    <t>347-219-2698</t>
  </si>
  <si>
    <t>+51948911091</t>
  </si>
  <si>
    <t>777 163 64 13</t>
  </si>
  <si>
    <t>703-392-3977</t>
  </si>
  <si>
    <t>+91 9979155065</t>
  </si>
  <si>
    <t>315-759-9533</t>
  </si>
  <si>
    <t>360-445-5211</t>
  </si>
  <si>
    <t>00228 91 49 87 43/ 93 00 58 04</t>
  </si>
  <si>
    <t>+51 977108212 (GERENCIA)</t>
  </si>
  <si>
    <t>076 558336</t>
  </si>
  <si>
    <t>73 99803-0391</t>
  </si>
  <si>
    <t>505 8588 8919</t>
  </si>
  <si>
    <t>989-453-4500</t>
  </si>
  <si>
    <t>323-588-1127</t>
  </si>
  <si>
    <t>(870) 946-3561</t>
  </si>
  <si>
    <t>591 4 4717193 - +591 4 4717194 - +591 4 4717195</t>
  </si>
  <si>
    <t>+593 0997660435</t>
  </si>
  <si>
    <t>304-573-1699</t>
  </si>
  <si>
    <t>(269) 236-5011</t>
  </si>
  <si>
    <t>989-560-4757</t>
  </si>
  <si>
    <t>831-706-1237</t>
  </si>
  <si>
    <t>509-989-2525</t>
  </si>
  <si>
    <t>09033607347</t>
  </si>
  <si>
    <t>221-55331</t>
  </si>
  <si>
    <t>(406) 632-4804</t>
  </si>
  <si>
    <t>262-354-1264</t>
  </si>
  <si>
    <t>301-988-3681</t>
  </si>
  <si>
    <t>(541) 255-7643</t>
  </si>
  <si>
    <t>(815)453-7411</t>
  </si>
  <si>
    <t>(608) 625-3897</t>
  </si>
  <si>
    <t>+86 18092965258</t>
  </si>
  <si>
    <t>561-427-3162</t>
  </si>
  <si>
    <t>2077121003</t>
  </si>
  <si>
    <t>+51 980 099 109</t>
  </si>
  <si>
    <t>310-591-8130</t>
  </si>
  <si>
    <t>515-370-0036</t>
  </si>
  <si>
    <t>303-884-0730</t>
  </si>
  <si>
    <t>734-634-7222</t>
  </si>
  <si>
    <t>301-739-7755</t>
  </si>
  <si>
    <t>0399819554</t>
  </si>
  <si>
    <t>9849026029</t>
  </si>
  <si>
    <t>(330)256-7277</t>
  </si>
  <si>
    <t>415-559-2140</t>
  </si>
  <si>
    <t>707-763-1585</t>
  </si>
  <si>
    <t>9143977777</t>
  </si>
  <si>
    <t>701-997-5063</t>
  </si>
  <si>
    <t>(701)282-9656</t>
  </si>
  <si>
    <t>(724) 587-3763</t>
  </si>
  <si>
    <t>13604093373</t>
  </si>
  <si>
    <t>0086-411-88536669</t>
  </si>
  <si>
    <t>86-15140579355</t>
  </si>
  <si>
    <t>139-4088-6878</t>
  </si>
  <si>
    <t>0411-82494913</t>
  </si>
  <si>
    <t>18641132991</t>
  </si>
  <si>
    <t>0086-411-39221183</t>
  </si>
  <si>
    <t>0411-62696506</t>
  </si>
  <si>
    <t>15840604399</t>
  </si>
  <si>
    <t>+86 411 87601788</t>
  </si>
  <si>
    <t>0411-83601801</t>
  </si>
  <si>
    <t>+86 411 87841213</t>
  </si>
  <si>
    <t>0411-87841213</t>
  </si>
  <si>
    <t>18642606639</t>
  </si>
  <si>
    <t>0411-39207993</t>
  </si>
  <si>
    <t>041186427277</t>
  </si>
  <si>
    <t>+8613889586476</t>
  </si>
  <si>
    <t>138-9842-1633</t>
  </si>
  <si>
    <t>15326695503</t>
  </si>
  <si>
    <t>86-15040639999</t>
  </si>
  <si>
    <t>133-5221-8899</t>
  </si>
  <si>
    <t>13591814144</t>
  </si>
  <si>
    <t>3926-2664</t>
  </si>
  <si>
    <t>0411 87768093</t>
  </si>
  <si>
    <t>+86 157 341 7446</t>
  </si>
  <si>
    <t>15509859996</t>
  </si>
  <si>
    <t>13700084334</t>
  </si>
  <si>
    <t>541-561-5433</t>
  </si>
  <si>
    <t>604-274-3263</t>
  </si>
  <si>
    <t>814-267-9932</t>
  </si>
  <si>
    <t>970-631-0386</t>
  </si>
  <si>
    <t>610-683-3578</t>
  </si>
  <si>
    <t>740-507-0339</t>
  </si>
  <si>
    <t>402-376-3039</t>
  </si>
  <si>
    <t>18945922678</t>
  </si>
  <si>
    <t>13591746855</t>
  </si>
  <si>
    <t>13096595617</t>
  </si>
  <si>
    <t>(971)325-4712</t>
  </si>
  <si>
    <t>(541) 974-8478</t>
  </si>
  <si>
    <t>785-567-4628</t>
  </si>
  <si>
    <t>(806) 330-1443</t>
  </si>
  <si>
    <t>(717) 949-2978</t>
  </si>
  <si>
    <t>+1(514)996-7269</t>
  </si>
  <si>
    <t>301.739.7754</t>
  </si>
  <si>
    <t>530-632-6784</t>
  </si>
  <si>
    <t>00380675198909</t>
  </si>
  <si>
    <t>518-731-7278</t>
  </si>
  <si>
    <t>806-384-3377</t>
  </si>
  <si>
    <t>(330) 466-2545</t>
  </si>
  <si>
    <t>410-937-8842</t>
  </si>
  <si>
    <t>360-320-2560</t>
  </si>
  <si>
    <t>(386)734-7553</t>
  </si>
  <si>
    <t>310-774-6229</t>
  </si>
  <si>
    <t>416-461-0844</t>
  </si>
  <si>
    <t>03242213415</t>
  </si>
  <si>
    <t>81 30217704</t>
  </si>
  <si>
    <t>+86 15069267023</t>
  </si>
  <si>
    <t>517-243-4848</t>
  </si>
  <si>
    <t>416-782-1942</t>
  </si>
  <si>
    <t>(313) 957-6185</t>
  </si>
  <si>
    <t>+90 507 090 65 96</t>
  </si>
  <si>
    <t>559-884-2840</t>
  </si>
  <si>
    <t>4611010288</t>
  </si>
  <si>
    <t>(208) 754-0042</t>
  </si>
  <si>
    <t>(314) 378-6093</t>
  </si>
  <si>
    <t>530-934-4799</t>
  </si>
  <si>
    <t>+359 899920239</t>
  </si>
  <si>
    <t>810-627-8477</t>
  </si>
  <si>
    <t>330-465-7079</t>
  </si>
  <si>
    <t>(330) 465-7079</t>
  </si>
  <si>
    <t>(54) (387) 155370973</t>
  </si>
  <si>
    <t>409-866-2297</t>
  </si>
  <si>
    <t>(410)783-8632</t>
  </si>
  <si>
    <t>617 381 0681</t>
  </si>
  <si>
    <t>831-628-0288</t>
  </si>
  <si>
    <t>608-490-0925</t>
  </si>
  <si>
    <t>(541) 771-1159</t>
  </si>
  <si>
    <t>828-884-3195</t>
  </si>
  <si>
    <t>9414037779</t>
  </si>
  <si>
    <t>763-270-0985, Cell 612-702-4616</t>
  </si>
  <si>
    <t>608-881-8800</t>
  </si>
  <si>
    <t>(55) 3332 -2628</t>
  </si>
  <si>
    <t>(55) 99963-3195</t>
  </si>
  <si>
    <t>(330) 277-6321</t>
  </si>
  <si>
    <t>0411-39513790</t>
  </si>
  <si>
    <t>332 165 8955</t>
  </si>
  <si>
    <t>(708) 300-8314</t>
  </si>
  <si>
    <t>(608)223-9808</t>
  </si>
  <si>
    <t>(717) 665-4040</t>
  </si>
  <si>
    <t>(314)885-7049</t>
  </si>
  <si>
    <t>435-881-6856</t>
  </si>
  <si>
    <t>530-913-8461</t>
  </si>
  <si>
    <t>(641) 757-2620</t>
  </si>
  <si>
    <t>239-598-5088</t>
  </si>
  <si>
    <t>503-853-3110</t>
  </si>
  <si>
    <t>360-887-7788</t>
  </si>
  <si>
    <t>919-916-8573</t>
  </si>
  <si>
    <t>262-763-9551</t>
  </si>
  <si>
    <t>+51 978215635</t>
  </si>
  <si>
    <t>847-924-5993</t>
  </si>
  <si>
    <t>8221004104</t>
  </si>
  <si>
    <t>+91 8221004104</t>
  </si>
  <si>
    <t>919414030045</t>
  </si>
  <si>
    <t>541-798-5394</t>
  </si>
  <si>
    <t>517-456-7424</t>
  </si>
  <si>
    <t>510-381-7385</t>
  </si>
  <si>
    <t>608-269-5150</t>
  </si>
  <si>
    <t>315-536-7634</t>
  </si>
  <si>
    <t>707-682-6196</t>
  </si>
  <si>
    <t>+20 111 327 219 83</t>
  </si>
  <si>
    <t>903244540202</t>
  </si>
  <si>
    <t>973-955-2600</t>
  </si>
  <si>
    <t>7007965134</t>
  </si>
  <si>
    <t>716-833-7381</t>
  </si>
  <si>
    <t>(209) 523-9167</t>
  </si>
  <si>
    <t>970-232-3951</t>
  </si>
  <si>
    <t>+591 214 62 92</t>
  </si>
  <si>
    <t>+66 21166246</t>
  </si>
  <si>
    <t>+7 7765340120</t>
  </si>
  <si>
    <t>+82-61-537-0445</t>
  </si>
  <si>
    <t>(866) 762-9238</t>
  </si>
  <si>
    <t>(607) 725-9787</t>
  </si>
  <si>
    <t>(817)790-2368</t>
  </si>
  <si>
    <t>922560596</t>
  </si>
  <si>
    <t>+591 441 240 60</t>
  </si>
  <si>
    <t>786-781-6914</t>
  </si>
  <si>
    <t>82316330135</t>
  </si>
  <si>
    <t>530-695-1612</t>
  </si>
  <si>
    <t>208-420-2902</t>
  </si>
  <si>
    <t>0038133771342</t>
  </si>
  <si>
    <t>(54) (381) 5413395</t>
  </si>
  <si>
    <t>1-866-614-0441</t>
  </si>
  <si>
    <t>13923738337</t>
  </si>
  <si>
    <t>+436606100289</t>
  </si>
  <si>
    <t>+92 300 847 8472</t>
  </si>
  <si>
    <t>92 3008478472</t>
  </si>
  <si>
    <t>+604-444 6909</t>
  </si>
  <si>
    <t>(419) 925-4419</t>
  </si>
  <si>
    <t>519-527-0990</t>
  </si>
  <si>
    <t>786 313 7675</t>
  </si>
  <si>
    <t>989-550-8670</t>
  </si>
  <si>
    <t>+66 968435100</t>
  </si>
  <si>
    <t>806-946-9892</t>
  </si>
  <si>
    <t>(520) 405-1917</t>
  </si>
  <si>
    <t>888-531-4888</t>
  </si>
  <si>
    <t>207-232-6674</t>
  </si>
  <si>
    <t>(831)786-7000</t>
  </si>
  <si>
    <t>320-875-4341, Fax 320-875-4342</t>
  </si>
  <si>
    <t>530-891-1339</t>
  </si>
  <si>
    <t>970-846-3714</t>
  </si>
  <si>
    <t>607-387-1007</t>
  </si>
  <si>
    <t>(816)-297-4502</t>
  </si>
  <si>
    <t>(530) 662-9626</t>
  </si>
  <si>
    <t>530-666-1691</t>
  </si>
  <si>
    <t>8668485403 - 9763866464</t>
  </si>
  <si>
    <t>308-354-3330</t>
  </si>
  <si>
    <t>308-254-3330</t>
  </si>
  <si>
    <t>(11) 5183-2730</t>
  </si>
  <si>
    <t>831-359-6593</t>
  </si>
  <si>
    <t>517-628-2506</t>
  </si>
  <si>
    <t>073-306785</t>
  </si>
  <si>
    <t>+31 6 150755699</t>
  </si>
  <si>
    <t>360-821-9827</t>
  </si>
  <si>
    <t>(510)594-9213</t>
  </si>
  <si>
    <t>+90 232 214 00 88</t>
  </si>
  <si>
    <t>(618) 793-2060</t>
  </si>
  <si>
    <t>+91 9897543239</t>
  </si>
  <si>
    <t>320753909</t>
  </si>
  <si>
    <t>+591 724 612 64</t>
  </si>
  <si>
    <t>(503)278-6596</t>
  </si>
  <si>
    <t>(801)897-8680</t>
  </si>
  <si>
    <t>800-735-0313</t>
  </si>
  <si>
    <t>+86 15192629626</t>
  </si>
  <si>
    <t>0412-4865068</t>
  </si>
  <si>
    <t>0522016843</t>
  </si>
  <si>
    <t>(301)739-7754</t>
  </si>
  <si>
    <t>+84 903081373</t>
  </si>
  <si>
    <t>+91 7755957317</t>
  </si>
  <si>
    <t>+66 24903566</t>
  </si>
  <si>
    <t>917-285-3356</t>
  </si>
  <si>
    <t>646-919-8063</t>
  </si>
  <si>
    <t>(724) 352-9500</t>
  </si>
  <si>
    <t>724-352-9500</t>
  </si>
  <si>
    <t>(815) 923-4350</t>
  </si>
  <si>
    <t>508-738-2756</t>
  </si>
  <si>
    <t>(802) 728-0070</t>
  </si>
  <si>
    <t>405-268-2296</t>
  </si>
  <si>
    <t>(563) 538-4191</t>
  </si>
  <si>
    <t>559-276-2580 x1401</t>
  </si>
  <si>
    <t>510-476-5900</t>
  </si>
  <si>
    <t>(954) 917-7272</t>
  </si>
  <si>
    <t>626-855-1400</t>
  </si>
  <si>
    <t>218-739-3366</t>
  </si>
  <si>
    <t>(765) 659-7340</t>
  </si>
  <si>
    <t>415-578-2990</t>
  </si>
  <si>
    <t>530-297-1020</t>
  </si>
  <si>
    <t>9848895566, 9032838988</t>
  </si>
  <si>
    <t>+51 385 80 08</t>
  </si>
  <si>
    <t>+86 18 065 839 682</t>
  </si>
  <si>
    <t>530-796-2214</t>
  </si>
  <si>
    <t>877-504-6926</t>
  </si>
  <si>
    <t>904-315-2510</t>
  </si>
  <si>
    <t>91 8005889711</t>
  </si>
  <si>
    <t>92 553264184</t>
  </si>
  <si>
    <t>619-781-2240</t>
  </si>
  <si>
    <t>2228641829</t>
  </si>
  <si>
    <t>+91 9602095206</t>
  </si>
  <si>
    <t>(869) 31885-2535</t>
  </si>
  <si>
    <t>18293591872</t>
  </si>
  <si>
    <t>+86 931 843 75 65</t>
  </si>
  <si>
    <t>(315) 437-4636 x187</t>
  </si>
  <si>
    <t>512-398-4523</t>
  </si>
  <si>
    <t>+591 68789807</t>
  </si>
  <si>
    <t>7574888701,7574888763</t>
  </si>
  <si>
    <t>716-655-4486</t>
  </si>
  <si>
    <t>591 60857984</t>
  </si>
  <si>
    <t>+6644 756575</t>
  </si>
  <si>
    <t>(510) 558-7500</t>
  </si>
  <si>
    <t>(763)764-5437</t>
  </si>
  <si>
    <t>+66 44756575</t>
  </si>
  <si>
    <t>724-527-2801</t>
  </si>
  <si>
    <t>(479) 784-5255</t>
  </si>
  <si>
    <t>509-865-5511</t>
  </si>
  <si>
    <t>315-877-1328</t>
  </si>
  <si>
    <t>608-239-7182 (Jessica)</t>
  </si>
  <si>
    <t>707-481-2140</t>
  </si>
  <si>
    <t>(507) 268-4921</t>
  </si>
  <si>
    <t>+919301882966</t>
  </si>
  <si>
    <t>310-537-7700</t>
  </si>
  <si>
    <t>(650)873-6566</t>
  </si>
  <si>
    <t>(203)932-3000</t>
  </si>
  <si>
    <t>(217)917-4267</t>
  </si>
  <si>
    <t>+86-15668684411</t>
  </si>
  <si>
    <t>305-238-7747</t>
  </si>
  <si>
    <t>+90 532 280 5270</t>
  </si>
  <si>
    <t>908-590-9873</t>
  </si>
  <si>
    <t>773-636-5974</t>
  </si>
  <si>
    <t>775-352-2869, Cell 775-240-0798, Fax 605-275-3024</t>
  </si>
  <si>
    <t>(541)607-2170</t>
  </si>
  <si>
    <t>922135032820</t>
  </si>
  <si>
    <t>(484)924-9042</t>
  </si>
  <si>
    <t>806-258-7565</t>
  </si>
  <si>
    <t>818-575-7280 x103</t>
  </si>
  <si>
    <t>(591) 33364500</t>
  </si>
  <si>
    <t>(508) 674-5766</t>
  </si>
  <si>
    <t>303-456-5616</t>
  </si>
  <si>
    <t>973-344-8770</t>
  </si>
  <si>
    <t>970-217-8184</t>
  </si>
  <si>
    <t>970-897-2505</t>
  </si>
  <si>
    <t>85523987941</t>
  </si>
  <si>
    <t>(18) 23136-4949</t>
  </si>
  <si>
    <t>+66 97 184 5599</t>
  </si>
  <si>
    <t>[52] (415) 152-6970</t>
  </si>
  <si>
    <t>13942041595</t>
  </si>
  <si>
    <t>512-784-7454</t>
  </si>
  <si>
    <t>719-852-2133</t>
  </si>
  <si>
    <t>610-522-2650</t>
  </si>
  <si>
    <t>+66 (0) 2610 3108</t>
  </si>
  <si>
    <t>(989) 433-5900</t>
  </si>
  <si>
    <t>(507) 550-1346</t>
  </si>
  <si>
    <t>(306) 621-3725</t>
  </si>
  <si>
    <t>(541) 687-8000</t>
  </si>
  <si>
    <t>(641) 713-4801</t>
  </si>
  <si>
    <t>514-871-2037</t>
  </si>
  <si>
    <t>204-339-4184</t>
  </si>
  <si>
    <t>201-507-9900</t>
  </si>
  <si>
    <t>207-935-7415</t>
  </si>
  <si>
    <t>+51 983 774 498</t>
  </si>
  <si>
    <t>51 998 323 771</t>
  </si>
  <si>
    <t>507-324-5820</t>
  </si>
  <si>
    <t>815-698-2400</t>
  </si>
  <si>
    <t>402-362-7955</t>
  </si>
  <si>
    <t>319-360-6618</t>
  </si>
  <si>
    <t>307-414-0597</t>
  </si>
  <si>
    <t>(970) 520-3023, (970)-466-9300 (D) (970)-466-1697</t>
  </si>
  <si>
    <t>(608)626-2211</t>
  </si>
  <si>
    <t>360-839-9792</t>
  </si>
  <si>
    <t>980088540</t>
  </si>
  <si>
    <t>740-610-4061</t>
  </si>
  <si>
    <t>(651) 380-3357</t>
  </si>
  <si>
    <t>00229 66 23 18 12</t>
  </si>
  <si>
    <t>+919718897712</t>
  </si>
  <si>
    <t>9810153563</t>
  </si>
  <si>
    <t>213-747-4411</t>
  </si>
  <si>
    <t>021-32421461</t>
  </si>
  <si>
    <t>719-588-7130</t>
  </si>
  <si>
    <t>630-761-8544</t>
  </si>
  <si>
    <t>724-946-9057</t>
  </si>
  <si>
    <t>714-690-3700</t>
  </si>
  <si>
    <t>+66 53 368 828</t>
  </si>
  <si>
    <t>(203) 740-3471</t>
  </si>
  <si>
    <t>317-554-4320</t>
  </si>
  <si>
    <t>9636741626</t>
  </si>
  <si>
    <t>800-301-3101</t>
  </si>
  <si>
    <t>707-515-6666</t>
  </si>
  <si>
    <t>207-272-6844</t>
  </si>
  <si>
    <t>970-568-9001</t>
  </si>
  <si>
    <t>(360) 969-7191</t>
  </si>
  <si>
    <t>+91 7042144029</t>
  </si>
  <si>
    <t>3318958344</t>
  </si>
  <si>
    <t>+591 228 348 93</t>
  </si>
  <si>
    <t>207-737-2996</t>
  </si>
  <si>
    <t>07715531582</t>
  </si>
  <si>
    <t>13427407327</t>
  </si>
  <si>
    <t>71 99989-1814</t>
  </si>
  <si>
    <t>(713)464-0606</t>
  </si>
  <si>
    <t>314-283-6829</t>
  </si>
  <si>
    <t>+91 7387974787</t>
  </si>
  <si>
    <t>(516)587-5204</t>
  </si>
  <si>
    <t>6103 5339 5489</t>
  </si>
  <si>
    <t>92 13 5610696-8-9</t>
  </si>
  <si>
    <t>13758121367</t>
  </si>
  <si>
    <t>+86 571 583 081 15</t>
  </si>
  <si>
    <t>18246520500</t>
  </si>
  <si>
    <t>315-536-6646</t>
  </si>
  <si>
    <t>91-9886377159</t>
  </si>
  <si>
    <t>(773) 847-3313</t>
  </si>
  <si>
    <t>409-267-9423</t>
  </si>
  <si>
    <t>+94 133 77711</t>
  </si>
  <si>
    <t>336-213-1973</t>
  </si>
  <si>
    <t>(618)545-0277</t>
  </si>
  <si>
    <t>0092 21 35063326</t>
  </si>
  <si>
    <t>61294175525</t>
  </si>
  <si>
    <t>479-530-4469</t>
  </si>
  <si>
    <t>94-11-2438739</t>
  </si>
  <si>
    <t>(760) 747-7390</t>
  </si>
  <si>
    <t>9881391192, 9881213945</t>
  </si>
  <si>
    <t>682-365-1992</t>
  </si>
  <si>
    <t>(815)853-4348</t>
  </si>
  <si>
    <t>(419)293-4180</t>
  </si>
  <si>
    <t>402-423-1234</t>
  </si>
  <si>
    <t>(620)379-4472</t>
  </si>
  <si>
    <t>269-435-1132</t>
  </si>
  <si>
    <t>360-391-9524</t>
  </si>
  <si>
    <t>13394563268</t>
  </si>
  <si>
    <t>+86 18746447219</t>
  </si>
  <si>
    <t>187-4644-7219</t>
  </si>
  <si>
    <t>+86 469 6192674</t>
  </si>
  <si>
    <t>86 16645160529</t>
  </si>
  <si>
    <t>18500311331</t>
  </si>
  <si>
    <t>0455-8762616</t>
  </si>
  <si>
    <t>13766540285</t>
  </si>
  <si>
    <t>+86 186 459 584 54</t>
  </si>
  <si>
    <t>3143894533</t>
  </si>
  <si>
    <t>(847) 816-6225</t>
  </si>
  <si>
    <t>407-412-9339</t>
  </si>
  <si>
    <t>616-642-9421</t>
  </si>
  <si>
    <t>6094959700 #178</t>
  </si>
  <si>
    <t>770-866-3854</t>
  </si>
  <si>
    <t>+66 34 469500</t>
  </si>
  <si>
    <t>914-764-8111</t>
  </si>
  <si>
    <t>(541) 979-6639</t>
  </si>
  <si>
    <t>970-677-2251</t>
  </si>
  <si>
    <t>(775)971-8550</t>
  </si>
  <si>
    <t>507-728-8489</t>
  </si>
  <si>
    <t>00919761680190</t>
  </si>
  <si>
    <t>9906383921, 912481954, 9596797426</t>
  </si>
  <si>
    <t>+977 15424115</t>
  </si>
  <si>
    <t>419-491-4436</t>
  </si>
  <si>
    <t>646-933-1303</t>
  </si>
  <si>
    <t>918505869</t>
  </si>
  <si>
    <t>036 3700649</t>
  </si>
  <si>
    <t>0908 641530</t>
  </si>
  <si>
    <t>719-250-9835</t>
  </si>
  <si>
    <t>+ 90 533 252 55 92</t>
  </si>
  <si>
    <t>530-513-0647</t>
  </si>
  <si>
    <t>541-686-0921</t>
  </si>
  <si>
    <t>970-222-8782</t>
  </si>
  <si>
    <t>435-279-8197</t>
  </si>
  <si>
    <t>15140579355</t>
  </si>
  <si>
    <t>+49 8442660</t>
  </si>
  <si>
    <t>(503) 232-4677</t>
  </si>
  <si>
    <t>(714)901-4350</t>
  </si>
  <si>
    <t>962011241</t>
  </si>
  <si>
    <t>646-331-8581</t>
  </si>
  <si>
    <t>509-200-9325</t>
  </si>
  <si>
    <t>(208) 851-2506</t>
  </si>
  <si>
    <t>15810220565</t>
  </si>
  <si>
    <t>+86 731 822 557 04</t>
  </si>
  <si>
    <t>+92 423 7667028</t>
  </si>
  <si>
    <t>(717) 278-4814</t>
  </si>
  <si>
    <t>(507) 493-5564</t>
  </si>
  <si>
    <t>516-233-2002</t>
  </si>
  <si>
    <t>85512478134</t>
  </si>
  <si>
    <t>+90 488 502 05 45</t>
  </si>
  <si>
    <t>0092715804674</t>
  </si>
  <si>
    <t>(208) 709-4550</t>
  </si>
  <si>
    <t>808-938-0502</t>
  </si>
  <si>
    <t>(559)875-3354</t>
  </si>
  <si>
    <t>(419)502-9000</t>
  </si>
  <si>
    <t>573113868936</t>
  </si>
  <si>
    <t>+5116821459</t>
  </si>
  <si>
    <t>+593 996563107</t>
  </si>
  <si>
    <t>(740) 590-1501</t>
  </si>
  <si>
    <t>+856 312 148 57</t>
  </si>
  <si>
    <t>02 380 8388</t>
  </si>
  <si>
    <t>(803)421-7710</t>
  </si>
  <si>
    <t>949-645-1365</t>
  </si>
  <si>
    <t>573-579-6059</t>
  </si>
  <si>
    <t>13305392028</t>
  </si>
  <si>
    <t>13238449678</t>
  </si>
  <si>
    <t>714-448-6687</t>
  </si>
  <si>
    <t>707-249-4749</t>
  </si>
  <si>
    <t>312-521-7977</t>
  </si>
  <si>
    <t>940139791; 998287836</t>
  </si>
  <si>
    <t>3235841999</t>
  </si>
  <si>
    <t>9142556290</t>
  </si>
  <si>
    <t>646-436-2079</t>
  </si>
  <si>
    <t>+595983192520</t>
  </si>
  <si>
    <t>(800) 235-7072</t>
  </si>
  <si>
    <t>+1 305 726 8420</t>
  </si>
  <si>
    <t>659778180</t>
  </si>
  <si>
    <t>201-988-2993</t>
  </si>
  <si>
    <t>(608) 432-3542</t>
  </si>
  <si>
    <t>978-317-8148</t>
  </si>
  <si>
    <t>2072932455</t>
  </si>
  <si>
    <t>+591 228 158 85</t>
  </si>
  <si>
    <t>595 985 317637</t>
  </si>
  <si>
    <t>(308) 784-2115</t>
  </si>
  <si>
    <t>201-770-9130</t>
  </si>
  <si>
    <t>+91 7042555034</t>
  </si>
  <si>
    <t>+91 9731919026</t>
  </si>
  <si>
    <t>+90 507 947 47 13</t>
  </si>
  <si>
    <t>905362557637</t>
  </si>
  <si>
    <t>530-526-8182</t>
  </si>
  <si>
    <t>(269) 682-0021</t>
  </si>
  <si>
    <t>973-340-8700 X 14</t>
  </si>
  <si>
    <t>(610) 273-9048</t>
  </si>
  <si>
    <t>+591 228 652 32</t>
  </si>
  <si>
    <t>+591 740 070 91</t>
  </si>
  <si>
    <t>785-544-6862</t>
  </si>
  <si>
    <t>+1-305-833- 6000</t>
  </si>
  <si>
    <t>760-749-1133</t>
  </si>
  <si>
    <t>7470718205</t>
  </si>
  <si>
    <t>9422776770</t>
  </si>
  <si>
    <t>+91 9057534001</t>
  </si>
  <si>
    <t>9376999909</t>
  </si>
  <si>
    <t>91 9301882966</t>
  </si>
  <si>
    <t>815-644-4032</t>
  </si>
  <si>
    <t>(858) 486-1707 x106</t>
  </si>
  <si>
    <t>+66 269 123 70</t>
  </si>
  <si>
    <t>510-371-0080</t>
  </si>
  <si>
    <t>(570) 412-1392</t>
  </si>
  <si>
    <t>920-390-7700</t>
  </si>
  <si>
    <t>04 93 40 69 35</t>
  </si>
  <si>
    <t>989-550-3353</t>
  </si>
  <si>
    <t>320-287-0631</t>
  </si>
  <si>
    <t>402-518-3076</t>
  </si>
  <si>
    <t>307-421-4997</t>
  </si>
  <si>
    <t>(617)433-7235</t>
  </si>
  <si>
    <t>323-789-9235</t>
  </si>
  <si>
    <t>0432-63316118</t>
  </si>
  <si>
    <t>86-431-88524159</t>
  </si>
  <si>
    <t>150-4448-2020</t>
  </si>
  <si>
    <t>+864383113335</t>
  </si>
  <si>
    <t>0438-3113330</t>
  </si>
  <si>
    <t>86006 05045</t>
  </si>
  <si>
    <t>209-364-6428</t>
  </si>
  <si>
    <t>(319) 639-2555</t>
  </si>
  <si>
    <t>(952)469-7465</t>
  </si>
  <si>
    <t>610-857-1987</t>
  </si>
  <si>
    <t>406-670-3118; 406-783-5566</t>
  </si>
  <si>
    <t>715-296-5031</t>
  </si>
  <si>
    <t>(860)535-0494</t>
  </si>
  <si>
    <t>541-564-1000</t>
  </si>
  <si>
    <t>+591 724 629 20</t>
  </si>
  <si>
    <t>48 32631404</t>
  </si>
  <si>
    <t>6198510185</t>
  </si>
  <si>
    <t>9111009605</t>
  </si>
  <si>
    <t>425-435-5551</t>
  </si>
  <si>
    <t>+2348053660851</t>
  </si>
  <si>
    <t>419-294-3838</t>
  </si>
  <si>
    <t>(419) 294-3838</t>
  </si>
  <si>
    <t>(800) 466-9959</t>
  </si>
  <si>
    <t>(502) 30184546</t>
  </si>
  <si>
    <t>9890001978</t>
  </si>
  <si>
    <t>620-272-6017</t>
  </si>
  <si>
    <t>707 217 1697</t>
  </si>
  <si>
    <t>(630)228-9029</t>
  </si>
  <si>
    <t>540-604-4794</t>
  </si>
  <si>
    <t>831-424-3971</t>
  </si>
  <si>
    <t>318-647-5744</t>
  </si>
  <si>
    <t>718-369-4600</t>
  </si>
  <si>
    <t>484-797-3614</t>
  </si>
  <si>
    <t>(859) 221-6682</t>
  </si>
  <si>
    <t>18916136281</t>
  </si>
  <si>
    <t>(419) 685-4049</t>
  </si>
  <si>
    <t>+86 475 3211395</t>
  </si>
  <si>
    <t>937-644-8215</t>
  </si>
  <si>
    <t>92562875525</t>
  </si>
  <si>
    <t>+66 433 703 33</t>
  </si>
  <si>
    <t>510-487-7800</t>
  </si>
  <si>
    <t>970-420-2195</t>
  </si>
  <si>
    <t>(802)299-2240</t>
  </si>
  <si>
    <t>034-874293</t>
  </si>
  <si>
    <t>219-393-5581, Fax 219-393-5475</t>
  </si>
  <si>
    <t>+591 723 453 79</t>
  </si>
  <si>
    <t>+51 14801068</t>
  </si>
  <si>
    <t>(760) 438-8606</t>
  </si>
  <si>
    <t>+255 756412278</t>
  </si>
  <si>
    <t>91- 8668485403</t>
  </si>
  <si>
    <t>315-694-1263</t>
  </si>
  <si>
    <t>209-392-2191</t>
  </si>
  <si>
    <t>520-678-6360</t>
  </si>
  <si>
    <t>+91 9999096707</t>
  </si>
  <si>
    <t>412-741-1771</t>
  </si>
  <si>
    <t>312-878-7988</t>
  </si>
  <si>
    <t>570-374-8148</t>
  </si>
  <si>
    <t>+6643 501 803</t>
  </si>
  <si>
    <t>(864) 305-2894</t>
  </si>
  <si>
    <t>(503) 557-2598</t>
  </si>
  <si>
    <t>(714) 446-1842</t>
  </si>
  <si>
    <t>515-320-2204</t>
  </si>
  <si>
    <t>919-875-4026</t>
  </si>
  <si>
    <t>831-385-5441</t>
  </si>
  <si>
    <t>616-901-6261</t>
  </si>
  <si>
    <t>61749873073</t>
  </si>
  <si>
    <t>402-430-0986</t>
  </si>
  <si>
    <t>450-349-1747</t>
  </si>
  <si>
    <t>(301) 588-1111</t>
  </si>
  <si>
    <t>+39 045 736 3063</t>
  </si>
  <si>
    <t>0522972658</t>
  </si>
  <si>
    <t>573-590-2222</t>
  </si>
  <si>
    <t>315-531-1038</t>
  </si>
  <si>
    <t>989-280-5230</t>
  </si>
  <si>
    <t>410-778-1866</t>
  </si>
  <si>
    <t>409-284-0104</t>
  </si>
  <si>
    <t>+66 05200909095 ext. 711</t>
  </si>
  <si>
    <t>203-564-3975</t>
  </si>
  <si>
    <t>(503) 852-7151</t>
  </si>
  <si>
    <t>929-302-7486</t>
  </si>
  <si>
    <t>775-352-2840; 916-380-2767</t>
  </si>
  <si>
    <t>844-781-5080</t>
  </si>
  <si>
    <t>(608) 632-0392</t>
  </si>
  <si>
    <t>(801)768-4401</t>
  </si>
  <si>
    <t>480-684-1420</t>
  </si>
  <si>
    <t>+92 300 4330552</t>
  </si>
  <si>
    <t>347-713-4968</t>
  </si>
  <si>
    <t>15642111109</t>
  </si>
  <si>
    <t>0429-3038042</t>
  </si>
  <si>
    <t>9516840027 #108</t>
  </si>
  <si>
    <t>(701) 732-0007</t>
  </si>
  <si>
    <t>631-242-2044</t>
  </si>
  <si>
    <t>845-877-7775</t>
  </si>
  <si>
    <t>217-836-1815</t>
  </si>
  <si>
    <t>(336) 376-6190</t>
  </si>
  <si>
    <t>(209)499-6378</t>
  </si>
  <si>
    <t>+66 226 670 31</t>
  </si>
  <si>
    <t>207-660-3545 (keith)</t>
  </si>
  <si>
    <t>510-526-7106</t>
  </si>
  <si>
    <t>+380 505793550</t>
  </si>
  <si>
    <t>208-431-2785</t>
  </si>
  <si>
    <t>530-695-1888</t>
  </si>
  <si>
    <t>870-552-3217</t>
  </si>
  <si>
    <t>+886 48882501</t>
  </si>
  <si>
    <t>651-272-6230</t>
  </si>
  <si>
    <t>585-554-6301</t>
  </si>
  <si>
    <t>990862555</t>
  </si>
  <si>
    <t>815-848-9385</t>
  </si>
  <si>
    <t>612-327-4024</t>
  </si>
  <si>
    <t>00380934222174</t>
  </si>
  <si>
    <t>0913884544</t>
  </si>
  <si>
    <t>207-380-4662</t>
  </si>
  <si>
    <t>559-661-4845</t>
  </si>
  <si>
    <t>530-538-3504</t>
  </si>
  <si>
    <t>604-800-3532</t>
  </si>
  <si>
    <t>917-662-0103</t>
  </si>
  <si>
    <t>209-599-7575</t>
  </si>
  <si>
    <t>800-327-4406</t>
  </si>
  <si>
    <t>9009544000</t>
  </si>
  <si>
    <t>+91 8222966112</t>
  </si>
  <si>
    <t>0379722233</t>
  </si>
  <si>
    <t>51930885788</t>
  </si>
  <si>
    <t>207-474-8001</t>
  </si>
  <si>
    <t>+591 443 000 03</t>
  </si>
  <si>
    <t>541-880-4312</t>
  </si>
  <si>
    <t>218-850-8875, Cell 218-850-4506</t>
  </si>
  <si>
    <t>905321753995</t>
  </si>
  <si>
    <t>(707) 732-3405</t>
  </si>
  <si>
    <t>517-425-2657</t>
  </si>
  <si>
    <t>612 6664 5145</t>
  </si>
  <si>
    <t>+51 982 331 228</t>
  </si>
  <si>
    <t>(510)895-2000</t>
  </si>
  <si>
    <t>333 393 7424</t>
  </si>
  <si>
    <t>73 99984-7722</t>
  </si>
  <si>
    <t>925-634-6126</t>
  </si>
  <si>
    <t>505 89317286</t>
  </si>
  <si>
    <t>301-616-2904</t>
  </si>
  <si>
    <t>(660)-998-3665</t>
  </si>
  <si>
    <t>(615)738-8576</t>
  </si>
  <si>
    <t>8433379299</t>
  </si>
  <si>
    <t>206-525-1545</t>
  </si>
  <si>
    <t>402-750-7973</t>
  </si>
  <si>
    <t>360-354-2271</t>
  </si>
  <si>
    <t>413-347-9401</t>
  </si>
  <si>
    <t>+917521900842</t>
  </si>
  <si>
    <t>(562) 602-8340</t>
  </si>
  <si>
    <t>660-329-1106</t>
  </si>
  <si>
    <t>0990535588</t>
  </si>
  <si>
    <t>(563) 532-9045</t>
  </si>
  <si>
    <t>009221 363 12896</t>
  </si>
  <si>
    <t>9702189300</t>
  </si>
  <si>
    <t>9819436177, 8097386086</t>
  </si>
  <si>
    <t>888-516-8881</t>
  </si>
  <si>
    <t>(330) 695-4413</t>
  </si>
  <si>
    <t>530-330-2131</t>
  </si>
  <si>
    <t>(717)395-6843</t>
  </si>
  <si>
    <t>541-891-8276</t>
  </si>
  <si>
    <t>308-940-1115</t>
  </si>
  <si>
    <t>(608) 574-4796</t>
  </si>
  <si>
    <t>21698418891</t>
  </si>
  <si>
    <t>+66 44882867</t>
  </si>
  <si>
    <t>9897080743, 9720170743</t>
  </si>
  <si>
    <t>1-323-868-7135</t>
  </si>
  <si>
    <t>308-643-2590</t>
  </si>
  <si>
    <t>(208) 757-1770</t>
  </si>
  <si>
    <t>707-938-4378</t>
  </si>
  <si>
    <t>(612) 444-9980</t>
  </si>
  <si>
    <t>(480)355-1888</t>
  </si>
  <si>
    <t>530-674-2380</t>
  </si>
  <si>
    <t>(419) 606-0949</t>
  </si>
  <si>
    <t>517-627-0200</t>
  </si>
  <si>
    <t>517-881-7089</t>
  </si>
  <si>
    <t>701-475-4751</t>
  </si>
  <si>
    <t>(978)688-2221</t>
  </si>
  <si>
    <t>607-869-6494</t>
  </si>
  <si>
    <t>(703) 380-3787</t>
  </si>
  <si>
    <t>(62) 3514 9410</t>
  </si>
  <si>
    <t>952-942-7310</t>
  </si>
  <si>
    <t>605-627-1901</t>
  </si>
  <si>
    <t>+91 9924235415</t>
  </si>
  <si>
    <t>484-229-3212</t>
  </si>
  <si>
    <t>330-201-2400</t>
  </si>
  <si>
    <t>7323390071</t>
  </si>
  <si>
    <t>+233 540 100 568</t>
  </si>
  <si>
    <t>461-1814/961782404</t>
  </si>
  <si>
    <t>(917) 912-4442</t>
  </si>
  <si>
    <t>207-437-4719</t>
  </si>
  <si>
    <t>(585)765-9457</t>
  </si>
  <si>
    <t>(54) (11) 64757811</t>
  </si>
  <si>
    <t>(559)790-9714</t>
  </si>
  <si>
    <t>(800)254-3227</t>
  </si>
  <si>
    <t>(510)596-6447</t>
  </si>
  <si>
    <t>623-393-0110</t>
  </si>
  <si>
    <t>(330) 674-1289 ext. 2</t>
  </si>
  <si>
    <t>(406) 622-5436</t>
  </si>
  <si>
    <t>(406) 600-7400</t>
  </si>
  <si>
    <t>(406) 771-9229</t>
  </si>
  <si>
    <t>8056284601, 044-48603596</t>
  </si>
  <si>
    <t>(530) 241-9245</t>
  </si>
  <si>
    <t>(626)854-1655</t>
  </si>
  <si>
    <t>207-691-5573</t>
  </si>
  <si>
    <t>617 5571 7744</t>
  </si>
  <si>
    <t>419-435-5165</t>
  </si>
  <si>
    <t>707-217-3101</t>
  </si>
  <si>
    <t>(802) 633-4387</t>
  </si>
  <si>
    <t>307-632-1492</t>
  </si>
  <si>
    <t>951-461-4405</t>
  </si>
  <si>
    <t>816-506-5334</t>
  </si>
  <si>
    <t>(860)210-7805</t>
  </si>
  <si>
    <t>(800) 879-3337</t>
  </si>
  <si>
    <t>805-286-6396</t>
  </si>
  <si>
    <t>330-268-2600</t>
  </si>
  <si>
    <t>217-386-2690</t>
  </si>
  <si>
    <t>813-289-3110</t>
  </si>
  <si>
    <t>7183261070 #103</t>
  </si>
  <si>
    <t>(864)-855-2469</t>
  </si>
  <si>
    <t>209-249-7044</t>
  </si>
  <si>
    <t>541-465-3247</t>
  </si>
  <si>
    <t>9177339949</t>
  </si>
  <si>
    <t>559-659-3035</t>
  </si>
  <si>
    <t>+66 981102975</t>
  </si>
  <si>
    <t>+91 9009090831</t>
  </si>
  <si>
    <t>+66 457 569 80</t>
  </si>
  <si>
    <t>562-531-2744</t>
  </si>
  <si>
    <t>+51 170 442 94</t>
  </si>
  <si>
    <t>360-681-7458</t>
  </si>
  <si>
    <t>360-507-1434</t>
  </si>
  <si>
    <t>(256)714-5775</t>
  </si>
  <si>
    <t>202.499.4266</t>
  </si>
  <si>
    <t>610-443-2050</t>
  </si>
  <si>
    <t>(419) 537-1713</t>
  </si>
  <si>
    <t>303-789-6082</t>
  </si>
  <si>
    <t>+5114524199</t>
  </si>
  <si>
    <t>719-580-1649</t>
  </si>
  <si>
    <t>8610894240</t>
  </si>
  <si>
    <t>417-882-9604</t>
  </si>
  <si>
    <t>916-836-3561</t>
  </si>
  <si>
    <t>218-222-3677</t>
  </si>
  <si>
    <t>0068413511</t>
  </si>
  <si>
    <t>+511 717 8723</t>
  </si>
  <si>
    <t>(734) 368-2610</t>
  </si>
  <si>
    <t>(11) 947336226</t>
  </si>
  <si>
    <t>9215000111</t>
  </si>
  <si>
    <t>360-901-4340</t>
  </si>
  <si>
    <t>7027852225</t>
  </si>
  <si>
    <t>+91 8930215614</t>
  </si>
  <si>
    <t>9413377711</t>
  </si>
  <si>
    <t>(604)248-8838</t>
  </si>
  <si>
    <t>13809843888</t>
  </si>
  <si>
    <t>13940992075</t>
  </si>
  <si>
    <t>626-669-7905</t>
  </si>
  <si>
    <t>+2731 562 0601</t>
  </si>
  <si>
    <t>(419) 435-8151</t>
  </si>
  <si>
    <t>862-238-8020</t>
  </si>
  <si>
    <t>(806) 577-3086</t>
  </si>
  <si>
    <t>(561)998-0904</t>
  </si>
  <si>
    <t>(415)713-5510</t>
  </si>
  <si>
    <t>315-252-2676</t>
  </si>
  <si>
    <t>(510) 489-8600</t>
  </si>
  <si>
    <t>(971) 438-6141</t>
  </si>
  <si>
    <t>847-847-2999</t>
  </si>
  <si>
    <t>6268635595</t>
  </si>
  <si>
    <t>800-558-6887</t>
  </si>
  <si>
    <t>323-284-5959</t>
  </si>
  <si>
    <t>530-219-0417</t>
  </si>
  <si>
    <t>(715) 496-3956</t>
  </si>
  <si>
    <t>0863224038</t>
  </si>
  <si>
    <t>089-6006790</t>
  </si>
  <si>
    <t>(17) (866) 745313</t>
  </si>
  <si>
    <t>301-983-2167</t>
  </si>
  <si>
    <t>614-736-7589</t>
  </si>
  <si>
    <t>+94 77 250 2721</t>
  </si>
  <si>
    <t>9886637184</t>
  </si>
  <si>
    <t>707-427-3127</t>
  </si>
  <si>
    <t>512-865-7548</t>
  </si>
  <si>
    <t>+66 990 950 964</t>
  </si>
  <si>
    <t>(419) 234-4008</t>
  </si>
  <si>
    <t>952-449-0885</t>
  </si>
  <si>
    <t>(701) 327-2121</t>
  </si>
  <si>
    <t>2075364003</t>
  </si>
  <si>
    <t>(585)235-8970</t>
  </si>
  <si>
    <t>509-382-2571</t>
  </si>
  <si>
    <t>360-812-2052</t>
  </si>
  <si>
    <t>360-757-7940</t>
  </si>
  <si>
    <t>(630)545-9098</t>
  </si>
  <si>
    <t>9032838988</t>
  </si>
  <si>
    <t>620-872-5236</t>
  </si>
  <si>
    <t>(435) 238-4302</t>
  </si>
  <si>
    <t>208-985-1344</t>
  </si>
  <si>
    <t>(801) 722-5640</t>
  </si>
  <si>
    <t>201-399-2333</t>
  </si>
  <si>
    <t>029-89569811</t>
  </si>
  <si>
    <t>(306)751-2044</t>
  </si>
  <si>
    <t>609-841-5149</t>
  </si>
  <si>
    <t>918762658284</t>
  </si>
  <si>
    <t>856-966-6400</t>
  </si>
  <si>
    <t>908-764-2098</t>
  </si>
  <si>
    <t>855-623-6637</t>
  </si>
  <si>
    <t>+90 232 700 03 38</t>
  </si>
  <si>
    <t>2095864433</t>
  </si>
  <si>
    <t>+66 956 135 107</t>
  </si>
  <si>
    <t>555 436 8202, 551 798 4470</t>
  </si>
  <si>
    <t>626-788-7788</t>
  </si>
  <si>
    <t>330-416-8140</t>
  </si>
  <si>
    <t>+0320740013</t>
  </si>
  <si>
    <t>347-229-3548</t>
  </si>
  <si>
    <t>208-590-1588</t>
  </si>
  <si>
    <t>(262)947-3500</t>
  </si>
  <si>
    <t>250-687-4869</t>
  </si>
  <si>
    <t>207-896-5494</t>
  </si>
  <si>
    <t>559-301-6670</t>
  </si>
  <si>
    <t>402-336-1717</t>
  </si>
  <si>
    <t>(651) 380-3296</t>
  </si>
  <si>
    <t>+66 95 6135107</t>
  </si>
  <si>
    <t>360-778-2295</t>
  </si>
  <si>
    <t>810-404-9345</t>
  </si>
  <si>
    <t>974 320432</t>
  </si>
  <si>
    <t>923214440773</t>
  </si>
  <si>
    <t>+248 451 555 608 95</t>
  </si>
  <si>
    <t>9956296600, 9935125299, 7521900842</t>
  </si>
  <si>
    <t>(54) (011) 43752000</t>
  </si>
  <si>
    <t>707-498-2319</t>
  </si>
  <si>
    <t>(503)445-1065</t>
  </si>
  <si>
    <t>(402) 720-2614</t>
  </si>
  <si>
    <t>240-517-8339</t>
  </si>
  <si>
    <t>281-886-6294</t>
  </si>
  <si>
    <t>408-203-9960</t>
  </si>
  <si>
    <t>7733801000</t>
  </si>
  <si>
    <t>+91 6394186478</t>
  </si>
  <si>
    <t>+86 298 881 33 45</t>
  </si>
  <si>
    <t>+84 2633549008</t>
  </si>
  <si>
    <t>+90 2128007968</t>
  </si>
  <si>
    <t>0668153938</t>
  </si>
  <si>
    <t>+13474535551</t>
  </si>
  <si>
    <t>604-787-3575</t>
  </si>
  <si>
    <t>+90 232 463 24 25</t>
  </si>
  <si>
    <t>+20 233 622 702</t>
  </si>
  <si>
    <t>818-534-5050</t>
  </si>
  <si>
    <t>(740) 824-3248</t>
  </si>
  <si>
    <t>530-723-5161</t>
  </si>
  <si>
    <t>+31 (0)79-5931432</t>
  </si>
  <si>
    <t>91-8800355110</t>
  </si>
  <si>
    <t>(559)237-5583</t>
  </si>
  <si>
    <t>(559) 276-2580 x103</t>
  </si>
  <si>
    <t>(317)831-2666</t>
  </si>
  <si>
    <t>320-309-3169</t>
  </si>
  <si>
    <t>009235695401</t>
  </si>
  <si>
    <t>+66 551 699 26</t>
  </si>
  <si>
    <t>+1 (713) 594 5879</t>
  </si>
  <si>
    <t>319-541-3031</t>
  </si>
  <si>
    <t>(806)336-0846</t>
  </si>
  <si>
    <t>914-654-6800 ext. 106 or 306</t>
  </si>
  <si>
    <t>701-968-3985</t>
  </si>
  <si>
    <t>253-867-1580</t>
  </si>
  <si>
    <t>435-602-9163</t>
  </si>
  <si>
    <t>267-981-6411</t>
  </si>
  <si>
    <t>806-333-2401</t>
  </si>
  <si>
    <t>(937) 423-1154</t>
  </si>
  <si>
    <t>253-987-7884</t>
  </si>
  <si>
    <t>92984311303</t>
  </si>
  <si>
    <t>(570) 600-8377</t>
  </si>
  <si>
    <t>514- 768- 8733</t>
  </si>
  <si>
    <t>9072370271, 9072380539</t>
  </si>
  <si>
    <t>+380970245990</t>
  </si>
  <si>
    <t>620-486-0122</t>
  </si>
  <si>
    <t>+91 9567637188</t>
  </si>
  <si>
    <t>94312262280</t>
  </si>
  <si>
    <t>(786)558-0941</t>
  </si>
  <si>
    <t>406-658-2518</t>
  </si>
  <si>
    <t>559 448 8800</t>
  </si>
  <si>
    <t>559-448-8800</t>
  </si>
  <si>
    <t>+66 804 599 553</t>
  </si>
  <si>
    <t>410-543-3133</t>
  </si>
  <si>
    <t>(704)789-2482</t>
  </si>
  <si>
    <t>(616)343-1217</t>
  </si>
  <si>
    <t>+51 1 705 9668</t>
  </si>
  <si>
    <t>+51 936990836</t>
  </si>
  <si>
    <t>01-628 1414 / 5116174922</t>
  </si>
  <si>
    <t>996946610</t>
  </si>
  <si>
    <t>315-694-1265</t>
  </si>
  <si>
    <t>(859) 608-0249</t>
  </si>
  <si>
    <t>512-525-7546</t>
  </si>
  <si>
    <t>+91 9900039406</t>
  </si>
  <si>
    <t>0411-87962270</t>
  </si>
  <si>
    <t>+66 861 322 788</t>
  </si>
  <si>
    <t>5 20 30 37 20</t>
  </si>
  <si>
    <t>650-879-0995</t>
  </si>
  <si>
    <t>509-826-8003</t>
  </si>
  <si>
    <t>092 055 -6814644</t>
  </si>
  <si>
    <t>(55) 34310300</t>
  </si>
  <si>
    <t>608-330-0946</t>
  </si>
  <si>
    <t>+66 854 108 152</t>
  </si>
  <si>
    <t>+66 815486823</t>
  </si>
  <si>
    <t>07 3265 5022</t>
  </si>
  <si>
    <t>916-655-3391</t>
  </si>
  <si>
    <t>530-438-2759</t>
  </si>
  <si>
    <t>989-721-9084</t>
  </si>
  <si>
    <t>+66 20778653</t>
  </si>
  <si>
    <t>(952)322-8000</t>
  </si>
  <si>
    <t>(262) 728-2256</t>
  </si>
  <si>
    <t>760-215-9909</t>
  </si>
  <si>
    <t>599-299-0203</t>
  </si>
  <si>
    <t>406-945-0990</t>
  </si>
  <si>
    <t>701-320-7512</t>
  </si>
  <si>
    <t>801-793-7737</t>
  </si>
  <si>
    <t>+855715553444</t>
  </si>
  <si>
    <t>(203)348-0030</t>
  </si>
  <si>
    <t>608-634-3184</t>
  </si>
  <si>
    <t>845-288-9100</t>
  </si>
  <si>
    <t>+91 9900039423</t>
  </si>
  <si>
    <t>707-433-3372</t>
  </si>
  <si>
    <t>93149405767</t>
  </si>
  <si>
    <t>9549254500</t>
  </si>
  <si>
    <t>9341974822</t>
  </si>
  <si>
    <t>+91 9481516966</t>
  </si>
  <si>
    <t>831-658-1920</t>
  </si>
  <si>
    <t>831-658-1958</t>
  </si>
  <si>
    <t>(802) 586-8022</t>
  </si>
  <si>
    <t>787-873-3177</t>
  </si>
  <si>
    <t>9612643329</t>
  </si>
  <si>
    <t>+59322471473</t>
  </si>
  <si>
    <t>+593983517072</t>
  </si>
  <si>
    <t>973-718-0099</t>
  </si>
  <si>
    <t>(319) 653-6541</t>
  </si>
  <si>
    <t>509-488-3977</t>
  </si>
  <si>
    <t>970-630-7789</t>
  </si>
  <si>
    <t>815-698-2204</t>
  </si>
  <si>
    <t>0051-64 261181 / 0051-964 914595 / 0051-997 661038</t>
  </si>
  <si>
    <t>527223800744</t>
  </si>
  <si>
    <t>760-295-6650</t>
  </si>
  <si>
    <t>952-221-0193</t>
  </si>
  <si>
    <t>(503) 646-8939</t>
  </si>
  <si>
    <t>(503) 902-5557</t>
  </si>
  <si>
    <t>(626)691-5322</t>
  </si>
  <si>
    <t>(856) 428-4300</t>
  </si>
  <si>
    <t>(720)242-7525</t>
  </si>
  <si>
    <t>+91 8233598722</t>
  </si>
  <si>
    <t>320-769-2994</t>
  </si>
  <si>
    <t>715-986-4046</t>
  </si>
  <si>
    <t>607-229-9287</t>
  </si>
  <si>
    <t>+86 532 867 077 89</t>
  </si>
  <si>
    <t>+86 188 663 990 00</t>
  </si>
  <si>
    <t>+86 185 626 919 50</t>
  </si>
  <si>
    <t>+86 532 828 675 87</t>
  </si>
  <si>
    <t>+86 532 668 512 158 19</t>
  </si>
  <si>
    <t>719-688-3668</t>
  </si>
  <si>
    <t>(620) 421-4906</t>
  </si>
  <si>
    <t>78597999 ,  +51 995073008</t>
  </si>
  <si>
    <t>920-395-4020</t>
  </si>
  <si>
    <t>995073008</t>
  </si>
  <si>
    <t>(54) 30228500</t>
  </si>
  <si>
    <t>832-382-0250</t>
  </si>
  <si>
    <t>+591 5256686</t>
  </si>
  <si>
    <t>(310)217-8125</t>
  </si>
  <si>
    <t>+591 2883003</t>
  </si>
  <si>
    <t>+51 987 545 948</t>
  </si>
  <si>
    <t>+591 724 761 32</t>
  </si>
  <si>
    <t>612-295-1642</t>
  </si>
  <si>
    <t>209-826-6006</t>
  </si>
  <si>
    <t>(815)295-6186</t>
  </si>
  <si>
    <t>9815157500</t>
  </si>
  <si>
    <t>320272852</t>
  </si>
  <si>
    <t>307-630-3616</t>
  </si>
  <si>
    <t>+919900067666</t>
  </si>
  <si>
    <t>503-702-7001</t>
  </si>
  <si>
    <t>(530) 640-1485</t>
  </si>
  <si>
    <t>+0330471653</t>
  </si>
  <si>
    <t>402-922-3393</t>
  </si>
  <si>
    <t>+919828653201</t>
  </si>
  <si>
    <t>+91 9828653201</t>
  </si>
  <si>
    <t>079-26873021</t>
  </si>
  <si>
    <t>7726999086</t>
  </si>
  <si>
    <t>810-537-1333</t>
  </si>
  <si>
    <t>(970) 785-6331</t>
  </si>
  <si>
    <t>607-589-4415</t>
  </si>
  <si>
    <t>425-395-2064</t>
  </si>
  <si>
    <t>(937) 243-9800</t>
  </si>
  <si>
    <t>(973) 974-9940</t>
  </si>
  <si>
    <t>(802) 223-5200</t>
  </si>
  <si>
    <t>605-256-9611</t>
  </si>
  <si>
    <t>201-885-3270</t>
  </si>
  <si>
    <t>(804) 320-1800</t>
  </si>
  <si>
    <t>530-667-5117</t>
  </si>
  <si>
    <t>607-442-4145</t>
  </si>
  <si>
    <t>717-653-8078</t>
  </si>
  <si>
    <t>(425) 605-4119</t>
  </si>
  <si>
    <t>2019471000</t>
  </si>
  <si>
    <t>(248) 330-3756</t>
  </si>
  <si>
    <t>(320) 693-7211</t>
  </si>
  <si>
    <t>(262) 789-5104</t>
  </si>
  <si>
    <t>9611877771</t>
  </si>
  <si>
    <t>443-490-7569</t>
  </si>
  <si>
    <t>+92 55 6814799</t>
  </si>
  <si>
    <t>+66 2-440-0854</t>
  </si>
  <si>
    <t>+66 356 113 834</t>
  </si>
  <si>
    <t>608-768-5383</t>
  </si>
  <si>
    <t>719-852-4088</t>
  </si>
  <si>
    <t>305-588-9848</t>
  </si>
  <si>
    <t>(781)983-5512</t>
  </si>
  <si>
    <t>206-985-1635</t>
  </si>
  <si>
    <t>715-654-5134</t>
  </si>
  <si>
    <t>641-985-2494</t>
  </si>
  <si>
    <t>416-360-8200</t>
  </si>
  <si>
    <t>979-236-2354</t>
  </si>
  <si>
    <t>(530) 458-8512</t>
  </si>
  <si>
    <t>(501)516-5308</t>
  </si>
  <si>
    <t>262-763-9434</t>
  </si>
  <si>
    <t>6106917060</t>
  </si>
  <si>
    <t>402-218-1356</t>
  </si>
  <si>
    <t>(604)798-2876</t>
  </si>
  <si>
    <t>+923028230304</t>
  </si>
  <si>
    <t>732-789-6179</t>
  </si>
  <si>
    <t>(530) 308-0099</t>
  </si>
  <si>
    <t>719-688-3662</t>
  </si>
  <si>
    <t>98470058</t>
  </si>
  <si>
    <t>0272 293 827</t>
  </si>
  <si>
    <t>303-748-5836</t>
  </si>
  <si>
    <t>201-354-7730</t>
  </si>
  <si>
    <t>(530) 735-6274</t>
  </si>
  <si>
    <t>844-307-1907</t>
  </si>
  <si>
    <t>308-278-2224</t>
  </si>
  <si>
    <t>207-277-3388</t>
  </si>
  <si>
    <t>406-778-3946</t>
  </si>
  <si>
    <t>(563) 534-7238</t>
  </si>
  <si>
    <t>608-863-1872</t>
  </si>
  <si>
    <t>970-305-3798</t>
  </si>
  <si>
    <t>0277 3763 155</t>
  </si>
  <si>
    <t>+91 9009874124</t>
  </si>
  <si>
    <t>(510)412-2721</t>
  </si>
  <si>
    <t>303-449-5626</t>
  </si>
  <si>
    <t>989-673-6268</t>
  </si>
  <si>
    <t>+91 9448200117</t>
  </si>
  <si>
    <t>401-351-4633</t>
  </si>
  <si>
    <t>+86 137 599 644 15</t>
  </si>
  <si>
    <t>(717) 442-1166</t>
  </si>
  <si>
    <t>+91 9928330132</t>
  </si>
  <si>
    <t>+91 9694060301</t>
  </si>
  <si>
    <t>(949)498-8618</t>
  </si>
  <si>
    <t>9414323900</t>
  </si>
  <si>
    <t>05644-220733</t>
  </si>
  <si>
    <t>9782765212</t>
  </si>
  <si>
    <t>+91 8830964868</t>
  </si>
  <si>
    <t>918830964868</t>
  </si>
  <si>
    <t>253-872-1900</t>
  </si>
  <si>
    <t>419-577-2809</t>
  </si>
  <si>
    <t>735 125 8966</t>
  </si>
  <si>
    <t>9761680190</t>
  </si>
  <si>
    <t>(336) 235-0838</t>
  </si>
  <si>
    <t>+61 455 533 817</t>
  </si>
  <si>
    <t>61280048645</t>
  </si>
  <si>
    <t>941-914-6222</t>
  </si>
  <si>
    <t>954-240-9384</t>
  </si>
  <si>
    <t>+91 9596797426</t>
  </si>
  <si>
    <t>+91 9993801435</t>
  </si>
  <si>
    <t>380567785645</t>
  </si>
  <si>
    <t>360-757-9947</t>
  </si>
  <si>
    <t>503-713-3222</t>
  </si>
  <si>
    <t>269-207-5703</t>
  </si>
  <si>
    <t>970-482-4035</t>
  </si>
  <si>
    <t>307-837-2613</t>
  </si>
  <si>
    <t>(949) 608-0802</t>
  </si>
  <si>
    <t>714-256-0808</t>
  </si>
  <si>
    <t>253-237-0550</t>
  </si>
  <si>
    <t>970-412-8085</t>
  </si>
  <si>
    <t>208-936-8027</t>
  </si>
  <si>
    <t>(905)850-2544</t>
  </si>
  <si>
    <t>804-501-6699</t>
  </si>
  <si>
    <t>354-9212</t>
  </si>
  <si>
    <t>+91 7230093938</t>
  </si>
  <si>
    <t>(43) 34641384</t>
  </si>
  <si>
    <t>(402) 470-5130</t>
  </si>
  <si>
    <t>061-362-3042</t>
  </si>
  <si>
    <t>(512) 730-1105</t>
  </si>
  <si>
    <t>760 4398900</t>
  </si>
  <si>
    <t>717-8244170</t>
  </si>
  <si>
    <t>7604398900</t>
  </si>
  <si>
    <t>541-892-77187</t>
  </si>
  <si>
    <t>616-786-3827</t>
  </si>
  <si>
    <t>604-788-6249</t>
  </si>
  <si>
    <t>92 307 777 2560</t>
  </si>
  <si>
    <t>+92-21-35610696-9</t>
  </si>
  <si>
    <t>92 853303719</t>
  </si>
  <si>
    <t>416-285-0142</t>
  </si>
  <si>
    <t>0092 477 652801-5</t>
  </si>
  <si>
    <t>042-543843</t>
  </si>
  <si>
    <t>+86 188 662 510 91</t>
  </si>
  <si>
    <t>+86 25 68702626</t>
  </si>
  <si>
    <t>18636168807</t>
  </si>
  <si>
    <t>760-418-5921</t>
  </si>
  <si>
    <t>7082279618</t>
  </si>
  <si>
    <t>6264144488</t>
  </si>
  <si>
    <t>+91 7559411218</t>
  </si>
  <si>
    <t>13333338331</t>
  </si>
  <si>
    <t>315-548-9271</t>
  </si>
  <si>
    <t>267-209-0202</t>
  </si>
  <si>
    <t>+91 9782025989</t>
  </si>
  <si>
    <t>9996690786, 8383901137, 9815293085</t>
  </si>
  <si>
    <t>8930810015</t>
  </si>
  <si>
    <t>0731-4213622</t>
  </si>
  <si>
    <t>(918) 83096-4868</t>
  </si>
  <si>
    <t>+86 187 816 368 96</t>
  </si>
  <si>
    <t>+86 158 959 837 39</t>
  </si>
  <si>
    <t>+91 9766559747</t>
  </si>
  <si>
    <t>(847)388-3040</t>
  </si>
  <si>
    <t>092 98 9999</t>
  </si>
  <si>
    <t>00971 50567 6651</t>
  </si>
  <si>
    <t>+90 342 337 82 92</t>
  </si>
  <si>
    <t>330-337-7705</t>
  </si>
  <si>
    <t>+591 730 150 80</t>
  </si>
  <si>
    <t>612-367-8050</t>
  </si>
  <si>
    <t>7188324877</t>
  </si>
  <si>
    <t>+591 22852414</t>
  </si>
  <si>
    <t>+91 943 547 6099</t>
  </si>
  <si>
    <t>+66 349896256</t>
  </si>
  <si>
    <t>804-999-0260</t>
  </si>
  <si>
    <t>513-755-4200</t>
  </si>
  <si>
    <t>1+732-661-1030</t>
  </si>
  <si>
    <t>917-324-7933</t>
  </si>
  <si>
    <t>(970) 762-0202</t>
  </si>
  <si>
    <t>519-623-4964</t>
  </si>
  <si>
    <t>0340537529</t>
  </si>
  <si>
    <t>969199821</t>
  </si>
  <si>
    <t>+591 72005194</t>
  </si>
  <si>
    <t>591 2431030</t>
  </si>
  <si>
    <t>00225 07 08 30 45 58 / 01 01 22 15 94</t>
  </si>
  <si>
    <t>29 951 142</t>
  </si>
  <si>
    <t>06 61 47 36 09</t>
  </si>
  <si>
    <t>94812052900</t>
  </si>
  <si>
    <t>256 702172339</t>
  </si>
  <si>
    <t>73 3256 2705</t>
  </si>
  <si>
    <t>(870)684-2354</t>
  </si>
  <si>
    <t>9811165055</t>
  </si>
  <si>
    <t>00228 92 18 80 61</t>
  </si>
  <si>
    <t>61733716500</t>
  </si>
  <si>
    <t>(701)282-8222</t>
  </si>
  <si>
    <t>(870)734-1233</t>
  </si>
  <si>
    <t>360-305-9712</t>
  </si>
  <si>
    <t>713-995-6200</t>
  </si>
  <si>
    <t>9959777156</t>
  </si>
  <si>
    <t>+91 9959022735</t>
  </si>
  <si>
    <t>641-713-4737</t>
  </si>
  <si>
    <t>(541) 575-1497</t>
  </si>
  <si>
    <t>408-506-1192</t>
  </si>
  <si>
    <t>8383901137</t>
  </si>
  <si>
    <t>+86 136 833 857 26</t>
  </si>
  <si>
    <t>541-210-2835</t>
  </si>
  <si>
    <t>(714)616-1810</t>
  </si>
  <si>
    <t>9818175719</t>
  </si>
  <si>
    <t>989-654-2717</t>
  </si>
  <si>
    <t>0828731515</t>
  </si>
  <si>
    <t>(717) 362-9850</t>
  </si>
  <si>
    <t>0000000000</t>
  </si>
  <si>
    <t>+(17) (866) 745313</t>
  </si>
  <si>
    <t>(716)655-4000</t>
  </si>
  <si>
    <t>870-740-1768</t>
  </si>
  <si>
    <t>(570) 547-2659</t>
  </si>
  <si>
    <t>360-458-3333</t>
  </si>
  <si>
    <t>518-851-2000</t>
  </si>
  <si>
    <t>509-398-1434</t>
  </si>
  <si>
    <t>406-759-6489</t>
  </si>
  <si>
    <t>707-354-3991</t>
  </si>
  <si>
    <t>310-435-3913</t>
  </si>
  <si>
    <t>(0054) (02323) 495080</t>
  </si>
  <si>
    <t>(402) 357-2142</t>
  </si>
  <si>
    <t>425-558-5552</t>
  </si>
  <si>
    <t>+591 723 397 55</t>
  </si>
  <si>
    <t>0591 4717730</t>
  </si>
  <si>
    <t>530-476-3000</t>
  </si>
  <si>
    <t>+91 9821500123</t>
  </si>
  <si>
    <t>973-478-1011</t>
  </si>
  <si>
    <t>760-510-8077</t>
  </si>
  <si>
    <t>651-674-8050</t>
  </si>
  <si>
    <t>+1 306-527-8092</t>
  </si>
  <si>
    <t>+1 306-986-1473</t>
  </si>
  <si>
    <t>209-484-2027</t>
  </si>
  <si>
    <t>3237263838</t>
  </si>
  <si>
    <t>732-777-7300</t>
  </si>
  <si>
    <t>530-758-8550</t>
  </si>
  <si>
    <t>608-654-5123</t>
  </si>
  <si>
    <t>(651) 647-9400</t>
  </si>
  <si>
    <t>(845) 534-4172</t>
  </si>
  <si>
    <t>+66 899 602 047</t>
  </si>
  <si>
    <t>+91 9148876030</t>
  </si>
  <si>
    <t>541-485-6990</t>
  </si>
  <si>
    <t>866-697-5960</t>
  </si>
  <si>
    <t>+66 861322788</t>
  </si>
  <si>
    <t>0871276010</t>
  </si>
  <si>
    <t>+66 2 33709879</t>
  </si>
  <si>
    <t>+31 615075699</t>
  </si>
  <si>
    <t>0091911109605</t>
  </si>
  <si>
    <t>(610) 857-4256</t>
  </si>
  <si>
    <t>61458008767</t>
  </si>
  <si>
    <t>724-543-3948</t>
  </si>
  <si>
    <t>88342360476</t>
  </si>
  <si>
    <t>0092 55 42833026/7</t>
  </si>
  <si>
    <t>0972 773 555</t>
  </si>
  <si>
    <t>(15) 12227-9997</t>
  </si>
  <si>
    <t>51991 532 921</t>
  </si>
  <si>
    <t>7507231311, 9860187331,</t>
  </si>
  <si>
    <t>(712) 261-2345</t>
  </si>
  <si>
    <t>310-525-3400</t>
  </si>
  <si>
    <t>+855 12941059</t>
  </si>
  <si>
    <t>+90 282 229 20 25</t>
  </si>
  <si>
    <t>(612) 486-3854</t>
  </si>
  <si>
    <t>530-438-2126</t>
  </si>
  <si>
    <t>817-590-9407</t>
  </si>
  <si>
    <t>409-658-7201</t>
  </si>
  <si>
    <t>+380676520249</t>
  </si>
  <si>
    <t>+6663 3695 499</t>
  </si>
  <si>
    <t>086-2214602</t>
  </si>
  <si>
    <t>315-536-3311</t>
  </si>
  <si>
    <t>803-269-3833</t>
  </si>
  <si>
    <t>815-521-9499</t>
  </si>
  <si>
    <t>608-676-2255</t>
  </si>
  <si>
    <t>(484) 874-4291</t>
  </si>
  <si>
    <t>800-219-3086</t>
  </si>
  <si>
    <t>207-717-5451</t>
  </si>
  <si>
    <t>509-629-1880</t>
  </si>
  <si>
    <t>603-812-6119</t>
  </si>
  <si>
    <t>15179561891</t>
  </si>
  <si>
    <t>(805) 705-9550</t>
  </si>
  <si>
    <t>402-342-4493</t>
  </si>
  <si>
    <t>208-650-6995</t>
  </si>
  <si>
    <t>530-260-6597</t>
  </si>
  <si>
    <t>(303)996-8881</t>
  </si>
  <si>
    <t>503-975-0196</t>
  </si>
  <si>
    <t>801-756-9902</t>
  </si>
  <si>
    <t>(218) 935-2772</t>
  </si>
  <si>
    <t>(909) 696 0500</t>
  </si>
  <si>
    <t>308-327-3135</t>
  </si>
  <si>
    <t>518-392-8300</t>
  </si>
  <si>
    <t>(806) 471-7826</t>
  </si>
  <si>
    <t>406-866-3340</t>
  </si>
  <si>
    <t>360-815-2060</t>
  </si>
  <si>
    <t>(515) 266-2276</t>
  </si>
  <si>
    <t>(712) 830-3281</t>
  </si>
  <si>
    <t>765-251-4848</t>
  </si>
  <si>
    <t>608-316-0243</t>
  </si>
  <si>
    <t>514-772-1679 ext 001</t>
  </si>
  <si>
    <t>+20 107 031 27 97</t>
  </si>
  <si>
    <t>909-706-4100 x5123</t>
  </si>
  <si>
    <t>+51 74607872</t>
  </si>
  <si>
    <t>(616) 847-1868</t>
  </si>
  <si>
    <t>(847)299-7993</t>
  </si>
  <si>
    <t>+66 257 730 50</t>
  </si>
  <si>
    <t>02943867014</t>
  </si>
  <si>
    <t>(626)599-3773</t>
  </si>
  <si>
    <t>(314)231-6905</t>
  </si>
  <si>
    <t>507-380-1328</t>
  </si>
  <si>
    <t>(815) 751-2304</t>
  </si>
  <si>
    <t>+91 7426940486</t>
  </si>
  <si>
    <t>608-257-7216</t>
  </si>
  <si>
    <t>970-522-3595</t>
  </si>
  <si>
    <t>970-352-0346</t>
  </si>
  <si>
    <t>831-623-2100</t>
  </si>
  <si>
    <t>253-891-0425</t>
  </si>
  <si>
    <t>(806)-272-7500</t>
  </si>
  <si>
    <t>(806) 272-5589</t>
  </si>
  <si>
    <t>+91 9828374114</t>
  </si>
  <si>
    <t>509-395-1201</t>
  </si>
  <si>
    <t>541-980-8970</t>
  </si>
  <si>
    <t>+31 10 4866332</t>
  </si>
  <si>
    <t>949-922-8801</t>
  </si>
  <si>
    <t>(801) 404-9529</t>
  </si>
  <si>
    <t>66 819136596</t>
  </si>
  <si>
    <t>912-412-7272</t>
  </si>
  <si>
    <t>586-773-6010</t>
  </si>
  <si>
    <t>(971)717-4859</t>
  </si>
  <si>
    <t>484-336-0589</t>
  </si>
  <si>
    <t>(+84)02962215899</t>
  </si>
  <si>
    <t>303-772-7333</t>
  </si>
  <si>
    <t>207-441-4169</t>
  </si>
  <si>
    <t>+662-273-8666</t>
  </si>
  <si>
    <t>+6689-8459009</t>
  </si>
  <si>
    <t>+66 45 452 290</t>
  </si>
  <si>
    <t>+51 (1) 705-9668</t>
  </si>
  <si>
    <t>(203)662-9761</t>
  </si>
  <si>
    <t>(203)952-2651</t>
  </si>
  <si>
    <t>(610) 868-7266</t>
  </si>
  <si>
    <t>91 9828306813</t>
  </si>
  <si>
    <t>406-278-9183</t>
  </si>
  <si>
    <t>(603)256-3000</t>
  </si>
  <si>
    <t>+1 (888) 551-7403</t>
  </si>
  <si>
    <t>(503) 232-2191</t>
  </si>
  <si>
    <t>0488627122</t>
  </si>
  <si>
    <t>207-827-4695</t>
  </si>
  <si>
    <t>701-430-1768, Fax 701-636-2058</t>
  </si>
  <si>
    <t>7521900751</t>
  </si>
  <si>
    <t>360-441-5549</t>
  </si>
  <si>
    <t>+  66-27130239-41</t>
  </si>
  <si>
    <t>314-633-3864</t>
  </si>
  <si>
    <t>+55 85 4006-8900</t>
  </si>
  <si>
    <t>(85) 998381710</t>
  </si>
  <si>
    <t>(865) 974-7201</t>
  </si>
  <si>
    <t>+66 89 1847366</t>
  </si>
  <si>
    <t>9158398899</t>
  </si>
  <si>
    <t>+91 9880764755</t>
  </si>
  <si>
    <t>213-627-8736</t>
  </si>
  <si>
    <t>0999867733</t>
  </si>
  <si>
    <t>719-588-8245</t>
  </si>
  <si>
    <t>707-479-0378</t>
  </si>
  <si>
    <t>785-336-5355</t>
  </si>
  <si>
    <t>+91 9549097666</t>
  </si>
  <si>
    <t>+91 9753721157</t>
  </si>
  <si>
    <t>469-344-3108</t>
  </si>
  <si>
    <t>204-665-2384</t>
  </si>
  <si>
    <t>0755 422 9051</t>
  </si>
  <si>
    <t>+91 9584696808</t>
  </si>
  <si>
    <t>623-693-4326</t>
  </si>
  <si>
    <t>01 81 84 00 85</t>
  </si>
  <si>
    <t>919799299749</t>
  </si>
  <si>
    <t>(42) 3232 2300</t>
  </si>
  <si>
    <t>+27353407008</t>
  </si>
  <si>
    <t>(330) 749-6190</t>
  </si>
  <si>
    <t>(781)749-9553</t>
  </si>
  <si>
    <t>415-641-3500</t>
  </si>
  <si>
    <t>(610) 987-3898</t>
  </si>
  <si>
    <t>+591 272 319 170</t>
  </si>
  <si>
    <t>+84 987018945</t>
  </si>
  <si>
    <t>(+84) 903071408</t>
  </si>
  <si>
    <t>+91 9818314008</t>
  </si>
  <si>
    <t>999973783</t>
  </si>
  <si>
    <t>0378532329</t>
  </si>
  <si>
    <t>0934183180</t>
  </si>
  <si>
    <t>585-554-6798</t>
  </si>
  <si>
    <t>530-796-3388</t>
  </si>
  <si>
    <t>201-475-3599</t>
  </si>
  <si>
    <t>+91 9825133559</t>
  </si>
  <si>
    <t>51 99958310</t>
  </si>
  <si>
    <t>530-667-2603</t>
  </si>
  <si>
    <t>240-281-6107</t>
  </si>
  <si>
    <t>(714) 670-8899 x 137</t>
  </si>
  <si>
    <t>255 787094032</t>
  </si>
  <si>
    <t>(845)343-1505</t>
  </si>
  <si>
    <t>479-789-5343</t>
  </si>
  <si>
    <t>+51930261847</t>
  </si>
  <si>
    <t>+966 546 991 667</t>
  </si>
  <si>
    <t>818-305-0851</t>
  </si>
  <si>
    <t>(507) 923-7453</t>
  </si>
  <si>
    <t>800-934-6267</t>
  </si>
  <si>
    <t>(620) 214-9097</t>
  </si>
  <si>
    <t>(319) 397-2396</t>
  </si>
  <si>
    <t>530-601-5991</t>
  </si>
  <si>
    <t>559-302-1000</t>
  </si>
  <si>
    <t>406-493-0859</t>
  </si>
  <si>
    <t>360-794-1901</t>
  </si>
  <si>
    <t>(512)542-0505</t>
  </si>
  <si>
    <t>9425901231</t>
  </si>
  <si>
    <t>(502)583-4402</t>
  </si>
  <si>
    <t>15909842032</t>
  </si>
  <si>
    <t>719-588-4256</t>
  </si>
  <si>
    <t>208-543-6421</t>
  </si>
  <si>
    <t>406-265-5443</t>
  </si>
  <si>
    <t>970-541-9672</t>
  </si>
  <si>
    <t>509-301-1385</t>
  </si>
  <si>
    <t>Bobette-573-473-5930</t>
  </si>
  <si>
    <t>(54) (9381) 4186574</t>
  </si>
  <si>
    <t>(800) 548-2929</t>
  </si>
  <si>
    <t>718-628-6868</t>
  </si>
  <si>
    <t>207-429-9682</t>
  </si>
  <si>
    <t>(330) 465-2248</t>
  </si>
  <si>
    <t>626 788 7788</t>
  </si>
  <si>
    <t>9733380300 #169</t>
  </si>
  <si>
    <t>605-875-3207</t>
  </si>
  <si>
    <t>507-263-3779</t>
  </si>
  <si>
    <t>323-588-0151</t>
  </si>
  <si>
    <t>+49 40733335055</t>
  </si>
  <si>
    <t>+49 407 333 350 55</t>
  </si>
  <si>
    <t>305-744-5767</t>
  </si>
  <si>
    <t>00923005135478</t>
  </si>
  <si>
    <t>0092812452251</t>
  </si>
  <si>
    <t>+86 13625018346</t>
  </si>
  <si>
    <t>0991-3765050</t>
  </si>
  <si>
    <t>51981256082</t>
  </si>
  <si>
    <t>15963545581</t>
  </si>
  <si>
    <t>+62 812-1135-8075</t>
  </si>
  <si>
    <t>+82-61-432-4350</t>
  </si>
  <si>
    <t>+86 13905597790</t>
  </si>
  <si>
    <t>86 18622597760</t>
  </si>
  <si>
    <t>(502) 77910200</t>
  </si>
  <si>
    <t>207-551-5620</t>
  </si>
  <si>
    <t>(415) 622-8115</t>
  </si>
  <si>
    <t>(509) 545-8894</t>
  </si>
  <si>
    <t>888-840-0003</t>
  </si>
  <si>
    <t>+86 139 112 839 70</t>
  </si>
  <si>
    <t>(989) 670-0409</t>
  </si>
  <si>
    <t>765-569-6139</t>
  </si>
  <si>
    <t>208-402-0666</t>
  </si>
  <si>
    <t>Email</t>
  </si>
  <si>
    <t>elsyueguang@126.com</t>
  </si>
  <si>
    <t>contact@100amazonia.com</t>
  </si>
  <si>
    <t>warehouse@1000springsmill.com</t>
  </si>
  <si>
    <t>bonnie@1889wildwest.com</t>
  </si>
  <si>
    <t>runin3jerseys@gmail.com</t>
  </si>
  <si>
    <t>jacob@grandcru.farm</t>
  </si>
  <si>
    <t>888odis@gmail.com</t>
  </si>
  <si>
    <t>wendtnoah@hotmail.com</t>
  </si>
  <si>
    <t>rubbia.iqbal@winlandfoods.com</t>
  </si>
  <si>
    <t>infoaadhyaingredients@gmail.com</t>
  </si>
  <si>
    <t>neha@aahaimpex.com</t>
  </si>
  <si>
    <t>aaronschroht@icloud.com</t>
  </si>
  <si>
    <t>aaronvogler@yahoo.com</t>
  </si>
  <si>
    <t>ravi.skrm@hotmail.com</t>
  </si>
  <si>
    <t>qc@abbottblackstone.com</t>
  </si>
  <si>
    <t>pabney@camtel.net</t>
  </si>
  <si>
    <t>argencropsperuadm@gmail.com</t>
  </si>
  <si>
    <t>guillermoa@accrice.com</t>
  </si>
  <si>
    <t>jwalsh@aceendico.com</t>
  </si>
  <si>
    <t>iraacorn@gmail.com</t>
  </si>
  <si>
    <t>adam.barnes1@uky.edu</t>
  </si>
  <si>
    <t>scody@adamsaustralia.com.au</t>
  </si>
  <si>
    <t>ccotter@adamsgrp.com</t>
  </si>
  <si>
    <t>sarah@adaptiveseeds.com</t>
  </si>
  <si>
    <t>info@ogsuppliers.com</t>
  </si>
  <si>
    <t>nasik-qa@adf-foods.com</t>
  </si>
  <si>
    <t>shaun@advancedmarketinggroupllc.com</t>
  </si>
  <si>
    <t>safia.babiker@advancedspice.com</t>
  </si>
  <si>
    <t>chriss@advancedagresources.com</t>
  </si>
  <si>
    <t>operacion1@afi.com.pe</t>
  </si>
  <si>
    <t>africaventuresexport@gmail.com</t>
  </si>
  <si>
    <t>andy.determan@agpartnerscoop.com</t>
  </si>
  <si>
    <t>steve@agsourceusa.com</t>
  </si>
  <si>
    <t>factory@agrawalbiocheam.com</t>
  </si>
  <si>
    <t>info@bi-eg.com</t>
  </si>
  <si>
    <t>albertoghc@gmail.com</t>
  </si>
  <si>
    <t>stephanie.gremel@grainmillers.com</t>
  </si>
  <si>
    <t>dlcontain@126.com</t>
  </si>
  <si>
    <t>calidad@agriprocessperu.com</t>
  </si>
  <si>
    <t>jfernando@agrofergi.com.pe; willysul5@gmail.com</t>
  </si>
  <si>
    <t>osanjuan@likingfoods.com</t>
  </si>
  <si>
    <t>david@agrosurlatino.com</t>
  </si>
  <si>
    <t>ibrahim@agroder.com.tr</t>
  </si>
  <si>
    <t>agroecoexport@gmail.com</t>
  </si>
  <si>
    <t>ejfarah@agrofino.com.pe; comercial@agrofino.com.pehttp</t>
  </si>
  <si>
    <t>chandrasekhar.kukkala@bighaat.com</t>
  </si>
  <si>
    <t>arivero@algodonorganicoperu.com</t>
  </si>
  <si>
    <t>ollauce@agroindustriasosho.com</t>
  </si>
  <si>
    <t>ileusov@ukr.net</t>
  </si>
  <si>
    <t>mail@agronicfood.com</t>
  </si>
  <si>
    <t>esagardia@sagest.com.bo</t>
  </si>
  <si>
    <t>felipemjorge@agroberaba.com.br</t>
  </si>
  <si>
    <t>gerencia@chia-corp.com</t>
  </si>
  <si>
    <t>kaukab.alam@matcofoods.com</t>
  </si>
  <si>
    <t>josh@allingredientsplus.com</t>
  </si>
  <si>
    <t>ajsouhrada@gmail.com</t>
  </si>
  <si>
    <t>orders@akccommodities.com</t>
  </si>
  <si>
    <t>qc@akericemill.com</t>
  </si>
  <si>
    <t>boymak@aknisasta.com.tr</t>
  </si>
  <si>
    <t>fayrouzfarm@gmail.com</t>
  </si>
  <si>
    <t>quality.assurance@algarasspices.com</t>
  </si>
  <si>
    <t>alnagyfarm@gmail.com</t>
  </si>
  <si>
    <t>alolafarmsgr@gmail.com</t>
  </si>
  <si>
    <t>dhemsley@cento.com</t>
  </si>
  <si>
    <t>seedhouse@alseed.com</t>
  </si>
  <si>
    <t>timo.soeganda@albertsons.com</t>
  </si>
  <si>
    <t>jmr@albius-resources.com</t>
  </si>
  <si>
    <t>pastificiomennucci@pec.it</t>
  </si>
  <si>
    <t>quality@alexandercommercial.com</t>
  </si>
  <si>
    <t>dino@algrointernational.com</t>
  </si>
  <si>
    <t>qualidade@tiasonia.com.br</t>
  </si>
  <si>
    <t>devrash01.services@yahoo.com</t>
  </si>
  <si>
    <t>calidad@grupodelotte.com</t>
  </si>
  <si>
    <t>yaminou.yerima@gmail.com</t>
  </si>
  <si>
    <t>paige@allamericanhay.com</t>
  </si>
  <si>
    <t>michele@allstartrading.com</t>
  </si>
  <si>
    <t>wnhale3@gmail.com</t>
  </si>
  <si>
    <t>foreverfamilyfarm@yahoo.com</t>
  </si>
  <si>
    <t>paliarcuri@gmail.com</t>
  </si>
  <si>
    <t>volkan@altattarim.com</t>
  </si>
  <si>
    <t>mistellesignor@mennel.com</t>
  </si>
  <si>
    <t>michelle@alvaradostreetbakery.com</t>
  </si>
  <si>
    <t>adnanhssn327@gmail.com</t>
  </si>
  <si>
    <t>dipakrtayade80@gmail.com</t>
  </si>
  <si>
    <t>e.adrian@amafoodsbo.com</t>
  </si>
  <si>
    <t>vignesh@amazingcommerce.com</t>
  </si>
  <si>
    <t>kzamudio@amazon-andes.com</t>
  </si>
  <si>
    <t>OPERACIONES@CACAOLIFE.PE</t>
  </si>
  <si>
    <t>certificaciones@amazonastrading.com</t>
  </si>
  <si>
    <t>tejendhar.b@srestaorganic.com</t>
  </si>
  <si>
    <t>dmmusa@icloud.com</t>
  </si>
  <si>
    <t>noelleb@americannatural.us</t>
  </si>
  <si>
    <t>americanorganic1@gmail.com</t>
  </si>
  <si>
    <t>eschaefer@amerpastco.com</t>
  </si>
  <si>
    <t>radhikari@foodimportgroup.com</t>
  </si>
  <si>
    <t>austinm@jollytime.com</t>
  </si>
  <si>
    <t>dan.richards@americold.com</t>
  </si>
  <si>
    <t>jindaporn.1996@gmail.com</t>
  </si>
  <si>
    <t>pakorn61@hotmail.com</t>
  </si>
  <si>
    <t>chad.stevens@boxedgreens.com</t>
  </si>
  <si>
    <t>nthangcheng@amrurice.com.kh</t>
  </si>
  <si>
    <t>gcruz@montmush.com</t>
  </si>
  <si>
    <t>m.freitas@natorganico.com</t>
  </si>
  <si>
    <t>tranquochuybot@gmail.com</t>
  </si>
  <si>
    <t>karun@ancientagro.com</t>
  </si>
  <si>
    <t>quality@grainwellfoods.com</t>
  </si>
  <si>
    <t>jaxon@grandtetonmill.com</t>
  </si>
  <si>
    <t>klaus.whitney@andeandream.com</t>
  </si>
  <si>
    <t>martisova65@yahoo.com; ibelimachi@outlook.com</t>
  </si>
  <si>
    <t>selva-empresaagroindustrial@hotmail.com</t>
  </si>
  <si>
    <t>wvargas@andeanvalley.com</t>
  </si>
  <si>
    <t>andinssuperfoods@gmail.com; gerencia@andinssuperfoods.com</t>
  </si>
  <si>
    <t>andrewfarmsllc@gmail.com</t>
  </si>
  <si>
    <t>angeloftomas@hotmail.com</t>
  </si>
  <si>
    <t>pamela@anniesheirloomseeds.com</t>
  </si>
  <si>
    <t>zheniangela1@hotmail.com</t>
  </si>
  <si>
    <t>anthonyensz@gmail.com</t>
  </si>
  <si>
    <t>taylor@anytimespritz.com</t>
  </si>
  <si>
    <t>cdevore@trufoodmfg.com</t>
  </si>
  <si>
    <t>chief@apapoorganic.com</t>
  </si>
  <si>
    <t>m_saleh2010@hotmail.com</t>
  </si>
  <si>
    <t>oserdar@diaorganic.com</t>
  </si>
  <si>
    <t>casey.ytterdahl@Ardentmills.com</t>
  </si>
  <si>
    <t>rebecca.allen@ardentmills.com</t>
  </si>
  <si>
    <t>maria.galvez@ardentmills.com</t>
  </si>
  <si>
    <t>james.radenberg@ardentmills.com</t>
  </si>
  <si>
    <t>dan.ulrich@ardentmills.com</t>
  </si>
  <si>
    <t>patrick.dechant@ardentmills.com</t>
  </si>
  <si>
    <t>arganisme@gmail.com</t>
  </si>
  <si>
    <t>mattgarcia@arizonagrain.com</t>
  </si>
  <si>
    <t>saygin@armadafoods.com</t>
  </si>
  <si>
    <t>fahad@armcommodities.com</t>
  </si>
  <si>
    <t>direction@aromeya.com</t>
  </si>
  <si>
    <t>Josepablo@semillasselectas.com</t>
  </si>
  <si>
    <t>mcime@artisanbakers.com</t>
  </si>
  <si>
    <t>mcguzman@artisantropic.com</t>
  </si>
  <si>
    <t>mail@aryanint.com</t>
  </si>
  <si>
    <t>345549921@qq.com</t>
  </si>
  <si>
    <t>askorganic@msn.com</t>
  </si>
  <si>
    <t>layne@aslanbrewing.com</t>
  </si>
  <si>
    <t>mazhar@asmitagroup.com; manish.barde@asmitaorganicfarm.com</t>
  </si>
  <si>
    <t>juliacondoritorrez3@gmail.com</t>
  </si>
  <si>
    <t>emercr.07@gmail.com; apasajem@gmail.com; kelybetz0923@gmail.com</t>
  </si>
  <si>
    <t>jhony.quispe@apraccuk.com</t>
  </si>
  <si>
    <t>apraquioc2020@gmail.com</t>
  </si>
  <si>
    <t>info@apreqc.com</t>
  </si>
  <si>
    <t>info@apodip.org</t>
  </si>
  <si>
    <t>jhordynilton@gmail.com; huamanidelgadofredy1@gmail.com</t>
  </si>
  <si>
    <t>magiolo@asodocapro.com.do</t>
  </si>
  <si>
    <t>info@aspenmoonfarm.com</t>
  </si>
  <si>
    <t>info_gh@cnganghua.cn</t>
  </si>
  <si>
    <t>randrianato.lova@symrise.com</t>
  </si>
  <si>
    <t>lvieira@associatedfeed.com</t>
  </si>
  <si>
    <t>joe.worsley@atlantabonded.com</t>
  </si>
  <si>
    <t>organic@atlasfoods.org</t>
  </si>
  <si>
    <t>mgoti@atsarg.com</t>
  </si>
  <si>
    <t>snejana.avenell@8ave.com</t>
  </si>
  <si>
    <t>auroramills@pwless.net</t>
  </si>
  <si>
    <t>rway@auroraproduct.com</t>
  </si>
  <si>
    <t>info@ausorganicfeeds.com.au</t>
  </si>
  <si>
    <t>dgarcia@austerfoods.com</t>
  </si>
  <si>
    <t>certification@vandanaorganictrade.com</t>
  </si>
  <si>
    <t>rajesh.kumar@avtnatural.com</t>
  </si>
  <si>
    <t>sudheer@mudarindia.com</t>
  </si>
  <si>
    <t>celine@axiomfoods.com</t>
  </si>
  <si>
    <t>axmgreen@gmail.com</t>
  </si>
  <si>
    <t>aysaltarim@hotmail.com</t>
  </si>
  <si>
    <t>marketing@azurestandard.com</t>
  </si>
  <si>
    <t>info@baccowineandspirit.com</t>
  </si>
  <si>
    <t>rceckman@gmail.com</t>
  </si>
  <si>
    <t>baeseangus@msn.com</t>
  </si>
  <si>
    <t>t_dept@sunshineproduce.com.cn</t>
  </si>
  <si>
    <t>18643686888@163.com</t>
  </si>
  <si>
    <t>nadine.garcia@bakemark.com</t>
  </si>
  <si>
    <t>baltorofoods@yahoo.com</t>
  </si>
  <si>
    <t>khajornratsurakhot@gmail.com</t>
  </si>
  <si>
    <t>commeat@baobab-des-saveurs.com</t>
  </si>
  <si>
    <t>hd_wang@126.com</t>
  </si>
  <si>
    <t>sdavis@baraleinc.com</t>
  </si>
  <si>
    <t>bargx1@gmail.com</t>
  </si>
  <si>
    <t>mikey@barhyte.com</t>
  </si>
  <si>
    <t>barnesranchjbr@gmail.com</t>
  </si>
  <si>
    <t>james@bartonspringsmill.com</t>
  </si>
  <si>
    <t>selma.akalin@narice.com.tr</t>
  </si>
  <si>
    <t>info@mahaveercot.in</t>
  </si>
  <si>
    <t>bob.buschur@basicgrain.com</t>
  </si>
  <si>
    <t>apaz@baudererpackaging.com</t>
  </si>
  <si>
    <t>ben.smith@baxters.com</t>
  </si>
  <si>
    <t>benjamin.smith@baxters.com</t>
  </si>
  <si>
    <t>lwunderly@bsm.com</t>
  </si>
  <si>
    <t>tstephens@bsm.com</t>
  </si>
  <si>
    <t>sbeatteay@beckmannsbakery.com</t>
  </si>
  <si>
    <t>qc@bedemco.com</t>
  </si>
  <si>
    <t>care@beechnut.com</t>
  </si>
  <si>
    <t>78682401@qq.com</t>
  </si>
  <si>
    <t>690714308@qq.com</t>
  </si>
  <si>
    <t>15810670160@139.com</t>
  </si>
  <si>
    <t>2990172802@qq.com</t>
  </si>
  <si>
    <t>myron_zhu@163.com</t>
  </si>
  <si>
    <t>sguzman@bcpackaging.com</t>
  </si>
  <si>
    <t>brian@nmrpetrophysics.com</t>
  </si>
  <si>
    <t>eclevenger@belltownfarms.com</t>
  </si>
  <si>
    <t>ben.penner@gmail.com</t>
  </si>
  <si>
    <t>eescobarclaure@gmail.com</t>
  </si>
  <si>
    <t>jbennettiss@yahoo.com</t>
  </si>
  <si>
    <t>markk@berginfruitandnut.com</t>
  </si>
  <si>
    <t>eric@berglundnaturalfoods.com</t>
  </si>
  <si>
    <t>eh.bertwetta@yahoo.com</t>
  </si>
  <si>
    <t>josuna@bestexpfoods.com</t>
  </si>
  <si>
    <t>dirvin@betterbodyfoods.com</t>
  </si>
  <si>
    <t>admin@bg-organics.com</t>
  </si>
  <si>
    <t>director@swaso.in</t>
  </si>
  <si>
    <t>swallen@hanoverfoods.com</t>
  </si>
  <si>
    <t>meadowlarkorganics@gmail.com</t>
  </si>
  <si>
    <t>henry@biggreenorganic.com</t>
  </si>
  <si>
    <t>moriah.galloway@grupobimbo.com; lila.haddouche@grupobimbo.com</t>
  </si>
  <si>
    <t>office.samrudhifoundation@gmail.com</t>
  </si>
  <si>
    <t>info@biohunza.com</t>
  </si>
  <si>
    <t>product@biopanax.com</t>
  </si>
  <si>
    <t>bioxxi@coronilla.com</t>
  </si>
  <si>
    <t>info@bioanadolutarim.com</t>
  </si>
  <si>
    <t>carlos.jurado@biocmex.com</t>
  </si>
  <si>
    <t>info@silversage.com</t>
  </si>
  <si>
    <t>cguerrero@glintglobal.com</t>
  </si>
  <si>
    <t>info@bioform.bg</t>
  </si>
  <si>
    <t>kevin@bio-kinetics.com</t>
  </si>
  <si>
    <t>cuiminbk@163.com</t>
  </si>
  <si>
    <t>julia@biomesorganic.com</t>
  </si>
  <si>
    <t>info@biopeks.com</t>
  </si>
  <si>
    <t>seccampo@biorganica.com.br</t>
  </si>
  <si>
    <t>borznaagroinvest@gmail.com</t>
  </si>
  <si>
    <t>certificacion@bioterra.com.py</t>
  </si>
  <si>
    <t>elaine@biowaycn.com</t>
  </si>
  <si>
    <t>christine.maltais@leclerc.ca</t>
  </si>
  <si>
    <t>gordon@bixbychocolate.com</t>
  </si>
  <si>
    <t>admin@blackband-distillery.com</t>
  </si>
  <si>
    <t>ericskokan@aol.com</t>
  </si>
  <si>
    <t>daniel@blackbirdrise.com</t>
  </si>
  <si>
    <t>kbooth@blendpak.com</t>
  </si>
  <si>
    <t>alexandriaa@foodsourceinc.com</t>
  </si>
  <si>
    <t>lzhang@blountfinefoods.com</t>
  </si>
  <si>
    <t>sprince@bluelakemilling.com.au</t>
  </si>
  <si>
    <t>glenda@bluelakemilling.com.au</t>
  </si>
  <si>
    <t>quality@lotusgroup.vn</t>
  </si>
  <si>
    <t>comercial@bluepacificoils.com; palferrano@bluepacificoils.com; wli@bluepacificoils.com; comex@bluepacificoils.com</t>
  </si>
  <si>
    <t>randy@blueskynutrition.com</t>
  </si>
  <si>
    <t>info@bluebirdgrainfarms.com</t>
  </si>
  <si>
    <t>jessica@bluegrassfarmsohio.com</t>
  </si>
  <si>
    <t>zeast@bobsredmill.com</t>
  </si>
  <si>
    <t>jowen@bolkemiller.com</t>
  </si>
  <si>
    <t>f.romano@redoak-mgmt.com</t>
  </si>
  <si>
    <t>marie-benedicte.bontoux@bontoux.com</t>
  </si>
  <si>
    <t>marco@botticellifoods.com</t>
  </si>
  <si>
    <t>sales@bradsorganic.com</t>
  </si>
  <si>
    <t>hampshirefarmsorganic@gmail.com</t>
  </si>
  <si>
    <t>fawazfarming@sisqtel.net</t>
  </si>
  <si>
    <t>galen@breadtopia.com</t>
  </si>
  <si>
    <t>rdtfarms@gmail.com</t>
  </si>
  <si>
    <t>amy.brown@brenntag.com</t>
  </si>
  <si>
    <t>breslinfarms@gmail.com</t>
  </si>
  <si>
    <t>brian@qualityorganic.com</t>
  </si>
  <si>
    <t>lori.lovely@bridgetownnaturalfoods.com</t>
  </si>
  <si>
    <t>nharrington@bridgewellab.com</t>
  </si>
  <si>
    <t>svidal65@gmail.com</t>
  </si>
  <si>
    <t>taimy.cruz@broadgrain.com</t>
  </si>
  <si>
    <t>broadview.ag@gmail.com</t>
  </si>
  <si>
    <t>a.lakhani@broliteproducts.com</t>
  </si>
  <si>
    <t>bread@breadofheaven.com</t>
  </si>
  <si>
    <t>qc@bscmfoods.co.th</t>
  </si>
  <si>
    <t>astehnike@bunkersp.com</t>
  </si>
  <si>
    <t>buckeyehaycompany@ibyfax.com</t>
  </si>
  <si>
    <t>rclawson@sazerac.com</t>
  </si>
  <si>
    <t>dmoreno@organiclatinamerica.com.ar</t>
  </si>
  <si>
    <t>anicolini@bunkersp.com</t>
  </si>
  <si>
    <t>kacheerat513@gmail.com</t>
  </si>
  <si>
    <t>kassie@burnspoultryfarms.com</t>
  </si>
  <si>
    <t>mbasile@burpee.com</t>
  </si>
  <si>
    <t>byersorganicdairyllc@outlook.com</t>
  </si>
  <si>
    <t>megi.lowrey@beyondorganicnutritionals.com</t>
  </si>
  <si>
    <t>hullmann@roeper.de</t>
  </si>
  <si>
    <t>qa@powellmay.com</t>
  </si>
  <si>
    <t>carl@c3seeds.com</t>
  </si>
  <si>
    <t>colton.creech@gmail.com</t>
  </si>
  <si>
    <t>organicfarmer@hotmail.com</t>
  </si>
  <si>
    <t>cchavarria@britt.com</t>
  </si>
  <si>
    <t>qualidade@cafedomercado.com.br</t>
  </si>
  <si>
    <t>skaur@calbeeamerica.com</t>
  </si>
  <si>
    <t>iluvk9s33@hotmail.com</t>
  </si>
  <si>
    <t>info@iqfworld.com</t>
  </si>
  <si>
    <t>mark@californiacereal.com</t>
  </si>
  <si>
    <t>curtis@admiralmaltings.com</t>
  </si>
  <si>
    <t>john.carmona@calinutritional.com</t>
  </si>
  <si>
    <t>info@camascountrymill.com</t>
  </si>
  <si>
    <t>jefe.calidad@caminoandino.pe</t>
  </si>
  <si>
    <t>gregn@caminodepaz.net</t>
  </si>
  <si>
    <t>waynecap@rrv.net</t>
  </si>
  <si>
    <t>mcorsi@capitolfoodco.com</t>
  </si>
  <si>
    <t>sarah.tanner@corbion.com</t>
  </si>
  <si>
    <t>stefanie_shilts@cargill.com</t>
  </si>
  <si>
    <t>dinesh_prasad@cargill.com</t>
  </si>
  <si>
    <t>carlbengstrom@yahoo.com</t>
  </si>
  <si>
    <t>hrobillard@carlbrandt.com</t>
  </si>
  <si>
    <t>bernardo@carmabe.com</t>
  </si>
  <si>
    <t>sgeorge@carolinaingredients.com</t>
  </si>
  <si>
    <t>jp@cdgroup.co.za</t>
  </si>
  <si>
    <t>daria@foodguys.com</t>
  </si>
  <si>
    <t>yesenia@cascademilling.com</t>
  </si>
  <si>
    <t>jerri@cfspecial.com</t>
  </si>
  <si>
    <t>mgreenwalt@rdoffutt.com</t>
  </si>
  <si>
    <t>calidad@arrozcaupolican.com.ar</t>
  </si>
  <si>
    <t>alexleiva.cavasdelvalle@gmail.com</t>
  </si>
  <si>
    <t>blkhssn@aol.com</t>
  </si>
  <si>
    <t>corne@cederbos.co.za</t>
  </si>
  <si>
    <t>info@celebrationholdings.lk</t>
  </si>
  <si>
    <t>cemre@cemre.com.tr</t>
  </si>
  <si>
    <t>brian@centralbakingsupplies.com</t>
  </si>
  <si>
    <t>guideon@centralmilling.com</t>
  </si>
  <si>
    <t>jeff@centralmilling.com</t>
  </si>
  <si>
    <t>casey@centralmilling.com</t>
  </si>
  <si>
    <t>victoria@kgbakerysupply.com</t>
  </si>
  <si>
    <t>hendrikvanderberg@live.co.za</t>
  </si>
  <si>
    <t>joshua.mueller@cvacoop.com</t>
  </si>
  <si>
    <t>brett.schaecher@cvacoop.com</t>
  </si>
  <si>
    <t>shane.vanpelt@cvacoop.com</t>
  </si>
  <si>
    <t>jeff@cv-ag.com</t>
  </si>
  <si>
    <t>larry@kandarianorganicfarms.com</t>
  </si>
  <si>
    <t>certificacion@redcasfa.com</t>
  </si>
  <si>
    <t>jef@cercogroup.com</t>
  </si>
  <si>
    <t>nuctmft@gmail.com</t>
  </si>
  <si>
    <t>info@cerestarbg.com</t>
  </si>
  <si>
    <t>ernesto.contreras@cerealto.com</t>
  </si>
  <si>
    <t>lbradley@ceresag.com</t>
  </si>
  <si>
    <t>pro_mgr@podiespice.com</t>
  </si>
  <si>
    <t>greg@massaorganics.com</t>
  </si>
  <si>
    <t>mukesh2.maharanirice@gmail.com</t>
  </si>
  <si>
    <t>draverywang@126.com</t>
  </si>
  <si>
    <t>649234530@qq.com</t>
  </si>
  <si>
    <t>gsimons86@hotmail.com</t>
  </si>
  <si>
    <t>biofarms@qiannafoods.com</t>
  </si>
  <si>
    <t>1074534364@qq.com</t>
  </si>
  <si>
    <t>organicfoods@126.com</t>
  </si>
  <si>
    <t>mariazzh@163.com</t>
  </si>
  <si>
    <t>gubbs43@gmail.com</t>
  </si>
  <si>
    <t>stacey.betz@gmail.com</t>
  </si>
  <si>
    <t>jmullet@camoh.org</t>
  </si>
  <si>
    <t>tom.parker@chsinc.com</t>
  </si>
  <si>
    <t>info@ciaoimports.com</t>
  </si>
  <si>
    <t>hello@cibodivino-us.com</t>
  </si>
  <si>
    <t>simon.brugger@finca-amistad.com</t>
  </si>
  <si>
    <t>camenke@cozadtel.net</t>
  </si>
  <si>
    <t>susan.abernathy@comcast.net</t>
  </si>
  <si>
    <t>phuoc.nh@comaygroup.com</t>
  </si>
  <si>
    <t>conway.cohoctonvalleymills@gmail.com</t>
  </si>
  <si>
    <t>natepowellpalm@gmail.com</t>
  </si>
  <si>
    <t>srapole@coldzoneinc.com</t>
  </si>
  <si>
    <t>paul.whiterock@gojade.org</t>
  </si>
  <si>
    <t>catalina.leon@exandal.com</t>
  </si>
  <si>
    <t>jbeach@columbiagrain.com</t>
  </si>
  <si>
    <t>dgiese@columbiagrain.com</t>
  </si>
  <si>
    <t>glanao@candelaperu.net ; adriana.tapia@candelaperu.net</t>
  </si>
  <si>
    <t>diegosveliz@hotmail.com</t>
  </si>
  <si>
    <t>jaqueline_fihb@hotmail.com</t>
  </si>
  <si>
    <t>info@comercializadorazaffre.com</t>
  </si>
  <si>
    <t>chubert@fathersams.com</t>
  </si>
  <si>
    <t>joe@community-foods.com</t>
  </si>
  <si>
    <t>marcos.huayta@delizia.com.bo</t>
  </si>
  <si>
    <t>mlfilippello@euroamerica.com.ar</t>
  </si>
  <si>
    <t>agalindo@mirandalanga.com</t>
  </si>
  <si>
    <t>mcalle@comrural.com.bo</t>
  </si>
  <si>
    <t>jnastasi@concadoroimporters.com</t>
  </si>
  <si>
    <t>administracion@capa.red</t>
  </si>
  <si>
    <t>carlos@grupo-albarran.com</t>
  </si>
  <si>
    <t>al@consorzifoods.com</t>
  </si>
  <si>
    <t>purchase@contilgroup.com</t>
  </si>
  <si>
    <t>dschiek22@icloud.com</t>
  </si>
  <si>
    <t>dena@conwayfeedinc.com</t>
  </si>
  <si>
    <t>f.kral@gebana.com</t>
  </si>
  <si>
    <t>gerencia@frutosdelande.com; produccion@frutosdelande.com; certificacion@frutosdelande.com;</t>
  </si>
  <si>
    <t>victor.vicoqc@gmail.com; productorestayasanmarcos@gmail.com</t>
  </si>
  <si>
    <t>alexandre@coab.coop.br</t>
  </si>
  <si>
    <t>gerencia@flordedalia.org</t>
  </si>
  <si>
    <t>katie.rizzo@coopelev.com</t>
  </si>
  <si>
    <t>rpa.cont@gmail.com</t>
  </si>
  <si>
    <t>rkp@coosemans.com</t>
  </si>
  <si>
    <t>drew@cormierrice.com</t>
  </si>
  <si>
    <t>mwille@coronilla.com</t>
  </si>
  <si>
    <t>manuelcujilema73@gmail.com</t>
  </si>
  <si>
    <t>billy@coscous.com</t>
  </si>
  <si>
    <t>countrygf@icloud.com</t>
  </si>
  <si>
    <t>chris@countrylifefoods.com</t>
  </si>
  <si>
    <t>countryridgebean@gmail.com</t>
  </si>
  <si>
    <t>countryvalleyinfo@gmail.com</t>
  </si>
  <si>
    <t>docs@courtrightent.com</t>
  </si>
  <si>
    <t>certification@cowberry.world</t>
  </si>
  <si>
    <t>rocio.tsukazan@cpxperu.com.pe</t>
  </si>
  <si>
    <t>goodfood@creamofthewest.com</t>
  </si>
  <si>
    <t>kwerronen@capfoodinc.com</t>
  </si>
  <si>
    <t>cbdfarm@gmail.com</t>
  </si>
  <si>
    <t>kakin@firesidedistillers.com</t>
  </si>
  <si>
    <t>squinton@crestfoods.com</t>
  </si>
  <si>
    <t>mike.crotser@organicvalley.coop</t>
  </si>
  <si>
    <t>charlie.lee@nutrtech.com</t>
  </si>
  <si>
    <t>landen@cruxingredients.com</t>
  </si>
  <si>
    <t>info@crystalspringcsa.com</t>
  </si>
  <si>
    <t>mportal@cssnaturals.com</t>
  </si>
  <si>
    <t>admin@cuallibrands.com</t>
  </si>
  <si>
    <t>shriverfarms@gmail.com</t>
  </si>
  <si>
    <t>d.strevey@comcast.net</t>
  </si>
  <si>
    <t>director@gatewayfarmplymouth.com</t>
  </si>
  <si>
    <t>chsmart@foodforlife.com</t>
  </si>
  <si>
    <t>greg.anderson@daabonorganic.com.au</t>
  </si>
  <si>
    <t>afarhan@gmail.com; bhuvna6.g@gmail.com</t>
  </si>
  <si>
    <t>saroj.kumar@naturebiofoods.organic</t>
  </si>
  <si>
    <t>hello@daily-harvest.com</t>
  </si>
  <si>
    <t>awainer@sidwainer.com</t>
  </si>
  <si>
    <t>jescobar@greenleafsf.com</t>
  </si>
  <si>
    <t>gconti@chefswarehouse.com</t>
  </si>
  <si>
    <t>snewell@chefswarehouse.com</t>
  </si>
  <si>
    <t>svosseler.dfs@gmail.com</t>
  </si>
  <si>
    <t>sridhar.suryakumar@gmail.com</t>
  </si>
  <si>
    <t>carl.gast@8ave.com</t>
  </si>
  <si>
    <t>toni@alum.mit.edu</t>
  </si>
  <si>
    <t>lstone@dakotamb.com</t>
  </si>
  <si>
    <t>info@weatherburyfarm.com</t>
  </si>
  <si>
    <t>dllfswkj@126.com</t>
  </si>
  <si>
    <t>ivyzong@dl-biograins.com</t>
  </si>
  <si>
    <t>fangli@chienhoo.com</t>
  </si>
  <si>
    <t>dlcaesar@163.com</t>
  </si>
  <si>
    <t>tc2@huaenorganic.com</t>
  </si>
  <si>
    <t>lkyyouxn@126.com</t>
  </si>
  <si>
    <t>53380335@qq.com</t>
  </si>
  <si>
    <t>dlguanghe@dlguanghe.com</t>
  </si>
  <si>
    <t>tc3@huaenorganic.com</t>
  </si>
  <si>
    <t>hongren_quanguwu@163.com</t>
  </si>
  <si>
    <t>certification@huaenorganic.com</t>
  </si>
  <si>
    <t>jhgrains@163.com</t>
  </si>
  <si>
    <t>liuyang@dlshengfang.com</t>
  </si>
  <si>
    <t>1404773959@qq.com</t>
  </si>
  <si>
    <t>540432909@qq.com</t>
  </si>
  <si>
    <t>minshiorganic@126.com</t>
  </si>
  <si>
    <t>naenrui@126.com</t>
  </si>
  <si>
    <t>414840766@qq.com</t>
  </si>
  <si>
    <t>412619679@qq.com</t>
  </si>
  <si>
    <t>dl_qiduo@126.com</t>
  </si>
  <si>
    <t>allen@dalianbean.com</t>
  </si>
  <si>
    <t>282974196@qq.com</t>
  </si>
  <si>
    <t>atoutou@yeah.net</t>
  </si>
  <si>
    <t>food.xinfeng4@gmail.com</t>
  </si>
  <si>
    <t>wangren999@163.com</t>
  </si>
  <si>
    <t>dlchunlin@126.com</t>
  </si>
  <si>
    <t>dlwf@dlweifeng-agri.com</t>
  </si>
  <si>
    <t>allen@goldencare.biz</t>
  </si>
  <si>
    <t>1093849575@qq.com</t>
  </si>
  <si>
    <t>yfh20170628@163.com</t>
  </si>
  <si>
    <t>2481553154@qq.com</t>
  </si>
  <si>
    <t>singgrain@163.com</t>
  </si>
  <si>
    <t>37040348@qq.com</t>
  </si>
  <si>
    <t>fy168fy168@163.com</t>
  </si>
  <si>
    <t>21768972@qq.com</t>
  </si>
  <si>
    <t>sanyab@damascusbakery.com</t>
  </si>
  <si>
    <t>danmccarty.dm@gmail.com</t>
  </si>
  <si>
    <t>qualitycontrol1@dan-d-pak-usa.com</t>
  </si>
  <si>
    <t>dtkuper@gmail.com</t>
  </si>
  <si>
    <t>j.strevey@comcast.net</t>
  </si>
  <si>
    <t>gapviewfarm@sle.email</t>
  </si>
  <si>
    <t>dan.strevey@gmail.com</t>
  </si>
  <si>
    <t>dwb@abcmailbox.net</t>
  </si>
  <si>
    <t>natedaniels07@yahoo.com</t>
  </si>
  <si>
    <t>chris@danielskifarms.com</t>
  </si>
  <si>
    <t>59926599@qq.com</t>
  </si>
  <si>
    <t>qc@dasfoodindia.com</t>
  </si>
  <si>
    <t>1194830284@qq.com</t>
  </si>
  <si>
    <t>monique.weir@flocorp.com</t>
  </si>
  <si>
    <t>dbgindependent@gmail.com</t>
  </si>
  <si>
    <t>bbark@ruraltel.net</t>
  </si>
  <si>
    <t>davidnholt@gmail.com</t>
  </si>
  <si>
    <t>info@davidsungroups.com</t>
  </si>
  <si>
    <t>msbosworth@gmail.com</t>
  </si>
  <si>
    <t>mgbrett@windstream.net</t>
  </si>
  <si>
    <t>graham.adsit@gmail.com</t>
  </si>
  <si>
    <t>akkermanagro@gmail.com</t>
  </si>
  <si>
    <t>info@sfoglini.com</t>
  </si>
  <si>
    <t>d.bornemeier@cottonwoodcattle.com</t>
  </si>
  <si>
    <t>organicpedaler1@aol.com</t>
  </si>
  <si>
    <t>deepcreekfarm@hotmail.com</t>
  </si>
  <si>
    <t>deepharvest@gmail.com</t>
  </si>
  <si>
    <t>gustavo@delandbakery.com</t>
  </si>
  <si>
    <t>roni@altalenawholesale.com</t>
  </si>
  <si>
    <t>chelsey@dempseycorporation.com</t>
  </si>
  <si>
    <t>derbak@derbak.com.tr</t>
  </si>
  <si>
    <t>info@devbhomiagroorganicfoods.com</t>
  </si>
  <si>
    <t>shijie_li@gushen-group.com</t>
  </si>
  <si>
    <t>ty@dfseeds.com</t>
  </si>
  <si>
    <t>aschwinghamer@dgglobal.ca</t>
  </si>
  <si>
    <t>michelle.cooney@qualfon.com</t>
  </si>
  <si>
    <t>quality@globalorganicfood.com.tr</t>
  </si>
  <si>
    <t>jedfivepoints@gmail.com</t>
  </si>
  <si>
    <t>organico@dipasa.com</t>
  </si>
  <si>
    <t>sang@distilledresources.com</t>
  </si>
  <si>
    <t>ajacobsmeyer@diversifiedingredients.com</t>
  </si>
  <si>
    <t>export@divineafriagro.com</t>
  </si>
  <si>
    <t>drew@dixonseed.com</t>
  </si>
  <si>
    <t>office@djanit.co</t>
  </si>
  <si>
    <t>dkbfarms1@gmail.com</t>
  </si>
  <si>
    <t>dkgrimes@zoominternet.net</t>
  </si>
  <si>
    <t>frans@dmcagroindustrial.com.ar</t>
  </si>
  <si>
    <t>nwinger@doguets.com</t>
  </si>
  <si>
    <t>DShapiro@shapiroproduce.com; scottd@shapiroproduce.com; AShapiro@shapiroproduce.com; jpatkai@juliuspatkai.com</t>
  </si>
  <si>
    <t>ddregier@hotmail.com</t>
  </si>
  <si>
    <t>cattledriver75@gmail.com</t>
  </si>
  <si>
    <t>kelly@paicinesranch.com</t>
  </si>
  <si>
    <t>abby@dedairy.com</t>
  </si>
  <si>
    <t>mark.r.doudlah@gmail.com</t>
  </si>
  <si>
    <t>dally4cash79@gmail.com</t>
  </si>
  <si>
    <t>kylel@tvsinc.org</t>
  </si>
  <si>
    <t>pankaj.sharma@dtefoods.com</t>
  </si>
  <si>
    <t>donn@flackers.com</t>
  </si>
  <si>
    <t>mitch@lacrossedistilling.co</t>
  </si>
  <si>
    <t>deanrsmith57@outlook.com</t>
  </si>
  <si>
    <t>qualidade@dubai.ind.br</t>
  </si>
  <si>
    <t>mauricio@dubai.ind.br</t>
  </si>
  <si>
    <t>ashley@duesorelle.com</t>
  </si>
  <si>
    <t>nancy@dhdddy.com.cn</t>
  </si>
  <si>
    <t>inocuidad@duronco.com</t>
  </si>
  <si>
    <t>nnovitski@dutchamerican.us</t>
  </si>
  <si>
    <t>jhawk@oakhousebakery.com</t>
  </si>
  <si>
    <t>jeromy@eeshenksons.com</t>
  </si>
  <si>
    <t>kim@eaglealcoholco.com</t>
  </si>
  <si>
    <t>earl.trucking@hotmail.com</t>
  </si>
  <si>
    <t>farmerdrew@earlybirdnc.com</t>
  </si>
  <si>
    <t>pboncelet@espllc.us</t>
  </si>
  <si>
    <t>heman@earthlygourmet.com</t>
  </si>
  <si>
    <t>kelli@eastwestbotanical.com</t>
  </si>
  <si>
    <t>adam@happydirt.com</t>
  </si>
  <si>
    <t>ajay@echolakefoods.com</t>
  </si>
  <si>
    <t>gsamaniego@ecoandino.com</t>
  </si>
  <si>
    <t>alex@ecolibriumfarms.com</t>
  </si>
  <si>
    <t>saroj.kumar@naturebiofoods.organc</t>
  </si>
  <si>
    <t>atul.jain@absolute.ag</t>
  </si>
  <si>
    <t>jtempleton@edenfoods.com</t>
  </si>
  <si>
    <t>admin@edisonmercantile.org</t>
  </si>
  <si>
    <t>ted@eelriverbrewing.com</t>
  </si>
  <si>
    <t>m.eidegyherbs@gmail.com</t>
  </si>
  <si>
    <t>abdurrahman@ecoturca.com.tr</t>
  </si>
  <si>
    <t>lorraine@elite-ingredients.com</t>
  </si>
  <si>
    <t>ellingsonelevator@gmail.com</t>
  </si>
  <si>
    <t>certification@elworldagro.com</t>
  </si>
  <si>
    <t>amanda@emerfood.com</t>
  </si>
  <si>
    <t>jpenfold@modestomilling.com</t>
  </si>
  <si>
    <t>mgr@empirical-labs.com</t>
  </si>
  <si>
    <t>elianacp.eba@gmail.com</t>
  </si>
  <si>
    <t>jay@enaxus.com</t>
  </si>
  <si>
    <t>enbek_ltd@mail.ru</t>
  </si>
  <si>
    <t>yunys6107@hanmail.net</t>
  </si>
  <si>
    <t>ap@enerhealthbotanicals.com</t>
  </si>
  <si>
    <t>gordie6221@gmail.com</t>
  </si>
  <si>
    <t>enquiof@outlook.es</t>
  </si>
  <si>
    <t>hendsel@enseorganics.com</t>
  </si>
  <si>
    <t>amelie@prestyfood.com</t>
  </si>
  <si>
    <t>ereco@hanmail.net</t>
  </si>
  <si>
    <t>lerickson@gwrice.com</t>
  </si>
  <si>
    <t>erniesorganics@gmail.com</t>
  </si>
  <si>
    <t>belmin.bajrovic@eskomerc.com</t>
  </si>
  <si>
    <t>agustin@suchiar.com</t>
  </si>
  <si>
    <t>jacobminnich@skidmore-sales.com</t>
  </si>
  <si>
    <t>jemy87@126.com</t>
  </si>
  <si>
    <t>office@eurocrop.com</t>
  </si>
  <si>
    <t>umair@shafifoods.com</t>
  </si>
  <si>
    <t>ayuni.qa@organicnoodle.com.my</t>
  </si>
  <si>
    <t>eversacres@gmail.com</t>
  </si>
  <si>
    <t>dianne@everpsringfarms.ca</t>
  </si>
  <si>
    <t>luise@evicorporation.com</t>
  </si>
  <si>
    <t>ewaldfarms@gmail.com</t>
  </si>
  <si>
    <t>export@excelrice.co.th</t>
  </si>
  <si>
    <t>poolfarms@gmail.com</t>
  </si>
  <si>
    <t>Brooks@fwcobs.com</t>
  </si>
  <si>
    <t>brooks@fwcobs.com</t>
  </si>
  <si>
    <t>fairsharefarmmaine@gmail.com</t>
  </si>
  <si>
    <t>rpabst@sunridgefarms.com</t>
  </si>
  <si>
    <t>contact@falkseed.com</t>
  </si>
  <si>
    <t>heidi@farwestrice.com</t>
  </si>
  <si>
    <t>orders@farmrunners.com</t>
  </si>
  <si>
    <t>gregomol@gmail.com</t>
  </si>
  <si>
    <t>mohern@scoular.com</t>
  </si>
  <si>
    <t>dmezger@mezgerbros.com</t>
  </si>
  <si>
    <t>martinez@farmersrice.com</t>
  </si>
  <si>
    <t>sales@farmvalepsyllium.com</t>
  </si>
  <si>
    <t>fehringerfeeds@gmail.com</t>
  </si>
  <si>
    <t>moyse.aguiar@profiting.com.br; qualidade@feinkost.com.br</t>
  </si>
  <si>
    <t>760187447@qq.com</t>
  </si>
  <si>
    <t>feralfarm4@gmail.com</t>
  </si>
  <si>
    <t>ferrisorganicfarm@gmail.com</t>
  </si>
  <si>
    <t>luchollanos@agroindustrias.com</t>
  </si>
  <si>
    <t>branka@biocore.nl</t>
  </si>
  <si>
    <t>keith@finnriver.com</t>
  </si>
  <si>
    <t>matt@firebrandbread.com</t>
  </si>
  <si>
    <t>ecem.elmali@orgibite.com</t>
  </si>
  <si>
    <t>fff@psbnewton.com</t>
  </si>
  <si>
    <t>colby@flatlandsprocessing.com</t>
  </si>
  <si>
    <t>sgupta@flexfoodsltd.com</t>
  </si>
  <si>
    <t>trakotoarisoa@floribis.com</t>
  </si>
  <si>
    <t>edulfo_huayllani@yahoo.com</t>
  </si>
  <si>
    <t>kellyb@petersoncheese.com</t>
  </si>
  <si>
    <t>2025887259@qq.com</t>
  </si>
  <si>
    <t>li.liu@fochain.com</t>
  </si>
  <si>
    <t>folkoils9@gmail.com</t>
  </si>
  <si>
    <t>ctyfoodking@gmail.com</t>
  </si>
  <si>
    <t>gaurav.tailor@foodsandinns.com</t>
  </si>
  <si>
    <t>ak@fts.bio</t>
  </si>
  <si>
    <t>bennych2@yahoo.com</t>
  </si>
  <si>
    <t>greg@fosterranchlp.com</t>
  </si>
  <si>
    <t>lorisautovino@gmail.com</t>
  </si>
  <si>
    <t>t.lyle@frankferd.com</t>
  </si>
  <si>
    <t>raphael10@aol.com</t>
  </si>
  <si>
    <t>freedomfoodfarm@gmail.com</t>
  </si>
  <si>
    <t>cowboychris49@yahoo.com</t>
  </si>
  <si>
    <t>aleppert1293@gmail.com</t>
  </si>
  <si>
    <t>jacquelynp@freshideallc.com</t>
  </si>
  <si>
    <t>robert.sereno@freshpoint.com</t>
  </si>
  <si>
    <t>daniella.tejeda@freshpoint.com</t>
  </si>
  <si>
    <t>dominic.liu@freshpoint.com</t>
  </si>
  <si>
    <t>christine@friederichsseed.com</t>
  </si>
  <si>
    <t>amber.serge@pepsico.com</t>
  </si>
  <si>
    <t>bo@fromthefields.net</t>
  </si>
  <si>
    <t>jbeatty@frontieragco.com</t>
  </si>
  <si>
    <t>frumar999@gmail.com; ramesh@frumarltd.com; praveena@frumarltd.com</t>
  </si>
  <si>
    <t>hfujishima@fst-gr.com</t>
  </si>
  <si>
    <t>wangpanwen@126.com</t>
  </si>
  <si>
    <t>andrew@fullbellyfarm.com</t>
  </si>
  <si>
    <t>jackstrevey@gmail.com</t>
  </si>
  <si>
    <t>quality@fungi.com</t>
  </si>
  <si>
    <t>lesa.dike@mcness.com</t>
  </si>
  <si>
    <t>certificationfuturefood@gmail.com</t>
  </si>
  <si>
    <t>rauf@galaxyrice.com</t>
  </si>
  <si>
    <t>info@vegankingz.com</t>
  </si>
  <si>
    <t>r.lopez@damexcentro.com</t>
  </si>
  <si>
    <t>ganpatiscientifics@gmail.com</t>
  </si>
  <si>
    <t>longall@lzlongall.cn</t>
  </si>
  <si>
    <t>wdl.hyhfood@qq.com</t>
  </si>
  <si>
    <t>oliver_luo@gsysfood.com</t>
  </si>
  <si>
    <t>bmowers@rivervalleyfoods.com</t>
  </si>
  <si>
    <t>kenneth@wellafoods.com</t>
  </si>
  <si>
    <t>f.castro@ggorganics.com.bo</t>
  </si>
  <si>
    <t>gavyadhar@goearthorganic.com; vikas.rao@goearthorganic.com</t>
  </si>
  <si>
    <t>thorpesfarm2022@gmail.com</t>
  </si>
  <si>
    <t>german@gcp-importexport.com ; gerenciadecalidad@gcp-importexport.com</t>
  </si>
  <si>
    <t>qs@generalfood.co.th</t>
  </si>
  <si>
    <t>hannah.vanalst@genmills.com</t>
  </si>
  <si>
    <t>gr@generalfood.co.th</t>
  </si>
  <si>
    <t>geofffoth@gmail.com</t>
  </si>
  <si>
    <t>sarah.harrigal@delallo.com</t>
  </si>
  <si>
    <t>steve.crider@us.nestle.com</t>
  </si>
  <si>
    <t>brett@gfihay.com</t>
  </si>
  <si>
    <t>luke.gianforte@gmail.com</t>
  </si>
  <si>
    <t>jessica@giantjones.com</t>
  </si>
  <si>
    <t>gandjagservices@gmail.com</t>
  </si>
  <si>
    <t>jjgillespie1984@gmail.com</t>
  </si>
  <si>
    <t>ecoagriculture.09@gmail.com</t>
  </si>
  <si>
    <t>delibakery@aol.com</t>
  </si>
  <si>
    <t>hao.fang@giumarra.com</t>
  </si>
  <si>
    <t>qa@guistos.com</t>
  </si>
  <si>
    <t>awatson@glanbia.com</t>
  </si>
  <si>
    <t>michaelma@dljhny.com</t>
  </si>
  <si>
    <t>alonso@glaserorganicfarms.com</t>
  </si>
  <si>
    <t>cguerrero@glintglobal.com; qc@glintglobal.com</t>
  </si>
  <si>
    <t>baris.kaptan@globalorganicfood.com</t>
  </si>
  <si>
    <t>info@globalpalate.co</t>
  </si>
  <si>
    <t>tom@globalresourcesdirect.com</t>
  </si>
  <si>
    <t>bryan@globalsterilization.com</t>
  </si>
  <si>
    <t>andrea.hupp@glorybee.com</t>
  </si>
  <si>
    <t>faizan@glucorp.com</t>
  </si>
  <si>
    <t>paul@gmp-nutraceuticals.com</t>
  </si>
  <si>
    <t>grotegut@wtrt.net</t>
  </si>
  <si>
    <t>spur_qcd@gokulgroup.com</t>
  </si>
  <si>
    <t>carla@kananbaking.com</t>
  </si>
  <si>
    <t>carlos.arroyo@goldcrust.com</t>
  </si>
  <si>
    <t>tvalencia@controlunion.com</t>
  </si>
  <si>
    <t>sdonnelly@goldmedalbakery.com</t>
  </si>
  <si>
    <t>tae@ivfh.com</t>
  </si>
  <si>
    <t>monica@goldenplatter.com</t>
  </si>
  <si>
    <t>bryce@gp-farms.com</t>
  </si>
  <si>
    <t>megan@gpgrains.com</t>
  </si>
  <si>
    <t>david.scok@goldenricecambodia.com</t>
  </si>
  <si>
    <t>xiaolin@goldfieldyy.com.cn</t>
  </si>
  <si>
    <t>areeya@goodearthrice.com</t>
  </si>
  <si>
    <t>a.madrazo@sanmiguel.me</t>
  </si>
  <si>
    <t>davy@naturzorganics.com</t>
  </si>
  <si>
    <t>info@fallenoakmycology.com</t>
  </si>
  <si>
    <t>gordonjcdalhart@yahoo.com</t>
  </si>
  <si>
    <t>kris_gosar@adams.edu</t>
  </si>
  <si>
    <t>sunil@jyotifoods.com</t>
  </si>
  <si>
    <t>production@gracebio.co.th</t>
  </si>
  <si>
    <t>matt@grahamsorganics.com</t>
  </si>
  <si>
    <t>andy.trullinger@grainmillers.com</t>
  </si>
  <si>
    <t>oswaldo.vasquez@grainmillers.com</t>
  </si>
  <si>
    <t>nathan.decker@grainmillers.com</t>
  </si>
  <si>
    <t>janelle.kruger@grainmillers.com</t>
  </si>
  <si>
    <t>compliance@grainplacefoods.com</t>
  </si>
  <si>
    <t>ops@slgrain.com</t>
  </si>
  <si>
    <t>kyle.gooch@graincorp.ca</t>
  </si>
  <si>
    <t>suji.lee@hmart.com</t>
  </si>
  <si>
    <t>ngpeiying@bzzworld.com</t>
  </si>
  <si>
    <t>qa@grandyorganics.com</t>
  </si>
  <si>
    <t>calidad.granitodeoro@gmail.com</t>
  </si>
  <si>
    <t>alber@avendacom.com; contabilidad@avendacom.com; calidad@avendacom.com</t>
  </si>
  <si>
    <t>linsday@grassandsons.com</t>
  </si>
  <si>
    <t>stephengray311@yahoo.com</t>
  </si>
  <si>
    <t>graysenhuebert@gmail.com</t>
  </si>
  <si>
    <t>ericmahaney@grazn.com</t>
  </si>
  <si>
    <t>katpow@thegreatgrains.com</t>
  </si>
  <si>
    <t>greatplainscustomworks@gmail.com</t>
  </si>
  <si>
    <t>craig@greatrivermilling.com</t>
  </si>
  <si>
    <t>lori.reams@souffletmalt.com</t>
  </si>
  <si>
    <t>jtantalean@hvcexportaciones.com.pe; certificaciones@hvcexportaciones.com.pe</t>
  </si>
  <si>
    <t>carrieandtony@hotmail.com</t>
  </si>
  <si>
    <t>abohoumbogildas@gmail.com</t>
  </si>
  <si>
    <t>david@greencoverseed.com</t>
  </si>
  <si>
    <t>veneet2121@gmail.com</t>
  </si>
  <si>
    <t>mariap@wwproduce.com</t>
  </si>
  <si>
    <t>hrbrothers.masood@gmail.com</t>
  </si>
  <si>
    <t>tyler@coloradocatchllc.com</t>
  </si>
  <si>
    <t>hleon@greenseedcp.com</t>
  </si>
  <si>
    <t>greensupremebarley@gmail.com</t>
  </si>
  <si>
    <t>director@swaso.in; info@greenvillageagros.com</t>
  </si>
  <si>
    <t>wjin@ingredientsonline.com</t>
  </si>
  <si>
    <t>greenature.noodle@gmail.com</t>
  </si>
  <si>
    <t>carolyn.bayliss@greenfield.com</t>
  </si>
  <si>
    <t>michele.hibst@greenleaffoods.com</t>
  </si>
  <si>
    <t>greewoodherbals@gmail.com</t>
  </si>
  <si>
    <t>bdiesl@grimmway.com</t>
  </si>
  <si>
    <t>scott@grindstonebakery.com</t>
  </si>
  <si>
    <t>tristan.noyes@gromaine.com</t>
  </si>
  <si>
    <t>accounts@grousemalthouse.com</t>
  </si>
  <si>
    <t>nicocativelli@gmail.com</t>
  </si>
  <si>
    <t>robin@vivafarms.org</t>
  </si>
  <si>
    <t>avinash.s@absolute.ag</t>
  </si>
  <si>
    <t>julieta.carballido@grupovida.com</t>
  </si>
  <si>
    <t>produccionorganica@grupomahezik.com.bo</t>
  </si>
  <si>
    <t>asolorzano@transpacifico.pe</t>
  </si>
  <si>
    <t>spice@gryffonridge.com</t>
  </si>
  <si>
    <t>378953390@qq.com</t>
  </si>
  <si>
    <t>00480843@want-want.com</t>
  </si>
  <si>
    <t>leonardoaraujo@guaranadobrasil.com.br</t>
  </si>
  <si>
    <t>jputt@gulfpac.com</t>
  </si>
  <si>
    <t>ben@gatewaycopacking.com</t>
  </si>
  <si>
    <t>anil@samruddhiorganic.com</t>
  </si>
  <si>
    <t>importnexport01@gmail.com</t>
  </si>
  <si>
    <t>xiaoguoguo9999@126.com</t>
  </si>
  <si>
    <t>vanessa.dyckman@hain.com</t>
  </si>
  <si>
    <t>ttantayakorn@hakubaku.com.au</t>
  </si>
  <si>
    <t>fahad@glucochem.com</t>
  </si>
  <si>
    <t>admin@hzlatmssy.cn</t>
  </si>
  <si>
    <t>hz_natur@163.com</t>
  </si>
  <si>
    <t>290593194@qq.com</t>
  </si>
  <si>
    <t>scott@hansenmueller.com</t>
  </si>
  <si>
    <t>gongping_1983@163.com</t>
  </si>
  <si>
    <t>mallikarjun.j25@gmail.com</t>
  </si>
  <si>
    <t>jnevarez@harvestfoodgroup.com</t>
  </si>
  <si>
    <t>david@harvestgrainmills.com</t>
  </si>
  <si>
    <t>certification.harvesterfoods@gmail.com</t>
  </si>
  <si>
    <t>mike@hawriverwineman.com</t>
  </si>
  <si>
    <t>customer.service@hawkinsinc.com</t>
  </si>
  <si>
    <t>amna.hayat@hayatindustries.com</t>
  </si>
  <si>
    <t>qa@hbctrading.com.au</t>
  </si>
  <si>
    <t>ashley@hbfeggs.com</t>
  </si>
  <si>
    <t>tasela@hddes.com</t>
  </si>
  <si>
    <t>michaelv@oasisbreads.com</t>
  </si>
  <si>
    <t>healthcareagro@gmail.com; tracedesk@gmail.com</t>
  </si>
  <si>
    <t>phillip.norris@hfifamily.com</t>
  </si>
  <si>
    <t>salesrep@healthygrainssa.com.py</t>
  </si>
  <si>
    <t>sreereddy@h2ohub.com</t>
  </si>
  <si>
    <t>nnala@hearthsidefoods.com</t>
  </si>
  <si>
    <t>mark@heartlandgourmet.com</t>
  </si>
  <si>
    <t>barb@michianafeed.farm</t>
  </si>
  <si>
    <t>hedlin@hedlinfarms.com</t>
  </si>
  <si>
    <t>yan.liu@haozedouye.com</t>
  </si>
  <si>
    <t>hongmaoyjsp@163.com</t>
  </si>
  <si>
    <t>568121442@qq.com</t>
  </si>
  <si>
    <t>lwgongsi@163.com</t>
  </si>
  <si>
    <t>2842865840@qq.com</t>
  </si>
  <si>
    <t>610562758@qq.com</t>
  </si>
  <si>
    <t>facturacion@heincke.co</t>
  </si>
  <si>
    <t>vicki.smith@hbroch.com</t>
  </si>
  <si>
    <t>alfredo.koechlin@herbazest.com</t>
  </si>
  <si>
    <t>kimberly.pohle@herbrucks.com</t>
  </si>
  <si>
    <t>hcomulado@hermanntds.com</t>
  </si>
  <si>
    <t>tom@join-hero.com</t>
  </si>
  <si>
    <t>supaporn_u@hescosolution.com</t>
  </si>
  <si>
    <t>logistics@jztrucking.com</t>
  </si>
  <si>
    <t>swirtz@hqorganics.com</t>
  </si>
  <si>
    <t>mmoran@highlandfoods.pe</t>
  </si>
  <si>
    <t>wgmill@wholegrainmilling.net</t>
  </si>
  <si>
    <t>sanjeevanicertification@gmail.com;projectsanjeevani@gmail.com</t>
  </si>
  <si>
    <t>anil.sharma@sarveshwarfoods.com; gayatri.tandon@sarveshwarrice.com</t>
  </si>
  <si>
    <t>devendra@himaleco.com</t>
  </si>
  <si>
    <t>bburgess@hirzel.com</t>
  </si>
  <si>
    <t>jnhiske@gmail.com</t>
  </si>
  <si>
    <t>info@hnffoods.com</t>
  </si>
  <si>
    <t>quangtrist@gmail.com</t>
  </si>
  <si>
    <t>info@hoanangorganic.com</t>
  </si>
  <si>
    <t>htxnnhoanangbentre@gmail.com</t>
  </si>
  <si>
    <t>danghobbs@gmail.com</t>
  </si>
  <si>
    <t>info@holistic-corner.com</t>
  </si>
  <si>
    <t>saurabh.srivastava@organicindia.com</t>
  </si>
  <si>
    <t>homewardbounty@gmail.com</t>
  </si>
  <si>
    <t>chelsea@hummingbirdwholesale.com</t>
  </si>
  <si>
    <t>tabitha@honeyrocklanding.com</t>
  </si>
  <si>
    <t>karip@honeyville.com</t>
  </si>
  <si>
    <t>gmoss@southernbakeries.com</t>
  </si>
  <si>
    <t>anke.kutsch@nateco2.de</t>
  </si>
  <si>
    <t>ryanp@hopworksbeer.com</t>
  </si>
  <si>
    <t>m.sera@house-foods.com</t>
  </si>
  <si>
    <t>pablomelendezm@gmail.com</t>
  </si>
  <si>
    <t>stuart.farr@hudsonvalleyhopsandgrains.com</t>
  </si>
  <si>
    <t>cody.huenefeld@gmail.com</t>
  </si>
  <si>
    <t>joel.huesby@gmail.com</t>
  </si>
  <si>
    <t>hulldairy@gmail.com</t>
  </si>
  <si>
    <t>jenney@hnhjsw.cn</t>
  </si>
  <si>
    <t>tzh-345@163.com</t>
  </si>
  <si>
    <t>hunzaorganics@hotmail.com</t>
  </si>
  <si>
    <t>hurstfarmwrks@gmail.com</t>
  </si>
  <si>
    <t>hyview@hyviewfeeds.com</t>
  </si>
  <si>
    <t>gurpreet@isifol.com</t>
  </si>
  <si>
    <t>nick@ibisrice.com</t>
  </si>
  <si>
    <t>tillotarim571@gmail.com</t>
  </si>
  <si>
    <t>mbaksh@wwf.org.pk</t>
  </si>
  <si>
    <t>tristonsponseller@gmail.com</t>
  </si>
  <si>
    <t>naia@drystorageco.com</t>
  </si>
  <si>
    <t>john.ypma@initiativefoods.com</t>
  </si>
  <si>
    <t>coordinacioncalidad@imepex.com</t>
  </si>
  <si>
    <t>brian.farinha@misfitsmarket.com</t>
  </si>
  <si>
    <t>pavendano@incamystic.com</t>
  </si>
  <si>
    <t>julietachocolatiere@hotmail.com</t>
  </si>
  <si>
    <t>info@shagbarkmill.com</t>
  </si>
  <si>
    <t>lattanaphone.silivanh@idplaos.com</t>
  </si>
  <si>
    <t>ceo@inalproces.com</t>
  </si>
  <si>
    <t>qualityassurance@infinityorganicfoods.com</t>
  </si>
  <si>
    <t>taylor@ingardiabros.com</t>
  </si>
  <si>
    <t>sam@inlandcaperice.com</t>
  </si>
  <si>
    <t>13305392028@vip.163.com</t>
  </si>
  <si>
    <t>262271229@qq.com</t>
  </si>
  <si>
    <t>info@chinagros.cn</t>
  </si>
  <si>
    <t>geoff@innovatefood.com</t>
  </si>
  <si>
    <t>rocco@integritytradingllc.com</t>
  </si>
  <si>
    <t>ssabori@intelligentsiacoffee.com</t>
  </si>
  <si>
    <t>agro@agrointeramsa.com; gustavo@agrointeramsa.com; tesoreria@agrointeramsa.com; mhuaman@agrointeramsa.com; calidad@agrointeramsa.com</t>
  </si>
  <si>
    <t>allen@getinterfresh.com</t>
  </si>
  <si>
    <t>andy@internationalharvest.com</t>
  </si>
  <si>
    <t>info@internationalloft.com</t>
  </si>
  <si>
    <t>certificaciones@internationalmarket.com.py</t>
  </si>
  <si>
    <t>imslogistics@imsfood.com</t>
  </si>
  <si>
    <t>jrossel@internaturales.com</t>
  </si>
  <si>
    <t>alexis@ioruecotrade.com</t>
  </si>
  <si>
    <t>hakan@iosnaturals.com</t>
  </si>
  <si>
    <t>khakhanang@ipmfoods.com</t>
  </si>
  <si>
    <t>ironoxfarming@gmail.com</t>
  </si>
  <si>
    <t>gscherman@fairpoint.net</t>
  </si>
  <si>
    <t>garrascaita@irupanabio.com</t>
  </si>
  <si>
    <t>calidad@irupepy.com</t>
  </si>
  <si>
    <t>mattburk@cozadtel.net</t>
  </si>
  <si>
    <t>info@italianproducts.com</t>
  </si>
  <si>
    <t>deepak.nauriyal@itc.in</t>
  </si>
  <si>
    <t>narayana.swamy@itc.in</t>
  </si>
  <si>
    <t>inanc_okutan@hotmail.com</t>
  </si>
  <si>
    <t>quality@izmir-organic.com</t>
  </si>
  <si>
    <t>jtlohse10@yahoo.com</t>
  </si>
  <si>
    <t>info@jjtortillas.com</t>
  </si>
  <si>
    <t>dmarciani@jkingredients.net</t>
  </si>
  <si>
    <t>bgutierrez@jisabolivia.com</t>
  </si>
  <si>
    <t>jachajuira@gmail.com</t>
  </si>
  <si>
    <t>jack@geigerfarm.com</t>
  </si>
  <si>
    <t>j.olsgaard9@gmail.com</t>
  </si>
  <si>
    <t>jstol@jacoma.net</t>
  </si>
  <si>
    <t>jaffebros@att.net</t>
  </si>
  <si>
    <t>workfarm121@gmail.com</t>
  </si>
  <si>
    <t>radheshyam.organic@gmail.com</t>
  </si>
  <si>
    <t>ajit@jains.com; bhardwaj.sudhanshu@jains.com; yadav.balkrishna@jains.com; sonje.sanjay@jains.com</t>
  </si>
  <si>
    <t>prerna@jajooorganics.com</t>
  </si>
  <si>
    <t>jalaram13@yahoo.com</t>
  </si>
  <si>
    <t>jill@janiesmill.com</t>
  </si>
  <si>
    <t>kathy@japangoldusa.com</t>
  </si>
  <si>
    <t>info@jasberry.net</t>
  </si>
  <si>
    <t>pushpindermunjal@jasmergroup.com</t>
  </si>
  <si>
    <t>vijay.c@jayminentcorp.com</t>
  </si>
  <si>
    <t>jofreezin@gmail.com</t>
  </si>
  <si>
    <t>rwenzel@jcbflavors.com</t>
  </si>
  <si>
    <t>aurelia.burri@groupemul.fr</t>
  </si>
  <si>
    <t>info@jeevaorganic.com</t>
  </si>
  <si>
    <t>jeevagram.org@gmail.com</t>
  </si>
  <si>
    <t>boomsfarms@yahoo.com</t>
  </si>
  <si>
    <t>learfarm@gmail.com</t>
  </si>
  <si>
    <t>wehkingelectric@yahoo.com</t>
  </si>
  <si>
    <t>matt.meuret@cropins.net</t>
  </si>
  <si>
    <t>jwc1818@gmail.com</t>
  </si>
  <si>
    <t>jfcqc@jfc.com</t>
  </si>
  <si>
    <t>rbanis@banistradition.com</t>
  </si>
  <si>
    <t>itiyoshi_lijian@yahoo.co.uk</t>
  </si>
  <si>
    <t>renchuntian888@163.com</t>
  </si>
  <si>
    <t>lunongdzmy@163.com</t>
  </si>
  <si>
    <t>zzg0926@126.com</t>
  </si>
  <si>
    <t>784501602@qq.com</t>
  </si>
  <si>
    <t>dewei@deweifood.com</t>
  </si>
  <si>
    <t>organiccertifications@farmorganicindia.com</t>
  </si>
  <si>
    <t>joe@delbosquefarms.com</t>
  </si>
  <si>
    <t>yeackles17@hotmail.com</t>
  </si>
  <si>
    <t>mguy@jbssinc.com</t>
  </si>
  <si>
    <t>fmyer12@yahoo.com</t>
  </si>
  <si>
    <t>jrustebakke@yahoo.com</t>
  </si>
  <si>
    <t>johnsongrassdairy17@gmail.com</t>
  </si>
  <si>
    <t>danielle@bionaturae.com</t>
  </si>
  <si>
    <t>nesk_85@hotmail.com</t>
  </si>
  <si>
    <t>gail@jshfarms.com</t>
  </si>
  <si>
    <t>qtroberto@gmail.com</t>
  </si>
  <si>
    <t>comercial@cafejurere.com.br</t>
  </si>
  <si>
    <t>luis@justaboutfoods.com</t>
  </si>
  <si>
    <t>ashucot@yahoo.co.in-Vijayshree44org@gmail.com-ashucot@gmail.com</t>
  </si>
  <si>
    <t>kadamorganics@gmail.com</t>
  </si>
  <si>
    <t>kai@kaiamerica.com</t>
  </si>
  <si>
    <t>grainmillersltd@gmail.com</t>
  </si>
  <si>
    <t>brad.johnson@kalmbachfeeds.com</t>
  </si>
  <si>
    <t>michael@kamprathseed.com</t>
  </si>
  <si>
    <t>rodrigosevilla@grupokampura.com</t>
  </si>
  <si>
    <t>info@nvirosoul.com</t>
  </si>
  <si>
    <t>tony.hellenthal@hansenmueller.com</t>
  </si>
  <si>
    <t>mkeeg@me.com</t>
  </si>
  <si>
    <t>guyneth.outsen@kehe.com; pam.simich@kehe.com</t>
  </si>
  <si>
    <t>marshallfarms@comcast.net</t>
  </si>
  <si>
    <t>rprieto@keithlywilliams.com</t>
  </si>
  <si>
    <t>arensfarms@gmail.com</t>
  </si>
  <si>
    <t>ben.dankle@kemin.com; emily.hurban@kemin.com</t>
  </si>
  <si>
    <t>mek@kennedyrice.com</t>
  </si>
  <si>
    <t>mpangilinan@kayco.com</t>
  </si>
  <si>
    <t>kentonwenger410@gmail.com</t>
  </si>
  <si>
    <t>shawn.lucas@kysu.edu</t>
  </si>
  <si>
    <t>floydcoop@bellsouth.net</t>
  </si>
  <si>
    <t>kathy.liu@kerry.com</t>
  </si>
  <si>
    <t>chad@hilandgc.com</t>
  </si>
  <si>
    <t>keva@xit.net</t>
  </si>
  <si>
    <t>wang.cheng.quan@163.com</t>
  </si>
  <si>
    <t>benjamin_eggers@kapi-ohio.com</t>
  </si>
  <si>
    <t>khalidricemill@gmail.com</t>
  </si>
  <si>
    <t>qa_kmc@kcrice.com</t>
  </si>
  <si>
    <t>alin@kgcusa.com</t>
  </si>
  <si>
    <t>quality@kiallafoods.com.au</t>
  </si>
  <si>
    <t>jake.rosenbarger@gmail.com</t>
  </si>
  <si>
    <t>karen.gosselin@kingarthurbaking.com; kate.farley@kingarthurbaking.com</t>
  </si>
  <si>
    <t>ruechai@kingfreshfarm.com</t>
  </si>
  <si>
    <t>edgar@csinet.net</t>
  </si>
  <si>
    <t>kinualive@yahoo.es</t>
  </si>
  <si>
    <t>karem.matos@kiriaperu.com</t>
  </si>
  <si>
    <t>info@kis-kitchen.com</t>
  </si>
  <si>
    <t>certification@phaladaagro.com</t>
  </si>
  <si>
    <t>KISANAGRO96@GMAIL.COM</t>
  </si>
  <si>
    <t>kandmhfarm@lakevieworganicgrain.com</t>
  </si>
  <si>
    <t>lukeklausner@gmail.com</t>
  </si>
  <si>
    <t>ross.k@kodafarms.com</t>
  </si>
  <si>
    <t>koehnfarmllc@gmail.com</t>
  </si>
  <si>
    <t>madan.mohan@kohinoorfoods.in</t>
  </si>
  <si>
    <t>hkaur@komalherbals.com</t>
  </si>
  <si>
    <t>compliance@koval-distillery.com</t>
  </si>
  <si>
    <t>jarbogast@kreamerfeed.com</t>
  </si>
  <si>
    <t>certify@k-organic.com</t>
  </si>
  <si>
    <t>melonie.bryson@kroger.com</t>
  </si>
  <si>
    <t>heather.pack@kroger.com</t>
  </si>
  <si>
    <t>jolene.bui@kroger.com</t>
  </si>
  <si>
    <t>aseguramiento.calidad@kumarafood.com</t>
  </si>
  <si>
    <t>banwart7@gmail.com</t>
  </si>
  <si>
    <t>kyleschwarting@yahoo.com</t>
  </si>
  <si>
    <t>raul@jingduyl.com</t>
  </si>
  <si>
    <t>charlie.meadows@lmcompanies.com</t>
  </si>
  <si>
    <t>tom@hearneco.com</t>
  </si>
  <si>
    <t>allnaturalfarm4000@gmail.com</t>
  </si>
  <si>
    <t>wldunne@bigpond.com</t>
  </si>
  <si>
    <t>lrice@gpcom.net</t>
  </si>
  <si>
    <t>pbeharry@lamilinaise.com</t>
  </si>
  <si>
    <t>alexis@lapastainc.com</t>
  </si>
  <si>
    <t>kevans@latortillafactory.com</t>
  </si>
  <si>
    <t>contact@laveronese.com</t>
  </si>
  <si>
    <t>i.kadiri@kph.ma</t>
  </si>
  <si>
    <t>lakeviewfarms@upwardprint.com</t>
  </si>
  <si>
    <t>mh@lakevieworganicgrain.com</t>
  </si>
  <si>
    <t>rmlancz@hotmail.com</t>
  </si>
  <si>
    <t>jra.fish@gmail.com</t>
  </si>
  <si>
    <t>vlawrence@nets.com</t>
  </si>
  <si>
    <t>langleyfarms@sbcglobal.net</t>
  </si>
  <si>
    <t>chonlada@lannaagro.com</t>
  </si>
  <si>
    <t>cristian@acenatural.com</t>
  </si>
  <si>
    <t>brianc@laughlincartrell.com</t>
  </si>
  <si>
    <t>agorodzinsky@lemust.com</t>
  </si>
  <si>
    <t>joe@leachlogistics.com</t>
  </si>
  <si>
    <t>leeengineering@standardprocess.com</t>
  </si>
  <si>
    <t>lcjohnson@mwt.net</t>
  </si>
  <si>
    <t>bbrown@lehirollermills.com</t>
  </si>
  <si>
    <t>cory.carter@lehivalley.com</t>
  </si>
  <si>
    <t>mike.saltis@flocorp.com</t>
  </si>
  <si>
    <t>mehdikhan788@gmail.com</t>
  </si>
  <si>
    <t>alex@foodtolive.com</t>
  </si>
  <si>
    <t>heshunorganic@163.com</t>
  </si>
  <si>
    <t>peanut@peanutchina.cn</t>
  </si>
  <si>
    <t>xinyu@lifebridgeintl.com</t>
  </si>
  <si>
    <t>john@lifegivingseeds.com</t>
  </si>
  <si>
    <t>liz@lillysfamilyfoods.com</t>
  </si>
  <si>
    <t>cheskyk@grainbrainusa.com</t>
  </si>
  <si>
    <t>ltpsafety@lincolntransloadpro.com</t>
  </si>
  <si>
    <t>lindleymills@aol.com</t>
  </si>
  <si>
    <t>spaboojian@fire2wire.com</t>
  </si>
  <si>
    <t>usa@linmarkcompany.com</t>
  </si>
  <si>
    <t>kchunter46@yahoo.com</t>
  </si>
  <si>
    <t>jesse@livingtreecommunity.com</t>
  </si>
  <si>
    <t>jan@happycampersgf.com</t>
  </si>
  <si>
    <t>ilona.bondarenko@ukrbioland.com</t>
  </si>
  <si>
    <t>deann803@gmail.com</t>
  </si>
  <si>
    <t>lomo@lomocold.com</t>
  </si>
  <si>
    <t>lonepinelllp@hotmail.com</t>
  </si>
  <si>
    <t>long.kow@msa.hinet.net</t>
  </si>
  <si>
    <t>simeon@loonliquors.com</t>
  </si>
  <si>
    <t>diegogurreonero@familygrainlove.com; diegogurreonero@gmail.com</t>
  </si>
  <si>
    <t>tim@lotfotl.com</t>
  </si>
  <si>
    <t>operations@lotusfoods.com</t>
  </si>
  <si>
    <t>ljslagel@slagelfamilyfarm.com</t>
  </si>
  <si>
    <t>shannon@theocf.com</t>
  </si>
  <si>
    <t>irinayarosh.greentrade@gmail.com</t>
  </si>
  <si>
    <t>matt@splitrockdistilling.com</t>
  </si>
  <si>
    <t>mmanriquez@calbeeamerica.com</t>
  </si>
  <si>
    <t>nsalyer@lundberg.com</t>
  </si>
  <si>
    <t>randa@lyftcommodity.com</t>
  </si>
  <si>
    <t>macspecialtyfoods@gmail.com</t>
  </si>
  <si>
    <t>mhackney@mlcommodities.com</t>
  </si>
  <si>
    <t>mhertzler@goldenbarrel.com</t>
  </si>
  <si>
    <t>certifications@pratithiorganic.com</t>
  </si>
  <si>
    <t>bhavin.svnit@gmail.com</t>
  </si>
  <si>
    <t>calidad@maia.pe</t>
  </si>
  <si>
    <t>amber@mainegrains.com</t>
  </si>
  <si>
    <t>mfarfan@majotrading.com</t>
  </si>
  <si>
    <t>jhartman@btfspuds.com</t>
  </si>
  <si>
    <t>bruce@maltwerks.com</t>
  </si>
  <si>
    <t>ozgur.uzer@gmail.com</t>
  </si>
  <si>
    <t>manzoniranch@yahoo.com</t>
  </si>
  <si>
    <t>bsmith@endurancelaw.com</t>
  </si>
  <si>
    <t>katrinalarsson@softagriculture.com.au</t>
  </si>
  <si>
    <t>mariela@marand.com.pe</t>
  </si>
  <si>
    <t>brendan.chan@marathonpacking.com</t>
  </si>
  <si>
    <t>glow.superfoods7@gmail.com</t>
  </si>
  <si>
    <t>marilsoneacma@gmail.com</t>
  </si>
  <si>
    <t>ana@marinfoods.mx</t>
  </si>
  <si>
    <t>mariandino5@gmail.com</t>
  </si>
  <si>
    <t>mark.kansas@gmail.com</t>
  </si>
  <si>
    <t>marlin.busyk@yahoo.com</t>
  </si>
  <si>
    <t>mpute70@yahoo.com</t>
  </si>
  <si>
    <t>lori.cabreira-barba@effem.com</t>
  </si>
  <si>
    <t>info@marshhenmill.com</t>
  </si>
  <si>
    <t>philip@martingroupllc.com</t>
  </si>
  <si>
    <t>marty@kleinlawpc.com</t>
  </si>
  <si>
    <t>mark@martinsfeed.com</t>
  </si>
  <si>
    <t>saurabh.srivastava@tataconsumer.com</t>
  </si>
  <si>
    <t>lreyes@marukan-usa.com</t>
  </si>
  <si>
    <t>farmermjf@gmail.com</t>
  </si>
  <si>
    <t>gerencia@mascorona.com</t>
  </si>
  <si>
    <t>bilal.zaidi@matcofoods.com</t>
  </si>
  <si>
    <t>buckeyewinds@aol.com</t>
  </si>
  <si>
    <t>sakshimalgundkar@gmail.com; goenkad@gmai.com</t>
  </si>
  <si>
    <t>melinda@maverikoils.com</t>
  </si>
  <si>
    <t>greggmccorkle@gmail.com</t>
  </si>
  <si>
    <t>shawn@mcggrain.com</t>
  </si>
  <si>
    <t>captmcgill@aol.com</t>
  </si>
  <si>
    <t>paulmchargue@gmail.com</t>
  </si>
  <si>
    <t>team@meadowlarkmill.com</t>
  </si>
  <si>
    <t>medexoil@gmail.com</t>
  </si>
  <si>
    <t>suporntip.j@medifoodsco.com</t>
  </si>
  <si>
    <t>rohit@organictattva.com; kriti@organictattva.com</t>
  </si>
  <si>
    <t>macatula.mia@memfairway.com</t>
  </si>
  <si>
    <t>rogersafranek@gmail.com</t>
  </si>
  <si>
    <t>mikep@westmotorco.com</t>
  </si>
  <si>
    <t>spmertens@aol.com</t>
  </si>
  <si>
    <t>dbraun@meruscompanies.com</t>
  </si>
  <si>
    <t>merue@rueranch.com</t>
  </si>
  <si>
    <t>mjwortmann123@gmail.com</t>
  </si>
  <si>
    <t>nreigler@michag.com</t>
  </si>
  <si>
    <t>nobachca@gmail.com</t>
  </si>
  <si>
    <t>middakotagrain@gmail.com</t>
  </si>
  <si>
    <t>n.takacs@josephsbakery.com</t>
  </si>
  <si>
    <t>msfs@upwardprint.com</t>
  </si>
  <si>
    <t>bhightower@igf-inc.com</t>
  </si>
  <si>
    <t>luciano@milhao.net</t>
  </si>
  <si>
    <t>thenning@milkspecialties.com</t>
  </si>
  <si>
    <t>rachels@millbornseeds.com</t>
  </si>
  <si>
    <t>toml@millbornseeds.com</t>
  </si>
  <si>
    <t>trade@vyapartrading.com</t>
  </si>
  <si>
    <t>sara@millpressimports.com</t>
  </si>
  <si>
    <t>milnerfarmsinc@outlook.com</t>
  </si>
  <si>
    <t>hassieb@mindfulfoodsus.com</t>
  </si>
  <si>
    <t>dug_bro@yahoo.com</t>
  </si>
  <si>
    <t>kathycho@minsley.com</t>
  </si>
  <si>
    <t>mofa.org24@gmail.com</t>
  </si>
  <si>
    <t>jjjaxon@missionmightyme.com</t>
  </si>
  <si>
    <t>mistybrookorganicfarm@yahoo.com</t>
  </si>
  <si>
    <t>shen.chang@mizkan.com</t>
  </si>
  <si>
    <t>erbes@molca.com.ar</t>
  </si>
  <si>
    <t>natalia.owens@mdlz.com</t>
  </si>
  <si>
    <t>jordie@nexgenseeds.ca</t>
  </si>
  <si>
    <t>andre@montanaflour.com</t>
  </si>
  <si>
    <t>giverson@montanaglutenfree.com</t>
  </si>
  <si>
    <t>sam@montanamilling.com</t>
  </si>
  <si>
    <t>certification@mooladharaorganic.com</t>
  </si>
  <si>
    <t>bob@mooresflourmill.com</t>
  </si>
  <si>
    <t>melissa@morehousefoods.com</t>
  </si>
  <si>
    <t>rchrdmorgan47@gmail.com</t>
  </si>
  <si>
    <t>mfhidekio@moriifoods.com</t>
  </si>
  <si>
    <t>quality@morlife.com</t>
  </si>
  <si>
    <t>dirt154@sbcglobal.net</t>
  </si>
  <si>
    <t>leonard@wheatandgrain.com</t>
  </si>
  <si>
    <t>motherjungle@aol.com</t>
  </si>
  <si>
    <t>pete@wheatlandseed.com</t>
  </si>
  <si>
    <t>jfellin@aol.com</t>
  </si>
  <si>
    <t>t.klingensmith@mountainroseherbs.com</t>
  </si>
  <si>
    <t>karen.mtolive@gmail.com</t>
  </si>
  <si>
    <t>info@mudrunfarmorganics.com</t>
  </si>
  <si>
    <t>helen@mulberrylanefarm.com</t>
  </si>
  <si>
    <t>parul@mundhramillets.com</t>
  </si>
  <si>
    <t>stanmurphy1@icloud.com</t>
  </si>
  <si>
    <t>fcampoverde@muscofood.com</t>
  </si>
  <si>
    <t>sporeprints@gmail.com</t>
  </si>
  <si>
    <t>liz@performancecopacking.com</t>
  </si>
  <si>
    <t>owen@mycological.com</t>
  </si>
  <si>
    <t>tina@davisfarms.org</t>
  </si>
  <si>
    <t>wb@fts.bio</t>
  </si>
  <si>
    <t>infonop@prathamorganic.com</t>
  </si>
  <si>
    <t>kwannamom.riceorganic@gmail.com</t>
  </si>
  <si>
    <t>mcabrera@namar.com</t>
  </si>
  <si>
    <t>administracion@agrilatin.com</t>
  </si>
  <si>
    <t>sales@nashsorganicproduce.com</t>
  </si>
  <si>
    <t>rsanchez@vffi.com</t>
  </si>
  <si>
    <t>lonnie.morgan@npcoinc.com</t>
  </si>
  <si>
    <t>deniz@naturanatural.us</t>
  </si>
  <si>
    <t>wperez@smartjuice.us</t>
  </si>
  <si>
    <t>pro@bulkfoods.com</t>
  </si>
  <si>
    <t>swilson@naturalgrocers.com</t>
  </si>
  <si>
    <t>alfredo@naturaloriginsperu.com</t>
  </si>
  <si>
    <t>millera@agrivisionfm.com</t>
  </si>
  <si>
    <t>josephine.j@naturalremedy.com</t>
  </si>
  <si>
    <t>bill@natsprout.com</t>
  </si>
  <si>
    <t>pamela@naturalvalue.com</t>
  </si>
  <si>
    <t>naturalwaymills2@gmail.com</t>
  </si>
  <si>
    <t>bytan@nature2000.com.sg</t>
  </si>
  <si>
    <t>analisis@peruviannature.com</t>
  </si>
  <si>
    <t>ekempter@gmail.com</t>
  </si>
  <si>
    <t>swmelo@outlook.com</t>
  </si>
  <si>
    <t>organicconsultant2015@gmail.com</t>
  </si>
  <si>
    <t>nate@naturenatesllc.com</t>
  </si>
  <si>
    <t>mukesh.sharma@naturepearlsmail.com</t>
  </si>
  <si>
    <t>tracenet@naturepearlsmail.com</t>
  </si>
  <si>
    <t>info@keystonenatural.com</t>
  </si>
  <si>
    <t>naturelandorganics@gmail.com; coordinatorexports@naturelandorganics.com</t>
  </si>
  <si>
    <t>scheung@naturespath.com; cpalmeri@naturespath.com; regulatoryteam@naturespath.com</t>
  </si>
  <si>
    <t>chuk@naturzorganics.com</t>
  </si>
  <si>
    <t>july@naturzorganics.com</t>
  </si>
  <si>
    <t>joe@naturzorganics.com</t>
  </si>
  <si>
    <t>donna@nauticaorganics.com</t>
  </si>
  <si>
    <t>38364376@qq.com</t>
  </si>
  <si>
    <t>stuggle@cropdocs.com</t>
  </si>
  <si>
    <t>uri@neflour.com</t>
  </si>
  <si>
    <t>tbrown@nenb.com</t>
  </si>
  <si>
    <t>angela@oceanshalo.com</t>
  </si>
  <si>
    <t>qa@newhopemills.com</t>
  </si>
  <si>
    <t>hdizon@newhorizonfoodsinc.com</t>
  </si>
  <si>
    <t>tracy.lefebvre@newseasonsmarket.com</t>
  </si>
  <si>
    <t>office@selfbalancingfood.com</t>
  </si>
  <si>
    <t>newwayimport1688@gmail.com</t>
  </si>
  <si>
    <t>jennifer.malko@nuts.com</t>
  </si>
  <si>
    <t>acole@newlywedsfoods.com</t>
  </si>
  <si>
    <t>documents@newportings.com</t>
  </si>
  <si>
    <t>andrew@nextgenfoods.com</t>
  </si>
  <si>
    <t>mschulist@nfo.org</t>
  </si>
  <si>
    <t>organicseeds.th@gmail.com</t>
  </si>
  <si>
    <t>oa_ae888@hotmail.com</t>
  </si>
  <si>
    <t>trade@nichenaturalsllc.com</t>
  </si>
  <si>
    <t>nickmaravell@comcast.net</t>
  </si>
  <si>
    <t>jason@nightcrawlergardens.com</t>
  </si>
  <si>
    <t>sgcpabey@gmail.com</t>
  </si>
  <si>
    <t>nimishambhafoods@gmail.com</t>
  </si>
  <si>
    <t>wk@generalseeds.cn</t>
  </si>
  <si>
    <t>dick@niobraragrainandmilling.com</t>
  </si>
  <si>
    <t>qa@nipponindustries.com</t>
  </si>
  <si>
    <t>sharon.w@hushmail.com</t>
  </si>
  <si>
    <t>Ferter19@hotmail.com</t>
  </si>
  <si>
    <t>export@nopploy.com</t>
  </si>
  <si>
    <t>nduling@bright.net</t>
  </si>
  <si>
    <t>jreidy@northcentralco.com</t>
  </si>
  <si>
    <t>amberrangeloff92@gmail.com</t>
  </si>
  <si>
    <t>mike@northspore.com</t>
  </si>
  <si>
    <t>qc@soyboy.com</t>
  </si>
  <si>
    <t>jforsman@nwgrgr.com</t>
  </si>
  <si>
    <t>quality@cairnspring.com</t>
  </si>
  <si>
    <t>toml@nwwildfoods.com</t>
  </si>
  <si>
    <t>jennifer@northwoodtradingllc.com</t>
  </si>
  <si>
    <t>autumn.santilli@nowfoods.com</t>
  </si>
  <si>
    <t>praveena@frumarltd.com</t>
  </si>
  <si>
    <t>sami@nulifemarket.com</t>
  </si>
  <si>
    <t>quality@nuricollc.com</t>
  </si>
  <si>
    <t>kathryn.deschenes@danone.com</t>
  </si>
  <si>
    <t>kelly@nutraconnection.com</t>
  </si>
  <si>
    <t>jamie@nutraintlgroup.com</t>
  </si>
  <si>
    <t>organics@nutraonly.com</t>
  </si>
  <si>
    <t>lcromarty@nutrasunfoods.com</t>
  </si>
  <si>
    <t>mikayla1nutriprogroup@gmail.com</t>
  </si>
  <si>
    <t>contact@nutriyoagrofoods.com</t>
  </si>
  <si>
    <t>paulo@nutsco.com</t>
  </si>
  <si>
    <t>mkukoff@nutsola.com</t>
  </si>
  <si>
    <t>tpincon@oafoods.com</t>
  </si>
  <si>
    <t>osman@o2organik.com</t>
  </si>
  <si>
    <t>john.oakdaletrading@gmail.com</t>
  </si>
  <si>
    <t>u.channoi.oasis@gmail.com</t>
  </si>
  <si>
    <t>oasisnutrition.carlos@gmail.com; contacto@oasisnutrition.com</t>
  </si>
  <si>
    <t>officela@ocmfood.com</t>
  </si>
  <si>
    <t>tim@ohiotillfarmstead.net</t>
  </si>
  <si>
    <t>gerard.baude@gmail.com</t>
  </si>
  <si>
    <t>info@oilsofitaly.com</t>
  </si>
  <si>
    <t>okcranches@gmail.com</t>
  </si>
  <si>
    <t>joris.sanders@olamagri.com</t>
  </si>
  <si>
    <t>oldscompliance@oldsproducts.com</t>
  </si>
  <si>
    <t>ericnoelksu@gmail.com</t>
  </si>
  <si>
    <t>yannis@olyrafoods.com</t>
  </si>
  <si>
    <t>office@omfoods.com</t>
  </si>
  <si>
    <t>dairy4you@gmail.com</t>
  </si>
  <si>
    <t>miguel@uponafarm.com</t>
  </si>
  <si>
    <t>sara@onsetworldwide.com</t>
  </si>
  <si>
    <t>rdk4020@hotmail.com</t>
  </si>
  <si>
    <t>oreillyorganicdairy@gmail.com</t>
  </si>
  <si>
    <t>amtok@orgabio.com</t>
  </si>
  <si>
    <t>emily@emsherbals.com</t>
  </si>
  <si>
    <t>ofmllc@yahoo.com</t>
  </si>
  <si>
    <t>calidad@organicfarms.com.py</t>
  </si>
  <si>
    <t>omer@organicfg.com</t>
  </si>
  <si>
    <t>502230303@qq.com</t>
  </si>
  <si>
    <t>balram.singh@tataconsumer.com; saurabh.srivastava@tataconsumer.com</t>
  </si>
  <si>
    <t>cmartinez@organiclatinamerica.com.ar</t>
  </si>
  <si>
    <t>info@organicmattersranch.com</t>
  </si>
  <si>
    <t>asemper@organic-partners.com</t>
  </si>
  <si>
    <t>mike@agpmc.com</t>
  </si>
  <si>
    <t>hermach1968@gmail.com</t>
  </si>
  <si>
    <t>rescamilla@organicqualityfood.com</t>
  </si>
  <si>
    <t>salessupport@organicsphere.com</t>
  </si>
  <si>
    <t>oshi@organic-india.co.in</t>
  </si>
  <si>
    <t>kant@organicwellness.com</t>
  </si>
  <si>
    <t>2064379132@qq.com</t>
  </si>
  <si>
    <t>anh.nguyen@organik.vn</t>
  </si>
  <si>
    <t>sandeep@linkorganics.com</t>
  </si>
  <si>
    <t>cem@organique.ca</t>
  </si>
  <si>
    <t>qualite@oriane-nature.com</t>
  </si>
  <si>
    <t>luis@catalangourmet.com</t>
  </si>
  <si>
    <t>hvillette@otismcallister.com</t>
  </si>
  <si>
    <t>fikriyekarasu@otsorganik.com</t>
  </si>
  <si>
    <t>info@royalherbs.com</t>
  </si>
  <si>
    <t>john@ottosnaturals.com</t>
  </si>
  <si>
    <t>raul@ofdusa.com</t>
  </si>
  <si>
    <t>emily@landmba.org</t>
  </si>
  <si>
    <t>quality@devrijmoerkapelle.nl</t>
  </si>
  <si>
    <t>karl@pacificchoice.com</t>
  </si>
  <si>
    <t>leep@pacificgrainfoods.com</t>
  </si>
  <si>
    <t>giri.veeramuthu@pacmoore.com</t>
  </si>
  <si>
    <t>paf.mill.llc@gmail.com</t>
  </si>
  <si>
    <t>info@pakof.com</t>
  </si>
  <si>
    <t>palmyessen@gmail.com</t>
  </si>
  <si>
    <t>hillary@panaceaingredients.com</t>
  </si>
  <si>
    <t>leah.sanders@phmbrands.com</t>
  </si>
  <si>
    <t>1141710475@qq.com</t>
  </si>
  <si>
    <t>jacob@parchem.com</t>
  </si>
  <si>
    <t>gdlarson@gondtc.com</t>
  </si>
  <si>
    <t>teds@partnerscrackers.com</t>
  </si>
  <si>
    <t>aurora@wildlybelovedfoods.com</t>
  </si>
  <si>
    <t>pastificioboulder@gmail.com</t>
  </si>
  <si>
    <t>doug@amaraorganicfoods.com</t>
  </si>
  <si>
    <t>lenzent@xit.net</t>
  </si>
  <si>
    <t>k94wkki@gmail.com</t>
  </si>
  <si>
    <t>audrey@apolistea.com</t>
  </si>
  <si>
    <t>pottone@primeracooperativa.com.ar</t>
  </si>
  <si>
    <t>pawlinggrain@outlook.com</t>
  </si>
  <si>
    <t>smagana@privatebrandsconsortium.com</t>
  </si>
  <si>
    <t>fjkpds@gmail.com; organicsector@pdsorganicspices.com; pdsorganicspices@gmail.com</t>
  </si>
  <si>
    <t>oleksandr.hozh@barbet.com.ua</t>
  </si>
  <si>
    <t>jopc@me.com</t>
  </si>
  <si>
    <t>operations@susagri.com</t>
  </si>
  <si>
    <t>operations@pearlgardenmills.com</t>
  </si>
  <si>
    <t>alberto.cecchin@pedongroup.com</t>
  </si>
  <si>
    <t>bretpeigneux@yahoo.com</t>
  </si>
  <si>
    <t>ahernandez@penny-newman.com; dmeeker@penny-newman.com</t>
  </si>
  <si>
    <t>sitta_sukkun@hotmail.com</t>
  </si>
  <si>
    <t>anna.lubas@perdue.com</t>
  </si>
  <si>
    <t>chris.neff@perdue.com</t>
  </si>
  <si>
    <t>jonathan.davis@perdue.com; doug.hiles@perdue.com; zachary.snow@perdue.com</t>
  </si>
  <si>
    <t>doug.hiles@perdue.com; jeremy.hamilton@perdue.com</t>
  </si>
  <si>
    <t>tabatha.milligan@perdue.com</t>
  </si>
  <si>
    <t>urenajorge@perunaturals.com</t>
  </si>
  <si>
    <t>teo@peruvianbiofoods.com</t>
  </si>
  <si>
    <t>gfreire@nunatura.com</t>
  </si>
  <si>
    <t>dsilva@peruviannature.com</t>
  </si>
  <si>
    <t>pmartens07@gmail.com</t>
  </si>
  <si>
    <t>virginiag@peterson-farms.com</t>
  </si>
  <si>
    <t>petersonorganicfeeds@gmail.com</t>
  </si>
  <si>
    <t>dprasad@pgpint.com</t>
  </si>
  <si>
    <t>certification@pureandsure.in</t>
  </si>
  <si>
    <t>dlxuanhe@126.com</t>
  </si>
  <si>
    <t>homrice1995@outlook.co.th</t>
  </si>
  <si>
    <t>info@phytoprod.bio</t>
  </si>
  <si>
    <t>leonard@pieranch.org</t>
  </si>
  <si>
    <t>andy@pinecreekpack.com</t>
  </si>
  <si>
    <t>spencer@pinemelon.com</t>
  </si>
  <si>
    <t>pirahy@pirahy.ind.br</t>
  </si>
  <si>
    <t>kellyplacke@gmail.com</t>
  </si>
  <si>
    <t>rawee@plai.co.th</t>
  </si>
  <si>
    <t>roberteb@bloxsom.com.au</t>
  </si>
  <si>
    <t>jessica@pleasantgrovefarms.com</t>
  </si>
  <si>
    <t>politfarm@hotmail.com</t>
  </si>
  <si>
    <t>pondhillfarms@hotmail.com</t>
  </si>
  <si>
    <t>natthasith@pongpetch.com</t>
  </si>
  <si>
    <t>travis.poppe@outlook.com</t>
  </si>
  <si>
    <t>dpilgrim@postholdings.com</t>
  </si>
  <si>
    <t>jtdpounder@gmail.com</t>
  </si>
  <si>
    <t>hiredhand123@gmail.com</t>
  </si>
  <si>
    <t>pat@prfarms.com</t>
  </si>
  <si>
    <t>jody@gruffgrains.com</t>
  </si>
  <si>
    <t>prairieharvestgrain@gmail.com</t>
  </si>
  <si>
    <t>amy@prccopack.com</t>
  </si>
  <si>
    <t>unionpmuac@gmail.com</t>
  </si>
  <si>
    <t>venkat@tastybite.com</t>
  </si>
  <si>
    <t>allisonj@premiercooperative.com</t>
  </si>
  <si>
    <t>asher@premiumfoodgroup.com</t>
  </si>
  <si>
    <t>infopreranaindustries@gmail.com</t>
  </si>
  <si>
    <t>lou@prestonvineyards.com</t>
  </si>
  <si>
    <t>neelam@prideofindia.net.in</t>
  </si>
  <si>
    <t>liliana.rojas@primelinedist.com</t>
  </si>
  <si>
    <t>varun@pronatureorganic.com</t>
  </si>
  <si>
    <t>proyields@gmail.com</t>
  </si>
  <si>
    <t>mrobinson@proactusa.com</t>
  </si>
  <si>
    <t>enieltorres@magafoods.com</t>
  </si>
  <si>
    <t>bio.moises@organicbusiness.com.mx</t>
  </si>
  <si>
    <t>frguerron@gruposanjose.ec</t>
  </si>
  <si>
    <t>info@schullo.com.ec</t>
  </si>
  <si>
    <t>tommy@profacifoods.com</t>
  </si>
  <si>
    <t>chris@progenellc.com</t>
  </si>
  <si>
    <t>ben@proag.farm</t>
  </si>
  <si>
    <t>randyw@proharvestseeds.com</t>
  </si>
  <si>
    <t>maxhoover@hotmail.es; mvilchez@promaca.com.pe</t>
  </si>
  <si>
    <t>ana.bernaldez@flordelapaz.com</t>
  </si>
  <si>
    <t>antar@proseccosource.com</t>
  </si>
  <si>
    <t>dkone@prosperafoods.com</t>
  </si>
  <si>
    <t>redprairiefarm@garnetts.net</t>
  </si>
  <si>
    <t>hello@puffworks.com</t>
  </si>
  <si>
    <t>tbrunson@puratos.com</t>
  </si>
  <si>
    <t>julie@purelyelizabeth.com</t>
  </si>
  <si>
    <t>tribhuvan@puresaiens.com</t>
  </si>
  <si>
    <t>bhonzay@purisfoods.com</t>
  </si>
  <si>
    <t>dnovak@purisfoods.com</t>
  </si>
  <si>
    <t>joel@delightfarm.com</t>
  </si>
  <si>
    <t>info@aheadcn.com</t>
  </si>
  <si>
    <t>info@yfgrp.com</t>
  </si>
  <si>
    <t>sue@orientaltx.com</t>
  </si>
  <si>
    <t>sales02@srnutrachem.com</t>
  </si>
  <si>
    <t>tanjia068@163.com</t>
  </si>
  <si>
    <t>ron@rocktran.com</t>
  </si>
  <si>
    <t>gregj@quality-organic.com</t>
  </si>
  <si>
    <t>info@qualitysupplier.pe</t>
  </si>
  <si>
    <t>gonzalo@qualitysupplier.pe</t>
  </si>
  <si>
    <t>jose@qualitysupplier.pe</t>
  </si>
  <si>
    <t>veronica@grupoqualyfoods.com.br</t>
  </si>
  <si>
    <t>quinoabol@hotmail.com</t>
  </si>
  <si>
    <t>mikes@quinoa.net</t>
  </si>
  <si>
    <t>jpseleme@quinoafoods.com</t>
  </si>
  <si>
    <t>brucce@quinoaingredients.com</t>
  </si>
  <si>
    <t>wilson.quinbolsur@gmail.com</t>
  </si>
  <si>
    <t>orders@rrcultivation.com</t>
  </si>
  <si>
    <t>corky@rcsgrain.com</t>
  </si>
  <si>
    <t>hlopez@vandrunen.com</t>
  </si>
  <si>
    <t>sumil@rsricemills.com; yokiconsultancies@gmail.com</t>
  </si>
  <si>
    <t>bernardloic90@outlook.fr</t>
  </si>
  <si>
    <t>raboufarms@gmail.com</t>
  </si>
  <si>
    <t>marcus@menoita.com</t>
  </si>
  <si>
    <t>nagendra@rajamudi.com</t>
  </si>
  <si>
    <t>operations@rallentipasta.com</t>
  </si>
  <si>
    <t>krhurd@frontier.com</t>
  </si>
  <si>
    <t>cramanandraibe@yahoo.fr</t>
  </si>
  <si>
    <t>rkabe@sunrisefoods.com</t>
  </si>
  <si>
    <t>certifications@rapidorganic.com</t>
  </si>
  <si>
    <t>info@rapidorganic.com</t>
  </si>
  <si>
    <t>jasmin@rapidoverseas.co.in</t>
  </si>
  <si>
    <t>organicgrowergroup@gmail.com</t>
  </si>
  <si>
    <t>karan@nutriorg.com</t>
  </si>
  <si>
    <t>jandblinck@yahoo.com</t>
  </si>
  <si>
    <t>domenicofarms@msn.com</t>
  </si>
  <si>
    <t>ray.hoegemeyer@gmail.com</t>
  </si>
  <si>
    <t>edutra@raymondhadley.com</t>
  </si>
  <si>
    <t>logistics.rls@ray-mont.com</t>
  </si>
  <si>
    <t>rongraysonburns@gmail.com</t>
  </si>
  <si>
    <t>fsc@rcnimports.com</t>
  </si>
  <si>
    <t>buckwheatplant@gmail.com</t>
  </si>
  <si>
    <t>christophe.hervieu@redoakfoods.net</t>
  </si>
  <si>
    <t>jasont@redriv.com</t>
  </si>
  <si>
    <t>dykesb@redriverfoods.com</t>
  </si>
  <si>
    <t>daculp@ucanr.edu</t>
  </si>
  <si>
    <t>asa@regionalaccess.net</t>
  </si>
  <si>
    <t>mhiggins@reistpopcorn.com</t>
  </si>
  <si>
    <t>qa@reliableproduct.com</t>
  </si>
  <si>
    <t>escheck@foodimportgroup.com</t>
  </si>
  <si>
    <t>christian@renegadeacres.com</t>
  </si>
  <si>
    <t>jeff.sinthaberg@revelafoods.com</t>
  </si>
  <si>
    <t>sarah.sharp@revelafoods.com</t>
  </si>
  <si>
    <t>chikkaramu@rg-organics.in</t>
  </si>
  <si>
    <t>anelson@rheebros.com</t>
  </si>
  <si>
    <t>ejaz@riceexperts.com</t>
  </si>
  <si>
    <t>piyawadee@riceland.co.th</t>
  </si>
  <si>
    <t>titik@ricelandgroup.com</t>
  </si>
  <si>
    <t>wade@riffeytransportllc.com</t>
  </si>
  <si>
    <t>abe@tyr-inc.com</t>
  </si>
  <si>
    <t>vanick.h@gmail.com</t>
  </si>
  <si>
    <t>ritika@globalgrains.us</t>
  </si>
  <si>
    <t>joe@ritrovo.com</t>
  </si>
  <si>
    <t>brians@rivercountrycoop.com</t>
  </si>
  <si>
    <t>james@riversidefeeds.net</t>
  </si>
  <si>
    <t>regulatory@riversidenaturals.com</t>
  </si>
  <si>
    <t>MTREVINO@RIVIANA.COM</t>
  </si>
  <si>
    <t>azaki@riviana.com</t>
  </si>
  <si>
    <t>jwalker@riviana.com</t>
  </si>
  <si>
    <t>robertsseed@gtmc.net</t>
  </si>
  <si>
    <t>gail@tsfoodpackaging.com</t>
  </si>
  <si>
    <t>Michael.Hafer@chrobonson.com</t>
  </si>
  <si>
    <t>awulf@robseeco.com</t>
  </si>
  <si>
    <t>rockwellorganic@gmail.com</t>
  </si>
  <si>
    <t>cyd@rogersfoods.com</t>
  </si>
  <si>
    <t>yasir.shafi@glucochem.com</t>
  </si>
  <si>
    <t>carole.guerrette@rolandfoods.com</t>
  </si>
  <si>
    <t>rombros@pacbell.net</t>
  </si>
  <si>
    <t>rosspeterson67@gmail.com</t>
  </si>
  <si>
    <t>info@rosungroups.com</t>
  </si>
  <si>
    <t>support@roswods.com.au</t>
  </si>
  <si>
    <t>skeener23@gmail.com</t>
  </si>
  <si>
    <t>mfire@theroyalorg.com</t>
  </si>
  <si>
    <t>gcarp707@yahoo.com</t>
  </si>
  <si>
    <t>dominic@rivergardenfarms.com</t>
  </si>
  <si>
    <t>mithlesh@rtwlogistics.net</t>
  </si>
  <si>
    <t>suziemurphy@rudisbakery.com</t>
  </si>
  <si>
    <t>jak_falltrades@yahoo.com</t>
  </si>
  <si>
    <t>rustedroosterfarm@gmail.com</t>
  </si>
  <si>
    <t>cassiejooconnor@hotmail.com</t>
  </si>
  <si>
    <t>sbushman@acegroup.cc</t>
  </si>
  <si>
    <t>ssgrainsrkd@gmail.com</t>
  </si>
  <si>
    <t>storganics@gmail.com</t>
  </si>
  <si>
    <t>ngoc.caokhanh@sagiang.com.vn</t>
  </si>
  <si>
    <t>saarasoverseas@gmail.com</t>
  </si>
  <si>
    <t>svegas@sagevfoods.com</t>
  </si>
  <si>
    <t>svsp@svseedcorn.com</t>
  </si>
  <si>
    <t>sahyadrienterprise19@gmail.com</t>
  </si>
  <si>
    <t>saltwaterseeds@gmail.com</t>
  </si>
  <si>
    <t>sale5@salusnutra.com</t>
  </si>
  <si>
    <t>jai.chellani@samastafoods.com</t>
  </si>
  <si>
    <t>mandy@sambazon.com</t>
  </si>
  <si>
    <t>sccmerta@rediffmail.com</t>
  </si>
  <si>
    <t>samkitbiofarms@gmail.com</t>
  </si>
  <si>
    <t>raja@sampurnorganic.com</t>
  </si>
  <si>
    <t>rakesh@samruddhiorganic.com</t>
  </si>
  <si>
    <t>tonymascio@polenta.net</t>
  </si>
  <si>
    <t>love2fly@ncwcom.com</t>
  </si>
  <si>
    <t>contacto@naturesblessings.com.mx</t>
  </si>
  <si>
    <t>caroline.feng@sanmark.com</t>
  </si>
  <si>
    <t>skp@sanmikfood.com.au</t>
  </si>
  <si>
    <t>jagath@sanmikfood.com.au</t>
  </si>
  <si>
    <t>fabio@saporedellavita.com</t>
  </si>
  <si>
    <t>usa@sheandro.com</t>
  </si>
  <si>
    <t>gayatri.tandon@sarveshwarrice.com</t>
  </si>
  <si>
    <t>satkar.office@satkarcotton.in</t>
  </si>
  <si>
    <t>info@satvanagroworks.com</t>
  </si>
  <si>
    <t>sayvo-2004@ukr.net</t>
  </si>
  <si>
    <t>csolum@sb-b.com</t>
  </si>
  <si>
    <t>philip@fairhavenmill.com</t>
  </si>
  <si>
    <t>zachs@rainsweet.com</t>
  </si>
  <si>
    <t>jlschipp@yahoo.com</t>
  </si>
  <si>
    <t>anschnorr@yahoo.com</t>
  </si>
  <si>
    <t>mkschreiner@yahoo.com</t>
  </si>
  <si>
    <t>contact@scientificliving.com</t>
  </si>
  <si>
    <t>tracey@scratchandpeck.com</t>
  </si>
  <si>
    <t>cs@pacifictrading.us</t>
  </si>
  <si>
    <t>nate@seasonings.net</t>
  </si>
  <si>
    <t>troys97@seaworthfarms.com</t>
  </si>
  <si>
    <t>jes@seedyllc.com</t>
  </si>
  <si>
    <t>julie@seenergyfoods.com</t>
  </si>
  <si>
    <t>winette@seggiano.com</t>
  </si>
  <si>
    <t>rmvaldivia@hvcexportaciones.com.pe; certificaciones@hvcexportaciones.com.pe; schinchay@hvcexportaciones.com.pe</t>
  </si>
  <si>
    <t>cristiane@slpart.com.br</t>
  </si>
  <si>
    <t>sensationalfoods18@gmail.com</t>
  </si>
  <si>
    <t>lculbertson@balchem.com</t>
  </si>
  <si>
    <t>nh605056-1@nonghyup.com</t>
  </si>
  <si>
    <t>carina@myserenitykids.com</t>
  </si>
  <si>
    <t>lbottero@grupodelotte.com</t>
  </si>
  <si>
    <t>operations@sesajal.com</t>
  </si>
  <si>
    <t>sara@seusfarms.com</t>
  </si>
  <si>
    <t>mike@shadysidefarm.net</t>
  </si>
  <si>
    <t>tgill@shafercom.com</t>
  </si>
  <si>
    <t>ismail.organic@shafi.com</t>
  </si>
  <si>
    <t>qasim.abbasi@glucochem.com</t>
  </si>
  <si>
    <t>leonard@shahtrading.com</t>
  </si>
  <si>
    <t>phytodoctor1936@gmail.com</t>
  </si>
  <si>
    <t>csanchez@shanantina.com.pe</t>
  </si>
  <si>
    <t>info@hethstia.com</t>
  </si>
  <si>
    <t>shanrenping@126.com</t>
  </si>
  <si>
    <t>457739362@qq.com</t>
  </si>
  <si>
    <t>sharon@ogfspecialty.com</t>
  </si>
  <si>
    <t>rajiv@sharsid.com</t>
  </si>
  <si>
    <t>goenkad@gmail.com; sakshimalgundkar@gmail.com</t>
  </si>
  <si>
    <t>sheelfoods21@gmail.com</t>
  </si>
  <si>
    <t>shrinath.tatte@shemadefoods.com</t>
  </si>
  <si>
    <t>46471758@qq.com</t>
  </si>
  <si>
    <t>jsheppard@sheppardgrain.com</t>
  </si>
  <si>
    <t>tom@kensingtonfood.com</t>
  </si>
  <si>
    <t>gm@shijikaindia.com</t>
  </si>
  <si>
    <t>t.leclaire@simplekneads.com</t>
  </si>
  <si>
    <t>traceexecutiveorguni@gmail.com</t>
  </si>
  <si>
    <t>certification@shiva-kriti.com; ravindra@shiva-kriti.com</t>
  </si>
  <si>
    <t>organic@shiva-kriti.com</t>
  </si>
  <si>
    <t>exports@shreeramfibres.in</t>
  </si>
  <si>
    <t>dikshantsingh@shripathigroup.com</t>
  </si>
  <si>
    <t>248239178@qq.com</t>
  </si>
  <si>
    <t>qa@sentaiyuanbio.com</t>
  </si>
  <si>
    <t>akshayoagarwal@gmail.com</t>
  </si>
  <si>
    <t>hpower@spwg.com</t>
  </si>
  <si>
    <t>connor@sigmasvs.com</t>
  </si>
  <si>
    <t>info@signaturesasia.com</t>
  </si>
  <si>
    <t>jshammaa@gmail.com</t>
  </si>
  <si>
    <t>export@simasbulgur.com</t>
  </si>
  <si>
    <t>annette@simmonsgrain.com</t>
  </si>
  <si>
    <t>sarela@eatsimpli.com; paola@eatsimpli.com; antonio.oblitas@eatsimpli.com</t>
  </si>
  <si>
    <t>sarela@eatsimpli.com</t>
  </si>
  <si>
    <t>sinaiquinoa@hotmail.com</t>
  </si>
  <si>
    <t>aziz@sinamcotrading.com</t>
  </si>
  <si>
    <t>zack@sincerelynuts.com</t>
  </si>
  <si>
    <t>elmer@sindanorganic.com.bo</t>
  </si>
  <si>
    <t>sales@sinensistea.com</t>
  </si>
  <si>
    <t>sipso@hotmail.co.th</t>
  </si>
  <si>
    <t>office@odofarms.com</t>
  </si>
  <si>
    <t>sandip.patel@sltgroup.com</t>
  </si>
  <si>
    <t>andy@steveandandys.com</t>
  </si>
  <si>
    <t>tara@smirks.com</t>
  </si>
  <si>
    <t>gokorie@snackruptors.com</t>
  </si>
  <si>
    <t>laurentmamy63@gmail.com</t>
  </si>
  <si>
    <t>o.avendano.arriagada@gmail.com</t>
  </si>
  <si>
    <t>frido@quinuasaite.com.bo</t>
  </si>
  <si>
    <t>avargas@simsa.com.bo</t>
  </si>
  <si>
    <t>sceb.scoops@yahoo.com</t>
  </si>
  <si>
    <t>bouassida.hichem@stpa.diari.tn</t>
  </si>
  <si>
    <t>ali@gojibell.com</t>
  </si>
  <si>
    <t>office@sonfa.org</t>
  </si>
  <si>
    <t>ceo@sot-llc.com</t>
  </si>
  <si>
    <t>drs.tripathi@lnbgroup.com</t>
  </si>
  <si>
    <t>wolfgang@sousaribeiro.com.br</t>
  </si>
  <si>
    <t>office@southernbrownrice.com</t>
  </si>
  <si>
    <t>komal.jain@sowfresh.in</t>
  </si>
  <si>
    <t>soymaxbio@gmail.com</t>
  </si>
  <si>
    <t>liz@soyatech.com.au</t>
  </si>
  <si>
    <t>glendah@dellarice.com</t>
  </si>
  <si>
    <t>info@thespicehut.com</t>
  </si>
  <si>
    <t>frank@spiceworksintl.com</t>
  </si>
  <si>
    <t>ashish@spicyworldofusa.com</t>
  </si>
  <si>
    <t>kumar.k@srestaorgnaic.com</t>
  </si>
  <si>
    <t>rajseelam@srestaorganic.com; mrunal.l@srestaorganic.com</t>
  </si>
  <si>
    <t>felixho@sssvinegar.com</t>
  </si>
  <si>
    <t>qa@stcharlestrading.com</t>
  </si>
  <si>
    <t>edk_sami@myomnitel.com</t>
  </si>
  <si>
    <t>tractorbalerhay@yahoo.com</t>
  </si>
  <si>
    <t>cassandra@stahlbush.com</t>
  </si>
  <si>
    <t>stallioninternationaltrade@gmail.com</t>
  </si>
  <si>
    <t>sanjaysharma@starglobal.co.in; organic@starglobal.co.in</t>
  </si>
  <si>
    <t>zhuminggui@star-health.net</t>
  </si>
  <si>
    <t>starwalkerfarms@sisqtel.net</t>
  </si>
  <si>
    <t>arichards@stateslogistics.com</t>
  </si>
  <si>
    <t>stavyaagro@gmail.com</t>
  </si>
  <si>
    <t>stbcalidad@gmail.com</t>
  </si>
  <si>
    <t>tony@steeleandcompany.com</t>
  </si>
  <si>
    <t>organic@stellarorganics.com</t>
  </si>
  <si>
    <t>info@smallvalleymilling.com</t>
  </si>
  <si>
    <t>jacques@stellarorganics.co.za</t>
  </si>
  <si>
    <t>office@stengelgrain.com</t>
  </si>
  <si>
    <t>screscente@steubenfoods.com</t>
  </si>
  <si>
    <t>info@mckasklefamilyfarm.com</t>
  </si>
  <si>
    <t>sara@stiebrsfarms.com</t>
  </si>
  <si>
    <t>sales@stonehousegrain.com</t>
  </si>
  <si>
    <t>matt@stredwickfarms.com</t>
  </si>
  <si>
    <t>zero11209@hotmail.com</t>
  </si>
  <si>
    <t>enoel@stricksag.com</t>
  </si>
  <si>
    <t>stroots@juno.com</t>
  </si>
  <si>
    <t>starke47@gmail.com</t>
  </si>
  <si>
    <t>jonathan@miraclenoodle.com</t>
  </si>
  <si>
    <t>campoclarotomys@hotmail.com</t>
  </si>
  <si>
    <t>antonio@suchiar.com</t>
  </si>
  <si>
    <t>sudbeckdairy@gmail.com</t>
  </si>
  <si>
    <t>kyohei@sugimotousa.com</t>
  </si>
  <si>
    <t>lamander@sugrain.com.uy</t>
  </si>
  <si>
    <t>dannymamani@gmail.com</t>
  </si>
  <si>
    <t>w.zurita@sumajyapay.com, r.correa@sumajyapay.com</t>
  </si>
  <si>
    <t>christy@sunvalleyrice.com</t>
  </si>
  <si>
    <t>vikram@sunatura.in</t>
  </si>
  <si>
    <t>g.patel@suncofrenchie.com</t>
  </si>
  <si>
    <t>sales@sunorganicfarm.com</t>
  </si>
  <si>
    <t>ed.dubina@sunriseflourmill.com</t>
  </si>
  <si>
    <t>tstrohan@sunrisefoods.ca</t>
  </si>
  <si>
    <t>jbischoff@sunrisefoods.com</t>
  </si>
  <si>
    <t>gregoryhere123@gmail.com</t>
  </si>
  <si>
    <t>gdepaz@sunriseproduce.com</t>
  </si>
  <si>
    <t>yanan@sunshineproduceusa.com</t>
  </si>
  <si>
    <t>rbaxter@sunwestfoods.com</t>
  </si>
  <si>
    <t>organic@cfspecial.com</t>
  </si>
  <si>
    <t>andy@superiornaturalfoods.com</t>
  </si>
  <si>
    <t>cjfriedman@superiorpackgroup.com</t>
  </si>
  <si>
    <t>surya@surabhinaturals.com</t>
  </si>
  <si>
    <t>soysurata@gmail.com</t>
  </si>
  <si>
    <t>leslie@suresourceorganics.com</t>
  </si>
  <si>
    <t>contact@perfectearthfoods.com</t>
  </si>
  <si>
    <t>sirisuck.p@suwannaphumrice.com</t>
  </si>
  <si>
    <t>ashucot@yahooo.co.in</t>
  </si>
  <si>
    <t>ben@swampyhollowfarm.com</t>
  </si>
  <si>
    <t>sa_thelen@hotmail.com</t>
  </si>
  <si>
    <t>info@teavision.com.au</t>
  </si>
  <si>
    <t>mschultz@sylvaninc.com</t>
  </si>
  <si>
    <t>ddiehle@sylvaninc.com</t>
  </si>
  <si>
    <t>kemlyaspirt@inbox.ru; kozlova_ov@saranskiy.com</t>
  </si>
  <si>
    <t>admin@tajfoodpk.com</t>
  </si>
  <si>
    <t>doanvantai0972773555@gmail.com</t>
  </si>
  <si>
    <t>jim@tardellafoods.com</t>
  </si>
  <si>
    <t>wtrujillo@tarwicorp.com</t>
  </si>
  <si>
    <t>ajay.talwar@tastelfindfood.com; aftab.maniyar@tastelfinefood.com</t>
  </si>
  <si>
    <t>sandeep.pandey@tastybite.com</t>
  </si>
  <si>
    <t>tastyplusfoods@gmail.com</t>
  </si>
  <si>
    <t>christine@teaaroma.com</t>
  </si>
  <si>
    <t>songsaran@amrurice.com</t>
  </si>
  <si>
    <t>pinar@tekirdagun.com</t>
  </si>
  <si>
    <t>desk@terraingredients.com</t>
  </si>
  <si>
    <t>patty@seedsbydesign.com</t>
  </si>
  <si>
    <t>dennis@terrasoul.com</t>
  </si>
  <si>
    <t>ash5105@aol.com</t>
  </si>
  <si>
    <t>elitaseeds@gmail.com</t>
  </si>
  <si>
    <t>toftathailand@gmail.com</t>
  </si>
  <si>
    <t>nopparat.c@mama.co.th</t>
  </si>
  <si>
    <t>thanyaporn@thaiyokorei.co.th</t>
  </si>
  <si>
    <t>thamnongcharoensab.42@gmail.com</t>
  </si>
  <si>
    <t>sparkinson@arthurcompanies.com</t>
  </si>
  <si>
    <t>bmcfetridge@thebirkettmills.com</t>
  </si>
  <si>
    <t>mcasanova@chefswarehouse.com</t>
  </si>
  <si>
    <t>raguirre@chefswarehouse.com</t>
  </si>
  <si>
    <t>rdvargas@chefswarehouse.com</t>
  </si>
  <si>
    <t>esteinbeck@chefswarehouse.com</t>
  </si>
  <si>
    <t>kgarnett@chefswarehouse.com</t>
  </si>
  <si>
    <t>mavalos@chefswarehouse.com</t>
  </si>
  <si>
    <t>pmalcolm@chefswarehouse.com</t>
  </si>
  <si>
    <t>jascott@chefswarehouse.com</t>
  </si>
  <si>
    <t>swolfe@chefswarehouse.com</t>
  </si>
  <si>
    <t>kendubard@thecongareemillingcompany.com</t>
  </si>
  <si>
    <t>jcopher@delongcompany.com</t>
  </si>
  <si>
    <t>tom@essentialbaking.com</t>
  </si>
  <si>
    <t>sues@foodsourceinc.com</t>
  </si>
  <si>
    <t>david@thegreenlabs.com</t>
  </si>
  <si>
    <t>katy.kadlec@kroger.com</t>
  </si>
  <si>
    <t>info@mainepotatolady.com</t>
  </si>
  <si>
    <t>mike.anderson@mcgregor.com</t>
  </si>
  <si>
    <t>ngc@ngc-international.com</t>
  </si>
  <si>
    <t>service@theoldecraftbakery.com</t>
  </si>
  <si>
    <t>brianlai@theonlybean.com</t>
  </si>
  <si>
    <t>415263395@qq.com</t>
  </si>
  <si>
    <t>orders@plantgoodseed.com</t>
  </si>
  <si>
    <t>bhardy@scoular.com</t>
  </si>
  <si>
    <t>lhuerta@scoular.com</t>
  </si>
  <si>
    <t>troy@teffco.com</t>
  </si>
  <si>
    <t>sunsetranchoffice68@gmail.com</t>
  </si>
  <si>
    <t>info@threesisterspdx.com</t>
  </si>
  <si>
    <t>qa@thrivelife.com</t>
  </si>
  <si>
    <t>tom@thunderbirdcommodities.com</t>
  </si>
  <si>
    <t>chenye@chinagros.cn</t>
  </si>
  <si>
    <t>260457832@qq.com</t>
  </si>
  <si>
    <t>henrywah@gmail.com</t>
  </si>
  <si>
    <t>tiensvoldfarms@gmail.com</t>
  </si>
  <si>
    <t>mebtrading.organics@gmail.com</t>
  </si>
  <si>
    <t>jennifer.thompson@timelessfood.com</t>
  </si>
  <si>
    <t>milk4u@comcast.net</t>
  </si>
  <si>
    <t>ateisen@gwtc.net</t>
  </si>
  <si>
    <t>falak.ghori@tj-foods.com</t>
  </si>
  <si>
    <t>tom@thankfulharvest.com</t>
  </si>
  <si>
    <t>tholloway@comteck.com</t>
  </si>
  <si>
    <t>chrisccovelli@gmail.com</t>
  </si>
  <si>
    <t>rtoufayly@tootsi.com</t>
  </si>
  <si>
    <t>topherbs156@gmail.com</t>
  </si>
  <si>
    <t>solaoshebikan@tornandglasser.com</t>
  </si>
  <si>
    <t>eperez@norcafe.pe</t>
  </si>
  <si>
    <t>karie@greatlakestoll.com</t>
  </si>
  <si>
    <t>rrobinson@batoryfoods.com</t>
  </si>
  <si>
    <t>dook@toumi.com</t>
  </si>
  <si>
    <t>nguyenxuanthanh69@gmail.com</t>
  </si>
  <si>
    <t>hstrowman@traderjoes.com</t>
  </si>
  <si>
    <t>heather.slee@transchemical.com</t>
  </si>
  <si>
    <t>trentj14@hotmail.com</t>
  </si>
  <si>
    <t>sandersontrent@gmail.com</t>
  </si>
  <si>
    <t>certification@justorganik.com</t>
  </si>
  <si>
    <t>jhoppe@tribe9foods.com</t>
  </si>
  <si>
    <t>sknutson@trinidadbenham.com</t>
  </si>
  <si>
    <t>clevitt@trinidadbenham.com</t>
  </si>
  <si>
    <t>lnugent@cokefarm.com</t>
  </si>
  <si>
    <t>sandyh@triplebcorp.com</t>
  </si>
  <si>
    <t>chad@cknickels.com</t>
  </si>
  <si>
    <t>kayla@cknickels.com</t>
  </si>
  <si>
    <t>jksaf@nebnet.net</t>
  </si>
  <si>
    <t>info@trishyanatural.com</t>
  </si>
  <si>
    <t>danielle@troutlakefarm.com</t>
  </si>
  <si>
    <t>quality@trouw-buckwheat.nl</t>
  </si>
  <si>
    <t>maryam.nojoumi@hppfs.com</t>
  </si>
  <si>
    <t>raegan@trueleafmarket.com</t>
  </si>
  <si>
    <t>warren@truly-organics.com</t>
  </si>
  <si>
    <t>mchalmers888@gmail.com</t>
  </si>
  <si>
    <t>chris@tgcgrain.com</t>
  </si>
  <si>
    <t>phuong.cao@tvfood.com.vn</t>
  </si>
  <si>
    <t>mrthomaswhittle@gmail.com</t>
  </si>
  <si>
    <t>jimh@twinpeakstrading.com</t>
  </si>
  <si>
    <t>wendy@tyr-inc.com</t>
  </si>
  <si>
    <t>pranatda@ubonbioethanol.com</t>
  </si>
  <si>
    <t>jinnytwin@gmail.com</t>
  </si>
  <si>
    <t>urenaluis@uhtco.ca</t>
  </si>
  <si>
    <t>saumias@ultrapure-usa.com</t>
  </si>
  <si>
    <t>info.ucop@gmail.com</t>
  </si>
  <si>
    <t>martina.beraud@givaudan.com</t>
  </si>
  <si>
    <t>mjuamie@iffco.com</t>
  </si>
  <si>
    <t>SALES6@UNIQUEORGANICS.COM</t>
  </si>
  <si>
    <t>tkrause@unitedgrain.com</t>
  </si>
  <si>
    <t>chris@kanboo.net</t>
  </si>
  <si>
    <t>rwhite@unfi.com</t>
  </si>
  <si>
    <t>nop@unitedsafetyagents.com</t>
  </si>
  <si>
    <t>mark.park@usbakery.com</t>
  </si>
  <si>
    <t>tim@commoditymanagement.com.au</t>
  </si>
  <si>
    <t>thomas.molloy@maine.edu</t>
  </si>
  <si>
    <t>upnorthorganics@rrv.net</t>
  </si>
  <si>
    <t>briancampbell@uprisingorganics.com</t>
  </si>
  <si>
    <t>brian@uprisingorganics.com</t>
  </si>
  <si>
    <t>thanaporn@urmatt.com</t>
  </si>
  <si>
    <t>nbrammeier@italgraniusa.com</t>
  </si>
  <si>
    <t>amit@usflour.com</t>
  </si>
  <si>
    <t>rogerio.castro@dunorte.com</t>
  </si>
  <si>
    <t>ethan.parker@utk.edu</t>
  </si>
  <si>
    <t>sudarat.ducky11@gmail.com</t>
  </si>
  <si>
    <t>keshav.dev@uvrfoods.in</t>
  </si>
  <si>
    <t>vaishnavi.agroteche@gmail.com</t>
  </si>
  <si>
    <t>foodsafety@valleyproduce.com</t>
  </si>
  <si>
    <t>gerencia@valenco.com.ec</t>
  </si>
  <si>
    <t>nick@valleyrootsfoodhub.com</t>
  </si>
  <si>
    <t>eccamozzi@att.net</t>
  </si>
  <si>
    <t>cody@valleyviewmilling.com</t>
  </si>
  <si>
    <t>operations@vallon.in</t>
  </si>
  <si>
    <t>kamal@valuesorganics.com</t>
  </si>
  <si>
    <t>shyam@bhuminaturalfoods.com</t>
  </si>
  <si>
    <t>cal@vandaeleseeds.com</t>
  </si>
  <si>
    <t>vandanaorganictrade@gmail.com</t>
  </si>
  <si>
    <t>jvz400@aol.com</t>
  </si>
  <si>
    <t>christelle@vanille-labelle.com</t>
  </si>
  <si>
    <t>vipul@vantagegroup.nl</t>
  </si>
  <si>
    <t>matheus.gouveia@vapza.com.br</t>
  </si>
  <si>
    <t>marketing@soil.co.za</t>
  </si>
  <si>
    <t>jon@ventureheritagefarm.com</t>
  </si>
  <si>
    <t>fran@venuswafers.com</t>
  </si>
  <si>
    <t>akearns@veritablevegetable.com</t>
  </si>
  <si>
    <t>verocaquegua@gmail.com</t>
  </si>
  <si>
    <t>hungnv@vanthuong.com.vn</t>
  </si>
  <si>
    <t>ngan@viet-haus.com</t>
  </si>
  <si>
    <t>organicsoul.manoj@gmail.com</t>
  </si>
  <si>
    <t>soledad.pradoc@gmail.com</t>
  </si>
  <si>
    <t>nganlk@tanlongrice.vn</t>
  </si>
  <si>
    <t>vien.n@vinamit.com.vn</t>
  </si>
  <si>
    <t>vreseis@icloud.com</t>
  </si>
  <si>
    <t>claudiavitelli@vitellifoods.com</t>
  </si>
  <si>
    <t>maria@vivanaturals.com</t>
  </si>
  <si>
    <t>volkmannjb@volkmann.com.br</t>
  </si>
  <si>
    <t>vtfagri@gmail.com</t>
  </si>
  <si>
    <t>bgroves@wfware.com</t>
  </si>
  <si>
    <t>cwalkerbrosgrain@icloud.com</t>
  </si>
  <si>
    <t>wallinorganicfarm@gmail.com</t>
  </si>
  <si>
    <t>juliel@walong.com</t>
  </si>
  <si>
    <t>inquiry@wanjashan.com</t>
  </si>
  <si>
    <t>wofa.org24@gmail.com</t>
  </si>
  <si>
    <t>efrain.avendano@solidfood.global</t>
  </si>
  <si>
    <t>info@wataniaagri.com</t>
  </si>
  <si>
    <t>skim@wefarmorganics.com</t>
  </si>
  <si>
    <t>bwwegman1020@gmail.com</t>
  </si>
  <si>
    <t>glenn.holmes@wegmans.com</t>
  </si>
  <si>
    <t>mark@weinlaederseed.com</t>
  </si>
  <si>
    <t>earlc@wellingtonfoods.com</t>
  </si>
  <si>
    <t>laneawells@gmail.com</t>
  </si>
  <si>
    <t>jswellsand5@gmail.com</t>
  </si>
  <si>
    <t>kbailey@westernfoodsco.com</t>
  </si>
  <si>
    <t>dmorrison@westernmilling.com</t>
  </si>
  <si>
    <t>nick@wmgcoop.com</t>
  </si>
  <si>
    <t>jquinn@wet-noses.com</t>
  </si>
  <si>
    <t>certifications@wholefoods.com</t>
  </si>
  <si>
    <t>whitegold006@gmail.com</t>
  </si>
  <si>
    <t>fkapp@wholealternatives.com</t>
  </si>
  <si>
    <t>wangxue@wholefoodglutenfree.com</t>
  </si>
  <si>
    <t>matthew@shumei.us</t>
  </si>
  <si>
    <t>jmagnuson@wilburellis.com</t>
  </si>
  <si>
    <t>druhkamp@wildhorseseeds.com</t>
  </si>
  <si>
    <t>zora@wildzora.com</t>
  </si>
  <si>
    <t>nic@wildlyorganic.com</t>
  </si>
  <si>
    <t>raylbwilliams@gmail.com</t>
  </si>
  <si>
    <t>wilsonfeedlot@hughes.net</t>
  </si>
  <si>
    <t>calidad@wishboneorganics.com</t>
  </si>
  <si>
    <t>dianamoore@woebermustard.com</t>
  </si>
  <si>
    <t>xjzhou@wontonfood.com</t>
  </si>
  <si>
    <t>jim@woodprairie.com</t>
  </si>
  <si>
    <t>csolis@woodlandfoods.com</t>
  </si>
  <si>
    <t>jdhay73@hotmail.com</t>
  </si>
  <si>
    <t>mmccullough@unfi.com</t>
  </si>
  <si>
    <t>workwell333@gmail.com</t>
  </si>
  <si>
    <t>drichter@worldfiner.com</t>
  </si>
  <si>
    <t>ktoering@purisfoods.com</t>
  </si>
  <si>
    <t>brianr@melissas.com</t>
  </si>
  <si>
    <t>mkullik@worlee.de</t>
  </si>
  <si>
    <t>martin@wunderfood.com</t>
  </si>
  <si>
    <t>BILL@POLYNICEMATCHA.COM</t>
  </si>
  <si>
    <t>xiajin112233@163.com</t>
  </si>
  <si>
    <t>xjqsch@sina.com</t>
  </si>
  <si>
    <t>produccion@agriprocessperu.com</t>
  </si>
  <si>
    <t>664241895@qq.com</t>
  </si>
  <si>
    <t>shenaz.dwipa@gmail.com</t>
  </si>
  <si>
    <t>kimhw099@hanmail.net</t>
  </si>
  <si>
    <t>liuhai@wilmar-intl.com</t>
  </si>
  <si>
    <t>370378216@qq.com</t>
  </si>
  <si>
    <t>jack@organicsunshinefoods.com</t>
  </si>
  <si>
    <t>marco22barbi@hotmail.com</t>
  </si>
  <si>
    <t>yostfarms4230@gmail.com</t>
  </si>
  <si>
    <t>natasha@zegofoods.com</t>
  </si>
  <si>
    <t>martha.hernandez@zhiusa.com</t>
  </si>
  <si>
    <t>sales@awsumorganics.com</t>
  </si>
  <si>
    <t>jwzhang401@163.com</t>
  </si>
  <si>
    <t>mzimba734@gmail.com</t>
  </si>
  <si>
    <t>mnorman@zorocopackaging.com</t>
  </si>
  <si>
    <t>Website URL</t>
  </si>
  <si>
    <t>www.1000springsmill.com</t>
  </si>
  <si>
    <t>grandcru.farm</t>
  </si>
  <si>
    <t>http://www.zerega.com</t>
  </si>
  <si>
    <t>www.accrice.com</t>
  </si>
  <si>
    <t>www.aceendico.com</t>
  </si>
  <si>
    <t>https://www.southernexposure.com/</t>
  </si>
  <si>
    <t>www.adamsaustralia.com.au</t>
  </si>
  <si>
    <t>www.adamsgrp.com</t>
  </si>
  <si>
    <t>www.acornvt.org/foodhub</t>
  </si>
  <si>
    <t>www.organicsoyindia.com</t>
  </si>
  <si>
    <t>http://www.agricor.org</t>
  </si>
  <si>
    <t>http://www.agroecology.in.ua</t>
  </si>
  <si>
    <t>www.allingredientsplus.com</t>
  </si>
  <si>
    <t>https://www.akccommodities.com/</t>
  </si>
  <si>
    <t>http://www.algarasspices.com/</t>
  </si>
  <si>
    <t>www.alseed.com</t>
  </si>
  <si>
    <t>www.algrointernational.com</t>
  </si>
  <si>
    <t>www.allamericanhay.com</t>
  </si>
  <si>
    <t>www.allstartrading.com</t>
  </si>
  <si>
    <t>https://www.altattarim.com/</t>
  </si>
  <si>
    <t>www.jollytime.com</t>
  </si>
  <si>
    <t>www.boxedgreens.com</t>
  </si>
  <si>
    <t>http://www.amrurice.com.kh</t>
  </si>
  <si>
    <t>amycel.com</t>
  </si>
  <si>
    <t>www.ancientagro.com</t>
  </si>
  <si>
    <t>http://www.ancientbrands.com/</t>
  </si>
  <si>
    <t>https://www.ancientgrains.com/</t>
  </si>
  <si>
    <t>www.andeanvalley.com</t>
  </si>
  <si>
    <t>www.anniesheirloomseeds.com</t>
  </si>
  <si>
    <t>www.apotecbay.com</t>
  </si>
  <si>
    <t>https://www.ardentmills.com/</t>
  </si>
  <si>
    <t>www.andeannaturals.com</t>
  </si>
  <si>
    <t>https://arizonagrain.com</t>
  </si>
  <si>
    <t>https://armadafoods.com/tr</t>
  </si>
  <si>
    <t>http://www.aromeya.com</t>
  </si>
  <si>
    <t>www.artisanspecialty.com</t>
  </si>
  <si>
    <t>www.artisantropic.com</t>
  </si>
  <si>
    <t>www.askaegaardorganicfarm.com</t>
  </si>
  <si>
    <t>www.aslanbrewing.com</t>
  </si>
  <si>
    <t>https://www.apreqc.com/</t>
  </si>
  <si>
    <t>www.aspenmoonfarm.com</t>
  </si>
  <si>
    <t>www.associatedfeed.com</t>
  </si>
  <si>
    <t>www.atalantacorp.com</t>
  </si>
  <si>
    <t>www.auroramillandfarm.com</t>
  </si>
  <si>
    <t>www.auroraproduct.com</t>
  </si>
  <si>
    <t>www.austerfoods.com</t>
  </si>
  <si>
    <t>www.avtnatural.com</t>
  </si>
  <si>
    <t>www.axiomfoods.com</t>
  </si>
  <si>
    <t>http://azurestandard.com</t>
  </si>
  <si>
    <t>www.backroadsgranola.com</t>
  </si>
  <si>
    <t>www.baersbest.com</t>
  </si>
  <si>
    <t>www.baltoro-llc.com</t>
  </si>
  <si>
    <t>www.baraleinc.com</t>
  </si>
  <si>
    <t>http://www.barhyte.com</t>
  </si>
  <si>
    <t>bartonspringsmill.com</t>
  </si>
  <si>
    <t>baudererpackaging.com</t>
  </si>
  <si>
    <t>www.baxtersna.com</t>
  </si>
  <si>
    <t>https://baystatemilling.com/</t>
  </si>
  <si>
    <t>www.baystatemilling.com</t>
  </si>
  <si>
    <t>www.beckmannsbakery.com</t>
  </si>
  <si>
    <t>http://www.beechnut.com</t>
  </si>
  <si>
    <t>www.bcpackaging.com</t>
  </si>
  <si>
    <t>www.pennerfarms.com</t>
  </si>
  <si>
    <t>www.bergin.com</t>
  </si>
  <si>
    <t>www.berglundnaturalfoods.com</t>
  </si>
  <si>
    <t>https://betterbodyfoods.com/</t>
  </si>
  <si>
    <t>https://bg-organics.com</t>
  </si>
  <si>
    <t>meadowlarkorganics.com</t>
  </si>
  <si>
    <t>biggreenorganic.com</t>
  </si>
  <si>
    <t>www.biopanax.com</t>
  </si>
  <si>
    <t>http://xn--bioanadolutarm-igc.com/</t>
  </si>
  <si>
    <t>www.biocmex.com</t>
  </si>
  <si>
    <t>http://www.biomesorganic.com</t>
  </si>
  <si>
    <t>http://biopeks.com/</t>
  </si>
  <si>
    <t>www.bixbychocolate.com</t>
  </si>
  <si>
    <t>https://www.blackband-distillery.com/</t>
  </si>
  <si>
    <t>www.blackcatboulder.com/our-farm/overview/</t>
  </si>
  <si>
    <t>www.blackbirdrise.com</t>
  </si>
  <si>
    <t>www.blendpak.com</t>
  </si>
  <si>
    <t>www.blountseafood.com</t>
  </si>
  <si>
    <t>blueskynutrition.com</t>
  </si>
  <si>
    <t>www.bluebirdgrainfarms.com</t>
  </si>
  <si>
    <t>https://www.bobsredmill.com/</t>
  </si>
  <si>
    <t>www.bolkemiller.com</t>
  </si>
  <si>
    <t>http://www.bontoux.com</t>
  </si>
  <si>
    <t>breslinfarms.com</t>
  </si>
  <si>
    <t>http://www.qualityorganic.com</t>
  </si>
  <si>
    <t>www.bridgewellab.com</t>
  </si>
  <si>
    <t>www.brightwood.farm</t>
  </si>
  <si>
    <t>www.bakewithbrolite.com</t>
  </si>
  <si>
    <t>www.brunosbreads.com</t>
  </si>
  <si>
    <t>http://www.burpee.com</t>
  </si>
  <si>
    <t>www.roeper.de</t>
  </si>
  <si>
    <t>www.powellmay.com</t>
  </si>
  <si>
    <t>www.c3seeds.com</t>
  </si>
  <si>
    <t>iqfworld.com</t>
  </si>
  <si>
    <t>www.californiacereal.com</t>
  </si>
  <si>
    <t>www.admiralmaltings.com</t>
  </si>
  <si>
    <t>caminodepaz.net</t>
  </si>
  <si>
    <t>www.cargill.com</t>
  </si>
  <si>
    <t>www.carlbrandt.com</t>
  </si>
  <si>
    <t>https://www.cdgroup.co.za/</t>
  </si>
  <si>
    <t>www.cfspecial.com</t>
  </si>
  <si>
    <t>http://www.cavasdelvalle.cl</t>
  </si>
  <si>
    <t>http://www.cederbos.co.za</t>
  </si>
  <si>
    <t>www.cemre.com.tr</t>
  </si>
  <si>
    <t>https://centralmilling.com/</t>
  </si>
  <si>
    <t>www.centralmilling.com</t>
  </si>
  <si>
    <t>https://www.cvacoop.com/</t>
  </si>
  <si>
    <t>www.cv-ag.com</t>
  </si>
  <si>
    <t>www.kandarianorganicfarms.com</t>
  </si>
  <si>
    <t>www.massaorganics.com</t>
  </si>
  <si>
    <t>https://cibodivino-us.com/</t>
  </si>
  <si>
    <t>www.cloverfieldfarm.us</t>
  </si>
  <si>
    <t>https://columbiagrain.com/</t>
  </si>
  <si>
    <t>https://sejum.com/es/principal/</t>
  </si>
  <si>
    <t>www.delizia.bo</t>
  </si>
  <si>
    <t>www.conwayfeedinc.com</t>
  </si>
  <si>
    <t>www.weshipproduce.com</t>
  </si>
  <si>
    <t>countryvalleyfarm.com</t>
  </si>
  <si>
    <t>www.creamofthewest.com</t>
  </si>
  <si>
    <t>www.crestfoods.com</t>
  </si>
  <si>
    <t>http://www.organicvalley.coop</t>
  </si>
  <si>
    <t>cruxingredients.com</t>
  </si>
  <si>
    <t>www.crystalspringcsa.com</t>
  </si>
  <si>
    <t>www.cssnaturals.com</t>
  </si>
  <si>
    <t>http://www.gatewayfarmplymouth.com</t>
  </si>
  <si>
    <t>www.daabon.com/australia/</t>
  </si>
  <si>
    <t>www.dailyharvest.com</t>
  </si>
  <si>
    <t>www.chefswarehouse.com</t>
  </si>
  <si>
    <t>http://sd-pheasanthunting.com</t>
  </si>
  <si>
    <t>www.organicspring.cn</t>
  </si>
  <si>
    <t>damascusbakery.com</t>
  </si>
  <si>
    <t>www.dan-d-pak.com</t>
  </si>
  <si>
    <t>holtheritage.com</t>
  </si>
  <si>
    <t>daylightpapcking.com</t>
  </si>
  <si>
    <t>www.sfoglini.com</t>
  </si>
  <si>
    <t>www.deepharvestfarm.com</t>
  </si>
  <si>
    <t>delandbakery.com</t>
  </si>
  <si>
    <t>www.altalenawholesale.com</t>
  </si>
  <si>
    <t>dempseyfood.com</t>
  </si>
  <si>
    <t>www.dgglobal.ca</t>
  </si>
  <si>
    <t>www.dipasa.com</t>
  </si>
  <si>
    <t>www.dixonseed.com</t>
  </si>
  <si>
    <t>www.djanit.co</t>
  </si>
  <si>
    <t>http://www.dkgseedfarms.com/</t>
  </si>
  <si>
    <t>www.doguets.com</t>
  </si>
  <si>
    <t>www.paicinesranch.com</t>
  </si>
  <si>
    <t>doudlahfarms.com</t>
  </si>
  <si>
    <t>www.flackers.com</t>
  </si>
  <si>
    <t>lacrossedistilling.co/</t>
  </si>
  <si>
    <t>https://www.duronco.com/</t>
  </si>
  <si>
    <t>http://www.dutchamerican.com</t>
  </si>
  <si>
    <t>www.oakhousebakery.com</t>
  </si>
  <si>
    <t>https://earltrucking.com/</t>
  </si>
  <si>
    <t>www.earlybirdnc.com</t>
  </si>
  <si>
    <t>https://earthsuppliedproducts.com/</t>
  </si>
  <si>
    <t>https://earthlygourmet.com</t>
  </si>
  <si>
    <t>www.eastwestbotanical.com</t>
  </si>
  <si>
    <t>www.echo4eggs.com</t>
  </si>
  <si>
    <t>ecoandino.com/es/inicio/</t>
  </si>
  <si>
    <t>https://absolute.ag</t>
  </si>
  <si>
    <t>www.edenfoods.com</t>
  </si>
  <si>
    <t>www.eelriverbrewing.com</t>
  </si>
  <si>
    <t>https://ecoturca.com/</t>
  </si>
  <si>
    <t>www.elite-ingredients.com</t>
  </si>
  <si>
    <t>www.ellingsonelevator.com</t>
  </si>
  <si>
    <t>www.emerlinginternational.com</t>
  </si>
  <si>
    <t>www.eba.com.bo</t>
  </si>
  <si>
    <t>http://www.enerhealthbotanicals.com</t>
  </si>
  <si>
    <t>www.engelbertfarms.com</t>
  </si>
  <si>
    <t>www.gwrice.com</t>
  </si>
  <si>
    <t>www.essexfoodingredients.com</t>
  </si>
  <si>
    <t>www.eurocrop.com</t>
  </si>
  <si>
    <t>www.everspringfarms.ca</t>
  </si>
  <si>
    <t>www.fwcobs.com</t>
  </si>
  <si>
    <t>https://fairsharefarmmaine.com</t>
  </si>
  <si>
    <t>falkseed.com</t>
  </si>
  <si>
    <t>www.farwestrice.com</t>
  </si>
  <si>
    <t>farmrunners.com</t>
  </si>
  <si>
    <t>www.farmergroundflour.com</t>
  </si>
  <si>
    <t>www.ottosenelevator.com</t>
  </si>
  <si>
    <t>www.farmersgrainelevator.com</t>
  </si>
  <si>
    <t>https://feralfarmseeds.com/</t>
  </si>
  <si>
    <t>www.finnriver.com</t>
  </si>
  <si>
    <t>firebrandbread.com</t>
  </si>
  <si>
    <t>www.flexfoodsltd.com</t>
  </si>
  <si>
    <t>www.petersoncheese.com</t>
  </si>
  <si>
    <t>www.flyloongtech.com</t>
  </si>
  <si>
    <t>www.foodforlife.com</t>
  </si>
  <si>
    <t>www.frankferd.com</t>
  </si>
  <si>
    <t>freedomfoodfarm.com</t>
  </si>
  <si>
    <t>www.freedom-foods.com</t>
  </si>
  <si>
    <t>www.sanfrancisco.freshpoint.com</t>
  </si>
  <si>
    <t>www.freshpoint.com/southflorida/</t>
  </si>
  <si>
    <t>www.socal.freshpoint.com</t>
  </si>
  <si>
    <t>friederichsseed.com</t>
  </si>
  <si>
    <t>http://www.fritolay.com</t>
  </si>
  <si>
    <t>www.fromthefields.net</t>
  </si>
  <si>
    <t>www.frontieragco.com</t>
  </si>
  <si>
    <t>www.fst-gr.com</t>
  </si>
  <si>
    <t>www.fullbellyfarm.com</t>
  </si>
  <si>
    <t>www.fungi.com</t>
  </si>
  <si>
    <t>www.wellafoods.com</t>
  </si>
  <si>
    <t>www.thorpesorganicfamilyfarm.com</t>
  </si>
  <si>
    <t>www.generalmills.com</t>
  </si>
  <si>
    <t>www.delallo.com</t>
  </si>
  <si>
    <t>www.gfihay.com</t>
  </si>
  <si>
    <t>https://www.gianfortefarm.com/</t>
  </si>
  <si>
    <t>www.giantjones.com</t>
  </si>
  <si>
    <t>www.watson-inc.com</t>
  </si>
  <si>
    <t>https://glaserorganicfarms.com/</t>
  </si>
  <si>
    <t>https://www.glintglobal.com/spanish/</t>
  </si>
  <si>
    <t>www.globalresourcesdirect.com</t>
  </si>
  <si>
    <t>www.globalsterilization.com</t>
  </si>
  <si>
    <t>glorybee.com</t>
  </si>
  <si>
    <t>www.gmp-nutraceuticals.com</t>
  </si>
  <si>
    <t>www.goldcrust.com</t>
  </si>
  <si>
    <t>http://www.goldmedalbakery.com</t>
  </si>
  <si>
    <t>https://goldenplatter.com</t>
  </si>
  <si>
    <t>www.fallenoakmycology.com</t>
  </si>
  <si>
    <t>hmart.com</t>
  </si>
  <si>
    <t>www.grandyorganics.com</t>
  </si>
  <si>
    <t>www.grayresearchproduction.com</t>
  </si>
  <si>
    <t>www.grazn.com</t>
  </si>
  <si>
    <t>www.greatwesternmalting.com</t>
  </si>
  <si>
    <t>www.countrymaltgroup.com</t>
  </si>
  <si>
    <t>www.wwproduce.com</t>
  </si>
  <si>
    <t>greensupreme.net</t>
  </si>
  <si>
    <t>www.ingredientsonline.com</t>
  </si>
  <si>
    <t>http://www.greenfield.com</t>
  </si>
  <si>
    <t>www.calorganicfarms.com</t>
  </si>
  <si>
    <t>www.grimmway.com</t>
  </si>
  <si>
    <t>https://www.grindstonebakery.com</t>
  </si>
  <si>
    <t>www.gromaine.com</t>
  </si>
  <si>
    <t>www.growwellorganic.com</t>
  </si>
  <si>
    <t>www.gryffonridge.com</t>
  </si>
  <si>
    <t>www.gulfpac.com</t>
  </si>
  <si>
    <t>www.generalmarineservices.com</t>
  </si>
  <si>
    <t>http://www.harvestfoodgroup.com</t>
  </si>
  <si>
    <t>www.hawriverwineman.com</t>
  </si>
  <si>
    <t>www.hawkinsinc.com</t>
  </si>
  <si>
    <t>www.heartlandgourrmet.com</t>
  </si>
  <si>
    <t>www.heartlandorganics.farm</t>
  </si>
  <si>
    <t>https://heincke.co/es/</t>
  </si>
  <si>
    <t>www.123dough.com</t>
  </si>
  <si>
    <t>www.hqorganics.com</t>
  </si>
  <si>
    <t>https://www.highlandfoods.pe/</t>
  </si>
  <si>
    <t>www.homewardbountyfarm.com</t>
  </si>
  <si>
    <t>hummingbirdwholesale.com</t>
  </si>
  <si>
    <t>honeyrocklanding.com</t>
  </si>
  <si>
    <t>http://www.hopworksbeer.com</t>
  </si>
  <si>
    <t>http://www.lahuertadelhuairao.cl</t>
  </si>
  <si>
    <t>https://www.hudsonvalleyhopsandgrains.com/</t>
  </si>
  <si>
    <t>www.joelsorganics.com</t>
  </si>
  <si>
    <t>www.isifol.com</t>
  </si>
  <si>
    <t>www.tillotarim.com.tr</t>
  </si>
  <si>
    <t>drystorageco.com</t>
  </si>
  <si>
    <t>https://imepex.com/es/</t>
  </si>
  <si>
    <t>https://www.imperfectfoods.com/</t>
  </si>
  <si>
    <t>www.incamystic.com</t>
  </si>
  <si>
    <t>www.idp-laos.com</t>
  </si>
  <si>
    <t>www.ingardiabros.com</t>
  </si>
  <si>
    <t>https://www.innovatefood.com/</t>
  </si>
  <si>
    <t>www.intelligentsiacoffee.com</t>
  </si>
  <si>
    <t>www.internationalharvest.com</t>
  </si>
  <si>
    <t>https://intlloft.com/</t>
  </si>
  <si>
    <t>http://www.ipmfoods.com</t>
  </si>
  <si>
    <t>ironoxfarming.com</t>
  </si>
  <si>
    <t>www.irupanabio.com</t>
  </si>
  <si>
    <t>www.italianproducts.com</t>
  </si>
  <si>
    <t>https://izmir-organic.com/index.html</t>
  </si>
  <si>
    <t>www.jjtortillas.com</t>
  </si>
  <si>
    <t>jisabolivia.com</t>
  </si>
  <si>
    <t>www.organicfruitsandnuts.com</t>
  </si>
  <si>
    <t>https://vandanaorganictrade.com</t>
  </si>
  <si>
    <t>www.themillatjaniesfarm.com</t>
  </si>
  <si>
    <t>www.jasmergroup.com</t>
  </si>
  <si>
    <t>http://jcbflavors.com/</t>
  </si>
  <si>
    <t>https://jfc.com/#/</t>
  </si>
  <si>
    <t>www.tesserafoods.com</t>
  </si>
  <si>
    <t>www.jianmarfoods.com</t>
  </si>
  <si>
    <t>www.deweifood.com</t>
  </si>
  <si>
    <t>www.delbosquefarms.com</t>
  </si>
  <si>
    <t>https://www.kaiamerica.com/</t>
  </si>
  <si>
    <t>www.kehe.com</t>
  </si>
  <si>
    <t>www.keithlywilliams.com</t>
  </si>
  <si>
    <t>www.kemin</t>
  </si>
  <si>
    <t>kayco.com</t>
  </si>
  <si>
    <t>https://www.khongguan.com/</t>
  </si>
  <si>
    <t>http://www.kingsproducts.co.za</t>
  </si>
  <si>
    <t>www.kinualive.com</t>
  </si>
  <si>
    <t>www.kodafarms.com</t>
  </si>
  <si>
    <t>www.kovaldistillery.com</t>
  </si>
  <si>
    <t>lmcompanies.com</t>
  </si>
  <si>
    <t>www.hearneco.com</t>
  </si>
  <si>
    <t>www.lamilinaise.com</t>
  </si>
  <si>
    <t>www.lakevieworganicgrain.com</t>
  </si>
  <si>
    <t>www.leachlogistics.com</t>
  </si>
  <si>
    <t>www.organicsbylee.com/</t>
  </si>
  <si>
    <t>lehivalley.com</t>
  </si>
  <si>
    <t>www.foodtolive.com</t>
  </si>
  <si>
    <t>www.lifegivingseeds.com</t>
  </si>
  <si>
    <t>www.lillysfamilyfoods.com</t>
  </si>
  <si>
    <t>lincolntransloadpro.com</t>
  </si>
  <si>
    <t>www.livingtreecommunity.com</t>
  </si>
  <si>
    <t>www.ukrbioland.com</t>
  </si>
  <si>
    <t>https://lomocold.com/</t>
  </si>
  <si>
    <t>www.lotfotl.com</t>
  </si>
  <si>
    <t>lovebirdfoods.com</t>
  </si>
  <si>
    <t>www.splitrockdistilling.com</t>
  </si>
  <si>
    <t>www.lundberg.com</t>
  </si>
  <si>
    <t>www.lyftcommodity.com</t>
  </si>
  <si>
    <t>www.mandldivisions.com</t>
  </si>
  <si>
    <t>www.goldenbarrel.com</t>
  </si>
  <si>
    <t>www.mainegrains.com</t>
  </si>
  <si>
    <t>www.majotrading.com</t>
  </si>
  <si>
    <t>www.maltwerks.com</t>
  </si>
  <si>
    <t>http://www.marinfoods.com/</t>
  </si>
  <si>
    <t>https://marshhenmill.com/</t>
  </si>
  <si>
    <t>martingroupllc.com</t>
  </si>
  <si>
    <t>www.martyslocal.com</t>
  </si>
  <si>
    <t>http://www.marukan-usa.com</t>
  </si>
  <si>
    <t>meadowlarkmill.com</t>
  </si>
  <si>
    <t>www.memfairway.com</t>
  </si>
  <si>
    <t>www.midwestgrass.com</t>
  </si>
  <si>
    <t>www.milkspecialties.com</t>
  </si>
  <si>
    <t>www.millbornseeds.com</t>
  </si>
  <si>
    <t>https://millpressimports.com/login/?redirect_to=/</t>
  </si>
  <si>
    <t>https://mindfulfoods.com.au/?srsltid=afmboooe_bmmexjbsjphgqnselx9avsi9nldbgptwnuz1abixm31xgjy</t>
  </si>
  <si>
    <t>www.mistybrook.com</t>
  </si>
  <si>
    <t>http://www.modestomilling.com</t>
  </si>
  <si>
    <t>www.mondelezinternational.com/</t>
  </si>
  <si>
    <t>https://montanaflour.com/</t>
  </si>
  <si>
    <t>montanaglutenfree.com</t>
  </si>
  <si>
    <t>www.montanamilling.com</t>
  </si>
  <si>
    <t>www.morrisonsfeeds.com</t>
  </si>
  <si>
    <t>www.wheatandgrain.com</t>
  </si>
  <si>
    <t>www.motherjungleherbs.com</t>
  </si>
  <si>
    <t>https://wheatlandseed.com/</t>
  </si>
  <si>
    <t>http://www.mountainroseherbs.com</t>
  </si>
  <si>
    <t>https://www.mudrunfarmorganics.com/</t>
  </si>
  <si>
    <t>www.mycological.com</t>
  </si>
  <si>
    <t>www.myersproduce.com</t>
  </si>
  <si>
    <t>http://www.namar.com/</t>
  </si>
  <si>
    <t>https://agrilatin.com/</t>
  </si>
  <si>
    <t>www.nashsorganicproduce.com</t>
  </si>
  <si>
    <t>www.natpackaging.com</t>
  </si>
  <si>
    <t>www.naturaloriginsperu.com</t>
  </si>
  <si>
    <t>www.natsprout.com</t>
  </si>
  <si>
    <t>www.naturalvalue.com</t>
  </si>
  <si>
    <t>www.naturebiofoods.organic</t>
  </si>
  <si>
    <t>www.naturenatesllc.com</t>
  </si>
  <si>
    <t>https://naturespath.com/</t>
  </si>
  <si>
    <t>www.newhopemills.com</t>
  </si>
  <si>
    <t>http://www.newhorizonfoodsinc.com</t>
  </si>
  <si>
    <t>http://www.newseasonsmarket.com</t>
  </si>
  <si>
    <t>www.nuts.com</t>
  </si>
  <si>
    <t>www.nextgenfoods.com</t>
  </si>
  <si>
    <t>nationalfarmers.com</t>
  </si>
  <si>
    <t>www.nicksorganicfarm.com</t>
  </si>
  <si>
    <t>www.nopploy.com</t>
  </si>
  <si>
    <t>www.northcentralco.com</t>
  </si>
  <si>
    <t>www.ndinnovations.com</t>
  </si>
  <si>
    <t>www.northspore.com</t>
  </si>
  <si>
    <t>www.nwgrgr.com</t>
  </si>
  <si>
    <t>www.nwwildfoods.com</t>
  </si>
  <si>
    <t>https://www.nowfoods.com/</t>
  </si>
  <si>
    <t>www.nulifemarket.com</t>
  </si>
  <si>
    <t>www.happyfamilyorganics.com</t>
  </si>
  <si>
    <t>https://nutraceuticalsgroup.com</t>
  </si>
  <si>
    <t>www.nutrasunfoods.com</t>
  </si>
  <si>
    <t>www.nutsola.com</t>
  </si>
  <si>
    <t>buygreenfit.com</t>
  </si>
  <si>
    <t>www.o2organik.com</t>
  </si>
  <si>
    <t>www.oasis-oasisfamily.com</t>
  </si>
  <si>
    <t>www.olyrafoods.com</t>
  </si>
  <si>
    <t>www.omfoods.com</t>
  </si>
  <si>
    <t>onceuponafarmorganics.com</t>
  </si>
  <si>
    <t>www.emsherbals.com</t>
  </si>
  <si>
    <t>www.organicmattersranch.com</t>
  </si>
  <si>
    <t>www.organic-partners.com</t>
  </si>
  <si>
    <t>www.organicproshop.com</t>
  </si>
  <si>
    <t>www.organicqualityfood.com</t>
  </si>
  <si>
    <t>www.organicwellness.com</t>
  </si>
  <si>
    <t>www.organic-way.com</t>
  </si>
  <si>
    <t>www.otismcallister.com</t>
  </si>
  <si>
    <t>https://otsorganik.com/tr/</t>
  </si>
  <si>
    <t>https://ofdusa.com/</t>
  </si>
  <si>
    <t>www.devrijmoerkapelle.nl</t>
  </si>
  <si>
    <t>www.pratithiorganic.com</t>
  </si>
  <si>
    <t>www.panaceaingredients.com</t>
  </si>
  <si>
    <t>www.panhandlemilling.com</t>
  </si>
  <si>
    <t>www.phmbrands.com</t>
  </si>
  <si>
    <t>www.parchem.com</t>
  </si>
  <si>
    <t>www.partnerscrackers.com</t>
  </si>
  <si>
    <t>www.wildlybelovedfoods.com</t>
  </si>
  <si>
    <t>www.apolistea.com</t>
  </si>
  <si>
    <t>http://www.barbet.com.ua</t>
  </si>
  <si>
    <t>www.pedon.it</t>
  </si>
  <si>
    <t>www.auntmillies.com</t>
  </si>
  <si>
    <t>www.peruvianbiofoods.com</t>
  </si>
  <si>
    <t>https://peruviannature.com/es/</t>
  </si>
  <si>
    <t>senecagrainandbean.com</t>
  </si>
  <si>
    <t>https://www.pgpint.com</t>
  </si>
  <si>
    <t>http://www.philamacaroni.com</t>
  </si>
  <si>
    <t>www.pieranch.org</t>
  </si>
  <si>
    <t>https://www.facebook.com/plackeorganicmilksoap/</t>
  </si>
  <si>
    <t>www.pleasantgrovefarms.com</t>
  </si>
  <si>
    <t>www.politfarms.com</t>
  </si>
  <si>
    <t>www.postconsumerbrands.com</t>
  </si>
  <si>
    <t>https://www.powergrowsystems.com/</t>
  </si>
  <si>
    <t>www.prccopack.com</t>
  </si>
  <si>
    <t>https://tastybite.com</t>
  </si>
  <si>
    <t>https://www.premiercooperative.com/</t>
  </si>
  <si>
    <t>www.prestonvineyards.com</t>
  </si>
  <si>
    <t>www.proactusa.com</t>
  </si>
  <si>
    <t>www.schullo.com.ec</t>
  </si>
  <si>
    <t>www.proharvestseeds.com</t>
  </si>
  <si>
    <t>www.pennypackerpackaging.com</t>
  </si>
  <si>
    <t>www.purelyelizabeth.com</t>
  </si>
  <si>
    <t>www.purisfoods.com</t>
  </si>
  <si>
    <t>www.puris.com</t>
  </si>
  <si>
    <t>http://www.orientaltx.com/</t>
  </si>
  <si>
    <t>http://www.1st-break.com</t>
  </si>
  <si>
    <t>https://www.qualitysupplier.pe/</t>
  </si>
  <si>
    <t>www.quinoabol.com</t>
  </si>
  <si>
    <t>https://www.quinoafoods.com/</t>
  </si>
  <si>
    <t>www.rrcultivation.com</t>
  </si>
  <si>
    <t>https://vandrunenfarms.com</t>
  </si>
  <si>
    <t>www.rainierorganicbakery.com</t>
  </si>
  <si>
    <t>rallentipasta.com</t>
  </si>
  <si>
    <t>www.rapidorganic.com</t>
  </si>
  <si>
    <t>www.ray-mont.com</t>
  </si>
  <si>
    <t>https://rcnimports.com/</t>
  </si>
  <si>
    <t>www.redhenbaking.com</t>
  </si>
  <si>
    <t>www.redoakfoods.net</t>
  </si>
  <si>
    <t>www.ucanr.edu</t>
  </si>
  <si>
    <t>www.regionalaccess.net</t>
  </si>
  <si>
    <t>www.ritikasglobalgrains.com</t>
  </si>
  <si>
    <t>ritrovo.com</t>
  </si>
  <si>
    <t>www.rivercountrycoop.com</t>
  </si>
  <si>
    <t>www.riversidefeeds.net</t>
  </si>
  <si>
    <t>http://riversidenaturalfoods.com/</t>
  </si>
  <si>
    <t>www.tsfoodpackaging.com</t>
  </si>
  <si>
    <t>www.rockfilterdistillery.com</t>
  </si>
  <si>
    <t>www.rogersfoods.com</t>
  </si>
  <si>
    <t>www.rivergardenfarms.com</t>
  </si>
  <si>
    <t>www.rtwlogistics.net</t>
  </si>
  <si>
    <t>www.rustedroosterfarm.com</t>
  </si>
  <si>
    <t>https://s-s-grains.business.site/</t>
  </si>
  <si>
    <t>www.storganics.net</t>
  </si>
  <si>
    <t>www.sagevfoods.com</t>
  </si>
  <si>
    <t>www.saltwaterseeds.com</t>
  </si>
  <si>
    <t>www.sanmikfood.com.au</t>
  </si>
  <si>
    <t>https://www.saporedellavita.com</t>
  </si>
  <si>
    <t>www.scenicfruit.com</t>
  </si>
  <si>
    <t>www.seasonfood.us</t>
  </si>
  <si>
    <t>https://www.floridacrystalscorp.com</t>
  </si>
  <si>
    <t>http://www.sensoryeffects.com</t>
  </si>
  <si>
    <t>www.shahtrading.com</t>
  </si>
  <si>
    <t>www.kingsoba.com</t>
  </si>
  <si>
    <t>www.sheppardgrain.com</t>
  </si>
  <si>
    <t>www.sentaiyuanbio.com</t>
  </si>
  <si>
    <t>http://sigmasvs.com/</t>
  </si>
  <si>
    <t>www.signaturesasia.com</t>
  </si>
  <si>
    <t>https://www.siha-afia.com/</t>
  </si>
  <si>
    <t>www.sinaiquinoa.com</t>
  </si>
  <si>
    <t>www.sinamcotrading.com</t>
  </si>
  <si>
    <t>www.sindanorganic.com.bo</t>
  </si>
  <si>
    <t>www.sinensistea.com</t>
  </si>
  <si>
    <t>odofarms.com</t>
  </si>
  <si>
    <t>www.skidmore-sales.com</t>
  </si>
  <si>
    <t>www.sltfoods.com</t>
  </si>
  <si>
    <t>www.steveandandys.com</t>
  </si>
  <si>
    <t>www.smirks.com</t>
  </si>
  <si>
    <t>www.quinuasaite.com.bo</t>
  </si>
  <si>
    <t>soyatech.com.au</t>
  </si>
  <si>
    <t>www.thespicehut.com</t>
  </si>
  <si>
    <t>www.spicyworldofusa.com</t>
  </si>
  <si>
    <t>www.stcharlestrading.com</t>
  </si>
  <si>
    <t>stamills.net/index.cfm</t>
  </si>
  <si>
    <t>http://www.stahlbush.com</t>
  </si>
  <si>
    <t>https://darsa-organics.com/</t>
  </si>
  <si>
    <t>starwalkerorganicfarms.com</t>
  </si>
  <si>
    <t>www.stateslogistics.com</t>
  </si>
  <si>
    <t>smallvalleymilling.com</t>
  </si>
  <si>
    <t>www.steubenfoods.com</t>
  </si>
  <si>
    <t>www.mckasklefamilyfarm.com</t>
  </si>
  <si>
    <t>www.stiebrsfarms.com</t>
  </si>
  <si>
    <t>www.stonehousegrain.com</t>
  </si>
  <si>
    <t>www.sferental.com</t>
  </si>
  <si>
    <t>https://stricksag.com/</t>
  </si>
  <si>
    <t>strictsag.com</t>
  </si>
  <si>
    <t>https://www.opencircleseeds.com/</t>
  </si>
  <si>
    <t>www.sunvalleyrice.com</t>
  </si>
  <si>
    <t>www.sunorganicfarm.com</t>
  </si>
  <si>
    <t>www.sunriseflourmill.com</t>
  </si>
  <si>
    <t>www.sunrisefoods.com</t>
  </si>
  <si>
    <t>https://www.sunrisefoods.com</t>
  </si>
  <si>
    <t>www.sunwestfoods.com</t>
  </si>
  <si>
    <t>www.suratasoy.com</t>
  </si>
  <si>
    <t>www.suresourcecommodities.com</t>
  </si>
  <si>
    <t>www.susgari.com</t>
  </si>
  <si>
    <t>www.teaaroma.com</t>
  </si>
  <si>
    <t>http://www.agmotion.com</t>
  </si>
  <si>
    <t>www.terraorganics.com</t>
  </si>
  <si>
    <t>www.terrasoul.com</t>
  </si>
  <si>
    <t>www.texasbestorganics.com</t>
  </si>
  <si>
    <t>arthurcompanies.com</t>
  </si>
  <si>
    <t>www.thebirkettmills.com</t>
  </si>
  <si>
    <t>https://www.chefswarehouse.com/</t>
  </si>
  <si>
    <t>https://thecongareemillingcompany.com</t>
  </si>
  <si>
    <t>www.delongcompany.com</t>
  </si>
  <si>
    <t>delongorganics.inetsg.net/</t>
  </si>
  <si>
    <t>www.essentialbaking.com</t>
  </si>
  <si>
    <t>www.thegreenlabs.com</t>
  </si>
  <si>
    <t>www.mainepotatolady.com</t>
  </si>
  <si>
    <t>www.mcgregor.com</t>
  </si>
  <si>
    <t>www.ngc-international.com</t>
  </si>
  <si>
    <t>www.theoldecraftbakery.com</t>
  </si>
  <si>
    <t>royd@teffco.com</t>
  </si>
  <si>
    <t>www.sunsetranchravendale.com</t>
  </si>
  <si>
    <t>https://www.thrivelife.com/</t>
  </si>
  <si>
    <t>www.tierrafarm.com</t>
  </si>
  <si>
    <t>https://www.timelessfood.com/</t>
  </si>
  <si>
    <t>tomatomountain.csaware.com/store/</t>
  </si>
  <si>
    <t>www.batoryfoods.com</t>
  </si>
  <si>
    <t>www.toumi.com</t>
  </si>
  <si>
    <t>www.tribe9foods.com</t>
  </si>
  <si>
    <t>www.trinidadbenham.com</t>
  </si>
  <si>
    <t>www.cokefarm.com</t>
  </si>
  <si>
    <t>www.cknickels.com</t>
  </si>
  <si>
    <t>www.troutlakefarm.com</t>
  </si>
  <si>
    <t>www.trouw-buckwheat.nl</t>
  </si>
  <si>
    <t>www.trueoriginfoods.com</t>
  </si>
  <si>
    <t>www.turrisitalianfoods.com</t>
  </si>
  <si>
    <t>www.tyr-inc.com</t>
  </si>
  <si>
    <t>https://bulkalcohol.com/</t>
  </si>
  <si>
    <t>http://www.ungererandcompany.com</t>
  </si>
  <si>
    <t>WWW.UNIQUEORGANICS.COM</t>
  </si>
  <si>
    <t>https://unitedgrain.com/</t>
  </si>
  <si>
    <t>www.unfi.com</t>
  </si>
  <si>
    <t>http://www.usbakery.com</t>
  </si>
  <si>
    <t>www.umaine.edu/wittercenter</t>
  </si>
  <si>
    <t>www.upnorthorganicbeans.com</t>
  </si>
  <si>
    <t>uprisingorganics.com</t>
  </si>
  <si>
    <t>http://east.tennessee.edu/organic_crops_unit.asp</t>
  </si>
  <si>
    <t>www.valleyviewmilling.com</t>
  </si>
  <si>
    <t>vandaeleseeds.com</t>
  </si>
  <si>
    <t>https://www.ventureheritagefarm.com/</t>
  </si>
  <si>
    <t>www.veritablevegetable.com</t>
  </si>
  <si>
    <t>https://www.viet-haus.com/</t>
  </si>
  <si>
    <t>http://www.vinaprado.com</t>
  </si>
  <si>
    <t>www.vreseis.com</t>
  </si>
  <si>
    <t>www.vivalabs.com</t>
  </si>
  <si>
    <t>www.wallinorganicfarm.com</t>
  </si>
  <si>
    <t>www.wanjashan.com</t>
  </si>
  <si>
    <t>https://watania-agri.com/</t>
  </si>
  <si>
    <t>www.wefarmorganics.com</t>
  </si>
  <si>
    <t>www.westernfoodsco.com</t>
  </si>
  <si>
    <t>www.westernmilling.com</t>
  </si>
  <si>
    <t>https://www.wmgcoop.com/</t>
  </si>
  <si>
    <t>www.wet-noses.com</t>
  </si>
  <si>
    <t>www.wheatfieldgrain.com</t>
  </si>
  <si>
    <t>wholesomeessence.com</t>
  </si>
  <si>
    <t>www.woodprairie.com</t>
  </si>
  <si>
    <t>www.worldfoodprocessing.com</t>
  </si>
  <si>
    <t>www.melissas.com</t>
  </si>
  <si>
    <t>www.zorocopackaging.com</t>
  </si>
  <si>
    <t xml:space="preserve">Additional Information </t>
  </si>
  <si>
    <t>Free text</t>
  </si>
  <si>
    <t>All products are certified in accordance with the terms of the US-Canada Organic Equivalency Arrangement</t>
  </si>
  <si>
    <t>Certified in accordance with the terms of the US-Canada Organic Equivalency Arrangement. 
        Refer to the OneCert Annex for a detailed list.</t>
  </si>
  <si>
    <t>At American Commodity Company, we believe in fulfilling two objectives; guaranteeing our customers with a reliable supply of high quality rice and to continuously develop and maintain premium markets to assure our growers competitive returns. We own and operate multiple drying and storage facilities that are strategically located in California’s rice-growing region and use the newest technology to give us the ability to deliver the highest quality finished product.
Visit the CCOF Member Directory to learn more: ccof.org/directory</t>
  </si>
  <si>
    <t>Products/services indicated with an asterisk (*) are certified in accordance with the terms of the US-Canada Organic Equivalency Arrangement.</t>
  </si>
  <si>
    <t>Learn More: www.aco.net.au</t>
  </si>
  <si>
    <t>Visit the CCOF Member Directory to learn more: ccof.org/directory</t>
  </si>
  <si>
    <t>Certified in accordance with the terms of the US-Canada Organic Equivalency Arrangement</t>
  </si>
  <si>
    <t>Certified in accordance with the terms of the U.S.-Canada Organic Equivalency Arrangement</t>
  </si>
  <si>
    <t>*Certified in accordance with the terms of the U.S.-Canada Organic Equivalency Arrangement: Chia, Kiwicha flour, Kiwicha grains, Quinoa, Quinoa Flake and Quinoa flour</t>
  </si>
  <si>
    <t>Certified in accordance with the terms of the US-Canada Organic Equivalency Arrangement.
    All products listed are USCOEA verified.</t>
  </si>
  <si>
    <t>Certified in accordance with the terms of the US-Canada Organic Equivalency Arrangement. For more details please see https://www.EASY-CERT.com/CH/71327</t>
  </si>
  <si>
    <t>Certified in accordance with the terms of the US-Canada Organic Equivalency Arrangement. COR equivalent products are identified on the client Addenda</t>
  </si>
  <si>
    <t>*Certified in accordance with the terms of the U.S.-Canada Organic Equivalency Arrangement: Cacao Nibs, Cacao Paste (Liquor), Cacao Powder, Dehydrated grain purple corn, Gelatinized maca powder, Lucuma Powder, Purple Corn Cob Powder, Purple corn grain powder, Yacon Powder, Yacon Syrup</t>
  </si>
  <si>
    <t>*Certified in accordance with the terms of the U.S.-Canada Organic Equivalency Arrangement</t>
  </si>
  <si>
    <t>Certified in accordance with the terms of the US-Canada Organic Equivalency Arrangement.
    Not all certified products have USCOEA verification. For details, request a copy of the OneCert Annex.</t>
  </si>
  <si>
    <t>Certified in accordance with the terms of the U.S.-Canada Organic Equivalence Arrangement</t>
  </si>
  <si>
    <t>Certified in accordance with the terms of the US-Canada Organic Equivalency Arrangement. For more details please see https://www.EASY-CERT.com/CH/CE-204711</t>
  </si>
  <si>
    <t>At All Ingredients Plus, we specialize in sourcing and selling all types of raw materials we can find. We are constantly searching the world for new and innovative products and utilize our vast network of suppliers to get you the lowest possible price for the quantity you need. We aim to provide our customers with the highest quality raw ingredients while delivering unmatched customer service.
Visit the CCOF Member Directory to learn more: ccof.org/directory</t>
  </si>
  <si>
    <t>Certified in accordance with the terms of the US-Canada Organic Equivalency Arrangement. For more details please see https://www.EASY-CERT.com/CH/CE-206867</t>
  </si>
  <si>
    <t>See addendum page(s) for list of specific products and brands, organic labeling categories, and Equivalencies</t>
  </si>
  <si>
    <t>This operation was certified by ICEA. ICEA reduced its certification services, and therefore this operation is transitioning to a new certifier. A certificate for this operation is not generated through the Organic Integrity Database (OID).</t>
  </si>
  <si>
    <t>The products are compliant with the US-Canada trade arrangement.</t>
  </si>
  <si>
    <t>Superficie en hectáreas = 1.50 Ha.</t>
  </si>
  <si>
    <t>At Ancient Agro, we are dedicated to reviving the lost and forgotten basic foods back into our food supply. We work hard to provide our customers with basic healthy foods in their original forms and work with famers to grow them in the appropriate regions.
Visit the CCOF Member Directory to learn more: ccof.org/directory</t>
  </si>
  <si>
    <t>Certified in accordance with the terms of the US-Canada Organic Equivalency Arrangement. For more details please see https://www.EASY-CERT.com/CH/CE-202149</t>
  </si>
  <si>
    <t>Certified in accordance with the terms of the U.S.-Canada Organic Equivalency Arrangement.</t>
  </si>
  <si>
    <t>Andean Naturals Quinoa is under the Ardent Mills, LLC pillar of the Annex. The Annex is cultivating the future of specialty grains and plant-based ingredients.
Visit the CCOF Member Directory to learn more: ccof.org/directory</t>
  </si>
  <si>
    <t>This operation was certified by ASCO. ASCO surrendered its accreditation as of March 16, 2025. Therefore, this operation is transferring to a new certifier.</t>
  </si>
  <si>
    <t>Following products certified in accordance with the terms of the US-Canada Organic equivalency arrangement: Barley, Bean Flour, Beans, Blue Poppy Seed, Brown Lentil, Bulghur, Chickpea Flour, Chickpeas, Corn Flour, Corn, Green Lentil, Red Football Lentil, Red Lentil Flour, Red Lentil, Soybean, Wheat, Whole Red Lentil, Yellow Lentil Flour, Yellow Lentil, Sesame Seed</t>
  </si>
  <si>
    <t>Aspen Moon Farm started in 2009 and consisted of 2.5 acres in Longmont, Colorado with 1 acre of cultivated vegetables. Now we are amazed by the ~90 acres in our care with approximately ~25 acres in production. We happily serve the Boulder County Farmers markets and are very proud of our CSA program (600+ in 2023) and our roadside Farm Stand in Longmont. Aspen Moon Farm is USDA Certified Organic so our produce is truly 100% natural and bee friendly. We work hard to provide our own on-farm fertility through biodynamic compost, cover cropping and crop rotation. All of our crops are carefully tended (many are hand-harvested) so you get the cleanest, freshest and most nutritious produce possible. Our crops include a wide range of seasonal vegetables, beautiful organic flowers, succulent berries and starter plans for your spring garden.
Visit the CCOF Member Directory to learn more: ccof.org/directory</t>
  </si>
  <si>
    <t>As awareness has grown regarding the benefits of organic food, Associated Feed recognized the need for a quality provider of organic livestock feed. Devoting one of our processing facilities entirely to producing USDA certified organic feed OrganIQ was established in 2006 and has grown into the largest certified organic feed mill in central California.
Our feed originates from ingredients grown under conditions that ensure only natural amendments are incorporated into the soil. Weed and pest control is accomplished through natural methods; no synthetic fertilizers or sprays are applied.
We process these natural organic ingredients into feeds for your livestock and poultry in a method that doesn’t compromise their nutrient value, thus providing our customers with feed that is organic in an intelligent way. Feeding OrganIQ to their livestock gives our customers the edge with a smarter way of thinking about livestock diets.
Visit the CCOF Member Directory to learn more: ccof.org/directory</t>
  </si>
  <si>
    <t>We are an intentionally small company committed to helping companies bring quality Superfoods to health seekers worldwide.
Auster Foods supplies packers and manufacturers in the sports and health food industry with Organic, Gluten-Free, Non-GMO ingredients including Chia Seeds, Quinoa Grains, Hemp Seeds, Maca Root Powder, Cacao Nibs, Cacao Powder, and many more.
Since it’s creation in 2012 the company has been active in +20 countries and continues to expand.
Visit the CCOF Member Directory to learn more: ccof.org/directory</t>
  </si>
  <si>
    <t>*All products are certified in accordance with the terms of the US-Canada Organic Equivalency Arrangement</t>
  </si>
  <si>
    <t>Our mission is to provide quality and safe food and ingredients to our retail and commercial customers. We source our products from the best grounds of the world. Baltoro and Primal Harvest is a registered trade mark of Baltoro LLC.
Visit the CCOF Member Directory to learn more: ccof.org/directory</t>
  </si>
  <si>
    <t>Our focus is in providing value added feed products to the commercial industry including horse, sheep, cattle and other livestock. Our products include premium feeds as well as high quality simple grains. All of our feeds are formulated to supply the optimal nutrients and vitamins that your animals require.
Visit the CCOF Member Directory to learn more: ccof.org/directory</t>
  </si>
  <si>
    <t>We provide products that are made to satisfy those who appreciate the very best in stone milled whole grain products. Although we are small in size, we offer a wide selection of grains used in our products.
Visit the CCOF Member Directory to learn more: ccof.org/directory</t>
  </si>
  <si>
    <t>Our breads have such a distinctive flavor because of the long, traditional fermentation process we use. We do not use any GMOs or chemical additives to add flavor, add shelf life, of speed up the production process. At our bakery, you can taste the honesty we put in our products and see the passion that results from it.
Visit the CCOF Member Directory to learn more: ccof.org/directory</t>
  </si>
  <si>
    <t>All products are certified in accordance with the terms of the US-Canada Organic Equivalency Arrangement (Black Paddy, Chili (Chili, PAPRIKA), Glutinous Paddy, Paddy, Pepper, Red kidney bean, Red Paddy, Safflowers (Safflowers seed), Sweet potato (sweet potato), Turnip, Black rice, Black rice flour, Broken rice, Brown rice, Glutinous rice, Glutinous rice flour (Also called: Tangyuan powder), Red rice, Rice, Rice bran, Rice bran oil, Rice flour, Rice hull, Rice hull flour)</t>
  </si>
  <si>
    <t>At Bell Cater Packaging, we focus on finding solutions from everything to ongoing packaging to seasonal and short-term production requirements. Having a team of packing experts allows us to guarantee we can answer any question you ask us and that we can offer excellent customer service.
Visit the CCOF Member Directory to learn more: ccof.org/directory</t>
  </si>
  <si>
    <t>See addendum for list of specific products and brands</t>
  </si>
  <si>
    <t>Berglund Natural Foods is a California-based family business that specializes in providing manufactures, processors, and private label companies with organic and specialty grains including rice and rice flour. From the ground to the table, we work on a sustainable program emphasizing organically grown products.
Visit the CCOF Member Directory to learn more: ccof.org/directory</t>
  </si>
  <si>
    <t>We offer the best all-natural foods you can think of including stone ground tortilla chips, hearty breakfast breads, petite cinnamon rolls, and much more!
Visit the CCOF Member Directory to learn more: ccof.org/directory</t>
  </si>
  <si>
    <t>Certified in accordance with the terms of the US-Canada Organic Equivalency Arrangement. For more details please see https://www.EASY-CERT.com/CH/CE-207444</t>
  </si>
  <si>
    <t>Mandator: Om Sisodiya (I&amp;A Foundation)</t>
  </si>
  <si>
    <t>Following products certified in accordance with the terms of the US-Canada Organic equivalency arrangement: Almond, Anıse, Apple Juice Concentrate, Apple Vinegar, Apple, Apricot Kernel, Apricot Kernel(Without Shell), Apricot, Aspir, Barley, Bay, Bean, Black Cumin Seed, Black Cumin, Broad Bean, Broken Hazelnut Kernel, Brown Lentil, Bulgur, Cabbage, Carob,Carrots, Cherry Seed, Cherry, Chickpea, Clover, Concentrate Apple, Concentrate Sour Cherry, Corn Flour, Corn, Cucumber, Cumin, Diced Dried Aprıcot, Diced Dried Fig, Diced Dried Plum, Dried Aprıcot, Dried Apple, Dried Apricot Paste, Dried Banana, Dried Blackberry, Dried Blueberrıes, Dried Cherrıes, Dried Fıg Paste, Dried Fıg, Dried Fruit Seed, Dried Herbs, Dried Mandarin, Dried Mullberry, Dried Orange, Dried Peach, Dried Pear, Dried Plum Paste, Dried Pomegranate, Dried Prune Paste, Dried Quince, Dried Raspberry, Dried Sour Cherry Paste, Dried Sour Cherry, Dried Spices, Dried Tomatoes, Fennel, Flax, Flaxseed, Garlic, Grape Vinegar, Green Bean, Green Lentil, Iqf Apple Diced Sliced, Iqf Apple, Iqf Apricot, Iqf Beans, Iqf Broccoli, Iqf Cherry, Iqf Chickpeas, Iqf Corn, Iqf Fig, Iqf Lentils, Iqf Orange, Iqf Pear, Iqf Plum, Iqf Pomegaranate, Iqf Sour Cherry, Iqf Spinach, Iqf Strawberry, Iqf Sweetcherries, Macar Vetch, Meadow Grass, Medlar, Melon, Mullberry, Oat, Onion, Patatoes, Pea, Peach, Pepper, Pinenuts, Pistachio, Plum, Pomegranate Juice Concentrate, Poppy, Poppyseed, Prune Paste, Prune, Pumpkin, Raisin, Red Lentil(Football and Split), Rice Flour, Root Dried, Rosehip, Rye, Safflower, Sesame, Sillage Corn, Sour Cherry, Sourcherry Seed, Soy, Soybean Meal, Soybean, Strawberry, Sugar Beet, Sultana Raisin, Sunflower Oil, Sunflower Seed, Thompson Raisin, Thyme, Tomatoes, Triticale, Turnip, Vetch, Walnut, Watermelon, Yellow Lentil,Wheat, Blackberry, Black Mulberry, Blueberries, Mulberry, Raspberry, Rosehip, Bay, Chaste tree, Cystus, Linden, Liquorice, Oregano, Sage, Thyme, Capers, Coriander, Rosemary, Sumac, Zahter</t>
  </si>
  <si>
    <t>* = Certified in accordance with the terms of the U.S.-Canada Organic Equivalency Arrangement</t>
  </si>
  <si>
    <t>Following products certified in accordance with the terms of the US-Canada Organic equivalency arrangement: Apples, Apple Juice Concentrate, Apricot Kernel Without Shell, Apricot Kernel, Apricot, Barley, Black Fig, Broccoli,  Capia Pepper, Cauliflower, Cherry, Chestnut, Dried Apricot, Dried Fig, Dried Tomatoes, Eggplant, Grape, Green Fig, Green Lentils, Iqf Frozen Apple,Iqf Frozen Apricot, Iqf Frozen Beans, Iqf Frozen Broccoli, Iqf Frozen Corn, Iqf Frozen Lentils, Iqf Frozen Orange, Iqf Frozen Plum, Iqf Frozen Pomegranates, Iqf Frozen Sour Cherries, Iqf Frozen Strawberry, Onion, Pepper, Pistachio, Plum, Pomegranate Juice Concentrate, Poppy Seed, Raisin, Sour Cherry, Sunflowers, Strawberry, Tomato, Wheat, Paddy, Iqf Onion, Plum kernel, Grape kernel, Sour cherry kernel, Iqf Grape, Iqf Pepper Capia, Iqf Green Fig, Iqf Black Fig, Kale Sprouts, Leek,  Mandarin,  Onion, Orange, Pear, Pomegranate, Quince</t>
  </si>
  <si>
    <t>All products are certified in accordance with the terms of the US-Canada Organic Equivalency Arrangement*</t>
  </si>
  <si>
    <t>Learn more at www.aco.net.au</t>
  </si>
  <si>
    <t>This operation was certified by NCO. NCO surrendered its accreditation, and therefore this operation is transitioning to a new certifier.</t>
  </si>
  <si>
    <t>*Certified in accordance with the terms of the US-Canada Organic Equivalency Arrangement; 
See addendum page(s) for organic labeling categories and list of specific products and brands</t>
  </si>
  <si>
    <t>The following products are certified in accordance with the terms of the U.S.-Canada Organic Equivalency Arrangement: Soybean Seed: BG31a, BG34a, BG28a, BG39a, Food Grade Soybeans: BG31a, BG34a, BG28a, BG39a, W294</t>
  </si>
  <si>
    <t>We want to be the first 100% organic bakery in Indiana. We eat totally organic and wish to give the best organic bread to our customers.
Visit the CCOF Member Directory to learn more: ccof.org/directory</t>
  </si>
  <si>
    <t>Certified in accordance with the terms of the US-Canada Organic Equivalency Arrangement. For more details please see https://www.EASY-CERT.com/CH/CE-201821</t>
  </si>
  <si>
    <t>We are your local partner with global reach for your IQF bulk ingredient needs.
Visit the CCOF Member Directory to learn more: ccof.org/directory</t>
  </si>
  <si>
    <t>Content Manufacturing
Visit the CCOF Member Directory to learn more: ccof.org/directory</t>
  </si>
  <si>
    <t>Admiral Maltings produces premium malt for craft brewers and distillers. We have partnered with family farms throughout California to grow top quality, sustainably farmed barley. The malting facility also features an onsite restaurant and pub for the public to experience the malting process and taste the beers and spirits made with our malt.
Visit the CCOF Member Directory to learn more: ccof.org/directory</t>
  </si>
  <si>
    <t>Certified in accordance with the terms of the U.S.-Canada Organic Equivalency Arragement</t>
  </si>
  <si>
    <t>Camino de Paz is a produce and dairy farm with bakery and processed foods divisions and an affiliated Montessori Seconday School.
Visit the CCOF Member Directory to learn more: ccof.org/directory</t>
  </si>
  <si>
    <t>Sites: L&amp;L: 1, 3, 5, 7, 10, 11, 12, 13, 16, 17, 19, 20, 21, 22, 23, 25, 26, 27
Threemile: 74, 110, 111, 112, 113, 114, 115, 116,117, 118, 119, 120, 121,122, 123,124, 125, 126, 126N, 127, 128, 129, 130, 131, 132, 133, 134, 135,136, 137,138, 139, 140,141, 142, 143, 144,145, 146, 147, 148, 149,150, 151, 217, 218, 512, 601, 602, 603, 604, 605, 608, 609, 610, 611, 612, 613, 614, 615, 616, 617, 619, 620, 621, 622, 623, 624, 625, 626, 627, 628, 629, 634, 635, 636, 637, 638, 639, 640, 641, 642, 643, 644, 645, 646, 647, 648, 649, 650, 651, 652, 654, 655, 656, 657, 658, 659, 660, 661, 765, 766, 767, 768, 769, 770, 771, 772, 773, 774, 775, 776, 777, 778, 779, 780, 781, 782, 783, 784, 785, 786, 787. The following products are certified in accordance with the terms of the U.S.-Canada Organic Equivalency Arrangement.</t>
  </si>
  <si>
    <t>Central Milling is the oldest operating company in Utah that has continually been providing the finest quality flour to homes and bakeries across the United States. Even though we have experience in farming, milling and baking, we still have a lot to learn about our business and our customers.
Visit the CCOF Member Directory to learn more: ccof.org/directory</t>
  </si>
  <si>
    <t>Certified in accordance with the terms of the US-Canada Organic Equivalency Arrangement.</t>
  </si>
  <si>
    <t>Located on California's beautiful Central Coast, we provide exquisite organically &amp; sustainably grown food to like-minded folks. We grow organically certified ancient grains &amp; seeds, herbs, spices, peas &amp; beans, and gourmet pollens.  No GMO's. No funny business. We believe in simple, healthful, local food, fresh from our fields to your kitchen.
Our grower is Larry Kandarian, the man with a mission.  A farmer for over 30 years, he never stops moving and doing. From mechanical engineering to the flower seed business to sustainable, organic, Earth-friendly farming, he is a wealth of knowledge and a passionate steward of the land.
Visit the CCOF Member Directory to learn more: ccof.org/directory</t>
  </si>
  <si>
    <t>The following products are certified in accordance with the terms of the U.S.-Canada Organic Equivalency Arrangement: Yellow corn, Soybeans</t>
  </si>
  <si>
    <t>Massa Organics started with the desire to stop spraying poison on our food. Little by little we converted our land to organic rice production. Since then we have grown and now offer almonds, mandarins, and a variety of produce and animals to aid in our push for organic food.
Visit the CCOF Member Directory to learn more: ccof.org/directory</t>
  </si>
  <si>
    <t>Certified in accordance with the terms of the US-Canada Organic Equivalency Arrangement.
        All products listed are USCOEA verified.</t>
  </si>
  <si>
    <t>Area in Ha = 58.70</t>
  </si>
  <si>
    <t>Certified Facilities located in Conrad, Chinook, Choteau, Havre and Plentywood Montana</t>
  </si>
  <si>
    <t>Producción vegetal total =   117.481,82 Ha</t>
  </si>
  <si>
    <t>Certified in accordance with the terms of the US-Canada Organic Equivalency Arrangement. For more details please see https://www.EASY-CERT.com/CH/CE-200029</t>
  </si>
  <si>
    <t>Superficie total: 104,46 ha, para cultivos distribuidos en:
Chía (Salvia hispanica L.) = 34,15 ha.
Kiwicha (Amaranthus caudatus) = 1,10 ha.
Quinua (Chenopodium quinoa) = 20,50 ha.
Avena (Avena sativa) = 2,45 ha.
Trigo Centeno (Secale cereale L.) = 1,50 ha.
Lenteja (Lens culinaris) = 0,70 ha.
Arveja (Pisum sativum) = 4,40 ha.
Frejol (Phaseolus vulgaris) = 6,65 ha.
Tarwi (Lupinus mutabilis) = 2,85 ha.
Garbanzo (Cicer arietinum) = 0,30 ha.
Haba (Vicia faba) = 1,70 ha.
Maiz (Zea mays) = 5,40 ha.
Tara (Caesalpinia spinosa) = 3,22 ha.
Tuna (Opuntia ficus indica Mili) = 13,45 ha.
Lucuma (Pouteria lucuma) = 0,71 ha.
Palto (Persea americana) = 5,38 ha.</t>
  </si>
  <si>
    <t>The following products are certified in accordance with the terms of the U.S.-Canada Organic Equivalency Arrangement: Grain storage, Screening storage</t>
  </si>
  <si>
    <t>The following products are certified in accordance with the terms of the U.S.-Canada Organic Equivalency Arrangement: Grain Storage, Bean Storage</t>
  </si>
  <si>
    <t>The following products are certified in accordance with the terms of the U.S.-Canada Organic Equivalency Arrangement: Soft white wheat, Soft white wheat screenings, Soybeans, Soybean screenings, Black beans</t>
  </si>
  <si>
    <t>Certified in accordance with the terms of the US-Canada Organic Equivalency Arrangement. For more details please see https://www.EASY-CERT.com/CH/CE-208484</t>
  </si>
  <si>
    <t>The following products are certified in accordance with the terms of the U.S.-Canada Organic Equivalency Arrangement: Beans: Black, Navy, Pinto, Light red kidney, Dark red kidney, Cranberry, Small red, Pink, Garbanzo, Tri Blend, Great Northern, White Kidney</t>
  </si>
  <si>
    <t>We are a small family farm located on the north-eastern edge of Ann Arbor, MI. Established in November 2017, we follow traditional regenerative agriculture practices. Our focus is on growing healthy food and being good stewards of the land.
There is a great diversity of wildlife and nature on our farm, and we are passionate about keeping it this way. Country Valley Farm is deeply committed to sustainable agriculture. We are proud to have our farm be a positive contributor to our community, environment, and ecosystem.
Visit the CCOF Member Directory to learn more: ccof.org/directory</t>
  </si>
  <si>
    <t>Certified in accordance with the terms of the US-Canada Organic Equivalency Arrangement. For more details please see https://www.EASY-CERT.com/CH/CE-207535</t>
  </si>
  <si>
    <t>Certified in accordance with the terms of the US-Canada Organic Equivalency Arrangement (Soybean, Pinto bean (Also called: Light speckled kidney bean), White kidney bean, Lentil, Adzuki bean, Red kidney bean (Also called: Dark red kidney bean), Mung bean, Black turtle bean (Also called: Black kidney beans), Barley, Wheat, Oat, Millet, Peeled mung bean (Also called: Hulled mung bean), Dehulled soybean (Also called: Soybean hulled), Hulled millet (Also called: Non-sticky millet), Corn, Walnut kernels, Peanut kernels, Sunflower kernel, Pumpkin seed kernel, Watermelon seed kernel, Pinenut kernels, Pumpkin seed kernel GWS, Buckwheat kernel, Goji berries dried, Raisins, Flax seed, Sesame, Peanut, Rapeseed, Pea protein, Soybean lecithin powder, Wheat flour, Buckwheat flour, Brown rice protein, Brown Rice Protein Powder, Soybean oil, Concentrated soybean protein, Black and brown rice (Also called: Forbidden rice; Black rice) ramen/noodles/pasta, Broccoli Rice ramen/noodles/pasta, Brown rice and purple potato ramen/noodles/pasta, Brown rice flour, Brown rice ramen/noodles/pasta, Buckwheat ramen noodles, Buckwheat ramen/noodles/pasta, Corn flour, Corn ramen/noodles/pasta, Forbidden rice (Also called: Black rice) flour, Glutinous rice flour, Gojiberry rice ramen/noodles/pasta, Millet ramen (Also called: Millet and brown rice) ramen/noodles/pasta, Purple sweet potato and millet ramen/noodles/pasta, Quinoa and brown rice ramen/noodles/pasta, Quinoa and rice ramen/noodles/pasta, Rice flour, Yam root rice ramen/noodles/pasta, Green soybean (Also called: Soya bean/bean;) Edamame lasagna, Liviva angel hair edamame pasta, Soybean (Also called: Soya bean/bean) lasagna, Soybean (Also called: Soya bean/bean) pasta/noodles/spaghetti/linguine/fettuccine/instant noodles ribbon cut pasta, Organic Pumpkin Protein Powder , Organic Perilla Protein Powder, Organic Hempseed Protein Powder , Hempseed Protein Powder , Organic Flaxseed Protein Powder, Organic Sunflower Protein Powder, Organic Watermelon Seed Protein powder, Hulled hemp seed, Mung bean protein, Fructose Syrup（Rice/Brown Rice), Glucose Syrup（Rice/Brown Rice), Isomaltooligasaccharide Syrup（Rice/Brown Rice, Malt syrup（Rice/Brown Rice, rice protein powder , Vital Wheat Gluten, Apple juice, Apple juice concentrate, Erythritol, Wheat gluten meal, Flaxseed meal, Rape seed meal, Sunflower meal, Soybean meal (Also called: Soy/Soya meal; Soy/Soya/Soybean cake; Soy/Soya/Soybean expeller), Distillers dried grain with solubles (DDGS), Soybean oil crude, Flaxseed oil, Sesame oil, Rapeseed oil, Sunflower oil, Sunflower oil crude)</t>
  </si>
  <si>
    <t>Certified in accordance with the terms of the US-Canada Organic Equivalency Arrangement*</t>
  </si>
  <si>
    <t>All products are certified in accordance with the terms of the US-Canada Organic Equivalency Arrangement *</t>
  </si>
  <si>
    <t>The following products are certified in accordance with the terms of the US-Canada Organic equivalency arrangement: Distiller's dried grain with solubles (DDGS), Sticky hulled, Adzuki beans, Black kidney bean, Black rice, Black soybean, Black soybean with green kernels, Black soybean with yellow kernel , Blended feed pellets, Brown rice, Brown rice flour, Buckwheat, Buckwheat flour, Buckwheat husk, Buckwheat kernel (Hulled buckwheat; buckwheat groats), Chick peas protein, Coix seed kernel, Corn, Corn flour, Corn gluten meal, Cowpea, Cracked corn, Cracked soybean, Fava protein, Flax cake, Flax meal, Flax seed, Glutinous rice, Goji berry, Hemp seed, Hulled adzuki beans, Hulled Hemp seed , Hulled mung bean, Hulled Mung bean, Lentil, Light speckled kidney bean (Speckled kidney bean), millet (also called glutinous millet)", Millet (Hulled millet), Millet flour, Mung bean, Mung bean protein, Oat flour, Oat kernel, Oats, Pea, Pea fiber, Pea protein, Pea protein (textured), Pea starch, Pinenut kernel, Pumpkin seed, Pumpkin seed cake/meal/expeller, Pumpkin seed kernel, Pumpkin seed shine skin kernel , Red kidney bean(Dark red kidney bean), Roasted buckwheat kernel, Roasted soybean, Sorghum, Soy protein isolated, Soybean, Soybean crude oil, Soybean hulled, Soybean meal (Soybean expeller; Soybean cake), Soybean oil, soybean powder, soybean protein, Soybean protein concentrate, Soybean protein textured, Sunflower kernel, Sunflower seed cake/meal/expeller, Wheat flour, White kidney beans</t>
  </si>
  <si>
    <t>All products are certified in accordance with the terms of the US-Canada Organic Equivalency Arrangement (Barley, Buckwheat, Flaxseed, Garden peas, High oil sunflower seeds, Oat, Sunflower seeds)</t>
  </si>
  <si>
    <t>The following products are certified in accordance with the terms of the US-Canada Organic equivalency arrangement: Flax seed, Mungbean, Oat grass, Pea, Rapessed, Sunflower seed, Wheat, Wheat straw.</t>
  </si>
  <si>
    <t>Sites: AgriNorthwest Washington: 127, 128 ,131, 134, 135, 136, 398, 443, 444, 527, 636, 647
AgriNorthwest Oregon: 462, 588, 589, 590, 591, 592, 593, 594 
Madison: 49, 100, 102, 103, 104, 105, 106, 108, 109, 110, 118
Noble Road 1, 2, 3, 4 
Windblown: 104, 302, 304, 401. STORAGE: Grain Storage: Baker Lane: 68852 Baker Lane, Ione OR 97843, Echo Shop Storage: 75264 White House Echo OR 97826 The following products are certified in accordance with the terms of the U.S.-Canada Organic Equivalency Arrangement:</t>
  </si>
  <si>
    <t>Once famous for out world-class cashews, our company has expanded and now operates in six countries and our products reach as far as Australia. Our products are different than the rest because our commitment to quality, customers, consumers and the community.
Visit the CCOF Member Directory to learn more: ccof.org/directory</t>
  </si>
  <si>
    <t>We offer the finest food ingredients with a focus on organic superfoods imported directly from their sources. Our products stem from all over the world with an emphasis on Latin American products. By offering a variety of different superfoods and working closely with the sources they come from, we can promise you high quality products made with humane and environmentally friendly methods. 
Starting February 2014 we now offer private label service for our products.
Visit the CCOF Member Directory to learn more: ccof.org/directory</t>
  </si>
  <si>
    <t>Certified in accordance with the terms of the US-Canada Organic Equivalency Arrangement. For more details please see https://www.EASY-CERT.com/CH/CE-208358</t>
  </si>
  <si>
    <t>At Dixon Seeds, we provide a wide variety of open pollinated, hybrid vegetable and vine seeds to domestic and international customers. Our seed production, seed multiplication and seed conditioning services ensure a reliable source of seeds year after year.
Visit the CCOF Member Directory to learn more: ccof.org/directory</t>
  </si>
  <si>
    <t>The products are certified in accordance with the terms of the U.S.-Canada Organic Equivalency Arrangement.</t>
  </si>
  <si>
    <t>Doguet's is the oldest certified organic rice mill in Texas and the first source for organic rice seed in the United States. Doguet's sells organic long, medium, and basmati rice.
Visit the CCOF Member Directory to learn more: ccof.org/directory</t>
  </si>
  <si>
    <t>Our ranch produces 100% free range grass fed beef and host a variety events including wedding and corporate events. Our ranch supports a wide variety of birds, plants and animals. Our intention is to preserve and enhance both the natural and man-made features of the ranch and make them accessible to visitors.
Visit the CCOF Member Directory to learn more: ccof.org/directory</t>
  </si>
  <si>
    <t>All products/services listed are certified in accordance with the terms of the US-Canada Organic Equivalency Arrangement.</t>
  </si>
  <si>
    <t>Certified in accordance with the terms of the US-Canada Organic Equivalency Arrangement.
 All products listed are USCOEA verified.</t>
  </si>
  <si>
    <t>Early Bird Farm and Mill partners with organic growers in Northern California to produce premium stone ground grain products for our region.
Visit the CCOF Member Directory to learn more: ccof.org/directory</t>
  </si>
  <si>
    <t>Certified in accordance with the terms of the US-Canada Organic Equivalency Arrangement. For more details please see https://www.EASY-CERT.com/CH/CE-207880</t>
  </si>
  <si>
    <t>Certified in accordance with the terms of the US-Canada Organic Equivalency Arrangement.
    All products listed are USCOEA verified. 
NPOP-NOP (Handling/Trading) certified by Aditi Organic Certifications Pvt. Ltd. Tracenet Registration: ORG-1812-002604</t>
  </si>
  <si>
    <t>Certified in accordance with the terms of the U.S.-Canada Organic Equivalency Arrangement (USCOEA).</t>
  </si>
  <si>
    <t>Since 1995, Eel River Brewing Company has been winning the hearts of our customers as well as the awards at competitions. With interesting flavors like our Acai Berry Wheat Ale and eye-catching names like our strongest beer, the Triple Exultation, we have been dedicated to making great organic beers that simply reflect our hard work and enthusiasm for our product. We take pride in being not only the first organic California, but also in America and want to share the success our craft brewery has had.
Visit the CCOF Member Directory to learn more: ccof.org/directory</t>
  </si>
  <si>
    <t>Following products certified in accordance with the terms of the US-Canada Organic equivalency arrangement:  Almond, Barley, Bean, Black Beans, Black Cumin, Black Eye Beans, Bread Wheat, Brown Flaxseed, Buckwheat Hulled, Buckwheat, Bulghur, Chickpeas Broken, Chickpeas Flour, Chickpeas, Corn (Popcorn), Corn Flour, Corn, Durum Wheat Flour, Durum Wheat, Flaxseed Oil, Gold Flaxseed (Gold Linseed), Green Broken Peas, Green Peas Flour, Green Peas, Green Split Peas, Hulled Sunflower Kernel(Seed), Kidney Beans, Lentils Brown, Lentils Green Flour, Lentils Green, Lentils, Millet, Milling Wheat Flour, Milling Wheat, Mung Beans Flour, Mung Beans, Oats, Onions, Paddy Rice, Pearled Barley, Pearled Wheat, Peas, Pepper, Pistachio, Poppy Seeds Blue, Poppy Seeds, Pumpkin Seed, Rape Seed Oil, Rape Seed, Red Bean, Red Broken Lentils, Red Football Lentils Water Polished, Red Football Lentils Oil Polished, Red Football Lentils Sligtly Oil, Red Football Lentils, Red Lentıils Flour, Red Lentils, Red Split Lentils Oil Polished, Red Split Lentils Sligtly Oil, Red Split Lentils Water Polished,Red Split Lentils, Rice Broken, Rice Flour, Rye, Sesame Seed Hulled, Sesame Seed, Sesame, Soybean Oil, Soybean Meal,Soybeans, Split Mung Beans, Sunflower Oil, Sunflower Seed, Vital Wheat Gluten, Wheat Flour, Wheat, White Bean, Yellow Lentils, Yellow Broken Lentils, Yellow Broken Peas, Yellow Football Lentils, Yellow Lentils Flour, Yellow Peas Flour, Yellow Peas, Yellow Split Lentils, Yellow Split Peas, Navy (Pea) Beans</t>
  </si>
  <si>
    <t>The mission of Elite Ingredients is to create and build one of the most influential companies that can source and provide any product that is being requested. The key ingredient to out success will be our committed push to be there for our customers at every level of support. Elite Ingredients thrives by making a firm commitment to its customers to stay ahead of the curve in this fast paced, always changing industry.
Visit the CCOF Member Directory to learn more: ccof.org/directory</t>
  </si>
  <si>
    <t>Certified in accordance with the terms of the US-Canada Organic Equivalency Arrangement. For more details please see https://www.EASY-CERT.com/CH/CE-200034</t>
  </si>
  <si>
    <t>* Certified in accordance with the terms of the U.S.-Canada Organic Equivalency Arrangement</t>
  </si>
  <si>
    <t>Certified in accordance with the terms of the US-Canada Organic Equivalency Arrangement. For more details please see https://www.EASY-CERT.com/CH/CE-202270</t>
  </si>
  <si>
    <t>At Gibbs-California Wild Rice, hard work and a friendly atmosphere come together to bring you the highest quality products available. We want you to feel like a part of our family, so take a look around and see for yourself why Gibbs-California Wild Rice is recognized around the world as a leader in both product and service excellence.
Visit the CCOF Member Directory to learn more: ccof.org/directory</t>
  </si>
  <si>
    <t>non-resident importer</t>
  </si>
  <si>
    <t>The following products are certified in accordance with the terms of the U.S.-Canada Organic Equivalency Arrangement: Yellow corn, Soybeans, Black beans,Wheat, Light red kidney beans, Dark red kidney beans, Small red beans, Great northern beans, Grain drying, Grain storage</t>
  </si>
  <si>
    <t>Certified in accordance with the terms of the US-Canada Organic Equivalency Arrangement. For more details please see https://www.EASY-CERT.com/CH/CE-201826</t>
  </si>
  <si>
    <t>Far West Rice is a family owned and operated company specializing in the milling and marketing of high quality and diverse rice varieties. We practice “just in time” milling which means we mill the rice as soon as an order is received and never store a single grain. High quality is our focus and delivering fresh product is the objective.
Visit the CCOF Member Directory to learn more: ccof.org/directory</t>
  </si>
  <si>
    <t>Certified in accordance with the terms of the US-Canada Organic Equivalency Arrangement. For more details please see https://www.EASY-CERT.com/CH/CE-206899</t>
  </si>
  <si>
    <t>We are a family-owned and operated food importer and distributor based in Auburn, WA. From our Auburn warehouse we direct-deliver along the I-5 corridor, from the Canadian border south to Eugene, OR. Through cooperative relationships with a number of distribution partners we also cover geographic areas outside of our direct delivery region, including the West Coast, Alaska, Hawaii, Idaho, Montana, and northern Wyoming. Our second warehouse, located in Moonachie, NJ, serves as a storage, cutting, and distribution facility for regional and national accounts across the US.
Visit the CCOF Member Directory to learn more: ccof.org/directory</t>
  </si>
  <si>
    <t>Ensuring Success Through Excellence in Service
People, Passion, Produce
Visit the CCOF Member Directory to learn more: ccof.org/directory</t>
  </si>
  <si>
    <t>Delivering an exceptional customer experience every time everywhere
Visit the CCOF Member Directory to learn more: ccof.org/directory</t>
  </si>
  <si>
    <t>From the Fields is a group of kindred spirits, empowered by our shared passion for a healthy community and authentic food. We specialize in making granola, porridge, oatmeal and muesli that is nothing short of fresh, delicious and nourishing.
Visit the CCOF Member Directory to learn more: ccof.org/directory</t>
  </si>
  <si>
    <t>Since 2012 Frontier Ag has merchandised a wide array of organic agricultural commodities. We have close relationships with farmers, suppliers and end users. We specialize in procuring organic ingredients for our customers whether it be feed mills, food facilities or dairies. We work with farmers to capture the maximum return on their crops. We are committed to providing our customers the highest level of service.
Visit the CCOF Member Directory to learn more: ccof.org/directory</t>
  </si>
  <si>
    <t>Certified in accordance with the terms of the US-Canada Organic Equivalency Arrangement. For more details please see https://www.EASY-CERT.com/CH/CE-203884</t>
  </si>
  <si>
    <t>Certified in accordance with the terms of the US-Canada Organic Equivalency Arrangement. For more details please see https://www.EASY-CERT.com/CH/CE-200622</t>
  </si>
  <si>
    <t>Full Belly Farm is a certified organic farm located in the beautiful Capay Valley of northern California. We are committed to fostering sustainability on all levels, from fertility in our soil and care for the environment, to stable employment for our farm workers. We strive to be good stewards of this farm, so that this generation and future generations may continue to be nourished by the healthy and vibrant food that we produce. Our farm has been certified organic since 1985, and we strive to continue to support local food systems and create a strong local food economy.
Visit the CCOF Member Directory to learn more: ccof.org/directory</t>
  </si>
  <si>
    <t>F-10- PRD 072396 (249.996 Acres), F-02- PRD 033997 (32.988 Acres), F-12-PRD 073914(149.993 Acres) were suspended for the period of one year from 2024-01-08                                                                                                            2024-  F-08 PRD 042823 (49.989 Acres) was suspended for the period of one year from 2024-08-13.</t>
  </si>
  <si>
    <t>Certified in accordance with the terms of the US-Canada Organic Equivalency Arrangement. For more details please see https://www.EASY-CERT.com/CH/CE-200632</t>
  </si>
  <si>
    <t>Wella Organics is located outside of Austin, TX manufactures a broad range of conventional and organic refrigerated and frozen items. Our organic items include the Wella Bar, a 100% organic protein bar, made from fresh ground nut butters, honey, and packed with protein.
Visit the CCOF Member Directory to learn more: ccof.org/directory</t>
  </si>
  <si>
    <t>Producción vegetal = 500,00 ha</t>
  </si>
  <si>
    <t>Our company was founded with the ideals of offering true authentic Italian foods with integrity and consistency. Today, our retail store remains a vibrant and beloved part of the community while our DeLallo products are distributed throughout the country. Whether it is our olive oil, pasta, or tomatoes, we can guarantee consumers with authenticity, integrity and consistency.
Visit the CCOF Member Directory to learn more: ccof.org/directory</t>
  </si>
  <si>
    <t>Certified in accordance with the terms of the US-Canada Organic Equivalency Arrangement. For more details please see https://www.EASY-CERT.com/CH/TR-257</t>
  </si>
  <si>
    <t>See addendum for organic labeling categories and list of specific products and brands</t>
  </si>
  <si>
    <t>The following products are certified in accordance with the terms of the U.S.-Canada Organic Equivalency Arrangement: Wheat Hard Red Winter Wheat, Wheat Millet, Wheat Proso</t>
  </si>
  <si>
    <t>The following products are certified in accordance with the terms of the U.S.-Canada Organic Equivalency Arrangement: Cereal 100% Organic: Golden Prairie Organic Millet (hulled, in hull, bin run)</t>
  </si>
  <si>
    <t>Certified in accordance with the terms of the US-Canada Organic Equivalency Arrangement. For more details please see https://www.EASY-CERT.com/CH/CE-201832</t>
  </si>
  <si>
    <t>non-resident importer of record</t>
  </si>
  <si>
    <t>Certified in accordance with the terms of the US-Canada Organic Equivalency Arrangement. For more details please see https://www.EASY-CERT.com/CH/CE-202249</t>
  </si>
  <si>
    <t>Headquartered in the heart of Los Angeles, Worldwide Produce is one of the largest produce and dairy distributors in Southern California. Our service area extends from San Fernando to San Diego counties in California, and Las Vegas, Nevada. We specialize in sourcing and distributing the highest quality fresh produce, eggs, dairy products, and specialty grocery items.
With decades of combined industry experience, a commitment to the highest food safety standards, and multiple distribution hubs, Worldwide Produce provides customers with the best products and customer service, and fast deliveries. Whether you are a single-family restaurant or a corporate chain, we stop at nothing to ensure that your needs are met.
Visit the CCOF Member Directory to learn more: ccof.org/directory</t>
  </si>
  <si>
    <t>At Green Seed Contract Packaging we focus on packaging healthy food and nutritional products. At our core, we offer flexibility in our packaging and offer a variety of other products and services related to packaging. We are centered on meeting and exceeding the quality standards and relaying these achievements onto our clients.
Visit the CCOF Member Directory to learn more: ccof.org/directory</t>
  </si>
  <si>
    <t>Our organic produce is branded as Cal-Organic. We set the highest quality standards in the industry and then exceed them.  We have been dedicated to organic farming and finding a harmonic balance with nature for over 30 years. Our farming implements many sustainable methods and we are constantly improving our water and energy conservation efforts.
Visit the CCOF Member Directory to learn more: ccof.org/directory</t>
  </si>
  <si>
    <t>Founded in 1999, Grindstone Bakery specializes in handmade, organic, gluten-free sourdough breads.
Visit the CCOF Member Directory to learn more: ccof.org/directory</t>
  </si>
  <si>
    <t>Certified in accordance with the terms of the US-Canada Organic Equivalency Arrangement. For more details please see https://www.EASY-CERT.com/CH/CE-206707</t>
  </si>
  <si>
    <t>100% organic: Amaranth, Hulless Oats, Spelt (Berries), Wheat (Soft White Berries, Hard Red Berries), Nut Butter: Almond Butter, Hazelnut Butter, Tahini (Roasted, Raw); Seed Butter: Sunflower Seed Butter, Apple Cider, Coconut Nectar, Coconut Oil (Virgin, Raw, Refined); Extra Virgin Olive Oil, Coconut Flour, Durum Flour, Spelt Flour, Wheat Flour, Wheat Flour (White, Unbleached, High Gluten), Cocoa Butter, Dry Beans: Adzuki, Black, Cranberry, Flageolet, Garbanzo, Great Northern, Mung, Pinto, Small Red, Yellow Eye; Lentils: Green, Black, Almonds (Raw), Cashews (Whole). The following products are certified in accordance with the terms of the U.S.-Canada Organic Equivalency Arrangement.</t>
  </si>
  <si>
    <t>Honey Rock evaluates every practice—from employment to energy, from sprays to sales—against the highest standards. On our certified organic farm, we employ regenerative, organic practices to build soil, sequester carbon, and grow the tastiest, healthiest fruit, eggs, and honey. These practices benefit our employees, visitors, consumers, and the planet.
Visit the CCOF Member Directory to learn more: ccof.org/directory</t>
  </si>
  <si>
    <t>Additional facility: 
1040 W 600 N
Ogden, UT 84404</t>
  </si>
  <si>
    <t>Certified in accordance with the terms of the US-Canada Organic Equivalency Arrangement. For more details please see https://www.EASY-CERT.com/CH/CE-200686</t>
  </si>
  <si>
    <t>Certified in accordance with the terms of the US-Canada Organic Equivalency Arrangement. For more details please see https://www.EASY-CERT.com/CH/TR-111</t>
  </si>
  <si>
    <t>Certified in accordance with the terms of the US-Canada Organic Equivalency Arrangement. For more details please see https://www.EASY-CERT.com/CH/CE-201166</t>
  </si>
  <si>
    <t>At Intelligentsia Coffee we work hard to make sure we work with our coffee producers 365 days a year. Our coffees are unlike any other because we take insights, practices, and expertise in preparation and processing garnered from our work around the globe then apply them to our coffees to make them the best they can be.
Visit the CCOF Member Directory to learn more: ccof.org/directory</t>
  </si>
  <si>
    <t>Certified in accordance with the terms of the US-Canada Organic Equivalency Arrangement. For more details please see https://www.EASY-CERT.com/CH/CE-200051</t>
  </si>
  <si>
    <t>Certified in accordance with the terms of the US-Canada Organic Equivalency Arrangement. For more details please see https://www.EASY-CERT.com/CH/CE-207266</t>
  </si>
  <si>
    <t>Following products certified in accordance with the terms of the US-Canada Organic equivalency arrangement: Almonds, Apricot Kernels, Apricot, Beans, Black Cumin, Brown Lentils, Bulghur, Chickpeas, Corn, Dates, Dried Apricots, Dried Figs, Dried Mulberry, Dried Sour Cherry, Green Lentil, Hazelnut Kernel, Hazelnut Roasted Kernel, Hazelnuts Granulated, Mulberry, Raisin, Red Lentils, Roasted Chickpeas, Saffron, Semi Dried Tomatoes ın Oil, Semi Dried Tomatoes, Sesame Paste (Tahini), Sundried Tomatoes, Walnuts,Wheat Flour, Whole Wheat Flour, Yellow Lentil</t>
  </si>
  <si>
    <t>Certified in accordance with the terms of the US-Canada Organic Equivalency Arrangement. For more details please see https://www.EASY-CERT.com/CH/CE-200052</t>
  </si>
  <si>
    <t>Since our start in 1948, we have been a distributor of a small range of organic products made up of mostly dried fruits and nuts. We are rooted in the basic commodities which were simple in nature, but significant in their impact on one’s diet and nutrition.
Visit the CCOF Member Directory to learn more: ccof.org/directory</t>
  </si>
  <si>
    <t>Handler Address: 8035 Ruth Rd, Minden City, MI 48456 , The following products are certified in accordance with the terms of the U.S.-Canada Organic Equivalency Arrangement: Pinto beans, Yellow corn Handler: Pinto Beans</t>
  </si>
  <si>
    <t>The following products are certified in accordance with the terms of the U.S.-Canada Organic Equivalency Arrangement: Hard red winter wheat, Peas</t>
  </si>
  <si>
    <t>Distributor/Wholesale of Organic Ingredients
Visit the CCOF Member Directory to learn more: ccof.org/directory</t>
  </si>
  <si>
    <t>At Del Bosque Farms, we grow melons, asparagus, and almonds. We take great care in our crops and specialize in maximizing freshness and minimizing unnecessary handling. 
Visit the CCOF Member Directory to learn more: ccof.org/directory</t>
  </si>
  <si>
    <t>Sites: Kosmos Bins, Wolfe Bins, Piercy Bins, Bracher Storage Bins 81891 Hwy 37, Pendleton, OR 97801; P29, K31, K32, K35, RU202 BR101, BR102,CS3, CS4, JM38, K30, K33, K34, K36, K37W, K37E, K38, P8, P10, P15, P18, P22, P23, P26, P27, RU203, RU301, RU302, RU303, RU401, RU403. The following products are certified in accordance with the terms of the U.S.-Canada Organic Equivalency Arrangement:</t>
  </si>
  <si>
    <t>Mandator: K K FIBERS</t>
  </si>
  <si>
    <t>Handler Address: 2750 North Highway 25, Ulysses KS 67880. The following products are certified in accordance with the terms of the U.S.-Canada Organic Equivalency Arrangement: Alfalfa hay, Grain Storage &amp; Handling</t>
  </si>
  <si>
    <t>We were founded in 1981 in order to give local farmers a wide variety of quality seed products that were readily accessible. We sell to professional produce growers with a mission to maintain and build a long-term retail vegetable seed business that has growth, profitability, and is an integral part of the business community.
Visit the CCOF Member Directory to learn more: ccof.org/directory</t>
  </si>
  <si>
    <t>Certified in accordance with the terms of the US-Canada Organic Equivalency Arrangement. 
        Not all certified products have USCOEA verification. For details, request a copy of the OneCert Annex.</t>
  </si>
  <si>
    <t>We use the latest milling equipment, including some of the most advanced technology in the industry. This will enable us to better serve our farmers and existing customers throughout the United States and reach out to new customers. Our rice mill helps meet the needs of the many rice farmers throughout Louisiana and South Arkansas with its unique technology. This mill will help enable Louisiana rice farmers to continue to be the leaders in producing quality agriculture products to be sold around the world.
Visit the CCOF Member Directory to learn more: ccof.org/directory</t>
  </si>
  <si>
    <t>The following products are certified in accordance with the terms of the U.S.-Canada Organic Equivalency Arrangement: GLP3300 Soybeans, GL3500 Soybeans, GL3191 Soybeans, GL2980 Soybeans, GL3818 Soybeans</t>
  </si>
  <si>
    <t>At Koda Farms, our rice production revolves around two principles, purity and quality control. Although we know maintaining our high standards means more procedures and additional work, we believe it is necessary to maintain the integrity of our original seed strains. We offer a variety of rice suitable for making anything from sushi to paella.
Visit the CCOF Member Directory to learn more: ccof.org/directory</t>
  </si>
  <si>
    <t>Our company has been owned and managed by the same family since 1938. It is our goal to provide exceptional service while offering consistent quality products that ensures your satisfaction in our dry beans, fertilizer, grain, and seeds.
Visit the CCOF Member Directory to learn more: ccof.org/directory</t>
  </si>
  <si>
    <t>Handler Address: 4000 Portland Rd, Odessa MI 48849 The following products are certified in accordance with the terms of the U.S.-Canada Organic Equivalency Arrangement: Soybeans, Yellow corn, Barley</t>
  </si>
  <si>
    <t>“Certified in accordance with the terms of US-Canada Organic Equivalence Arrangement”</t>
  </si>
  <si>
    <t>Handler Address: 415 East Railroad, China TX 77613, The following products are certified in accordance with the terms of the U.S.-Canada Organic Equivalency Arrangement: Handler: Rice, Rice Hulls, Rice Bran</t>
  </si>
  <si>
    <t>See addendum for organic labeling categories</t>
  </si>
  <si>
    <t>Additional Facilities: 
1200 N. Logan Street, Lincoln,  IL 62656</t>
  </si>
  <si>
    <t>Certified in accordance with the terms of the US-Canada Organic Equivalency Arrangement. For more details please see https://www.EASY-CERT.com/CH/CE-201840</t>
  </si>
  <si>
    <t>At Living Tree Community Foods we believe that vibrant good health is a combination of many subtle elements including alive food, fasting, vigorous exercise, restful sleep, creativity, organic gardening, and loving relationships. Together, these things help us to create the delicious products we make.
Visit the CCOF Member Directory to learn more: ccof.org/directory</t>
  </si>
  <si>
    <t>Founded in 1972 and based in the heart of the nation’s rice belt, Lone Pine is a family-owned company that has proudly helped pioneer the organic grain industry. With a commitment to sustainable farming and high-quality organic products, we strive to cultivate a healthier future for our community and beyond. Our legacy is built on strong family values, innovation, and a passion for environmental stewardship, ensuring that we remain the forefront of the organic movement for generations to come.
Jason Smith, Owner Lone Pine Enterprises L.L.L.P.
Visit the CCOF Member Directory to learn more: ccof.org/directory</t>
  </si>
  <si>
    <t>Since 1937, the Lundberg Family has been farming rice and producing rice products at their farms in the Sacramento Valley. Now led by its third generation, Lundberg Family Farms still uses organic and eco-positive farming practices to produce wholesome, healthful rice products while protecting and improving the environment for future generations.
Visit the CCOF Member Directory to learn more: ccof.org/directory</t>
  </si>
  <si>
    <t>M &amp; L Commodities, Inc. is an Organic Transload and Warehouse Service Provider for Vessel, Rail , Container and Truck Transport , including 
fully Organic CCOF Audited Warehouse Facilities. Please feel free to contact Starla Simal at SSimal@MLCommodities.com . Also please check 
out our website at www.MandLDivisions.com
Visit the CCOF Member Directory to learn more: ccof.org/directory</t>
  </si>
  <si>
    <t>Mandator: Nirmal Kumar Agrawal (M/S Nirmal Natural Fibers)</t>
  </si>
  <si>
    <t>Certified Sites: Jamie, Malin, Merrill, Pope Big Bin, Ratliffe</t>
  </si>
  <si>
    <t>*Certified in accordance with the terms of the US-Canada Organic Equivalency Arrangement
See addendum page(s) for organic labeling categories</t>
  </si>
  <si>
    <t>Quality Grains Since 1972
Visit the CCOF Member Directory to learn more: ccof.org/directory</t>
  </si>
  <si>
    <t>Certified in accordance with the terms of the US-Canada Organic Equivalency Arrangement. For more details please see https://www.EASY-CERT.com/CH/CE-201842</t>
  </si>
  <si>
    <t>At Milk Specialties Global, our focus is to create high-quality ingredients designed to optimize health and nutrition. We are passionate and dedicated people. Each day, we collectively explore new, innovative ways to enhance product performance and value through our broad human and animal nutrition portfolios. The human nutrition division focuses on industry leading whey and milk protein isolates concentrates, and hydrolysates. The animal nutrition division is a leading supplier of functional fats, proteins, and carbohydrates. Both divisions are backed by the speed, execution and passion it takes to exceed the expectation of our customers.
Visit the CCOF Member Directory to learn more: ccof.org/directory</t>
  </si>
  <si>
    <t>We are an independent, state-or-the-art, full service bean, grain, and seed processor. In addition to this, we farm nearly 2,000 acres of organic beans with a goal to rejuvenate the biodiversity of the American bean industry. By implementing the highest quality organic fertilizer along with our dry dessert climate allows each plant to reach its maximum potential to produce superior beans.
Visit the CCOF Member Directory to learn more: ccof.org/directory</t>
  </si>
  <si>
    <t>Mother Jungle Herbs Inc. was founded in the year 2000 with the idea of providing the American market with the best quality supplement and organic products from South America.
All our business relations with the farms in South America are strictly under fair trade regulations. Always thriving to improve through business and product development, farms, communities, and operational improvements. Certified kosher, GMP, organic, &amp; HACCP.
Visit the CCOF Member Directory to learn more: ccof.org/directory</t>
  </si>
  <si>
    <t>We were established in 1995 in Eugene, Oregon with the mission to increase the awareness of the symbiotic relationship between wild fungi, healthy forest ecosystems, and their mutual sustainability. Since then, our mission has broadened to include even more wild species in addition to organically cultivated foods. Our organically cultivated products come from a small organic farm right in our backyard as well as other organic farms that meet the same standards we do.
Visit the CCOF Member Directory to learn more: ccof.org/directory</t>
  </si>
  <si>
    <t>Certified in accordance with the terms of the US-Canada Organic Equivalency Arrangement. For more details please see https://www.EASY-CERT.com/CH/CE-201844</t>
  </si>
  <si>
    <t>Certified in accordance with the terms of the US-Canada Organic Equivalency Arrangement. For more details please see https://www.EASY-CERT.com/CH/CE-203628</t>
  </si>
  <si>
    <t>Organic, certified, non-GMO sprout powders. Among sprout powders produced are broccoli, quinoa, mungbean, soy &amp; oat. All sprouts are low-temperature produced to preserve enzymes &amp; each batch is tested by an independent lab.
Visit the CCOF Member Directory to learn more: ccof.org/directory</t>
  </si>
  <si>
    <t>Live Well, Spend Less
Visit the CCOF Member Directory to learn more: ccof.org/directory</t>
  </si>
  <si>
    <t>US-COEA - Certified in accordance with the terms of the U.S. – Canada Organic Equivalency Arrangement</t>
  </si>
  <si>
    <t>Previously Certified by: MOSA</t>
  </si>
  <si>
    <t>At Nuts.com we see it as our mission to provide the highest quality products and exceptional service at great prices. We launched our website in 2012, but our family has been in the nut business for 80 years now.
Visit the CCOF Member Directory to learn more: ccof.org/directory</t>
  </si>
  <si>
    <t>Next Generation Foods is part of a vertically intergrated group of businesses that grow, contract, manfacture, co-pack,
and distribute delicious pantry goods. To find out more, please visit our website www.nextgenfoods.com.
Visit the CCOF Member Directory to learn more: ccof.org/directory</t>
  </si>
  <si>
    <t>We are a recognized international and domestic food processor that focuses on the production of high quality IQF products. We are invested in establishing and maintaining long term business relationships that work towards providing the public with healthy and convenient food alternatives.
Visit the CCOF Member Directory to learn more: ccof.org/directory</t>
  </si>
  <si>
    <t>North Central Companies is a reliable ingredient supplier, aiding buyers of all sizes in the agriculture, animal feed, pet food, and food processing industries. For two generations, we've provided product manufacturers with responsive and friendly support through every step of the ingredient supply chain process.
Visit the CCOF Member Directory to learn more: ccof.org/directory</t>
  </si>
  <si>
    <t>At Nu Life Market we combine the dedication and skill of professional farmers, food scientists, and nutritionists to give our customers high quality flours, grain products, and sunflower spreads that they can trust to be safe options for their family. At the end of the day our goal is to provide you with the best products and services from our farm to your family.
Visit the CCOF Member Directory to learn more: ccof.org/directory</t>
  </si>
  <si>
    <t>Launched in 2006, we have grown to be a leading premium organic food brand that delivers optimal nutrition for the entire family. We provide organic foods for babies, toddlers, kids, and even adults. Our foods are delicious, convenient, and made with a mother’s touch for all ages.
Visit the CCOF Member Directory to learn more: ccof.org/directory</t>
  </si>
  <si>
    <t>Certified in accordance with the terms of the US-Canada Organic Equivalency Arrangement. For more details please see https://www.EASY-CERT.com/CH/TR-076</t>
  </si>
  <si>
    <t>The following products are certified in accordance with the terms of the U.S.-Canada Organic Equivalency Arrangement: Barley, Black beans, Clover, Great northern beans, Hay, Navy beans, Oats, Pinto beans, Rye, Soft red winter wheat, Soft white winter wheat, Soybeans, Food Grade Soybeans, White Kidney beans, Yellow corn</t>
  </si>
  <si>
    <t>Certified in accordance with the terms of the US-Canada Organic Equivalency Arrangement. For more details please see https://www.EASY-CERT.com/CH/CE-208719</t>
  </si>
  <si>
    <t>At Organic Matters Ranch we strive to produce fresh, wholesome, and tasteful foods through sustainable agricultural practices.
Visit the CCOF Member Directory to learn more: ccof.org/directory</t>
  </si>
  <si>
    <t>We are a young company whose main objective is to give a service that satisfies the needs of the sprout and food industry. We supply seeds, dried fruit, nuts and other hard to find products.
Visit the CCOF Member Directory to learn more: ccof.org/directory</t>
  </si>
  <si>
    <t>Certified in accordance with the terms of the US-Canada Organic Equivalency Arrangement. For more details please see https://www.EASY-CERT.com/CH/CE-200738</t>
  </si>
  <si>
    <t>Otis McAllister, Inc. is a leading global food company that provides a wide range of services worldwide to a substantial and diversified client base that includes club stores, traditional and non-traditional retail, and food service. We were founded in 1892 making us one of the oldest and most widely known company in the worldwide trade of food products. We emphasize integrity, innovation, and a commitment to improving the lives of our customers and the communities around them.
Visit the CCOF Member Directory to learn more: ccof.org/directory</t>
  </si>
  <si>
    <t>Subcontracted storage and re-packing only</t>
  </si>
  <si>
    <t>Handler phone number 720-883-1216</t>
  </si>
  <si>
    <t>Certified in accordance with the terms of the US-Canada Organic Equivalency Arrangement. For more details please see https://www.EASY-CERT.com/CH/CE-201303</t>
  </si>
  <si>
    <t>Certified in accordance with the terms of the US-Canada Organic Equivalency Arrangement. For more details please see https://www.EASY-CERT.com/CH/CE-201851</t>
  </si>
  <si>
    <t>PIE RANCH'S MISSION IS TO CULTIVATE A HEALTHY AND JUST FOOD SYSTEM FROM SEED TO TABLE THROUGH FOOD EDUCATION, FARMER PATHWAYS, AND REGIONAL PARTNERSHIPS.
https://www.pieranch.org/
Visit the CCOF Member Directory to learn more: ccof.org/directory</t>
  </si>
  <si>
    <t>Pleasant Grove Farms is a certified organic wholesale grain and bean farm located in the fertile Sacramento Valley just north of Sacramento, California. We do both farming and seed cleaning, and have been family owned and operated since 1946. We are dedicated to producing high quality organic crops for the benefit of owners, employees, customers, and the community. We strive for continuous improvement in the quality of our products, the pride and satisfaction of our employees and owners, and the natural productive capacity of our lands.
Visit the CCOF Member Directory to learn more: ccof.org/directory</t>
  </si>
  <si>
    <t>We offer organically grown rice products that are grown with special care to ensure the finest quality product possible. Our location at the foothills of the Cascade Mountain range provides soil that is deep and fertile while the water shed of the Shasta Trinity Alps brings water that is both clean and pure.
Visit the CCOF Member Directory to learn more: ccof.org/directory</t>
  </si>
  <si>
    <t>Inspired by their Italian heritage, the Ricchiuti family has continued a tradition of excellence in California’s Central San Joaquin Valley for over a century.  Recognized as one of the best olive oil companies in the world by "The Washington Post", "New York Times", and "Epicurious", the Ricchiuti family’s ENZO Olive Oil Company remains committed to this standard of excellence by producing nationally and internationally acclaimed estate-grown organic extra virgin olive oil.  Utilizing a hands-on approach―planting each tree, harvesting the crop, milling the fruit, and bottling the oil―the Ricchiutis are able to craft the freshest and most flavorful oil. Offered in Bold, Medium, Delicate, Meyer Lemon, Basil, and Garlic, ENZO olive oil can be used in a wide range of recipes, from everyday culinary delights to the finest gourmet delicacies.  Available in 250 and 500 ml bottles, gift packs and bulk.
With a goal to offer the perfect complement to their award-winning California estate-grown and milled ENZO organic extra virgin olive oil, the Ricchiuti family is proud to introduce a new line of  barrel-aged and handcrafted ENZO organic balsamic vinegar.  This prized Italian classic from Modena, Italy is fashioned in the Old World style where time-honored traditions and techniques yield a rich, complex, and flavorful artisanal treasure.  There are three exceptional varieties — Traditional, Apple, and Fig — which can be enjoyed with rustic peasant bread, drizzled over grilled fruit and vegetables, barbequed meats, garden fresh salads, assorted cheeses, or your favorite dessert.  Available in 250ml and 500ml bottles, in addition to custom-made gift packs.
Visit the CCOF Member Directory to learn more: ccof.org/directory</t>
  </si>
  <si>
    <t>T30N R 16E, S3,4,7,8,9,10,18; T31N R 16E, S28,29,3032,33; T31N R15E, S1,4,9,10,12,13,21,22,23,24,25,32,33 Hill
County, MT</t>
  </si>
  <si>
    <t>PRC stands for professional, reliable, contract packaging. PRC produces the following packaging; stick pack, sachets, stand up pouching and kitting.
Visit the CCOF Member Directory to learn more: ccof.org/directory</t>
  </si>
  <si>
    <t>Family farm-winery, mediterranean-style wines, seasonal fruit, vegetables, olives, oil, nuts, grain, pastured chickens, pigs, sheep.  Brick-oven bread, picnic tables, friendly cats, jugs on Sunday. Open daily 11 - 4:30, no groups over 8.
Visit the CCOF Member Directory to learn more: ccof.org/directory</t>
  </si>
  <si>
    <t>USCOEA</t>
  </si>
  <si>
    <t>Certified in accordance with the terms of the US-Canada Organic Equivalency Arrangement. For more details please see https://www.EASY-CERT.com/CH/CE-200744</t>
  </si>
  <si>
    <t>Certified in accordance with the terms of the US-Canada Organic Equivalency Arrangement. For more details please see https://www.EASY-CERT.com/CH/CE-208288</t>
  </si>
  <si>
    <t>Certified in accordance with the terms of the US-Canada Organic Equivalency Arrangement. For more details please see https://www.EASY-CERT.com/CH/CE-208245</t>
  </si>
  <si>
    <t>Certified in accordance with the terms of the US-Canada Organic Equivalency Arrangement. For more details please see https://www.EASY-CERT.com/CH/CE-200754</t>
  </si>
  <si>
    <t>Certified in accordance with the terms of the US-Canada Organic Equivalency Arrangement. For more details please see https://www.EASY-CERT.com/CH/CE-207377</t>
  </si>
  <si>
    <t>See addendum page(s) for list of specific products and brands</t>
  </si>
  <si>
    <t>The following products are certified in accordance with the terms of the U.S.-Canada Organic Equivalency Arrangement: Barley, Yellow corn, Soybeans, Oats</t>
  </si>
  <si>
    <t>Certified in accordance wit the terms of the US-Canada Organic Equivalency Arrangement</t>
  </si>
  <si>
    <t>Learn more: www.aco.net.au</t>
  </si>
  <si>
    <t>The following products are certified in accordance with the terms of the U.S.-Canada Organic Equivalency Arrangement: Alfalfa , Corn Grain, Proso Millet , Sorghum , Sunflowers , Wheat Hard Red Winter</t>
  </si>
  <si>
    <t>Additional Facilities: 
W26985 Lorch Lane ,  Arcadia, WI  54612</t>
  </si>
  <si>
    <t>Bringing Organics to our communities.
S T Organics, LLC also provides Organic consulting. With over a dozen years of Organic consulting experience S T has been helping farmers see their organic dreams. S T also carries a variety of Organically allowed products for farms and ranches of all sizes.
Visit the CCOF Member Directory to learn more: ccof.org/directory</t>
  </si>
  <si>
    <t>At Sage V Foods we specialize in producing rice based ingredients for use in processed foods. We offer a complete line of rice products for the industry as well as a line of frozen rice that are sold to the food service and retail markets.
Visit the CCOF Member Directory to learn more: ccof.org/directory</t>
  </si>
  <si>
    <t>The following products are certified in accordance with the terms of the U.S.-Canada Organic Equivalency Arrangement: Yellow seedcorn, Yellow corn, Pinto beans, Soft white winter wheat, Husking/Drying/Shelling Seedcorn, Grain storage, Yellow Seedcorn (Handler)</t>
  </si>
  <si>
    <t>Mandator: SAMBHAV COTTON CO PVT LTD</t>
  </si>
  <si>
    <t>*Certified in accordance with the terms of the US-Canada Organic Equivalency Arrangement</t>
  </si>
  <si>
    <t>100% organic: Blueberries, Blackberries. The following products are certified in accordance with the terms of the U.S.-Canada Organic Equivalency Arrangement.</t>
  </si>
  <si>
    <t>At Season Foods we are happy to provide food that can boost your well-being and daily life style. We are mainly marketing and distributing the grains, beans, seeds, and flours in Southern California. We drive quality results, deliver superior service, and develop sustainable relationships for suppliers and consumers.
Visit the CCOF Member Directory to learn more: ccof.org/directory</t>
  </si>
  <si>
    <t>*Certified in accordance with the terms of the U.S.-Canada Organic Equivalency Arrangement: Green Coffee, Parchment coffee, Ground roasted coffee, Roasted coffee</t>
  </si>
  <si>
    <t>Certified in accordance with the terms of the US-Canada Organic Equivalency Arrangement. For more details please see https://www.EASY-CERT.com/CH/CE-200738-001</t>
  </si>
  <si>
    <t>Certified in accordance with the terms of the US-Canada Organic Equivalency Arrangement. For more details please see https://www.EASY-CERT.com/CH/CE-200792</t>
  </si>
  <si>
    <t>Certified in accordance with the terms of the US-Canada Organic Equivalency Arrangement. For more details please see https://www.EASY-CERT.com/CH/CE-200796</t>
  </si>
  <si>
    <t>Processor : Baking, food preserves ( sauce, and tomato derivatives, ) repackaging, butter</t>
  </si>
  <si>
    <t>Certified in accordance with the terms of the US-Canada Organic Equivalency Arrangement. For more details please see https://www.EASY-CERT.com/CH/TR-248</t>
  </si>
  <si>
    <t>The following products are certified in accordance with the terms of the U.S.-Canada Organic Equivalency Arrangement: Fluid Soy Lecithin, Degummed Soybean Oil, Decanted Soybean Oil, Soybean Meal,</t>
  </si>
  <si>
    <t>*Certified in accordance with the terms of the U.S.-Canada Organic Equivalency Arragement</t>
  </si>
  <si>
    <t>Certified in accordance with the terms of the US-Canada Organic Equivalency Arrangement. For more details please see https://www.EASY-CERT.com/CH/71091</t>
  </si>
  <si>
    <t>Non-Resident Importer</t>
  </si>
  <si>
    <t>Certified in accordance with the terms of the US-Canada Organic Equivalency Arrangement. For more details please see https://www.EASY-CERT.com/CH/CE-200084</t>
  </si>
  <si>
    <t>Certified in accordance with the terms of the US-Canada Organic equivalency arrangement</t>
  </si>
  <si>
    <t>Certified organic grass hay.
Visit the CCOF Member Directory to learn more: ccof.org/directory</t>
  </si>
  <si>
    <t>We utilize five generations of agricultural expertise to create unparalleled products.
Visit the CCOF Member Directory to learn more: ccof.org/directory</t>
  </si>
  <si>
    <t>We purchase, market and process rice and wild rice from over 300 farmers with 15% of the California rice production and over 40% of California’s wild rice production. We are the second largest marketer of Organic California rice and specialize in supplying specialty organic rice to food processors for a wide variety of foods. We also market SunWest Organics proprietary branded products.
Visit the CCOF Member Directory to learn more: ccof.org/directory</t>
  </si>
  <si>
    <t>Additional Facilities: 
5121 Barge Terminal Rd, East Dubuque, IL 61025</t>
  </si>
  <si>
    <t>Opening in 1977, Surata Soyfoods was one of the first tofu shops in the western hemisphere. We have been making certified organic tofu and tempeh ever since. We believe in the awesome nutritional and ecological benefits of using whole soybean products instead of meat in your diet. We distribute our tofu and tempeh throughout the Pacific Northwest. You can find loads of recipes and information about the health benefits of soy on our webpage!
Visit the CCOF Member Directory to learn more: ccof.org/directory</t>
  </si>
  <si>
    <t>All products are certified in accordance with the terms of the US-Canada Organic Equivalency Arrangement (Adzuki bean, Apple, Beet root, Black kidney bean, Black soybean (Also called: Black soybean with yellow kernel; Black soybean with green kernel), Borage seed, Brown rice, Buckwheat, Buckwheat kernel, Chickpeas, Cowpea, Evening primrose seed, Flax seed, Hemp seed, Lentil, Millet, Mung bean, Non-sticky millet, Pea, Perilla seed, Pinto bean, Pumpkin seed, Pumpkin seed grown without shell, Pumpkin seed shine skin, Pumpkin seeds kernels, Rapeseed, Red kidney bean, Rice, Sesame, Soybean, Sticky millet, Sticky millet hulled, Sunflower kernel, Sunflower seed, Turmeric, White kidney bean, Milk thistle oil)</t>
  </si>
  <si>
    <t>We have been providing the highest quality teas and coffee throughout North America since 2003. We are dedicated to producing the finest premium products: green tea under our April’s Green Tea brand, TIO Iced Tea, and Maxim Coffee. All come in convenient eco-friendly packaging that keep the contents fresh.
Visit the CCOF Member Directory to learn more: ccof.org/directory</t>
  </si>
  <si>
    <t>Seeds by Design is a wholesale vegetable, sunflower and herb seed company which is located in Willows and Maxwell, California. Our company goal since 1994 has always been to bring our customers the highest quality seed along with the one of the most diverse product line in the industry.
Visit the CCOF Member Directory to learn more: ccof.org/directory</t>
  </si>
  <si>
    <t>We are a small, family-run business located in Fort Worth, Texas. Terrasoul Superfoods was born out of our desire to find reliable and affordable sources of certified organic, fair trade, and sustainably-grown, nutrient-dense foods.
Visit the CCOF Member Directory to learn more: ccof.org/directory</t>
  </si>
  <si>
    <t>We are a fifth generation organic rice farm. We are the biggest organic rice producer in Texas and one of the largest in the country. We use innovative pest control, soil revitalization, and water conservation techniques. Our state-of-the-art milling facility guarantees high quality and attention to detail from field to plate.
Visit the CCOF Member Directory to learn more: ccof.org/directory</t>
  </si>
  <si>
    <t>Additional Facilities: 
9231 E Avalon Road, Avalon, WI 53505 
601 Delco Dr, Clinton, WI 53525 
Products/services indicated with an asterisk (*) are certified in accordance with the terms of the US-Canada Organic Equivalency Arrangement.</t>
  </si>
  <si>
    <t>The Green Labs is proud to offer organic powders, extracts, oils, herbs and other highly qualified organic ingredients. These ingredients are healthy, nutritious and 100% natural. It’s important to know that by using organic ingredients you do not only help avoid risky chemicals and pesticides, but also help support local farmers and companies whose purpose is to provide a deliciously fresh and natural way to supplement your diet. Our selection of organic ingredients can be used in a variety of ways; it can be incorporated in your formulations, shakes, products, etc. They are filled with vitamins, minerals, proteins and enzymes, all necessary for the best outcome in your projects.
Visit the CCOF Member Directory to learn more: ccof.org/directory</t>
  </si>
  <si>
    <t>Previously certified organic by NHDAMF</t>
  </si>
  <si>
    <t>Additional Facilities: 
5681 Howard Street, Niles, IL 60714</t>
  </si>
  <si>
    <t>Certified in accordance with the terms of the US-Canada Organic Equivalency Arrangement. For more details please see https://www.EASY-CERT.com/CH/CE-201863</t>
  </si>
  <si>
    <t>Tribe 9 creates delicious, nourishing, and functional food to improve the lives of others.  We take a collaborative approach to our relationships, knowing that when our customers succeed, we succeed.
Visit the CCOF Member Directory to learn more: ccof.org/directory</t>
  </si>
  <si>
    <t>Trinidad Benham is a merchandising, packaging, trading and distribution company driven by experienced employee-owners. We’re known for beans, rice, popcorn and aluminum foil, but we’re so much more. We are a nimble company that doesn’t just meet the needs of our customers – we create forward thinking solutions for the retail, food service and institutional trade channels that we serve. We’re always pushing ourselves to be better business partners, exceed expectations, and create new successes. Your business means more to us because your business is our business.
Visit the CCOF Member Directory to learn more: ccof.org/directory</t>
  </si>
  <si>
    <t>Coke Farm has been producing outstanding organically grown fruits and vegetables for over thirty years. In August of 1981, prompted by a doubting conventional farmer who speculated that strawberries could not be grown organically, founder Dale Coke planted his first strawberries on the home ranch near Aromas, California. The plants produced successfully and a local natural foods store became the first Coke Farm customer. Dale started planting more crops and joined the Santa Cruz chapter of C.C.O.F. (California Certified Organic Farmers).
Within a year Dale connected with a chef at Chez Panisse who expressed interest in the strawberries and squash he was growing. Coke Farm expanded by growing more and different crops, selling more organic produce to local stores and to the San Francisco Bay Area restaurant trade. 
Within a couple years,Coke Farm was growing specialty and baby lettuces for upscale restaurants on both the East and West coasts. When faced with the abundance of greens and lettuces in the field, Dale began harvesting and mixing several varieties together and created "spring mix". Large-scale wholesalers took an interest and began buying the spring mix for the the restaurant trade in major metropolitan areas. The popular mix created demand for a larger-scale production.
By 1990 Coke Farm had grown to a 200+ acre farm, harvesting over fifty crop varieties each year and shipping daily out of a cooler on site in San Juan Bautista. Today Coke Farm continues to provide its customers with organic, specialty, top quality, seasonal fruits and vegetables year-round. In addition to growing and shipping their own produce, Coke Farm also cools, stores, and ships for several local organic farms.
Visit the CCOF Member Directory to learn more: ccof.org/directory</t>
  </si>
  <si>
    <t>True Origin Foods provides delicious, traceable and sustainable foods, grown by family farmers.  Our products are grown for flavor and are fully traceable back to the farm where they were grown.  To find out more, please visit our website, trueoriginfoods.com.
Visit the CCOF Member Directory to learn more: ccof.org/directory</t>
  </si>
  <si>
    <t>Certified in accordance with the terms of the US Canada Organic Equivalence Agreement</t>
  </si>
  <si>
    <t>Certified in accordance with the terms of the US-Canada Organic Equivalency Arrangement. For more details please see https://www.EASY-CERT.com/CH/CE-201867</t>
  </si>
  <si>
    <t>Certified in accordance with the terms of the US-Canada Organic Equivalency Arrangement. For more details please see https://www.EASY-CERT.com/CH/71038</t>
  </si>
  <si>
    <t>Certified in accordance with the terms of the U.S.-Canada Organic Equivalency Arrangement. All products listed are USCOEA verified.</t>
  </si>
  <si>
    <t>With forty years of leadership, Veritable Vegetable (VV) distributes high quality, organic produce to independent cooperatives, retailers, restaurants, schools, corporate campuses and wholesalers. VV supports small to mid-sized organic growers by providing broader access to the marketplace and maximizing the return farmers receive for their product. Based in San Francisco, their distribution area includes California, Arizona, Colorado, Hawaii, Nevada and New Mexico. 
As a social enterprise, Veritable Vegetable lives its values and serves as a model for other businesses. Their award winning green fleet and 99% waste diversion program demonstrate a deep commitment to reducing energy consumption and waste. Veritable Vegetable strengthens communities through strong collaborations and deep relationships with their customers, growers, and community partners. They honor labor by paying workers above living wage, offering an extensive benefits package, and cultivating a fair and dynamic workplace. VV contributes over 10% of annual profits to community organizations and schools to build awareness of, and support for, a sustainable food system. Veritable Vegetable is a women-owned business that uses the power of business to solve social and environmental challenges. 
Visit the CCOF Member Directory to learn more: ccof.org/directory</t>
  </si>
  <si>
    <t>Eden Organic Grains Inc. dba WeFARM Organics is a distributor of organic feed and food products. Products include Organic Soybean Meal, Organic Soybeans, Organic DDGS, Organic Sunflower Meal, Organic Kidney Beans, Organic Corn, Organic Soybeans, Organic Mung Beans, Organic Adzuki Beans, Organic Black Rice, Organic Millet, etc.
Visit the CCOF Member Directory to learn more: ccof.org/directory</t>
  </si>
  <si>
    <t>Certified in accordance with the terms of the US-Canada Organic Equivalency Arrangement
See addendum page for organic labeling categories</t>
  </si>
  <si>
    <t>Western Foods was founded in 2010 and offers over 50 years of combined experience in the food manufacturing industry. We specialize in gluten-free and allergen-free grain procurement, milling and blending. Additionally, our facility is certified organic, certified Kosher, Hypoallergenic, AIB Certified and a member of the Non-GMO Project and Whole Grains Council.
Visit the CCOF Member Directory to learn more: ccof.org/directory</t>
  </si>
  <si>
    <t>The mission of Western Milling is to provide our customers the best experience of anyone in our industry at every touch, while maintaining a family-oriented, safe working environment that generates long-term value. We aspire to be the leading and most diverse agriculturally-based, nutrient solutions business in the Western United States.
Visit the CCOF Member Directory to learn more: ccof.org/directory</t>
  </si>
  <si>
    <t>All products are certified in accordance with the terms of the US-Canada Organic Equivalency Arrangement (Black and Brown Rice noodles, Black and Brown Rice Pasta, Black and Brown Rice Ramen, Black and Brown Rice udon noodles, Black Rice noodles, Black Rice Pasta, Black Rice Ramen, Black Rice udon noodles, Brown Rice &amp; Buckwheat Noodles, Brown Rice &amp; Buckwheat Pasta, Brown Rice &amp; Buckwheat Ramen, Brown Rice &amp; Millet Ramen, Brown Rice &amp; Millet Angel hair pasta, Brown Rice &amp; Millet Noodles, Brown Rice &amp; Millet Pasta, Buckwheat &amp; Brown Rice Noodles, Buckwheat &amp; Brown Rice Pasta, Buckwheat &amp; Brown Rice Ramen, Buckwheat Noodles, Buckwheat Pasta, Buckwheat Ramen, Forbidden Rice udon noodles, Forbidden Rice noodles, Forbidden Rice Pasta, Forbidden Rice Ramen, Instant Millet and Brown Rice Noodles, Instant Millet and Brown Rice Ramen, Millet &amp; Brown Rice Ramen, Millet &amp; Brown Rice Angel hair pasta, Millet &amp; Brown Rice Noodles, Millet &amp; Brown Rice Pasta, Millet and Brown Rice Pasta, Millet and Brown Rice Angel hair pasta, Millet and Brown Rice Noodles, Millet and Brown Rice Ramen, Millet Ramen, Millet Ramen Noodles.)</t>
  </si>
  <si>
    <t>Real Food, Healthy People, Happy World.
Visit the CCOF Member Directory to learn more: ccof.org/directory</t>
  </si>
  <si>
    <t>Family is a big part of World Variety's success. The Melissa's brand is named after Joe and Sharon's daughter, who takes an active role in the company. Through the years, the company has found stable growth thanks to the support of very loyal customers and a close-knit family of employees dedicated to customer service. After all, Joe Hernandez has made the company philosophy straightforward: "Give the customers what they want and keep them happy!" World Variety is committed to industry and consumer education about specialty produce.
Visit the CCOF Member Directory to learn more: ccof.org/directory</t>
  </si>
  <si>
    <t>Total Certified Acres</t>
  </si>
  <si>
    <t>Number of acres certified organic.</t>
  </si>
  <si>
    <t>Broker</t>
  </si>
  <si>
    <t>Yes as applicable</t>
  </si>
  <si>
    <t>Yes</t>
  </si>
  <si>
    <t>Community Supported Agriculture (CSA)</t>
  </si>
  <si>
    <t>Co-Packer</t>
  </si>
  <si>
    <t>Dairy</t>
  </si>
  <si>
    <t>Distributor</t>
  </si>
  <si>
    <t>Marketer/Trader</t>
  </si>
  <si>
    <t>Restaurant</t>
  </si>
  <si>
    <t>Retail Food Establishment</t>
  </si>
  <si>
    <t>Poultry</t>
  </si>
  <si>
    <t>Private Labeler</t>
  </si>
  <si>
    <t>Slaughterhouse</t>
  </si>
  <si>
    <t>Storage</t>
  </si>
  <si>
    <t>Grower Group</t>
  </si>
  <si>
    <t>Data as of Date</t>
  </si>
  <si>
    <t>Date of last update by certifier. MM/DD/YYYY</t>
  </si>
  <si>
    <t>Organic Certificate</t>
  </si>
  <si>
    <t>Certificates are available for certified operations if the Certifier has selected to use INTEGRITY Certificate Module.</t>
  </si>
</sst>
</file>

<file path=xl/styles.xml><?xml version="1.0" encoding="utf-8"?>
<styleSheet xmlns="http://schemas.openxmlformats.org/spreadsheetml/2006/main">
  <numFmts count="3">
    <numFmt formatCode="m/d/yyyy;@" numFmtId="196"/>
    <numFmt formatCode="mm/dd/yyyy" numFmtId="197"/>
    <numFmt formatCode="mm/dd/yy;@" numFmtId="198"/>
  </numFmts>
  <fonts count="5">
    <font>
      <b val="false"/>
      <i val="false"/>
      <u val="none"/>
      <sz val="11"/>
      <color theme="1"/>
      <name val="Calibri"/>
      <scheme val="minor"/>
    </font>
    <font>
      <b val="false"/>
      <i val="false"/>
      <u val="single"/>
      <sz val="11"/>
      <color theme="10"/>
      <name val="Calibri"/>
      <scheme val="minor"/>
    </font>
    <font>
      <b val="true"/>
      <i val="false"/>
      <u val="none"/>
      <sz val="11"/>
      <color theme="1"/>
      <name val="Calibri"/>
      <scheme val="minor"/>
    </font>
    <font>
      <b val="false"/>
      <i val="true"/>
      <u val="none"/>
      <sz val="11"/>
      <color theme="1"/>
      <name val="Calibri"/>
      <scheme val="minor"/>
    </font>
    <font>
      <b val="false"/>
      <i val="false"/>
      <u val="single"/>
      <sz val="11"/>
      <color rgb="050563C1"/>
      <name val="Calibri"/>
      <scheme val="minor"/>
    </font>
  </fonts>
  <fills count="10">
    <fill>
      <patternFill patternType="none"/>
    </fill>
    <fill>
      <patternFill patternType="gray125"/>
    </fill>
    <fill>
      <patternFill patternType="solid">
        <fgColor theme="7" tint="0.6"/>
        <bgColor rgb="FF000000"/>
      </patternFill>
    </fill>
    <fill>
      <patternFill patternType="solid">
        <fgColor rgb="00FFFFFF"/>
        <bgColor rgb="FF000000"/>
      </patternFill>
    </fill>
    <fill>
      <patternFill patternType="solid">
        <fgColor theme="9" tint="0.8"/>
        <bgColor rgb="FF000000"/>
      </patternFill>
    </fill>
    <fill>
      <patternFill patternType="solid">
        <fgColor theme="9" tint="0.6"/>
        <bgColor rgb="FF000000"/>
      </patternFill>
    </fill>
    <fill>
      <patternFill patternType="solid">
        <fgColor theme="8" tint="0.8"/>
        <bgColor rgb="FF000000"/>
      </patternFill>
    </fill>
    <fill>
      <patternFill patternType="solid">
        <fgColor theme="9" tint="0.4"/>
        <bgColor rgb="FF000000"/>
      </patternFill>
    </fill>
    <fill>
      <patternFill patternType="solid">
        <fgColor theme="5" tint="0.8"/>
        <bgColor rgb="FF000000"/>
      </patternFill>
    </fill>
    <fill>
      <patternFill patternType="solid">
        <fgColor rgb="FFFFFF99"/>
        <bgColor rgb="FF000000"/>
      </patternFill>
    </fill>
  </fills>
  <borders count="3">
    <border>
      <left style="none"/>
      <right style="none"/>
      <top style="none"/>
      <bottom style="none"/>
    </border>
    <border>
      <left style="none"/>
      <right style="none"/>
      <top style="none"/>
      <bottom style="thin">
        <color rgb="FF000000"/>
      </bottom>
    </border>
    <border>
      <left style="none"/>
      <right style="none"/>
      <top style="none"/>
      <bottom style="double">
        <color rgb="FF000000"/>
      </bottom>
    </border>
  </borders>
  <cellStyleXfs count="2">
    <xf numFmtId="0" fontId="0" borderId="0" xfId="0" applyNumberFormat="true" applyFont="true" applyFill="true" applyBorder="true" applyAlignment="true" applyProtection="true"/>
    <xf numFmtId="0" fontId="1" borderId="0" xfId="0" applyNumberFormat="false" applyFont="true" applyFill="false" applyBorder="false" applyAlignment="false" applyProtection="false"/>
  </cellStyleXfs>
  <cellXfs count="33">
    <xf numFmtId="0" fontId="0" borderId="0" xfId="0" applyNumberFormat="true" applyFont="true" applyFill="true" applyBorder="true" applyAlignment="true" applyProtection="true"/>
    <xf numFmtId="0" fontId="1" borderId="0" xfId="1" applyNumberFormat="false" applyFont="true" applyFill="false" applyBorder="false" applyAlignment="false" applyProtection="false"/>
    <xf numFmtId="0" fontId="2" fillId="2" borderId="1" xfId="0" applyFont="true" applyFill="true" applyBorder="true">
      <alignment horizontal="left" vertical="top" wrapText="true"/>
    </xf>
    <xf numFmtId="0" fontId="0" borderId="2" xfId="0" applyBorder="true"/>
    <xf numFmtId="0" fontId="3" borderId="2" xfId="0" applyFont="true" applyBorder="true">
      <alignment horizontal="left" vertical="top" wrapText="true"/>
    </xf>
    <xf numFmtId="0" fontId="0" borderId="2" xfId="0" applyBorder="true">
      <alignment horizontal="left" vertical="top" wrapText="true"/>
    </xf>
    <xf numFmtId="0" fontId="0" borderId="0" xfId="0">
      <alignment vertical="top"/>
    </xf>
    <xf numFmtId="49" fontId="2" fillId="4" borderId="1" xfId="0" applyNumberFormat="true" applyFont="true" applyFill="true" applyBorder="true">
      <alignment horizontal="left" vertical="top" wrapText="true"/>
    </xf>
    <xf numFmtId="49" fontId="0" borderId="2" xfId="0" applyNumberFormat="true" applyBorder="true">
      <alignment horizontal="left" vertical="top" wrapText="true"/>
    </xf>
    <xf numFmtId="49" fontId="3" borderId="2" xfId="0" applyNumberFormat="true" applyFont="true" applyBorder="true">
      <alignment horizontal="left" vertical="top" wrapText="true"/>
    </xf>
    <xf numFmtId="49" fontId="0" borderId="0" xfId="0" applyNumberFormat="true">
      <alignment vertical="top"/>
    </xf>
    <xf numFmtId="0" fontId="2" fillId="4" borderId="1" xfId="0" applyFont="true" applyFill="true" applyBorder="true">
      <alignment horizontal="left" vertical="top" wrapText="true"/>
    </xf>
    <xf numFmtId="0" fontId="2" fillId="5" borderId="1" xfId="0" applyFont="true" applyFill="true" applyBorder="true">
      <alignment horizontal="left" vertical="top" wrapText="true"/>
    </xf>
    <xf numFmtId="196" fontId="2" fillId="5" borderId="1" xfId="0" applyNumberFormat="true" applyFont="true" applyFill="true" applyBorder="true">
      <alignment horizontal="left" vertical="top" wrapText="true"/>
    </xf>
    <xf numFmtId="196" fontId="0" borderId="2" xfId="0" applyNumberFormat="true" applyBorder="true">
      <alignment horizontal="left" vertical="top" wrapText="true"/>
    </xf>
    <xf numFmtId="196" fontId="3" borderId="2" xfId="0" applyNumberFormat="true" applyFont="true" applyBorder="true">
      <alignment horizontal="left" vertical="top" wrapText="true"/>
    </xf>
    <xf numFmtId="197" fontId="0" borderId="0" xfId="0" applyNumberFormat="true">
      <alignment horizontal="center" vertical="top"/>
    </xf>
    <xf numFmtId="198" fontId="3" borderId="2" xfId="0" applyNumberFormat="true" applyFont="true" applyBorder="true">
      <alignment vertical="top" wrapText="true"/>
    </xf>
    <xf numFmtId="198" fontId="0" borderId="0" xfId="0" applyNumberFormat="true">
      <alignment vertical="top"/>
    </xf>
    <xf numFmtId="0" fontId="2" fillId="6" borderId="1" xfId="0" applyFont="true" applyFill="true" applyBorder="true">
      <alignment horizontal="left" vertical="top" wrapText="true"/>
    </xf>
    <xf numFmtId="196" fontId="2" fillId="6" borderId="1" xfId="0" applyNumberFormat="true" applyFont="true" applyFill="true" applyBorder="true">
      <alignment horizontal="left" vertical="top" wrapText="true"/>
    </xf>
    <xf numFmtId="14" fontId="0" borderId="0" xfId="0" applyNumberFormat="true">
      <alignment vertical="top"/>
    </xf>
    <xf numFmtId="0" fontId="2" fillId="7" borderId="1" xfId="0" applyFont="true" applyFill="true" applyBorder="true">
      <alignment horizontal="left" vertical="top" wrapText="true"/>
    </xf>
    <xf numFmtId="0" fontId="2" fillId="8" borderId="1" xfId="0" applyFont="true" applyFill="true" applyBorder="true">
      <alignment horizontal="left" vertical="top" wrapText="true"/>
    </xf>
    <xf numFmtId="2" fontId="0" borderId="0" xfId="0" applyNumberFormat="true">
      <alignment vertical="top"/>
    </xf>
    <xf numFmtId="0" fontId="2" fillId="9" borderId="1" xfId="0" applyFont="true" applyFill="true" applyBorder="true">
      <alignment horizontal="left" vertical="top" wrapText="true"/>
    </xf>
    <xf numFmtId="0" fontId="0" borderId="0" xfId="0">
      <alignment horizontal="center" vertical="top"/>
    </xf>
    <xf numFmtId="196" fontId="2" fillId="2" borderId="1" xfId="0" applyNumberFormat="true" applyFont="true" applyFill="true" applyBorder="true">
      <alignment horizontal="left" vertical="top" wrapText="true"/>
    </xf>
    <xf fontId="4" xfId="1" applyFont="true"/>
    <xf numFmtId="0" fontId="2" borderId="1" xfId="0" applyFont="true" applyBorder="true">
      <alignment horizontal="left" vertical="top" wrapText="true"/>
    </xf>
    <xf numFmtId="0" fontId="2" borderId="1" xfId="0" applyFont="true" applyBorder="true">
      <alignment horizontal="left" vertical="top"/>
    </xf>
    <xf numFmtId="0" fontId="3" borderId="2" xfId="0" applyFont="true" applyBorder="true">
      <alignment vertical="top"/>
    </xf>
    <xf fontId="1" xfId="1" applyFont="true"/>
  </cellXfs>
  <cellStyles count="2">
    <cellStyle name="Normal" xfId="0" builtinId="0"/>
    <cellStyle name="Hyperlink" xfId="1" builtinId="8"/>
  </cellStyles>
  <dxf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majorFont>
      <a:minorFont>
        <a:latin typeface="Calibri"/>
        <a:ea typeface=""/>
        <a:cs typeface=""/>
      </a:minorFont>
    </a:fontScheme>
    <a:fmtScheme name="Office Theme">
      <a:fillStyleLst>
        <a:solidFill>
          <a:schemeClr val="phClr"/>
        </a:solidFill>
        <a:solidFill>
          <a:schemeClr val="phClr"/>
        </a:solidFill>
        <a:solidFill>
          <a:schemeClr val="phClr"/>
        </a:solidFill>
      </a:fillStyleLst>
      <a:lnStyleLst>
        <a:ln>
          <a:solidFill>
            <a:schemeClr val="phClr"/>
          </a:solidFill>
        </a:ln>
        <a:ln>
          <a:solidFill>
            <a:schemeClr val="phClr"/>
          </a:solidFill>
        </a:ln>
        <a:ln>
          <a:solidFill>
            <a:schemeClr val="phClr"/>
          </a:solidFill>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r="http://schemas.openxmlformats.org/officeDocument/2006/relationships" xmlns="http://schemas.openxmlformats.org/spreadsheetml/2006/main">
  <dimension ref="A1:BR2262"/>
  <sheetViews>
    <sheetView zoomScale="100" topLeftCell="AQ1" workbookViewId="0" showGridLines="true" showRowColHeaders="true" view="normal">
      <pane xSplit="0" ySplit="3" topLeftCell="A4" activePane="bottomLeft" state="frozen"/>
      <selection activeCell="BA15" sqref="BA15:BA15" pane="bottomLeft"/>
    </sheetView>
  </sheetViews>
  <sheetFormatPr customHeight="false" defaultColWidth="9.140625" defaultRowHeight="15"/>
  <cols>
    <col min="1" max="1" bestFit="false" customWidth="true" width="17.421875" hidden="false" outlineLevel="0"/>
    <col min="2" max="4" bestFit="false" customWidth="true" style="6" width="27.7109375" hidden="false" outlineLevel="0"/>
    <col min="5" max="5" bestFit="false" customWidth="true" style="10" width="22.7109375" hidden="false" outlineLevel="0"/>
    <col min="6" max="7" bestFit="false" customWidth="true" style="6" width="27.7109375" hidden="false" outlineLevel="0"/>
    <col min="8" max="8" bestFit="false" customWidth="true" style="6" width="22.7109375" hidden="false" outlineLevel="0"/>
    <col min="9" max="9" bestFit="false" customWidth="true" style="6" width="16.7109375" hidden="false" outlineLevel="0"/>
    <col min="10" max="10" bestFit="false" customWidth="true" style="6" width="22.7109375" hidden="false" outlineLevel="0"/>
    <col min="11" max="11" bestFit="false" customWidth="true" style="6" width="16.7109375" hidden="false" outlineLevel="0"/>
    <col min="12" max="12" bestFit="false" customWidth="true" style="21" width="39.7109375" hidden="false" outlineLevel="0"/>
    <col min="13" max="13" bestFit="false" customWidth="true" style="18" width="24.7109375" hidden="false" outlineLevel="0"/>
    <col min="14" max="14" bestFit="false" customWidth="true" style="6" width="20.7109375" hidden="false" outlineLevel="0"/>
    <col min="15" max="15" bestFit="false" customWidth="true" style="21" width="24.7109375" hidden="false" outlineLevel="0"/>
    <col min="16" max="16" bestFit="false" customWidth="true" style="6" width="22.7109375" hidden="false" outlineLevel="0"/>
    <col min="17" max="17" bestFit="false" customWidth="true" style="6" width="16.7109375" hidden="false" outlineLevel="0"/>
    <col min="18" max="18" bestFit="false" customWidth="true" style="6" width="39.7109375" hidden="false" outlineLevel="0"/>
    <col min="19" max="19" bestFit="false" customWidth="true" style="6" width="20.7109375" hidden="false" outlineLevel="0"/>
    <col min="20" max="20" bestFit="false" customWidth="true" style="21" width="24.7109375" hidden="false" outlineLevel="0"/>
    <col min="21" max="21" bestFit="false" customWidth="true" style="6" width="22.7109375" hidden="false" outlineLevel="0"/>
    <col min="22" max="22" bestFit="false" customWidth="true" style="6" width="16.7109375" hidden="false" outlineLevel="0"/>
    <col min="23" max="23" bestFit="false" customWidth="true" style="6" width="39.7109375" hidden="false" outlineLevel="0"/>
    <col min="24" max="24" bestFit="false" customWidth="true" style="6" width="20.7109375" hidden="false" outlineLevel="0"/>
    <col min="25" max="25" bestFit="false" customWidth="true" style="21" width="24.7109375" hidden="false" outlineLevel="0"/>
    <col min="26" max="26" bestFit="false" customWidth="true" style="6" width="22.7109375" hidden="false" outlineLevel="0"/>
    <col min="27" max="27" bestFit="false" customWidth="true" style="6" width="16.7109375" hidden="false" outlineLevel="0"/>
    <col min="28" max="28" bestFit="false" customWidth="true" style="6" width="39.7109375" hidden="false" outlineLevel="0"/>
    <col min="29" max="29" bestFit="false" customWidth="true" style="6" width="20.7109375" hidden="false" outlineLevel="0"/>
    <col min="30" max="30" bestFit="false" customWidth="true" style="21" width="24.7109375" hidden="false" outlineLevel="0"/>
    <col min="31" max="31" bestFit="false" customWidth="true" style="6" width="30.7109375" hidden="false" outlineLevel="0"/>
    <col min="32" max="32" bestFit="false" customWidth="true" style="6" width="20.7109375" hidden="false" outlineLevel="0"/>
    <col min="33" max="34" bestFit="false" customWidth="true" style="6" width="17.7109375" hidden="false" outlineLevel="0"/>
    <col min="35" max="35" bestFit="false" customWidth="true" style="6" width="18.7109375" hidden="false" outlineLevel="0"/>
    <col min="36" max="36" bestFit="false" customWidth="true" style="6" width="13.7109375" hidden="false" outlineLevel="0"/>
    <col min="37" max="37" bestFit="false" customWidth="true" style="6" width="30.7109375" hidden="false" outlineLevel="0"/>
    <col min="38" max="38" bestFit="false" customWidth="true" style="6" width="20.7109375" hidden="false" outlineLevel="0"/>
    <col min="39" max="42" bestFit="false" customWidth="true" style="6" width="17.7109375" hidden="false" outlineLevel="0"/>
    <col min="43" max="43" bestFit="false" customWidth="true" style="6" width="18.7109375" hidden="false" outlineLevel="0"/>
    <col min="44" max="45" bestFit="false" customWidth="true" style="6" width="13.7109375" hidden="false" outlineLevel="0"/>
    <col min="46" max="49" bestFit="false" customWidth="true" style="6" width="20.7109375" hidden="false" outlineLevel="0"/>
    <col min="50" max="50" bestFit="false" customWidth="true" style="6" width="13.7109375" hidden="false" outlineLevel="0"/>
    <col min="51" max="52" bestFit="false" customWidth="true" style="6" width="20.7109375" hidden="false" outlineLevel="0"/>
    <col min="53" max="53" bestFit="false" customWidth="true" style="6" width="25.7109375" hidden="false" outlineLevel="0"/>
    <col min="54" max="54" bestFit="false" customWidth="true" style="6" width="11.7109375" hidden="false" outlineLevel="0"/>
    <col min="55" max="67" bestFit="false" customWidth="true" style="6" width="16.00390625" hidden="false" outlineLevel="0"/>
    <col min="68" max="68" bestFit="false" customWidth="true" style="21" width="16.00390625" hidden="false" outlineLevel="0"/>
    <col min="69" max="69" bestFit="false" customWidth="true" style="32" width="27.7109375" hidden="false" outlineLevel="0"/>
  </cols>
  <sheetData>
    <row r="1" ht="47.25" s="30" customFormat="true" customHeight="true">
      <c r="A1" s="2" t="s">
        <v>0</v>
      </c>
      <c r="B1" s="2" t="s">
        <v>4</v>
      </c>
      <c r="C1" s="2" t="s">
        <v>70</v>
      </c>
      <c r="D1" s="2" t="s">
        <v>136</v>
      </c>
      <c r="E1" s="7" t="s">
        <v>200</v>
      </c>
      <c r="F1" s="11" t="s">
        <v>2461</v>
      </c>
      <c r="G1" s="11" t="s">
        <v>4661</v>
      </c>
      <c r="H1" s="11" t="s">
        <v>4893</v>
      </c>
      <c r="I1" s="11" t="s">
        <v>6914</v>
      </c>
      <c r="J1" s="11" t="s">
        <v>8127</v>
      </c>
      <c r="K1" s="12" t="s">
        <v>9712</v>
      </c>
      <c r="L1" s="13" t="s">
        <v>9715</v>
      </c>
      <c r="M1" s="13" t="s">
        <v>9717</v>
      </c>
      <c r="N1" s="19" t="s">
        <v>9719</v>
      </c>
      <c r="O1" s="20" t="s">
        <v>9722</v>
      </c>
      <c r="P1" s="19" t="s">
        <v>9724</v>
      </c>
      <c r="Q1" s="19" t="s">
        <v>10286</v>
      </c>
      <c r="R1" s="19" t="s">
        <v>10287</v>
      </c>
      <c r="S1" s="19" t="s">
        <v>10461</v>
      </c>
      <c r="T1" s="20" t="s">
        <v>10462</v>
      </c>
      <c r="U1" s="19" t="s">
        <v>10463</v>
      </c>
      <c r="V1" s="19" t="s">
        <v>10511</v>
      </c>
      <c r="W1" s="19" t="s">
        <v>10512</v>
      </c>
      <c r="X1" s="19" t="s">
        <v>10514</v>
      </c>
      <c r="Y1" s="20" t="s">
        <v>10515</v>
      </c>
      <c r="Z1" s="19" t="s">
        <v>10516</v>
      </c>
      <c r="AA1" s="19" t="s">
        <v>10527</v>
      </c>
      <c r="AB1" s="19" t="s">
        <v>10528</v>
      </c>
      <c r="AC1" s="19" t="s">
        <v>10530</v>
      </c>
      <c r="AD1" s="19" t="s">
        <v>10531</v>
      </c>
      <c r="AE1" s="19" t="s">
        <v>10532</v>
      </c>
      <c r="AF1" s="19" t="s">
        <v>12481</v>
      </c>
      <c r="AG1" s="19" t="s">
        <v>12488</v>
      </c>
      <c r="AH1" s="11" t="s">
        <v>13154</v>
      </c>
      <c r="AI1" s="11" t="s">
        <v>15226</v>
      </c>
      <c r="AJ1" s="11" t="s">
        <v>15356</v>
      </c>
      <c r="AK1" s="11" t="s">
        <v>16675</v>
      </c>
      <c r="AL1" s="11" t="s">
        <v>16928</v>
      </c>
      <c r="AM1" s="11" t="s">
        <v>16984</v>
      </c>
      <c r="AN1" s="11" t="s">
        <v>18449</v>
      </c>
      <c r="AO1" s="11" t="s">
        <v>18554</v>
      </c>
      <c r="AP1" s="22" t="s">
        <v>18940</v>
      </c>
      <c r="AQ1" s="22" t="s">
        <v>19544</v>
      </c>
      <c r="AR1" s="22" t="s">
        <v>19586</v>
      </c>
      <c r="AS1" s="22" t="s">
        <v>19788</v>
      </c>
      <c r="AT1" s="22" t="s">
        <v>19798</v>
      </c>
      <c r="AU1" s="22" t="s">
        <v>19799</v>
      </c>
      <c r="AV1" s="22" t="s">
        <v>18449</v>
      </c>
      <c r="AW1" s="22" t="s">
        <v>18554</v>
      </c>
      <c r="AX1" s="11" t="s">
        <v>20113</v>
      </c>
      <c r="AY1" s="11" t="s">
        <v>21850</v>
      </c>
      <c r="AZ1" s="11" t="s">
        <v>23685</v>
      </c>
      <c r="BA1" s="11" t="s">
        <v>24256</v>
      </c>
      <c r="BB1" s="23" t="s">
        <v>24529</v>
      </c>
      <c r="BC1" s="25" t="s">
        <v>24531</v>
      </c>
      <c r="BD1" s="25" t="s">
        <v>24534</v>
      </c>
      <c r="BE1" s="25" t="s">
        <v>24535</v>
      </c>
      <c r="BF1" s="25" t="s">
        <v>24536</v>
      </c>
      <c r="BG1" s="25" t="s">
        <v>24537</v>
      </c>
      <c r="BH1" s="25" t="s">
        <v>24538</v>
      </c>
      <c r="BI1" s="25" t="s">
        <v>24539</v>
      </c>
      <c r="BJ1" s="25" t="s">
        <v>24540</v>
      </c>
      <c r="BK1" s="25" t="s">
        <v>24541</v>
      </c>
      <c r="BL1" s="25" t="s">
        <v>24542</v>
      </c>
      <c r="BM1" s="25" t="s">
        <v>24543</v>
      </c>
      <c r="BN1" s="25" t="s">
        <v>24544</v>
      </c>
      <c r="BO1" s="25" t="s">
        <v>24545</v>
      </c>
      <c r="BP1" s="27" t="s">
        <v>24546</v>
      </c>
      <c r="BQ1" s="27" t="s">
        <v>24548</v>
      </c>
      <c r="BR1" s="29"/>
    </row>
    <row r="2" ht="15.75" s="3" customFormat="true" customHeight="true">
      <c r="A2" s="3" t="s">
        <v>1</v>
      </c>
      <c r="B2" s="5" t="s">
        <v>1</v>
      </c>
      <c r="C2" s="5" t="s">
        <v>1</v>
      </c>
      <c r="D2" s="5" t="s">
        <v>1</v>
      </c>
      <c r="E2" s="8" t="s">
        <v>1</v>
      </c>
      <c r="F2" s="5" t="s">
        <v>1</v>
      </c>
      <c r="G2" s="5" t="s">
        <v>4662</v>
      </c>
      <c r="H2" s="5" t="s">
        <v>4894</v>
      </c>
      <c r="I2" s="5" t="s">
        <v>4894</v>
      </c>
      <c r="J2" s="5" t="s">
        <v>4894</v>
      </c>
      <c r="K2" s="5" t="s">
        <v>1</v>
      </c>
      <c r="L2" s="14" t="s">
        <v>1</v>
      </c>
      <c r="M2" s="5" t="s">
        <v>4894</v>
      </c>
      <c r="N2" s="5" t="s">
        <v>4894</v>
      </c>
      <c r="O2" s="14" t="s">
        <v>4894</v>
      </c>
      <c r="P2" s="5" t="s">
        <v>1</v>
      </c>
      <c r="Q2" s="5"/>
      <c r="R2" s="5" t="s">
        <v>4894</v>
      </c>
      <c r="S2" s="5" t="s">
        <v>4894</v>
      </c>
      <c r="T2" s="14" t="s">
        <v>4894</v>
      </c>
      <c r="U2" s="5"/>
      <c r="V2" s="5"/>
      <c r="W2" s="5"/>
      <c r="X2" s="5" t="s">
        <v>4894</v>
      </c>
      <c r="Y2" s="14" t="s">
        <v>4894</v>
      </c>
      <c r="Z2" s="5"/>
      <c r="AA2" s="5"/>
      <c r="AB2" s="5"/>
      <c r="AC2" s="5" t="s">
        <v>4894</v>
      </c>
      <c r="AD2" s="5" t="s">
        <v>4894</v>
      </c>
      <c r="AE2" s="5"/>
      <c r="AF2" s="5"/>
      <c r="AG2" s="5"/>
      <c r="AH2" s="5" t="s">
        <v>1</v>
      </c>
      <c r="AI2" s="5" t="s">
        <v>4894</v>
      </c>
      <c r="AJ2" s="5" t="s">
        <v>15357</v>
      </c>
      <c r="AK2" s="5" t="s">
        <v>15357</v>
      </c>
      <c r="AL2" s="5" t="s">
        <v>1</v>
      </c>
      <c r="AM2" s="5" t="s">
        <v>15357</v>
      </c>
      <c r="AN2" s="5" t="s">
        <v>4894</v>
      </c>
      <c r="AO2" s="5" t="s">
        <v>4894</v>
      </c>
      <c r="AP2" s="5" t="s">
        <v>1</v>
      </c>
      <c r="AQ2" s="5" t="s">
        <v>4894</v>
      </c>
      <c r="AR2" s="5" t="s">
        <v>15357</v>
      </c>
      <c r="AS2" s="5" t="s">
        <v>15357</v>
      </c>
      <c r="AT2" s="5" t="s">
        <v>1</v>
      </c>
      <c r="AU2" s="5" t="s">
        <v>15357</v>
      </c>
      <c r="AV2" s="5" t="s">
        <v>4894</v>
      </c>
      <c r="AW2" s="5" t="s">
        <v>4894</v>
      </c>
      <c r="AX2" s="5" t="s">
        <v>4894</v>
      </c>
      <c r="AY2" s="5" t="s">
        <v>4894</v>
      </c>
      <c r="AZ2" s="5" t="s">
        <v>4894</v>
      </c>
      <c r="BA2" s="5" t="s">
        <v>4894</v>
      </c>
      <c r="BB2" s="5" t="s">
        <v>4894</v>
      </c>
      <c r="BC2" s="5" t="s">
        <v>4894</v>
      </c>
      <c r="BD2" s="5" t="s">
        <v>4894</v>
      </c>
      <c r="BE2" s="5" t="s">
        <v>4894</v>
      </c>
      <c r="BF2" s="5" t="s">
        <v>4894</v>
      </c>
      <c r="BG2" s="5" t="s">
        <v>4894</v>
      </c>
      <c r="BH2" s="5" t="s">
        <v>4894</v>
      </c>
      <c r="BI2" s="5" t="s">
        <v>4894</v>
      </c>
      <c r="BJ2" s="5" t="s">
        <v>4894</v>
      </c>
      <c r="BK2" s="5" t="s">
        <v>4894</v>
      </c>
      <c r="BL2" s="5" t="s">
        <v>4894</v>
      </c>
      <c r="BM2" s="5" t="s">
        <v>4894</v>
      </c>
      <c r="BN2" s="5" t="s">
        <v>4894</v>
      </c>
      <c r="BO2" s="5" t="s">
        <v>4894</v>
      </c>
      <c r="BP2" s="14" t="s">
        <v>1</v>
      </c>
      <c r="BQ2" s="5" t="s">
        <v>4894</v>
      </c>
    </row>
    <row r="3" ht="92.25" s="31" customFormat="true" customHeight="true">
      <c r="A3" s="4" t="s">
        <v>2</v>
      </c>
      <c r="B3" s="4" t="s">
        <v>5</v>
      </c>
      <c r="C3" s="4" t="s">
        <v>71</v>
      </c>
      <c r="D3" s="4" t="s">
        <v>71</v>
      </c>
      <c r="E3" s="9" t="s">
        <v>201</v>
      </c>
      <c r="F3" s="4" t="s">
        <v>2462</v>
      </c>
      <c r="G3" s="4" t="s">
        <v>4663</v>
      </c>
      <c r="H3" s="9" t="s">
        <v>4895</v>
      </c>
      <c r="I3" s="4"/>
      <c r="J3" s="4"/>
      <c r="K3" s="4" t="s">
        <v>9713</v>
      </c>
      <c r="L3" s="15" t="s">
        <v>9716</v>
      </c>
      <c r="M3" s="17" t="s">
        <v>9718</v>
      </c>
      <c r="N3" s="4" t="s">
        <v>9720</v>
      </c>
      <c r="O3" s="15" t="s">
        <v>9723</v>
      </c>
      <c r="P3" s="4" t="s">
        <v>9725</v>
      </c>
      <c r="Q3" s="4" t="s">
        <v>9725</v>
      </c>
      <c r="R3" s="9" t="s">
        <v>10288</v>
      </c>
      <c r="S3" s="4" t="s">
        <v>9720</v>
      </c>
      <c r="T3" s="15" t="s">
        <v>9723</v>
      </c>
      <c r="U3" s="4" t="s">
        <v>9725</v>
      </c>
      <c r="V3" s="4" t="s">
        <v>9725</v>
      </c>
      <c r="W3" s="9" t="s">
        <v>10288</v>
      </c>
      <c r="X3" s="4" t="s">
        <v>9720</v>
      </c>
      <c r="Y3" s="15" t="s">
        <v>9723</v>
      </c>
      <c r="Z3" s="4" t="s">
        <v>9725</v>
      </c>
      <c r="AA3" s="4" t="s">
        <v>9725</v>
      </c>
      <c r="AB3" s="9" t="s">
        <v>10288</v>
      </c>
      <c r="AC3" s="4" t="s">
        <v>9720</v>
      </c>
      <c r="AD3" s="4" t="s">
        <v>9723</v>
      </c>
      <c r="AE3" s="4" t="s">
        <v>9725</v>
      </c>
      <c r="AF3" s="4" t="s">
        <v>9725</v>
      </c>
      <c r="AG3" s="9" t="s">
        <v>10288</v>
      </c>
      <c r="AH3" s="4" t="s">
        <v>13155</v>
      </c>
      <c r="AI3" s="4"/>
      <c r="AJ3" s="4"/>
      <c r="AK3" s="4"/>
      <c r="AL3" s="4"/>
      <c r="AM3" s="9"/>
      <c r="AN3" s="9"/>
      <c r="AO3" s="9"/>
      <c r="AP3" s="4" t="s">
        <v>13155</v>
      </c>
      <c r="AQ3" s="4"/>
      <c r="AR3" s="4"/>
      <c r="AS3" s="4"/>
      <c r="AT3" s="4"/>
      <c r="AU3" s="9"/>
      <c r="AV3" s="9"/>
      <c r="AW3" s="9"/>
      <c r="AX3" s="9"/>
      <c r="AY3" s="4"/>
      <c r="AZ3" s="4"/>
      <c r="BA3" s="4" t="s">
        <v>24257</v>
      </c>
      <c r="BB3" s="4" t="s">
        <v>24530</v>
      </c>
      <c r="BC3" s="4" t="s">
        <v>24532</v>
      </c>
      <c r="BD3" s="4" t="s">
        <v>24532</v>
      </c>
      <c r="BE3" s="4" t="s">
        <v>24532</v>
      </c>
      <c r="BF3" s="4" t="s">
        <v>24532</v>
      </c>
      <c r="BG3" s="4" t="s">
        <v>24532</v>
      </c>
      <c r="BH3" s="4" t="s">
        <v>24532</v>
      </c>
      <c r="BI3" s="4" t="s">
        <v>24532</v>
      </c>
      <c r="BJ3" s="4" t="s">
        <v>24532</v>
      </c>
      <c r="BK3" s="4" t="s">
        <v>24532</v>
      </c>
      <c r="BL3" s="4" t="s">
        <v>24532</v>
      </c>
      <c r="BM3" s="4" t="s">
        <v>24532</v>
      </c>
      <c r="BN3" s="4" t="s">
        <v>24532</v>
      </c>
      <c r="BO3" s="4" t="s">
        <v>24532</v>
      </c>
      <c r="BP3" s="15" t="s">
        <v>24547</v>
      </c>
      <c r="BQ3" s="17" t="s">
        <v>24549</v>
      </c>
    </row>
    <row r="4" ht="15.75" customHeight="true">
      <c r="A4" t="s">
        <v>3</v>
      </c>
      <c r="B4" s="6" t="s">
        <v>6</v>
      </c>
      <c r="C4" s="6" t="s">
        <v>72</v>
      </c>
      <c r="D4" s="6" t="s">
        <v>137</v>
      </c>
      <c r="E4" s="10" t="s">
        <v>202</v>
      </c>
      <c r="F4" s="6" t="s">
        <v>2463</v>
      </c>
      <c r="G4" s="6" t="s">
        <v>104</v>
      </c>
      <c r="H4" s="6" t="s">
        <v>4896</v>
      </c>
      <c r="I4" s="6" t="s">
        <v>6915</v>
      </c>
      <c r="J4" s="6" t="s">
        <v>8128</v>
      </c>
      <c r="K4" s="6" t="s">
        <v>9714</v>
      </c>
      <c r="L4" s="16" t="n">
        <v>45348</v>
      </c>
      <c r="M4" s="16" t="n">
        <v>45920</v>
      </c>
      <c r="N4" s="6" t="s">
        <v>104</v>
      </c>
      <c r="O4" s="21" t="s">
        <v>104</v>
      </c>
      <c r="P4" s="6" t="s">
        <v>104</v>
      </c>
      <c r="Q4" s="6" t="s">
        <v>104</v>
      </c>
      <c r="R4" s="6" t="s">
        <v>104</v>
      </c>
      <c r="S4" s="6" t="s">
        <v>104</v>
      </c>
      <c r="T4" s="21" t="s">
        <v>104</v>
      </c>
      <c r="U4" s="6" t="s">
        <v>104</v>
      </c>
      <c r="V4" s="6" t="s">
        <v>104</v>
      </c>
      <c r="W4" s="6" t="s">
        <v>104</v>
      </c>
      <c r="X4" s="6" t="s">
        <v>104</v>
      </c>
      <c r="Y4" s="21" t="s">
        <v>104</v>
      </c>
      <c r="Z4" s="6" t="s">
        <v>104</v>
      </c>
      <c r="AA4" s="6" t="s">
        <v>104</v>
      </c>
      <c r="AB4" s="6" t="s">
        <v>104</v>
      </c>
      <c r="AC4" s="6" t="s">
        <v>9714</v>
      </c>
      <c r="AD4" s="16" t="n">
        <v>45348</v>
      </c>
      <c r="AE4" s="6" t="s">
        <v>10533</v>
      </c>
      <c r="AF4" s="6" t="s">
        <v>104</v>
      </c>
      <c r="AG4" s="6" t="s">
        <v>12489</v>
      </c>
      <c r="AH4" s="6" t="s">
        <v>13156</v>
      </c>
      <c r="AI4" s="6" t="s">
        <v>104</v>
      </c>
      <c r="AJ4" s="6" t="s">
        <v>15358</v>
      </c>
      <c r="AK4" s="6" t="s">
        <v>16676</v>
      </c>
      <c r="AL4" s="6" t="s">
        <v>16929</v>
      </c>
      <c r="AM4" s="6" t="s">
        <v>16985</v>
      </c>
      <c r="AN4" s="6" t="s">
        <v>104</v>
      </c>
      <c r="AO4" s="6" t="s">
        <v>104</v>
      </c>
      <c r="AP4" s="6" t="s">
        <v>104</v>
      </c>
      <c r="AQ4" s="6" t="s">
        <v>104</v>
      </c>
      <c r="AR4" s="6" t="s">
        <v>104</v>
      </c>
      <c r="AS4" s="6" t="s">
        <v>104</v>
      </c>
      <c r="AT4" s="6" t="s">
        <v>104</v>
      </c>
      <c r="AU4" s="6" t="s">
        <v>104</v>
      </c>
      <c r="AV4" s="6" t="s">
        <v>104</v>
      </c>
      <c r="AW4" s="6" t="s">
        <v>104</v>
      </c>
      <c r="AX4" s="6" t="s">
        <v>20114</v>
      </c>
      <c r="AY4" s="6" t="s">
        <v>21851</v>
      </c>
      <c r="AZ4" s="6" t="s">
        <v>104</v>
      </c>
      <c r="BA4" s="6" t="s">
        <v>24258</v>
      </c>
      <c r="BB4" s="6" t="s">
        <v>104</v>
      </c>
      <c r="BC4" s="26"/>
      <c r="BD4" s="26"/>
      <c r="BE4" s="26"/>
      <c r="BF4" s="26"/>
      <c r="BG4" s="26"/>
      <c r="BH4" s="26"/>
      <c r="BI4" s="26"/>
      <c r="BJ4" s="26"/>
      <c r="BK4" s="26"/>
      <c r="BL4" s="26"/>
      <c r="BM4" s="26"/>
      <c r="BN4" s="26"/>
      <c r="BO4" s="26"/>
      <c r="BP4" s="16" t="n">
        <v>45737</v>
      </c>
      <c r="BQ4" s="28" t="str">
        <f>HYPERLINK("https://organic.ams.usda.gov/Integrity/Certificate.aspx?cid=32&amp;nopid=2230010764")</f>
        <v>https://organic.ams.usda.gov/Integrity/Certificate.aspx?cid=32&amp;nopid=2230010764</v>
      </c>
    </row>
    <row r="5">
      <c r="A5" t="s">
        <v>3</v>
      </c>
      <c r="B5" s="6" t="s">
        <v>6</v>
      </c>
      <c r="C5" s="6" t="s">
        <v>72</v>
      </c>
      <c r="D5" s="6" t="s">
        <v>137</v>
      </c>
      <c r="E5" s="10" t="s">
        <v>203</v>
      </c>
      <c r="F5" s="6" t="s">
        <v>2464</v>
      </c>
      <c r="G5" s="6" t="s">
        <v>104</v>
      </c>
      <c r="H5" s="6" t="s">
        <v>4897</v>
      </c>
      <c r="I5" s="6" t="s">
        <v>6916</v>
      </c>
      <c r="J5" s="6" t="s">
        <v>8129</v>
      </c>
      <c r="K5" s="6" t="s">
        <v>9714</v>
      </c>
      <c r="L5" s="16" t="n">
        <v>42500</v>
      </c>
      <c r="M5" s="16" t="n">
        <v>45794</v>
      </c>
      <c r="N5" s="6" t="s">
        <v>104</v>
      </c>
      <c r="O5" s="21" t="s">
        <v>104</v>
      </c>
      <c r="P5" s="6" t="s">
        <v>104</v>
      </c>
      <c r="Q5" s="6" t="s">
        <v>104</v>
      </c>
      <c r="R5" s="6" t="s">
        <v>104</v>
      </c>
      <c r="S5" s="6" t="s">
        <v>104</v>
      </c>
      <c r="T5" s="21" t="s">
        <v>104</v>
      </c>
      <c r="U5" s="6" t="s">
        <v>104</v>
      </c>
      <c r="V5" s="6" t="s">
        <v>104</v>
      </c>
      <c r="W5" s="6" t="s">
        <v>104</v>
      </c>
      <c r="X5" s="6" t="s">
        <v>104</v>
      </c>
      <c r="Y5" s="21" t="s">
        <v>104</v>
      </c>
      <c r="Z5" s="6" t="s">
        <v>104</v>
      </c>
      <c r="AA5" s="6" t="s">
        <v>104</v>
      </c>
      <c r="AB5" s="6" t="s">
        <v>104</v>
      </c>
      <c r="AC5" s="6" t="s">
        <v>9714</v>
      </c>
      <c r="AD5" s="16" t="n">
        <v>42500</v>
      </c>
      <c r="AE5" s="6" t="s">
        <v>10534</v>
      </c>
      <c r="AF5" s="6" t="s">
        <v>104</v>
      </c>
      <c r="AG5" s="6" t="s">
        <v>12490</v>
      </c>
      <c r="AH5" s="6" t="s">
        <v>13157</v>
      </c>
      <c r="AI5" s="6" t="s">
        <v>104</v>
      </c>
      <c r="AJ5" s="6" t="s">
        <v>15359</v>
      </c>
      <c r="AK5" s="6" t="s">
        <v>16677</v>
      </c>
      <c r="AL5" s="6" t="s">
        <v>16930</v>
      </c>
      <c r="AM5" s="6" t="s">
        <v>16986</v>
      </c>
      <c r="AN5" s="6" t="s">
        <v>104</v>
      </c>
      <c r="AO5" s="6" t="s">
        <v>104</v>
      </c>
      <c r="AP5" s="6" t="s">
        <v>104</v>
      </c>
      <c r="AQ5" s="6" t="s">
        <v>104</v>
      </c>
      <c r="AR5" s="6" t="s">
        <v>104</v>
      </c>
      <c r="AS5" s="6" t="s">
        <v>104</v>
      </c>
      <c r="AT5" s="6" t="s">
        <v>104</v>
      </c>
      <c r="AU5" s="6" t="s">
        <v>104</v>
      </c>
      <c r="AV5" s="6" t="s">
        <v>104</v>
      </c>
      <c r="AW5" s="6" t="s">
        <v>104</v>
      </c>
      <c r="AX5" s="6" t="s">
        <v>20115</v>
      </c>
      <c r="AY5" s="6" t="s">
        <v>21852</v>
      </c>
      <c r="AZ5" s="6" t="s">
        <v>104</v>
      </c>
      <c r="BA5" s="6" t="s">
        <v>104</v>
      </c>
      <c r="BB5" s="6" t="s">
        <v>104</v>
      </c>
      <c r="BC5" s="26"/>
      <c r="BD5" s="26"/>
      <c r="BE5" s="26"/>
      <c r="BF5" s="26"/>
      <c r="BG5" s="26"/>
      <c r="BH5" s="26"/>
      <c r="BI5" s="26"/>
      <c r="BJ5" s="26"/>
      <c r="BK5" s="26"/>
      <c r="BL5" s="26"/>
      <c r="BM5" s="26"/>
      <c r="BN5" s="26"/>
      <c r="BO5" s="26"/>
      <c r="BP5" s="16" t="n">
        <v>45737</v>
      </c>
      <c r="BQ5" s="28" t="str">
        <f>HYPERLINK("https://organic.ams.usda.gov/Integrity/Certificate.aspx?cid=32&amp;nopid=2230004462")</f>
        <v>https://organic.ams.usda.gov/Integrity/Certificate.aspx?cid=32&amp;nopid=2230004462</v>
      </c>
    </row>
    <row r="6">
      <c r="A6" t="s">
        <v>3</v>
      </c>
      <c r="B6" s="6" t="s">
        <v>7</v>
      </c>
      <c r="C6" s="6" t="s">
        <v>73</v>
      </c>
      <c r="D6" s="6" t="s">
        <v>138</v>
      </c>
      <c r="E6" s="10" t="s">
        <v>204</v>
      </c>
      <c r="F6" s="6" t="s">
        <v>2465</v>
      </c>
      <c r="G6" s="6" t="s">
        <v>104</v>
      </c>
      <c r="H6" s="6" t="s">
        <v>4898</v>
      </c>
      <c r="I6" s="6" t="s">
        <v>6917</v>
      </c>
      <c r="J6" s="6" t="s">
        <v>8130</v>
      </c>
      <c r="K6" s="6" t="s">
        <v>9714</v>
      </c>
      <c r="L6" s="16" t="n">
        <v>43117</v>
      </c>
      <c r="M6" s="16" t="n">
        <v>45658</v>
      </c>
      <c r="N6" s="6" t="s">
        <v>104</v>
      </c>
      <c r="O6" s="21" t="s">
        <v>104</v>
      </c>
      <c r="P6" s="6" t="s">
        <v>104</v>
      </c>
      <c r="Q6" s="6" t="s">
        <v>104</v>
      </c>
      <c r="R6" s="6" t="s">
        <v>104</v>
      </c>
      <c r="S6" s="6" t="s">
        <v>104</v>
      </c>
      <c r="T6" s="21" t="s">
        <v>104</v>
      </c>
      <c r="U6" s="6" t="s">
        <v>104</v>
      </c>
      <c r="V6" s="6" t="s">
        <v>104</v>
      </c>
      <c r="W6" s="6" t="s">
        <v>104</v>
      </c>
      <c r="X6" s="6" t="s">
        <v>104</v>
      </c>
      <c r="Y6" s="21" t="s">
        <v>104</v>
      </c>
      <c r="Z6" s="6" t="s">
        <v>104</v>
      </c>
      <c r="AA6" s="6" t="s">
        <v>104</v>
      </c>
      <c r="AB6" s="6" t="s">
        <v>104</v>
      </c>
      <c r="AC6" s="6" t="s">
        <v>9714</v>
      </c>
      <c r="AD6" s="16" t="n">
        <v>43117</v>
      </c>
      <c r="AE6" s="6" t="s">
        <v>10535</v>
      </c>
      <c r="AF6" s="6" t="s">
        <v>104</v>
      </c>
      <c r="AG6" s="6" t="s">
        <v>104</v>
      </c>
      <c r="AH6" s="6" t="s">
        <v>13158</v>
      </c>
      <c r="AI6" s="6" t="s">
        <v>104</v>
      </c>
      <c r="AJ6" s="6" t="s">
        <v>15360</v>
      </c>
      <c r="AK6" s="6" t="s">
        <v>16678</v>
      </c>
      <c r="AL6" s="6" t="s">
        <v>16931</v>
      </c>
      <c r="AM6" s="6" t="s">
        <v>16987</v>
      </c>
      <c r="AN6" s="6" t="s">
        <v>18450</v>
      </c>
      <c r="AO6" s="6" t="s">
        <v>18555</v>
      </c>
      <c r="AP6" s="6" t="s">
        <v>18941</v>
      </c>
      <c r="AQ6" s="6" t="s">
        <v>104</v>
      </c>
      <c r="AR6" s="6" t="s">
        <v>15360</v>
      </c>
      <c r="AS6" s="6" t="s">
        <v>16678</v>
      </c>
      <c r="AT6" s="6" t="s">
        <v>16931</v>
      </c>
      <c r="AU6" s="6" t="s">
        <v>16987</v>
      </c>
      <c r="AV6" s="6" t="s">
        <v>104</v>
      </c>
      <c r="AW6" s="6" t="s">
        <v>104</v>
      </c>
      <c r="AX6" s="6" t="s">
        <v>20116</v>
      </c>
      <c r="AY6" s="6" t="s">
        <v>21853</v>
      </c>
      <c r="AZ6" s="6" t="s">
        <v>23686</v>
      </c>
      <c r="BA6" s="6" t="s">
        <v>104</v>
      </c>
      <c r="BB6" s="24" t="n">
        <v>0</v>
      </c>
      <c r="BC6" s="26"/>
      <c r="BD6" s="26"/>
      <c r="BE6" s="26"/>
      <c r="BF6" s="26"/>
      <c r="BG6" s="26"/>
      <c r="BH6" s="26"/>
      <c r="BI6" s="26"/>
      <c r="BJ6" s="26"/>
      <c r="BK6" s="26"/>
      <c r="BL6" s="26"/>
      <c r="BM6" s="26"/>
      <c r="BN6" s="26"/>
      <c r="BO6" s="26"/>
      <c r="BP6" s="16" t="n">
        <v>45615</v>
      </c>
      <c r="BQ6" s="28" t="str">
        <f>HYPERLINK("https://organic.ams.usda.gov/Integrity/Certificate.aspx?cid=33&amp;nopid=2170421051")</f>
        <v>https://organic.ams.usda.gov/Integrity/Certificate.aspx?cid=33&amp;nopid=2170421051</v>
      </c>
    </row>
    <row r="7">
      <c r="A7" t="s">
        <v>3</v>
      </c>
      <c r="B7" s="6" t="s">
        <v>8</v>
      </c>
      <c r="C7" s="6" t="s">
        <v>74</v>
      </c>
      <c r="D7" s="6" t="s">
        <v>139</v>
      </c>
      <c r="E7" s="10" t="s">
        <v>205</v>
      </c>
      <c r="F7" s="6" t="s">
        <v>2466</v>
      </c>
      <c r="G7" s="6" t="s">
        <v>4664</v>
      </c>
      <c r="H7" s="6" t="s">
        <v>205</v>
      </c>
      <c r="I7" s="6" t="s">
        <v>6918</v>
      </c>
      <c r="J7" s="6" t="s">
        <v>8131</v>
      </c>
      <c r="K7" s="6" t="s">
        <v>9714</v>
      </c>
      <c r="L7" s="16" t="n">
        <v>45576</v>
      </c>
      <c r="M7" s="16" t="n">
        <v>45576</v>
      </c>
      <c r="N7" s="6" t="s">
        <v>104</v>
      </c>
      <c r="O7" s="21" t="s">
        <v>104</v>
      </c>
      <c r="P7" s="6" t="s">
        <v>104</v>
      </c>
      <c r="Q7" s="6" t="s">
        <v>104</v>
      </c>
      <c r="R7" s="6" t="s">
        <v>104</v>
      </c>
      <c r="S7" s="6" t="s">
        <v>104</v>
      </c>
      <c r="T7" s="21" t="s">
        <v>104</v>
      </c>
      <c r="U7" s="6" t="s">
        <v>104</v>
      </c>
      <c r="V7" s="6" t="s">
        <v>104</v>
      </c>
      <c r="W7" s="6" t="s">
        <v>104</v>
      </c>
      <c r="X7" s="6" t="s">
        <v>104</v>
      </c>
      <c r="Y7" s="21" t="s">
        <v>104</v>
      </c>
      <c r="Z7" s="6" t="s">
        <v>104</v>
      </c>
      <c r="AA7" s="6" t="s">
        <v>104</v>
      </c>
      <c r="AB7" s="6" t="s">
        <v>104</v>
      </c>
      <c r="AC7" s="6" t="s">
        <v>9714</v>
      </c>
      <c r="AD7" s="16" t="n">
        <v>45576</v>
      </c>
      <c r="AE7" s="6" t="s">
        <v>10536</v>
      </c>
      <c r="AF7" s="6" t="s">
        <v>104</v>
      </c>
      <c r="AG7" s="6" t="s">
        <v>104</v>
      </c>
      <c r="AH7" s="6" t="s">
        <v>13159</v>
      </c>
      <c r="AI7" s="6" t="s">
        <v>104</v>
      </c>
      <c r="AJ7" s="6" t="s">
        <v>15361</v>
      </c>
      <c r="AK7" s="6" t="s">
        <v>16679</v>
      </c>
      <c r="AL7" s="6" t="s">
        <v>16931</v>
      </c>
      <c r="AM7" s="6" t="s">
        <v>16988</v>
      </c>
      <c r="AN7" s="6" t="s">
        <v>104</v>
      </c>
      <c r="AO7" s="6" t="s">
        <v>104</v>
      </c>
      <c r="AP7" s="6" t="s">
        <v>18942</v>
      </c>
      <c r="AQ7" s="6" t="s">
        <v>104</v>
      </c>
      <c r="AR7" s="6" t="s">
        <v>15361</v>
      </c>
      <c r="AS7" s="6" t="s">
        <v>16679</v>
      </c>
      <c r="AT7" s="6" t="s">
        <v>16931</v>
      </c>
      <c r="AU7" s="6" t="s">
        <v>16988</v>
      </c>
      <c r="AV7" s="6" t="s">
        <v>104</v>
      </c>
      <c r="AW7" s="6" t="s">
        <v>104</v>
      </c>
      <c r="AX7" s="6" t="s">
        <v>20117</v>
      </c>
      <c r="AY7" s="6" t="s">
        <v>21854</v>
      </c>
      <c r="AZ7" s="6" t="s">
        <v>104</v>
      </c>
      <c r="BA7" s="6" t="s">
        <v>104</v>
      </c>
      <c r="BB7" s="6" t="s">
        <v>104</v>
      </c>
      <c r="BC7" s="26"/>
      <c r="BD7" s="26"/>
      <c r="BE7" s="26"/>
      <c r="BF7" s="26"/>
      <c r="BG7" s="26"/>
      <c r="BH7" s="26"/>
      <c r="BI7" s="26"/>
      <c r="BJ7" s="26"/>
      <c r="BK7" s="26"/>
      <c r="BL7" s="26"/>
      <c r="BM7" s="26"/>
      <c r="BN7" s="26"/>
      <c r="BO7" s="26"/>
      <c r="BP7" s="16" t="n">
        <v>45576</v>
      </c>
      <c r="BQ7" s="28" t="str">
        <f>HYPERLINK("https://organic.ams.usda.gov/Integrity/Certificate.aspx?cid=48&amp;nopid=1461096508")</f>
        <v>https://organic.ams.usda.gov/Integrity/Certificate.aspx?cid=48&amp;nopid=1461096508</v>
      </c>
    </row>
    <row r="8">
      <c r="A8" t="s">
        <v>3</v>
      </c>
      <c r="B8" s="6" t="s">
        <v>9</v>
      </c>
      <c r="C8" s="6" t="s">
        <v>75</v>
      </c>
      <c r="D8" s="6" t="s">
        <v>140</v>
      </c>
      <c r="E8" s="10" t="s">
        <v>206</v>
      </c>
      <c r="F8" s="6" t="s">
        <v>2467</v>
      </c>
      <c r="G8" s="6" t="s">
        <v>104</v>
      </c>
      <c r="H8" s="6" t="s">
        <v>4899</v>
      </c>
      <c r="I8" s="6" t="s">
        <v>6919</v>
      </c>
      <c r="J8" s="6" t="s">
        <v>8132</v>
      </c>
      <c r="K8" s="6" t="s">
        <v>9714</v>
      </c>
      <c r="L8" s="16" t="n">
        <v>43067</v>
      </c>
      <c r="M8" s="16" t="n">
        <v>45989</v>
      </c>
      <c r="N8" s="6" t="s">
        <v>9714</v>
      </c>
      <c r="O8" s="16" t="n">
        <v>43067</v>
      </c>
      <c r="P8" s="6" t="s">
        <v>9726</v>
      </c>
      <c r="Q8" s="6" t="s">
        <v>104</v>
      </c>
      <c r="R8" s="6" t="s">
        <v>10289</v>
      </c>
      <c r="S8" s="6" t="s">
        <v>104</v>
      </c>
      <c r="T8" s="21" t="s">
        <v>104</v>
      </c>
      <c r="U8" s="6" t="s">
        <v>104</v>
      </c>
      <c r="V8" s="6" t="s">
        <v>104</v>
      </c>
      <c r="W8" s="6" t="s">
        <v>104</v>
      </c>
      <c r="X8" s="6" t="s">
        <v>104</v>
      </c>
      <c r="Y8" s="21" t="s">
        <v>104</v>
      </c>
      <c r="Z8" s="6" t="s">
        <v>104</v>
      </c>
      <c r="AA8" s="6" t="s">
        <v>104</v>
      </c>
      <c r="AB8" s="6" t="s">
        <v>104</v>
      </c>
      <c r="AC8" s="6" t="s">
        <v>104</v>
      </c>
      <c r="AD8" s="21" t="s">
        <v>104</v>
      </c>
      <c r="AE8" s="6" t="s">
        <v>104</v>
      </c>
      <c r="AF8" s="6" t="s">
        <v>104</v>
      </c>
      <c r="AG8" s="6" t="s">
        <v>104</v>
      </c>
      <c r="AH8" s="6" t="s">
        <v>104</v>
      </c>
      <c r="AI8" s="6" t="s">
        <v>104</v>
      </c>
      <c r="AJ8" s="6" t="s">
        <v>104</v>
      </c>
      <c r="AK8" s="6" t="s">
        <v>104</v>
      </c>
      <c r="AL8" s="6" t="s">
        <v>104</v>
      </c>
      <c r="AM8" s="6" t="s">
        <v>104</v>
      </c>
      <c r="AN8" s="6" t="s">
        <v>104</v>
      </c>
      <c r="AO8" s="6" t="s">
        <v>104</v>
      </c>
      <c r="AP8" s="6" t="s">
        <v>18943</v>
      </c>
      <c r="AQ8" s="6" t="s">
        <v>104</v>
      </c>
      <c r="AR8" s="6" t="s">
        <v>15428</v>
      </c>
      <c r="AS8" s="6" t="s">
        <v>16687</v>
      </c>
      <c r="AT8" s="6" t="s">
        <v>16931</v>
      </c>
      <c r="AU8" s="6" t="s">
        <v>17322</v>
      </c>
      <c r="AV8" s="6" t="s">
        <v>18471</v>
      </c>
      <c r="AW8" s="6" t="s">
        <v>18579</v>
      </c>
      <c r="AX8" s="6" t="s">
        <v>20118</v>
      </c>
      <c r="AY8" s="6" t="s">
        <v>21855</v>
      </c>
      <c r="AZ8" s="6" t="s">
        <v>104</v>
      </c>
      <c r="BA8" s="6" t="s">
        <v>104</v>
      </c>
      <c r="BB8" s="24" t="n">
        <v>2861</v>
      </c>
      <c r="BC8" s="26"/>
      <c r="BD8" s="26"/>
      <c r="BE8" s="26"/>
      <c r="BF8" s="26"/>
      <c r="BG8" s="26"/>
      <c r="BH8" s="26"/>
      <c r="BI8" s="26"/>
      <c r="BJ8" s="26"/>
      <c r="BK8" s="26"/>
      <c r="BL8" s="26"/>
      <c r="BM8" s="26"/>
      <c r="BN8" s="26"/>
      <c r="BO8" s="26"/>
      <c r="BP8" s="16" t="n">
        <v>45680</v>
      </c>
      <c r="BQ8" s="28" t="str">
        <f>HYPERLINK("https://organic.ams.usda.gov/Integrity/Certificate.aspx?cid=63&amp;nopid=6220007611")</f>
        <v>https://organic.ams.usda.gov/Integrity/Certificate.aspx?cid=63&amp;nopid=6220007611</v>
      </c>
    </row>
    <row r="9">
      <c r="A9" t="s">
        <v>3</v>
      </c>
      <c r="B9" s="6" t="s">
        <v>10</v>
      </c>
      <c r="C9" s="6" t="s">
        <v>76</v>
      </c>
      <c r="D9" s="6" t="s">
        <v>141</v>
      </c>
      <c r="E9" s="10" t="s">
        <v>207</v>
      </c>
      <c r="F9" s="6" t="s">
        <v>2468</v>
      </c>
      <c r="G9" s="6" t="s">
        <v>104</v>
      </c>
      <c r="H9" s="6" t="s">
        <v>207</v>
      </c>
      <c r="I9" s="6" t="s">
        <v>6920</v>
      </c>
      <c r="J9" s="6" t="s">
        <v>8133</v>
      </c>
      <c r="K9" s="6" t="s">
        <v>9714</v>
      </c>
      <c r="L9" s="16" t="n">
        <v>45420</v>
      </c>
      <c r="M9" s="16" t="n">
        <v>45703</v>
      </c>
      <c r="N9" s="6" t="s">
        <v>9714</v>
      </c>
      <c r="O9" s="16" t="n">
        <v>45420</v>
      </c>
      <c r="P9" s="6" t="s">
        <v>9727</v>
      </c>
      <c r="Q9" s="6" t="s">
        <v>104</v>
      </c>
      <c r="R9" s="6" t="s">
        <v>2468</v>
      </c>
      <c r="S9" s="6" t="s">
        <v>9714</v>
      </c>
      <c r="T9" s="16" t="n">
        <v>45420</v>
      </c>
      <c r="U9" s="6" t="s">
        <v>10464</v>
      </c>
      <c r="V9" s="6" t="s">
        <v>104</v>
      </c>
      <c r="W9" s="6" t="s">
        <v>2468</v>
      </c>
      <c r="X9" s="6" t="s">
        <v>104</v>
      </c>
      <c r="Y9" s="21" t="s">
        <v>104</v>
      </c>
      <c r="Z9" s="6" t="s">
        <v>104</v>
      </c>
      <c r="AA9" s="6" t="s">
        <v>104</v>
      </c>
      <c r="AB9" s="6" t="s">
        <v>104</v>
      </c>
      <c r="AC9" s="6" t="s">
        <v>104</v>
      </c>
      <c r="AD9" s="21" t="s">
        <v>104</v>
      </c>
      <c r="AE9" s="6" t="s">
        <v>104</v>
      </c>
      <c r="AF9" s="6" t="s">
        <v>104</v>
      </c>
      <c r="AG9" s="6" t="s">
        <v>104</v>
      </c>
      <c r="AH9" s="6" t="s">
        <v>13160</v>
      </c>
      <c r="AI9" s="6" t="s">
        <v>104</v>
      </c>
      <c r="AJ9" s="6" t="s">
        <v>15362</v>
      </c>
      <c r="AK9" s="6" t="s">
        <v>16680</v>
      </c>
      <c r="AL9" s="6" t="s">
        <v>16931</v>
      </c>
      <c r="AM9" s="6" t="s">
        <v>16989</v>
      </c>
      <c r="AN9" s="6" t="s">
        <v>104</v>
      </c>
      <c r="AO9" s="6" t="s">
        <v>104</v>
      </c>
      <c r="AP9" s="6" t="s">
        <v>13160</v>
      </c>
      <c r="AQ9" s="6" t="s">
        <v>104</v>
      </c>
      <c r="AR9" s="6" t="s">
        <v>15362</v>
      </c>
      <c r="AS9" s="6" t="s">
        <v>16680</v>
      </c>
      <c r="AT9" s="6" t="s">
        <v>16931</v>
      </c>
      <c r="AU9" s="6" t="s">
        <v>16989</v>
      </c>
      <c r="AV9" s="6" t="s">
        <v>104</v>
      </c>
      <c r="AW9" s="6" t="s">
        <v>104</v>
      </c>
      <c r="AX9" s="6" t="s">
        <v>20119</v>
      </c>
      <c r="AY9" s="6" t="s">
        <v>21856</v>
      </c>
      <c r="AZ9" s="6" t="s">
        <v>23687</v>
      </c>
      <c r="BA9" s="6" t="s">
        <v>104</v>
      </c>
      <c r="BB9" s="24" t="n">
        <v>68</v>
      </c>
      <c r="BC9" s="26"/>
      <c r="BD9" s="26"/>
      <c r="BE9" s="26"/>
      <c r="BF9" s="26"/>
      <c r="BG9" s="26"/>
      <c r="BH9" s="26"/>
      <c r="BI9" s="26"/>
      <c r="BJ9" s="26"/>
      <c r="BK9" s="26" t="s">
        <v>24533</v>
      </c>
      <c r="BL9" s="26"/>
      <c r="BM9" s="26"/>
      <c r="BN9" s="26"/>
      <c r="BO9" s="26"/>
      <c r="BP9" s="16" t="n">
        <v>45429</v>
      </c>
      <c r="BQ9" s="28" t="str">
        <f>HYPERLINK("https://organic.ams.usda.gov/Integrity/Certificate.aspx?cid=8&amp;nopid=2202404600")</f>
        <v>https://organic.ams.usda.gov/Integrity/Certificate.aspx?cid=8&amp;nopid=2202404600</v>
      </c>
    </row>
    <row r="10">
      <c r="A10" t="s">
        <v>3</v>
      </c>
      <c r="B10" s="6" t="s">
        <v>11</v>
      </c>
      <c r="C10" s="6" t="s">
        <v>77</v>
      </c>
      <c r="D10" s="6" t="s">
        <v>142</v>
      </c>
      <c r="E10" s="10" t="s">
        <v>208</v>
      </c>
      <c r="F10" s="6" t="s">
        <v>2469</v>
      </c>
      <c r="G10" s="6" t="s">
        <v>104</v>
      </c>
      <c r="H10" s="6" t="s">
        <v>4900</v>
      </c>
      <c r="I10" s="6" t="s">
        <v>6921</v>
      </c>
      <c r="J10" s="6" t="s">
        <v>8134</v>
      </c>
      <c r="K10" s="6" t="s">
        <v>9714</v>
      </c>
      <c r="L10" s="16" t="n">
        <v>42600</v>
      </c>
      <c r="M10" s="16" t="n">
        <v>45887</v>
      </c>
      <c r="N10" s="6" t="s">
        <v>9714</v>
      </c>
      <c r="O10" s="16" t="n">
        <v>42600</v>
      </c>
      <c r="P10" s="6" t="s">
        <v>9728</v>
      </c>
      <c r="Q10" s="6" t="s">
        <v>104</v>
      </c>
      <c r="R10" s="6" t="s">
        <v>104</v>
      </c>
      <c r="S10" s="6" t="s">
        <v>104</v>
      </c>
      <c r="T10" s="21" t="s">
        <v>104</v>
      </c>
      <c r="U10" s="6" t="s">
        <v>104</v>
      </c>
      <c r="V10" s="6" t="s">
        <v>104</v>
      </c>
      <c r="W10" s="6" t="s">
        <v>104</v>
      </c>
      <c r="X10" s="6" t="s">
        <v>104</v>
      </c>
      <c r="Y10" s="21" t="s">
        <v>104</v>
      </c>
      <c r="Z10" s="6" t="s">
        <v>104</v>
      </c>
      <c r="AA10" s="6" t="s">
        <v>104</v>
      </c>
      <c r="AB10" s="6" t="s">
        <v>104</v>
      </c>
      <c r="AC10" s="6" t="s">
        <v>9714</v>
      </c>
      <c r="AD10" s="16" t="n">
        <v>42600</v>
      </c>
      <c r="AE10" s="6" t="s">
        <v>10537</v>
      </c>
      <c r="AF10" s="6" t="s">
        <v>104</v>
      </c>
      <c r="AG10" s="6" t="s">
        <v>104</v>
      </c>
      <c r="AH10" s="6" t="s">
        <v>13161</v>
      </c>
      <c r="AI10" s="6" t="s">
        <v>104</v>
      </c>
      <c r="AJ10" s="6" t="s">
        <v>15363</v>
      </c>
      <c r="AK10" s="6" t="s">
        <v>15363</v>
      </c>
      <c r="AL10" s="6" t="s">
        <v>15513</v>
      </c>
      <c r="AM10" s="6" t="s">
        <v>16990</v>
      </c>
      <c r="AN10" s="6" t="s">
        <v>104</v>
      </c>
      <c r="AO10" s="6" t="s">
        <v>104</v>
      </c>
      <c r="AP10" s="6" t="s">
        <v>13161</v>
      </c>
      <c r="AQ10" s="6" t="s">
        <v>104</v>
      </c>
      <c r="AR10" s="6" t="s">
        <v>15363</v>
      </c>
      <c r="AS10" s="6" t="s">
        <v>15363</v>
      </c>
      <c r="AT10" s="6" t="s">
        <v>15513</v>
      </c>
      <c r="AU10" s="6" t="s">
        <v>16990</v>
      </c>
      <c r="AV10" s="6" t="s">
        <v>104</v>
      </c>
      <c r="AW10" s="6" t="s">
        <v>104</v>
      </c>
      <c r="AX10" s="6" t="s">
        <v>20120</v>
      </c>
      <c r="AY10" s="6" t="s">
        <v>21857</v>
      </c>
      <c r="AZ10" s="6" t="s">
        <v>104</v>
      </c>
      <c r="BA10" s="6" t="s">
        <v>104</v>
      </c>
      <c r="BB10" s="24" t="n">
        <v>36</v>
      </c>
      <c r="BC10" s="26"/>
      <c r="BD10" s="26"/>
      <c r="BE10" s="26"/>
      <c r="BF10" s="26"/>
      <c r="BG10" s="26"/>
      <c r="BH10" s="26"/>
      <c r="BI10" s="26"/>
      <c r="BJ10" s="26"/>
      <c r="BK10" s="26"/>
      <c r="BL10" s="26"/>
      <c r="BM10" s="26"/>
      <c r="BN10" s="26"/>
      <c r="BO10" s="26" t="s">
        <v>24533</v>
      </c>
      <c r="BP10" s="16" t="n">
        <v>45481</v>
      </c>
      <c r="BQ10" s="28" t="str">
        <f>HYPERLINK("https://organic.ams.usda.gov/Integrity/Certificate.aspx?cid=21&amp;nopid=1780843401")</f>
        <v>https://organic.ams.usda.gov/Integrity/Certificate.aspx?cid=21&amp;nopid=1780843401</v>
      </c>
    </row>
    <row r="11">
      <c r="A11" t="s">
        <v>3</v>
      </c>
      <c r="B11" s="6" t="s">
        <v>12</v>
      </c>
      <c r="C11" s="6" t="s">
        <v>78</v>
      </c>
      <c r="D11" s="6" t="s">
        <v>143</v>
      </c>
      <c r="E11" s="10" t="s">
        <v>209</v>
      </c>
      <c r="F11" s="6" t="s">
        <v>2470</v>
      </c>
      <c r="G11" s="6" t="s">
        <v>104</v>
      </c>
      <c r="H11" s="6" t="s">
        <v>104</v>
      </c>
      <c r="I11" s="6" t="s">
        <v>6922</v>
      </c>
      <c r="J11" s="6" t="s">
        <v>8135</v>
      </c>
      <c r="K11" s="6" t="s">
        <v>9714</v>
      </c>
      <c r="L11" s="16" t="n">
        <v>43390</v>
      </c>
      <c r="M11" s="16" t="n">
        <v>45778</v>
      </c>
      <c r="N11" s="6" t="s">
        <v>9714</v>
      </c>
      <c r="O11" s="16" t="n">
        <v>44017</v>
      </c>
      <c r="P11" s="6" t="s">
        <v>9729</v>
      </c>
      <c r="Q11" s="6" t="s">
        <v>104</v>
      </c>
      <c r="R11" s="6" t="s">
        <v>104</v>
      </c>
      <c r="S11" s="6" t="s">
        <v>104</v>
      </c>
      <c r="T11" s="21" t="s">
        <v>104</v>
      </c>
      <c r="U11" s="6" t="s">
        <v>104</v>
      </c>
      <c r="V11" s="6" t="s">
        <v>104</v>
      </c>
      <c r="W11" s="6" t="s">
        <v>104</v>
      </c>
      <c r="X11" s="6" t="s">
        <v>104</v>
      </c>
      <c r="Y11" s="21" t="s">
        <v>104</v>
      </c>
      <c r="Z11" s="6" t="s">
        <v>104</v>
      </c>
      <c r="AA11" s="6" t="s">
        <v>104</v>
      </c>
      <c r="AB11" s="6" t="s">
        <v>104</v>
      </c>
      <c r="AC11" s="6" t="s">
        <v>9714</v>
      </c>
      <c r="AD11" s="16" t="n">
        <v>45566</v>
      </c>
      <c r="AE11" s="6" t="s">
        <v>10538</v>
      </c>
      <c r="AF11" s="6" t="s">
        <v>104</v>
      </c>
      <c r="AG11" s="6" t="s">
        <v>104</v>
      </c>
      <c r="AH11" s="6" t="s">
        <v>13162</v>
      </c>
      <c r="AI11" s="6" t="s">
        <v>104</v>
      </c>
      <c r="AJ11" s="6" t="s">
        <v>15364</v>
      </c>
      <c r="AK11" s="6" t="s">
        <v>16681</v>
      </c>
      <c r="AL11" s="6" t="s">
        <v>16931</v>
      </c>
      <c r="AM11" s="6" t="s">
        <v>16991</v>
      </c>
      <c r="AN11" s="6" t="s">
        <v>18451</v>
      </c>
      <c r="AO11" s="6" t="s">
        <v>18556</v>
      </c>
      <c r="AP11" s="6" t="s">
        <v>18944</v>
      </c>
      <c r="AQ11" s="6" t="s">
        <v>104</v>
      </c>
      <c r="AR11" s="6" t="s">
        <v>19587</v>
      </c>
      <c r="AS11" s="6" t="s">
        <v>16681</v>
      </c>
      <c r="AT11" s="6" t="s">
        <v>16931</v>
      </c>
      <c r="AU11" s="6" t="s">
        <v>19800</v>
      </c>
      <c r="AV11" s="6" t="s">
        <v>104</v>
      </c>
      <c r="AW11" s="6" t="s">
        <v>104</v>
      </c>
      <c r="AX11" s="6" t="s">
        <v>104</v>
      </c>
      <c r="AY11" s="6" t="s">
        <v>21858</v>
      </c>
      <c r="AZ11" s="6" t="s">
        <v>104</v>
      </c>
      <c r="BA11" s="6" t="s">
        <v>104</v>
      </c>
      <c r="BB11" s="24" t="n">
        <v>723</v>
      </c>
      <c r="BC11" s="26"/>
      <c r="BD11" s="26"/>
      <c r="BE11" s="26"/>
      <c r="BF11" s="26"/>
      <c r="BG11" s="26"/>
      <c r="BH11" s="26"/>
      <c r="BI11" s="26"/>
      <c r="BJ11" s="26"/>
      <c r="BK11" s="26"/>
      <c r="BL11" s="26"/>
      <c r="BM11" s="26"/>
      <c r="BN11" s="26"/>
      <c r="BO11" s="26"/>
      <c r="BP11" s="16" t="n">
        <v>45616</v>
      </c>
      <c r="BQ11" s="28" t="str">
        <f>HYPERLINK("https://organic.ams.usda.gov/Integrity/Certificate.aspx?cid=1&amp;nopid=9092119511")</f>
        <v>https://organic.ams.usda.gov/Integrity/Certificate.aspx?cid=1&amp;nopid=9092119511</v>
      </c>
    </row>
    <row r="12">
      <c r="A12" t="s">
        <v>3</v>
      </c>
      <c r="B12" s="6" t="s">
        <v>13</v>
      </c>
      <c r="C12" s="6" t="s">
        <v>79</v>
      </c>
      <c r="D12" s="6" t="s">
        <v>144</v>
      </c>
      <c r="E12" s="10" t="s">
        <v>210</v>
      </c>
      <c r="F12" s="6" t="s">
        <v>2471</v>
      </c>
      <c r="G12" s="6" t="s">
        <v>104</v>
      </c>
      <c r="H12" s="6" t="s">
        <v>4901</v>
      </c>
      <c r="I12" s="6" t="s">
        <v>6923</v>
      </c>
      <c r="J12" s="6" t="s">
        <v>8136</v>
      </c>
      <c r="K12" s="6" t="s">
        <v>9714</v>
      </c>
      <c r="L12" s="16" t="n">
        <v>37375</v>
      </c>
      <c r="M12" s="16" t="n">
        <v>46113</v>
      </c>
      <c r="N12" s="6" t="s">
        <v>104</v>
      </c>
      <c r="O12" s="21" t="s">
        <v>104</v>
      </c>
      <c r="P12" s="6" t="s">
        <v>104</v>
      </c>
      <c r="Q12" s="6" t="s">
        <v>104</v>
      </c>
      <c r="R12" s="6" t="s">
        <v>104</v>
      </c>
      <c r="S12" s="6" t="s">
        <v>104</v>
      </c>
      <c r="T12" s="21" t="s">
        <v>104</v>
      </c>
      <c r="U12" s="6" t="s">
        <v>104</v>
      </c>
      <c r="V12" s="6" t="s">
        <v>104</v>
      </c>
      <c r="W12" s="6" t="s">
        <v>104</v>
      </c>
      <c r="X12" s="6" t="s">
        <v>104</v>
      </c>
      <c r="Y12" s="21" t="s">
        <v>104</v>
      </c>
      <c r="Z12" s="6" t="s">
        <v>104</v>
      </c>
      <c r="AA12" s="6" t="s">
        <v>104</v>
      </c>
      <c r="AB12" s="6" t="s">
        <v>104</v>
      </c>
      <c r="AC12" s="6" t="s">
        <v>9714</v>
      </c>
      <c r="AD12" s="16" t="n">
        <v>37375</v>
      </c>
      <c r="AE12" s="6" t="s">
        <v>10539</v>
      </c>
      <c r="AF12" s="6" t="s">
        <v>104</v>
      </c>
      <c r="AG12" s="6" t="s">
        <v>104</v>
      </c>
      <c r="AH12" s="6" t="s">
        <v>104</v>
      </c>
      <c r="AI12" s="6" t="s">
        <v>104</v>
      </c>
      <c r="AJ12" s="6" t="s">
        <v>104</v>
      </c>
      <c r="AK12" s="6" t="s">
        <v>104</v>
      </c>
      <c r="AL12" s="6" t="s">
        <v>104</v>
      </c>
      <c r="AM12" s="6" t="s">
        <v>104</v>
      </c>
      <c r="AN12" s="6" t="s">
        <v>104</v>
      </c>
      <c r="AO12" s="6" t="s">
        <v>104</v>
      </c>
      <c r="AP12" s="6" t="s">
        <v>18945</v>
      </c>
      <c r="AQ12" s="6" t="s">
        <v>104</v>
      </c>
      <c r="AR12" s="6" t="s">
        <v>16638</v>
      </c>
      <c r="AS12" s="6" t="s">
        <v>16680</v>
      </c>
      <c r="AT12" s="6" t="s">
        <v>16931</v>
      </c>
      <c r="AU12" s="6" t="s">
        <v>18400</v>
      </c>
      <c r="AV12" s="6" t="s">
        <v>18472</v>
      </c>
      <c r="AW12" s="6" t="s">
        <v>18580</v>
      </c>
      <c r="AX12" s="6" t="s">
        <v>20121</v>
      </c>
      <c r="AY12" s="6" t="s">
        <v>21859</v>
      </c>
      <c r="AZ12" s="6" t="s">
        <v>23688</v>
      </c>
      <c r="BA12" s="6" t="s">
        <v>104</v>
      </c>
      <c r="BB12" s="6" t="s">
        <v>104</v>
      </c>
      <c r="BC12" s="26"/>
      <c r="BD12" s="26"/>
      <c r="BE12" s="26"/>
      <c r="BF12" s="26"/>
      <c r="BG12" s="26"/>
      <c r="BH12" s="26"/>
      <c r="BI12" s="26"/>
      <c r="BJ12" s="26"/>
      <c r="BK12" s="26"/>
      <c r="BL12" s="26"/>
      <c r="BM12" s="26"/>
      <c r="BN12" s="26"/>
      <c r="BO12" s="26"/>
      <c r="BP12" s="16" t="n">
        <v>45674</v>
      </c>
      <c r="BQ12" s="28" t="str">
        <f>HYPERLINK("https://organic.ams.usda.gov/Integrity/Certificate.aspx?cid=62&amp;nopid=8150000742")</f>
        <v>https://organic.ams.usda.gov/Integrity/Certificate.aspx?cid=62&amp;nopid=8150000742</v>
      </c>
    </row>
    <row r="13">
      <c r="A13" t="s">
        <v>3</v>
      </c>
      <c r="B13" s="6" t="s">
        <v>13</v>
      </c>
      <c r="C13" s="6" t="s">
        <v>79</v>
      </c>
      <c r="D13" s="6" t="s">
        <v>144</v>
      </c>
      <c r="E13" s="10" t="s">
        <v>211</v>
      </c>
      <c r="F13" s="6" t="s">
        <v>2471</v>
      </c>
      <c r="G13" s="6" t="s">
        <v>104</v>
      </c>
      <c r="H13" s="6" t="s">
        <v>4902</v>
      </c>
      <c r="I13" s="6" t="s">
        <v>6923</v>
      </c>
      <c r="J13" s="6" t="s">
        <v>8136</v>
      </c>
      <c r="K13" s="6" t="s">
        <v>9714</v>
      </c>
      <c r="L13" s="16" t="n">
        <v>45401</v>
      </c>
      <c r="M13" s="16" t="n">
        <v>46023</v>
      </c>
      <c r="N13" s="6" t="s">
        <v>104</v>
      </c>
      <c r="O13" s="21" t="s">
        <v>104</v>
      </c>
      <c r="P13" s="6" t="s">
        <v>104</v>
      </c>
      <c r="Q13" s="6" t="s">
        <v>104</v>
      </c>
      <c r="R13" s="6" t="s">
        <v>104</v>
      </c>
      <c r="S13" s="6" t="s">
        <v>104</v>
      </c>
      <c r="T13" s="21" t="s">
        <v>104</v>
      </c>
      <c r="U13" s="6" t="s">
        <v>104</v>
      </c>
      <c r="V13" s="6" t="s">
        <v>104</v>
      </c>
      <c r="W13" s="6" t="s">
        <v>104</v>
      </c>
      <c r="X13" s="6" t="s">
        <v>104</v>
      </c>
      <c r="Y13" s="21" t="s">
        <v>104</v>
      </c>
      <c r="Z13" s="6" t="s">
        <v>104</v>
      </c>
      <c r="AA13" s="6" t="s">
        <v>104</v>
      </c>
      <c r="AB13" s="6" t="s">
        <v>104</v>
      </c>
      <c r="AC13" s="6" t="s">
        <v>9714</v>
      </c>
      <c r="AD13" s="16" t="n">
        <v>45401</v>
      </c>
      <c r="AE13" s="6" t="s">
        <v>10540</v>
      </c>
      <c r="AF13" s="6" t="s">
        <v>104</v>
      </c>
      <c r="AG13" s="6" t="s">
        <v>104</v>
      </c>
      <c r="AH13" s="6" t="s">
        <v>104</v>
      </c>
      <c r="AI13" s="6" t="s">
        <v>104</v>
      </c>
      <c r="AJ13" s="6" t="s">
        <v>104</v>
      </c>
      <c r="AK13" s="6" t="s">
        <v>104</v>
      </c>
      <c r="AL13" s="6" t="s">
        <v>104</v>
      </c>
      <c r="AM13" s="6" t="s">
        <v>104</v>
      </c>
      <c r="AN13" s="6" t="s">
        <v>104</v>
      </c>
      <c r="AO13" s="6" t="s">
        <v>104</v>
      </c>
      <c r="AP13" s="6" t="s">
        <v>18946</v>
      </c>
      <c r="AQ13" s="6" t="s">
        <v>104</v>
      </c>
      <c r="AR13" s="6" t="s">
        <v>19588</v>
      </c>
      <c r="AS13" s="6" t="s">
        <v>16694</v>
      </c>
      <c r="AT13" s="6" t="s">
        <v>16931</v>
      </c>
      <c r="AU13" s="6" t="s">
        <v>19801</v>
      </c>
      <c r="AV13" s="6" t="s">
        <v>104</v>
      </c>
      <c r="AW13" s="6" t="s">
        <v>104</v>
      </c>
      <c r="AX13" s="6" t="s">
        <v>20121</v>
      </c>
      <c r="AY13" s="6" t="s">
        <v>21859</v>
      </c>
      <c r="AZ13" s="6" t="s">
        <v>104</v>
      </c>
      <c r="BA13" s="6" t="s">
        <v>104</v>
      </c>
      <c r="BB13" s="6" t="s">
        <v>104</v>
      </c>
      <c r="BC13" s="26"/>
      <c r="BD13" s="26"/>
      <c r="BE13" s="26" t="s">
        <v>24533</v>
      </c>
      <c r="BF13" s="26"/>
      <c r="BG13" s="26"/>
      <c r="BH13" s="26"/>
      <c r="BI13" s="26"/>
      <c r="BJ13" s="26"/>
      <c r="BK13" s="26"/>
      <c r="BL13" s="26"/>
      <c r="BM13" s="26"/>
      <c r="BN13" s="26"/>
      <c r="BO13" s="26"/>
      <c r="BP13" s="16" t="n">
        <v>45720</v>
      </c>
      <c r="BQ13" s="28" t="str">
        <f>HYPERLINK("https://organic.ams.usda.gov/Integrity/Certificate.aspx?cid=62&amp;nopid=8150024957")</f>
        <v>https://organic.ams.usda.gov/Integrity/Certificate.aspx?cid=62&amp;nopid=8150024957</v>
      </c>
    </row>
    <row r="14">
      <c r="A14" t="s">
        <v>3</v>
      </c>
      <c r="B14" s="6" t="s">
        <v>11</v>
      </c>
      <c r="C14" s="6" t="s">
        <v>77</v>
      </c>
      <c r="D14" s="6" t="s">
        <v>142</v>
      </c>
      <c r="E14" s="10" t="s">
        <v>212</v>
      </c>
      <c r="F14" s="6" t="s">
        <v>2472</v>
      </c>
      <c r="G14" s="6" t="s">
        <v>104</v>
      </c>
      <c r="H14" s="6" t="s">
        <v>212</v>
      </c>
      <c r="I14" s="6" t="s">
        <v>6924</v>
      </c>
      <c r="J14" s="6" t="s">
        <v>8137</v>
      </c>
      <c r="K14" s="6" t="s">
        <v>9714</v>
      </c>
      <c r="L14" s="16" t="n">
        <v>44613</v>
      </c>
      <c r="M14" s="16" t="n">
        <v>45303</v>
      </c>
      <c r="N14" s="6" t="s">
        <v>104</v>
      </c>
      <c r="O14" s="21" t="s">
        <v>104</v>
      </c>
      <c r="P14" s="6" t="s">
        <v>104</v>
      </c>
      <c r="Q14" s="6" t="s">
        <v>104</v>
      </c>
      <c r="R14" s="6" t="s">
        <v>104</v>
      </c>
      <c r="S14" s="6" t="s">
        <v>104</v>
      </c>
      <c r="T14" s="21" t="s">
        <v>104</v>
      </c>
      <c r="U14" s="6" t="s">
        <v>104</v>
      </c>
      <c r="V14" s="6" t="s">
        <v>104</v>
      </c>
      <c r="W14" s="6" t="s">
        <v>104</v>
      </c>
      <c r="X14" s="6" t="s">
        <v>104</v>
      </c>
      <c r="Y14" s="21" t="s">
        <v>104</v>
      </c>
      <c r="Z14" s="6" t="s">
        <v>104</v>
      </c>
      <c r="AA14" s="6" t="s">
        <v>104</v>
      </c>
      <c r="AB14" s="6" t="s">
        <v>104</v>
      </c>
      <c r="AC14" s="6" t="s">
        <v>9714</v>
      </c>
      <c r="AD14" s="16" t="n">
        <v>44613</v>
      </c>
      <c r="AE14" s="6" t="s">
        <v>10541</v>
      </c>
      <c r="AF14" s="6" t="s">
        <v>104</v>
      </c>
      <c r="AG14" s="6" t="s">
        <v>12491</v>
      </c>
      <c r="AH14" s="6" t="s">
        <v>13163</v>
      </c>
      <c r="AI14" s="6" t="s">
        <v>104</v>
      </c>
      <c r="AJ14" s="6" t="s">
        <v>15365</v>
      </c>
      <c r="AK14" s="6" t="s">
        <v>16682</v>
      </c>
      <c r="AL14" s="6" t="s">
        <v>16932</v>
      </c>
      <c r="AM14" s="6" t="s">
        <v>16992</v>
      </c>
      <c r="AN14" s="6" t="s">
        <v>104</v>
      </c>
      <c r="AO14" s="6" t="s">
        <v>104</v>
      </c>
      <c r="AP14" s="6" t="s">
        <v>13163</v>
      </c>
      <c r="AQ14" s="6" t="s">
        <v>104</v>
      </c>
      <c r="AR14" s="6" t="s">
        <v>15365</v>
      </c>
      <c r="AS14" s="6" t="s">
        <v>16682</v>
      </c>
      <c r="AT14" s="6" t="s">
        <v>16932</v>
      </c>
      <c r="AU14" s="6" t="s">
        <v>16992</v>
      </c>
      <c r="AV14" s="6" t="s">
        <v>104</v>
      </c>
      <c r="AW14" s="6" t="s">
        <v>104</v>
      </c>
      <c r="AX14" s="6" t="s">
        <v>20122</v>
      </c>
      <c r="AY14" s="6" t="s">
        <v>21860</v>
      </c>
      <c r="AZ14" s="6" t="s">
        <v>104</v>
      </c>
      <c r="BA14" s="6" t="s">
        <v>104</v>
      </c>
      <c r="BB14" s="6" t="s">
        <v>104</v>
      </c>
      <c r="BC14" s="26"/>
      <c r="BD14" s="26"/>
      <c r="BE14" s="26"/>
      <c r="BF14" s="26"/>
      <c r="BG14" s="26"/>
      <c r="BH14" s="26"/>
      <c r="BI14" s="26"/>
      <c r="BJ14" s="26"/>
      <c r="BK14" s="26"/>
      <c r="BL14" s="26"/>
      <c r="BM14" s="26"/>
      <c r="BN14" s="26" t="s">
        <v>24533</v>
      </c>
      <c r="BO14" s="26"/>
      <c r="BP14" s="16" t="n">
        <v>45360</v>
      </c>
      <c r="BQ14" s="28" t="str">
        <f>HYPERLINK("https://organic.ams.usda.gov/Integrity/Certificate.aspx?cid=21&amp;nopid=1780858202")</f>
        <v>https://organic.ams.usda.gov/Integrity/Certificate.aspx?cid=21&amp;nopid=1780858202</v>
      </c>
    </row>
    <row r="15">
      <c r="A15" t="s">
        <v>3</v>
      </c>
      <c r="B15" s="6" t="s">
        <v>14</v>
      </c>
      <c r="C15" s="6" t="s">
        <v>80</v>
      </c>
      <c r="D15" s="6" t="s">
        <v>145</v>
      </c>
      <c r="E15" s="10" t="s">
        <v>213</v>
      </c>
      <c r="F15" s="6" t="s">
        <v>2473</v>
      </c>
      <c r="G15" s="6" t="s">
        <v>104</v>
      </c>
      <c r="H15" s="6" t="s">
        <v>4903</v>
      </c>
      <c r="I15" s="6" t="s">
        <v>6925</v>
      </c>
      <c r="J15" s="6" t="s">
        <v>8138</v>
      </c>
      <c r="K15" s="6" t="s">
        <v>9714</v>
      </c>
      <c r="L15" s="16" t="n">
        <v>44804</v>
      </c>
      <c r="M15" s="16" t="n">
        <v>45816</v>
      </c>
      <c r="N15" s="6" t="s">
        <v>104</v>
      </c>
      <c r="O15" s="21" t="s">
        <v>104</v>
      </c>
      <c r="P15" s="6" t="s">
        <v>104</v>
      </c>
      <c r="Q15" s="6" t="s">
        <v>104</v>
      </c>
      <c r="R15" s="6" t="s">
        <v>104</v>
      </c>
      <c r="S15" s="6" t="s">
        <v>104</v>
      </c>
      <c r="T15" s="21" t="s">
        <v>104</v>
      </c>
      <c r="U15" s="6" t="s">
        <v>104</v>
      </c>
      <c r="V15" s="6" t="s">
        <v>104</v>
      </c>
      <c r="W15" s="6" t="s">
        <v>104</v>
      </c>
      <c r="X15" s="6" t="s">
        <v>104</v>
      </c>
      <c r="Y15" s="21" t="s">
        <v>104</v>
      </c>
      <c r="Z15" s="6" t="s">
        <v>104</v>
      </c>
      <c r="AA15" s="6" t="s">
        <v>104</v>
      </c>
      <c r="AB15" s="6" t="s">
        <v>104</v>
      </c>
      <c r="AC15" s="6" t="s">
        <v>9714</v>
      </c>
      <c r="AD15" s="16" t="n">
        <v>44804</v>
      </c>
      <c r="AE15" s="6" t="s">
        <v>10542</v>
      </c>
      <c r="AF15" s="6" t="s">
        <v>104</v>
      </c>
      <c r="AG15" s="6" t="s">
        <v>104</v>
      </c>
      <c r="AH15" s="6" t="s">
        <v>13164</v>
      </c>
      <c r="AI15" s="6" t="s">
        <v>104</v>
      </c>
      <c r="AJ15" s="6" t="s">
        <v>15366</v>
      </c>
      <c r="AK15" s="6" t="s">
        <v>15885</v>
      </c>
      <c r="AL15" s="6" t="s">
        <v>16932</v>
      </c>
      <c r="AM15" s="6" t="s">
        <v>16993</v>
      </c>
      <c r="AN15" s="6" t="s">
        <v>104</v>
      </c>
      <c r="AO15" s="6" t="s">
        <v>104</v>
      </c>
      <c r="AP15" s="6" t="s">
        <v>104</v>
      </c>
      <c r="AQ15" s="6" t="s">
        <v>104</v>
      </c>
      <c r="AR15" s="6" t="s">
        <v>104</v>
      </c>
      <c r="AS15" s="6" t="s">
        <v>104</v>
      </c>
      <c r="AT15" s="6" t="s">
        <v>104</v>
      </c>
      <c r="AU15" s="6" t="s">
        <v>104</v>
      </c>
      <c r="AV15" s="6" t="s">
        <v>104</v>
      </c>
      <c r="AW15" s="6" t="s">
        <v>104</v>
      </c>
      <c r="AX15" s="6" t="s">
        <v>20123</v>
      </c>
      <c r="AY15" s="6" t="s">
        <v>21861</v>
      </c>
      <c r="AZ15" s="6" t="s">
        <v>104</v>
      </c>
      <c r="BA15" s="6" t="s">
        <v>24259</v>
      </c>
      <c r="BB15" s="6" t="s">
        <v>104</v>
      </c>
      <c r="BC15" s="26"/>
      <c r="BD15" s="26"/>
      <c r="BE15" s="26"/>
      <c r="BF15" s="26"/>
      <c r="BG15" s="26"/>
      <c r="BH15" s="26"/>
      <c r="BI15" s="26"/>
      <c r="BJ15" s="26"/>
      <c r="BK15" s="26"/>
      <c r="BL15" s="26"/>
      <c r="BM15" s="26"/>
      <c r="BN15" s="26"/>
      <c r="BO15" s="26"/>
      <c r="BP15" s="16" t="n">
        <v>45477</v>
      </c>
      <c r="BQ15" s="28" t="str">
        <f>HYPERLINK("https://organic.ams.usda.gov/Integrity/Certificate.aspx?cid=89&amp;nopid=4920001243")</f>
        <v>https://organic.ams.usda.gov/Integrity/Certificate.aspx?cid=89&amp;nopid=4920001243</v>
      </c>
    </row>
    <row r="16">
      <c r="A16" t="s">
        <v>3</v>
      </c>
      <c r="B16" s="6" t="s">
        <v>15</v>
      </c>
      <c r="C16" s="6" t="s">
        <v>81</v>
      </c>
      <c r="D16" s="6" t="s">
        <v>146</v>
      </c>
      <c r="E16" s="10" t="s">
        <v>214</v>
      </c>
      <c r="F16" s="6" t="s">
        <v>2474</v>
      </c>
      <c r="G16" s="6" t="s">
        <v>104</v>
      </c>
      <c r="H16" s="6" t="s">
        <v>4904</v>
      </c>
      <c r="I16" s="6" t="s">
        <v>6926</v>
      </c>
      <c r="J16" s="6" t="s">
        <v>8139</v>
      </c>
      <c r="K16" s="6" t="s">
        <v>9714</v>
      </c>
      <c r="L16" s="16" t="n">
        <v>41211</v>
      </c>
      <c r="M16" s="16" t="n">
        <v>45748</v>
      </c>
      <c r="N16" s="6" t="s">
        <v>9714</v>
      </c>
      <c r="O16" s="16" t="n">
        <v>41211</v>
      </c>
      <c r="P16" s="6" t="s">
        <v>9730</v>
      </c>
      <c r="Q16" s="6" t="s">
        <v>104</v>
      </c>
      <c r="R16" s="6" t="s">
        <v>10290</v>
      </c>
      <c r="S16" s="6" t="s">
        <v>9714</v>
      </c>
      <c r="T16" s="16" t="n">
        <v>41211</v>
      </c>
      <c r="U16" s="6" t="s">
        <v>10465</v>
      </c>
      <c r="V16" s="6" t="s">
        <v>104</v>
      </c>
      <c r="W16" s="6" t="s">
        <v>10290</v>
      </c>
      <c r="X16" s="6" t="s">
        <v>104</v>
      </c>
      <c r="Y16" s="21" t="s">
        <v>104</v>
      </c>
      <c r="Z16" s="6" t="s">
        <v>104</v>
      </c>
      <c r="AA16" s="6" t="s">
        <v>104</v>
      </c>
      <c r="AB16" s="6" t="s">
        <v>104</v>
      </c>
      <c r="AC16" s="6" t="s">
        <v>9714</v>
      </c>
      <c r="AD16" s="16" t="n">
        <v>41211</v>
      </c>
      <c r="AE16" s="6" t="s">
        <v>10543</v>
      </c>
      <c r="AF16" s="6" t="s">
        <v>104</v>
      </c>
      <c r="AG16" s="6" t="s">
        <v>10290</v>
      </c>
      <c r="AH16" s="6" t="s">
        <v>13165</v>
      </c>
      <c r="AI16" s="6" t="s">
        <v>104</v>
      </c>
      <c r="AJ16" s="6" t="s">
        <v>15367</v>
      </c>
      <c r="AK16" s="6" t="s">
        <v>16683</v>
      </c>
      <c r="AL16" s="6" t="s">
        <v>16931</v>
      </c>
      <c r="AM16" s="6" t="s">
        <v>16994</v>
      </c>
      <c r="AN16" s="6" t="s">
        <v>18452</v>
      </c>
      <c r="AO16" s="6" t="s">
        <v>18557</v>
      </c>
      <c r="AP16" s="6" t="s">
        <v>104</v>
      </c>
      <c r="AQ16" s="6" t="s">
        <v>104</v>
      </c>
      <c r="AR16" s="6" t="s">
        <v>104</v>
      </c>
      <c r="AS16" s="6" t="s">
        <v>104</v>
      </c>
      <c r="AT16" s="6" t="s">
        <v>104</v>
      </c>
      <c r="AU16" s="6" t="s">
        <v>104</v>
      </c>
      <c r="AV16" s="6" t="s">
        <v>104</v>
      </c>
      <c r="AW16" s="6" t="s">
        <v>104</v>
      </c>
      <c r="AX16" s="6" t="s">
        <v>20124</v>
      </c>
      <c r="AY16" s="6" t="s">
        <v>21862</v>
      </c>
      <c r="AZ16" s="6" t="s">
        <v>104</v>
      </c>
      <c r="BA16" s="6" t="s">
        <v>104</v>
      </c>
      <c r="BB16" s="24" t="n">
        <v>476</v>
      </c>
      <c r="BC16" s="26"/>
      <c r="BD16" s="26"/>
      <c r="BE16" s="26"/>
      <c r="BF16" s="26"/>
      <c r="BG16" s="26"/>
      <c r="BH16" s="26"/>
      <c r="BI16" s="26"/>
      <c r="BJ16" s="26"/>
      <c r="BK16" s="26"/>
      <c r="BL16" s="26"/>
      <c r="BM16" s="26"/>
      <c r="BN16" s="26"/>
      <c r="BO16" s="26"/>
      <c r="BP16" s="16" t="n">
        <v>45738</v>
      </c>
      <c r="BQ16" s="28" t="str">
        <f>HYPERLINK("https://organic.ams.usda.gov/Integrity/Certificate.aspx?cid=52&amp;nopid=8431200381")</f>
        <v>https://organic.ams.usda.gov/Integrity/Certificate.aspx?cid=52&amp;nopid=8431200381</v>
      </c>
    </row>
    <row r="17">
      <c r="A17" t="s">
        <v>3</v>
      </c>
      <c r="B17" s="6" t="s">
        <v>16</v>
      </c>
      <c r="C17" s="6" t="s">
        <v>82</v>
      </c>
      <c r="D17" s="6" t="s">
        <v>147</v>
      </c>
      <c r="E17" s="10" t="s">
        <v>215</v>
      </c>
      <c r="F17" s="6" t="s">
        <v>2475</v>
      </c>
      <c r="G17" s="6" t="s">
        <v>104</v>
      </c>
      <c r="H17" s="6" t="s">
        <v>4905</v>
      </c>
      <c r="I17" s="6" t="s">
        <v>6926</v>
      </c>
      <c r="J17" s="6" t="s">
        <v>8140</v>
      </c>
      <c r="K17" s="6" t="s">
        <v>9714</v>
      </c>
      <c r="L17" s="16" t="n">
        <v>38313</v>
      </c>
      <c r="M17" s="16" t="n">
        <v>45747</v>
      </c>
      <c r="N17" s="6" t="s">
        <v>9714</v>
      </c>
      <c r="O17" s="16" t="n">
        <v>38313</v>
      </c>
      <c r="P17" s="6" t="s">
        <v>9731</v>
      </c>
      <c r="Q17" s="6" t="s">
        <v>104</v>
      </c>
      <c r="R17" s="6" t="s">
        <v>2475</v>
      </c>
      <c r="S17" s="6" t="s">
        <v>104</v>
      </c>
      <c r="T17" s="21" t="s">
        <v>104</v>
      </c>
      <c r="U17" s="6" t="s">
        <v>104</v>
      </c>
      <c r="V17" s="6" t="s">
        <v>104</v>
      </c>
      <c r="W17" s="6" t="s">
        <v>104</v>
      </c>
      <c r="X17" s="6" t="s">
        <v>104</v>
      </c>
      <c r="Y17" s="21" t="s">
        <v>104</v>
      </c>
      <c r="Z17" s="6" t="s">
        <v>104</v>
      </c>
      <c r="AA17" s="6" t="s">
        <v>104</v>
      </c>
      <c r="AB17" s="6" t="s">
        <v>104</v>
      </c>
      <c r="AC17" s="6" t="s">
        <v>104</v>
      </c>
      <c r="AD17" s="21" t="s">
        <v>104</v>
      </c>
      <c r="AE17" s="6" t="s">
        <v>104</v>
      </c>
      <c r="AF17" s="6" t="s">
        <v>104</v>
      </c>
      <c r="AG17" s="6" t="s">
        <v>104</v>
      </c>
      <c r="AH17" s="6" t="s">
        <v>13166</v>
      </c>
      <c r="AI17" s="6" t="s">
        <v>104</v>
      </c>
      <c r="AJ17" s="6" t="s">
        <v>15368</v>
      </c>
      <c r="AK17" s="6" t="s">
        <v>16684</v>
      </c>
      <c r="AL17" s="6" t="s">
        <v>16931</v>
      </c>
      <c r="AM17" s="6" t="s">
        <v>16995</v>
      </c>
      <c r="AN17" s="6" t="s">
        <v>18453</v>
      </c>
      <c r="AO17" s="6" t="s">
        <v>18558</v>
      </c>
      <c r="AP17" s="6" t="s">
        <v>18947</v>
      </c>
      <c r="AQ17" s="6" t="s">
        <v>104</v>
      </c>
      <c r="AR17" s="6" t="s">
        <v>15368</v>
      </c>
      <c r="AS17" s="6" t="s">
        <v>16684</v>
      </c>
      <c r="AT17" s="6" t="s">
        <v>16931</v>
      </c>
      <c r="AU17" s="6" t="s">
        <v>16995</v>
      </c>
      <c r="AV17" s="6" t="s">
        <v>104</v>
      </c>
      <c r="AW17" s="6" t="s">
        <v>104</v>
      </c>
      <c r="AX17" s="6" t="s">
        <v>20125</v>
      </c>
      <c r="AY17" s="6" t="s">
        <v>21863</v>
      </c>
      <c r="AZ17" s="6" t="s">
        <v>104</v>
      </c>
      <c r="BA17" s="6" t="s">
        <v>104</v>
      </c>
      <c r="BB17" s="24" t="n">
        <v>1442</v>
      </c>
      <c r="BC17" s="26"/>
      <c r="BD17" s="26"/>
      <c r="BE17" s="26"/>
      <c r="BF17" s="26"/>
      <c r="BG17" s="26"/>
      <c r="BH17" s="26"/>
      <c r="BI17" s="26"/>
      <c r="BJ17" s="26"/>
      <c r="BK17" s="26"/>
      <c r="BL17" s="26"/>
      <c r="BM17" s="26"/>
      <c r="BN17" s="26"/>
      <c r="BO17" s="26"/>
      <c r="BP17" s="16" t="n">
        <v>45411</v>
      </c>
      <c r="BQ17" s="28" t="str">
        <f>HYPERLINK("https://organic.ams.usda.gov/Integrity/Certificate.aspx?cid=77&amp;nopid=3510384649")</f>
        <v>https://organic.ams.usda.gov/Integrity/Certificate.aspx?cid=77&amp;nopid=3510384649</v>
      </c>
    </row>
    <row r="18">
      <c r="A18" t="s">
        <v>3</v>
      </c>
      <c r="B18" s="6" t="s">
        <v>6</v>
      </c>
      <c r="C18" s="6" t="s">
        <v>72</v>
      </c>
      <c r="D18" s="6" t="s">
        <v>137</v>
      </c>
      <c r="E18" s="10" t="s">
        <v>216</v>
      </c>
      <c r="F18" s="6" t="s">
        <v>2476</v>
      </c>
      <c r="G18" s="6" t="s">
        <v>104</v>
      </c>
      <c r="H18" s="6" t="s">
        <v>4906</v>
      </c>
      <c r="I18" s="6" t="s">
        <v>6927</v>
      </c>
      <c r="J18" s="6" t="s">
        <v>8141</v>
      </c>
      <c r="K18" s="6" t="s">
        <v>9714</v>
      </c>
      <c r="L18" s="16" t="n">
        <v>45653</v>
      </c>
      <c r="M18" s="16" t="n">
        <v>45965</v>
      </c>
      <c r="N18" s="6" t="s">
        <v>104</v>
      </c>
      <c r="O18" s="21" t="s">
        <v>104</v>
      </c>
      <c r="P18" s="6" t="s">
        <v>104</v>
      </c>
      <c r="Q18" s="6" t="s">
        <v>104</v>
      </c>
      <c r="R18" s="6" t="s">
        <v>104</v>
      </c>
      <c r="S18" s="6" t="s">
        <v>104</v>
      </c>
      <c r="T18" s="21" t="s">
        <v>104</v>
      </c>
      <c r="U18" s="6" t="s">
        <v>104</v>
      </c>
      <c r="V18" s="6" t="s">
        <v>104</v>
      </c>
      <c r="W18" s="6" t="s">
        <v>104</v>
      </c>
      <c r="X18" s="6" t="s">
        <v>104</v>
      </c>
      <c r="Y18" s="21" t="s">
        <v>104</v>
      </c>
      <c r="Z18" s="6" t="s">
        <v>104</v>
      </c>
      <c r="AA18" s="6" t="s">
        <v>104</v>
      </c>
      <c r="AB18" s="6" t="s">
        <v>104</v>
      </c>
      <c r="AC18" s="6" t="s">
        <v>9714</v>
      </c>
      <c r="AD18" s="16" t="n">
        <v>45653</v>
      </c>
      <c r="AE18" s="6" t="s">
        <v>10544</v>
      </c>
      <c r="AF18" s="6" t="s">
        <v>104</v>
      </c>
      <c r="AG18" s="6" t="s">
        <v>12492</v>
      </c>
      <c r="AH18" s="6" t="s">
        <v>13167</v>
      </c>
      <c r="AI18" s="6" t="s">
        <v>104</v>
      </c>
      <c r="AJ18" s="6" t="s">
        <v>15369</v>
      </c>
      <c r="AK18" s="6" t="s">
        <v>16685</v>
      </c>
      <c r="AL18" s="6" t="s">
        <v>16932</v>
      </c>
      <c r="AM18" s="6" t="s">
        <v>16996</v>
      </c>
      <c r="AN18" s="6" t="s">
        <v>104</v>
      </c>
      <c r="AO18" s="6" t="s">
        <v>104</v>
      </c>
      <c r="AP18" s="6" t="s">
        <v>104</v>
      </c>
      <c r="AQ18" s="6" t="s">
        <v>104</v>
      </c>
      <c r="AR18" s="6" t="s">
        <v>104</v>
      </c>
      <c r="AS18" s="6" t="s">
        <v>104</v>
      </c>
      <c r="AT18" s="6" t="s">
        <v>104</v>
      </c>
      <c r="AU18" s="6" t="s">
        <v>104</v>
      </c>
      <c r="AV18" s="6" t="s">
        <v>104</v>
      </c>
      <c r="AW18" s="6" t="s">
        <v>104</v>
      </c>
      <c r="AX18" s="6" t="s">
        <v>20126</v>
      </c>
      <c r="AY18" s="6" t="s">
        <v>21864</v>
      </c>
      <c r="AZ18" s="6" t="s">
        <v>104</v>
      </c>
      <c r="BA18" s="6" t="s">
        <v>24258</v>
      </c>
      <c r="BB18" s="6" t="s">
        <v>104</v>
      </c>
      <c r="BC18" s="26"/>
      <c r="BD18" s="26"/>
      <c r="BE18" s="26"/>
      <c r="BF18" s="26"/>
      <c r="BG18" s="26"/>
      <c r="BH18" s="26"/>
      <c r="BI18" s="26"/>
      <c r="BJ18" s="26"/>
      <c r="BK18" s="26"/>
      <c r="BL18" s="26"/>
      <c r="BM18" s="26"/>
      <c r="BN18" s="26"/>
      <c r="BO18" s="26"/>
      <c r="BP18" s="16" t="n">
        <v>45737</v>
      </c>
      <c r="BQ18" s="28" t="str">
        <f>HYPERLINK("https://organic.ams.usda.gov/Integrity/Certificate.aspx?cid=32&amp;nopid=2230011635")</f>
        <v>https://organic.ams.usda.gov/Integrity/Certificate.aspx?cid=32&amp;nopid=2230011635</v>
      </c>
    </row>
    <row r="19">
      <c r="A19" t="s">
        <v>3</v>
      </c>
      <c r="B19" s="6" t="s">
        <v>17</v>
      </c>
      <c r="C19" s="6" t="s">
        <v>83</v>
      </c>
      <c r="D19" s="6" t="s">
        <v>148</v>
      </c>
      <c r="E19" s="10" t="s">
        <v>217</v>
      </c>
      <c r="F19" s="6" t="s">
        <v>2477</v>
      </c>
      <c r="G19" s="6" t="s">
        <v>104</v>
      </c>
      <c r="H19" s="6" t="s">
        <v>4907</v>
      </c>
      <c r="I19" s="6" t="s">
        <v>6928</v>
      </c>
      <c r="J19" s="6" t="s">
        <v>7167</v>
      </c>
      <c r="K19" s="6" t="s">
        <v>9714</v>
      </c>
      <c r="L19" s="16" t="n">
        <v>42457</v>
      </c>
      <c r="M19" s="16" t="n">
        <v>45689</v>
      </c>
      <c r="N19" s="6" t="s">
        <v>104</v>
      </c>
      <c r="O19" s="21" t="s">
        <v>104</v>
      </c>
      <c r="P19" s="6" t="s">
        <v>104</v>
      </c>
      <c r="Q19" s="6" t="s">
        <v>104</v>
      </c>
      <c r="R19" s="6" t="s">
        <v>104</v>
      </c>
      <c r="S19" s="6" t="s">
        <v>104</v>
      </c>
      <c r="T19" s="21" t="s">
        <v>104</v>
      </c>
      <c r="U19" s="6" t="s">
        <v>104</v>
      </c>
      <c r="V19" s="6" t="s">
        <v>104</v>
      </c>
      <c r="W19" s="6" t="s">
        <v>104</v>
      </c>
      <c r="X19" s="6" t="s">
        <v>104</v>
      </c>
      <c r="Y19" s="21" t="s">
        <v>104</v>
      </c>
      <c r="Z19" s="6" t="s">
        <v>104</v>
      </c>
      <c r="AA19" s="6" t="s">
        <v>104</v>
      </c>
      <c r="AB19" s="6" t="s">
        <v>104</v>
      </c>
      <c r="AC19" s="6" t="s">
        <v>9714</v>
      </c>
      <c r="AD19" s="16" t="n">
        <v>42457</v>
      </c>
      <c r="AE19" s="6" t="s">
        <v>10545</v>
      </c>
      <c r="AF19" s="6" t="s">
        <v>104</v>
      </c>
      <c r="AG19" s="6" t="s">
        <v>104</v>
      </c>
      <c r="AH19" s="6" t="s">
        <v>13168</v>
      </c>
      <c r="AI19" s="6" t="s">
        <v>104</v>
      </c>
      <c r="AJ19" s="6" t="s">
        <v>15370</v>
      </c>
      <c r="AK19" s="6" t="s">
        <v>16370</v>
      </c>
      <c r="AL19" s="6" t="s">
        <v>16931</v>
      </c>
      <c r="AM19" s="6" t="s">
        <v>16997</v>
      </c>
      <c r="AN19" s="6" t="s">
        <v>104</v>
      </c>
      <c r="AO19" s="6" t="s">
        <v>104</v>
      </c>
      <c r="AP19" s="6" t="s">
        <v>13168</v>
      </c>
      <c r="AQ19" s="6" t="s">
        <v>104</v>
      </c>
      <c r="AR19" s="6" t="s">
        <v>15370</v>
      </c>
      <c r="AS19" s="6" t="s">
        <v>16370</v>
      </c>
      <c r="AT19" s="6" t="s">
        <v>16931</v>
      </c>
      <c r="AU19" s="6" t="s">
        <v>16997</v>
      </c>
      <c r="AV19" s="6" t="s">
        <v>17970</v>
      </c>
      <c r="AW19" s="6" t="s">
        <v>20075</v>
      </c>
      <c r="AX19" s="6" t="s">
        <v>20127</v>
      </c>
      <c r="AY19" s="6" t="s">
        <v>21865</v>
      </c>
      <c r="AZ19" s="6" t="s">
        <v>104</v>
      </c>
      <c r="BA19" s="6" t="s">
        <v>104</v>
      </c>
      <c r="BB19" s="24" t="n">
        <v>0</v>
      </c>
      <c r="BC19" s="26"/>
      <c r="BD19" s="26"/>
      <c r="BE19" s="26"/>
      <c r="BF19" s="26"/>
      <c r="BG19" s="26"/>
      <c r="BH19" s="26" t="s">
        <v>24533</v>
      </c>
      <c r="BI19" s="26"/>
      <c r="BJ19" s="26"/>
      <c r="BK19" s="26"/>
      <c r="BL19" s="26"/>
      <c r="BM19" s="26"/>
      <c r="BN19" s="26"/>
      <c r="BO19" s="26"/>
      <c r="BP19" s="16" t="n">
        <v>45733</v>
      </c>
      <c r="BQ19" s="28" t="str">
        <f>HYPERLINK("https://organic.ams.usda.gov/Integrity/Certificate.aspx?cid=51&amp;nopid=8240032816")</f>
        <v>https://organic.ams.usda.gov/Integrity/Certificate.aspx?cid=51&amp;nopid=8240032816</v>
      </c>
    </row>
    <row r="20">
      <c r="A20" t="s">
        <v>3</v>
      </c>
      <c r="B20" s="6" t="s">
        <v>18</v>
      </c>
      <c r="C20" s="6" t="s">
        <v>84</v>
      </c>
      <c r="D20" s="6" t="s">
        <v>149</v>
      </c>
      <c r="E20" s="10" t="s">
        <v>218</v>
      </c>
      <c r="F20" s="6" t="s">
        <v>2478</v>
      </c>
      <c r="G20" s="6" t="s">
        <v>104</v>
      </c>
      <c r="H20" s="6" t="s">
        <v>4908</v>
      </c>
      <c r="I20" s="6" t="s">
        <v>6929</v>
      </c>
      <c r="J20" s="6" t="s">
        <v>8142</v>
      </c>
      <c r="K20" s="6" t="s">
        <v>9714</v>
      </c>
      <c r="L20" s="16" t="n">
        <v>42688</v>
      </c>
      <c r="M20" s="16" t="n">
        <v>45505</v>
      </c>
      <c r="N20" s="6" t="s">
        <v>9714</v>
      </c>
      <c r="O20" s="16" t="n">
        <v>42688</v>
      </c>
      <c r="P20" s="6" t="s">
        <v>9732</v>
      </c>
      <c r="Q20" s="6" t="s">
        <v>104</v>
      </c>
      <c r="R20" s="6" t="s">
        <v>10291</v>
      </c>
      <c r="S20" s="6" t="s">
        <v>104</v>
      </c>
      <c r="T20" s="21" t="s">
        <v>104</v>
      </c>
      <c r="U20" s="6" t="s">
        <v>104</v>
      </c>
      <c r="V20" s="6" t="s">
        <v>104</v>
      </c>
      <c r="W20" s="6" t="s">
        <v>104</v>
      </c>
      <c r="X20" s="6" t="s">
        <v>104</v>
      </c>
      <c r="Y20" s="21" t="s">
        <v>104</v>
      </c>
      <c r="Z20" s="6" t="s">
        <v>104</v>
      </c>
      <c r="AA20" s="6" t="s">
        <v>104</v>
      </c>
      <c r="AB20" s="6" t="s">
        <v>104</v>
      </c>
      <c r="AC20" s="6" t="s">
        <v>104</v>
      </c>
      <c r="AD20" s="21" t="s">
        <v>104</v>
      </c>
      <c r="AE20" s="6" t="s">
        <v>104</v>
      </c>
      <c r="AF20" s="6" t="s">
        <v>104</v>
      </c>
      <c r="AG20" s="6" t="s">
        <v>104</v>
      </c>
      <c r="AH20" s="6" t="s">
        <v>13169</v>
      </c>
      <c r="AI20" s="6" t="s">
        <v>104</v>
      </c>
      <c r="AJ20" s="6" t="s">
        <v>15371</v>
      </c>
      <c r="AK20" s="6" t="s">
        <v>16684</v>
      </c>
      <c r="AL20" s="6" t="s">
        <v>16931</v>
      </c>
      <c r="AM20" s="6" t="s">
        <v>16998</v>
      </c>
      <c r="AN20" s="6" t="s">
        <v>18454</v>
      </c>
      <c r="AO20" s="6" t="s">
        <v>18559</v>
      </c>
      <c r="AP20" s="6" t="s">
        <v>18948</v>
      </c>
      <c r="AQ20" s="6" t="s">
        <v>104</v>
      </c>
      <c r="AR20" s="6" t="s">
        <v>15371</v>
      </c>
      <c r="AS20" s="6" t="s">
        <v>16684</v>
      </c>
      <c r="AT20" s="6" t="s">
        <v>16931</v>
      </c>
      <c r="AU20" s="6" t="s">
        <v>16998</v>
      </c>
      <c r="AV20" s="6" t="s">
        <v>104</v>
      </c>
      <c r="AW20" s="6" t="s">
        <v>104</v>
      </c>
      <c r="AX20" s="6" t="s">
        <v>20128</v>
      </c>
      <c r="AY20" s="6" t="s">
        <v>21866</v>
      </c>
      <c r="AZ20" s="6" t="s">
        <v>104</v>
      </c>
      <c r="BA20" s="6" t="s">
        <v>104</v>
      </c>
      <c r="BB20" s="24" t="n">
        <v>279</v>
      </c>
      <c r="BC20" s="26"/>
      <c r="BD20" s="26"/>
      <c r="BE20" s="26"/>
      <c r="BF20" s="26"/>
      <c r="BG20" s="26"/>
      <c r="BH20" s="26"/>
      <c r="BI20" s="26"/>
      <c r="BJ20" s="26"/>
      <c r="BK20" s="26"/>
      <c r="BL20" s="26"/>
      <c r="BM20" s="26"/>
      <c r="BN20" s="26"/>
      <c r="BO20" s="26"/>
      <c r="BP20" s="16" t="n">
        <v>45737</v>
      </c>
      <c r="BQ20" s="28" t="str">
        <f>HYPERLINK("https://organic.ams.usda.gov/Integrity/Certificate.aspx?cid=31&amp;nopid=3928971749")</f>
        <v>https://organic.ams.usda.gov/Integrity/Certificate.aspx?cid=31&amp;nopid=3928971749</v>
      </c>
    </row>
    <row r="21">
      <c r="A21" t="s">
        <v>3</v>
      </c>
      <c r="B21" s="6" t="s">
        <v>19</v>
      </c>
      <c r="C21" s="6" t="s">
        <v>85</v>
      </c>
      <c r="D21" s="6" t="s">
        <v>150</v>
      </c>
      <c r="E21" s="10" t="s">
        <v>219</v>
      </c>
      <c r="F21" s="6" t="s">
        <v>2479</v>
      </c>
      <c r="G21" s="6" t="s">
        <v>104</v>
      </c>
      <c r="H21" s="6" t="s">
        <v>4909</v>
      </c>
      <c r="I21" s="6" t="s">
        <v>6930</v>
      </c>
      <c r="J21" s="6" t="s">
        <v>8143</v>
      </c>
      <c r="K21" s="6" t="s">
        <v>9714</v>
      </c>
      <c r="L21" s="16" t="n">
        <v>37550</v>
      </c>
      <c r="M21" s="16" t="n">
        <v>45717</v>
      </c>
      <c r="N21" s="6" t="s">
        <v>9714</v>
      </c>
      <c r="O21" s="16" t="n">
        <v>37550</v>
      </c>
      <c r="P21" s="6" t="s">
        <v>9733</v>
      </c>
      <c r="Q21" s="6" t="s">
        <v>104</v>
      </c>
      <c r="R21" s="6" t="s">
        <v>104</v>
      </c>
      <c r="S21" s="6" t="s">
        <v>104</v>
      </c>
      <c r="T21" s="21" t="s">
        <v>104</v>
      </c>
      <c r="U21" s="6" t="s">
        <v>104</v>
      </c>
      <c r="V21" s="6" t="s">
        <v>104</v>
      </c>
      <c r="W21" s="6" t="s">
        <v>104</v>
      </c>
      <c r="X21" s="6" t="s">
        <v>104</v>
      </c>
      <c r="Y21" s="21" t="s">
        <v>104</v>
      </c>
      <c r="Z21" s="6" t="s">
        <v>104</v>
      </c>
      <c r="AA21" s="6" t="s">
        <v>104</v>
      </c>
      <c r="AB21" s="6" t="s">
        <v>104</v>
      </c>
      <c r="AC21" s="6" t="s">
        <v>9714</v>
      </c>
      <c r="AD21" s="16" t="n">
        <v>37550</v>
      </c>
      <c r="AE21" s="6" t="s">
        <v>10546</v>
      </c>
      <c r="AF21" s="6" t="s">
        <v>104</v>
      </c>
      <c r="AG21" s="6" t="s">
        <v>104</v>
      </c>
      <c r="AH21" s="6" t="s">
        <v>13170</v>
      </c>
      <c r="AI21" s="6" t="s">
        <v>104</v>
      </c>
      <c r="AJ21" s="6" t="s">
        <v>15372</v>
      </c>
      <c r="AK21" s="6" t="s">
        <v>16686</v>
      </c>
      <c r="AL21" s="6" t="s">
        <v>16931</v>
      </c>
      <c r="AM21" s="6" t="s">
        <v>16999</v>
      </c>
      <c r="AN21" s="6" t="s">
        <v>18455</v>
      </c>
      <c r="AO21" s="6" t="s">
        <v>18560</v>
      </c>
      <c r="AP21" s="6" t="s">
        <v>13170</v>
      </c>
      <c r="AQ21" s="6" t="s">
        <v>104</v>
      </c>
      <c r="AR21" s="6" t="s">
        <v>15372</v>
      </c>
      <c r="AS21" s="6" t="s">
        <v>16686</v>
      </c>
      <c r="AT21" s="6" t="s">
        <v>16931</v>
      </c>
      <c r="AU21" s="6" t="s">
        <v>16999</v>
      </c>
      <c r="AV21" s="6" t="s">
        <v>104</v>
      </c>
      <c r="AW21" s="6" t="s">
        <v>104</v>
      </c>
      <c r="AX21" s="6" t="s">
        <v>20129</v>
      </c>
      <c r="AY21" s="6" t="s">
        <v>104</v>
      </c>
      <c r="AZ21" s="6" t="s">
        <v>104</v>
      </c>
      <c r="BA21" s="6" t="s">
        <v>104</v>
      </c>
      <c r="BB21" s="24" t="n">
        <v>333</v>
      </c>
      <c r="BC21" s="26"/>
      <c r="BD21" s="26"/>
      <c r="BE21" s="26"/>
      <c r="BF21" s="26"/>
      <c r="BG21" s="26"/>
      <c r="BH21" s="26"/>
      <c r="BI21" s="26"/>
      <c r="BJ21" s="26"/>
      <c r="BK21" s="26"/>
      <c r="BL21" s="26"/>
      <c r="BM21" s="26"/>
      <c r="BN21" s="26"/>
      <c r="BO21" s="26"/>
      <c r="BP21" s="16" t="n">
        <v>45684</v>
      </c>
      <c r="BQ21" s="28" t="str">
        <f>HYPERLINK("https://organic.ams.usda.gov/Integrity/Certificate.aspx?cid=68&amp;nopid=8210003417")</f>
        <v>https://organic.ams.usda.gov/Integrity/Certificate.aspx?cid=68&amp;nopid=8210003417</v>
      </c>
    </row>
    <row r="22">
      <c r="A22" t="s">
        <v>3</v>
      </c>
      <c r="B22" s="6" t="s">
        <v>20</v>
      </c>
      <c r="C22" s="6" t="s">
        <v>86</v>
      </c>
      <c r="D22" s="6" t="s">
        <v>151</v>
      </c>
      <c r="E22" s="10" t="s">
        <v>220</v>
      </c>
      <c r="F22" s="6" t="s">
        <v>2480</v>
      </c>
      <c r="G22" s="6" t="s">
        <v>104</v>
      </c>
      <c r="H22" s="6" t="s">
        <v>4910</v>
      </c>
      <c r="I22" s="6" t="s">
        <v>6931</v>
      </c>
      <c r="J22" s="6" t="s">
        <v>8144</v>
      </c>
      <c r="K22" s="6" t="s">
        <v>9714</v>
      </c>
      <c r="L22" s="16" t="n">
        <v>44677</v>
      </c>
      <c r="M22" s="16" t="n">
        <v>45747</v>
      </c>
      <c r="N22" s="6" t="s">
        <v>104</v>
      </c>
      <c r="O22" s="21" t="s">
        <v>104</v>
      </c>
      <c r="P22" s="6" t="s">
        <v>104</v>
      </c>
      <c r="Q22" s="6" t="s">
        <v>104</v>
      </c>
      <c r="R22" s="6" t="s">
        <v>104</v>
      </c>
      <c r="S22" s="6" t="s">
        <v>104</v>
      </c>
      <c r="T22" s="21" t="s">
        <v>104</v>
      </c>
      <c r="U22" s="6" t="s">
        <v>104</v>
      </c>
      <c r="V22" s="6" t="s">
        <v>104</v>
      </c>
      <c r="W22" s="6" t="s">
        <v>104</v>
      </c>
      <c r="X22" s="6" t="s">
        <v>104</v>
      </c>
      <c r="Y22" s="21" t="s">
        <v>104</v>
      </c>
      <c r="Z22" s="6" t="s">
        <v>104</v>
      </c>
      <c r="AA22" s="6" t="s">
        <v>104</v>
      </c>
      <c r="AB22" s="6" t="s">
        <v>104</v>
      </c>
      <c r="AC22" s="6" t="s">
        <v>9714</v>
      </c>
      <c r="AD22" s="16" t="n">
        <v>44677</v>
      </c>
      <c r="AE22" s="6" t="s">
        <v>10547</v>
      </c>
      <c r="AF22" s="6" t="s">
        <v>104</v>
      </c>
      <c r="AG22" s="6" t="s">
        <v>12493</v>
      </c>
      <c r="AH22" s="6" t="s">
        <v>13171</v>
      </c>
      <c r="AI22" s="6" t="s">
        <v>104</v>
      </c>
      <c r="AJ22" s="6" t="s">
        <v>15373</v>
      </c>
      <c r="AK22" s="6" t="s">
        <v>15373</v>
      </c>
      <c r="AL22" s="6" t="s">
        <v>16933</v>
      </c>
      <c r="AM22" s="6" t="s">
        <v>17000</v>
      </c>
      <c r="AN22" s="6" t="s">
        <v>104</v>
      </c>
      <c r="AO22" s="6" t="s">
        <v>104</v>
      </c>
      <c r="AP22" s="6" t="s">
        <v>104</v>
      </c>
      <c r="AQ22" s="6" t="s">
        <v>104</v>
      </c>
      <c r="AR22" s="6" t="s">
        <v>104</v>
      </c>
      <c r="AS22" s="6" t="s">
        <v>104</v>
      </c>
      <c r="AT22" s="6" t="s">
        <v>104</v>
      </c>
      <c r="AU22" s="6" t="s">
        <v>104</v>
      </c>
      <c r="AV22" s="6" t="s">
        <v>104</v>
      </c>
      <c r="AW22" s="6" t="s">
        <v>104</v>
      </c>
      <c r="AX22" s="6" t="s">
        <v>20130</v>
      </c>
      <c r="AY22" s="6" t="s">
        <v>21867</v>
      </c>
      <c r="AZ22" s="6" t="s">
        <v>104</v>
      </c>
      <c r="BA22" s="6" t="s">
        <v>104</v>
      </c>
      <c r="BB22" s="6" t="s">
        <v>104</v>
      </c>
      <c r="BC22" s="26"/>
      <c r="BD22" s="26"/>
      <c r="BE22" s="26"/>
      <c r="BF22" s="26"/>
      <c r="BG22" s="26"/>
      <c r="BH22" s="26"/>
      <c r="BI22" s="26"/>
      <c r="BJ22" s="26"/>
      <c r="BK22" s="26"/>
      <c r="BL22" s="26"/>
      <c r="BM22" s="26"/>
      <c r="BN22" s="26"/>
      <c r="BO22" s="26"/>
      <c r="BP22" s="16" t="n">
        <v>45376</v>
      </c>
      <c r="BQ22" s="28" t="str">
        <f>HYPERLINK("https://organic.ams.usda.gov/Integrity/Certificate.aspx?cid=17&amp;nopid=4082745684")</f>
        <v>https://organic.ams.usda.gov/Integrity/Certificate.aspx?cid=17&amp;nopid=4082745684</v>
      </c>
    </row>
    <row r="23">
      <c r="A23" t="s">
        <v>3</v>
      </c>
      <c r="B23" s="6" t="s">
        <v>21</v>
      </c>
      <c r="C23" s="6" t="s">
        <v>87</v>
      </c>
      <c r="D23" s="6" t="s">
        <v>152</v>
      </c>
      <c r="E23" s="10" t="s">
        <v>221</v>
      </c>
      <c r="F23" s="6" t="s">
        <v>2481</v>
      </c>
      <c r="G23" s="6" t="s">
        <v>4665</v>
      </c>
      <c r="H23" s="6" t="s">
        <v>4911</v>
      </c>
      <c r="I23" s="6" t="s">
        <v>6932</v>
      </c>
      <c r="J23" s="6" t="s">
        <v>8145</v>
      </c>
      <c r="K23" s="6" t="s">
        <v>9714</v>
      </c>
      <c r="L23" s="16" t="n">
        <v>39372</v>
      </c>
      <c r="M23" s="16" t="n">
        <v>46023</v>
      </c>
      <c r="N23" s="6" t="s">
        <v>104</v>
      </c>
      <c r="O23" s="21" t="s">
        <v>104</v>
      </c>
      <c r="P23" s="6" t="s">
        <v>104</v>
      </c>
      <c r="Q23" s="6" t="s">
        <v>104</v>
      </c>
      <c r="R23" s="6" t="s">
        <v>104</v>
      </c>
      <c r="S23" s="6" t="s">
        <v>104</v>
      </c>
      <c r="T23" s="21" t="s">
        <v>104</v>
      </c>
      <c r="U23" s="6" t="s">
        <v>104</v>
      </c>
      <c r="V23" s="6" t="s">
        <v>104</v>
      </c>
      <c r="W23" s="6" t="s">
        <v>104</v>
      </c>
      <c r="X23" s="6" t="s">
        <v>104</v>
      </c>
      <c r="Y23" s="21" t="s">
        <v>104</v>
      </c>
      <c r="Z23" s="6" t="s">
        <v>104</v>
      </c>
      <c r="AA23" s="6" t="s">
        <v>104</v>
      </c>
      <c r="AB23" s="6" t="s">
        <v>104</v>
      </c>
      <c r="AC23" s="6" t="s">
        <v>9714</v>
      </c>
      <c r="AD23" s="16" t="n">
        <v>39372</v>
      </c>
      <c r="AE23" s="6" t="s">
        <v>10548</v>
      </c>
      <c r="AF23" s="6" t="s">
        <v>104</v>
      </c>
      <c r="AG23" s="6" t="s">
        <v>104</v>
      </c>
      <c r="AH23" s="6" t="s">
        <v>13172</v>
      </c>
      <c r="AI23" s="6" t="s">
        <v>104</v>
      </c>
      <c r="AJ23" s="6" t="s">
        <v>8279</v>
      </c>
      <c r="AK23" s="6" t="s">
        <v>16687</v>
      </c>
      <c r="AL23" s="6" t="s">
        <v>16931</v>
      </c>
      <c r="AM23" s="6" t="s">
        <v>17001</v>
      </c>
      <c r="AN23" s="6" t="s">
        <v>18456</v>
      </c>
      <c r="AO23" s="6" t="s">
        <v>18561</v>
      </c>
      <c r="AP23" s="6" t="s">
        <v>18949</v>
      </c>
      <c r="AQ23" s="6" t="s">
        <v>104</v>
      </c>
      <c r="AR23" s="6" t="s">
        <v>8279</v>
      </c>
      <c r="AS23" s="6" t="s">
        <v>16687</v>
      </c>
      <c r="AT23" s="6" t="s">
        <v>16931</v>
      </c>
      <c r="AU23" s="6" t="s">
        <v>17001</v>
      </c>
      <c r="AV23" s="6" t="s">
        <v>104</v>
      </c>
      <c r="AW23" s="6" t="s">
        <v>104</v>
      </c>
      <c r="AX23" s="6" t="s">
        <v>20131</v>
      </c>
      <c r="AY23" s="6" t="s">
        <v>21868</v>
      </c>
      <c r="AZ23" s="6" t="s">
        <v>23689</v>
      </c>
      <c r="BA23" s="6" t="s">
        <v>24260</v>
      </c>
      <c r="BB23" s="6" t="s">
        <v>104</v>
      </c>
      <c r="BC23" s="26"/>
      <c r="BD23" s="26"/>
      <c r="BE23" s="26"/>
      <c r="BF23" s="26"/>
      <c r="BG23" s="26"/>
      <c r="BH23" s="26"/>
      <c r="BI23" s="26"/>
      <c r="BJ23" s="26"/>
      <c r="BK23" s="26"/>
      <c r="BL23" s="26"/>
      <c r="BM23" s="26"/>
      <c r="BN23" s="26"/>
      <c r="BO23" s="26"/>
      <c r="BP23" s="16" t="n">
        <v>45692</v>
      </c>
      <c r="BQ23" s="28" t="str">
        <f>HYPERLINK("https://organic.ams.usda.gov/Integrity/Certificate.aspx?cid=15&amp;nopid=5561002416")</f>
        <v>https://organic.ams.usda.gov/Integrity/Certificate.aspx?cid=15&amp;nopid=5561002416</v>
      </c>
    </row>
    <row r="24">
      <c r="A24" t="s">
        <v>3</v>
      </c>
      <c r="B24" s="6" t="s">
        <v>21</v>
      </c>
      <c r="C24" s="6" t="s">
        <v>87</v>
      </c>
      <c r="D24" s="6" t="s">
        <v>152</v>
      </c>
      <c r="E24" s="10" t="s">
        <v>222</v>
      </c>
      <c r="F24" s="6" t="s">
        <v>2482</v>
      </c>
      <c r="G24" s="6" t="s">
        <v>104</v>
      </c>
      <c r="H24" s="6" t="s">
        <v>4912</v>
      </c>
      <c r="I24" s="6" t="s">
        <v>6933</v>
      </c>
      <c r="J24" s="6" t="s">
        <v>8146</v>
      </c>
      <c r="K24" s="6" t="s">
        <v>9714</v>
      </c>
      <c r="L24" s="16" t="n">
        <v>45471</v>
      </c>
      <c r="M24" s="16" t="n">
        <v>46023</v>
      </c>
      <c r="N24" s="6" t="s">
        <v>104</v>
      </c>
      <c r="O24" s="21" t="s">
        <v>104</v>
      </c>
      <c r="P24" s="6" t="s">
        <v>104</v>
      </c>
      <c r="Q24" s="6" t="s">
        <v>104</v>
      </c>
      <c r="R24" s="6" t="s">
        <v>104</v>
      </c>
      <c r="S24" s="6" t="s">
        <v>104</v>
      </c>
      <c r="T24" s="21" t="s">
        <v>104</v>
      </c>
      <c r="U24" s="6" t="s">
        <v>104</v>
      </c>
      <c r="V24" s="6" t="s">
        <v>104</v>
      </c>
      <c r="W24" s="6" t="s">
        <v>104</v>
      </c>
      <c r="X24" s="6" t="s">
        <v>104</v>
      </c>
      <c r="Y24" s="21" t="s">
        <v>104</v>
      </c>
      <c r="Z24" s="6" t="s">
        <v>104</v>
      </c>
      <c r="AA24" s="6" t="s">
        <v>104</v>
      </c>
      <c r="AB24" s="6" t="s">
        <v>104</v>
      </c>
      <c r="AC24" s="6" t="s">
        <v>9714</v>
      </c>
      <c r="AD24" s="16" t="n">
        <v>45471</v>
      </c>
      <c r="AE24" s="6" t="s">
        <v>10549</v>
      </c>
      <c r="AF24" s="6" t="s">
        <v>104</v>
      </c>
      <c r="AG24" s="6" t="s">
        <v>104</v>
      </c>
      <c r="AH24" s="6" t="s">
        <v>13173</v>
      </c>
      <c r="AI24" s="6" t="s">
        <v>104</v>
      </c>
      <c r="AJ24" s="6" t="s">
        <v>15374</v>
      </c>
      <c r="AK24" s="6" t="s">
        <v>15697</v>
      </c>
      <c r="AL24" s="6" t="s">
        <v>16931</v>
      </c>
      <c r="AM24" s="6" t="s">
        <v>17002</v>
      </c>
      <c r="AN24" s="6" t="s">
        <v>104</v>
      </c>
      <c r="AO24" s="6" t="s">
        <v>104</v>
      </c>
      <c r="AP24" s="6" t="s">
        <v>13173</v>
      </c>
      <c r="AQ24" s="6" t="s">
        <v>104</v>
      </c>
      <c r="AR24" s="6" t="s">
        <v>15374</v>
      </c>
      <c r="AS24" s="6" t="s">
        <v>15697</v>
      </c>
      <c r="AT24" s="6" t="s">
        <v>16931</v>
      </c>
      <c r="AU24" s="6" t="s">
        <v>17002</v>
      </c>
      <c r="AV24" s="6" t="s">
        <v>104</v>
      </c>
      <c r="AW24" s="6" t="s">
        <v>104</v>
      </c>
      <c r="AX24" s="6" t="s">
        <v>20132</v>
      </c>
      <c r="AY24" s="6" t="s">
        <v>21869</v>
      </c>
      <c r="AZ24" s="6" t="s">
        <v>23690</v>
      </c>
      <c r="BA24" s="6" t="s">
        <v>104</v>
      </c>
      <c r="BB24" s="6" t="s">
        <v>104</v>
      </c>
      <c r="BC24" s="26"/>
      <c r="BD24" s="26"/>
      <c r="BE24" s="26"/>
      <c r="BF24" s="26"/>
      <c r="BG24" s="26"/>
      <c r="BH24" s="26"/>
      <c r="BI24" s="26"/>
      <c r="BJ24" s="26"/>
      <c r="BK24" s="26"/>
      <c r="BL24" s="26"/>
      <c r="BM24" s="26"/>
      <c r="BN24" s="26"/>
      <c r="BO24" s="26"/>
      <c r="BP24" s="16" t="n">
        <v>45667</v>
      </c>
      <c r="BQ24" s="28" t="str">
        <f>HYPERLINK("https://organic.ams.usda.gov/Integrity/Certificate.aspx?cid=15&amp;nopid=5561008393")</f>
        <v>https://organic.ams.usda.gov/Integrity/Certificate.aspx?cid=15&amp;nopid=5561008393</v>
      </c>
    </row>
    <row r="25">
      <c r="A25" t="s">
        <v>3</v>
      </c>
      <c r="B25" s="6" t="s">
        <v>22</v>
      </c>
      <c r="C25" s="6" t="s">
        <v>88</v>
      </c>
      <c r="D25" s="6" t="s">
        <v>153</v>
      </c>
      <c r="E25" s="10" t="s">
        <v>223</v>
      </c>
      <c r="F25" s="6" t="s">
        <v>2483</v>
      </c>
      <c r="G25" s="6" t="s">
        <v>104</v>
      </c>
      <c r="H25" s="6" t="s">
        <v>4913</v>
      </c>
      <c r="I25" s="6" t="s">
        <v>6934</v>
      </c>
      <c r="J25" s="6" t="s">
        <v>8147</v>
      </c>
      <c r="K25" s="6" t="s">
        <v>9714</v>
      </c>
      <c r="L25" s="16" t="n">
        <v>37963</v>
      </c>
      <c r="M25" s="16" t="n">
        <v>45992</v>
      </c>
      <c r="N25" s="6" t="s">
        <v>104</v>
      </c>
      <c r="O25" s="21" t="s">
        <v>104</v>
      </c>
      <c r="P25" s="6" t="s">
        <v>104</v>
      </c>
      <c r="Q25" s="6" t="s">
        <v>104</v>
      </c>
      <c r="R25" s="6" t="s">
        <v>104</v>
      </c>
      <c r="S25" s="6" t="s">
        <v>104</v>
      </c>
      <c r="T25" s="21" t="s">
        <v>104</v>
      </c>
      <c r="U25" s="6" t="s">
        <v>104</v>
      </c>
      <c r="V25" s="6" t="s">
        <v>104</v>
      </c>
      <c r="W25" s="6" t="s">
        <v>104</v>
      </c>
      <c r="X25" s="6" t="s">
        <v>104</v>
      </c>
      <c r="Y25" s="21" t="s">
        <v>104</v>
      </c>
      <c r="Z25" s="6" t="s">
        <v>104</v>
      </c>
      <c r="AA25" s="6" t="s">
        <v>104</v>
      </c>
      <c r="AB25" s="6" t="s">
        <v>104</v>
      </c>
      <c r="AC25" s="6" t="s">
        <v>9714</v>
      </c>
      <c r="AD25" s="16" t="n">
        <v>37963</v>
      </c>
      <c r="AE25" s="6" t="s">
        <v>10550</v>
      </c>
      <c r="AF25" s="6" t="s">
        <v>104</v>
      </c>
      <c r="AG25" s="6" t="s">
        <v>12494</v>
      </c>
      <c r="AH25" s="6" t="s">
        <v>13174</v>
      </c>
      <c r="AI25" s="6" t="s">
        <v>104</v>
      </c>
      <c r="AJ25" s="6" t="s">
        <v>15375</v>
      </c>
      <c r="AK25" s="6" t="s">
        <v>16688</v>
      </c>
      <c r="AL25" s="6" t="s">
        <v>16931</v>
      </c>
      <c r="AM25" s="6" t="s">
        <v>17003</v>
      </c>
      <c r="AN25" s="6" t="s">
        <v>18457</v>
      </c>
      <c r="AO25" s="6" t="s">
        <v>18562</v>
      </c>
      <c r="AP25" s="6" t="s">
        <v>13174</v>
      </c>
      <c r="AQ25" s="6" t="s">
        <v>104</v>
      </c>
      <c r="AR25" s="6" t="s">
        <v>15375</v>
      </c>
      <c r="AS25" s="6" t="s">
        <v>16688</v>
      </c>
      <c r="AT25" s="6" t="s">
        <v>16931</v>
      </c>
      <c r="AU25" s="6" t="s">
        <v>17003</v>
      </c>
      <c r="AV25" s="6" t="s">
        <v>104</v>
      </c>
      <c r="AW25" s="6" t="s">
        <v>104</v>
      </c>
      <c r="AX25" s="6" t="s">
        <v>20133</v>
      </c>
      <c r="AY25" s="6" t="s">
        <v>21870</v>
      </c>
      <c r="AZ25" s="6" t="s">
        <v>23691</v>
      </c>
      <c r="BA25" s="6" t="s">
        <v>104</v>
      </c>
      <c r="BB25" s="6" t="s">
        <v>104</v>
      </c>
      <c r="BC25" s="26"/>
      <c r="BD25" s="26"/>
      <c r="BE25" s="26"/>
      <c r="BF25" s="26"/>
      <c r="BG25" s="26" t="s">
        <v>24533</v>
      </c>
      <c r="BH25" s="26"/>
      <c r="BI25" s="26"/>
      <c r="BJ25" s="26"/>
      <c r="BK25" s="26"/>
      <c r="BL25" s="26"/>
      <c r="BM25" s="26"/>
      <c r="BN25" s="26"/>
      <c r="BO25" s="26"/>
      <c r="BP25" s="16" t="n">
        <v>45737</v>
      </c>
      <c r="BQ25" s="28" t="str">
        <f>HYPERLINK("https://organic.ams.usda.gov/Integrity/Certificate.aspx?cid=72&amp;nopid=5870000548")</f>
        <v>https://organic.ams.usda.gov/Integrity/Certificate.aspx?cid=72&amp;nopid=5870000548</v>
      </c>
    </row>
    <row r="26">
      <c r="A26" t="s">
        <v>3</v>
      </c>
      <c r="B26" s="6" t="s">
        <v>23</v>
      </c>
      <c r="C26" s="6" t="s">
        <v>89</v>
      </c>
      <c r="D26" s="6" t="s">
        <v>154</v>
      </c>
      <c r="E26" s="10" t="s">
        <v>224</v>
      </c>
      <c r="F26" s="6" t="s">
        <v>2484</v>
      </c>
      <c r="G26" s="6" t="s">
        <v>4666</v>
      </c>
      <c r="H26" s="6" t="s">
        <v>4914</v>
      </c>
      <c r="I26" s="6" t="s">
        <v>6935</v>
      </c>
      <c r="J26" s="6" t="s">
        <v>8148</v>
      </c>
      <c r="K26" s="6" t="s">
        <v>9714</v>
      </c>
      <c r="L26" s="16" t="n">
        <v>45545</v>
      </c>
      <c r="M26" s="16" t="n">
        <v>45748</v>
      </c>
      <c r="N26" s="6" t="s">
        <v>9714</v>
      </c>
      <c r="O26" s="16" t="n">
        <v>45545</v>
      </c>
      <c r="P26" s="6" t="s">
        <v>9734</v>
      </c>
      <c r="Q26" s="6" t="s">
        <v>104</v>
      </c>
      <c r="R26" s="6" t="s">
        <v>4914</v>
      </c>
      <c r="S26" s="6" t="s">
        <v>104</v>
      </c>
      <c r="T26" s="21" t="s">
        <v>104</v>
      </c>
      <c r="U26" s="6" t="s">
        <v>104</v>
      </c>
      <c r="V26" s="6" t="s">
        <v>104</v>
      </c>
      <c r="W26" s="6" t="s">
        <v>104</v>
      </c>
      <c r="X26" s="6" t="s">
        <v>104</v>
      </c>
      <c r="Y26" s="21" t="s">
        <v>104</v>
      </c>
      <c r="Z26" s="6" t="s">
        <v>104</v>
      </c>
      <c r="AA26" s="6" t="s">
        <v>104</v>
      </c>
      <c r="AB26" s="6" t="s">
        <v>104</v>
      </c>
      <c r="AC26" s="6" t="s">
        <v>9714</v>
      </c>
      <c r="AD26" s="16" t="n">
        <v>45545</v>
      </c>
      <c r="AE26" s="6" t="s">
        <v>10551</v>
      </c>
      <c r="AF26" s="6" t="s">
        <v>104</v>
      </c>
      <c r="AG26" s="6" t="s">
        <v>4914</v>
      </c>
      <c r="AH26" s="6" t="s">
        <v>13175</v>
      </c>
      <c r="AI26" s="6" t="s">
        <v>104</v>
      </c>
      <c r="AJ26" s="6" t="s">
        <v>15376</v>
      </c>
      <c r="AK26" s="6" t="s">
        <v>16689</v>
      </c>
      <c r="AL26" s="6" t="s">
        <v>16931</v>
      </c>
      <c r="AM26" s="6" t="s">
        <v>17004</v>
      </c>
      <c r="AN26" s="6" t="s">
        <v>104</v>
      </c>
      <c r="AO26" s="6" t="s">
        <v>104</v>
      </c>
      <c r="AP26" s="6" t="s">
        <v>104</v>
      </c>
      <c r="AQ26" s="6" t="s">
        <v>104</v>
      </c>
      <c r="AR26" s="6" t="s">
        <v>104</v>
      </c>
      <c r="AS26" s="6" t="s">
        <v>104</v>
      </c>
      <c r="AT26" s="6" t="s">
        <v>104</v>
      </c>
      <c r="AU26" s="6" t="s">
        <v>104</v>
      </c>
      <c r="AV26" s="6" t="s">
        <v>104</v>
      </c>
      <c r="AW26" s="6" t="s">
        <v>104</v>
      </c>
      <c r="AX26" s="6" t="s">
        <v>104</v>
      </c>
      <c r="AY26" s="6" t="s">
        <v>21871</v>
      </c>
      <c r="AZ26" s="6" t="s">
        <v>104</v>
      </c>
      <c r="BA26" s="6" t="s">
        <v>24261</v>
      </c>
      <c r="BB26" s="24" t="n">
        <v>24</v>
      </c>
      <c r="BC26" s="26"/>
      <c r="BD26" s="26"/>
      <c r="BE26" s="26"/>
      <c r="BF26" s="26"/>
      <c r="BG26" s="26"/>
      <c r="BH26" s="26"/>
      <c r="BI26" s="26"/>
      <c r="BJ26" s="26"/>
      <c r="BK26" s="26"/>
      <c r="BL26" s="26"/>
      <c r="BM26" s="26"/>
      <c r="BN26" s="26"/>
      <c r="BO26" s="26"/>
      <c r="BP26" s="16" t="n">
        <v>45545</v>
      </c>
      <c r="BQ26" s="28" t="str">
        <f>HYPERLINK("https://organic.ams.usda.gov/Integrity/Certificate.aspx?cid=45&amp;nopid=9950014032")</f>
        <v>https://organic.ams.usda.gov/Integrity/Certificate.aspx?cid=45&amp;nopid=9950014032</v>
      </c>
    </row>
    <row r="27">
      <c r="A27" t="s">
        <v>3</v>
      </c>
      <c r="B27" s="6" t="s">
        <v>24</v>
      </c>
      <c r="C27" s="6" t="s">
        <v>90</v>
      </c>
      <c r="D27" s="6" t="s">
        <v>155</v>
      </c>
      <c r="E27" s="10" t="s">
        <v>225</v>
      </c>
      <c r="F27" s="6" t="s">
        <v>2485</v>
      </c>
      <c r="G27" s="6" t="s">
        <v>4667</v>
      </c>
      <c r="H27" s="6" t="s">
        <v>4915</v>
      </c>
      <c r="I27" s="6" t="s">
        <v>6936</v>
      </c>
      <c r="J27" s="6" t="s">
        <v>7539</v>
      </c>
      <c r="K27" s="6" t="s">
        <v>9714</v>
      </c>
      <c r="L27" s="16" t="n">
        <v>39842</v>
      </c>
      <c r="M27" s="16" t="n">
        <v>45838</v>
      </c>
      <c r="N27" s="6" t="s">
        <v>104</v>
      </c>
      <c r="O27" s="21" t="s">
        <v>104</v>
      </c>
      <c r="P27" s="6" t="s">
        <v>104</v>
      </c>
      <c r="Q27" s="6" t="s">
        <v>104</v>
      </c>
      <c r="R27" s="6" t="s">
        <v>104</v>
      </c>
      <c r="S27" s="6" t="s">
        <v>104</v>
      </c>
      <c r="T27" s="21" t="s">
        <v>104</v>
      </c>
      <c r="U27" s="6" t="s">
        <v>104</v>
      </c>
      <c r="V27" s="6" t="s">
        <v>104</v>
      </c>
      <c r="W27" s="6" t="s">
        <v>104</v>
      </c>
      <c r="X27" s="6" t="s">
        <v>104</v>
      </c>
      <c r="Y27" s="21" t="s">
        <v>104</v>
      </c>
      <c r="Z27" s="6" t="s">
        <v>104</v>
      </c>
      <c r="AA27" s="6" t="s">
        <v>104</v>
      </c>
      <c r="AB27" s="6" t="s">
        <v>104</v>
      </c>
      <c r="AC27" s="6" t="s">
        <v>9714</v>
      </c>
      <c r="AD27" s="16" t="n">
        <v>39842</v>
      </c>
      <c r="AE27" s="6" t="s">
        <v>10552</v>
      </c>
      <c r="AF27" s="6" t="s">
        <v>104</v>
      </c>
      <c r="AG27" s="6" t="s">
        <v>4915</v>
      </c>
      <c r="AH27" s="6" t="s">
        <v>13176</v>
      </c>
      <c r="AI27" s="6" t="s">
        <v>104</v>
      </c>
      <c r="AJ27" s="6" t="s">
        <v>15377</v>
      </c>
      <c r="AK27" s="6" t="s">
        <v>16690</v>
      </c>
      <c r="AL27" s="6" t="s">
        <v>16934</v>
      </c>
      <c r="AM27" s="6" t="s">
        <v>17005</v>
      </c>
      <c r="AN27" s="6" t="s">
        <v>104</v>
      </c>
      <c r="AO27" s="6" t="s">
        <v>104</v>
      </c>
      <c r="AP27" s="6" t="s">
        <v>18950</v>
      </c>
      <c r="AQ27" s="6" t="s">
        <v>104</v>
      </c>
      <c r="AR27" s="6" t="s">
        <v>15377</v>
      </c>
      <c r="AS27" s="6" t="s">
        <v>16690</v>
      </c>
      <c r="AT27" s="6" t="s">
        <v>16934</v>
      </c>
      <c r="AU27" s="6" t="s">
        <v>17005</v>
      </c>
      <c r="AV27" s="6" t="s">
        <v>104</v>
      </c>
      <c r="AW27" s="6" t="s">
        <v>104</v>
      </c>
      <c r="AX27" s="6" t="s">
        <v>20134</v>
      </c>
      <c r="AY27" s="6" t="s">
        <v>21872</v>
      </c>
      <c r="AZ27" s="6" t="s">
        <v>23692</v>
      </c>
      <c r="BA27" s="6" t="s">
        <v>24262</v>
      </c>
      <c r="BB27" s="24" t="n">
        <v>0</v>
      </c>
      <c r="BC27" s="26"/>
      <c r="BD27" s="26"/>
      <c r="BE27" s="26"/>
      <c r="BF27" s="26"/>
      <c r="BG27" s="26"/>
      <c r="BH27" s="26"/>
      <c r="BI27" s="26"/>
      <c r="BJ27" s="26"/>
      <c r="BK27" s="26"/>
      <c r="BL27" s="26"/>
      <c r="BM27" s="26"/>
      <c r="BN27" s="26"/>
      <c r="BO27" s="26"/>
      <c r="BP27" s="16" t="n">
        <v>45609</v>
      </c>
      <c r="BQ27" s="28" t="str">
        <f>HYPERLINK("https://organic.ams.usda.gov/Integrity/Certificate.aspx?cid=7&amp;nopid=3950000328")</f>
        <v>https://organic.ams.usda.gov/Integrity/Certificate.aspx?cid=7&amp;nopid=3950000328</v>
      </c>
    </row>
    <row r="28">
      <c r="A28" t="s">
        <v>3</v>
      </c>
      <c r="B28" s="6" t="s">
        <v>21</v>
      </c>
      <c r="C28" s="6" t="s">
        <v>87</v>
      </c>
      <c r="D28" s="6" t="s">
        <v>152</v>
      </c>
      <c r="E28" s="10" t="s">
        <v>226</v>
      </c>
      <c r="F28" s="6" t="s">
        <v>2486</v>
      </c>
      <c r="G28" s="6" t="s">
        <v>4668</v>
      </c>
      <c r="H28" s="6" t="s">
        <v>4916</v>
      </c>
      <c r="I28" s="6" t="s">
        <v>6937</v>
      </c>
      <c r="J28" s="6" t="s">
        <v>8149</v>
      </c>
      <c r="K28" s="6" t="s">
        <v>9714</v>
      </c>
      <c r="L28" s="16" t="n">
        <v>42648</v>
      </c>
      <c r="M28" s="16" t="n">
        <v>46023</v>
      </c>
      <c r="N28" s="6" t="s">
        <v>104</v>
      </c>
      <c r="O28" s="21" t="s">
        <v>104</v>
      </c>
      <c r="P28" s="6" t="s">
        <v>104</v>
      </c>
      <c r="Q28" s="6" t="s">
        <v>104</v>
      </c>
      <c r="R28" s="6" t="s">
        <v>104</v>
      </c>
      <c r="S28" s="6" t="s">
        <v>104</v>
      </c>
      <c r="T28" s="21" t="s">
        <v>104</v>
      </c>
      <c r="U28" s="6" t="s">
        <v>104</v>
      </c>
      <c r="V28" s="6" t="s">
        <v>104</v>
      </c>
      <c r="W28" s="6" t="s">
        <v>104</v>
      </c>
      <c r="X28" s="6" t="s">
        <v>104</v>
      </c>
      <c r="Y28" s="21" t="s">
        <v>104</v>
      </c>
      <c r="Z28" s="6" t="s">
        <v>104</v>
      </c>
      <c r="AA28" s="6" t="s">
        <v>104</v>
      </c>
      <c r="AB28" s="6" t="s">
        <v>104</v>
      </c>
      <c r="AC28" s="6" t="s">
        <v>9714</v>
      </c>
      <c r="AD28" s="16" t="n">
        <v>42648</v>
      </c>
      <c r="AE28" s="6" t="s">
        <v>10553</v>
      </c>
      <c r="AF28" s="6" t="s">
        <v>104</v>
      </c>
      <c r="AG28" s="6" t="s">
        <v>104</v>
      </c>
      <c r="AH28" s="6" t="s">
        <v>13177</v>
      </c>
      <c r="AI28" s="6" t="s">
        <v>104</v>
      </c>
      <c r="AJ28" s="6" t="s">
        <v>15378</v>
      </c>
      <c r="AK28" s="6" t="s">
        <v>16687</v>
      </c>
      <c r="AL28" s="6" t="s">
        <v>16931</v>
      </c>
      <c r="AM28" s="6" t="s">
        <v>17006</v>
      </c>
      <c r="AN28" s="6" t="s">
        <v>5771</v>
      </c>
      <c r="AO28" s="6" t="s">
        <v>18563</v>
      </c>
      <c r="AP28" s="6" t="s">
        <v>18951</v>
      </c>
      <c r="AQ28" s="6" t="s">
        <v>104</v>
      </c>
      <c r="AR28" s="6" t="s">
        <v>16534</v>
      </c>
      <c r="AS28" s="6" t="s">
        <v>16687</v>
      </c>
      <c r="AT28" s="6" t="s">
        <v>16931</v>
      </c>
      <c r="AU28" s="6" t="s">
        <v>18270</v>
      </c>
      <c r="AV28" s="6" t="s">
        <v>104</v>
      </c>
      <c r="AW28" s="6" t="s">
        <v>104</v>
      </c>
      <c r="AX28" s="6" t="s">
        <v>20135</v>
      </c>
      <c r="AY28" s="6" t="s">
        <v>21873</v>
      </c>
      <c r="AZ28" s="6" t="s">
        <v>23693</v>
      </c>
      <c r="BA28" s="6" t="s">
        <v>24263</v>
      </c>
      <c r="BB28" s="6" t="s">
        <v>104</v>
      </c>
      <c r="BC28" s="26"/>
      <c r="BD28" s="26"/>
      <c r="BE28" s="26"/>
      <c r="BF28" s="26"/>
      <c r="BG28" s="26"/>
      <c r="BH28" s="26"/>
      <c r="BI28" s="26"/>
      <c r="BJ28" s="26"/>
      <c r="BK28" s="26"/>
      <c r="BL28" s="26"/>
      <c r="BM28" s="26"/>
      <c r="BN28" s="26"/>
      <c r="BO28" s="26"/>
      <c r="BP28" s="16" t="n">
        <v>45720</v>
      </c>
      <c r="BQ28" s="28" t="str">
        <f>HYPERLINK("https://organic.ams.usda.gov/Integrity/Certificate.aspx?cid=15&amp;nopid=5561004499")</f>
        <v>https://organic.ams.usda.gov/Integrity/Certificate.aspx?cid=15&amp;nopid=5561004499</v>
      </c>
    </row>
    <row r="29">
      <c r="A29" t="s">
        <v>3</v>
      </c>
      <c r="B29" s="6" t="s">
        <v>13</v>
      </c>
      <c r="C29" s="6" t="s">
        <v>79</v>
      </c>
      <c r="D29" s="6" t="s">
        <v>144</v>
      </c>
      <c r="E29" s="10" t="s">
        <v>227</v>
      </c>
      <c r="F29" s="6" t="s">
        <v>2487</v>
      </c>
      <c r="G29" s="6" t="s">
        <v>104</v>
      </c>
      <c r="H29" s="6" t="s">
        <v>4917</v>
      </c>
      <c r="I29" s="6" t="s">
        <v>6938</v>
      </c>
      <c r="J29" s="6" t="s">
        <v>8150</v>
      </c>
      <c r="K29" s="6" t="s">
        <v>9714</v>
      </c>
      <c r="L29" s="16" t="n">
        <v>41470</v>
      </c>
      <c r="M29" s="16" t="n">
        <v>45748</v>
      </c>
      <c r="N29" s="6" t="s">
        <v>9714</v>
      </c>
      <c r="O29" s="16" t="n">
        <v>41470</v>
      </c>
      <c r="P29" s="6" t="s">
        <v>9735</v>
      </c>
      <c r="Q29" s="6" t="s">
        <v>104</v>
      </c>
      <c r="R29" s="6" t="s">
        <v>104</v>
      </c>
      <c r="S29" s="6" t="s">
        <v>104</v>
      </c>
      <c r="T29" s="21" t="s">
        <v>104</v>
      </c>
      <c r="U29" s="6" t="s">
        <v>104</v>
      </c>
      <c r="V29" s="6" t="s">
        <v>104</v>
      </c>
      <c r="W29" s="6" t="s">
        <v>104</v>
      </c>
      <c r="X29" s="6" t="s">
        <v>104</v>
      </c>
      <c r="Y29" s="21" t="s">
        <v>104</v>
      </c>
      <c r="Z29" s="6" t="s">
        <v>104</v>
      </c>
      <c r="AA29" s="6" t="s">
        <v>104</v>
      </c>
      <c r="AB29" s="6" t="s">
        <v>104</v>
      </c>
      <c r="AC29" s="6" t="s">
        <v>9714</v>
      </c>
      <c r="AD29" s="16" t="n">
        <v>42304</v>
      </c>
      <c r="AE29" s="6" t="s">
        <v>10554</v>
      </c>
      <c r="AF29" s="6" t="s">
        <v>104</v>
      </c>
      <c r="AG29" s="6" t="s">
        <v>104</v>
      </c>
      <c r="AH29" s="6" t="s">
        <v>104</v>
      </c>
      <c r="AI29" s="6" t="s">
        <v>104</v>
      </c>
      <c r="AJ29" s="6" t="s">
        <v>104</v>
      </c>
      <c r="AK29" s="6" t="s">
        <v>104</v>
      </c>
      <c r="AL29" s="6" t="s">
        <v>104</v>
      </c>
      <c r="AM29" s="6" t="s">
        <v>104</v>
      </c>
      <c r="AN29" s="6" t="s">
        <v>104</v>
      </c>
      <c r="AO29" s="6" t="s">
        <v>104</v>
      </c>
      <c r="AP29" s="6" t="s">
        <v>18952</v>
      </c>
      <c r="AQ29" s="6" t="s">
        <v>104</v>
      </c>
      <c r="AR29" s="6" t="s">
        <v>19589</v>
      </c>
      <c r="AS29" s="6" t="s">
        <v>16705</v>
      </c>
      <c r="AT29" s="6" t="s">
        <v>16931</v>
      </c>
      <c r="AU29" s="6" t="s">
        <v>19802</v>
      </c>
      <c r="AV29" s="6" t="s">
        <v>18479</v>
      </c>
      <c r="AW29" s="6" t="s">
        <v>18817</v>
      </c>
      <c r="AX29" s="6" t="s">
        <v>20136</v>
      </c>
      <c r="AY29" s="6" t="s">
        <v>21874</v>
      </c>
      <c r="AZ29" s="6" t="s">
        <v>104</v>
      </c>
      <c r="BA29" s="6" t="s">
        <v>104</v>
      </c>
      <c r="BB29" s="24" t="n">
        <v>29</v>
      </c>
      <c r="BC29" s="26"/>
      <c r="BD29" s="26"/>
      <c r="BE29" s="26"/>
      <c r="BF29" s="26"/>
      <c r="BG29" s="26"/>
      <c r="BH29" s="26"/>
      <c r="BI29" s="26"/>
      <c r="BJ29" s="26"/>
      <c r="BK29" s="26"/>
      <c r="BL29" s="26"/>
      <c r="BM29" s="26"/>
      <c r="BN29" s="26"/>
      <c r="BO29" s="26"/>
      <c r="BP29" s="16" t="n">
        <v>45656</v>
      </c>
      <c r="BQ29" s="28" t="str">
        <f>HYPERLINK("https://organic.ams.usda.gov/Integrity/Certificate.aspx?cid=62&amp;nopid=8150001567")</f>
        <v>https://organic.ams.usda.gov/Integrity/Certificate.aspx?cid=62&amp;nopid=8150001567</v>
      </c>
    </row>
    <row r="30">
      <c r="A30" t="s">
        <v>3</v>
      </c>
      <c r="B30" s="6" t="s">
        <v>25</v>
      </c>
      <c r="C30" s="6" t="s">
        <v>91</v>
      </c>
      <c r="D30" s="6" t="s">
        <v>156</v>
      </c>
      <c r="E30" s="10" t="s">
        <v>228</v>
      </c>
      <c r="F30" s="6" t="s">
        <v>2488</v>
      </c>
      <c r="G30" s="6" t="s">
        <v>4669</v>
      </c>
      <c r="H30" s="6" t="s">
        <v>4918</v>
      </c>
      <c r="I30" s="6" t="s">
        <v>6939</v>
      </c>
      <c r="J30" s="6" t="s">
        <v>8151</v>
      </c>
      <c r="K30" s="6" t="s">
        <v>9714</v>
      </c>
      <c r="L30" s="16" t="n">
        <v>44058</v>
      </c>
      <c r="M30" s="16" t="n">
        <v>45869</v>
      </c>
      <c r="N30" s="6" t="s">
        <v>104</v>
      </c>
      <c r="O30" s="21" t="s">
        <v>104</v>
      </c>
      <c r="P30" s="6" t="s">
        <v>104</v>
      </c>
      <c r="Q30" s="6" t="s">
        <v>104</v>
      </c>
      <c r="R30" s="6" t="s">
        <v>104</v>
      </c>
      <c r="S30" s="6" t="s">
        <v>104</v>
      </c>
      <c r="T30" s="21" t="s">
        <v>104</v>
      </c>
      <c r="U30" s="6" t="s">
        <v>104</v>
      </c>
      <c r="V30" s="6" t="s">
        <v>104</v>
      </c>
      <c r="W30" s="6" t="s">
        <v>104</v>
      </c>
      <c r="X30" s="6" t="s">
        <v>104</v>
      </c>
      <c r="Y30" s="21" t="s">
        <v>104</v>
      </c>
      <c r="Z30" s="6" t="s">
        <v>104</v>
      </c>
      <c r="AA30" s="6" t="s">
        <v>104</v>
      </c>
      <c r="AB30" s="6" t="s">
        <v>104</v>
      </c>
      <c r="AC30" s="6" t="s">
        <v>9714</v>
      </c>
      <c r="AD30" s="16" t="n">
        <v>44058</v>
      </c>
      <c r="AE30" s="6" t="s">
        <v>10555</v>
      </c>
      <c r="AF30" s="6" t="s">
        <v>104</v>
      </c>
      <c r="AG30" s="6" t="s">
        <v>104</v>
      </c>
      <c r="AH30" s="6" t="s">
        <v>13178</v>
      </c>
      <c r="AI30" s="6" t="s">
        <v>104</v>
      </c>
      <c r="AJ30" s="6" t="s">
        <v>15379</v>
      </c>
      <c r="AK30" s="6" t="s">
        <v>16691</v>
      </c>
      <c r="AL30" s="6" t="s">
        <v>16935</v>
      </c>
      <c r="AM30" s="6" t="s">
        <v>17007</v>
      </c>
      <c r="AN30" s="6" t="s">
        <v>104</v>
      </c>
      <c r="AO30" s="6" t="s">
        <v>104</v>
      </c>
      <c r="AP30" s="6" t="s">
        <v>18953</v>
      </c>
      <c r="AQ30" s="6" t="s">
        <v>104</v>
      </c>
      <c r="AR30" s="6" t="s">
        <v>15379</v>
      </c>
      <c r="AS30" s="6" t="s">
        <v>16691</v>
      </c>
      <c r="AT30" s="6" t="s">
        <v>16935</v>
      </c>
      <c r="AU30" s="6" t="s">
        <v>17774</v>
      </c>
      <c r="AV30" s="6" t="s">
        <v>104</v>
      </c>
      <c r="AW30" s="6" t="s">
        <v>104</v>
      </c>
      <c r="AX30" s="6" t="s">
        <v>20137</v>
      </c>
      <c r="AY30" s="6" t="s">
        <v>21875</v>
      </c>
      <c r="AZ30" s="6" t="s">
        <v>104</v>
      </c>
      <c r="BA30" s="6" t="s">
        <v>24264</v>
      </c>
      <c r="BB30" s="6" t="s">
        <v>104</v>
      </c>
      <c r="BC30" s="26"/>
      <c r="BD30" s="26"/>
      <c r="BE30" s="26"/>
      <c r="BF30" s="26"/>
      <c r="BG30" s="26"/>
      <c r="BH30" s="26"/>
      <c r="BI30" s="26"/>
      <c r="BJ30" s="26"/>
      <c r="BK30" s="26"/>
      <c r="BL30" s="26"/>
      <c r="BM30" s="26"/>
      <c r="BN30" s="26"/>
      <c r="BO30" s="26"/>
      <c r="BP30" s="16" t="n">
        <v>45688</v>
      </c>
      <c r="BQ30" s="28" t="str">
        <f>HYPERLINK("https://organic.ams.usda.gov/Integrity/Certificate.aspx?cid=66&amp;nopid=5500006397")</f>
        <v>https://organic.ams.usda.gov/Integrity/Certificate.aspx?cid=66&amp;nopid=5500006397</v>
      </c>
    </row>
    <row r="31">
      <c r="A31" t="s">
        <v>3</v>
      </c>
      <c r="B31" s="6" t="s">
        <v>26</v>
      </c>
      <c r="C31" s="6" t="s">
        <v>92</v>
      </c>
      <c r="D31" s="6" t="s">
        <v>157</v>
      </c>
      <c r="E31" s="10" t="s">
        <v>229</v>
      </c>
      <c r="F31" s="6" t="s">
        <v>2489</v>
      </c>
      <c r="G31" s="6" t="s">
        <v>4670</v>
      </c>
      <c r="H31" s="6" t="s">
        <v>4919</v>
      </c>
      <c r="I31" s="6" t="s">
        <v>6940</v>
      </c>
      <c r="J31" s="6" t="s">
        <v>8152</v>
      </c>
      <c r="K31" s="6" t="s">
        <v>9714</v>
      </c>
      <c r="L31" s="16" t="n">
        <v>45370</v>
      </c>
      <c r="M31" s="16" t="n">
        <v>45823</v>
      </c>
      <c r="N31" s="6" t="s">
        <v>104</v>
      </c>
      <c r="O31" s="21" t="s">
        <v>104</v>
      </c>
      <c r="P31" s="6" t="s">
        <v>104</v>
      </c>
      <c r="Q31" s="6" t="s">
        <v>104</v>
      </c>
      <c r="R31" s="6" t="s">
        <v>104</v>
      </c>
      <c r="S31" s="6" t="s">
        <v>104</v>
      </c>
      <c r="T31" s="21" t="s">
        <v>104</v>
      </c>
      <c r="U31" s="6" t="s">
        <v>104</v>
      </c>
      <c r="V31" s="6" t="s">
        <v>104</v>
      </c>
      <c r="W31" s="6" t="s">
        <v>104</v>
      </c>
      <c r="X31" s="6" t="s">
        <v>104</v>
      </c>
      <c r="Y31" s="21" t="s">
        <v>104</v>
      </c>
      <c r="Z31" s="6" t="s">
        <v>104</v>
      </c>
      <c r="AA31" s="6" t="s">
        <v>104</v>
      </c>
      <c r="AB31" s="6" t="s">
        <v>104</v>
      </c>
      <c r="AC31" s="6" t="s">
        <v>9714</v>
      </c>
      <c r="AD31" s="16" t="n">
        <v>45370</v>
      </c>
      <c r="AE31" s="6" t="s">
        <v>10556</v>
      </c>
      <c r="AF31" s="6" t="s">
        <v>104</v>
      </c>
      <c r="AG31" s="6" t="s">
        <v>104</v>
      </c>
      <c r="AH31" s="6" t="s">
        <v>13179</v>
      </c>
      <c r="AI31" s="6" t="s">
        <v>104</v>
      </c>
      <c r="AJ31" s="6" t="s">
        <v>15380</v>
      </c>
      <c r="AK31" s="6" t="s">
        <v>16692</v>
      </c>
      <c r="AL31" s="6" t="s">
        <v>16931</v>
      </c>
      <c r="AM31" s="6" t="s">
        <v>17008</v>
      </c>
      <c r="AN31" s="6" t="s">
        <v>104</v>
      </c>
      <c r="AO31" s="6" t="s">
        <v>104</v>
      </c>
      <c r="AP31" s="6" t="s">
        <v>18954</v>
      </c>
      <c r="AQ31" s="6" t="s">
        <v>104</v>
      </c>
      <c r="AR31" s="6" t="s">
        <v>19590</v>
      </c>
      <c r="AS31" s="6" t="s">
        <v>16692</v>
      </c>
      <c r="AT31" s="6" t="s">
        <v>16931</v>
      </c>
      <c r="AU31" s="6" t="s">
        <v>19803</v>
      </c>
      <c r="AV31" s="6" t="s">
        <v>104</v>
      </c>
      <c r="AW31" s="6" t="s">
        <v>104</v>
      </c>
      <c r="AX31" s="6" t="s">
        <v>20138</v>
      </c>
      <c r="AY31" s="6" t="s">
        <v>104</v>
      </c>
      <c r="AZ31" s="6" t="s">
        <v>23694</v>
      </c>
      <c r="BA31" s="6" t="s">
        <v>104</v>
      </c>
      <c r="BB31" s="24" t="n">
        <v>0</v>
      </c>
      <c r="BC31" s="26"/>
      <c r="BD31" s="26"/>
      <c r="BE31" s="26"/>
      <c r="BF31" s="26"/>
      <c r="BG31" s="26"/>
      <c r="BH31" s="26"/>
      <c r="BI31" s="26"/>
      <c r="BJ31" s="26"/>
      <c r="BK31" s="26"/>
      <c r="BL31" s="26"/>
      <c r="BM31" s="26"/>
      <c r="BN31" s="26"/>
      <c r="BO31" s="26"/>
      <c r="BP31" s="16" t="n">
        <v>45701</v>
      </c>
      <c r="BQ31" s="28" t="str">
        <f>HYPERLINK("https://organic.ams.usda.gov/Integrity/Certificate.aspx?cid=81&amp;nopid=4212024015")</f>
        <v>https://organic.ams.usda.gov/Integrity/Certificate.aspx?cid=81&amp;nopid=4212024015</v>
      </c>
    </row>
    <row r="32">
      <c r="A32" t="s">
        <v>3</v>
      </c>
      <c r="B32" s="6" t="s">
        <v>14</v>
      </c>
      <c r="C32" s="6" t="s">
        <v>80</v>
      </c>
      <c r="D32" s="6" t="s">
        <v>145</v>
      </c>
      <c r="E32" s="10" t="s">
        <v>230</v>
      </c>
      <c r="F32" s="6" t="s">
        <v>2490</v>
      </c>
      <c r="G32" s="6" t="s">
        <v>104</v>
      </c>
      <c r="H32" s="6" t="s">
        <v>4920</v>
      </c>
      <c r="I32" s="6" t="s">
        <v>6941</v>
      </c>
      <c r="J32" s="6" t="s">
        <v>8153</v>
      </c>
      <c r="K32" s="6" t="s">
        <v>9714</v>
      </c>
      <c r="L32" s="16" t="n">
        <v>45545</v>
      </c>
      <c r="M32" s="16" t="n">
        <v>45808</v>
      </c>
      <c r="N32" s="6" t="s">
        <v>104</v>
      </c>
      <c r="O32" s="21" t="s">
        <v>104</v>
      </c>
      <c r="P32" s="6" t="s">
        <v>104</v>
      </c>
      <c r="Q32" s="6" t="s">
        <v>104</v>
      </c>
      <c r="R32" s="6" t="s">
        <v>104</v>
      </c>
      <c r="S32" s="6" t="s">
        <v>104</v>
      </c>
      <c r="T32" s="21" t="s">
        <v>104</v>
      </c>
      <c r="U32" s="6" t="s">
        <v>104</v>
      </c>
      <c r="V32" s="6" t="s">
        <v>104</v>
      </c>
      <c r="W32" s="6" t="s">
        <v>104</v>
      </c>
      <c r="X32" s="6" t="s">
        <v>104</v>
      </c>
      <c r="Y32" s="21" t="s">
        <v>104</v>
      </c>
      <c r="Z32" s="6" t="s">
        <v>104</v>
      </c>
      <c r="AA32" s="6" t="s">
        <v>104</v>
      </c>
      <c r="AB32" s="6" t="s">
        <v>104</v>
      </c>
      <c r="AC32" s="6" t="s">
        <v>9714</v>
      </c>
      <c r="AD32" s="16" t="n">
        <v>45545</v>
      </c>
      <c r="AE32" s="6" t="s">
        <v>10557</v>
      </c>
      <c r="AF32" s="6" t="s">
        <v>104</v>
      </c>
      <c r="AG32" s="6" t="s">
        <v>104</v>
      </c>
      <c r="AH32" s="6" t="s">
        <v>13180</v>
      </c>
      <c r="AI32" s="6" t="s">
        <v>104</v>
      </c>
      <c r="AJ32" s="6" t="s">
        <v>15381</v>
      </c>
      <c r="AK32" s="6" t="s">
        <v>15885</v>
      </c>
      <c r="AL32" s="6" t="s">
        <v>16932</v>
      </c>
      <c r="AM32" s="6" t="s">
        <v>17009</v>
      </c>
      <c r="AN32" s="6" t="s">
        <v>104</v>
      </c>
      <c r="AO32" s="6" t="s">
        <v>104</v>
      </c>
      <c r="AP32" s="6" t="s">
        <v>104</v>
      </c>
      <c r="AQ32" s="6" t="s">
        <v>104</v>
      </c>
      <c r="AR32" s="6" t="s">
        <v>104</v>
      </c>
      <c r="AS32" s="6" t="s">
        <v>104</v>
      </c>
      <c r="AT32" s="6" t="s">
        <v>104</v>
      </c>
      <c r="AU32" s="6" t="s">
        <v>104</v>
      </c>
      <c r="AV32" s="6" t="s">
        <v>104</v>
      </c>
      <c r="AW32" s="6" t="s">
        <v>104</v>
      </c>
      <c r="AX32" s="6" t="s">
        <v>20139</v>
      </c>
      <c r="AY32" s="6" t="s">
        <v>21876</v>
      </c>
      <c r="AZ32" s="6" t="s">
        <v>104</v>
      </c>
      <c r="BA32" s="6" t="s">
        <v>104</v>
      </c>
      <c r="BB32" s="6" t="s">
        <v>104</v>
      </c>
      <c r="BC32" s="26"/>
      <c r="BD32" s="26"/>
      <c r="BE32" s="26"/>
      <c r="BF32" s="26"/>
      <c r="BG32" s="26"/>
      <c r="BH32" s="26"/>
      <c r="BI32" s="26"/>
      <c r="BJ32" s="26"/>
      <c r="BK32" s="26"/>
      <c r="BL32" s="26"/>
      <c r="BM32" s="26"/>
      <c r="BN32" s="26"/>
      <c r="BO32" s="26"/>
      <c r="BP32" s="16" t="n">
        <v>45545</v>
      </c>
      <c r="BQ32" s="28" t="str">
        <f>HYPERLINK("https://organic.ams.usda.gov/Integrity/Certificate.aspx?cid=89&amp;nopid=4920004481")</f>
        <v>https://organic.ams.usda.gov/Integrity/Certificate.aspx?cid=89&amp;nopid=4920004481</v>
      </c>
    </row>
    <row r="33">
      <c r="A33" t="s">
        <v>3</v>
      </c>
      <c r="B33" s="6" t="s">
        <v>27</v>
      </c>
      <c r="C33" s="6" t="s">
        <v>93</v>
      </c>
      <c r="D33" s="6" t="s">
        <v>158</v>
      </c>
      <c r="E33" s="10" t="s">
        <v>231</v>
      </c>
      <c r="F33" s="6" t="s">
        <v>2491</v>
      </c>
      <c r="G33" s="6" t="s">
        <v>104</v>
      </c>
      <c r="H33" s="6" t="s">
        <v>4921</v>
      </c>
      <c r="I33" s="6" t="s">
        <v>6942</v>
      </c>
      <c r="J33" s="6" t="s">
        <v>8154</v>
      </c>
      <c r="K33" s="6" t="s">
        <v>9714</v>
      </c>
      <c r="L33" s="16" t="n">
        <v>45146</v>
      </c>
      <c r="M33" s="16" t="n">
        <v>45260</v>
      </c>
      <c r="N33" s="6" t="s">
        <v>9714</v>
      </c>
      <c r="O33" s="16" t="n">
        <v>45146</v>
      </c>
      <c r="P33" s="6" t="s">
        <v>9736</v>
      </c>
      <c r="Q33" s="6" t="s">
        <v>104</v>
      </c>
      <c r="R33" s="6" t="s">
        <v>10292</v>
      </c>
      <c r="S33" s="6" t="s">
        <v>104</v>
      </c>
      <c r="T33" s="21" t="s">
        <v>104</v>
      </c>
      <c r="U33" s="6" t="s">
        <v>104</v>
      </c>
      <c r="V33" s="6" t="s">
        <v>104</v>
      </c>
      <c r="W33" s="6" t="s">
        <v>104</v>
      </c>
      <c r="X33" s="6" t="s">
        <v>104</v>
      </c>
      <c r="Y33" s="21" t="s">
        <v>104</v>
      </c>
      <c r="Z33" s="6" t="s">
        <v>104</v>
      </c>
      <c r="AA33" s="6" t="s">
        <v>104</v>
      </c>
      <c r="AB33" s="6" t="s">
        <v>104</v>
      </c>
      <c r="AC33" s="6" t="s">
        <v>104</v>
      </c>
      <c r="AD33" s="21" t="s">
        <v>104</v>
      </c>
      <c r="AE33" s="6" t="s">
        <v>104</v>
      </c>
      <c r="AF33" s="6" t="s">
        <v>104</v>
      </c>
      <c r="AG33" s="6" t="s">
        <v>104</v>
      </c>
      <c r="AH33" s="6" t="s">
        <v>13181</v>
      </c>
      <c r="AI33" s="6" t="s">
        <v>15227</v>
      </c>
      <c r="AJ33" s="6" t="s">
        <v>15239</v>
      </c>
      <c r="AK33" s="6" t="s">
        <v>16270</v>
      </c>
      <c r="AL33" s="6" t="s">
        <v>16932</v>
      </c>
      <c r="AM33" s="6" t="s">
        <v>17010</v>
      </c>
      <c r="AN33" s="6" t="s">
        <v>104</v>
      </c>
      <c r="AO33" s="6" t="s">
        <v>104</v>
      </c>
      <c r="AP33" s="6" t="s">
        <v>13181</v>
      </c>
      <c r="AQ33" s="6" t="s">
        <v>15227</v>
      </c>
      <c r="AR33" s="6" t="s">
        <v>15239</v>
      </c>
      <c r="AS33" s="6" t="s">
        <v>16270</v>
      </c>
      <c r="AT33" s="6" t="s">
        <v>16932</v>
      </c>
      <c r="AU33" s="6" t="s">
        <v>17010</v>
      </c>
      <c r="AV33" s="6" t="s">
        <v>104</v>
      </c>
      <c r="AW33" s="6" t="s">
        <v>104</v>
      </c>
      <c r="AX33" s="6" t="s">
        <v>104</v>
      </c>
      <c r="AY33" s="6" t="s">
        <v>104</v>
      </c>
      <c r="AZ33" s="6" t="s">
        <v>104</v>
      </c>
      <c r="BA33" s="6" t="s">
        <v>104</v>
      </c>
      <c r="BB33" s="24" t="n">
        <v>9160</v>
      </c>
      <c r="BC33" s="26"/>
      <c r="BD33" s="26"/>
      <c r="BE33" s="26"/>
      <c r="BF33" s="26"/>
      <c r="BG33" s="26"/>
      <c r="BH33" s="26"/>
      <c r="BI33" s="26"/>
      <c r="BJ33" s="26"/>
      <c r="BK33" s="26"/>
      <c r="BL33" s="26"/>
      <c r="BM33" s="26"/>
      <c r="BN33" s="26"/>
      <c r="BO33" s="26" t="s">
        <v>24533</v>
      </c>
      <c r="BP33" s="16" t="n">
        <v>45463</v>
      </c>
      <c r="BQ33" s="28" t="str">
        <f>HYPERLINK("https://organic.ams.usda.gov/Integrity/Certificate.aspx?cid=93&amp;nopid=6365584915")</f>
        <v>https://organic.ams.usda.gov/Integrity/Certificate.aspx?cid=93&amp;nopid=6365584915</v>
      </c>
    </row>
    <row r="34">
      <c r="A34" t="s">
        <v>3</v>
      </c>
      <c r="B34" s="6" t="s">
        <v>13</v>
      </c>
      <c r="C34" s="6" t="s">
        <v>79</v>
      </c>
      <c r="D34" s="6" t="s">
        <v>144</v>
      </c>
      <c r="E34" s="10" t="s">
        <v>232</v>
      </c>
      <c r="F34" s="6" t="s">
        <v>2492</v>
      </c>
      <c r="G34" s="6" t="s">
        <v>104</v>
      </c>
      <c r="H34" s="6" t="s">
        <v>4922</v>
      </c>
      <c r="I34" s="6" t="s">
        <v>6943</v>
      </c>
      <c r="J34" s="6" t="s">
        <v>7141</v>
      </c>
      <c r="K34" s="6" t="s">
        <v>9714</v>
      </c>
      <c r="L34" s="16" t="n">
        <v>42153</v>
      </c>
      <c r="M34" s="16" t="n">
        <v>46113</v>
      </c>
      <c r="N34" s="6" t="s">
        <v>104</v>
      </c>
      <c r="O34" s="21" t="s">
        <v>104</v>
      </c>
      <c r="P34" s="6" t="s">
        <v>104</v>
      </c>
      <c r="Q34" s="6" t="s">
        <v>104</v>
      </c>
      <c r="R34" s="6" t="s">
        <v>104</v>
      </c>
      <c r="S34" s="6" t="s">
        <v>104</v>
      </c>
      <c r="T34" s="21" t="s">
        <v>104</v>
      </c>
      <c r="U34" s="6" t="s">
        <v>104</v>
      </c>
      <c r="V34" s="6" t="s">
        <v>104</v>
      </c>
      <c r="W34" s="6" t="s">
        <v>104</v>
      </c>
      <c r="X34" s="6" t="s">
        <v>104</v>
      </c>
      <c r="Y34" s="21" t="s">
        <v>104</v>
      </c>
      <c r="Z34" s="6" t="s">
        <v>104</v>
      </c>
      <c r="AA34" s="6" t="s">
        <v>104</v>
      </c>
      <c r="AB34" s="6" t="s">
        <v>104</v>
      </c>
      <c r="AC34" s="6" t="s">
        <v>9714</v>
      </c>
      <c r="AD34" s="16" t="n">
        <v>42153</v>
      </c>
      <c r="AE34" s="6" t="s">
        <v>10558</v>
      </c>
      <c r="AF34" s="6" t="s">
        <v>104</v>
      </c>
      <c r="AG34" s="6" t="s">
        <v>104</v>
      </c>
      <c r="AH34" s="6" t="s">
        <v>104</v>
      </c>
      <c r="AI34" s="6" t="s">
        <v>104</v>
      </c>
      <c r="AJ34" s="6" t="s">
        <v>104</v>
      </c>
      <c r="AK34" s="6" t="s">
        <v>104</v>
      </c>
      <c r="AL34" s="6" t="s">
        <v>104</v>
      </c>
      <c r="AM34" s="6" t="s">
        <v>104</v>
      </c>
      <c r="AN34" s="6" t="s">
        <v>104</v>
      </c>
      <c r="AO34" s="6" t="s">
        <v>104</v>
      </c>
      <c r="AP34" s="6" t="s">
        <v>18955</v>
      </c>
      <c r="AQ34" s="6" t="s">
        <v>104</v>
      </c>
      <c r="AR34" s="6" t="s">
        <v>19591</v>
      </c>
      <c r="AS34" s="6" t="s">
        <v>16705</v>
      </c>
      <c r="AT34" s="6" t="s">
        <v>16931</v>
      </c>
      <c r="AU34" s="6" t="s">
        <v>19804</v>
      </c>
      <c r="AV34" s="6" t="s">
        <v>18502</v>
      </c>
      <c r="AW34" s="6" t="s">
        <v>18598</v>
      </c>
      <c r="AX34" s="6" t="s">
        <v>20140</v>
      </c>
      <c r="AY34" s="6" t="s">
        <v>21877</v>
      </c>
      <c r="AZ34" s="6" t="s">
        <v>104</v>
      </c>
      <c r="BA34" s="6" t="s">
        <v>104</v>
      </c>
      <c r="BB34" s="6" t="s">
        <v>104</v>
      </c>
      <c r="BC34" s="26" t="s">
        <v>24533</v>
      </c>
      <c r="BD34" s="26"/>
      <c r="BE34" s="26"/>
      <c r="BF34" s="26"/>
      <c r="BG34" s="26"/>
      <c r="BH34" s="26"/>
      <c r="BI34" s="26"/>
      <c r="BJ34" s="26"/>
      <c r="BK34" s="26"/>
      <c r="BL34" s="26"/>
      <c r="BM34" s="26"/>
      <c r="BN34" s="26"/>
      <c r="BO34" s="26"/>
      <c r="BP34" s="16" t="n">
        <v>45720</v>
      </c>
      <c r="BQ34" s="28" t="str">
        <f>HYPERLINK("https://organic.ams.usda.gov/Integrity/Certificate.aspx?cid=62&amp;nopid=8150001302")</f>
        <v>https://organic.ams.usda.gov/Integrity/Certificate.aspx?cid=62&amp;nopid=8150001302</v>
      </c>
    </row>
    <row r="35">
      <c r="A35" t="s">
        <v>3</v>
      </c>
      <c r="B35" s="6" t="s">
        <v>13</v>
      </c>
      <c r="C35" s="6" t="s">
        <v>79</v>
      </c>
      <c r="D35" s="6" t="s">
        <v>144</v>
      </c>
      <c r="E35" s="10" t="s">
        <v>233</v>
      </c>
      <c r="F35" s="6" t="s">
        <v>2493</v>
      </c>
      <c r="G35" s="6" t="s">
        <v>104</v>
      </c>
      <c r="H35" s="6" t="s">
        <v>4923</v>
      </c>
      <c r="I35" s="6" t="s">
        <v>6944</v>
      </c>
      <c r="J35" s="6" t="s">
        <v>8155</v>
      </c>
      <c r="K35" s="6" t="s">
        <v>9714</v>
      </c>
      <c r="L35" s="16" t="n">
        <v>45643</v>
      </c>
      <c r="M35" s="16" t="n">
        <v>46023</v>
      </c>
      <c r="N35" s="6" t="s">
        <v>104</v>
      </c>
      <c r="O35" s="21" t="s">
        <v>104</v>
      </c>
      <c r="P35" s="6" t="s">
        <v>104</v>
      </c>
      <c r="Q35" s="6" t="s">
        <v>104</v>
      </c>
      <c r="R35" s="6" t="s">
        <v>104</v>
      </c>
      <c r="S35" s="6" t="s">
        <v>104</v>
      </c>
      <c r="T35" s="21" t="s">
        <v>104</v>
      </c>
      <c r="U35" s="6" t="s">
        <v>104</v>
      </c>
      <c r="V35" s="6" t="s">
        <v>104</v>
      </c>
      <c r="W35" s="6" t="s">
        <v>104</v>
      </c>
      <c r="X35" s="6" t="s">
        <v>104</v>
      </c>
      <c r="Y35" s="21" t="s">
        <v>104</v>
      </c>
      <c r="Z35" s="6" t="s">
        <v>104</v>
      </c>
      <c r="AA35" s="6" t="s">
        <v>104</v>
      </c>
      <c r="AB35" s="6" t="s">
        <v>104</v>
      </c>
      <c r="AC35" s="6" t="s">
        <v>9714</v>
      </c>
      <c r="AD35" s="16" t="n">
        <v>45643</v>
      </c>
      <c r="AE35" s="6" t="s">
        <v>10559</v>
      </c>
      <c r="AF35" s="6" t="s">
        <v>104</v>
      </c>
      <c r="AG35" s="6" t="s">
        <v>104</v>
      </c>
      <c r="AH35" s="6" t="s">
        <v>104</v>
      </c>
      <c r="AI35" s="6" t="s">
        <v>104</v>
      </c>
      <c r="AJ35" s="6" t="s">
        <v>104</v>
      </c>
      <c r="AK35" s="6" t="s">
        <v>104</v>
      </c>
      <c r="AL35" s="6" t="s">
        <v>104</v>
      </c>
      <c r="AM35" s="6" t="s">
        <v>104</v>
      </c>
      <c r="AN35" s="6" t="s">
        <v>104</v>
      </c>
      <c r="AO35" s="6" t="s">
        <v>104</v>
      </c>
      <c r="AP35" s="6" t="s">
        <v>18956</v>
      </c>
      <c r="AQ35" s="6" t="s">
        <v>19545</v>
      </c>
      <c r="AR35" s="6" t="s">
        <v>19592</v>
      </c>
      <c r="AS35" s="6" t="s">
        <v>16684</v>
      </c>
      <c r="AT35" s="6" t="s">
        <v>16931</v>
      </c>
      <c r="AU35" s="6" t="s">
        <v>19805</v>
      </c>
      <c r="AV35" s="6" t="s">
        <v>104</v>
      </c>
      <c r="AW35" s="6" t="s">
        <v>104</v>
      </c>
      <c r="AX35" s="6" t="s">
        <v>20141</v>
      </c>
      <c r="AY35" s="6" t="s">
        <v>21878</v>
      </c>
      <c r="AZ35" s="6" t="s">
        <v>104</v>
      </c>
      <c r="BA35" s="6" t="s">
        <v>104</v>
      </c>
      <c r="BB35" s="6" t="s">
        <v>104</v>
      </c>
      <c r="BC35" s="26" t="s">
        <v>24533</v>
      </c>
      <c r="BD35" s="26"/>
      <c r="BE35" s="26"/>
      <c r="BF35" s="26"/>
      <c r="BG35" s="26"/>
      <c r="BH35" s="26"/>
      <c r="BI35" s="26"/>
      <c r="BJ35" s="26"/>
      <c r="BK35" s="26"/>
      <c r="BL35" s="26"/>
      <c r="BM35" s="26"/>
      <c r="BN35" s="26"/>
      <c r="BO35" s="26"/>
      <c r="BP35" s="16" t="n">
        <v>45726</v>
      </c>
      <c r="BQ35" s="28" t="str">
        <f>HYPERLINK("https://organic.ams.usda.gov/Integrity/Certificate.aspx?cid=62&amp;nopid=8150025765")</f>
        <v>https://organic.ams.usda.gov/Integrity/Certificate.aspx?cid=62&amp;nopid=8150025765</v>
      </c>
    </row>
    <row r="36">
      <c r="A36" t="s">
        <v>3</v>
      </c>
      <c r="B36" s="6" t="s">
        <v>18</v>
      </c>
      <c r="C36" s="6" t="s">
        <v>84</v>
      </c>
      <c r="D36" s="6" t="s">
        <v>149</v>
      </c>
      <c r="E36" s="10" t="s">
        <v>234</v>
      </c>
      <c r="F36" s="6" t="s">
        <v>2494</v>
      </c>
      <c r="G36" s="6" t="s">
        <v>104</v>
      </c>
      <c r="H36" s="6" t="s">
        <v>4924</v>
      </c>
      <c r="I36" s="6" t="s">
        <v>6945</v>
      </c>
      <c r="J36" s="6" t="s">
        <v>8156</v>
      </c>
      <c r="K36" s="6" t="s">
        <v>9714</v>
      </c>
      <c r="L36" s="16" t="n">
        <v>44902</v>
      </c>
      <c r="M36" s="16" t="n">
        <v>45998</v>
      </c>
      <c r="N36" s="6" t="s">
        <v>104</v>
      </c>
      <c r="O36" s="21" t="s">
        <v>104</v>
      </c>
      <c r="P36" s="6" t="s">
        <v>104</v>
      </c>
      <c r="Q36" s="6" t="s">
        <v>104</v>
      </c>
      <c r="R36" s="6" t="s">
        <v>104</v>
      </c>
      <c r="S36" s="6" t="s">
        <v>104</v>
      </c>
      <c r="T36" s="21" t="s">
        <v>104</v>
      </c>
      <c r="U36" s="6" t="s">
        <v>104</v>
      </c>
      <c r="V36" s="6" t="s">
        <v>104</v>
      </c>
      <c r="W36" s="6" t="s">
        <v>104</v>
      </c>
      <c r="X36" s="6" t="s">
        <v>104</v>
      </c>
      <c r="Y36" s="21" t="s">
        <v>104</v>
      </c>
      <c r="Z36" s="6" t="s">
        <v>104</v>
      </c>
      <c r="AA36" s="6" t="s">
        <v>104</v>
      </c>
      <c r="AB36" s="6" t="s">
        <v>104</v>
      </c>
      <c r="AC36" s="6" t="s">
        <v>9714</v>
      </c>
      <c r="AD36" s="16" t="n">
        <v>44902</v>
      </c>
      <c r="AE36" s="6" t="s">
        <v>10560</v>
      </c>
      <c r="AF36" s="6" t="s">
        <v>104</v>
      </c>
      <c r="AG36" s="6" t="s">
        <v>12495</v>
      </c>
      <c r="AH36" s="6" t="s">
        <v>13182</v>
      </c>
      <c r="AI36" s="6" t="s">
        <v>104</v>
      </c>
      <c r="AJ36" s="6" t="s">
        <v>15382</v>
      </c>
      <c r="AK36" s="6" t="s">
        <v>16693</v>
      </c>
      <c r="AL36" s="6" t="s">
        <v>16931</v>
      </c>
      <c r="AM36" s="6" t="s">
        <v>17011</v>
      </c>
      <c r="AN36" s="6" t="s">
        <v>18458</v>
      </c>
      <c r="AO36" s="6" t="s">
        <v>18564</v>
      </c>
      <c r="AP36" s="6" t="s">
        <v>104</v>
      </c>
      <c r="AQ36" s="6" t="s">
        <v>104</v>
      </c>
      <c r="AR36" s="6" t="s">
        <v>104</v>
      </c>
      <c r="AS36" s="6" t="s">
        <v>104</v>
      </c>
      <c r="AT36" s="6" t="s">
        <v>104</v>
      </c>
      <c r="AU36" s="6" t="s">
        <v>104</v>
      </c>
      <c r="AV36" s="6" t="s">
        <v>104</v>
      </c>
      <c r="AW36" s="6" t="s">
        <v>104</v>
      </c>
      <c r="AX36" s="6" t="s">
        <v>20142</v>
      </c>
      <c r="AY36" s="6" t="s">
        <v>21879</v>
      </c>
      <c r="AZ36" s="6" t="s">
        <v>104</v>
      </c>
      <c r="BA36" s="6" t="s">
        <v>24265</v>
      </c>
      <c r="BB36" s="6" t="s">
        <v>104</v>
      </c>
      <c r="BC36" s="26"/>
      <c r="BD36" s="26"/>
      <c r="BE36" s="26" t="s">
        <v>24533</v>
      </c>
      <c r="BF36" s="26"/>
      <c r="BG36" s="26"/>
      <c r="BH36" s="26"/>
      <c r="BI36" s="26"/>
      <c r="BJ36" s="26"/>
      <c r="BK36" s="26"/>
      <c r="BL36" s="26"/>
      <c r="BM36" s="26"/>
      <c r="BN36" s="26"/>
      <c r="BO36" s="26"/>
      <c r="BP36" s="16" t="n">
        <v>45737</v>
      </c>
      <c r="BQ36" s="28" t="str">
        <f>HYPERLINK("https://organic.ams.usda.gov/Integrity/Certificate.aspx?cid=31&amp;nopid=3928972335")</f>
        <v>https://organic.ams.usda.gov/Integrity/Certificate.aspx?cid=31&amp;nopid=3928972335</v>
      </c>
    </row>
    <row r="37">
      <c r="A37" t="s">
        <v>3</v>
      </c>
      <c r="B37" s="6" t="s">
        <v>11</v>
      </c>
      <c r="C37" s="6" t="s">
        <v>77</v>
      </c>
      <c r="D37" s="6" t="s">
        <v>142</v>
      </c>
      <c r="E37" s="10" t="s">
        <v>235</v>
      </c>
      <c r="F37" s="6" t="s">
        <v>2495</v>
      </c>
      <c r="G37" s="6" t="s">
        <v>104</v>
      </c>
      <c r="H37" s="6" t="s">
        <v>4925</v>
      </c>
      <c r="I37" s="6" t="s">
        <v>6946</v>
      </c>
      <c r="J37" s="6" t="s">
        <v>8157</v>
      </c>
      <c r="K37" s="6" t="s">
        <v>9714</v>
      </c>
      <c r="L37" s="16" t="n">
        <v>45168</v>
      </c>
      <c r="M37" s="16" t="n">
        <v>45899</v>
      </c>
      <c r="N37" s="6" t="s">
        <v>104</v>
      </c>
      <c r="O37" s="21" t="s">
        <v>104</v>
      </c>
      <c r="P37" s="6" t="s">
        <v>104</v>
      </c>
      <c r="Q37" s="6" t="s">
        <v>104</v>
      </c>
      <c r="R37" s="6" t="s">
        <v>104</v>
      </c>
      <c r="S37" s="6" t="s">
        <v>104</v>
      </c>
      <c r="T37" s="21" t="s">
        <v>104</v>
      </c>
      <c r="U37" s="6" t="s">
        <v>104</v>
      </c>
      <c r="V37" s="6" t="s">
        <v>104</v>
      </c>
      <c r="W37" s="6" t="s">
        <v>104</v>
      </c>
      <c r="X37" s="6" t="s">
        <v>104</v>
      </c>
      <c r="Y37" s="21" t="s">
        <v>104</v>
      </c>
      <c r="Z37" s="6" t="s">
        <v>104</v>
      </c>
      <c r="AA37" s="6" t="s">
        <v>104</v>
      </c>
      <c r="AB37" s="6" t="s">
        <v>104</v>
      </c>
      <c r="AC37" s="6" t="s">
        <v>9714</v>
      </c>
      <c r="AD37" s="16" t="n">
        <v>45553</v>
      </c>
      <c r="AE37" s="6" t="s">
        <v>10561</v>
      </c>
      <c r="AF37" s="6" t="s">
        <v>104</v>
      </c>
      <c r="AG37" s="6" t="s">
        <v>104</v>
      </c>
      <c r="AH37" s="6" t="s">
        <v>13183</v>
      </c>
      <c r="AI37" s="6" t="s">
        <v>104</v>
      </c>
      <c r="AJ37" s="6" t="s">
        <v>15383</v>
      </c>
      <c r="AK37" s="6" t="s">
        <v>15383</v>
      </c>
      <c r="AL37" s="6" t="s">
        <v>16933</v>
      </c>
      <c r="AM37" s="6" t="s">
        <v>104</v>
      </c>
      <c r="AN37" s="6" t="s">
        <v>104</v>
      </c>
      <c r="AO37" s="6" t="s">
        <v>104</v>
      </c>
      <c r="AP37" s="6" t="s">
        <v>13183</v>
      </c>
      <c r="AQ37" s="6" t="s">
        <v>104</v>
      </c>
      <c r="AR37" s="6" t="s">
        <v>15383</v>
      </c>
      <c r="AS37" s="6" t="s">
        <v>15383</v>
      </c>
      <c r="AT37" s="6" t="s">
        <v>16933</v>
      </c>
      <c r="AU37" s="6" t="s">
        <v>104</v>
      </c>
      <c r="AV37" s="6" t="s">
        <v>104</v>
      </c>
      <c r="AW37" s="6" t="s">
        <v>104</v>
      </c>
      <c r="AX37" s="6" t="s">
        <v>20143</v>
      </c>
      <c r="AY37" s="6" t="s">
        <v>21880</v>
      </c>
      <c r="AZ37" s="6" t="s">
        <v>104</v>
      </c>
      <c r="BA37" s="6" t="s">
        <v>24266</v>
      </c>
      <c r="BB37" s="24" t="n">
        <v>0</v>
      </c>
      <c r="BC37" s="26"/>
      <c r="BD37" s="26"/>
      <c r="BE37" s="26"/>
      <c r="BF37" s="26"/>
      <c r="BG37" s="26"/>
      <c r="BH37" s="26"/>
      <c r="BI37" s="26"/>
      <c r="BJ37" s="26"/>
      <c r="BK37" s="26"/>
      <c r="BL37" s="26"/>
      <c r="BM37" s="26"/>
      <c r="BN37" s="26"/>
      <c r="BO37" s="26"/>
      <c r="BP37" s="16" t="n">
        <v>45553</v>
      </c>
      <c r="BQ37" s="28" t="str">
        <f>HYPERLINK("https://organic.ams.usda.gov/Integrity/Certificate.aspx?cid=21&amp;nopid=1780896534")</f>
        <v>https://organic.ams.usda.gov/Integrity/Certificate.aspx?cid=21&amp;nopid=1780896534</v>
      </c>
    </row>
    <row r="38">
      <c r="A38" t="s">
        <v>3</v>
      </c>
      <c r="B38" s="6" t="s">
        <v>14</v>
      </c>
      <c r="C38" s="6" t="s">
        <v>80</v>
      </c>
      <c r="D38" s="6" t="s">
        <v>145</v>
      </c>
      <c r="E38" s="10" t="s">
        <v>236</v>
      </c>
      <c r="F38" s="6" t="s">
        <v>2496</v>
      </c>
      <c r="G38" s="6" t="s">
        <v>104</v>
      </c>
      <c r="H38" s="6" t="s">
        <v>4926</v>
      </c>
      <c r="I38" s="6" t="s">
        <v>6947</v>
      </c>
      <c r="J38" s="6" t="s">
        <v>8158</v>
      </c>
      <c r="K38" s="6" t="s">
        <v>9714</v>
      </c>
      <c r="L38" s="16" t="n">
        <v>44810</v>
      </c>
      <c r="M38" s="16" t="n">
        <v>45834</v>
      </c>
      <c r="N38" s="6" t="s">
        <v>104</v>
      </c>
      <c r="O38" s="21" t="s">
        <v>104</v>
      </c>
      <c r="P38" s="6" t="s">
        <v>104</v>
      </c>
      <c r="Q38" s="6" t="s">
        <v>104</v>
      </c>
      <c r="R38" s="6" t="s">
        <v>104</v>
      </c>
      <c r="S38" s="6" t="s">
        <v>104</v>
      </c>
      <c r="T38" s="21" t="s">
        <v>104</v>
      </c>
      <c r="U38" s="6" t="s">
        <v>104</v>
      </c>
      <c r="V38" s="6" t="s">
        <v>104</v>
      </c>
      <c r="W38" s="6" t="s">
        <v>104</v>
      </c>
      <c r="X38" s="6" t="s">
        <v>104</v>
      </c>
      <c r="Y38" s="21" t="s">
        <v>104</v>
      </c>
      <c r="Z38" s="6" t="s">
        <v>104</v>
      </c>
      <c r="AA38" s="6" t="s">
        <v>104</v>
      </c>
      <c r="AB38" s="6" t="s">
        <v>104</v>
      </c>
      <c r="AC38" s="6" t="s">
        <v>9714</v>
      </c>
      <c r="AD38" s="16" t="n">
        <v>44810</v>
      </c>
      <c r="AE38" s="6" t="s">
        <v>10562</v>
      </c>
      <c r="AF38" s="6" t="s">
        <v>104</v>
      </c>
      <c r="AG38" s="6" t="s">
        <v>104</v>
      </c>
      <c r="AH38" s="6" t="s">
        <v>13184</v>
      </c>
      <c r="AI38" s="6" t="s">
        <v>104</v>
      </c>
      <c r="AJ38" s="6" t="s">
        <v>15384</v>
      </c>
      <c r="AK38" s="6" t="s">
        <v>15462</v>
      </c>
      <c r="AL38" s="6" t="s">
        <v>16936</v>
      </c>
      <c r="AM38" s="6" t="s">
        <v>104</v>
      </c>
      <c r="AN38" s="6" t="s">
        <v>104</v>
      </c>
      <c r="AO38" s="6" t="s">
        <v>104</v>
      </c>
      <c r="AP38" s="6" t="s">
        <v>104</v>
      </c>
      <c r="AQ38" s="6" t="s">
        <v>104</v>
      </c>
      <c r="AR38" s="6" t="s">
        <v>104</v>
      </c>
      <c r="AS38" s="6" t="s">
        <v>104</v>
      </c>
      <c r="AT38" s="6" t="s">
        <v>104</v>
      </c>
      <c r="AU38" s="6" t="s">
        <v>104</v>
      </c>
      <c r="AV38" s="6" t="s">
        <v>104</v>
      </c>
      <c r="AW38" s="6" t="s">
        <v>104</v>
      </c>
      <c r="AX38" s="6" t="s">
        <v>104</v>
      </c>
      <c r="AY38" s="6" t="s">
        <v>21881</v>
      </c>
      <c r="AZ38" s="6" t="s">
        <v>104</v>
      </c>
      <c r="BA38" s="6" t="s">
        <v>24259</v>
      </c>
      <c r="BB38" s="6" t="s">
        <v>104</v>
      </c>
      <c r="BC38" s="26"/>
      <c r="BD38" s="26"/>
      <c r="BE38" s="26"/>
      <c r="BF38" s="26"/>
      <c r="BG38" s="26"/>
      <c r="BH38" s="26"/>
      <c r="BI38" s="26"/>
      <c r="BJ38" s="26"/>
      <c r="BK38" s="26"/>
      <c r="BL38" s="26"/>
      <c r="BM38" s="26"/>
      <c r="BN38" s="26"/>
      <c r="BO38" s="26"/>
      <c r="BP38" s="16" t="n">
        <v>45524</v>
      </c>
      <c r="BQ38" s="28" t="str">
        <f>HYPERLINK("https://organic.ams.usda.gov/Integrity/Certificate.aspx?cid=89&amp;nopid=4920006092")</f>
        <v>https://organic.ams.usda.gov/Integrity/Certificate.aspx?cid=89&amp;nopid=4920006092</v>
      </c>
    </row>
    <row r="39">
      <c r="A39" t="s">
        <v>3</v>
      </c>
      <c r="B39" s="6" t="s">
        <v>12</v>
      </c>
      <c r="C39" s="6" t="s">
        <v>78</v>
      </c>
      <c r="D39" s="6" t="s">
        <v>143</v>
      </c>
      <c r="E39" s="10" t="s">
        <v>237</v>
      </c>
      <c r="F39" s="6" t="s">
        <v>2497</v>
      </c>
      <c r="G39" s="6" t="s">
        <v>4671</v>
      </c>
      <c r="H39" s="6" t="s">
        <v>104</v>
      </c>
      <c r="I39" s="6" t="s">
        <v>6948</v>
      </c>
      <c r="J39" s="6" t="s">
        <v>8159</v>
      </c>
      <c r="K39" s="6" t="s">
        <v>9714</v>
      </c>
      <c r="L39" s="16" t="n">
        <v>44608</v>
      </c>
      <c r="M39" s="16" t="n">
        <v>45658</v>
      </c>
      <c r="N39" s="6" t="s">
        <v>104</v>
      </c>
      <c r="O39" s="21" t="s">
        <v>104</v>
      </c>
      <c r="P39" s="6" t="s">
        <v>104</v>
      </c>
      <c r="Q39" s="6" t="s">
        <v>104</v>
      </c>
      <c r="R39" s="6" t="s">
        <v>104</v>
      </c>
      <c r="S39" s="6" t="s">
        <v>104</v>
      </c>
      <c r="T39" s="21" t="s">
        <v>104</v>
      </c>
      <c r="U39" s="6" t="s">
        <v>104</v>
      </c>
      <c r="V39" s="6" t="s">
        <v>104</v>
      </c>
      <c r="W39" s="6" t="s">
        <v>104</v>
      </c>
      <c r="X39" s="6" t="s">
        <v>104</v>
      </c>
      <c r="Y39" s="21" t="s">
        <v>104</v>
      </c>
      <c r="Z39" s="6" t="s">
        <v>104</v>
      </c>
      <c r="AA39" s="6" t="s">
        <v>104</v>
      </c>
      <c r="AB39" s="6" t="s">
        <v>104</v>
      </c>
      <c r="AC39" s="6" t="s">
        <v>9714</v>
      </c>
      <c r="AD39" s="16" t="n">
        <v>44608</v>
      </c>
      <c r="AE39" s="6" t="s">
        <v>10563</v>
      </c>
      <c r="AF39" s="6" t="s">
        <v>104</v>
      </c>
      <c r="AG39" s="6" t="s">
        <v>104</v>
      </c>
      <c r="AH39" s="6" t="s">
        <v>13185</v>
      </c>
      <c r="AI39" s="6" t="s">
        <v>104</v>
      </c>
      <c r="AJ39" s="6" t="s">
        <v>15385</v>
      </c>
      <c r="AK39" s="6" t="s">
        <v>16694</v>
      </c>
      <c r="AL39" s="6" t="s">
        <v>16931</v>
      </c>
      <c r="AM39" s="6" t="s">
        <v>17012</v>
      </c>
      <c r="AN39" s="6" t="s">
        <v>18459</v>
      </c>
      <c r="AO39" s="6" t="s">
        <v>18565</v>
      </c>
      <c r="AP39" s="6" t="s">
        <v>13185</v>
      </c>
      <c r="AQ39" s="6" t="s">
        <v>104</v>
      </c>
      <c r="AR39" s="6" t="s">
        <v>15385</v>
      </c>
      <c r="AS39" s="6" t="s">
        <v>16694</v>
      </c>
      <c r="AT39" s="6" t="s">
        <v>16931</v>
      </c>
      <c r="AU39" s="6" t="s">
        <v>17012</v>
      </c>
      <c r="AV39" s="6" t="s">
        <v>104</v>
      </c>
      <c r="AW39" s="6" t="s">
        <v>104</v>
      </c>
      <c r="AX39" s="6" t="s">
        <v>104</v>
      </c>
      <c r="AY39" s="6" t="s">
        <v>21882</v>
      </c>
      <c r="AZ39" s="6" t="s">
        <v>104</v>
      </c>
      <c r="BA39" s="6" t="s">
        <v>104</v>
      </c>
      <c r="BB39" s="6" t="s">
        <v>104</v>
      </c>
      <c r="BC39" s="26"/>
      <c r="BD39" s="26"/>
      <c r="BE39" s="26"/>
      <c r="BF39" s="26"/>
      <c r="BG39" s="26"/>
      <c r="BH39" s="26"/>
      <c r="BI39" s="26"/>
      <c r="BJ39" s="26"/>
      <c r="BK39" s="26"/>
      <c r="BL39" s="26"/>
      <c r="BM39" s="26"/>
      <c r="BN39" s="26"/>
      <c r="BO39" s="26"/>
      <c r="BP39" s="16" t="n">
        <v>45702</v>
      </c>
      <c r="BQ39" s="28" t="str">
        <f>HYPERLINK("https://organic.ams.usda.gov/Integrity/Certificate.aspx?cid=1&amp;nopid=9092200401")</f>
        <v>https://organic.ams.usda.gov/Integrity/Certificate.aspx?cid=1&amp;nopid=9092200401</v>
      </c>
    </row>
    <row r="40">
      <c r="A40" t="s">
        <v>3</v>
      </c>
      <c r="B40" s="6" t="s">
        <v>19</v>
      </c>
      <c r="C40" s="6" t="s">
        <v>85</v>
      </c>
      <c r="D40" s="6" t="s">
        <v>150</v>
      </c>
      <c r="E40" s="10" t="s">
        <v>238</v>
      </c>
      <c r="F40" s="6" t="s">
        <v>2498</v>
      </c>
      <c r="G40" s="6" t="s">
        <v>104</v>
      </c>
      <c r="H40" s="6" t="s">
        <v>4927</v>
      </c>
      <c r="I40" s="6" t="s">
        <v>6949</v>
      </c>
      <c r="J40" s="6" t="s">
        <v>8160</v>
      </c>
      <c r="K40" s="6" t="s">
        <v>9714</v>
      </c>
      <c r="L40" s="16" t="n">
        <v>41956</v>
      </c>
      <c r="M40" s="16" t="n">
        <v>45717</v>
      </c>
      <c r="N40" s="6" t="s">
        <v>104</v>
      </c>
      <c r="O40" s="21" t="s">
        <v>104</v>
      </c>
      <c r="P40" s="6" t="s">
        <v>104</v>
      </c>
      <c r="Q40" s="6" t="s">
        <v>104</v>
      </c>
      <c r="R40" s="6" t="s">
        <v>104</v>
      </c>
      <c r="S40" s="6" t="s">
        <v>104</v>
      </c>
      <c r="T40" s="21" t="s">
        <v>104</v>
      </c>
      <c r="U40" s="6" t="s">
        <v>104</v>
      </c>
      <c r="V40" s="6" t="s">
        <v>104</v>
      </c>
      <c r="W40" s="6" t="s">
        <v>104</v>
      </c>
      <c r="X40" s="6" t="s">
        <v>104</v>
      </c>
      <c r="Y40" s="21" t="s">
        <v>104</v>
      </c>
      <c r="Z40" s="6" t="s">
        <v>104</v>
      </c>
      <c r="AA40" s="6" t="s">
        <v>104</v>
      </c>
      <c r="AB40" s="6" t="s">
        <v>104</v>
      </c>
      <c r="AC40" s="6" t="s">
        <v>9714</v>
      </c>
      <c r="AD40" s="16" t="n">
        <v>41956</v>
      </c>
      <c r="AE40" s="6" t="s">
        <v>10564</v>
      </c>
      <c r="AF40" s="6" t="s">
        <v>104</v>
      </c>
      <c r="AG40" s="6" t="s">
        <v>104</v>
      </c>
      <c r="AH40" s="6" t="s">
        <v>13186</v>
      </c>
      <c r="AI40" s="6" t="s">
        <v>104</v>
      </c>
      <c r="AJ40" s="6" t="s">
        <v>15386</v>
      </c>
      <c r="AK40" s="6" t="s">
        <v>16686</v>
      </c>
      <c r="AL40" s="6" t="s">
        <v>16931</v>
      </c>
      <c r="AM40" s="6" t="s">
        <v>17013</v>
      </c>
      <c r="AN40" s="6" t="s">
        <v>18460</v>
      </c>
      <c r="AO40" s="6" t="s">
        <v>18566</v>
      </c>
      <c r="AP40" s="6" t="s">
        <v>18957</v>
      </c>
      <c r="AQ40" s="6" t="s">
        <v>104</v>
      </c>
      <c r="AR40" s="6" t="s">
        <v>19593</v>
      </c>
      <c r="AS40" s="6" t="s">
        <v>16686</v>
      </c>
      <c r="AT40" s="6" t="s">
        <v>16931</v>
      </c>
      <c r="AU40" s="6" t="s">
        <v>19806</v>
      </c>
      <c r="AV40" s="6" t="s">
        <v>104</v>
      </c>
      <c r="AW40" s="6" t="s">
        <v>104</v>
      </c>
      <c r="AX40" s="6" t="s">
        <v>20144</v>
      </c>
      <c r="AY40" s="6" t="s">
        <v>21883</v>
      </c>
      <c r="AZ40" s="6" t="s">
        <v>104</v>
      </c>
      <c r="BA40" s="6" t="s">
        <v>104</v>
      </c>
      <c r="BB40" s="6" t="s">
        <v>104</v>
      </c>
      <c r="BC40" s="26"/>
      <c r="BD40" s="26"/>
      <c r="BE40" s="26"/>
      <c r="BF40" s="26"/>
      <c r="BG40" s="26"/>
      <c r="BH40" s="26"/>
      <c r="BI40" s="26"/>
      <c r="BJ40" s="26"/>
      <c r="BK40" s="26"/>
      <c r="BL40" s="26"/>
      <c r="BM40" s="26"/>
      <c r="BN40" s="26"/>
      <c r="BO40" s="26"/>
      <c r="BP40" s="16" t="n">
        <v>45684</v>
      </c>
      <c r="BQ40" s="28" t="str">
        <f>HYPERLINK("https://organic.ams.usda.gov/Integrity/Certificate.aspx?cid=68&amp;nopid=8210001017")</f>
        <v>https://organic.ams.usda.gov/Integrity/Certificate.aspx?cid=68&amp;nopid=8210001017</v>
      </c>
    </row>
    <row r="41">
      <c r="A41" t="s">
        <v>3</v>
      </c>
      <c r="B41" s="6" t="s">
        <v>14</v>
      </c>
      <c r="C41" s="6" t="s">
        <v>80</v>
      </c>
      <c r="D41" s="6" t="s">
        <v>145</v>
      </c>
      <c r="E41" s="10" t="s">
        <v>239</v>
      </c>
      <c r="F41" s="6" t="s">
        <v>2499</v>
      </c>
      <c r="G41" s="6" t="s">
        <v>104</v>
      </c>
      <c r="H41" s="6" t="s">
        <v>4928</v>
      </c>
      <c r="I41" s="6" t="s">
        <v>6950</v>
      </c>
      <c r="J41" s="6" t="s">
        <v>7441</v>
      </c>
      <c r="K41" s="6" t="s">
        <v>9714</v>
      </c>
      <c r="L41" s="16" t="n">
        <v>43641</v>
      </c>
      <c r="M41" s="16" t="n">
        <v>45736</v>
      </c>
      <c r="N41" s="6" t="s">
        <v>104</v>
      </c>
      <c r="O41" s="21" t="s">
        <v>104</v>
      </c>
      <c r="P41" s="6" t="s">
        <v>104</v>
      </c>
      <c r="Q41" s="6" t="s">
        <v>104</v>
      </c>
      <c r="R41" s="6" t="s">
        <v>104</v>
      </c>
      <c r="S41" s="6" t="s">
        <v>104</v>
      </c>
      <c r="T41" s="21" t="s">
        <v>104</v>
      </c>
      <c r="U41" s="6" t="s">
        <v>104</v>
      </c>
      <c r="V41" s="6" t="s">
        <v>104</v>
      </c>
      <c r="W41" s="6" t="s">
        <v>104</v>
      </c>
      <c r="X41" s="6" t="s">
        <v>104</v>
      </c>
      <c r="Y41" s="21" t="s">
        <v>104</v>
      </c>
      <c r="Z41" s="6" t="s">
        <v>104</v>
      </c>
      <c r="AA41" s="6" t="s">
        <v>104</v>
      </c>
      <c r="AB41" s="6" t="s">
        <v>104</v>
      </c>
      <c r="AC41" s="6" t="s">
        <v>9714</v>
      </c>
      <c r="AD41" s="16" t="n">
        <v>43641</v>
      </c>
      <c r="AE41" s="6" t="s">
        <v>10565</v>
      </c>
      <c r="AF41" s="6" t="s">
        <v>104</v>
      </c>
      <c r="AG41" s="6" t="s">
        <v>104</v>
      </c>
      <c r="AH41" s="6" t="s">
        <v>13187</v>
      </c>
      <c r="AI41" s="6" t="s">
        <v>104</v>
      </c>
      <c r="AJ41" s="6" t="s">
        <v>15387</v>
      </c>
      <c r="AK41" s="6" t="s">
        <v>16270</v>
      </c>
      <c r="AL41" s="6" t="s">
        <v>16932</v>
      </c>
      <c r="AM41" s="6" t="s">
        <v>17014</v>
      </c>
      <c r="AN41" s="6" t="s">
        <v>104</v>
      </c>
      <c r="AO41" s="6" t="s">
        <v>104</v>
      </c>
      <c r="AP41" s="6" t="s">
        <v>18958</v>
      </c>
      <c r="AQ41" s="6" t="s">
        <v>104</v>
      </c>
      <c r="AR41" s="6" t="s">
        <v>15387</v>
      </c>
      <c r="AS41" s="6" t="s">
        <v>16270</v>
      </c>
      <c r="AT41" s="6" t="s">
        <v>16932</v>
      </c>
      <c r="AU41" s="6" t="s">
        <v>19807</v>
      </c>
      <c r="AV41" s="6" t="s">
        <v>104</v>
      </c>
      <c r="AW41" s="6" t="s">
        <v>104</v>
      </c>
      <c r="AX41" s="6" t="s">
        <v>20145</v>
      </c>
      <c r="AY41" s="6" t="s">
        <v>21884</v>
      </c>
      <c r="AZ41" s="6" t="s">
        <v>23695</v>
      </c>
      <c r="BA41" s="6" t="s">
        <v>24267</v>
      </c>
      <c r="BB41" s="6" t="s">
        <v>104</v>
      </c>
      <c r="BC41" s="26"/>
      <c r="BD41" s="26"/>
      <c r="BE41" s="26"/>
      <c r="BF41" s="26"/>
      <c r="BG41" s="26"/>
      <c r="BH41" s="26"/>
      <c r="BI41" s="26"/>
      <c r="BJ41" s="26"/>
      <c r="BK41" s="26"/>
      <c r="BL41" s="26"/>
      <c r="BM41" s="26"/>
      <c r="BN41" s="26"/>
      <c r="BO41" s="26"/>
      <c r="BP41" s="16" t="n">
        <v>45733</v>
      </c>
      <c r="BQ41" s="28" t="str">
        <f>HYPERLINK("https://organic.ams.usda.gov/Integrity/Certificate.aspx?cid=89&amp;nopid=4920001246")</f>
        <v>https://organic.ams.usda.gov/Integrity/Certificate.aspx?cid=89&amp;nopid=4920001246</v>
      </c>
    </row>
    <row r="42">
      <c r="A42" t="s">
        <v>3</v>
      </c>
      <c r="B42" s="6" t="s">
        <v>28</v>
      </c>
      <c r="C42" s="6" t="s">
        <v>94</v>
      </c>
      <c r="D42" s="6" t="s">
        <v>159</v>
      </c>
      <c r="E42" s="10" t="s">
        <v>240</v>
      </c>
      <c r="F42" s="6" t="s">
        <v>2500</v>
      </c>
      <c r="G42" s="6" t="s">
        <v>104</v>
      </c>
      <c r="H42" s="6" t="s">
        <v>4929</v>
      </c>
      <c r="I42" s="6" t="s">
        <v>6951</v>
      </c>
      <c r="J42" s="6" t="s">
        <v>8161</v>
      </c>
      <c r="K42" s="6" t="s">
        <v>9714</v>
      </c>
      <c r="L42" s="16" t="n">
        <v>45596</v>
      </c>
      <c r="M42" s="16" t="n">
        <v>45748</v>
      </c>
      <c r="N42" s="6" t="s">
        <v>104</v>
      </c>
      <c r="O42" s="21" t="s">
        <v>104</v>
      </c>
      <c r="P42" s="6" t="s">
        <v>104</v>
      </c>
      <c r="Q42" s="6" t="s">
        <v>104</v>
      </c>
      <c r="R42" s="6" t="s">
        <v>104</v>
      </c>
      <c r="S42" s="6" t="s">
        <v>104</v>
      </c>
      <c r="T42" s="21" t="s">
        <v>104</v>
      </c>
      <c r="U42" s="6" t="s">
        <v>104</v>
      </c>
      <c r="V42" s="6" t="s">
        <v>104</v>
      </c>
      <c r="W42" s="6" t="s">
        <v>104</v>
      </c>
      <c r="X42" s="6" t="s">
        <v>104</v>
      </c>
      <c r="Y42" s="21" t="s">
        <v>104</v>
      </c>
      <c r="Z42" s="6" t="s">
        <v>104</v>
      </c>
      <c r="AA42" s="6" t="s">
        <v>104</v>
      </c>
      <c r="AB42" s="6" t="s">
        <v>104</v>
      </c>
      <c r="AC42" s="6" t="s">
        <v>9714</v>
      </c>
      <c r="AD42" s="16" t="n">
        <v>45596</v>
      </c>
      <c r="AE42" s="6" t="s">
        <v>10566</v>
      </c>
      <c r="AF42" s="6" t="s">
        <v>104</v>
      </c>
      <c r="AG42" s="6" t="s">
        <v>12496</v>
      </c>
      <c r="AH42" s="6" t="s">
        <v>13188</v>
      </c>
      <c r="AI42" s="6" t="s">
        <v>15228</v>
      </c>
      <c r="AJ42" s="6" t="s">
        <v>15388</v>
      </c>
      <c r="AK42" s="6" t="s">
        <v>104</v>
      </c>
      <c r="AL42" s="6" t="s">
        <v>16703</v>
      </c>
      <c r="AM42" s="6" t="s">
        <v>17015</v>
      </c>
      <c r="AN42" s="6" t="s">
        <v>104</v>
      </c>
      <c r="AO42" s="6" t="s">
        <v>104</v>
      </c>
      <c r="AP42" s="6" t="s">
        <v>104</v>
      </c>
      <c r="AQ42" s="6" t="s">
        <v>104</v>
      </c>
      <c r="AR42" s="6" t="s">
        <v>104</v>
      </c>
      <c r="AS42" s="6" t="s">
        <v>104</v>
      </c>
      <c r="AT42" s="6" t="s">
        <v>104</v>
      </c>
      <c r="AU42" s="6" t="s">
        <v>104</v>
      </c>
      <c r="AV42" s="6" t="s">
        <v>104</v>
      </c>
      <c r="AW42" s="6" t="s">
        <v>104</v>
      </c>
      <c r="AX42" s="6" t="s">
        <v>20146</v>
      </c>
      <c r="AY42" s="6" t="s">
        <v>21885</v>
      </c>
      <c r="AZ42" s="6" t="s">
        <v>104</v>
      </c>
      <c r="BA42" s="6" t="s">
        <v>24268</v>
      </c>
      <c r="BB42" s="6" t="s">
        <v>104</v>
      </c>
      <c r="BC42" s="26"/>
      <c r="BD42" s="26"/>
      <c r="BE42" s="26"/>
      <c r="BF42" s="26"/>
      <c r="BG42" s="26"/>
      <c r="BH42" s="26"/>
      <c r="BI42" s="26"/>
      <c r="BJ42" s="26"/>
      <c r="BK42" s="26"/>
      <c r="BL42" s="26"/>
      <c r="BM42" s="26"/>
      <c r="BN42" s="26"/>
      <c r="BO42" s="26"/>
      <c r="BP42" s="16" t="n">
        <v>45637</v>
      </c>
      <c r="BQ42" s="28" t="str">
        <f>HYPERLINK("https://organic.ams.usda.gov/Integrity/Certificate.aspx?cid=11&amp;nopid=4797132700")</f>
        <v>https://organic.ams.usda.gov/Integrity/Certificate.aspx?cid=11&amp;nopid=4797132700</v>
      </c>
    </row>
    <row r="43">
      <c r="A43" t="s">
        <v>3</v>
      </c>
      <c r="B43" s="6" t="s">
        <v>29</v>
      </c>
      <c r="C43" s="6" t="s">
        <v>95</v>
      </c>
      <c r="D43" s="6" t="s">
        <v>160</v>
      </c>
      <c r="E43" s="10" t="s">
        <v>241</v>
      </c>
      <c r="F43" s="6" t="s">
        <v>2501</v>
      </c>
      <c r="G43" s="6" t="s">
        <v>104</v>
      </c>
      <c r="H43" s="6" t="s">
        <v>4930</v>
      </c>
      <c r="I43" s="6" t="s">
        <v>104</v>
      </c>
      <c r="J43" s="6" t="s">
        <v>8162</v>
      </c>
      <c r="K43" s="6" t="s">
        <v>9714</v>
      </c>
      <c r="L43" s="16" t="n">
        <v>43217</v>
      </c>
      <c r="M43" s="16" t="n">
        <v>45870</v>
      </c>
      <c r="N43" s="6" t="s">
        <v>9714</v>
      </c>
      <c r="O43" s="16" t="n">
        <v>43217</v>
      </c>
      <c r="P43" s="6" t="s">
        <v>9737</v>
      </c>
      <c r="Q43" s="6" t="s">
        <v>104</v>
      </c>
      <c r="R43" s="6" t="s">
        <v>104</v>
      </c>
      <c r="S43" s="6" t="s">
        <v>104</v>
      </c>
      <c r="T43" s="21" t="s">
        <v>104</v>
      </c>
      <c r="U43" s="6" t="s">
        <v>104</v>
      </c>
      <c r="V43" s="6" t="s">
        <v>104</v>
      </c>
      <c r="W43" s="6" t="s">
        <v>104</v>
      </c>
      <c r="X43" s="6" t="s">
        <v>104</v>
      </c>
      <c r="Y43" s="21" t="s">
        <v>104</v>
      </c>
      <c r="Z43" s="6" t="s">
        <v>104</v>
      </c>
      <c r="AA43" s="6" t="s">
        <v>104</v>
      </c>
      <c r="AB43" s="6" t="s">
        <v>104</v>
      </c>
      <c r="AC43" s="6" t="s">
        <v>9714</v>
      </c>
      <c r="AD43" s="16" t="n">
        <v>43217</v>
      </c>
      <c r="AE43" s="6" t="s">
        <v>10567</v>
      </c>
      <c r="AF43" s="6" t="s">
        <v>104</v>
      </c>
      <c r="AG43" s="6" t="s">
        <v>104</v>
      </c>
      <c r="AH43" s="6" t="s">
        <v>13189</v>
      </c>
      <c r="AI43" s="6" t="s">
        <v>104</v>
      </c>
      <c r="AJ43" s="6" t="s">
        <v>15389</v>
      </c>
      <c r="AK43" s="6" t="s">
        <v>16695</v>
      </c>
      <c r="AL43" s="6" t="s">
        <v>16937</v>
      </c>
      <c r="AM43" s="6" t="s">
        <v>17016</v>
      </c>
      <c r="AN43" s="6" t="s">
        <v>104</v>
      </c>
      <c r="AO43" s="6" t="s">
        <v>104</v>
      </c>
      <c r="AP43" s="6" t="s">
        <v>104</v>
      </c>
      <c r="AQ43" s="6" t="s">
        <v>104</v>
      </c>
      <c r="AR43" s="6" t="s">
        <v>104</v>
      </c>
      <c r="AS43" s="6" t="s">
        <v>104</v>
      </c>
      <c r="AT43" s="6" t="s">
        <v>104</v>
      </c>
      <c r="AU43" s="6" t="s">
        <v>104</v>
      </c>
      <c r="AV43" s="6" t="s">
        <v>104</v>
      </c>
      <c r="AW43" s="6" t="s">
        <v>104</v>
      </c>
      <c r="AX43" s="6" t="s">
        <v>20147</v>
      </c>
      <c r="AY43" s="6" t="s">
        <v>21886</v>
      </c>
      <c r="AZ43" s="6" t="s">
        <v>104</v>
      </c>
      <c r="BA43" s="6" t="s">
        <v>24269</v>
      </c>
      <c r="BB43" s="24" t="n">
        <v>51</v>
      </c>
      <c r="BC43" s="26"/>
      <c r="BD43" s="26"/>
      <c r="BE43" s="26"/>
      <c r="BF43" s="26"/>
      <c r="BG43" s="26"/>
      <c r="BH43" s="26"/>
      <c r="BI43" s="26"/>
      <c r="BJ43" s="26"/>
      <c r="BK43" s="26"/>
      <c r="BL43" s="26"/>
      <c r="BM43" s="26"/>
      <c r="BN43" s="26"/>
      <c r="BO43" s="26"/>
      <c r="BP43" s="16" t="n">
        <v>45680</v>
      </c>
      <c r="BQ43" s="28" t="str">
        <f>HYPERLINK("https://organic.ams.usda.gov/Integrity/Certificate.aspx?cid=24&amp;nopid=7880096190")</f>
        <v>https://organic.ams.usda.gov/Integrity/Certificate.aspx?cid=24&amp;nopid=7880096190</v>
      </c>
    </row>
    <row r="44">
      <c r="A44" t="s">
        <v>3</v>
      </c>
      <c r="B44" s="6" t="s">
        <v>13</v>
      </c>
      <c r="C44" s="6" t="s">
        <v>79</v>
      </c>
      <c r="D44" s="6" t="s">
        <v>144</v>
      </c>
      <c r="E44" s="10" t="s">
        <v>242</v>
      </c>
      <c r="F44" s="6" t="s">
        <v>2502</v>
      </c>
      <c r="G44" s="6" t="s">
        <v>104</v>
      </c>
      <c r="H44" s="6" t="s">
        <v>4931</v>
      </c>
      <c r="I44" s="6" t="s">
        <v>6919</v>
      </c>
      <c r="J44" s="6" t="s">
        <v>8163</v>
      </c>
      <c r="K44" s="6" t="s">
        <v>9714</v>
      </c>
      <c r="L44" s="16" t="n">
        <v>37375</v>
      </c>
      <c r="M44" s="16" t="n">
        <v>46023</v>
      </c>
      <c r="N44" s="6" t="s">
        <v>104</v>
      </c>
      <c r="O44" s="21" t="s">
        <v>104</v>
      </c>
      <c r="P44" s="6" t="s">
        <v>104</v>
      </c>
      <c r="Q44" s="6" t="s">
        <v>104</v>
      </c>
      <c r="R44" s="6" t="s">
        <v>104</v>
      </c>
      <c r="S44" s="6" t="s">
        <v>104</v>
      </c>
      <c r="T44" s="21" t="s">
        <v>104</v>
      </c>
      <c r="U44" s="6" t="s">
        <v>104</v>
      </c>
      <c r="V44" s="6" t="s">
        <v>104</v>
      </c>
      <c r="W44" s="6" t="s">
        <v>104</v>
      </c>
      <c r="X44" s="6" t="s">
        <v>104</v>
      </c>
      <c r="Y44" s="21" t="s">
        <v>104</v>
      </c>
      <c r="Z44" s="6" t="s">
        <v>104</v>
      </c>
      <c r="AA44" s="6" t="s">
        <v>104</v>
      </c>
      <c r="AB44" s="6" t="s">
        <v>104</v>
      </c>
      <c r="AC44" s="6" t="s">
        <v>9714</v>
      </c>
      <c r="AD44" s="16" t="n">
        <v>37375</v>
      </c>
      <c r="AE44" s="6" t="s">
        <v>10568</v>
      </c>
      <c r="AF44" s="6" t="s">
        <v>104</v>
      </c>
      <c r="AG44" s="6" t="s">
        <v>104</v>
      </c>
      <c r="AH44" s="6" t="s">
        <v>104</v>
      </c>
      <c r="AI44" s="6" t="s">
        <v>104</v>
      </c>
      <c r="AJ44" s="6" t="s">
        <v>104</v>
      </c>
      <c r="AK44" s="6" t="s">
        <v>104</v>
      </c>
      <c r="AL44" s="6" t="s">
        <v>104</v>
      </c>
      <c r="AM44" s="6" t="s">
        <v>104</v>
      </c>
      <c r="AN44" s="6" t="s">
        <v>104</v>
      </c>
      <c r="AO44" s="6" t="s">
        <v>104</v>
      </c>
      <c r="AP44" s="6" t="s">
        <v>18959</v>
      </c>
      <c r="AQ44" s="6" t="s">
        <v>104</v>
      </c>
      <c r="AR44" s="6" t="s">
        <v>8057</v>
      </c>
      <c r="AS44" s="6" t="s">
        <v>16693</v>
      </c>
      <c r="AT44" s="6" t="s">
        <v>16931</v>
      </c>
      <c r="AU44" s="6" t="s">
        <v>19808</v>
      </c>
      <c r="AV44" s="6" t="s">
        <v>18521</v>
      </c>
      <c r="AW44" s="6" t="s">
        <v>18901</v>
      </c>
      <c r="AX44" s="6" t="s">
        <v>20148</v>
      </c>
      <c r="AY44" s="6" t="s">
        <v>21887</v>
      </c>
      <c r="AZ44" s="6" t="s">
        <v>23696</v>
      </c>
      <c r="BA44" s="6" t="s">
        <v>104</v>
      </c>
      <c r="BB44" s="6" t="s">
        <v>104</v>
      </c>
      <c r="BC44" s="26"/>
      <c r="BD44" s="26"/>
      <c r="BE44" s="26"/>
      <c r="BF44" s="26"/>
      <c r="BG44" s="26"/>
      <c r="BH44" s="26"/>
      <c r="BI44" s="26"/>
      <c r="BJ44" s="26"/>
      <c r="BK44" s="26"/>
      <c r="BL44" s="26"/>
      <c r="BM44" s="26"/>
      <c r="BN44" s="26"/>
      <c r="BO44" s="26"/>
      <c r="BP44" s="16" t="n">
        <v>45686</v>
      </c>
      <c r="BQ44" s="28" t="str">
        <f>HYPERLINK("https://organic.ams.usda.gov/Integrity/Certificate.aspx?cid=62&amp;nopid=8150001155")</f>
        <v>https://organic.ams.usda.gov/Integrity/Certificate.aspx?cid=62&amp;nopid=8150001155</v>
      </c>
    </row>
    <row r="45">
      <c r="A45" t="s">
        <v>3</v>
      </c>
      <c r="B45" s="6" t="s">
        <v>20</v>
      </c>
      <c r="C45" s="6" t="s">
        <v>86</v>
      </c>
      <c r="D45" s="6" t="s">
        <v>151</v>
      </c>
      <c r="E45" s="10" t="s">
        <v>243</v>
      </c>
      <c r="F45" s="6" t="s">
        <v>2503</v>
      </c>
      <c r="G45" s="6" t="s">
        <v>104</v>
      </c>
      <c r="H45" s="6" t="s">
        <v>4932</v>
      </c>
      <c r="I45" s="6" t="s">
        <v>6952</v>
      </c>
      <c r="J45" s="6" t="s">
        <v>7285</v>
      </c>
      <c r="K45" s="6" t="s">
        <v>9714</v>
      </c>
      <c r="L45" s="16" t="n">
        <v>45719</v>
      </c>
      <c r="M45" s="16" t="n">
        <v>46081</v>
      </c>
      <c r="N45" s="6" t="s">
        <v>104</v>
      </c>
      <c r="O45" s="21" t="s">
        <v>104</v>
      </c>
      <c r="P45" s="6" t="s">
        <v>104</v>
      </c>
      <c r="Q45" s="6" t="s">
        <v>104</v>
      </c>
      <c r="R45" s="6" t="s">
        <v>104</v>
      </c>
      <c r="S45" s="6" t="s">
        <v>104</v>
      </c>
      <c r="T45" s="21" t="s">
        <v>104</v>
      </c>
      <c r="U45" s="6" t="s">
        <v>104</v>
      </c>
      <c r="V45" s="6" t="s">
        <v>104</v>
      </c>
      <c r="W45" s="6" t="s">
        <v>104</v>
      </c>
      <c r="X45" s="6" t="s">
        <v>104</v>
      </c>
      <c r="Y45" s="21" t="s">
        <v>104</v>
      </c>
      <c r="Z45" s="6" t="s">
        <v>104</v>
      </c>
      <c r="AA45" s="6" t="s">
        <v>104</v>
      </c>
      <c r="AB45" s="6" t="s">
        <v>104</v>
      </c>
      <c r="AC45" s="6" t="s">
        <v>9714</v>
      </c>
      <c r="AD45" s="16" t="n">
        <v>45719</v>
      </c>
      <c r="AE45" s="6" t="s">
        <v>10569</v>
      </c>
      <c r="AF45" s="6" t="s">
        <v>104</v>
      </c>
      <c r="AG45" s="6" t="s">
        <v>12497</v>
      </c>
      <c r="AH45" s="6" t="s">
        <v>13190</v>
      </c>
      <c r="AI45" s="6" t="s">
        <v>104</v>
      </c>
      <c r="AJ45" s="6" t="s">
        <v>15390</v>
      </c>
      <c r="AK45" s="6" t="s">
        <v>15390</v>
      </c>
      <c r="AL45" s="6" t="s">
        <v>16766</v>
      </c>
      <c r="AM45" s="6" t="s">
        <v>17017</v>
      </c>
      <c r="AN45" s="6" t="s">
        <v>104</v>
      </c>
      <c r="AO45" s="6" t="s">
        <v>104</v>
      </c>
      <c r="AP45" s="6" t="s">
        <v>104</v>
      </c>
      <c r="AQ45" s="6" t="s">
        <v>104</v>
      </c>
      <c r="AR45" s="6" t="s">
        <v>104</v>
      </c>
      <c r="AS45" s="6" t="s">
        <v>104</v>
      </c>
      <c r="AT45" s="6" t="s">
        <v>104</v>
      </c>
      <c r="AU45" s="6" t="s">
        <v>104</v>
      </c>
      <c r="AV45" s="6" t="s">
        <v>104</v>
      </c>
      <c r="AW45" s="6" t="s">
        <v>104</v>
      </c>
      <c r="AX45" s="6" t="s">
        <v>20149</v>
      </c>
      <c r="AY45" s="6" t="s">
        <v>21888</v>
      </c>
      <c r="AZ45" s="6" t="s">
        <v>104</v>
      </c>
      <c r="BA45" s="6" t="s">
        <v>104</v>
      </c>
      <c r="BB45" s="6" t="s">
        <v>104</v>
      </c>
      <c r="BC45" s="26"/>
      <c r="BD45" s="26"/>
      <c r="BE45" s="26"/>
      <c r="BF45" s="26"/>
      <c r="BG45" s="26"/>
      <c r="BH45" s="26"/>
      <c r="BI45" s="26"/>
      <c r="BJ45" s="26"/>
      <c r="BK45" s="26"/>
      <c r="BL45" s="26"/>
      <c r="BM45" s="26"/>
      <c r="BN45" s="26"/>
      <c r="BO45" s="26"/>
      <c r="BP45" s="16" t="n">
        <v>45719</v>
      </c>
      <c r="BQ45" s="28" t="str">
        <f>HYPERLINK("https://organic.ams.usda.gov/Integrity/Certificate.aspx?cid=17&amp;nopid=4080208759")</f>
        <v>https://organic.ams.usda.gov/Integrity/Certificate.aspx?cid=17&amp;nopid=4080208759</v>
      </c>
    </row>
    <row r="46">
      <c r="A46" t="s">
        <v>3</v>
      </c>
      <c r="B46" s="6" t="s">
        <v>30</v>
      </c>
      <c r="C46" s="6" t="s">
        <v>96</v>
      </c>
      <c r="D46" s="6" t="s">
        <v>161</v>
      </c>
      <c r="E46" s="10" t="s">
        <v>244</v>
      </c>
      <c r="F46" s="6" t="s">
        <v>2504</v>
      </c>
      <c r="G46" s="6" t="s">
        <v>104</v>
      </c>
      <c r="H46" s="6" t="s">
        <v>4933</v>
      </c>
      <c r="I46" s="6" t="s">
        <v>104</v>
      </c>
      <c r="J46" s="6" t="s">
        <v>104</v>
      </c>
      <c r="K46" s="6" t="s">
        <v>9714</v>
      </c>
      <c r="L46" s="16" t="n">
        <v>44064</v>
      </c>
      <c r="M46" s="16" t="n">
        <v>45859</v>
      </c>
      <c r="N46" s="6" t="s">
        <v>104</v>
      </c>
      <c r="O46" s="21" t="s">
        <v>104</v>
      </c>
      <c r="P46" s="6" t="s">
        <v>104</v>
      </c>
      <c r="Q46" s="6" t="s">
        <v>104</v>
      </c>
      <c r="R46" s="6" t="s">
        <v>104</v>
      </c>
      <c r="S46" s="6" t="s">
        <v>104</v>
      </c>
      <c r="T46" s="21" t="s">
        <v>104</v>
      </c>
      <c r="U46" s="6" t="s">
        <v>104</v>
      </c>
      <c r="V46" s="6" t="s">
        <v>104</v>
      </c>
      <c r="W46" s="6" t="s">
        <v>104</v>
      </c>
      <c r="X46" s="6" t="s">
        <v>104</v>
      </c>
      <c r="Y46" s="21" t="s">
        <v>104</v>
      </c>
      <c r="Z46" s="6" t="s">
        <v>104</v>
      </c>
      <c r="AA46" s="6" t="s">
        <v>104</v>
      </c>
      <c r="AB46" s="6" t="s">
        <v>104</v>
      </c>
      <c r="AC46" s="6" t="s">
        <v>9714</v>
      </c>
      <c r="AD46" s="16" t="n">
        <v>44064</v>
      </c>
      <c r="AE46" s="6" t="s">
        <v>10570</v>
      </c>
      <c r="AF46" s="6" t="s">
        <v>104</v>
      </c>
      <c r="AG46" s="6" t="s">
        <v>12498</v>
      </c>
      <c r="AH46" s="6" t="s">
        <v>13191</v>
      </c>
      <c r="AI46" s="6" t="s">
        <v>104</v>
      </c>
      <c r="AJ46" s="6" t="s">
        <v>15391</v>
      </c>
      <c r="AK46" s="6" t="s">
        <v>16696</v>
      </c>
      <c r="AL46" s="6" t="s">
        <v>16933</v>
      </c>
      <c r="AM46" s="6" t="s">
        <v>17018</v>
      </c>
      <c r="AN46" s="6" t="s">
        <v>104</v>
      </c>
      <c r="AO46" s="6" t="s">
        <v>104</v>
      </c>
      <c r="AP46" s="6" t="s">
        <v>13191</v>
      </c>
      <c r="AQ46" s="6" t="s">
        <v>104</v>
      </c>
      <c r="AR46" s="6" t="s">
        <v>15391</v>
      </c>
      <c r="AS46" s="6" t="s">
        <v>16696</v>
      </c>
      <c r="AT46" s="6" t="s">
        <v>16933</v>
      </c>
      <c r="AU46" s="6" t="s">
        <v>17018</v>
      </c>
      <c r="AV46" s="6" t="s">
        <v>104</v>
      </c>
      <c r="AW46" s="6" t="s">
        <v>104</v>
      </c>
      <c r="AX46" s="6" t="s">
        <v>104</v>
      </c>
      <c r="AY46" s="6" t="s">
        <v>21889</v>
      </c>
      <c r="AZ46" s="6" t="s">
        <v>104</v>
      </c>
      <c r="BA46" s="6" t="s">
        <v>104</v>
      </c>
      <c r="BB46" s="6" t="s">
        <v>104</v>
      </c>
      <c r="BC46" s="26"/>
      <c r="BD46" s="26"/>
      <c r="BE46" s="26"/>
      <c r="BF46" s="26"/>
      <c r="BG46" s="26"/>
      <c r="BH46" s="26"/>
      <c r="BI46" s="26"/>
      <c r="BJ46" s="26"/>
      <c r="BK46" s="26"/>
      <c r="BL46" s="26"/>
      <c r="BM46" s="26"/>
      <c r="BN46" s="26"/>
      <c r="BO46" s="26"/>
      <c r="BP46" s="16" t="n">
        <v>45489</v>
      </c>
      <c r="BQ46" s="28" t="str">
        <f>HYPERLINK("https://organic.ams.usda.gov/Integrity/Certificate.aspx?cid=14&amp;nopid=6250032646")</f>
        <v>https://organic.ams.usda.gov/Integrity/Certificate.aspx?cid=14&amp;nopid=6250032646</v>
      </c>
    </row>
    <row r="47">
      <c r="A47" t="s">
        <v>3</v>
      </c>
      <c r="B47" s="6" t="s">
        <v>11</v>
      </c>
      <c r="C47" s="6" t="s">
        <v>77</v>
      </c>
      <c r="D47" s="6" t="s">
        <v>142</v>
      </c>
      <c r="E47" s="10" t="s">
        <v>245</v>
      </c>
      <c r="F47" s="6" t="s">
        <v>2505</v>
      </c>
      <c r="G47" s="6" t="s">
        <v>104</v>
      </c>
      <c r="H47" s="6" t="s">
        <v>4934</v>
      </c>
      <c r="I47" s="6" t="s">
        <v>6953</v>
      </c>
      <c r="J47" s="6" t="s">
        <v>8164</v>
      </c>
      <c r="K47" s="6" t="s">
        <v>9714</v>
      </c>
      <c r="L47" s="16" t="n">
        <v>45135</v>
      </c>
      <c r="M47" s="16" t="n">
        <v>45856</v>
      </c>
      <c r="N47" s="6" t="s">
        <v>104</v>
      </c>
      <c r="O47" s="21" t="s">
        <v>104</v>
      </c>
      <c r="P47" s="6" t="s">
        <v>104</v>
      </c>
      <c r="Q47" s="6" t="s">
        <v>104</v>
      </c>
      <c r="R47" s="6" t="s">
        <v>104</v>
      </c>
      <c r="S47" s="6" t="s">
        <v>104</v>
      </c>
      <c r="T47" s="21" t="s">
        <v>104</v>
      </c>
      <c r="U47" s="6" t="s">
        <v>104</v>
      </c>
      <c r="V47" s="6" t="s">
        <v>104</v>
      </c>
      <c r="W47" s="6" t="s">
        <v>104</v>
      </c>
      <c r="X47" s="6" t="s">
        <v>104</v>
      </c>
      <c r="Y47" s="21" t="s">
        <v>104</v>
      </c>
      <c r="Z47" s="6" t="s">
        <v>104</v>
      </c>
      <c r="AA47" s="6" t="s">
        <v>104</v>
      </c>
      <c r="AB47" s="6" t="s">
        <v>104</v>
      </c>
      <c r="AC47" s="6" t="s">
        <v>9714</v>
      </c>
      <c r="AD47" s="16" t="n">
        <v>45135</v>
      </c>
      <c r="AE47" s="6" t="s">
        <v>10571</v>
      </c>
      <c r="AF47" s="6" t="s">
        <v>104</v>
      </c>
      <c r="AG47" s="6" t="s">
        <v>104</v>
      </c>
      <c r="AH47" s="6" t="s">
        <v>13192</v>
      </c>
      <c r="AI47" s="6" t="s">
        <v>104</v>
      </c>
      <c r="AJ47" s="6" t="s">
        <v>15383</v>
      </c>
      <c r="AK47" s="6" t="s">
        <v>15373</v>
      </c>
      <c r="AL47" s="6" t="s">
        <v>16933</v>
      </c>
      <c r="AM47" s="6" t="s">
        <v>104</v>
      </c>
      <c r="AN47" s="6" t="s">
        <v>104</v>
      </c>
      <c r="AO47" s="6" t="s">
        <v>104</v>
      </c>
      <c r="AP47" s="6" t="s">
        <v>13192</v>
      </c>
      <c r="AQ47" s="6" t="s">
        <v>104</v>
      </c>
      <c r="AR47" s="6" t="s">
        <v>15383</v>
      </c>
      <c r="AS47" s="6" t="s">
        <v>104</v>
      </c>
      <c r="AT47" s="6" t="s">
        <v>16933</v>
      </c>
      <c r="AU47" s="6" t="s">
        <v>104</v>
      </c>
      <c r="AV47" s="6" t="s">
        <v>104</v>
      </c>
      <c r="AW47" s="6" t="s">
        <v>104</v>
      </c>
      <c r="AX47" s="6" t="s">
        <v>20150</v>
      </c>
      <c r="AY47" s="6" t="s">
        <v>21890</v>
      </c>
      <c r="AZ47" s="6" t="s">
        <v>104</v>
      </c>
      <c r="BA47" s="6" t="s">
        <v>24270</v>
      </c>
      <c r="BB47" s="24" t="n">
        <v>0</v>
      </c>
      <c r="BC47" s="26"/>
      <c r="BD47" s="26"/>
      <c r="BE47" s="26"/>
      <c r="BF47" s="26"/>
      <c r="BG47" s="26"/>
      <c r="BH47" s="26"/>
      <c r="BI47" s="26"/>
      <c r="BJ47" s="26"/>
      <c r="BK47" s="26"/>
      <c r="BL47" s="26"/>
      <c r="BM47" s="26"/>
      <c r="BN47" s="26"/>
      <c r="BO47" s="26"/>
      <c r="BP47" s="16" t="n">
        <v>45515</v>
      </c>
      <c r="BQ47" s="28" t="str">
        <f>HYPERLINK("https://organic.ams.usda.gov/Integrity/Certificate.aspx?cid=21&amp;nopid=1780831077")</f>
        <v>https://organic.ams.usda.gov/Integrity/Certificate.aspx?cid=21&amp;nopid=1780831077</v>
      </c>
    </row>
    <row r="48">
      <c r="A48" t="s">
        <v>3</v>
      </c>
      <c r="B48" s="6" t="s">
        <v>30</v>
      </c>
      <c r="C48" s="6" t="s">
        <v>96</v>
      </c>
      <c r="D48" s="6" t="s">
        <v>161</v>
      </c>
      <c r="E48" s="10" t="s">
        <v>246</v>
      </c>
      <c r="F48" s="6" t="s">
        <v>2506</v>
      </c>
      <c r="G48" s="6" t="s">
        <v>104</v>
      </c>
      <c r="H48" s="6" t="s">
        <v>4935</v>
      </c>
      <c r="I48" s="6" t="s">
        <v>104</v>
      </c>
      <c r="J48" s="6" t="s">
        <v>104</v>
      </c>
      <c r="K48" s="6" t="s">
        <v>9714</v>
      </c>
      <c r="L48" s="16" t="n">
        <v>45436</v>
      </c>
      <c r="M48" s="16" t="n">
        <v>45697</v>
      </c>
      <c r="N48" s="6" t="s">
        <v>9714</v>
      </c>
      <c r="O48" s="16" t="n">
        <v>45436</v>
      </c>
      <c r="P48" s="6" t="s">
        <v>9738</v>
      </c>
      <c r="Q48" s="6" t="s">
        <v>104</v>
      </c>
      <c r="R48" s="6" t="s">
        <v>10293</v>
      </c>
      <c r="S48" s="6" t="s">
        <v>104</v>
      </c>
      <c r="T48" s="21" t="s">
        <v>104</v>
      </c>
      <c r="U48" s="6" t="s">
        <v>104</v>
      </c>
      <c r="V48" s="6" t="s">
        <v>104</v>
      </c>
      <c r="W48" s="6" t="s">
        <v>104</v>
      </c>
      <c r="X48" s="6" t="s">
        <v>104</v>
      </c>
      <c r="Y48" s="21" t="s">
        <v>104</v>
      </c>
      <c r="Z48" s="6" t="s">
        <v>104</v>
      </c>
      <c r="AA48" s="6" t="s">
        <v>104</v>
      </c>
      <c r="AB48" s="6" t="s">
        <v>104</v>
      </c>
      <c r="AC48" s="6" t="s">
        <v>9714</v>
      </c>
      <c r="AD48" s="16" t="n">
        <v>45436</v>
      </c>
      <c r="AE48" s="6" t="s">
        <v>10572</v>
      </c>
      <c r="AF48" s="6" t="s">
        <v>104</v>
      </c>
      <c r="AG48" s="6" t="s">
        <v>10293</v>
      </c>
      <c r="AH48" s="6" t="s">
        <v>13193</v>
      </c>
      <c r="AI48" s="6" t="s">
        <v>104</v>
      </c>
      <c r="AJ48" s="6" t="s">
        <v>15392</v>
      </c>
      <c r="AK48" s="6" t="s">
        <v>15383</v>
      </c>
      <c r="AL48" s="6" t="s">
        <v>16933</v>
      </c>
      <c r="AM48" s="6" t="s">
        <v>17019</v>
      </c>
      <c r="AN48" s="6" t="s">
        <v>104</v>
      </c>
      <c r="AO48" s="6" t="s">
        <v>104</v>
      </c>
      <c r="AP48" s="6" t="s">
        <v>13193</v>
      </c>
      <c r="AQ48" s="6" t="s">
        <v>104</v>
      </c>
      <c r="AR48" s="6" t="s">
        <v>15392</v>
      </c>
      <c r="AS48" s="6" t="s">
        <v>15383</v>
      </c>
      <c r="AT48" s="6" t="s">
        <v>16933</v>
      </c>
      <c r="AU48" s="6" t="s">
        <v>17019</v>
      </c>
      <c r="AV48" s="6" t="s">
        <v>104</v>
      </c>
      <c r="AW48" s="6" t="s">
        <v>104</v>
      </c>
      <c r="AX48" s="6" t="s">
        <v>104</v>
      </c>
      <c r="AY48" s="6" t="s">
        <v>21891</v>
      </c>
      <c r="AZ48" s="6" t="s">
        <v>104</v>
      </c>
      <c r="BA48" s="6" t="s">
        <v>104</v>
      </c>
      <c r="BB48" s="24" t="n">
        <v>267</v>
      </c>
      <c r="BC48" s="26"/>
      <c r="BD48" s="26"/>
      <c r="BE48" s="26"/>
      <c r="BF48" s="26"/>
      <c r="BG48" s="26"/>
      <c r="BH48" s="26"/>
      <c r="BI48" s="26"/>
      <c r="BJ48" s="26"/>
      <c r="BK48" s="26"/>
      <c r="BL48" s="26"/>
      <c r="BM48" s="26"/>
      <c r="BN48" s="26"/>
      <c r="BO48" s="26"/>
      <c r="BP48" s="16" t="n">
        <v>45611</v>
      </c>
      <c r="BQ48" s="28" t="str">
        <f>HYPERLINK("https://organic.ams.usda.gov/Integrity/Certificate.aspx?cid=14&amp;nopid=6250042013")</f>
        <v>https://organic.ams.usda.gov/Integrity/Certificate.aspx?cid=14&amp;nopid=6250042013</v>
      </c>
    </row>
    <row r="49">
      <c r="A49" t="s">
        <v>3</v>
      </c>
      <c r="B49" s="6" t="s">
        <v>25</v>
      </c>
      <c r="C49" s="6" t="s">
        <v>91</v>
      </c>
      <c r="D49" s="6" t="s">
        <v>156</v>
      </c>
      <c r="E49" s="10" t="s">
        <v>247</v>
      </c>
      <c r="F49" s="6" t="s">
        <v>2507</v>
      </c>
      <c r="G49" s="6" t="s">
        <v>104</v>
      </c>
      <c r="H49" s="6" t="s">
        <v>4936</v>
      </c>
      <c r="I49" s="6" t="s">
        <v>6939</v>
      </c>
      <c r="J49" s="6" t="s">
        <v>8151</v>
      </c>
      <c r="K49" s="6" t="s">
        <v>9714</v>
      </c>
      <c r="L49" s="16" t="n">
        <v>45499</v>
      </c>
      <c r="M49" s="16" t="n">
        <v>45839</v>
      </c>
      <c r="N49" s="6" t="s">
        <v>104</v>
      </c>
      <c r="O49" s="21" t="s">
        <v>104</v>
      </c>
      <c r="P49" s="6" t="s">
        <v>104</v>
      </c>
      <c r="Q49" s="6" t="s">
        <v>104</v>
      </c>
      <c r="R49" s="6" t="s">
        <v>104</v>
      </c>
      <c r="S49" s="6" t="s">
        <v>104</v>
      </c>
      <c r="T49" s="21" t="s">
        <v>104</v>
      </c>
      <c r="U49" s="6" t="s">
        <v>104</v>
      </c>
      <c r="V49" s="6" t="s">
        <v>104</v>
      </c>
      <c r="W49" s="6" t="s">
        <v>104</v>
      </c>
      <c r="X49" s="6" t="s">
        <v>104</v>
      </c>
      <c r="Y49" s="21" t="s">
        <v>104</v>
      </c>
      <c r="Z49" s="6" t="s">
        <v>104</v>
      </c>
      <c r="AA49" s="6" t="s">
        <v>104</v>
      </c>
      <c r="AB49" s="6" t="s">
        <v>104</v>
      </c>
      <c r="AC49" s="6" t="s">
        <v>9714</v>
      </c>
      <c r="AD49" s="16" t="n">
        <v>45499</v>
      </c>
      <c r="AE49" s="6" t="s">
        <v>10573</v>
      </c>
      <c r="AF49" s="6" t="s">
        <v>104</v>
      </c>
      <c r="AG49" s="6" t="s">
        <v>104</v>
      </c>
      <c r="AH49" s="6" t="s">
        <v>13194</v>
      </c>
      <c r="AI49" s="6" t="s">
        <v>104</v>
      </c>
      <c r="AJ49" s="6" t="s">
        <v>15393</v>
      </c>
      <c r="AK49" s="6" t="s">
        <v>16691</v>
      </c>
      <c r="AL49" s="6" t="s">
        <v>16935</v>
      </c>
      <c r="AM49" s="6" t="s">
        <v>17020</v>
      </c>
      <c r="AN49" s="6" t="s">
        <v>104</v>
      </c>
      <c r="AO49" s="6" t="s">
        <v>104</v>
      </c>
      <c r="AP49" s="6" t="s">
        <v>13194</v>
      </c>
      <c r="AQ49" s="6" t="s">
        <v>104</v>
      </c>
      <c r="AR49" s="6" t="s">
        <v>15393</v>
      </c>
      <c r="AS49" s="6" t="s">
        <v>16691</v>
      </c>
      <c r="AT49" s="6" t="s">
        <v>16935</v>
      </c>
      <c r="AU49" s="6" t="s">
        <v>17020</v>
      </c>
      <c r="AV49" s="6" t="s">
        <v>104</v>
      </c>
      <c r="AW49" s="6" t="s">
        <v>104</v>
      </c>
      <c r="AX49" s="6" t="s">
        <v>20151</v>
      </c>
      <c r="AY49" s="6" t="s">
        <v>21875</v>
      </c>
      <c r="AZ49" s="6" t="s">
        <v>104</v>
      </c>
      <c r="BA49" s="6" t="s">
        <v>104</v>
      </c>
      <c r="BB49" s="6" t="s">
        <v>104</v>
      </c>
      <c r="BC49" s="26"/>
      <c r="BD49" s="26"/>
      <c r="BE49" s="26"/>
      <c r="BF49" s="26"/>
      <c r="BG49" s="26"/>
      <c r="BH49" s="26" t="s">
        <v>24533</v>
      </c>
      <c r="BI49" s="26"/>
      <c r="BJ49" s="26"/>
      <c r="BK49" s="26"/>
      <c r="BL49" s="26"/>
      <c r="BM49" s="26"/>
      <c r="BN49" s="26"/>
      <c r="BO49" s="26"/>
      <c r="BP49" s="16" t="n">
        <v>45499</v>
      </c>
      <c r="BQ49" s="28" t="str">
        <f>HYPERLINK("https://organic.ams.usda.gov/Integrity/Certificate.aspx?cid=66&amp;nopid=5500007268")</f>
        <v>https://organic.ams.usda.gov/Integrity/Certificate.aspx?cid=66&amp;nopid=5500007268</v>
      </c>
    </row>
    <row r="50">
      <c r="A50" t="s">
        <v>3</v>
      </c>
      <c r="B50" s="6" t="s">
        <v>11</v>
      </c>
      <c r="C50" s="6" t="s">
        <v>77</v>
      </c>
      <c r="D50" s="6" t="s">
        <v>142</v>
      </c>
      <c r="E50" s="10" t="s">
        <v>248</v>
      </c>
      <c r="F50" s="6" t="s">
        <v>2508</v>
      </c>
      <c r="G50" s="6" t="s">
        <v>104</v>
      </c>
      <c r="H50" s="6" t="s">
        <v>4937</v>
      </c>
      <c r="I50" s="6" t="s">
        <v>6954</v>
      </c>
      <c r="J50" s="6" t="s">
        <v>8165</v>
      </c>
      <c r="K50" s="6" t="s">
        <v>9714</v>
      </c>
      <c r="L50" s="16" t="n">
        <v>45258</v>
      </c>
      <c r="M50" s="16" t="n">
        <v>45950</v>
      </c>
      <c r="N50" s="6" t="s">
        <v>104</v>
      </c>
      <c r="O50" s="21" t="s">
        <v>104</v>
      </c>
      <c r="P50" s="6" t="s">
        <v>104</v>
      </c>
      <c r="Q50" s="6" t="s">
        <v>104</v>
      </c>
      <c r="R50" s="6" t="s">
        <v>104</v>
      </c>
      <c r="S50" s="6" t="s">
        <v>104</v>
      </c>
      <c r="T50" s="21" t="s">
        <v>104</v>
      </c>
      <c r="U50" s="6" t="s">
        <v>104</v>
      </c>
      <c r="V50" s="6" t="s">
        <v>104</v>
      </c>
      <c r="W50" s="6" t="s">
        <v>104</v>
      </c>
      <c r="X50" s="6" t="s">
        <v>104</v>
      </c>
      <c r="Y50" s="21" t="s">
        <v>104</v>
      </c>
      <c r="Z50" s="6" t="s">
        <v>104</v>
      </c>
      <c r="AA50" s="6" t="s">
        <v>104</v>
      </c>
      <c r="AB50" s="6" t="s">
        <v>104</v>
      </c>
      <c r="AC50" s="6" t="s">
        <v>9714</v>
      </c>
      <c r="AD50" s="16" t="n">
        <v>45258</v>
      </c>
      <c r="AE50" s="6" t="s">
        <v>10574</v>
      </c>
      <c r="AF50" s="6" t="s">
        <v>104</v>
      </c>
      <c r="AG50" s="6" t="s">
        <v>104</v>
      </c>
      <c r="AH50" s="6" t="s">
        <v>13195</v>
      </c>
      <c r="AI50" s="6" t="s">
        <v>15229</v>
      </c>
      <c r="AJ50" s="6" t="s">
        <v>15383</v>
      </c>
      <c r="AK50" s="6" t="s">
        <v>104</v>
      </c>
      <c r="AL50" s="6" t="s">
        <v>16933</v>
      </c>
      <c r="AM50" s="6" t="s">
        <v>104</v>
      </c>
      <c r="AN50" s="6" t="s">
        <v>104</v>
      </c>
      <c r="AO50" s="6" t="s">
        <v>104</v>
      </c>
      <c r="AP50" s="6" t="s">
        <v>13195</v>
      </c>
      <c r="AQ50" s="6" t="s">
        <v>15229</v>
      </c>
      <c r="AR50" s="6" t="s">
        <v>15383</v>
      </c>
      <c r="AS50" s="6" t="s">
        <v>104</v>
      </c>
      <c r="AT50" s="6" t="s">
        <v>16933</v>
      </c>
      <c r="AU50" s="6" t="s">
        <v>104</v>
      </c>
      <c r="AV50" s="6" t="s">
        <v>104</v>
      </c>
      <c r="AW50" s="6" t="s">
        <v>104</v>
      </c>
      <c r="AX50" s="6" t="s">
        <v>20152</v>
      </c>
      <c r="AY50" s="6" t="s">
        <v>21892</v>
      </c>
      <c r="AZ50" s="6" t="s">
        <v>104</v>
      </c>
      <c r="BA50" s="6" t="s">
        <v>24271</v>
      </c>
      <c r="BB50" s="24" t="n">
        <v>0</v>
      </c>
      <c r="BC50" s="26"/>
      <c r="BD50" s="26"/>
      <c r="BE50" s="26"/>
      <c r="BF50" s="26"/>
      <c r="BG50" s="26"/>
      <c r="BH50" s="26"/>
      <c r="BI50" s="26"/>
      <c r="BJ50" s="26"/>
      <c r="BK50" s="26"/>
      <c r="BL50" s="26"/>
      <c r="BM50" s="26"/>
      <c r="BN50" s="26"/>
      <c r="BO50" s="26"/>
      <c r="BP50" s="16" t="n">
        <v>45674</v>
      </c>
      <c r="BQ50" s="28" t="str">
        <f>HYPERLINK("https://organic.ams.usda.gov/Integrity/Certificate.aspx?cid=21&amp;nopid=1780898964")</f>
        <v>https://organic.ams.usda.gov/Integrity/Certificate.aspx?cid=21&amp;nopid=1780898964</v>
      </c>
    </row>
    <row r="51">
      <c r="A51" t="s">
        <v>3</v>
      </c>
      <c r="B51" s="6" t="s">
        <v>31</v>
      </c>
      <c r="C51" s="6" t="s">
        <v>97</v>
      </c>
      <c r="D51" s="6" t="s">
        <v>162</v>
      </c>
      <c r="E51" s="10" t="s">
        <v>249</v>
      </c>
      <c r="F51" s="6" t="s">
        <v>2509</v>
      </c>
      <c r="G51" s="6" t="s">
        <v>104</v>
      </c>
      <c r="H51" s="6" t="s">
        <v>4938</v>
      </c>
      <c r="I51" s="6" t="s">
        <v>6955</v>
      </c>
      <c r="J51" s="6" t="s">
        <v>8166</v>
      </c>
      <c r="K51" s="6" t="s">
        <v>9714</v>
      </c>
      <c r="L51" s="16" t="n">
        <v>44147</v>
      </c>
      <c r="M51" s="16" t="n">
        <v>45607</v>
      </c>
      <c r="N51" s="6" t="s">
        <v>104</v>
      </c>
      <c r="O51" s="21" t="s">
        <v>104</v>
      </c>
      <c r="P51" s="6" t="s">
        <v>104</v>
      </c>
      <c r="Q51" s="6" t="s">
        <v>104</v>
      </c>
      <c r="R51" s="6" t="s">
        <v>104</v>
      </c>
      <c r="S51" s="6" t="s">
        <v>104</v>
      </c>
      <c r="T51" s="21" t="s">
        <v>104</v>
      </c>
      <c r="U51" s="6" t="s">
        <v>104</v>
      </c>
      <c r="V51" s="6" t="s">
        <v>104</v>
      </c>
      <c r="W51" s="6" t="s">
        <v>104</v>
      </c>
      <c r="X51" s="6" t="s">
        <v>104</v>
      </c>
      <c r="Y51" s="21" t="s">
        <v>104</v>
      </c>
      <c r="Z51" s="6" t="s">
        <v>104</v>
      </c>
      <c r="AA51" s="6" t="s">
        <v>104</v>
      </c>
      <c r="AB51" s="6" t="s">
        <v>104</v>
      </c>
      <c r="AC51" s="6" t="s">
        <v>9714</v>
      </c>
      <c r="AD51" s="16" t="n">
        <v>44147</v>
      </c>
      <c r="AE51" s="6" t="s">
        <v>10575</v>
      </c>
      <c r="AF51" s="6" t="s">
        <v>104</v>
      </c>
      <c r="AG51" s="6" t="s">
        <v>12499</v>
      </c>
      <c r="AH51" s="6" t="s">
        <v>13196</v>
      </c>
      <c r="AI51" s="6" t="s">
        <v>104</v>
      </c>
      <c r="AJ51" s="6" t="s">
        <v>15394</v>
      </c>
      <c r="AK51" s="6" t="s">
        <v>15748</v>
      </c>
      <c r="AL51" s="6" t="s">
        <v>16898</v>
      </c>
      <c r="AM51" s="6" t="s">
        <v>104</v>
      </c>
      <c r="AN51" s="6" t="s">
        <v>104</v>
      </c>
      <c r="AO51" s="6" t="s">
        <v>104</v>
      </c>
      <c r="AP51" s="6" t="s">
        <v>18960</v>
      </c>
      <c r="AQ51" s="6" t="s">
        <v>104</v>
      </c>
      <c r="AR51" s="6" t="s">
        <v>15748</v>
      </c>
      <c r="AS51" s="6" t="s">
        <v>19789</v>
      </c>
      <c r="AT51" s="6" t="s">
        <v>16898</v>
      </c>
      <c r="AU51" s="6" t="s">
        <v>104</v>
      </c>
      <c r="AV51" s="6" t="s">
        <v>104</v>
      </c>
      <c r="AW51" s="6" t="s">
        <v>104</v>
      </c>
      <c r="AX51" s="6" t="s">
        <v>20153</v>
      </c>
      <c r="AY51" s="6" t="s">
        <v>21893</v>
      </c>
      <c r="AZ51" s="6" t="s">
        <v>104</v>
      </c>
      <c r="BA51" s="6" t="s">
        <v>104</v>
      </c>
      <c r="BB51" s="6" t="s">
        <v>104</v>
      </c>
      <c r="BC51" s="26"/>
      <c r="BD51" s="26"/>
      <c r="BE51" s="26"/>
      <c r="BF51" s="26"/>
      <c r="BG51" s="26"/>
      <c r="BH51" s="26"/>
      <c r="BI51" s="26"/>
      <c r="BJ51" s="26"/>
      <c r="BK51" s="26"/>
      <c r="BL51" s="26"/>
      <c r="BM51" s="26"/>
      <c r="BN51" s="26"/>
      <c r="BO51" s="26"/>
      <c r="BP51" s="16" t="n">
        <v>45367</v>
      </c>
      <c r="BQ51" s="28" t="str">
        <f>HYPERLINK("https://organic.ams.usda.gov/Integrity/Certificate.aspx?cid=43&amp;nopid=3532021087")</f>
        <v>https://organic.ams.usda.gov/Integrity/Certificate.aspx?cid=43&amp;nopid=3532021087</v>
      </c>
    </row>
    <row r="52">
      <c r="A52" t="s">
        <v>3</v>
      </c>
      <c r="B52" s="6" t="s">
        <v>28</v>
      </c>
      <c r="C52" s="6" t="s">
        <v>94</v>
      </c>
      <c r="D52" s="6" t="s">
        <v>159</v>
      </c>
      <c r="E52" s="10" t="s">
        <v>250</v>
      </c>
      <c r="F52" s="6" t="s">
        <v>2510</v>
      </c>
      <c r="G52" s="6" t="s">
        <v>104</v>
      </c>
      <c r="H52" s="6" t="s">
        <v>4939</v>
      </c>
      <c r="I52" s="6" t="s">
        <v>6956</v>
      </c>
      <c r="J52" s="6" t="s">
        <v>8167</v>
      </c>
      <c r="K52" s="6" t="s">
        <v>9714</v>
      </c>
      <c r="L52" s="16" t="n">
        <v>44414</v>
      </c>
      <c r="M52" s="16" t="n">
        <v>45748</v>
      </c>
      <c r="N52" s="6" t="s">
        <v>9714</v>
      </c>
      <c r="O52" s="16" t="n">
        <v>44414</v>
      </c>
      <c r="P52" s="6" t="s">
        <v>9739</v>
      </c>
      <c r="Q52" s="6" t="s">
        <v>104</v>
      </c>
      <c r="R52" s="6" t="s">
        <v>10294</v>
      </c>
      <c r="S52" s="6" t="s">
        <v>104</v>
      </c>
      <c r="T52" s="21" t="s">
        <v>104</v>
      </c>
      <c r="U52" s="6" t="s">
        <v>104</v>
      </c>
      <c r="V52" s="6" t="s">
        <v>104</v>
      </c>
      <c r="W52" s="6" t="s">
        <v>104</v>
      </c>
      <c r="X52" s="6" t="s">
        <v>104</v>
      </c>
      <c r="Y52" s="21" t="s">
        <v>104</v>
      </c>
      <c r="Z52" s="6" t="s">
        <v>104</v>
      </c>
      <c r="AA52" s="6" t="s">
        <v>104</v>
      </c>
      <c r="AB52" s="6" t="s">
        <v>104</v>
      </c>
      <c r="AC52" s="6" t="s">
        <v>9714</v>
      </c>
      <c r="AD52" s="16" t="n">
        <v>44414</v>
      </c>
      <c r="AE52" s="6" t="s">
        <v>10576</v>
      </c>
      <c r="AF52" s="6" t="s">
        <v>104</v>
      </c>
      <c r="AG52" s="6" t="s">
        <v>10294</v>
      </c>
      <c r="AH52" s="6" t="s">
        <v>13197</v>
      </c>
      <c r="AI52" s="6" t="s">
        <v>104</v>
      </c>
      <c r="AJ52" s="6" t="s">
        <v>15395</v>
      </c>
      <c r="AK52" s="6" t="s">
        <v>104</v>
      </c>
      <c r="AL52" s="6" t="s">
        <v>16938</v>
      </c>
      <c r="AM52" s="6" t="s">
        <v>17021</v>
      </c>
      <c r="AN52" s="6" t="s">
        <v>104</v>
      </c>
      <c r="AO52" s="6" t="s">
        <v>104</v>
      </c>
      <c r="AP52" s="6" t="s">
        <v>104</v>
      </c>
      <c r="AQ52" s="6" t="s">
        <v>104</v>
      </c>
      <c r="AR52" s="6" t="s">
        <v>104</v>
      </c>
      <c r="AS52" s="6" t="s">
        <v>104</v>
      </c>
      <c r="AT52" s="6" t="s">
        <v>104</v>
      </c>
      <c r="AU52" s="6" t="s">
        <v>104</v>
      </c>
      <c r="AV52" s="6" t="s">
        <v>104</v>
      </c>
      <c r="AW52" s="6" t="s">
        <v>104</v>
      </c>
      <c r="AX52" s="6" t="s">
        <v>20154</v>
      </c>
      <c r="AY52" s="6" t="s">
        <v>21894</v>
      </c>
      <c r="AZ52" s="6" t="s">
        <v>23697</v>
      </c>
      <c r="BA52" s="6" t="s">
        <v>104</v>
      </c>
      <c r="BB52" s="24" t="n">
        <v>15903</v>
      </c>
      <c r="BC52" s="26"/>
      <c r="BD52" s="26"/>
      <c r="BE52" s="26"/>
      <c r="BF52" s="26"/>
      <c r="BG52" s="26"/>
      <c r="BH52" s="26"/>
      <c r="BI52" s="26"/>
      <c r="BJ52" s="26"/>
      <c r="BK52" s="26"/>
      <c r="BL52" s="26"/>
      <c r="BM52" s="26"/>
      <c r="BN52" s="26"/>
      <c r="BO52" s="26"/>
      <c r="BP52" s="16" t="n">
        <v>45684</v>
      </c>
      <c r="BQ52" s="28" t="str">
        <f>HYPERLINK("https://organic.ams.usda.gov/Integrity/Certificate.aspx?cid=11&amp;nopid=4791502970")</f>
        <v>https://organic.ams.usda.gov/Integrity/Certificate.aspx?cid=11&amp;nopid=4791502970</v>
      </c>
    </row>
    <row r="53">
      <c r="A53" t="s">
        <v>3</v>
      </c>
      <c r="B53" s="6" t="s">
        <v>11</v>
      </c>
      <c r="C53" s="6" t="s">
        <v>77</v>
      </c>
      <c r="D53" s="6" t="s">
        <v>142</v>
      </c>
      <c r="E53" s="10" t="s">
        <v>251</v>
      </c>
      <c r="F53" s="6" t="s">
        <v>2511</v>
      </c>
      <c r="G53" s="6" t="s">
        <v>104</v>
      </c>
      <c r="H53" s="6" t="s">
        <v>104</v>
      </c>
      <c r="I53" s="6" t="s">
        <v>6957</v>
      </c>
      <c r="J53" s="6" t="s">
        <v>8168</v>
      </c>
      <c r="K53" s="6" t="s">
        <v>9714</v>
      </c>
      <c r="L53" s="16" t="n">
        <v>41831</v>
      </c>
      <c r="M53" s="16" t="n">
        <v>45957</v>
      </c>
      <c r="N53" s="6" t="s">
        <v>104</v>
      </c>
      <c r="O53" s="21" t="s">
        <v>104</v>
      </c>
      <c r="P53" s="6" t="s">
        <v>104</v>
      </c>
      <c r="Q53" s="6" t="s">
        <v>104</v>
      </c>
      <c r="R53" s="6" t="s">
        <v>104</v>
      </c>
      <c r="S53" s="6" t="s">
        <v>104</v>
      </c>
      <c r="T53" s="21" t="s">
        <v>104</v>
      </c>
      <c r="U53" s="6" t="s">
        <v>104</v>
      </c>
      <c r="V53" s="6" t="s">
        <v>104</v>
      </c>
      <c r="W53" s="6" t="s">
        <v>104</v>
      </c>
      <c r="X53" s="6" t="s">
        <v>104</v>
      </c>
      <c r="Y53" s="21" t="s">
        <v>104</v>
      </c>
      <c r="Z53" s="6" t="s">
        <v>104</v>
      </c>
      <c r="AA53" s="6" t="s">
        <v>104</v>
      </c>
      <c r="AB53" s="6" t="s">
        <v>104</v>
      </c>
      <c r="AC53" s="6" t="s">
        <v>9714</v>
      </c>
      <c r="AD53" s="16" t="n">
        <v>41831</v>
      </c>
      <c r="AE53" s="6" t="s">
        <v>10577</v>
      </c>
      <c r="AF53" s="6" t="s">
        <v>104</v>
      </c>
      <c r="AG53" s="6" t="s">
        <v>104</v>
      </c>
      <c r="AH53" s="6" t="s">
        <v>13198</v>
      </c>
      <c r="AI53" s="6" t="s">
        <v>104</v>
      </c>
      <c r="AJ53" s="6" t="s">
        <v>15383</v>
      </c>
      <c r="AK53" s="6" t="s">
        <v>104</v>
      </c>
      <c r="AL53" s="6" t="s">
        <v>16933</v>
      </c>
      <c r="AM53" s="6" t="s">
        <v>104</v>
      </c>
      <c r="AN53" s="6" t="s">
        <v>104</v>
      </c>
      <c r="AO53" s="6" t="s">
        <v>104</v>
      </c>
      <c r="AP53" s="6" t="s">
        <v>104</v>
      </c>
      <c r="AQ53" s="6" t="s">
        <v>104</v>
      </c>
      <c r="AR53" s="6" t="s">
        <v>104</v>
      </c>
      <c r="AS53" s="6" t="s">
        <v>104</v>
      </c>
      <c r="AT53" s="6" t="s">
        <v>104</v>
      </c>
      <c r="AU53" s="6" t="s">
        <v>104</v>
      </c>
      <c r="AV53" s="6" t="s">
        <v>104</v>
      </c>
      <c r="AW53" s="6" t="s">
        <v>104</v>
      </c>
      <c r="AX53" s="6" t="s">
        <v>20155</v>
      </c>
      <c r="AY53" s="6" t="s">
        <v>21895</v>
      </c>
      <c r="AZ53" s="6" t="s">
        <v>104</v>
      </c>
      <c r="BA53" s="6" t="s">
        <v>104</v>
      </c>
      <c r="BB53" s="6" t="s">
        <v>104</v>
      </c>
      <c r="BC53" s="26"/>
      <c r="BD53" s="26"/>
      <c r="BE53" s="26"/>
      <c r="BF53" s="26"/>
      <c r="BG53" s="26"/>
      <c r="BH53" s="26"/>
      <c r="BI53" s="26"/>
      <c r="BJ53" s="26"/>
      <c r="BK53" s="26"/>
      <c r="BL53" s="26"/>
      <c r="BM53" s="26"/>
      <c r="BN53" s="26"/>
      <c r="BO53" s="26"/>
      <c r="BP53" s="16" t="n">
        <v>45665</v>
      </c>
      <c r="BQ53" s="28" t="str">
        <f>HYPERLINK("https://organic.ams.usda.gov/Integrity/Certificate.aspx?cid=21&amp;nopid=1780832494")</f>
        <v>https://organic.ams.usda.gov/Integrity/Certificate.aspx?cid=21&amp;nopid=1780832494</v>
      </c>
    </row>
    <row r="54">
      <c r="A54" t="s">
        <v>3</v>
      </c>
      <c r="B54" s="6" t="s">
        <v>14</v>
      </c>
      <c r="C54" s="6" t="s">
        <v>80</v>
      </c>
      <c r="D54" s="6" t="s">
        <v>145</v>
      </c>
      <c r="E54" s="10" t="s">
        <v>252</v>
      </c>
      <c r="F54" s="6" t="s">
        <v>2512</v>
      </c>
      <c r="G54" s="6" t="s">
        <v>104</v>
      </c>
      <c r="H54" s="6" t="s">
        <v>4940</v>
      </c>
      <c r="I54" s="6" t="s">
        <v>6958</v>
      </c>
      <c r="J54" s="6" t="s">
        <v>8169</v>
      </c>
      <c r="K54" s="6" t="s">
        <v>9714</v>
      </c>
      <c r="L54" s="16" t="n">
        <v>45701</v>
      </c>
      <c r="M54" s="16" t="n">
        <v>45983</v>
      </c>
      <c r="N54" s="6" t="s">
        <v>104</v>
      </c>
      <c r="O54" s="21" t="s">
        <v>104</v>
      </c>
      <c r="P54" s="6" t="s">
        <v>104</v>
      </c>
      <c r="Q54" s="6" t="s">
        <v>104</v>
      </c>
      <c r="R54" s="6" t="s">
        <v>104</v>
      </c>
      <c r="S54" s="6" t="s">
        <v>104</v>
      </c>
      <c r="T54" s="21" t="s">
        <v>104</v>
      </c>
      <c r="U54" s="6" t="s">
        <v>104</v>
      </c>
      <c r="V54" s="6" t="s">
        <v>104</v>
      </c>
      <c r="W54" s="6" t="s">
        <v>104</v>
      </c>
      <c r="X54" s="6" t="s">
        <v>104</v>
      </c>
      <c r="Y54" s="21" t="s">
        <v>104</v>
      </c>
      <c r="Z54" s="6" t="s">
        <v>104</v>
      </c>
      <c r="AA54" s="6" t="s">
        <v>104</v>
      </c>
      <c r="AB54" s="6" t="s">
        <v>104</v>
      </c>
      <c r="AC54" s="6" t="s">
        <v>9714</v>
      </c>
      <c r="AD54" s="16" t="n">
        <v>45701</v>
      </c>
      <c r="AE54" s="6" t="s">
        <v>10578</v>
      </c>
      <c r="AF54" s="6" t="s">
        <v>104</v>
      </c>
      <c r="AG54" s="6" t="s">
        <v>104</v>
      </c>
      <c r="AH54" s="6" t="s">
        <v>13199</v>
      </c>
      <c r="AI54" s="6" t="s">
        <v>104</v>
      </c>
      <c r="AJ54" s="6" t="s">
        <v>15396</v>
      </c>
      <c r="AK54" s="6" t="s">
        <v>16697</v>
      </c>
      <c r="AL54" s="6" t="s">
        <v>16932</v>
      </c>
      <c r="AM54" s="6" t="s">
        <v>17022</v>
      </c>
      <c r="AN54" s="6" t="s">
        <v>104</v>
      </c>
      <c r="AO54" s="6" t="s">
        <v>104</v>
      </c>
      <c r="AP54" s="6" t="s">
        <v>104</v>
      </c>
      <c r="AQ54" s="6" t="s">
        <v>104</v>
      </c>
      <c r="AR54" s="6" t="s">
        <v>104</v>
      </c>
      <c r="AS54" s="6" t="s">
        <v>104</v>
      </c>
      <c r="AT54" s="6" t="s">
        <v>104</v>
      </c>
      <c r="AU54" s="6" t="s">
        <v>104</v>
      </c>
      <c r="AV54" s="6" t="s">
        <v>104</v>
      </c>
      <c r="AW54" s="6" t="s">
        <v>104</v>
      </c>
      <c r="AX54" s="6" t="s">
        <v>20156</v>
      </c>
      <c r="AY54" s="6" t="s">
        <v>21896</v>
      </c>
      <c r="AZ54" s="6" t="s">
        <v>104</v>
      </c>
      <c r="BA54" s="6" t="s">
        <v>24272</v>
      </c>
      <c r="BB54" s="6" t="s">
        <v>104</v>
      </c>
      <c r="BC54" s="26"/>
      <c r="BD54" s="26"/>
      <c r="BE54" s="26"/>
      <c r="BF54" s="26"/>
      <c r="BG54" s="26"/>
      <c r="BH54" s="26" t="s">
        <v>24533</v>
      </c>
      <c r="BI54" s="26"/>
      <c r="BJ54" s="26"/>
      <c r="BK54" s="26"/>
      <c r="BL54" s="26"/>
      <c r="BM54" s="26"/>
      <c r="BN54" s="26"/>
      <c r="BO54" s="26"/>
      <c r="BP54" s="16" t="n">
        <v>45701</v>
      </c>
      <c r="BQ54" s="28" t="str">
        <f>HYPERLINK("https://organic.ams.usda.gov/Integrity/Certificate.aspx?cid=89&amp;nopid=4920007194")</f>
        <v>https://organic.ams.usda.gov/Integrity/Certificate.aspx?cid=89&amp;nopid=4920007194</v>
      </c>
    </row>
    <row r="55">
      <c r="A55" t="s">
        <v>3</v>
      </c>
      <c r="B55" s="6" t="s">
        <v>29</v>
      </c>
      <c r="C55" s="6" t="s">
        <v>95</v>
      </c>
      <c r="D55" s="6" t="s">
        <v>160</v>
      </c>
      <c r="E55" s="10" t="s">
        <v>253</v>
      </c>
      <c r="F55" s="6" t="s">
        <v>2513</v>
      </c>
      <c r="G55" s="6" t="s">
        <v>104</v>
      </c>
      <c r="H55" s="6" t="s">
        <v>4941</v>
      </c>
      <c r="I55" s="6" t="s">
        <v>104</v>
      </c>
      <c r="J55" s="6" t="s">
        <v>8170</v>
      </c>
      <c r="K55" s="6" t="s">
        <v>9714</v>
      </c>
      <c r="L55" s="16" t="n">
        <v>44580</v>
      </c>
      <c r="M55" s="16" t="n">
        <v>45870</v>
      </c>
      <c r="N55" s="6" t="s">
        <v>9714</v>
      </c>
      <c r="O55" s="16" t="n">
        <v>44580</v>
      </c>
      <c r="P55" s="6" t="s">
        <v>9740</v>
      </c>
      <c r="Q55" s="6" t="s">
        <v>104</v>
      </c>
      <c r="R55" s="6" t="s">
        <v>104</v>
      </c>
      <c r="S55" s="6" t="s">
        <v>104</v>
      </c>
      <c r="T55" s="21" t="s">
        <v>104</v>
      </c>
      <c r="U55" s="6" t="s">
        <v>104</v>
      </c>
      <c r="V55" s="6" t="s">
        <v>104</v>
      </c>
      <c r="W55" s="6" t="s">
        <v>104</v>
      </c>
      <c r="X55" s="6" t="s">
        <v>104</v>
      </c>
      <c r="Y55" s="21" t="s">
        <v>104</v>
      </c>
      <c r="Z55" s="6" t="s">
        <v>104</v>
      </c>
      <c r="AA55" s="6" t="s">
        <v>104</v>
      </c>
      <c r="AB55" s="6" t="s">
        <v>104</v>
      </c>
      <c r="AC55" s="6" t="s">
        <v>9714</v>
      </c>
      <c r="AD55" s="16" t="n">
        <v>44580</v>
      </c>
      <c r="AE55" s="6" t="s">
        <v>10245</v>
      </c>
      <c r="AF55" s="6" t="s">
        <v>104</v>
      </c>
      <c r="AG55" s="6" t="s">
        <v>104</v>
      </c>
      <c r="AH55" s="6" t="s">
        <v>13200</v>
      </c>
      <c r="AI55" s="6" t="s">
        <v>104</v>
      </c>
      <c r="AJ55" s="6" t="s">
        <v>104</v>
      </c>
      <c r="AK55" s="6" t="s">
        <v>16467</v>
      </c>
      <c r="AL55" s="6" t="s">
        <v>16933</v>
      </c>
      <c r="AM55" s="6" t="s">
        <v>104</v>
      </c>
      <c r="AN55" s="6" t="s">
        <v>104</v>
      </c>
      <c r="AO55" s="6" t="s">
        <v>104</v>
      </c>
      <c r="AP55" s="6" t="s">
        <v>104</v>
      </c>
      <c r="AQ55" s="6" t="s">
        <v>104</v>
      </c>
      <c r="AR55" s="6" t="s">
        <v>104</v>
      </c>
      <c r="AS55" s="6" t="s">
        <v>104</v>
      </c>
      <c r="AT55" s="6" t="s">
        <v>104</v>
      </c>
      <c r="AU55" s="6" t="s">
        <v>104</v>
      </c>
      <c r="AV55" s="6" t="s">
        <v>104</v>
      </c>
      <c r="AW55" s="6" t="s">
        <v>104</v>
      </c>
      <c r="AX55" s="6" t="s">
        <v>20157</v>
      </c>
      <c r="AY55" s="6" t="s">
        <v>21897</v>
      </c>
      <c r="AZ55" s="6" t="s">
        <v>104</v>
      </c>
      <c r="BA55" s="6" t="s">
        <v>104</v>
      </c>
      <c r="BB55" s="24" t="n">
        <v>14705</v>
      </c>
      <c r="BC55" s="26"/>
      <c r="BD55" s="26"/>
      <c r="BE55" s="26"/>
      <c r="BF55" s="26"/>
      <c r="BG55" s="26"/>
      <c r="BH55" s="26"/>
      <c r="BI55" s="26"/>
      <c r="BJ55" s="26"/>
      <c r="BK55" s="26"/>
      <c r="BL55" s="26"/>
      <c r="BM55" s="26"/>
      <c r="BN55" s="26" t="s">
        <v>24533</v>
      </c>
      <c r="BO55" s="26" t="s">
        <v>24533</v>
      </c>
      <c r="BP55" s="16" t="n">
        <v>45557</v>
      </c>
      <c r="BQ55" s="28" t="str">
        <f>HYPERLINK("https://organic.ams.usda.gov/Integrity/Certificate.aspx?cid=24&amp;nopid=7880255357")</f>
        <v>https://organic.ams.usda.gov/Integrity/Certificate.aspx?cid=24&amp;nopid=7880255357</v>
      </c>
    </row>
    <row r="56">
      <c r="A56" t="s">
        <v>3</v>
      </c>
      <c r="B56" s="6" t="s">
        <v>11</v>
      </c>
      <c r="C56" s="6" t="s">
        <v>77</v>
      </c>
      <c r="D56" s="6" t="s">
        <v>142</v>
      </c>
      <c r="E56" s="10" t="s">
        <v>254</v>
      </c>
      <c r="F56" s="6" t="s">
        <v>2514</v>
      </c>
      <c r="G56" s="6" t="s">
        <v>104</v>
      </c>
      <c r="H56" s="6" t="s">
        <v>104</v>
      </c>
      <c r="I56" s="6" t="s">
        <v>6959</v>
      </c>
      <c r="J56" s="6" t="s">
        <v>8171</v>
      </c>
      <c r="K56" s="6" t="s">
        <v>9714</v>
      </c>
      <c r="L56" s="16" t="n">
        <v>40032</v>
      </c>
      <c r="M56" s="16" t="n">
        <v>45946</v>
      </c>
      <c r="N56" s="6" t="s">
        <v>104</v>
      </c>
      <c r="O56" s="21" t="s">
        <v>104</v>
      </c>
      <c r="P56" s="6" t="s">
        <v>104</v>
      </c>
      <c r="Q56" s="6" t="s">
        <v>104</v>
      </c>
      <c r="R56" s="6" t="s">
        <v>104</v>
      </c>
      <c r="S56" s="6" t="s">
        <v>104</v>
      </c>
      <c r="T56" s="21" t="s">
        <v>104</v>
      </c>
      <c r="U56" s="6" t="s">
        <v>104</v>
      </c>
      <c r="V56" s="6" t="s">
        <v>104</v>
      </c>
      <c r="W56" s="6" t="s">
        <v>104</v>
      </c>
      <c r="X56" s="6" t="s">
        <v>104</v>
      </c>
      <c r="Y56" s="21" t="s">
        <v>104</v>
      </c>
      <c r="Z56" s="6" t="s">
        <v>104</v>
      </c>
      <c r="AA56" s="6" t="s">
        <v>104</v>
      </c>
      <c r="AB56" s="6" t="s">
        <v>104</v>
      </c>
      <c r="AC56" s="6" t="s">
        <v>9714</v>
      </c>
      <c r="AD56" s="16" t="n">
        <v>40032</v>
      </c>
      <c r="AE56" s="6" t="s">
        <v>10579</v>
      </c>
      <c r="AF56" s="6" t="s">
        <v>104</v>
      </c>
      <c r="AG56" s="6" t="s">
        <v>104</v>
      </c>
      <c r="AH56" s="6" t="s">
        <v>13201</v>
      </c>
      <c r="AI56" s="6" t="s">
        <v>104</v>
      </c>
      <c r="AJ56" s="6" t="s">
        <v>15391</v>
      </c>
      <c r="AK56" s="6" t="s">
        <v>15391</v>
      </c>
      <c r="AL56" s="6" t="s">
        <v>16933</v>
      </c>
      <c r="AM56" s="6" t="s">
        <v>104</v>
      </c>
      <c r="AN56" s="6" t="s">
        <v>104</v>
      </c>
      <c r="AO56" s="6" t="s">
        <v>104</v>
      </c>
      <c r="AP56" s="6" t="s">
        <v>18961</v>
      </c>
      <c r="AQ56" s="6" t="s">
        <v>104</v>
      </c>
      <c r="AR56" s="6" t="s">
        <v>15391</v>
      </c>
      <c r="AS56" s="6" t="s">
        <v>104</v>
      </c>
      <c r="AT56" s="6" t="s">
        <v>16933</v>
      </c>
      <c r="AU56" s="6" t="s">
        <v>104</v>
      </c>
      <c r="AV56" s="6" t="s">
        <v>104</v>
      </c>
      <c r="AW56" s="6" t="s">
        <v>104</v>
      </c>
      <c r="AX56" s="6" t="s">
        <v>20158</v>
      </c>
      <c r="AY56" s="6" t="s">
        <v>21898</v>
      </c>
      <c r="AZ56" s="6" t="s">
        <v>104</v>
      </c>
      <c r="BA56" s="6" t="s">
        <v>104</v>
      </c>
      <c r="BB56" s="24" t="n">
        <v>0</v>
      </c>
      <c r="BC56" s="26"/>
      <c r="BD56" s="26"/>
      <c r="BE56" s="26"/>
      <c r="BF56" s="26"/>
      <c r="BG56" s="26"/>
      <c r="BH56" s="26"/>
      <c r="BI56" s="26"/>
      <c r="BJ56" s="26"/>
      <c r="BK56" s="26"/>
      <c r="BL56" s="26"/>
      <c r="BM56" s="26"/>
      <c r="BN56" s="26"/>
      <c r="BO56" s="26"/>
      <c r="BP56" s="16" t="n">
        <v>45610</v>
      </c>
      <c r="BQ56" s="28" t="str">
        <f>HYPERLINK("https://organic.ams.usda.gov/Integrity/Certificate.aspx?cid=21&amp;nopid=1780812626")</f>
        <v>https://organic.ams.usda.gov/Integrity/Certificate.aspx?cid=21&amp;nopid=1780812626</v>
      </c>
    </row>
    <row r="57">
      <c r="A57" t="s">
        <v>3</v>
      </c>
      <c r="B57" s="6" t="s">
        <v>11</v>
      </c>
      <c r="C57" s="6" t="s">
        <v>77</v>
      </c>
      <c r="D57" s="6" t="s">
        <v>142</v>
      </c>
      <c r="E57" s="10" t="s">
        <v>255</v>
      </c>
      <c r="F57" s="6" t="s">
        <v>2515</v>
      </c>
      <c r="G57" s="6" t="s">
        <v>104</v>
      </c>
      <c r="H57" s="6" t="s">
        <v>104</v>
      </c>
      <c r="I57" s="6" t="s">
        <v>6960</v>
      </c>
      <c r="J57" s="6" t="s">
        <v>8172</v>
      </c>
      <c r="K57" s="6" t="s">
        <v>9714</v>
      </c>
      <c r="L57" s="16" t="n">
        <v>43798</v>
      </c>
      <c r="M57" s="16" t="n">
        <v>45762</v>
      </c>
      <c r="N57" s="6" t="s">
        <v>9714</v>
      </c>
      <c r="O57" s="16" t="n">
        <v>43798</v>
      </c>
      <c r="P57" s="6" t="s">
        <v>9741</v>
      </c>
      <c r="Q57" s="6" t="s">
        <v>104</v>
      </c>
      <c r="R57" s="6" t="s">
        <v>104</v>
      </c>
      <c r="S57" s="6" t="s">
        <v>104</v>
      </c>
      <c r="T57" s="21" t="s">
        <v>104</v>
      </c>
      <c r="U57" s="6" t="s">
        <v>104</v>
      </c>
      <c r="V57" s="6" t="s">
        <v>104</v>
      </c>
      <c r="W57" s="6" t="s">
        <v>104</v>
      </c>
      <c r="X57" s="6" t="s">
        <v>104</v>
      </c>
      <c r="Y57" s="21" t="s">
        <v>104</v>
      </c>
      <c r="Z57" s="6" t="s">
        <v>104</v>
      </c>
      <c r="AA57" s="6" t="s">
        <v>104</v>
      </c>
      <c r="AB57" s="6" t="s">
        <v>104</v>
      </c>
      <c r="AC57" s="6" t="s">
        <v>9714</v>
      </c>
      <c r="AD57" s="16" t="n">
        <v>43798</v>
      </c>
      <c r="AE57" s="6" t="s">
        <v>10580</v>
      </c>
      <c r="AF57" s="6" t="s">
        <v>104</v>
      </c>
      <c r="AG57" s="6" t="s">
        <v>104</v>
      </c>
      <c r="AH57" s="6" t="s">
        <v>13202</v>
      </c>
      <c r="AI57" s="6" t="s">
        <v>104</v>
      </c>
      <c r="AJ57" s="6" t="s">
        <v>15397</v>
      </c>
      <c r="AK57" s="6" t="s">
        <v>16698</v>
      </c>
      <c r="AL57" s="6" t="s">
        <v>16938</v>
      </c>
      <c r="AM57" s="6" t="s">
        <v>17023</v>
      </c>
      <c r="AN57" s="6" t="s">
        <v>104</v>
      </c>
      <c r="AO57" s="6" t="s">
        <v>104</v>
      </c>
      <c r="AP57" s="6" t="s">
        <v>104</v>
      </c>
      <c r="AQ57" s="6" t="s">
        <v>104</v>
      </c>
      <c r="AR57" s="6" t="s">
        <v>104</v>
      </c>
      <c r="AS57" s="6" t="s">
        <v>104</v>
      </c>
      <c r="AT57" s="6" t="s">
        <v>104</v>
      </c>
      <c r="AU57" s="6" t="s">
        <v>104</v>
      </c>
      <c r="AV57" s="6" t="s">
        <v>104</v>
      </c>
      <c r="AW57" s="6" t="s">
        <v>104</v>
      </c>
      <c r="AX57" s="6" t="s">
        <v>20159</v>
      </c>
      <c r="AY57" s="6" t="s">
        <v>21899</v>
      </c>
      <c r="AZ57" s="6" t="s">
        <v>104</v>
      </c>
      <c r="BA57" s="6" t="s">
        <v>24273</v>
      </c>
      <c r="BB57" s="24" t="n">
        <v>15283</v>
      </c>
      <c r="BC57" s="26"/>
      <c r="BD57" s="26"/>
      <c r="BE57" s="26"/>
      <c r="BF57" s="26"/>
      <c r="BG57" s="26"/>
      <c r="BH57" s="26"/>
      <c r="BI57" s="26"/>
      <c r="BJ57" s="26"/>
      <c r="BK57" s="26"/>
      <c r="BL57" s="26"/>
      <c r="BM57" s="26"/>
      <c r="BN57" s="26"/>
      <c r="BO57" s="26"/>
      <c r="BP57" s="16" t="n">
        <v>45601</v>
      </c>
      <c r="BQ57" s="28" t="str">
        <f>HYPERLINK("https://organic.ams.usda.gov/Integrity/Certificate.aspx?cid=21&amp;nopid=1780859895")</f>
        <v>https://organic.ams.usda.gov/Integrity/Certificate.aspx?cid=21&amp;nopid=1780859895</v>
      </c>
    </row>
    <row r="58">
      <c r="A58" t="s">
        <v>3</v>
      </c>
      <c r="B58" s="6" t="s">
        <v>14</v>
      </c>
      <c r="C58" s="6" t="s">
        <v>80</v>
      </c>
      <c r="D58" s="6" t="s">
        <v>145</v>
      </c>
      <c r="E58" s="10" t="s">
        <v>256</v>
      </c>
      <c r="F58" s="6" t="s">
        <v>2516</v>
      </c>
      <c r="G58" s="6" t="s">
        <v>104</v>
      </c>
      <c r="H58" s="6" t="s">
        <v>4942</v>
      </c>
      <c r="I58" s="6" t="s">
        <v>6961</v>
      </c>
      <c r="J58" s="6" t="s">
        <v>8173</v>
      </c>
      <c r="K58" s="6" t="s">
        <v>9714</v>
      </c>
      <c r="L58" s="16" t="n">
        <v>43737</v>
      </c>
      <c r="M58" s="16" t="n">
        <v>45895</v>
      </c>
      <c r="N58" s="6" t="s">
        <v>104</v>
      </c>
      <c r="O58" s="21" t="s">
        <v>104</v>
      </c>
      <c r="P58" s="6" t="s">
        <v>104</v>
      </c>
      <c r="Q58" s="6" t="s">
        <v>104</v>
      </c>
      <c r="R58" s="6" t="s">
        <v>104</v>
      </c>
      <c r="S58" s="6" t="s">
        <v>104</v>
      </c>
      <c r="T58" s="21" t="s">
        <v>104</v>
      </c>
      <c r="U58" s="6" t="s">
        <v>104</v>
      </c>
      <c r="V58" s="6" t="s">
        <v>104</v>
      </c>
      <c r="W58" s="6" t="s">
        <v>104</v>
      </c>
      <c r="X58" s="6" t="s">
        <v>104</v>
      </c>
      <c r="Y58" s="21" t="s">
        <v>104</v>
      </c>
      <c r="Z58" s="6" t="s">
        <v>104</v>
      </c>
      <c r="AA58" s="6" t="s">
        <v>104</v>
      </c>
      <c r="AB58" s="6" t="s">
        <v>104</v>
      </c>
      <c r="AC58" s="6" t="s">
        <v>9714</v>
      </c>
      <c r="AD58" s="16" t="n">
        <v>43737</v>
      </c>
      <c r="AE58" s="6" t="s">
        <v>10581</v>
      </c>
      <c r="AF58" s="6" t="s">
        <v>104</v>
      </c>
      <c r="AG58" s="6" t="s">
        <v>104</v>
      </c>
      <c r="AH58" s="6" t="s">
        <v>13203</v>
      </c>
      <c r="AI58" s="6" t="s">
        <v>104</v>
      </c>
      <c r="AJ58" s="6" t="s">
        <v>15398</v>
      </c>
      <c r="AK58" s="6" t="s">
        <v>16699</v>
      </c>
      <c r="AL58" s="6" t="s">
        <v>16932</v>
      </c>
      <c r="AM58" s="6" t="s">
        <v>17024</v>
      </c>
      <c r="AN58" s="6" t="s">
        <v>104</v>
      </c>
      <c r="AO58" s="6" t="s">
        <v>104</v>
      </c>
      <c r="AP58" s="6" t="s">
        <v>104</v>
      </c>
      <c r="AQ58" s="6" t="s">
        <v>104</v>
      </c>
      <c r="AR58" s="6" t="s">
        <v>104</v>
      </c>
      <c r="AS58" s="6" t="s">
        <v>104</v>
      </c>
      <c r="AT58" s="6" t="s">
        <v>104</v>
      </c>
      <c r="AU58" s="6" t="s">
        <v>104</v>
      </c>
      <c r="AV58" s="6" t="s">
        <v>104</v>
      </c>
      <c r="AW58" s="6" t="s">
        <v>104</v>
      </c>
      <c r="AX58" s="6" t="s">
        <v>20160</v>
      </c>
      <c r="AY58" s="6" t="s">
        <v>21900</v>
      </c>
      <c r="AZ58" s="6" t="s">
        <v>104</v>
      </c>
      <c r="BA58" s="6" t="s">
        <v>24272</v>
      </c>
      <c r="BB58" s="6" t="s">
        <v>104</v>
      </c>
      <c r="BC58" s="26"/>
      <c r="BD58" s="26"/>
      <c r="BE58" s="26"/>
      <c r="BF58" s="26"/>
      <c r="BG58" s="26"/>
      <c r="BH58" s="26"/>
      <c r="BI58" s="26"/>
      <c r="BJ58" s="26"/>
      <c r="BK58" s="26"/>
      <c r="BL58" s="26"/>
      <c r="BM58" s="26"/>
      <c r="BN58" s="26"/>
      <c r="BO58" s="26"/>
      <c r="BP58" s="16" t="n">
        <v>45722</v>
      </c>
      <c r="BQ58" s="28" t="str">
        <f>HYPERLINK("https://organic.ams.usda.gov/Integrity/Certificate.aspx?cid=89&amp;nopid=4920002771")</f>
        <v>https://organic.ams.usda.gov/Integrity/Certificate.aspx?cid=89&amp;nopid=4920002771</v>
      </c>
    </row>
    <row r="59">
      <c r="A59" t="s">
        <v>3</v>
      </c>
      <c r="B59" s="6" t="s">
        <v>20</v>
      </c>
      <c r="C59" s="6" t="s">
        <v>86</v>
      </c>
      <c r="D59" s="6" t="s">
        <v>151</v>
      </c>
      <c r="E59" s="10" t="s">
        <v>257</v>
      </c>
      <c r="F59" s="6" t="s">
        <v>2517</v>
      </c>
      <c r="G59" s="6" t="s">
        <v>104</v>
      </c>
      <c r="H59" s="6" t="s">
        <v>4943</v>
      </c>
      <c r="I59" s="6" t="s">
        <v>6962</v>
      </c>
      <c r="J59" s="6" t="s">
        <v>7652</v>
      </c>
      <c r="K59" s="6" t="s">
        <v>9714</v>
      </c>
      <c r="L59" s="16" t="n">
        <v>45664</v>
      </c>
      <c r="M59" s="16" t="n">
        <v>45991</v>
      </c>
      <c r="N59" s="6" t="s">
        <v>104</v>
      </c>
      <c r="O59" s="21" t="s">
        <v>104</v>
      </c>
      <c r="P59" s="6" t="s">
        <v>104</v>
      </c>
      <c r="Q59" s="6" t="s">
        <v>104</v>
      </c>
      <c r="R59" s="6" t="s">
        <v>104</v>
      </c>
      <c r="S59" s="6" t="s">
        <v>104</v>
      </c>
      <c r="T59" s="21" t="s">
        <v>104</v>
      </c>
      <c r="U59" s="6" t="s">
        <v>104</v>
      </c>
      <c r="V59" s="6" t="s">
        <v>104</v>
      </c>
      <c r="W59" s="6" t="s">
        <v>104</v>
      </c>
      <c r="X59" s="6" t="s">
        <v>104</v>
      </c>
      <c r="Y59" s="21" t="s">
        <v>104</v>
      </c>
      <c r="Z59" s="6" t="s">
        <v>104</v>
      </c>
      <c r="AA59" s="6" t="s">
        <v>104</v>
      </c>
      <c r="AB59" s="6" t="s">
        <v>104</v>
      </c>
      <c r="AC59" s="6" t="s">
        <v>9714</v>
      </c>
      <c r="AD59" s="16" t="n">
        <v>45664</v>
      </c>
      <c r="AE59" s="6" t="s">
        <v>10582</v>
      </c>
      <c r="AF59" s="6" t="s">
        <v>104</v>
      </c>
      <c r="AG59" s="6" t="s">
        <v>12500</v>
      </c>
      <c r="AH59" s="6" t="s">
        <v>13204</v>
      </c>
      <c r="AI59" s="6" t="s">
        <v>104</v>
      </c>
      <c r="AJ59" s="6" t="s">
        <v>15399</v>
      </c>
      <c r="AK59" s="6" t="s">
        <v>15401</v>
      </c>
      <c r="AL59" s="6" t="s">
        <v>16939</v>
      </c>
      <c r="AM59" s="6" t="s">
        <v>104</v>
      </c>
      <c r="AN59" s="6" t="s">
        <v>104</v>
      </c>
      <c r="AO59" s="6" t="s">
        <v>104</v>
      </c>
      <c r="AP59" s="6" t="s">
        <v>104</v>
      </c>
      <c r="AQ59" s="6" t="s">
        <v>104</v>
      </c>
      <c r="AR59" s="6" t="s">
        <v>104</v>
      </c>
      <c r="AS59" s="6" t="s">
        <v>104</v>
      </c>
      <c r="AT59" s="6" t="s">
        <v>104</v>
      </c>
      <c r="AU59" s="6" t="s">
        <v>104</v>
      </c>
      <c r="AV59" s="6" t="s">
        <v>104</v>
      </c>
      <c r="AW59" s="6" t="s">
        <v>104</v>
      </c>
      <c r="AX59" s="6" t="s">
        <v>20161</v>
      </c>
      <c r="AY59" s="6" t="s">
        <v>21901</v>
      </c>
      <c r="AZ59" s="6" t="s">
        <v>104</v>
      </c>
      <c r="BA59" s="6" t="s">
        <v>104</v>
      </c>
      <c r="BB59" s="6" t="s">
        <v>104</v>
      </c>
      <c r="BC59" s="26"/>
      <c r="BD59" s="26"/>
      <c r="BE59" s="26"/>
      <c r="BF59" s="26"/>
      <c r="BG59" s="26"/>
      <c r="BH59" s="26"/>
      <c r="BI59" s="26"/>
      <c r="BJ59" s="26"/>
      <c r="BK59" s="26"/>
      <c r="BL59" s="26"/>
      <c r="BM59" s="26"/>
      <c r="BN59" s="26"/>
      <c r="BO59" s="26"/>
      <c r="BP59" s="16" t="n">
        <v>45665</v>
      </c>
      <c r="BQ59" s="28" t="str">
        <f>HYPERLINK("https://organic.ams.usda.gov/Integrity/Certificate.aspx?cid=17&amp;nopid=4080208537")</f>
        <v>https://organic.ams.usda.gov/Integrity/Certificate.aspx?cid=17&amp;nopid=4080208537</v>
      </c>
    </row>
    <row r="60">
      <c r="A60" t="s">
        <v>3</v>
      </c>
      <c r="B60" s="6" t="s">
        <v>6</v>
      </c>
      <c r="C60" s="6" t="s">
        <v>72</v>
      </c>
      <c r="D60" s="6" t="s">
        <v>137</v>
      </c>
      <c r="E60" s="10" t="s">
        <v>258</v>
      </c>
      <c r="F60" s="6" t="s">
        <v>2518</v>
      </c>
      <c r="G60" s="6" t="s">
        <v>104</v>
      </c>
      <c r="H60" s="6" t="s">
        <v>4944</v>
      </c>
      <c r="I60" s="6" t="s">
        <v>6963</v>
      </c>
      <c r="J60" s="6" t="s">
        <v>8174</v>
      </c>
      <c r="K60" s="6" t="s">
        <v>9714</v>
      </c>
      <c r="L60" s="16" t="n">
        <v>44797</v>
      </c>
      <c r="M60" s="16" t="n">
        <v>46046</v>
      </c>
      <c r="N60" s="6" t="s">
        <v>9714</v>
      </c>
      <c r="O60" s="16" t="n">
        <v>44797</v>
      </c>
      <c r="P60" s="6" t="s">
        <v>9742</v>
      </c>
      <c r="Q60" s="6" t="s">
        <v>104</v>
      </c>
      <c r="R60" s="6" t="s">
        <v>10295</v>
      </c>
      <c r="S60" s="6" t="s">
        <v>104</v>
      </c>
      <c r="T60" s="21" t="s">
        <v>104</v>
      </c>
      <c r="U60" s="6" t="s">
        <v>104</v>
      </c>
      <c r="V60" s="6" t="s">
        <v>104</v>
      </c>
      <c r="W60" s="6" t="s">
        <v>104</v>
      </c>
      <c r="X60" s="6" t="s">
        <v>104</v>
      </c>
      <c r="Y60" s="21" t="s">
        <v>104</v>
      </c>
      <c r="Z60" s="6" t="s">
        <v>104</v>
      </c>
      <c r="AA60" s="6" t="s">
        <v>104</v>
      </c>
      <c r="AB60" s="6" t="s">
        <v>104</v>
      </c>
      <c r="AC60" s="6" t="s">
        <v>9714</v>
      </c>
      <c r="AD60" s="16" t="n">
        <v>44797</v>
      </c>
      <c r="AE60" s="6" t="s">
        <v>10583</v>
      </c>
      <c r="AF60" s="6" t="s">
        <v>104</v>
      </c>
      <c r="AG60" s="6" t="s">
        <v>10295</v>
      </c>
      <c r="AH60" s="6" t="s">
        <v>13205</v>
      </c>
      <c r="AI60" s="6" t="s">
        <v>104</v>
      </c>
      <c r="AJ60" s="6" t="s">
        <v>15400</v>
      </c>
      <c r="AK60" s="6" t="s">
        <v>16700</v>
      </c>
      <c r="AL60" s="6" t="s">
        <v>16930</v>
      </c>
      <c r="AM60" s="6" t="s">
        <v>17025</v>
      </c>
      <c r="AN60" s="6" t="s">
        <v>104</v>
      </c>
      <c r="AO60" s="6" t="s">
        <v>104</v>
      </c>
      <c r="AP60" s="6" t="s">
        <v>104</v>
      </c>
      <c r="AQ60" s="6" t="s">
        <v>104</v>
      </c>
      <c r="AR60" s="6" t="s">
        <v>104</v>
      </c>
      <c r="AS60" s="6" t="s">
        <v>104</v>
      </c>
      <c r="AT60" s="6" t="s">
        <v>104</v>
      </c>
      <c r="AU60" s="6" t="s">
        <v>104</v>
      </c>
      <c r="AV60" s="6" t="s">
        <v>104</v>
      </c>
      <c r="AW60" s="6" t="s">
        <v>104</v>
      </c>
      <c r="AX60" s="6" t="s">
        <v>20162</v>
      </c>
      <c r="AY60" s="6" t="s">
        <v>21902</v>
      </c>
      <c r="AZ60" s="6" t="s">
        <v>104</v>
      </c>
      <c r="BA60" s="6" t="s">
        <v>104</v>
      </c>
      <c r="BB60" s="24" t="n">
        <v>46</v>
      </c>
      <c r="BC60" s="26"/>
      <c r="BD60" s="26"/>
      <c r="BE60" s="26"/>
      <c r="BF60" s="26"/>
      <c r="BG60" s="26"/>
      <c r="BH60" s="26"/>
      <c r="BI60" s="26"/>
      <c r="BJ60" s="26"/>
      <c r="BK60" s="26"/>
      <c r="BL60" s="26"/>
      <c r="BM60" s="26"/>
      <c r="BN60" s="26"/>
      <c r="BO60" s="26"/>
      <c r="BP60" s="16" t="n">
        <v>45737</v>
      </c>
      <c r="BQ60" s="28" t="str">
        <f>HYPERLINK("https://organic.ams.usda.gov/Integrity/Certificate.aspx?cid=32&amp;nopid=2230009236")</f>
        <v>https://organic.ams.usda.gov/Integrity/Certificate.aspx?cid=32&amp;nopid=2230009236</v>
      </c>
    </row>
    <row r="61">
      <c r="A61" t="s">
        <v>3</v>
      </c>
      <c r="B61" s="6" t="s">
        <v>20</v>
      </c>
      <c r="C61" s="6" t="s">
        <v>86</v>
      </c>
      <c r="D61" s="6" t="s">
        <v>151</v>
      </c>
      <c r="E61" s="10" t="s">
        <v>259</v>
      </c>
      <c r="F61" s="6" t="s">
        <v>2519</v>
      </c>
      <c r="G61" s="6" t="s">
        <v>104</v>
      </c>
      <c r="H61" s="6" t="s">
        <v>4945</v>
      </c>
      <c r="I61" s="6" t="s">
        <v>6964</v>
      </c>
      <c r="J61" s="6" t="s">
        <v>8175</v>
      </c>
      <c r="K61" s="6" t="s">
        <v>9714</v>
      </c>
      <c r="L61" s="16" t="n">
        <v>44019</v>
      </c>
      <c r="M61" s="16" t="n">
        <v>45900</v>
      </c>
      <c r="N61" s="6" t="s">
        <v>104</v>
      </c>
      <c r="O61" s="21" t="s">
        <v>104</v>
      </c>
      <c r="P61" s="6" t="s">
        <v>104</v>
      </c>
      <c r="Q61" s="6" t="s">
        <v>104</v>
      </c>
      <c r="R61" s="6" t="s">
        <v>104</v>
      </c>
      <c r="S61" s="6" t="s">
        <v>104</v>
      </c>
      <c r="T61" s="21" t="s">
        <v>104</v>
      </c>
      <c r="U61" s="6" t="s">
        <v>104</v>
      </c>
      <c r="V61" s="6" t="s">
        <v>104</v>
      </c>
      <c r="W61" s="6" t="s">
        <v>104</v>
      </c>
      <c r="X61" s="6" t="s">
        <v>104</v>
      </c>
      <c r="Y61" s="21" t="s">
        <v>104</v>
      </c>
      <c r="Z61" s="6" t="s">
        <v>104</v>
      </c>
      <c r="AA61" s="6" t="s">
        <v>104</v>
      </c>
      <c r="AB61" s="6" t="s">
        <v>104</v>
      </c>
      <c r="AC61" s="6" t="s">
        <v>9714</v>
      </c>
      <c r="AD61" s="16" t="n">
        <v>44019</v>
      </c>
      <c r="AE61" s="6" t="s">
        <v>10584</v>
      </c>
      <c r="AF61" s="6" t="s">
        <v>104</v>
      </c>
      <c r="AG61" s="6" t="s">
        <v>12501</v>
      </c>
      <c r="AH61" s="6" t="s">
        <v>13206</v>
      </c>
      <c r="AI61" s="6" t="s">
        <v>104</v>
      </c>
      <c r="AJ61" s="6" t="s">
        <v>15401</v>
      </c>
      <c r="AK61" s="6" t="s">
        <v>15401</v>
      </c>
      <c r="AL61" s="6" t="s">
        <v>16939</v>
      </c>
      <c r="AM61" s="6" t="s">
        <v>104</v>
      </c>
      <c r="AN61" s="6" t="s">
        <v>104</v>
      </c>
      <c r="AO61" s="6" t="s">
        <v>104</v>
      </c>
      <c r="AP61" s="6" t="s">
        <v>104</v>
      </c>
      <c r="AQ61" s="6" t="s">
        <v>104</v>
      </c>
      <c r="AR61" s="6" t="s">
        <v>104</v>
      </c>
      <c r="AS61" s="6" t="s">
        <v>104</v>
      </c>
      <c r="AT61" s="6" t="s">
        <v>104</v>
      </c>
      <c r="AU61" s="6" t="s">
        <v>104</v>
      </c>
      <c r="AV61" s="6" t="s">
        <v>104</v>
      </c>
      <c r="AW61" s="6" t="s">
        <v>104</v>
      </c>
      <c r="AX61" s="6" t="s">
        <v>20163</v>
      </c>
      <c r="AY61" s="6" t="s">
        <v>21903</v>
      </c>
      <c r="AZ61" s="6" t="s">
        <v>104</v>
      </c>
      <c r="BA61" s="6" t="s">
        <v>24274</v>
      </c>
      <c r="BB61" s="6" t="s">
        <v>104</v>
      </c>
      <c r="BC61" s="26"/>
      <c r="BD61" s="26"/>
      <c r="BE61" s="26"/>
      <c r="BF61" s="26"/>
      <c r="BG61" s="26"/>
      <c r="BH61" s="26"/>
      <c r="BI61" s="26"/>
      <c r="BJ61" s="26"/>
      <c r="BK61" s="26"/>
      <c r="BL61" s="26"/>
      <c r="BM61" s="26"/>
      <c r="BN61" s="26"/>
      <c r="BO61" s="26"/>
      <c r="BP61" s="16" t="n">
        <v>45707</v>
      </c>
      <c r="BQ61" s="28" t="str">
        <f>HYPERLINK("https://organic.ams.usda.gov/Integrity/Certificate.aspx?cid=17&amp;nopid=4087184624")</f>
        <v>https://organic.ams.usda.gov/Integrity/Certificate.aspx?cid=17&amp;nopid=4087184624</v>
      </c>
    </row>
    <row r="62">
      <c r="A62" t="s">
        <v>3</v>
      </c>
      <c r="B62" s="6" t="s">
        <v>25</v>
      </c>
      <c r="C62" s="6" t="s">
        <v>91</v>
      </c>
      <c r="D62" s="6" t="s">
        <v>156</v>
      </c>
      <c r="E62" s="10" t="s">
        <v>260</v>
      </c>
      <c r="F62" s="6" t="s">
        <v>2520</v>
      </c>
      <c r="G62" s="6" t="s">
        <v>104</v>
      </c>
      <c r="H62" s="6" t="s">
        <v>4946</v>
      </c>
      <c r="I62" s="6" t="s">
        <v>6939</v>
      </c>
      <c r="J62" s="6" t="s">
        <v>8151</v>
      </c>
      <c r="K62" s="6" t="s">
        <v>9714</v>
      </c>
      <c r="L62" s="16" t="n">
        <v>43945</v>
      </c>
      <c r="M62" s="16" t="n">
        <v>45731</v>
      </c>
      <c r="N62" s="6" t="s">
        <v>104</v>
      </c>
      <c r="O62" s="21" t="s">
        <v>104</v>
      </c>
      <c r="P62" s="6" t="s">
        <v>104</v>
      </c>
      <c r="Q62" s="6" t="s">
        <v>104</v>
      </c>
      <c r="R62" s="6" t="s">
        <v>104</v>
      </c>
      <c r="S62" s="6" t="s">
        <v>104</v>
      </c>
      <c r="T62" s="21" t="s">
        <v>104</v>
      </c>
      <c r="U62" s="6" t="s">
        <v>104</v>
      </c>
      <c r="V62" s="6" t="s">
        <v>104</v>
      </c>
      <c r="W62" s="6" t="s">
        <v>104</v>
      </c>
      <c r="X62" s="6" t="s">
        <v>104</v>
      </c>
      <c r="Y62" s="21" t="s">
        <v>104</v>
      </c>
      <c r="Z62" s="6" t="s">
        <v>104</v>
      </c>
      <c r="AA62" s="6" t="s">
        <v>104</v>
      </c>
      <c r="AB62" s="6" t="s">
        <v>104</v>
      </c>
      <c r="AC62" s="6" t="s">
        <v>9714</v>
      </c>
      <c r="AD62" s="16" t="n">
        <v>43945</v>
      </c>
      <c r="AE62" s="6" t="s">
        <v>10585</v>
      </c>
      <c r="AF62" s="6" t="s">
        <v>104</v>
      </c>
      <c r="AG62" s="6" t="s">
        <v>104</v>
      </c>
      <c r="AH62" s="6" t="s">
        <v>13207</v>
      </c>
      <c r="AI62" s="6" t="s">
        <v>104</v>
      </c>
      <c r="AJ62" s="6" t="s">
        <v>15402</v>
      </c>
      <c r="AK62" s="6" t="s">
        <v>16701</v>
      </c>
      <c r="AL62" s="6" t="s">
        <v>16935</v>
      </c>
      <c r="AM62" s="6" t="s">
        <v>17026</v>
      </c>
      <c r="AN62" s="6" t="s">
        <v>104</v>
      </c>
      <c r="AO62" s="6" t="s">
        <v>104</v>
      </c>
      <c r="AP62" s="6" t="s">
        <v>13207</v>
      </c>
      <c r="AQ62" s="6" t="s">
        <v>104</v>
      </c>
      <c r="AR62" s="6" t="s">
        <v>15402</v>
      </c>
      <c r="AS62" s="6" t="s">
        <v>16701</v>
      </c>
      <c r="AT62" s="6" t="s">
        <v>16935</v>
      </c>
      <c r="AU62" s="6" t="s">
        <v>17026</v>
      </c>
      <c r="AV62" s="6" t="s">
        <v>104</v>
      </c>
      <c r="AW62" s="6" t="s">
        <v>104</v>
      </c>
      <c r="AX62" s="6" t="s">
        <v>20137</v>
      </c>
      <c r="AY62" s="6" t="s">
        <v>21875</v>
      </c>
      <c r="AZ62" s="6" t="s">
        <v>104</v>
      </c>
      <c r="BA62" s="6" t="s">
        <v>24264</v>
      </c>
      <c r="BB62" s="6" t="s">
        <v>104</v>
      </c>
      <c r="BC62" s="26"/>
      <c r="BD62" s="26"/>
      <c r="BE62" s="26"/>
      <c r="BF62" s="26"/>
      <c r="BG62" s="26"/>
      <c r="BH62" s="26" t="s">
        <v>24533</v>
      </c>
      <c r="BI62" s="26"/>
      <c r="BJ62" s="26"/>
      <c r="BK62" s="26"/>
      <c r="BL62" s="26"/>
      <c r="BM62" s="26"/>
      <c r="BN62" s="26"/>
      <c r="BO62" s="26"/>
      <c r="BP62" s="16" t="n">
        <v>45513</v>
      </c>
      <c r="BQ62" s="28" t="str">
        <f>HYPERLINK("https://organic.ams.usda.gov/Integrity/Certificate.aspx?cid=66&amp;nopid=5500006285")</f>
        <v>https://organic.ams.usda.gov/Integrity/Certificate.aspx?cid=66&amp;nopid=5500006285</v>
      </c>
    </row>
    <row r="63">
      <c r="A63" t="s">
        <v>3</v>
      </c>
      <c r="B63" s="6" t="s">
        <v>11</v>
      </c>
      <c r="C63" s="6" t="s">
        <v>77</v>
      </c>
      <c r="D63" s="6" t="s">
        <v>142</v>
      </c>
      <c r="E63" s="10" t="s">
        <v>261</v>
      </c>
      <c r="F63" s="6" t="s">
        <v>2521</v>
      </c>
      <c r="G63" s="6" t="s">
        <v>104</v>
      </c>
      <c r="H63" s="6" t="s">
        <v>104</v>
      </c>
      <c r="I63" s="6" t="s">
        <v>6965</v>
      </c>
      <c r="J63" s="6" t="s">
        <v>8176</v>
      </c>
      <c r="K63" s="6" t="s">
        <v>9714</v>
      </c>
      <c r="L63" s="16" t="n">
        <v>44671</v>
      </c>
      <c r="M63" s="16" t="n">
        <v>46050</v>
      </c>
      <c r="N63" s="6" t="s">
        <v>9714</v>
      </c>
      <c r="O63" s="16" t="n">
        <v>44671</v>
      </c>
      <c r="P63" s="6" t="s">
        <v>9743</v>
      </c>
      <c r="Q63" s="6" t="s">
        <v>104</v>
      </c>
      <c r="R63" s="6" t="s">
        <v>104</v>
      </c>
      <c r="S63" s="6" t="s">
        <v>104</v>
      </c>
      <c r="T63" s="21" t="s">
        <v>104</v>
      </c>
      <c r="U63" s="6" t="s">
        <v>104</v>
      </c>
      <c r="V63" s="6" t="s">
        <v>104</v>
      </c>
      <c r="W63" s="6" t="s">
        <v>104</v>
      </c>
      <c r="X63" s="6" t="s">
        <v>104</v>
      </c>
      <c r="Y63" s="21" t="s">
        <v>104</v>
      </c>
      <c r="Z63" s="6" t="s">
        <v>104</v>
      </c>
      <c r="AA63" s="6" t="s">
        <v>104</v>
      </c>
      <c r="AB63" s="6" t="s">
        <v>104</v>
      </c>
      <c r="AC63" s="6" t="s">
        <v>9714</v>
      </c>
      <c r="AD63" s="16" t="n">
        <v>44671</v>
      </c>
      <c r="AE63" s="6" t="s">
        <v>10586</v>
      </c>
      <c r="AF63" s="6" t="s">
        <v>104</v>
      </c>
      <c r="AG63" s="6" t="s">
        <v>104</v>
      </c>
      <c r="AH63" s="6" t="s">
        <v>13208</v>
      </c>
      <c r="AI63" s="6" t="s">
        <v>104</v>
      </c>
      <c r="AJ63" s="6" t="s">
        <v>104</v>
      </c>
      <c r="AK63" s="6" t="s">
        <v>104</v>
      </c>
      <c r="AL63" s="6" t="s">
        <v>16940</v>
      </c>
      <c r="AM63" s="6" t="s">
        <v>104</v>
      </c>
      <c r="AN63" s="6" t="s">
        <v>104</v>
      </c>
      <c r="AO63" s="6" t="s">
        <v>104</v>
      </c>
      <c r="AP63" s="6" t="s">
        <v>104</v>
      </c>
      <c r="AQ63" s="6" t="s">
        <v>104</v>
      </c>
      <c r="AR63" s="6" t="s">
        <v>104</v>
      </c>
      <c r="AS63" s="6" t="s">
        <v>104</v>
      </c>
      <c r="AT63" s="6" t="s">
        <v>104</v>
      </c>
      <c r="AU63" s="6" t="s">
        <v>104</v>
      </c>
      <c r="AV63" s="6" t="s">
        <v>104</v>
      </c>
      <c r="AW63" s="6" t="s">
        <v>104</v>
      </c>
      <c r="AX63" s="6" t="s">
        <v>20164</v>
      </c>
      <c r="AY63" s="6" t="s">
        <v>21904</v>
      </c>
      <c r="AZ63" s="6" t="s">
        <v>104</v>
      </c>
      <c r="BA63" s="6" t="s">
        <v>104</v>
      </c>
      <c r="BB63" s="24" t="n">
        <v>8224</v>
      </c>
      <c r="BC63" s="26"/>
      <c r="BD63" s="26"/>
      <c r="BE63" s="26"/>
      <c r="BF63" s="26"/>
      <c r="BG63" s="26"/>
      <c r="BH63" s="26"/>
      <c r="BI63" s="26"/>
      <c r="BJ63" s="26"/>
      <c r="BK63" s="26"/>
      <c r="BL63" s="26"/>
      <c r="BM63" s="26"/>
      <c r="BN63" s="26"/>
      <c r="BO63" s="26"/>
      <c r="BP63" s="16" t="n">
        <v>45707</v>
      </c>
      <c r="BQ63" s="28" t="str">
        <f>HYPERLINK("https://organic.ams.usda.gov/Integrity/Certificate.aspx?cid=21&amp;nopid=1780858793")</f>
        <v>https://organic.ams.usda.gov/Integrity/Certificate.aspx?cid=21&amp;nopid=1780858793</v>
      </c>
    </row>
    <row r="64">
      <c r="A64" t="s">
        <v>3</v>
      </c>
      <c r="B64" s="6" t="s">
        <v>21</v>
      </c>
      <c r="C64" s="6" t="s">
        <v>87</v>
      </c>
      <c r="D64" s="6" t="s">
        <v>152</v>
      </c>
      <c r="E64" s="10" t="s">
        <v>262</v>
      </c>
      <c r="F64" s="6" t="s">
        <v>2522</v>
      </c>
      <c r="G64" s="6" t="s">
        <v>4672</v>
      </c>
      <c r="H64" s="6" t="s">
        <v>4947</v>
      </c>
      <c r="I64" s="6" t="s">
        <v>6966</v>
      </c>
      <c r="J64" s="6" t="s">
        <v>8177</v>
      </c>
      <c r="K64" s="6" t="s">
        <v>9714</v>
      </c>
      <c r="L64" s="16" t="n">
        <v>41745</v>
      </c>
      <c r="M64" s="16" t="n">
        <v>46023</v>
      </c>
      <c r="N64" s="6" t="s">
        <v>104</v>
      </c>
      <c r="O64" s="21" t="s">
        <v>104</v>
      </c>
      <c r="P64" s="6" t="s">
        <v>104</v>
      </c>
      <c r="Q64" s="6" t="s">
        <v>104</v>
      </c>
      <c r="R64" s="6" t="s">
        <v>104</v>
      </c>
      <c r="S64" s="6" t="s">
        <v>104</v>
      </c>
      <c r="T64" s="21" t="s">
        <v>104</v>
      </c>
      <c r="U64" s="6" t="s">
        <v>104</v>
      </c>
      <c r="V64" s="6" t="s">
        <v>104</v>
      </c>
      <c r="W64" s="6" t="s">
        <v>104</v>
      </c>
      <c r="X64" s="6" t="s">
        <v>104</v>
      </c>
      <c r="Y64" s="21" t="s">
        <v>104</v>
      </c>
      <c r="Z64" s="6" t="s">
        <v>104</v>
      </c>
      <c r="AA64" s="6" t="s">
        <v>104</v>
      </c>
      <c r="AB64" s="6" t="s">
        <v>104</v>
      </c>
      <c r="AC64" s="6" t="s">
        <v>9714</v>
      </c>
      <c r="AD64" s="16" t="n">
        <v>41745</v>
      </c>
      <c r="AE64" s="6" t="s">
        <v>10587</v>
      </c>
      <c r="AF64" s="6" t="s">
        <v>12482</v>
      </c>
      <c r="AG64" s="6" t="s">
        <v>104</v>
      </c>
      <c r="AH64" s="6" t="s">
        <v>13209</v>
      </c>
      <c r="AI64" s="6" t="s">
        <v>15230</v>
      </c>
      <c r="AJ64" s="6" t="s">
        <v>15403</v>
      </c>
      <c r="AK64" s="6" t="s">
        <v>15697</v>
      </c>
      <c r="AL64" s="6" t="s">
        <v>16931</v>
      </c>
      <c r="AM64" s="6" t="s">
        <v>17027</v>
      </c>
      <c r="AN64" s="6" t="s">
        <v>17970</v>
      </c>
      <c r="AO64" s="6" t="s">
        <v>18567</v>
      </c>
      <c r="AP64" s="6" t="s">
        <v>13209</v>
      </c>
      <c r="AQ64" s="6" t="s">
        <v>15230</v>
      </c>
      <c r="AR64" s="6" t="s">
        <v>15403</v>
      </c>
      <c r="AS64" s="6" t="s">
        <v>15697</v>
      </c>
      <c r="AT64" s="6" t="s">
        <v>16931</v>
      </c>
      <c r="AU64" s="6" t="s">
        <v>17027</v>
      </c>
      <c r="AV64" s="6" t="s">
        <v>104</v>
      </c>
      <c r="AW64" s="6" t="s">
        <v>104</v>
      </c>
      <c r="AX64" s="6" t="s">
        <v>20165</v>
      </c>
      <c r="AY64" s="6" t="s">
        <v>21905</v>
      </c>
      <c r="AZ64" s="6" t="s">
        <v>23698</v>
      </c>
      <c r="BA64" s="6" t="s">
        <v>24275</v>
      </c>
      <c r="BB64" s="6" t="s">
        <v>104</v>
      </c>
      <c r="BC64" s="26" t="s">
        <v>24533</v>
      </c>
      <c r="BD64" s="26"/>
      <c r="BE64" s="26"/>
      <c r="BF64" s="26"/>
      <c r="BG64" s="26" t="s">
        <v>24533</v>
      </c>
      <c r="BH64" s="26"/>
      <c r="BI64" s="26"/>
      <c r="BJ64" s="26"/>
      <c r="BK64" s="26"/>
      <c r="BL64" s="26"/>
      <c r="BM64" s="26"/>
      <c r="BN64" s="26"/>
      <c r="BO64" s="26"/>
      <c r="BP64" s="16" t="n">
        <v>45720</v>
      </c>
      <c r="BQ64" s="28" t="str">
        <f>HYPERLINK("https://organic.ams.usda.gov/Integrity/Certificate.aspx?cid=15&amp;nopid=5561001881")</f>
        <v>https://organic.ams.usda.gov/Integrity/Certificate.aspx?cid=15&amp;nopid=5561001881</v>
      </c>
    </row>
    <row r="65">
      <c r="A65" t="s">
        <v>3</v>
      </c>
      <c r="B65" s="6" t="s">
        <v>15</v>
      </c>
      <c r="C65" s="6" t="s">
        <v>81</v>
      </c>
      <c r="D65" s="6" t="s">
        <v>146</v>
      </c>
      <c r="E65" s="10" t="s">
        <v>263</v>
      </c>
      <c r="F65" s="6" t="s">
        <v>2523</v>
      </c>
      <c r="G65" s="6" t="s">
        <v>104</v>
      </c>
      <c r="H65" s="6" t="s">
        <v>4948</v>
      </c>
      <c r="I65" s="6" t="s">
        <v>104</v>
      </c>
      <c r="J65" s="6" t="s">
        <v>104</v>
      </c>
      <c r="K65" s="6" t="s">
        <v>9714</v>
      </c>
      <c r="L65" s="16" t="n">
        <v>43271</v>
      </c>
      <c r="M65" s="16" t="n">
        <v>46113</v>
      </c>
      <c r="N65" s="6" t="s">
        <v>104</v>
      </c>
      <c r="O65" s="21" t="s">
        <v>104</v>
      </c>
      <c r="P65" s="6" t="s">
        <v>104</v>
      </c>
      <c r="Q65" s="6" t="s">
        <v>104</v>
      </c>
      <c r="R65" s="6" t="s">
        <v>104</v>
      </c>
      <c r="S65" s="6" t="s">
        <v>104</v>
      </c>
      <c r="T65" s="21" t="s">
        <v>104</v>
      </c>
      <c r="U65" s="6" t="s">
        <v>104</v>
      </c>
      <c r="V65" s="6" t="s">
        <v>104</v>
      </c>
      <c r="W65" s="6" t="s">
        <v>104</v>
      </c>
      <c r="X65" s="6" t="s">
        <v>104</v>
      </c>
      <c r="Y65" s="21" t="s">
        <v>104</v>
      </c>
      <c r="Z65" s="6" t="s">
        <v>104</v>
      </c>
      <c r="AA65" s="6" t="s">
        <v>104</v>
      </c>
      <c r="AB65" s="6" t="s">
        <v>104</v>
      </c>
      <c r="AC65" s="6" t="s">
        <v>9714</v>
      </c>
      <c r="AD65" s="16" t="n">
        <v>43271</v>
      </c>
      <c r="AE65" s="6" t="s">
        <v>10588</v>
      </c>
      <c r="AF65" s="6" t="s">
        <v>104</v>
      </c>
      <c r="AG65" s="6" t="s">
        <v>12502</v>
      </c>
      <c r="AH65" s="6" t="s">
        <v>13210</v>
      </c>
      <c r="AI65" s="6" t="s">
        <v>104</v>
      </c>
      <c r="AJ65" s="6" t="s">
        <v>15404</v>
      </c>
      <c r="AK65" s="6" t="s">
        <v>16681</v>
      </c>
      <c r="AL65" s="6" t="s">
        <v>16931</v>
      </c>
      <c r="AM65" s="6" t="s">
        <v>17028</v>
      </c>
      <c r="AN65" s="6" t="s">
        <v>18461</v>
      </c>
      <c r="AO65" s="6" t="s">
        <v>18568</v>
      </c>
      <c r="AP65" s="6" t="s">
        <v>104</v>
      </c>
      <c r="AQ65" s="6" t="s">
        <v>104</v>
      </c>
      <c r="AR65" s="6" t="s">
        <v>104</v>
      </c>
      <c r="AS65" s="6" t="s">
        <v>104</v>
      </c>
      <c r="AT65" s="6" t="s">
        <v>104</v>
      </c>
      <c r="AU65" s="6" t="s">
        <v>104</v>
      </c>
      <c r="AV65" s="6" t="s">
        <v>104</v>
      </c>
      <c r="AW65" s="6" t="s">
        <v>104</v>
      </c>
      <c r="AX65" s="6" t="s">
        <v>20166</v>
      </c>
      <c r="AY65" s="6" t="s">
        <v>21906</v>
      </c>
      <c r="AZ65" s="6" t="s">
        <v>104</v>
      </c>
      <c r="BA65" s="6" t="s">
        <v>104</v>
      </c>
      <c r="BB65" s="6" t="s">
        <v>104</v>
      </c>
      <c r="BC65" s="26"/>
      <c r="BD65" s="26"/>
      <c r="BE65" s="26"/>
      <c r="BF65" s="26"/>
      <c r="BG65" s="26"/>
      <c r="BH65" s="26"/>
      <c r="BI65" s="26"/>
      <c r="BJ65" s="26"/>
      <c r="BK65" s="26"/>
      <c r="BL65" s="26"/>
      <c r="BM65" s="26"/>
      <c r="BN65" s="26"/>
      <c r="BO65" s="26"/>
      <c r="BP65" s="16" t="n">
        <v>45738</v>
      </c>
      <c r="BQ65" s="28" t="str">
        <f>HYPERLINK("https://organic.ams.usda.gov/Integrity/Certificate.aspx?cid=52&amp;nopid=8431801431")</f>
        <v>https://organic.ams.usda.gov/Integrity/Certificate.aspx?cid=52&amp;nopid=8431801431</v>
      </c>
    </row>
    <row r="66">
      <c r="A66" t="s">
        <v>3</v>
      </c>
      <c r="B66" s="6" t="s">
        <v>11</v>
      </c>
      <c r="C66" s="6" t="s">
        <v>77</v>
      </c>
      <c r="D66" s="6" t="s">
        <v>142</v>
      </c>
      <c r="E66" s="10" t="s">
        <v>264</v>
      </c>
      <c r="F66" s="6" t="s">
        <v>2524</v>
      </c>
      <c r="G66" s="6" t="s">
        <v>104</v>
      </c>
      <c r="H66" s="6" t="s">
        <v>4949</v>
      </c>
      <c r="I66" s="6" t="s">
        <v>6967</v>
      </c>
      <c r="J66" s="6" t="s">
        <v>8178</v>
      </c>
      <c r="K66" s="6" t="s">
        <v>9714</v>
      </c>
      <c r="L66" s="16" t="n">
        <v>41031</v>
      </c>
      <c r="M66" s="16" t="n">
        <v>45895</v>
      </c>
      <c r="N66" s="6" t="s">
        <v>104</v>
      </c>
      <c r="O66" s="21" t="s">
        <v>104</v>
      </c>
      <c r="P66" s="6" t="s">
        <v>104</v>
      </c>
      <c r="Q66" s="6" t="s">
        <v>104</v>
      </c>
      <c r="R66" s="6" t="s">
        <v>104</v>
      </c>
      <c r="S66" s="6" t="s">
        <v>104</v>
      </c>
      <c r="T66" s="21" t="s">
        <v>104</v>
      </c>
      <c r="U66" s="6" t="s">
        <v>104</v>
      </c>
      <c r="V66" s="6" t="s">
        <v>104</v>
      </c>
      <c r="W66" s="6" t="s">
        <v>104</v>
      </c>
      <c r="X66" s="6" t="s">
        <v>104</v>
      </c>
      <c r="Y66" s="21" t="s">
        <v>104</v>
      </c>
      <c r="Z66" s="6" t="s">
        <v>104</v>
      </c>
      <c r="AA66" s="6" t="s">
        <v>104</v>
      </c>
      <c r="AB66" s="6" t="s">
        <v>104</v>
      </c>
      <c r="AC66" s="6" t="s">
        <v>9714</v>
      </c>
      <c r="AD66" s="16" t="n">
        <v>45546</v>
      </c>
      <c r="AE66" s="6" t="s">
        <v>10589</v>
      </c>
      <c r="AF66" s="6" t="s">
        <v>104</v>
      </c>
      <c r="AG66" s="6" t="s">
        <v>104</v>
      </c>
      <c r="AH66" s="6" t="s">
        <v>13211</v>
      </c>
      <c r="AI66" s="6" t="s">
        <v>104</v>
      </c>
      <c r="AJ66" s="6" t="s">
        <v>15405</v>
      </c>
      <c r="AK66" s="6" t="s">
        <v>16680</v>
      </c>
      <c r="AL66" s="6" t="s">
        <v>16931</v>
      </c>
      <c r="AM66" s="6" t="s">
        <v>17029</v>
      </c>
      <c r="AN66" s="6" t="s">
        <v>104</v>
      </c>
      <c r="AO66" s="6" t="s">
        <v>104</v>
      </c>
      <c r="AP66" s="6" t="s">
        <v>13211</v>
      </c>
      <c r="AQ66" s="6" t="s">
        <v>104</v>
      </c>
      <c r="AR66" s="6" t="s">
        <v>15405</v>
      </c>
      <c r="AS66" s="6" t="s">
        <v>16680</v>
      </c>
      <c r="AT66" s="6" t="s">
        <v>16931</v>
      </c>
      <c r="AU66" s="6" t="s">
        <v>17029</v>
      </c>
      <c r="AV66" s="6" t="s">
        <v>104</v>
      </c>
      <c r="AW66" s="6" t="s">
        <v>104</v>
      </c>
      <c r="AX66" s="6" t="s">
        <v>20167</v>
      </c>
      <c r="AY66" s="6" t="s">
        <v>21907</v>
      </c>
      <c r="AZ66" s="6" t="s">
        <v>23699</v>
      </c>
      <c r="BA66" s="6" t="s">
        <v>24271</v>
      </c>
      <c r="BB66" s="24" t="n">
        <v>0</v>
      </c>
      <c r="BC66" s="26"/>
      <c r="BD66" s="26"/>
      <c r="BE66" s="26"/>
      <c r="BF66" s="26"/>
      <c r="BG66" s="26"/>
      <c r="BH66" s="26"/>
      <c r="BI66" s="26"/>
      <c r="BJ66" s="26"/>
      <c r="BK66" s="26"/>
      <c r="BL66" s="26"/>
      <c r="BM66" s="26"/>
      <c r="BN66" s="26"/>
      <c r="BO66" s="26"/>
      <c r="BP66" s="16" t="n">
        <v>45546</v>
      </c>
      <c r="BQ66" s="28" t="str">
        <f>HYPERLINK("https://organic.ams.usda.gov/Integrity/Certificate.aspx?cid=21&amp;nopid=1780820138")</f>
        <v>https://organic.ams.usda.gov/Integrity/Certificate.aspx?cid=21&amp;nopid=1780820138</v>
      </c>
    </row>
    <row r="67">
      <c r="A67" t="s">
        <v>3</v>
      </c>
      <c r="B67" s="6" t="s">
        <v>20</v>
      </c>
      <c r="C67" s="6" t="s">
        <v>86</v>
      </c>
      <c r="D67" s="6" t="s">
        <v>151</v>
      </c>
      <c r="E67" s="10" t="s">
        <v>265</v>
      </c>
      <c r="F67" s="6" t="s">
        <v>2525</v>
      </c>
      <c r="G67" s="6" t="s">
        <v>104</v>
      </c>
      <c r="H67" s="6" t="s">
        <v>4950</v>
      </c>
      <c r="I67" s="6" t="s">
        <v>6968</v>
      </c>
      <c r="J67" s="6" t="s">
        <v>8179</v>
      </c>
      <c r="K67" s="6" t="s">
        <v>9714</v>
      </c>
      <c r="L67" s="16" t="n">
        <v>42268</v>
      </c>
      <c r="M67" s="16" t="n">
        <v>45657</v>
      </c>
      <c r="N67" s="6" t="s">
        <v>104</v>
      </c>
      <c r="O67" s="21" t="s">
        <v>104</v>
      </c>
      <c r="P67" s="6" t="s">
        <v>104</v>
      </c>
      <c r="Q67" s="6" t="s">
        <v>104</v>
      </c>
      <c r="R67" s="6" t="s">
        <v>104</v>
      </c>
      <c r="S67" s="6" t="s">
        <v>104</v>
      </c>
      <c r="T67" s="21" t="s">
        <v>104</v>
      </c>
      <c r="U67" s="6" t="s">
        <v>104</v>
      </c>
      <c r="V67" s="6" t="s">
        <v>104</v>
      </c>
      <c r="W67" s="6" t="s">
        <v>104</v>
      </c>
      <c r="X67" s="6" t="s">
        <v>104</v>
      </c>
      <c r="Y67" s="21" t="s">
        <v>104</v>
      </c>
      <c r="Z67" s="6" t="s">
        <v>104</v>
      </c>
      <c r="AA67" s="6" t="s">
        <v>104</v>
      </c>
      <c r="AB67" s="6" t="s">
        <v>104</v>
      </c>
      <c r="AC67" s="6" t="s">
        <v>9714</v>
      </c>
      <c r="AD67" s="16" t="n">
        <v>42268</v>
      </c>
      <c r="AE67" s="6" t="s">
        <v>10590</v>
      </c>
      <c r="AF67" s="6" t="s">
        <v>104</v>
      </c>
      <c r="AG67" s="6" t="s">
        <v>12503</v>
      </c>
      <c r="AH67" s="6" t="s">
        <v>13212</v>
      </c>
      <c r="AI67" s="6" t="s">
        <v>104</v>
      </c>
      <c r="AJ67" s="6" t="s">
        <v>15406</v>
      </c>
      <c r="AK67" s="6" t="s">
        <v>104</v>
      </c>
      <c r="AL67" s="6" t="s">
        <v>15513</v>
      </c>
      <c r="AM67" s="6" t="s">
        <v>17030</v>
      </c>
      <c r="AN67" s="6" t="s">
        <v>104</v>
      </c>
      <c r="AO67" s="6" t="s">
        <v>104</v>
      </c>
      <c r="AP67" s="6" t="s">
        <v>104</v>
      </c>
      <c r="AQ67" s="6" t="s">
        <v>104</v>
      </c>
      <c r="AR67" s="6" t="s">
        <v>104</v>
      </c>
      <c r="AS67" s="6" t="s">
        <v>104</v>
      </c>
      <c r="AT67" s="6" t="s">
        <v>104</v>
      </c>
      <c r="AU67" s="6" t="s">
        <v>104</v>
      </c>
      <c r="AV67" s="6" t="s">
        <v>104</v>
      </c>
      <c r="AW67" s="6" t="s">
        <v>104</v>
      </c>
      <c r="AX67" s="6" t="s">
        <v>20168</v>
      </c>
      <c r="AY67" s="6" t="s">
        <v>21908</v>
      </c>
      <c r="AZ67" s="6" t="s">
        <v>104</v>
      </c>
      <c r="BA67" s="6" t="s">
        <v>104</v>
      </c>
      <c r="BB67" s="6" t="s">
        <v>104</v>
      </c>
      <c r="BC67" s="26"/>
      <c r="BD67" s="26"/>
      <c r="BE67" s="26"/>
      <c r="BF67" s="26"/>
      <c r="BG67" s="26"/>
      <c r="BH67" s="26"/>
      <c r="BI67" s="26"/>
      <c r="BJ67" s="26"/>
      <c r="BK67" s="26"/>
      <c r="BL67" s="26"/>
      <c r="BM67" s="26"/>
      <c r="BN67" s="26"/>
      <c r="BO67" s="26"/>
      <c r="BP67" s="16" t="n">
        <v>45377</v>
      </c>
      <c r="BQ67" s="28" t="str">
        <f>HYPERLINK("https://organic.ams.usda.gov/Integrity/Certificate.aspx?cid=17&amp;nopid=4083800001")</f>
        <v>https://organic.ams.usda.gov/Integrity/Certificate.aspx?cid=17&amp;nopid=4083800001</v>
      </c>
    </row>
    <row r="68">
      <c r="A68" t="s">
        <v>3</v>
      </c>
      <c r="B68" s="6" t="s">
        <v>20</v>
      </c>
      <c r="C68" s="6" t="s">
        <v>86</v>
      </c>
      <c r="D68" s="6" t="s">
        <v>151</v>
      </c>
      <c r="E68" s="10" t="s">
        <v>266</v>
      </c>
      <c r="F68" s="6" t="s">
        <v>2526</v>
      </c>
      <c r="G68" s="6" t="s">
        <v>104</v>
      </c>
      <c r="H68" s="6" t="s">
        <v>4951</v>
      </c>
      <c r="I68" s="6" t="s">
        <v>6969</v>
      </c>
      <c r="J68" s="6" t="s">
        <v>8180</v>
      </c>
      <c r="K68" s="6" t="s">
        <v>9714</v>
      </c>
      <c r="L68" s="16" t="n">
        <v>45232</v>
      </c>
      <c r="M68" s="16" t="n">
        <v>45930</v>
      </c>
      <c r="N68" s="6" t="s">
        <v>104</v>
      </c>
      <c r="O68" s="21" t="s">
        <v>104</v>
      </c>
      <c r="P68" s="6" t="s">
        <v>104</v>
      </c>
      <c r="Q68" s="6" t="s">
        <v>104</v>
      </c>
      <c r="R68" s="6" t="s">
        <v>104</v>
      </c>
      <c r="S68" s="6" t="s">
        <v>104</v>
      </c>
      <c r="T68" s="21" t="s">
        <v>104</v>
      </c>
      <c r="U68" s="6" t="s">
        <v>104</v>
      </c>
      <c r="V68" s="6" t="s">
        <v>104</v>
      </c>
      <c r="W68" s="6" t="s">
        <v>104</v>
      </c>
      <c r="X68" s="6" t="s">
        <v>104</v>
      </c>
      <c r="Y68" s="21" t="s">
        <v>104</v>
      </c>
      <c r="Z68" s="6" t="s">
        <v>104</v>
      </c>
      <c r="AA68" s="6" t="s">
        <v>104</v>
      </c>
      <c r="AB68" s="6" t="s">
        <v>104</v>
      </c>
      <c r="AC68" s="6" t="s">
        <v>9714</v>
      </c>
      <c r="AD68" s="16" t="n">
        <v>45232</v>
      </c>
      <c r="AE68" s="6" t="s">
        <v>10591</v>
      </c>
      <c r="AF68" s="6" t="s">
        <v>104</v>
      </c>
      <c r="AG68" s="6" t="s">
        <v>12504</v>
      </c>
      <c r="AH68" s="6" t="s">
        <v>13213</v>
      </c>
      <c r="AI68" s="6" t="s">
        <v>104</v>
      </c>
      <c r="AJ68" s="6" t="s">
        <v>15407</v>
      </c>
      <c r="AK68" s="6" t="s">
        <v>16702</v>
      </c>
      <c r="AL68" s="6" t="s">
        <v>16898</v>
      </c>
      <c r="AM68" s="6" t="s">
        <v>17031</v>
      </c>
      <c r="AN68" s="6" t="s">
        <v>104</v>
      </c>
      <c r="AO68" s="6" t="s">
        <v>104</v>
      </c>
      <c r="AP68" s="6" t="s">
        <v>104</v>
      </c>
      <c r="AQ68" s="6" t="s">
        <v>104</v>
      </c>
      <c r="AR68" s="6" t="s">
        <v>104</v>
      </c>
      <c r="AS68" s="6" t="s">
        <v>104</v>
      </c>
      <c r="AT68" s="6" t="s">
        <v>104</v>
      </c>
      <c r="AU68" s="6" t="s">
        <v>104</v>
      </c>
      <c r="AV68" s="6" t="s">
        <v>104</v>
      </c>
      <c r="AW68" s="6" t="s">
        <v>104</v>
      </c>
      <c r="AX68" s="6" t="s">
        <v>20169</v>
      </c>
      <c r="AY68" s="6" t="s">
        <v>21909</v>
      </c>
      <c r="AZ68" s="6" t="s">
        <v>104</v>
      </c>
      <c r="BA68" s="6" t="s">
        <v>24276</v>
      </c>
      <c r="BB68" s="6" t="s">
        <v>104</v>
      </c>
      <c r="BC68" s="26"/>
      <c r="BD68" s="26"/>
      <c r="BE68" s="26"/>
      <c r="BF68" s="26"/>
      <c r="BG68" s="26"/>
      <c r="BH68" s="26"/>
      <c r="BI68" s="26"/>
      <c r="BJ68" s="26"/>
      <c r="BK68" s="26"/>
      <c r="BL68" s="26"/>
      <c r="BM68" s="26"/>
      <c r="BN68" s="26"/>
      <c r="BO68" s="26"/>
      <c r="BP68" s="16" t="n">
        <v>45692</v>
      </c>
      <c r="BQ68" s="28" t="str">
        <f>HYPERLINK("https://organic.ams.usda.gov/Integrity/Certificate.aspx?cid=17&amp;nopid=4080206867")</f>
        <v>https://organic.ams.usda.gov/Integrity/Certificate.aspx?cid=17&amp;nopid=4080206867</v>
      </c>
    </row>
    <row r="69">
      <c r="A69" t="s">
        <v>3</v>
      </c>
      <c r="B69" s="6" t="s">
        <v>28</v>
      </c>
      <c r="C69" s="6" t="s">
        <v>94</v>
      </c>
      <c r="D69" s="6" t="s">
        <v>159</v>
      </c>
      <c r="E69" s="10" t="s">
        <v>267</v>
      </c>
      <c r="F69" s="6" t="s">
        <v>2527</v>
      </c>
      <c r="G69" s="6" t="s">
        <v>104</v>
      </c>
      <c r="H69" s="6" t="s">
        <v>4952</v>
      </c>
      <c r="I69" s="6" t="s">
        <v>6951</v>
      </c>
      <c r="J69" s="6" t="s">
        <v>8181</v>
      </c>
      <c r="K69" s="6" t="s">
        <v>9714</v>
      </c>
      <c r="L69" s="16" t="n">
        <v>45439</v>
      </c>
      <c r="M69" s="16" t="n">
        <v>45748</v>
      </c>
      <c r="N69" s="6" t="s">
        <v>9714</v>
      </c>
      <c r="O69" s="16" t="n">
        <v>45439</v>
      </c>
      <c r="P69" s="6" t="s">
        <v>9744</v>
      </c>
      <c r="Q69" s="6" t="s">
        <v>104</v>
      </c>
      <c r="R69" s="6" t="s">
        <v>10296</v>
      </c>
      <c r="S69" s="6" t="s">
        <v>104</v>
      </c>
      <c r="T69" s="21" t="s">
        <v>104</v>
      </c>
      <c r="U69" s="6" t="s">
        <v>104</v>
      </c>
      <c r="V69" s="6" t="s">
        <v>104</v>
      </c>
      <c r="W69" s="6" t="s">
        <v>104</v>
      </c>
      <c r="X69" s="6" t="s">
        <v>104</v>
      </c>
      <c r="Y69" s="21" t="s">
        <v>104</v>
      </c>
      <c r="Z69" s="6" t="s">
        <v>104</v>
      </c>
      <c r="AA69" s="6" t="s">
        <v>104</v>
      </c>
      <c r="AB69" s="6" t="s">
        <v>104</v>
      </c>
      <c r="AC69" s="6" t="s">
        <v>9714</v>
      </c>
      <c r="AD69" s="16" t="n">
        <v>45439</v>
      </c>
      <c r="AE69" s="6" t="s">
        <v>10592</v>
      </c>
      <c r="AF69" s="6" t="s">
        <v>104</v>
      </c>
      <c r="AG69" s="6" t="s">
        <v>10296</v>
      </c>
      <c r="AH69" s="6" t="s">
        <v>13214</v>
      </c>
      <c r="AI69" s="6" t="s">
        <v>104</v>
      </c>
      <c r="AJ69" s="6" t="s">
        <v>15408</v>
      </c>
      <c r="AK69" s="6" t="s">
        <v>104</v>
      </c>
      <c r="AL69" s="6" t="s">
        <v>16703</v>
      </c>
      <c r="AM69" s="6" t="s">
        <v>17032</v>
      </c>
      <c r="AN69" s="6" t="s">
        <v>104</v>
      </c>
      <c r="AO69" s="6" t="s">
        <v>104</v>
      </c>
      <c r="AP69" s="6" t="s">
        <v>104</v>
      </c>
      <c r="AQ69" s="6" t="s">
        <v>104</v>
      </c>
      <c r="AR69" s="6" t="s">
        <v>104</v>
      </c>
      <c r="AS69" s="6" t="s">
        <v>104</v>
      </c>
      <c r="AT69" s="6" t="s">
        <v>104</v>
      </c>
      <c r="AU69" s="6" t="s">
        <v>104</v>
      </c>
      <c r="AV69" s="6" t="s">
        <v>104</v>
      </c>
      <c r="AW69" s="6" t="s">
        <v>104</v>
      </c>
      <c r="AX69" s="6" t="s">
        <v>20170</v>
      </c>
      <c r="AY69" s="6" t="s">
        <v>21910</v>
      </c>
      <c r="AZ69" s="6" t="s">
        <v>104</v>
      </c>
      <c r="BA69" s="6" t="s">
        <v>104</v>
      </c>
      <c r="BB69" s="24" t="n">
        <v>247</v>
      </c>
      <c r="BC69" s="26"/>
      <c r="BD69" s="26"/>
      <c r="BE69" s="26"/>
      <c r="BF69" s="26"/>
      <c r="BG69" s="26"/>
      <c r="BH69" s="26"/>
      <c r="BI69" s="26"/>
      <c r="BJ69" s="26"/>
      <c r="BK69" s="26"/>
      <c r="BL69" s="26"/>
      <c r="BM69" s="26"/>
      <c r="BN69" s="26"/>
      <c r="BO69" s="26"/>
      <c r="BP69" s="16" t="n">
        <v>45653</v>
      </c>
      <c r="BQ69" s="28" t="str">
        <f>HYPERLINK("https://organic.ams.usda.gov/Integrity/Certificate.aspx?cid=11&amp;nopid=4797128400")</f>
        <v>https://organic.ams.usda.gov/Integrity/Certificate.aspx?cid=11&amp;nopid=4797128400</v>
      </c>
    </row>
    <row r="70">
      <c r="A70" t="s">
        <v>3</v>
      </c>
      <c r="B70" s="6" t="s">
        <v>20</v>
      </c>
      <c r="C70" s="6" t="s">
        <v>86</v>
      </c>
      <c r="D70" s="6" t="s">
        <v>151</v>
      </c>
      <c r="E70" s="10" t="s">
        <v>268</v>
      </c>
      <c r="F70" s="6" t="s">
        <v>2528</v>
      </c>
      <c r="G70" s="6" t="s">
        <v>104</v>
      </c>
      <c r="H70" s="6" t="s">
        <v>4953</v>
      </c>
      <c r="I70" s="6" t="s">
        <v>6970</v>
      </c>
      <c r="J70" s="6" t="s">
        <v>8182</v>
      </c>
      <c r="K70" s="6" t="s">
        <v>9714</v>
      </c>
      <c r="L70" s="16" t="n">
        <v>45657</v>
      </c>
      <c r="M70" s="16" t="n">
        <v>45930</v>
      </c>
      <c r="N70" s="6" t="s">
        <v>104</v>
      </c>
      <c r="O70" s="21" t="s">
        <v>104</v>
      </c>
      <c r="P70" s="6" t="s">
        <v>104</v>
      </c>
      <c r="Q70" s="6" t="s">
        <v>104</v>
      </c>
      <c r="R70" s="6" t="s">
        <v>104</v>
      </c>
      <c r="S70" s="6" t="s">
        <v>104</v>
      </c>
      <c r="T70" s="21" t="s">
        <v>104</v>
      </c>
      <c r="U70" s="6" t="s">
        <v>104</v>
      </c>
      <c r="V70" s="6" t="s">
        <v>104</v>
      </c>
      <c r="W70" s="6" t="s">
        <v>104</v>
      </c>
      <c r="X70" s="6" t="s">
        <v>104</v>
      </c>
      <c r="Y70" s="21" t="s">
        <v>104</v>
      </c>
      <c r="Z70" s="6" t="s">
        <v>104</v>
      </c>
      <c r="AA70" s="6" t="s">
        <v>104</v>
      </c>
      <c r="AB70" s="6" t="s">
        <v>104</v>
      </c>
      <c r="AC70" s="6" t="s">
        <v>9714</v>
      </c>
      <c r="AD70" s="16" t="n">
        <v>45657</v>
      </c>
      <c r="AE70" s="6" t="s">
        <v>10593</v>
      </c>
      <c r="AF70" s="6" t="s">
        <v>104</v>
      </c>
      <c r="AG70" s="6" t="s">
        <v>12505</v>
      </c>
      <c r="AH70" s="6" t="s">
        <v>13215</v>
      </c>
      <c r="AI70" s="6" t="s">
        <v>104</v>
      </c>
      <c r="AJ70" s="6" t="s">
        <v>15409</v>
      </c>
      <c r="AK70" s="6" t="s">
        <v>7128</v>
      </c>
      <c r="AL70" s="6" t="s">
        <v>16703</v>
      </c>
      <c r="AM70" s="6" t="s">
        <v>17033</v>
      </c>
      <c r="AN70" s="6" t="s">
        <v>104</v>
      </c>
      <c r="AO70" s="6" t="s">
        <v>104</v>
      </c>
      <c r="AP70" s="6" t="s">
        <v>104</v>
      </c>
      <c r="AQ70" s="6" t="s">
        <v>104</v>
      </c>
      <c r="AR70" s="6" t="s">
        <v>104</v>
      </c>
      <c r="AS70" s="6" t="s">
        <v>104</v>
      </c>
      <c r="AT70" s="6" t="s">
        <v>104</v>
      </c>
      <c r="AU70" s="6" t="s">
        <v>104</v>
      </c>
      <c r="AV70" s="6" t="s">
        <v>104</v>
      </c>
      <c r="AW70" s="6" t="s">
        <v>104</v>
      </c>
      <c r="AX70" s="6" t="s">
        <v>20171</v>
      </c>
      <c r="AY70" s="6" t="s">
        <v>21911</v>
      </c>
      <c r="AZ70" s="6" t="s">
        <v>23700</v>
      </c>
      <c r="BA70" s="6" t="s">
        <v>104</v>
      </c>
      <c r="BB70" s="6" t="s">
        <v>104</v>
      </c>
      <c r="BC70" s="26"/>
      <c r="BD70" s="26"/>
      <c r="BE70" s="26"/>
      <c r="BF70" s="26"/>
      <c r="BG70" s="26"/>
      <c r="BH70" s="26"/>
      <c r="BI70" s="26"/>
      <c r="BJ70" s="26"/>
      <c r="BK70" s="26"/>
      <c r="BL70" s="26"/>
      <c r="BM70" s="26"/>
      <c r="BN70" s="26"/>
      <c r="BO70" s="26"/>
      <c r="BP70" s="16" t="n">
        <v>45657</v>
      </c>
      <c r="BQ70" s="28" t="str">
        <f>HYPERLINK("https://organic.ams.usda.gov/Integrity/Certificate.aspx?cid=17&amp;nopid=4080206111")</f>
        <v>https://organic.ams.usda.gov/Integrity/Certificate.aspx?cid=17&amp;nopid=4080206111</v>
      </c>
    </row>
    <row r="71">
      <c r="A71" t="s">
        <v>3</v>
      </c>
      <c r="B71" s="6" t="s">
        <v>28</v>
      </c>
      <c r="C71" s="6" t="s">
        <v>94</v>
      </c>
      <c r="D71" s="6" t="s">
        <v>159</v>
      </c>
      <c r="E71" s="10" t="s">
        <v>269</v>
      </c>
      <c r="F71" s="6" t="s">
        <v>2529</v>
      </c>
      <c r="G71" s="6" t="s">
        <v>104</v>
      </c>
      <c r="H71" s="6" t="s">
        <v>4954</v>
      </c>
      <c r="I71" s="6" t="s">
        <v>6971</v>
      </c>
      <c r="J71" s="6" t="s">
        <v>8183</v>
      </c>
      <c r="K71" s="6" t="s">
        <v>9714</v>
      </c>
      <c r="L71" s="16" t="n">
        <v>45434</v>
      </c>
      <c r="M71" s="16" t="n">
        <v>45748</v>
      </c>
      <c r="N71" s="6" t="s">
        <v>9714</v>
      </c>
      <c r="O71" s="16" t="n">
        <v>45434</v>
      </c>
      <c r="P71" s="6" t="s">
        <v>9745</v>
      </c>
      <c r="Q71" s="6" t="s">
        <v>104</v>
      </c>
      <c r="R71" s="6" t="s">
        <v>10297</v>
      </c>
      <c r="S71" s="6" t="s">
        <v>104</v>
      </c>
      <c r="T71" s="21" t="s">
        <v>104</v>
      </c>
      <c r="U71" s="6" t="s">
        <v>104</v>
      </c>
      <c r="V71" s="6" t="s">
        <v>104</v>
      </c>
      <c r="W71" s="6" t="s">
        <v>104</v>
      </c>
      <c r="X71" s="6" t="s">
        <v>104</v>
      </c>
      <c r="Y71" s="21" t="s">
        <v>104</v>
      </c>
      <c r="Z71" s="6" t="s">
        <v>104</v>
      </c>
      <c r="AA71" s="6" t="s">
        <v>104</v>
      </c>
      <c r="AB71" s="6" t="s">
        <v>104</v>
      </c>
      <c r="AC71" s="6" t="s">
        <v>9714</v>
      </c>
      <c r="AD71" s="16" t="n">
        <v>45434</v>
      </c>
      <c r="AE71" s="6" t="s">
        <v>10594</v>
      </c>
      <c r="AF71" s="6" t="s">
        <v>104</v>
      </c>
      <c r="AG71" s="6" t="s">
        <v>10297</v>
      </c>
      <c r="AH71" s="6" t="s">
        <v>13216</v>
      </c>
      <c r="AI71" s="6" t="s">
        <v>104</v>
      </c>
      <c r="AJ71" s="6" t="s">
        <v>15388</v>
      </c>
      <c r="AK71" s="6" t="s">
        <v>104</v>
      </c>
      <c r="AL71" s="6" t="s">
        <v>16703</v>
      </c>
      <c r="AM71" s="6" t="s">
        <v>17034</v>
      </c>
      <c r="AN71" s="6" t="s">
        <v>104</v>
      </c>
      <c r="AO71" s="6" t="s">
        <v>104</v>
      </c>
      <c r="AP71" s="6" t="s">
        <v>104</v>
      </c>
      <c r="AQ71" s="6" t="s">
        <v>104</v>
      </c>
      <c r="AR71" s="6" t="s">
        <v>104</v>
      </c>
      <c r="AS71" s="6" t="s">
        <v>104</v>
      </c>
      <c r="AT71" s="6" t="s">
        <v>104</v>
      </c>
      <c r="AU71" s="6" t="s">
        <v>104</v>
      </c>
      <c r="AV71" s="6" t="s">
        <v>104</v>
      </c>
      <c r="AW71" s="6" t="s">
        <v>104</v>
      </c>
      <c r="AX71" s="6" t="s">
        <v>20172</v>
      </c>
      <c r="AY71" s="6" t="s">
        <v>21912</v>
      </c>
      <c r="AZ71" s="6" t="s">
        <v>104</v>
      </c>
      <c r="BA71" s="6" t="s">
        <v>104</v>
      </c>
      <c r="BB71" s="24" t="n">
        <v>279</v>
      </c>
      <c r="BC71" s="26"/>
      <c r="BD71" s="26"/>
      <c r="BE71" s="26"/>
      <c r="BF71" s="26"/>
      <c r="BG71" s="26"/>
      <c r="BH71" s="26"/>
      <c r="BI71" s="26"/>
      <c r="BJ71" s="26"/>
      <c r="BK71" s="26"/>
      <c r="BL71" s="26"/>
      <c r="BM71" s="26"/>
      <c r="BN71" s="26"/>
      <c r="BO71" s="26"/>
      <c r="BP71" s="16" t="n">
        <v>45653</v>
      </c>
      <c r="BQ71" s="28" t="str">
        <f>HYPERLINK("https://organic.ams.usda.gov/Integrity/Certificate.aspx?cid=11&amp;nopid=4797128500")</f>
        <v>https://organic.ams.usda.gov/Integrity/Certificate.aspx?cid=11&amp;nopid=4797128500</v>
      </c>
    </row>
    <row r="72">
      <c r="A72" t="s">
        <v>3</v>
      </c>
      <c r="B72" s="6" t="s">
        <v>29</v>
      </c>
      <c r="C72" s="6" t="s">
        <v>95</v>
      </c>
      <c r="D72" s="6" t="s">
        <v>160</v>
      </c>
      <c r="E72" s="10" t="s">
        <v>270</v>
      </c>
      <c r="F72" s="6" t="s">
        <v>2530</v>
      </c>
      <c r="G72" s="6" t="s">
        <v>104</v>
      </c>
      <c r="H72" s="6" t="s">
        <v>4955</v>
      </c>
      <c r="I72" s="6" t="s">
        <v>104</v>
      </c>
      <c r="J72" s="6" t="s">
        <v>8184</v>
      </c>
      <c r="K72" s="6" t="s">
        <v>9714</v>
      </c>
      <c r="L72" s="16" t="n">
        <v>44606</v>
      </c>
      <c r="M72" s="16" t="n">
        <v>45870</v>
      </c>
      <c r="N72" s="6" t="s">
        <v>9714</v>
      </c>
      <c r="O72" s="16" t="n">
        <v>44606</v>
      </c>
      <c r="P72" s="6" t="s">
        <v>9746</v>
      </c>
      <c r="Q72" s="6" t="s">
        <v>104</v>
      </c>
      <c r="R72" s="6" t="s">
        <v>104</v>
      </c>
      <c r="S72" s="6" t="s">
        <v>104</v>
      </c>
      <c r="T72" s="21" t="s">
        <v>104</v>
      </c>
      <c r="U72" s="6" t="s">
        <v>104</v>
      </c>
      <c r="V72" s="6" t="s">
        <v>104</v>
      </c>
      <c r="W72" s="6" t="s">
        <v>104</v>
      </c>
      <c r="X72" s="6" t="s">
        <v>104</v>
      </c>
      <c r="Y72" s="21" t="s">
        <v>104</v>
      </c>
      <c r="Z72" s="6" t="s">
        <v>104</v>
      </c>
      <c r="AA72" s="6" t="s">
        <v>104</v>
      </c>
      <c r="AB72" s="6" t="s">
        <v>104</v>
      </c>
      <c r="AC72" s="6" t="s">
        <v>9714</v>
      </c>
      <c r="AD72" s="16" t="n">
        <v>44606</v>
      </c>
      <c r="AE72" s="6" t="s">
        <v>10595</v>
      </c>
      <c r="AF72" s="6" t="s">
        <v>104</v>
      </c>
      <c r="AG72" s="6" t="s">
        <v>104</v>
      </c>
      <c r="AH72" s="6" t="s">
        <v>13217</v>
      </c>
      <c r="AI72" s="6" t="s">
        <v>104</v>
      </c>
      <c r="AJ72" s="6" t="s">
        <v>15388</v>
      </c>
      <c r="AK72" s="6" t="s">
        <v>16703</v>
      </c>
      <c r="AL72" s="6" t="s">
        <v>16703</v>
      </c>
      <c r="AM72" s="6" t="s">
        <v>17035</v>
      </c>
      <c r="AN72" s="6" t="s">
        <v>104</v>
      </c>
      <c r="AO72" s="6" t="s">
        <v>104</v>
      </c>
      <c r="AP72" s="6" t="s">
        <v>104</v>
      </c>
      <c r="AQ72" s="6" t="s">
        <v>104</v>
      </c>
      <c r="AR72" s="6" t="s">
        <v>104</v>
      </c>
      <c r="AS72" s="6" t="s">
        <v>104</v>
      </c>
      <c r="AT72" s="6" t="s">
        <v>104</v>
      </c>
      <c r="AU72" s="6" t="s">
        <v>104</v>
      </c>
      <c r="AV72" s="6" t="s">
        <v>104</v>
      </c>
      <c r="AW72" s="6" t="s">
        <v>104</v>
      </c>
      <c r="AX72" s="6" t="s">
        <v>20173</v>
      </c>
      <c r="AY72" s="6" t="s">
        <v>21913</v>
      </c>
      <c r="AZ72" s="6" t="s">
        <v>104</v>
      </c>
      <c r="BA72" s="6" t="s">
        <v>104</v>
      </c>
      <c r="BB72" s="24" t="n">
        <v>1367</v>
      </c>
      <c r="BC72" s="26"/>
      <c r="BD72" s="26"/>
      <c r="BE72" s="26"/>
      <c r="BF72" s="26"/>
      <c r="BG72" s="26"/>
      <c r="BH72" s="26"/>
      <c r="BI72" s="26"/>
      <c r="BJ72" s="26"/>
      <c r="BK72" s="26"/>
      <c r="BL72" s="26"/>
      <c r="BM72" s="26"/>
      <c r="BN72" s="26"/>
      <c r="BO72" s="26"/>
      <c r="BP72" s="16" t="n">
        <v>45738</v>
      </c>
      <c r="BQ72" s="28" t="str">
        <f>HYPERLINK("https://organic.ams.usda.gov/Integrity/Certificate.aspx?cid=24&amp;nopid=7880239117")</f>
        <v>https://organic.ams.usda.gov/Integrity/Certificate.aspx?cid=24&amp;nopid=7880239117</v>
      </c>
    </row>
    <row r="73">
      <c r="A73" t="s">
        <v>3</v>
      </c>
      <c r="B73" s="6" t="s">
        <v>17</v>
      </c>
      <c r="C73" s="6" t="s">
        <v>83</v>
      </c>
      <c r="D73" s="6" t="s">
        <v>148</v>
      </c>
      <c r="E73" s="10" t="s">
        <v>271</v>
      </c>
      <c r="F73" s="6" t="s">
        <v>2531</v>
      </c>
      <c r="G73" s="6" t="s">
        <v>104</v>
      </c>
      <c r="H73" s="6" t="s">
        <v>4956</v>
      </c>
      <c r="I73" s="6" t="s">
        <v>6972</v>
      </c>
      <c r="J73" s="6" t="s">
        <v>8185</v>
      </c>
      <c r="K73" s="6" t="s">
        <v>9714</v>
      </c>
      <c r="L73" s="16" t="n">
        <v>44850</v>
      </c>
      <c r="M73" s="16" t="n">
        <v>45901</v>
      </c>
      <c r="N73" s="6" t="s">
        <v>104</v>
      </c>
      <c r="O73" s="21" t="s">
        <v>104</v>
      </c>
      <c r="P73" s="6" t="s">
        <v>104</v>
      </c>
      <c r="Q73" s="6" t="s">
        <v>104</v>
      </c>
      <c r="R73" s="6" t="s">
        <v>104</v>
      </c>
      <c r="S73" s="6" t="s">
        <v>104</v>
      </c>
      <c r="T73" s="21" t="s">
        <v>104</v>
      </c>
      <c r="U73" s="6" t="s">
        <v>104</v>
      </c>
      <c r="V73" s="6" t="s">
        <v>104</v>
      </c>
      <c r="W73" s="6" t="s">
        <v>104</v>
      </c>
      <c r="X73" s="6" t="s">
        <v>104</v>
      </c>
      <c r="Y73" s="21" t="s">
        <v>104</v>
      </c>
      <c r="Z73" s="6" t="s">
        <v>104</v>
      </c>
      <c r="AA73" s="6" t="s">
        <v>104</v>
      </c>
      <c r="AB73" s="6" t="s">
        <v>104</v>
      </c>
      <c r="AC73" s="6" t="s">
        <v>9714</v>
      </c>
      <c r="AD73" s="16" t="n">
        <v>44850</v>
      </c>
      <c r="AE73" s="6" t="s">
        <v>10596</v>
      </c>
      <c r="AF73" s="6" t="s">
        <v>104</v>
      </c>
      <c r="AG73" s="6" t="s">
        <v>104</v>
      </c>
      <c r="AH73" s="6" t="s">
        <v>13218</v>
      </c>
      <c r="AI73" s="6" t="s">
        <v>104</v>
      </c>
      <c r="AJ73" s="6" t="s">
        <v>15410</v>
      </c>
      <c r="AK73" s="6" t="s">
        <v>16680</v>
      </c>
      <c r="AL73" s="6" t="s">
        <v>16931</v>
      </c>
      <c r="AM73" s="6" t="s">
        <v>17036</v>
      </c>
      <c r="AN73" s="6" t="s">
        <v>18462</v>
      </c>
      <c r="AO73" s="6" t="s">
        <v>18569</v>
      </c>
      <c r="AP73" s="6" t="s">
        <v>13218</v>
      </c>
      <c r="AQ73" s="6" t="s">
        <v>104</v>
      </c>
      <c r="AR73" s="6" t="s">
        <v>15410</v>
      </c>
      <c r="AS73" s="6" t="s">
        <v>16680</v>
      </c>
      <c r="AT73" s="6" t="s">
        <v>16931</v>
      </c>
      <c r="AU73" s="6" t="s">
        <v>17036</v>
      </c>
      <c r="AV73" s="6" t="s">
        <v>104</v>
      </c>
      <c r="AW73" s="6" t="s">
        <v>104</v>
      </c>
      <c r="AX73" s="6" t="s">
        <v>20174</v>
      </c>
      <c r="AY73" s="6" t="s">
        <v>21914</v>
      </c>
      <c r="AZ73" s="6" t="s">
        <v>104</v>
      </c>
      <c r="BA73" s="6" t="s">
        <v>104</v>
      </c>
      <c r="BB73" s="24" t="n">
        <v>0</v>
      </c>
      <c r="BC73" s="26"/>
      <c r="BD73" s="26"/>
      <c r="BE73" s="26"/>
      <c r="BF73" s="26"/>
      <c r="BG73" s="26"/>
      <c r="BH73" s="26"/>
      <c r="BI73" s="26"/>
      <c r="BJ73" s="26"/>
      <c r="BK73" s="26"/>
      <c r="BL73" s="26"/>
      <c r="BM73" s="26"/>
      <c r="BN73" s="26"/>
      <c r="BO73" s="26"/>
      <c r="BP73" s="16" t="n">
        <v>45708</v>
      </c>
      <c r="BQ73" s="28" t="str">
        <f>HYPERLINK("https://organic.ams.usda.gov/Integrity/Certificate.aspx?cid=51&amp;nopid=8240101622")</f>
        <v>https://organic.ams.usda.gov/Integrity/Certificate.aspx?cid=51&amp;nopid=8240101622</v>
      </c>
    </row>
    <row r="74">
      <c r="A74" t="s">
        <v>3</v>
      </c>
      <c r="B74" s="6" t="s">
        <v>32</v>
      </c>
      <c r="C74" s="6" t="s">
        <v>98</v>
      </c>
      <c r="D74" s="6" t="s">
        <v>163</v>
      </c>
      <c r="E74" s="10" t="s">
        <v>272</v>
      </c>
      <c r="F74" s="6" t="s">
        <v>2532</v>
      </c>
      <c r="G74" s="6" t="s">
        <v>104</v>
      </c>
      <c r="H74" s="6" t="s">
        <v>4957</v>
      </c>
      <c r="I74" s="6" t="s">
        <v>6973</v>
      </c>
      <c r="J74" s="6" t="s">
        <v>8186</v>
      </c>
      <c r="K74" s="6" t="s">
        <v>9714</v>
      </c>
      <c r="L74" s="16" t="n">
        <v>37299</v>
      </c>
      <c r="M74" s="16" t="n">
        <v>45809</v>
      </c>
      <c r="N74" s="6" t="s">
        <v>9714</v>
      </c>
      <c r="O74" s="16" t="n">
        <v>37299</v>
      </c>
      <c r="P74" s="6" t="s">
        <v>9747</v>
      </c>
      <c r="Q74" s="6" t="s">
        <v>104</v>
      </c>
      <c r="R74" s="6" t="s">
        <v>104</v>
      </c>
      <c r="S74" s="6" t="s">
        <v>104</v>
      </c>
      <c r="T74" s="21" t="s">
        <v>104</v>
      </c>
      <c r="U74" s="6" t="s">
        <v>104</v>
      </c>
      <c r="V74" s="6" t="s">
        <v>104</v>
      </c>
      <c r="W74" s="6" t="s">
        <v>104</v>
      </c>
      <c r="X74" s="6" t="s">
        <v>104</v>
      </c>
      <c r="Y74" s="21" t="s">
        <v>104</v>
      </c>
      <c r="Z74" s="6" t="s">
        <v>104</v>
      </c>
      <c r="AA74" s="6" t="s">
        <v>104</v>
      </c>
      <c r="AB74" s="6" t="s">
        <v>104</v>
      </c>
      <c r="AC74" s="6" t="s">
        <v>9714</v>
      </c>
      <c r="AD74" s="16" t="n">
        <v>37299</v>
      </c>
      <c r="AE74" s="6" t="s">
        <v>10597</v>
      </c>
      <c r="AF74" s="6" t="s">
        <v>104</v>
      </c>
      <c r="AG74" s="6" t="s">
        <v>104</v>
      </c>
      <c r="AH74" s="6" t="s">
        <v>13219</v>
      </c>
      <c r="AI74" s="6" t="s">
        <v>104</v>
      </c>
      <c r="AJ74" s="6" t="s">
        <v>8425</v>
      </c>
      <c r="AK74" s="6" t="s">
        <v>16704</v>
      </c>
      <c r="AL74" s="6" t="s">
        <v>16931</v>
      </c>
      <c r="AM74" s="6" t="s">
        <v>17037</v>
      </c>
      <c r="AN74" s="6" t="s">
        <v>18463</v>
      </c>
      <c r="AO74" s="6" t="s">
        <v>18570</v>
      </c>
      <c r="AP74" s="6" t="s">
        <v>104</v>
      </c>
      <c r="AQ74" s="6" t="s">
        <v>104</v>
      </c>
      <c r="AR74" s="6" t="s">
        <v>104</v>
      </c>
      <c r="AS74" s="6" t="s">
        <v>104</v>
      </c>
      <c r="AT74" s="6" t="s">
        <v>104</v>
      </c>
      <c r="AU74" s="6" t="s">
        <v>104</v>
      </c>
      <c r="AV74" s="6" t="s">
        <v>104</v>
      </c>
      <c r="AW74" s="6" t="s">
        <v>104</v>
      </c>
      <c r="AX74" s="6" t="s">
        <v>20175</v>
      </c>
      <c r="AY74" s="6" t="s">
        <v>104</v>
      </c>
      <c r="AZ74" s="6" t="s">
        <v>104</v>
      </c>
      <c r="BA74" s="6" t="s">
        <v>104</v>
      </c>
      <c r="BB74" s="24" t="n">
        <v>445</v>
      </c>
      <c r="BC74" s="26"/>
      <c r="BD74" s="26"/>
      <c r="BE74" s="26"/>
      <c r="BF74" s="26"/>
      <c r="BG74" s="26"/>
      <c r="BH74" s="26"/>
      <c r="BI74" s="26"/>
      <c r="BJ74" s="26"/>
      <c r="BK74" s="26"/>
      <c r="BL74" s="26"/>
      <c r="BM74" s="26"/>
      <c r="BN74" s="26"/>
      <c r="BO74" s="26"/>
      <c r="BP74" s="16" t="n">
        <v>45623</v>
      </c>
      <c r="BQ74" s="28" t="str">
        <f>HYPERLINK("https://organic.ams.usda.gov/Integrity/Certificate.aspx?cid=64&amp;nopid=8830000379")</f>
        <v>https://organic.ams.usda.gov/Integrity/Certificate.aspx?cid=64&amp;nopid=8830000379</v>
      </c>
    </row>
    <row r="75">
      <c r="A75" t="s">
        <v>3</v>
      </c>
      <c r="B75" s="6" t="s">
        <v>33</v>
      </c>
      <c r="C75" s="6" t="s">
        <v>99</v>
      </c>
      <c r="D75" s="6" t="s">
        <v>164</v>
      </c>
      <c r="E75" s="10" t="s">
        <v>273</v>
      </c>
      <c r="F75" s="6" t="s">
        <v>2533</v>
      </c>
      <c r="G75" s="6" t="s">
        <v>4673</v>
      </c>
      <c r="H75" s="6" t="s">
        <v>104</v>
      </c>
      <c r="I75" s="6" t="s">
        <v>6974</v>
      </c>
      <c r="J75" s="6" t="s">
        <v>8187</v>
      </c>
      <c r="K75" s="6" t="s">
        <v>9714</v>
      </c>
      <c r="L75" s="16" t="n">
        <v>37694</v>
      </c>
      <c r="M75" s="16" t="n">
        <v>46037</v>
      </c>
      <c r="N75" s="6" t="s">
        <v>104</v>
      </c>
      <c r="O75" s="21" t="s">
        <v>104</v>
      </c>
      <c r="P75" s="6" t="s">
        <v>104</v>
      </c>
      <c r="Q75" s="6" t="s">
        <v>104</v>
      </c>
      <c r="R75" s="6" t="s">
        <v>104</v>
      </c>
      <c r="S75" s="6" t="s">
        <v>104</v>
      </c>
      <c r="T75" s="21" t="s">
        <v>104</v>
      </c>
      <c r="U75" s="6" t="s">
        <v>104</v>
      </c>
      <c r="V75" s="6" t="s">
        <v>104</v>
      </c>
      <c r="W75" s="6" t="s">
        <v>104</v>
      </c>
      <c r="X75" s="6" t="s">
        <v>104</v>
      </c>
      <c r="Y75" s="21" t="s">
        <v>104</v>
      </c>
      <c r="Z75" s="6" t="s">
        <v>104</v>
      </c>
      <c r="AA75" s="6" t="s">
        <v>104</v>
      </c>
      <c r="AB75" s="6" t="s">
        <v>104</v>
      </c>
      <c r="AC75" s="6" t="s">
        <v>9714</v>
      </c>
      <c r="AD75" s="16" t="n">
        <v>37694</v>
      </c>
      <c r="AE75" s="6" t="s">
        <v>10598</v>
      </c>
      <c r="AF75" s="6" t="s">
        <v>104</v>
      </c>
      <c r="AG75" s="6" t="s">
        <v>104</v>
      </c>
      <c r="AH75" s="6" t="s">
        <v>13220</v>
      </c>
      <c r="AI75" s="6" t="s">
        <v>104</v>
      </c>
      <c r="AJ75" s="6" t="s">
        <v>15411</v>
      </c>
      <c r="AK75" s="6" t="s">
        <v>16683</v>
      </c>
      <c r="AL75" s="6" t="s">
        <v>16931</v>
      </c>
      <c r="AM75" s="6" t="s">
        <v>17038</v>
      </c>
      <c r="AN75" s="6" t="s">
        <v>18464</v>
      </c>
      <c r="AO75" s="6" t="s">
        <v>18571</v>
      </c>
      <c r="AP75" s="6" t="s">
        <v>18962</v>
      </c>
      <c r="AQ75" s="6" t="s">
        <v>104</v>
      </c>
      <c r="AR75" s="6" t="s">
        <v>15411</v>
      </c>
      <c r="AS75" s="6" t="s">
        <v>16683</v>
      </c>
      <c r="AT75" s="6" t="s">
        <v>16931</v>
      </c>
      <c r="AU75" s="6" t="s">
        <v>17038</v>
      </c>
      <c r="AV75" s="6" t="s">
        <v>104</v>
      </c>
      <c r="AW75" s="6" t="s">
        <v>104</v>
      </c>
      <c r="AX75" s="6" t="s">
        <v>20176</v>
      </c>
      <c r="AY75" s="6" t="s">
        <v>21915</v>
      </c>
      <c r="AZ75" s="6" t="s">
        <v>23701</v>
      </c>
      <c r="BA75" s="6" t="s">
        <v>24277</v>
      </c>
      <c r="BB75" s="6" t="s">
        <v>104</v>
      </c>
      <c r="BC75" s="26"/>
      <c r="BD75" s="26"/>
      <c r="BE75" s="26"/>
      <c r="BF75" s="26"/>
      <c r="BG75" s="26"/>
      <c r="BH75" s="26"/>
      <c r="BI75" s="26"/>
      <c r="BJ75" s="26"/>
      <c r="BK75" s="26"/>
      <c r="BL75" s="26"/>
      <c r="BM75" s="26"/>
      <c r="BN75" s="26"/>
      <c r="BO75" s="26"/>
      <c r="BP75" s="16" t="n">
        <v>45736</v>
      </c>
      <c r="BQ75" s="28" t="str">
        <f>HYPERLINK("https://organic.ams.usda.gov/Integrity/Certificate.aspx?cid=46&amp;nopid=3670300004")</f>
        <v>https://organic.ams.usda.gov/Integrity/Certificate.aspx?cid=46&amp;nopid=3670300004</v>
      </c>
    </row>
    <row r="76">
      <c r="A76" t="s">
        <v>3</v>
      </c>
      <c r="B76" s="6" t="s">
        <v>34</v>
      </c>
      <c r="C76" s="6" t="s">
        <v>100</v>
      </c>
      <c r="D76" s="6" t="s">
        <v>165</v>
      </c>
      <c r="E76" s="10" t="s">
        <v>274</v>
      </c>
      <c r="F76" s="6" t="s">
        <v>2534</v>
      </c>
      <c r="G76" s="6" t="s">
        <v>104</v>
      </c>
      <c r="H76" s="6" t="s">
        <v>4958</v>
      </c>
      <c r="I76" s="6" t="s">
        <v>6975</v>
      </c>
      <c r="J76" s="6" t="s">
        <v>8188</v>
      </c>
      <c r="K76" s="6" t="s">
        <v>9714</v>
      </c>
      <c r="L76" s="16" t="n">
        <v>37375</v>
      </c>
      <c r="M76" s="16" t="n">
        <v>45839</v>
      </c>
      <c r="N76" s="6" t="s">
        <v>104</v>
      </c>
      <c r="O76" s="21" t="s">
        <v>104</v>
      </c>
      <c r="P76" s="6" t="s">
        <v>104</v>
      </c>
      <c r="Q76" s="6" t="s">
        <v>104</v>
      </c>
      <c r="R76" s="6" t="s">
        <v>104</v>
      </c>
      <c r="S76" s="6" t="s">
        <v>104</v>
      </c>
      <c r="T76" s="21" t="s">
        <v>104</v>
      </c>
      <c r="U76" s="6" t="s">
        <v>104</v>
      </c>
      <c r="V76" s="6" t="s">
        <v>104</v>
      </c>
      <c r="W76" s="6" t="s">
        <v>104</v>
      </c>
      <c r="X76" s="6" t="s">
        <v>104</v>
      </c>
      <c r="Y76" s="21" t="s">
        <v>104</v>
      </c>
      <c r="Z76" s="6" t="s">
        <v>104</v>
      </c>
      <c r="AA76" s="6" t="s">
        <v>104</v>
      </c>
      <c r="AB76" s="6" t="s">
        <v>104</v>
      </c>
      <c r="AC76" s="6" t="s">
        <v>9714</v>
      </c>
      <c r="AD76" s="16" t="n">
        <v>37375</v>
      </c>
      <c r="AE76" s="6" t="s">
        <v>10599</v>
      </c>
      <c r="AF76" s="6" t="s">
        <v>104</v>
      </c>
      <c r="AG76" s="6" t="s">
        <v>12506</v>
      </c>
      <c r="AH76" s="6" t="s">
        <v>13221</v>
      </c>
      <c r="AI76" s="6" t="s">
        <v>104</v>
      </c>
      <c r="AJ76" s="6" t="s">
        <v>15412</v>
      </c>
      <c r="AK76" s="6" t="s">
        <v>16687</v>
      </c>
      <c r="AL76" s="6" t="s">
        <v>16931</v>
      </c>
      <c r="AM76" s="6" t="s">
        <v>17039</v>
      </c>
      <c r="AN76" s="6" t="s">
        <v>18465</v>
      </c>
      <c r="AO76" s="6" t="s">
        <v>18572</v>
      </c>
      <c r="AP76" s="6" t="s">
        <v>18963</v>
      </c>
      <c r="AQ76" s="6" t="s">
        <v>104</v>
      </c>
      <c r="AR76" s="6" t="s">
        <v>16278</v>
      </c>
      <c r="AS76" s="6" t="s">
        <v>16678</v>
      </c>
      <c r="AT76" s="6" t="s">
        <v>16931</v>
      </c>
      <c r="AU76" s="6" t="s">
        <v>19809</v>
      </c>
      <c r="AV76" s="6" t="s">
        <v>104</v>
      </c>
      <c r="AW76" s="6" t="s">
        <v>104</v>
      </c>
      <c r="AX76" s="6" t="s">
        <v>20177</v>
      </c>
      <c r="AY76" s="6" t="s">
        <v>21916</v>
      </c>
      <c r="AZ76" s="6" t="s">
        <v>104</v>
      </c>
      <c r="BA76" s="6" t="s">
        <v>104</v>
      </c>
      <c r="BB76" s="6" t="s">
        <v>104</v>
      </c>
      <c r="BC76" s="26"/>
      <c r="BD76" s="26"/>
      <c r="BE76" s="26"/>
      <c r="BF76" s="26"/>
      <c r="BG76" s="26"/>
      <c r="BH76" s="26" t="s">
        <v>24533</v>
      </c>
      <c r="BI76" s="26"/>
      <c r="BJ76" s="26"/>
      <c r="BK76" s="26"/>
      <c r="BL76" s="26"/>
      <c r="BM76" s="26"/>
      <c r="BN76" s="26"/>
      <c r="BO76" s="26"/>
      <c r="BP76" s="16" t="n">
        <v>45737</v>
      </c>
      <c r="BQ76" s="28" t="str">
        <f>HYPERLINK("https://organic.ams.usda.gov/Integrity/Certificate.aspx?cid=71&amp;nopid=5520030101")</f>
        <v>https://organic.ams.usda.gov/Integrity/Certificate.aspx?cid=71&amp;nopid=5520030101</v>
      </c>
    </row>
    <row r="77">
      <c r="A77" t="s">
        <v>3</v>
      </c>
      <c r="B77" s="6" t="s">
        <v>28</v>
      </c>
      <c r="C77" s="6" t="s">
        <v>94</v>
      </c>
      <c r="D77" s="6" t="s">
        <v>159</v>
      </c>
      <c r="E77" s="10" t="s">
        <v>275</v>
      </c>
      <c r="F77" s="6" t="s">
        <v>2535</v>
      </c>
      <c r="G77" s="6" t="s">
        <v>104</v>
      </c>
      <c r="H77" s="6" t="s">
        <v>4959</v>
      </c>
      <c r="I77" s="6" t="s">
        <v>6976</v>
      </c>
      <c r="J77" s="6" t="s">
        <v>8189</v>
      </c>
      <c r="K77" s="6" t="s">
        <v>9714</v>
      </c>
      <c r="L77" s="16" t="n">
        <v>43903</v>
      </c>
      <c r="M77" s="16" t="n">
        <v>45748</v>
      </c>
      <c r="N77" s="6" t="s">
        <v>104</v>
      </c>
      <c r="O77" s="21" t="s">
        <v>104</v>
      </c>
      <c r="P77" s="6" t="s">
        <v>104</v>
      </c>
      <c r="Q77" s="6" t="s">
        <v>104</v>
      </c>
      <c r="R77" s="6" t="s">
        <v>104</v>
      </c>
      <c r="S77" s="6" t="s">
        <v>104</v>
      </c>
      <c r="T77" s="21" t="s">
        <v>104</v>
      </c>
      <c r="U77" s="6" t="s">
        <v>104</v>
      </c>
      <c r="V77" s="6" t="s">
        <v>104</v>
      </c>
      <c r="W77" s="6" t="s">
        <v>104</v>
      </c>
      <c r="X77" s="6" t="s">
        <v>104</v>
      </c>
      <c r="Y77" s="21" t="s">
        <v>104</v>
      </c>
      <c r="Z77" s="6" t="s">
        <v>104</v>
      </c>
      <c r="AA77" s="6" t="s">
        <v>104</v>
      </c>
      <c r="AB77" s="6" t="s">
        <v>104</v>
      </c>
      <c r="AC77" s="6" t="s">
        <v>9714</v>
      </c>
      <c r="AD77" s="16" t="n">
        <v>43903</v>
      </c>
      <c r="AE77" s="6" t="s">
        <v>10600</v>
      </c>
      <c r="AF77" s="6" t="s">
        <v>104</v>
      </c>
      <c r="AG77" s="6" t="s">
        <v>104</v>
      </c>
      <c r="AH77" s="6" t="s">
        <v>13222</v>
      </c>
      <c r="AI77" s="6" t="s">
        <v>104</v>
      </c>
      <c r="AJ77" s="6" t="s">
        <v>15413</v>
      </c>
      <c r="AK77" s="6" t="s">
        <v>104</v>
      </c>
      <c r="AL77" s="6" t="s">
        <v>16941</v>
      </c>
      <c r="AM77" s="6" t="s">
        <v>17040</v>
      </c>
      <c r="AN77" s="6" t="s">
        <v>104</v>
      </c>
      <c r="AO77" s="6" t="s">
        <v>104</v>
      </c>
      <c r="AP77" s="6" t="s">
        <v>13222</v>
      </c>
      <c r="AQ77" s="6" t="s">
        <v>104</v>
      </c>
      <c r="AR77" s="6" t="s">
        <v>15413</v>
      </c>
      <c r="AS77" s="6" t="s">
        <v>104</v>
      </c>
      <c r="AT77" s="6" t="s">
        <v>16941</v>
      </c>
      <c r="AU77" s="6" t="s">
        <v>17040</v>
      </c>
      <c r="AV77" s="6" t="s">
        <v>104</v>
      </c>
      <c r="AW77" s="6" t="s">
        <v>104</v>
      </c>
      <c r="AX77" s="6" t="s">
        <v>20178</v>
      </c>
      <c r="AY77" s="6" t="s">
        <v>21917</v>
      </c>
      <c r="AZ77" s="6" t="s">
        <v>104</v>
      </c>
      <c r="BA77" s="6" t="s">
        <v>104</v>
      </c>
      <c r="BB77" s="6" t="s">
        <v>104</v>
      </c>
      <c r="BC77" s="26"/>
      <c r="BD77" s="26"/>
      <c r="BE77" s="26"/>
      <c r="BF77" s="26"/>
      <c r="BG77" s="26"/>
      <c r="BH77" s="26" t="s">
        <v>24533</v>
      </c>
      <c r="BI77" s="26"/>
      <c r="BJ77" s="26"/>
      <c r="BK77" s="26"/>
      <c r="BL77" s="26"/>
      <c r="BM77" s="26"/>
      <c r="BN77" s="26"/>
      <c r="BO77" s="26"/>
      <c r="BP77" s="16" t="n">
        <v>45672</v>
      </c>
      <c r="BQ77" s="28" t="str">
        <f>HYPERLINK("https://organic.ams.usda.gov/Integrity/Certificate.aspx?cid=11&amp;nopid=4795695513")</f>
        <v>https://organic.ams.usda.gov/Integrity/Certificate.aspx?cid=11&amp;nopid=4795695513</v>
      </c>
    </row>
    <row r="78">
      <c r="A78" t="s">
        <v>3</v>
      </c>
      <c r="B78" s="6" t="s">
        <v>35</v>
      </c>
      <c r="C78" s="6" t="s">
        <v>101</v>
      </c>
      <c r="D78" s="6" t="s">
        <v>166</v>
      </c>
      <c r="E78" s="10" t="s">
        <v>276</v>
      </c>
      <c r="F78" s="6" t="s">
        <v>2536</v>
      </c>
      <c r="G78" s="6" t="s">
        <v>104</v>
      </c>
      <c r="H78" s="6" t="s">
        <v>4960</v>
      </c>
      <c r="I78" s="6" t="s">
        <v>6977</v>
      </c>
      <c r="J78" s="6" t="s">
        <v>8190</v>
      </c>
      <c r="K78" s="6" t="s">
        <v>9714</v>
      </c>
      <c r="L78" s="16" t="n">
        <v>45664</v>
      </c>
      <c r="M78" s="16" t="n">
        <v>46081</v>
      </c>
      <c r="N78" s="6" t="s">
        <v>104</v>
      </c>
      <c r="O78" s="21" t="s">
        <v>104</v>
      </c>
      <c r="P78" s="6" t="s">
        <v>104</v>
      </c>
      <c r="Q78" s="6" t="s">
        <v>104</v>
      </c>
      <c r="R78" s="6" t="s">
        <v>104</v>
      </c>
      <c r="S78" s="6" t="s">
        <v>104</v>
      </c>
      <c r="T78" s="21" t="s">
        <v>104</v>
      </c>
      <c r="U78" s="6" t="s">
        <v>104</v>
      </c>
      <c r="V78" s="6" t="s">
        <v>104</v>
      </c>
      <c r="W78" s="6" t="s">
        <v>104</v>
      </c>
      <c r="X78" s="6" t="s">
        <v>104</v>
      </c>
      <c r="Y78" s="21" t="s">
        <v>104</v>
      </c>
      <c r="Z78" s="6" t="s">
        <v>104</v>
      </c>
      <c r="AA78" s="6" t="s">
        <v>104</v>
      </c>
      <c r="AB78" s="6" t="s">
        <v>104</v>
      </c>
      <c r="AC78" s="6" t="s">
        <v>9714</v>
      </c>
      <c r="AD78" s="16" t="n">
        <v>45664</v>
      </c>
      <c r="AE78" s="6" t="s">
        <v>10601</v>
      </c>
      <c r="AF78" s="6" t="s">
        <v>104</v>
      </c>
      <c r="AG78" s="6" t="s">
        <v>104</v>
      </c>
      <c r="AH78" s="6" t="s">
        <v>13223</v>
      </c>
      <c r="AI78" s="6" t="s">
        <v>104</v>
      </c>
      <c r="AJ78" s="6" t="s">
        <v>15414</v>
      </c>
      <c r="AK78" s="6" t="s">
        <v>104</v>
      </c>
      <c r="AL78" s="6" t="s">
        <v>16942</v>
      </c>
      <c r="AM78" s="6" t="s">
        <v>17041</v>
      </c>
      <c r="AN78" s="6" t="s">
        <v>104</v>
      </c>
      <c r="AO78" s="6" t="s">
        <v>104</v>
      </c>
      <c r="AP78" s="6" t="s">
        <v>18964</v>
      </c>
      <c r="AQ78" s="6" t="s">
        <v>104</v>
      </c>
      <c r="AR78" s="6" t="s">
        <v>19594</v>
      </c>
      <c r="AS78" s="6" t="s">
        <v>19790</v>
      </c>
      <c r="AT78" s="6" t="s">
        <v>16942</v>
      </c>
      <c r="AU78" s="6" t="s">
        <v>19810</v>
      </c>
      <c r="AV78" s="6" t="s">
        <v>104</v>
      </c>
      <c r="AW78" s="6" t="s">
        <v>104</v>
      </c>
      <c r="AX78" s="6" t="s">
        <v>20179</v>
      </c>
      <c r="AY78" s="6" t="s">
        <v>21918</v>
      </c>
      <c r="AZ78" s="6" t="s">
        <v>104</v>
      </c>
      <c r="BA78" s="6" t="s">
        <v>104</v>
      </c>
      <c r="BB78" s="6" t="s">
        <v>104</v>
      </c>
      <c r="BC78" s="26"/>
      <c r="BD78" s="26"/>
      <c r="BE78" s="26"/>
      <c r="BF78" s="26"/>
      <c r="BG78" s="26"/>
      <c r="BH78" s="26"/>
      <c r="BI78" s="26"/>
      <c r="BJ78" s="26"/>
      <c r="BK78" s="26"/>
      <c r="BL78" s="26"/>
      <c r="BM78" s="26"/>
      <c r="BN78" s="26"/>
      <c r="BO78" s="26"/>
      <c r="BP78" s="16" t="n">
        <v>45723</v>
      </c>
      <c r="BQ78" s="28" t="str">
        <f>HYPERLINK("https://organic.ams.usda.gov/Integrity/Certificate.aspx?cid=84&amp;nopid=5380000751")</f>
        <v>https://organic.ams.usda.gov/Integrity/Certificate.aspx?cid=84&amp;nopid=5380000751</v>
      </c>
    </row>
    <row r="79">
      <c r="A79" t="s">
        <v>3</v>
      </c>
      <c r="B79" s="6" t="s">
        <v>36</v>
      </c>
      <c r="C79" s="6" t="s">
        <v>102</v>
      </c>
      <c r="D79" s="6" t="s">
        <v>167</v>
      </c>
      <c r="E79" s="10" t="s">
        <v>277</v>
      </c>
      <c r="F79" s="6" t="s">
        <v>2537</v>
      </c>
      <c r="G79" s="6" t="s">
        <v>104</v>
      </c>
      <c r="H79" s="6" t="s">
        <v>4961</v>
      </c>
      <c r="I79" s="6" t="s">
        <v>6978</v>
      </c>
      <c r="J79" s="6" t="s">
        <v>8191</v>
      </c>
      <c r="K79" s="6" t="s">
        <v>9714</v>
      </c>
      <c r="L79" s="16" t="n">
        <v>45445</v>
      </c>
      <c r="M79" s="16" t="n">
        <v>45808</v>
      </c>
      <c r="N79" s="6" t="s">
        <v>104</v>
      </c>
      <c r="O79" s="21" t="s">
        <v>104</v>
      </c>
      <c r="P79" s="6" t="s">
        <v>104</v>
      </c>
      <c r="Q79" s="6" t="s">
        <v>104</v>
      </c>
      <c r="R79" s="6" t="s">
        <v>104</v>
      </c>
      <c r="S79" s="6" t="s">
        <v>104</v>
      </c>
      <c r="T79" s="21" t="s">
        <v>104</v>
      </c>
      <c r="U79" s="6" t="s">
        <v>104</v>
      </c>
      <c r="V79" s="6" t="s">
        <v>104</v>
      </c>
      <c r="W79" s="6" t="s">
        <v>104</v>
      </c>
      <c r="X79" s="6" t="s">
        <v>104</v>
      </c>
      <c r="Y79" s="21" t="s">
        <v>104</v>
      </c>
      <c r="Z79" s="6" t="s">
        <v>104</v>
      </c>
      <c r="AA79" s="6" t="s">
        <v>104</v>
      </c>
      <c r="AB79" s="6" t="s">
        <v>104</v>
      </c>
      <c r="AC79" s="6" t="s">
        <v>9714</v>
      </c>
      <c r="AD79" s="16" t="n">
        <v>45445</v>
      </c>
      <c r="AE79" s="6" t="s">
        <v>10602</v>
      </c>
      <c r="AF79" s="6" t="s">
        <v>104</v>
      </c>
      <c r="AG79" s="6" t="s">
        <v>104</v>
      </c>
      <c r="AH79" s="6" t="s">
        <v>13224</v>
      </c>
      <c r="AI79" s="6" t="s">
        <v>104</v>
      </c>
      <c r="AJ79" s="6" t="s">
        <v>15415</v>
      </c>
      <c r="AK79" s="6" t="s">
        <v>16705</v>
      </c>
      <c r="AL79" s="6" t="s">
        <v>16931</v>
      </c>
      <c r="AM79" s="6" t="s">
        <v>17042</v>
      </c>
      <c r="AN79" s="6" t="s">
        <v>104</v>
      </c>
      <c r="AO79" s="6" t="s">
        <v>104</v>
      </c>
      <c r="AP79" s="6" t="s">
        <v>13224</v>
      </c>
      <c r="AQ79" s="6" t="s">
        <v>104</v>
      </c>
      <c r="AR79" s="6" t="s">
        <v>15415</v>
      </c>
      <c r="AS79" s="6" t="s">
        <v>16705</v>
      </c>
      <c r="AT79" s="6" t="s">
        <v>16931</v>
      </c>
      <c r="AU79" s="6" t="s">
        <v>17042</v>
      </c>
      <c r="AV79" s="6" t="s">
        <v>104</v>
      </c>
      <c r="AW79" s="6" t="s">
        <v>104</v>
      </c>
      <c r="AX79" s="6" t="s">
        <v>20180</v>
      </c>
      <c r="AY79" s="6" t="s">
        <v>21919</v>
      </c>
      <c r="AZ79" s="6" t="s">
        <v>104</v>
      </c>
      <c r="BA79" s="6" t="s">
        <v>104</v>
      </c>
      <c r="BB79" s="6" t="s">
        <v>104</v>
      </c>
      <c r="BC79" s="26"/>
      <c r="BD79" s="26"/>
      <c r="BE79" s="26"/>
      <c r="BF79" s="26"/>
      <c r="BG79" s="26"/>
      <c r="BH79" s="26"/>
      <c r="BI79" s="26"/>
      <c r="BJ79" s="26"/>
      <c r="BK79" s="26"/>
      <c r="BL79" s="26"/>
      <c r="BM79" s="26"/>
      <c r="BN79" s="26"/>
      <c r="BO79" s="26"/>
      <c r="BP79" s="16" t="n">
        <v>45729</v>
      </c>
      <c r="BQ79" s="28" t="str">
        <f>HYPERLINK("https://organic.ams.usda.gov/Integrity/Certificate.aspx?cid=61&amp;nopid=7270001747")</f>
        <v>https://organic.ams.usda.gov/Integrity/Certificate.aspx?cid=61&amp;nopid=7270001747</v>
      </c>
    </row>
    <row r="80">
      <c r="A80" t="s">
        <v>3</v>
      </c>
      <c r="B80" s="6" t="s">
        <v>37</v>
      </c>
      <c r="C80" s="6" t="s">
        <v>103</v>
      </c>
      <c r="D80" s="6" t="s">
        <v>168</v>
      </c>
      <c r="E80" s="10" t="s">
        <v>278</v>
      </c>
      <c r="F80" s="6" t="s">
        <v>2538</v>
      </c>
      <c r="G80" s="6" t="s">
        <v>104</v>
      </c>
      <c r="H80" s="6" t="s">
        <v>4962</v>
      </c>
      <c r="I80" s="6" t="s">
        <v>6979</v>
      </c>
      <c r="J80" s="6" t="s">
        <v>8192</v>
      </c>
      <c r="K80" s="6" t="s">
        <v>9714</v>
      </c>
      <c r="L80" s="16" t="n">
        <v>45397</v>
      </c>
      <c r="M80" s="16" t="n">
        <v>45748</v>
      </c>
      <c r="N80" s="6" t="s">
        <v>9714</v>
      </c>
      <c r="O80" s="16" t="n">
        <v>45397</v>
      </c>
      <c r="P80" s="6" t="s">
        <v>9748</v>
      </c>
      <c r="Q80" s="6" t="s">
        <v>104</v>
      </c>
      <c r="R80" s="6" t="s">
        <v>10298</v>
      </c>
      <c r="S80" s="6" t="s">
        <v>9714</v>
      </c>
      <c r="T80" s="16" t="n">
        <v>45397</v>
      </c>
      <c r="U80" s="6" t="s">
        <v>10466</v>
      </c>
      <c r="V80" s="6" t="s">
        <v>104</v>
      </c>
      <c r="W80" s="6" t="s">
        <v>104</v>
      </c>
      <c r="X80" s="6" t="s">
        <v>104</v>
      </c>
      <c r="Y80" s="21" t="s">
        <v>104</v>
      </c>
      <c r="Z80" s="6" t="s">
        <v>104</v>
      </c>
      <c r="AA80" s="6" t="s">
        <v>104</v>
      </c>
      <c r="AB80" s="6" t="s">
        <v>104</v>
      </c>
      <c r="AC80" s="6" t="s">
        <v>104</v>
      </c>
      <c r="AD80" s="21" t="s">
        <v>104</v>
      </c>
      <c r="AE80" s="6" t="s">
        <v>104</v>
      </c>
      <c r="AF80" s="6" t="s">
        <v>104</v>
      </c>
      <c r="AG80" s="6" t="s">
        <v>104</v>
      </c>
      <c r="AH80" s="6" t="s">
        <v>13225</v>
      </c>
      <c r="AI80" s="6" t="s">
        <v>104</v>
      </c>
      <c r="AJ80" s="6" t="s">
        <v>15416</v>
      </c>
      <c r="AK80" s="6" t="s">
        <v>16706</v>
      </c>
      <c r="AL80" s="6" t="s">
        <v>16931</v>
      </c>
      <c r="AM80" s="6" t="s">
        <v>17043</v>
      </c>
      <c r="AN80" s="6" t="s">
        <v>104</v>
      </c>
      <c r="AO80" s="6" t="s">
        <v>104</v>
      </c>
      <c r="AP80" s="6" t="s">
        <v>13225</v>
      </c>
      <c r="AQ80" s="6" t="s">
        <v>104</v>
      </c>
      <c r="AR80" s="6" t="s">
        <v>15416</v>
      </c>
      <c r="AS80" s="6" t="s">
        <v>16706</v>
      </c>
      <c r="AT80" s="6" t="s">
        <v>16931</v>
      </c>
      <c r="AU80" s="6" t="s">
        <v>17043</v>
      </c>
      <c r="AV80" s="6" t="s">
        <v>104</v>
      </c>
      <c r="AW80" s="6" t="s">
        <v>104</v>
      </c>
      <c r="AX80" s="6" t="s">
        <v>20181</v>
      </c>
      <c r="AY80" s="6" t="s">
        <v>104</v>
      </c>
      <c r="AZ80" s="6" t="s">
        <v>104</v>
      </c>
      <c r="BA80" s="6" t="s">
        <v>104</v>
      </c>
      <c r="BB80" s="24" t="n">
        <v>116</v>
      </c>
      <c r="BC80" s="26"/>
      <c r="BD80" s="26"/>
      <c r="BE80" s="26"/>
      <c r="BF80" s="26"/>
      <c r="BG80" s="26"/>
      <c r="BH80" s="26"/>
      <c r="BI80" s="26"/>
      <c r="BJ80" s="26"/>
      <c r="BK80" s="26"/>
      <c r="BL80" s="26"/>
      <c r="BM80" s="26"/>
      <c r="BN80" s="26"/>
      <c r="BO80" s="26"/>
      <c r="BP80" s="16" t="n">
        <v>45730</v>
      </c>
      <c r="BQ80" s="28" t="str">
        <f>HYPERLINK("https://organic.ams.usda.gov/Integrity/Certificate.aspx?cid=90&amp;nopid=7170240769")</f>
        <v>https://organic.ams.usda.gov/Integrity/Certificate.aspx?cid=90&amp;nopid=7170240769</v>
      </c>
    </row>
    <row r="81">
      <c r="A81" t="s">
        <v>3</v>
      </c>
      <c r="B81" s="6" t="s">
        <v>21</v>
      </c>
      <c r="C81" s="6" t="s">
        <v>87</v>
      </c>
      <c r="D81" s="6" t="s">
        <v>152</v>
      </c>
      <c r="E81" s="10" t="s">
        <v>279</v>
      </c>
      <c r="F81" s="6" t="s">
        <v>2539</v>
      </c>
      <c r="G81" s="6" t="s">
        <v>104</v>
      </c>
      <c r="H81" s="6" t="s">
        <v>4963</v>
      </c>
      <c r="I81" s="6" t="s">
        <v>6980</v>
      </c>
      <c r="J81" s="6" t="s">
        <v>8193</v>
      </c>
      <c r="K81" s="6" t="s">
        <v>9714</v>
      </c>
      <c r="L81" s="16" t="n">
        <v>43950</v>
      </c>
      <c r="M81" s="16" t="n">
        <v>46023</v>
      </c>
      <c r="N81" s="6" t="s">
        <v>104</v>
      </c>
      <c r="O81" s="21" t="s">
        <v>104</v>
      </c>
      <c r="P81" s="6" t="s">
        <v>104</v>
      </c>
      <c r="Q81" s="6" t="s">
        <v>104</v>
      </c>
      <c r="R81" s="6" t="s">
        <v>104</v>
      </c>
      <c r="S81" s="6" t="s">
        <v>104</v>
      </c>
      <c r="T81" s="21" t="s">
        <v>104</v>
      </c>
      <c r="U81" s="6" t="s">
        <v>104</v>
      </c>
      <c r="V81" s="6" t="s">
        <v>104</v>
      </c>
      <c r="W81" s="6" t="s">
        <v>104</v>
      </c>
      <c r="X81" s="6" t="s">
        <v>104</v>
      </c>
      <c r="Y81" s="21" t="s">
        <v>104</v>
      </c>
      <c r="Z81" s="6" t="s">
        <v>104</v>
      </c>
      <c r="AA81" s="6" t="s">
        <v>104</v>
      </c>
      <c r="AB81" s="6" t="s">
        <v>104</v>
      </c>
      <c r="AC81" s="6" t="s">
        <v>9714</v>
      </c>
      <c r="AD81" s="16" t="n">
        <v>43950</v>
      </c>
      <c r="AE81" s="6" t="s">
        <v>10603</v>
      </c>
      <c r="AF81" s="6" t="s">
        <v>104</v>
      </c>
      <c r="AG81" s="6" t="s">
        <v>104</v>
      </c>
      <c r="AH81" s="6" t="s">
        <v>13226</v>
      </c>
      <c r="AI81" s="6" t="s">
        <v>15231</v>
      </c>
      <c r="AJ81" s="6" t="s">
        <v>15417</v>
      </c>
      <c r="AK81" s="6" t="s">
        <v>16687</v>
      </c>
      <c r="AL81" s="6" t="s">
        <v>16931</v>
      </c>
      <c r="AM81" s="6" t="s">
        <v>17044</v>
      </c>
      <c r="AN81" s="6" t="s">
        <v>18466</v>
      </c>
      <c r="AO81" s="6" t="s">
        <v>18573</v>
      </c>
      <c r="AP81" s="6" t="s">
        <v>13226</v>
      </c>
      <c r="AQ81" s="6" t="s">
        <v>15231</v>
      </c>
      <c r="AR81" s="6" t="s">
        <v>15417</v>
      </c>
      <c r="AS81" s="6" t="s">
        <v>16687</v>
      </c>
      <c r="AT81" s="6" t="s">
        <v>16931</v>
      </c>
      <c r="AU81" s="6" t="s">
        <v>17044</v>
      </c>
      <c r="AV81" s="6" t="s">
        <v>104</v>
      </c>
      <c r="AW81" s="6" t="s">
        <v>104</v>
      </c>
      <c r="AX81" s="6" t="s">
        <v>20182</v>
      </c>
      <c r="AY81" s="6" t="s">
        <v>21920</v>
      </c>
      <c r="AZ81" s="6" t="s">
        <v>23702</v>
      </c>
      <c r="BA81" s="6" t="s">
        <v>24263</v>
      </c>
      <c r="BB81" s="6" t="s">
        <v>104</v>
      </c>
      <c r="BC81" s="26" t="s">
        <v>24533</v>
      </c>
      <c r="BD81" s="26"/>
      <c r="BE81" s="26"/>
      <c r="BF81" s="26"/>
      <c r="BG81" s="26"/>
      <c r="BH81" s="26" t="s">
        <v>24533</v>
      </c>
      <c r="BI81" s="26"/>
      <c r="BJ81" s="26"/>
      <c r="BK81" s="26"/>
      <c r="BL81" s="26"/>
      <c r="BM81" s="26"/>
      <c r="BN81" s="26"/>
      <c r="BO81" s="26"/>
      <c r="BP81" s="16" t="n">
        <v>45706</v>
      </c>
      <c r="BQ81" s="28" t="str">
        <f>HYPERLINK("https://organic.ams.usda.gov/Integrity/Certificate.aspx?cid=15&amp;nopid=5561006218")</f>
        <v>https://organic.ams.usda.gov/Integrity/Certificate.aspx?cid=15&amp;nopid=5561006218</v>
      </c>
    </row>
    <row r="82">
      <c r="A82" t="s">
        <v>3</v>
      </c>
      <c r="B82" s="6" t="s">
        <v>38</v>
      </c>
      <c r="C82" s="6" t="s">
        <v>104</v>
      </c>
      <c r="D82" s="6" t="s">
        <v>104</v>
      </c>
      <c r="E82" s="10" t="s">
        <v>280</v>
      </c>
      <c r="F82" s="6" t="s">
        <v>2540</v>
      </c>
      <c r="G82" s="6" t="s">
        <v>4674</v>
      </c>
      <c r="H82" s="6" t="s">
        <v>4964</v>
      </c>
      <c r="I82" s="6" t="s">
        <v>104</v>
      </c>
      <c r="J82" s="6" t="s">
        <v>104</v>
      </c>
      <c r="K82" s="6" t="s">
        <v>9714</v>
      </c>
      <c r="L82" s="16" t="n">
        <v>45376</v>
      </c>
      <c r="M82" s="18" t="s">
        <v>104</v>
      </c>
      <c r="N82" s="6" t="s">
        <v>104</v>
      </c>
      <c r="O82" s="21" t="s">
        <v>104</v>
      </c>
      <c r="P82" s="6" t="s">
        <v>104</v>
      </c>
      <c r="Q82" s="6" t="s">
        <v>104</v>
      </c>
      <c r="R82" s="6" t="s">
        <v>104</v>
      </c>
      <c r="S82" s="6" t="s">
        <v>104</v>
      </c>
      <c r="T82" s="21" t="s">
        <v>104</v>
      </c>
      <c r="U82" s="6" t="s">
        <v>104</v>
      </c>
      <c r="V82" s="6" t="s">
        <v>104</v>
      </c>
      <c r="W82" s="6" t="s">
        <v>104</v>
      </c>
      <c r="X82" s="6" t="s">
        <v>104</v>
      </c>
      <c r="Y82" s="21" t="s">
        <v>104</v>
      </c>
      <c r="Z82" s="6" t="s">
        <v>104</v>
      </c>
      <c r="AA82" s="6" t="s">
        <v>104</v>
      </c>
      <c r="AB82" s="6" t="s">
        <v>104</v>
      </c>
      <c r="AC82" s="6" t="s">
        <v>9714</v>
      </c>
      <c r="AD82" s="16" t="n">
        <v>43370</v>
      </c>
      <c r="AE82" s="6" t="s">
        <v>10604</v>
      </c>
      <c r="AF82" s="6" t="s">
        <v>104</v>
      </c>
      <c r="AG82" s="6" t="s">
        <v>2540</v>
      </c>
      <c r="AH82" s="6" t="s">
        <v>13227</v>
      </c>
      <c r="AI82" s="6" t="s">
        <v>104</v>
      </c>
      <c r="AJ82" s="6" t="s">
        <v>104</v>
      </c>
      <c r="AK82" s="6" t="s">
        <v>104</v>
      </c>
      <c r="AL82" s="6" t="s">
        <v>16943</v>
      </c>
      <c r="AM82" s="6" t="s">
        <v>104</v>
      </c>
      <c r="AN82" s="6" t="s">
        <v>104</v>
      </c>
      <c r="AO82" s="6" t="s">
        <v>104</v>
      </c>
      <c r="AP82" s="6" t="s">
        <v>104</v>
      </c>
      <c r="AQ82" s="6" t="s">
        <v>104</v>
      </c>
      <c r="AR82" s="6" t="s">
        <v>104</v>
      </c>
      <c r="AS82" s="6" t="s">
        <v>104</v>
      </c>
      <c r="AT82" s="6" t="s">
        <v>104</v>
      </c>
      <c r="AU82" s="6" t="s">
        <v>104</v>
      </c>
      <c r="AV82" s="6" t="s">
        <v>104</v>
      </c>
      <c r="AW82" s="6" t="s">
        <v>104</v>
      </c>
      <c r="AX82" s="6" t="s">
        <v>104</v>
      </c>
      <c r="AY82" s="6" t="s">
        <v>104</v>
      </c>
      <c r="AZ82" s="6" t="s">
        <v>104</v>
      </c>
      <c r="BA82" s="6" t="s">
        <v>24278</v>
      </c>
      <c r="BB82" s="6" t="s">
        <v>104</v>
      </c>
      <c r="BC82" s="26"/>
      <c r="BD82" s="26"/>
      <c r="BE82" s="26"/>
      <c r="BF82" s="26"/>
      <c r="BG82" s="26"/>
      <c r="BH82" s="26"/>
      <c r="BI82" s="26"/>
      <c r="BJ82" s="26"/>
      <c r="BK82" s="26"/>
      <c r="BL82" s="26"/>
      <c r="BM82" s="26"/>
      <c r="BN82" s="26"/>
      <c r="BO82" s="26"/>
      <c r="BP82" s="16" t="n">
        <v>45376</v>
      </c>
      <c r="BQ82" s="28" t="str">
        <f>HYPERLINK("")</f>
      </c>
    </row>
    <row r="83">
      <c r="A83" t="s">
        <v>3</v>
      </c>
      <c r="B83" s="6" t="s">
        <v>6</v>
      </c>
      <c r="C83" s="6" t="s">
        <v>72</v>
      </c>
      <c r="D83" s="6" t="s">
        <v>137</v>
      </c>
      <c r="E83" s="10" t="s">
        <v>281</v>
      </c>
      <c r="F83" s="6" t="s">
        <v>2541</v>
      </c>
      <c r="G83" s="6" t="s">
        <v>104</v>
      </c>
      <c r="H83" s="6" t="s">
        <v>4965</v>
      </c>
      <c r="I83" s="6" t="s">
        <v>6981</v>
      </c>
      <c r="J83" s="6" t="s">
        <v>8194</v>
      </c>
      <c r="K83" s="6" t="s">
        <v>9714</v>
      </c>
      <c r="L83" s="16" t="n">
        <v>43398</v>
      </c>
      <c r="M83" s="16" t="n">
        <v>45836</v>
      </c>
      <c r="N83" s="6" t="s">
        <v>104</v>
      </c>
      <c r="O83" s="21" t="s">
        <v>104</v>
      </c>
      <c r="P83" s="6" t="s">
        <v>104</v>
      </c>
      <c r="Q83" s="6" t="s">
        <v>104</v>
      </c>
      <c r="R83" s="6" t="s">
        <v>104</v>
      </c>
      <c r="S83" s="6" t="s">
        <v>104</v>
      </c>
      <c r="T83" s="21" t="s">
        <v>104</v>
      </c>
      <c r="U83" s="6" t="s">
        <v>104</v>
      </c>
      <c r="V83" s="6" t="s">
        <v>104</v>
      </c>
      <c r="W83" s="6" t="s">
        <v>104</v>
      </c>
      <c r="X83" s="6" t="s">
        <v>104</v>
      </c>
      <c r="Y83" s="21" t="s">
        <v>104</v>
      </c>
      <c r="Z83" s="6" t="s">
        <v>104</v>
      </c>
      <c r="AA83" s="6" t="s">
        <v>104</v>
      </c>
      <c r="AB83" s="6" t="s">
        <v>104</v>
      </c>
      <c r="AC83" s="6" t="s">
        <v>9714</v>
      </c>
      <c r="AD83" s="16" t="n">
        <v>43398</v>
      </c>
      <c r="AE83" s="6" t="s">
        <v>10605</v>
      </c>
      <c r="AF83" s="6" t="s">
        <v>104</v>
      </c>
      <c r="AG83" s="6" t="s">
        <v>12507</v>
      </c>
      <c r="AH83" s="6" t="s">
        <v>13228</v>
      </c>
      <c r="AI83" s="6" t="s">
        <v>104</v>
      </c>
      <c r="AJ83" s="6" t="s">
        <v>15418</v>
      </c>
      <c r="AK83" s="6" t="s">
        <v>16707</v>
      </c>
      <c r="AL83" s="6" t="s">
        <v>16930</v>
      </c>
      <c r="AM83" s="6" t="s">
        <v>17045</v>
      </c>
      <c r="AN83" s="6" t="s">
        <v>104</v>
      </c>
      <c r="AO83" s="6" t="s">
        <v>104</v>
      </c>
      <c r="AP83" s="6" t="s">
        <v>104</v>
      </c>
      <c r="AQ83" s="6" t="s">
        <v>104</v>
      </c>
      <c r="AR83" s="6" t="s">
        <v>104</v>
      </c>
      <c r="AS83" s="6" t="s">
        <v>104</v>
      </c>
      <c r="AT83" s="6" t="s">
        <v>104</v>
      </c>
      <c r="AU83" s="6" t="s">
        <v>104</v>
      </c>
      <c r="AV83" s="6" t="s">
        <v>104</v>
      </c>
      <c r="AW83" s="6" t="s">
        <v>104</v>
      </c>
      <c r="AX83" s="6" t="s">
        <v>20183</v>
      </c>
      <c r="AY83" s="6" t="s">
        <v>21921</v>
      </c>
      <c r="AZ83" s="6" t="s">
        <v>104</v>
      </c>
      <c r="BA83" s="6" t="s">
        <v>104</v>
      </c>
      <c r="BB83" s="6" t="s">
        <v>104</v>
      </c>
      <c r="BC83" s="26"/>
      <c r="BD83" s="26"/>
      <c r="BE83" s="26"/>
      <c r="BF83" s="26"/>
      <c r="BG83" s="26"/>
      <c r="BH83" s="26"/>
      <c r="BI83" s="26"/>
      <c r="BJ83" s="26"/>
      <c r="BK83" s="26"/>
      <c r="BL83" s="26"/>
      <c r="BM83" s="26"/>
      <c r="BN83" s="26"/>
      <c r="BO83" s="26"/>
      <c r="BP83" s="16" t="n">
        <v>45737</v>
      </c>
      <c r="BQ83" s="28" t="str">
        <f>HYPERLINK("https://organic.ams.usda.gov/Integrity/Certificate.aspx?cid=32&amp;nopid=2230003587")</f>
        <v>https://organic.ams.usda.gov/Integrity/Certificate.aspx?cid=32&amp;nopid=2230003587</v>
      </c>
    </row>
    <row r="84">
      <c r="A84" t="s">
        <v>3</v>
      </c>
      <c r="B84" s="6" t="s">
        <v>29</v>
      </c>
      <c r="C84" s="6" t="s">
        <v>95</v>
      </c>
      <c r="D84" s="6" t="s">
        <v>160</v>
      </c>
      <c r="E84" s="10" t="s">
        <v>282</v>
      </c>
      <c r="F84" s="6" t="s">
        <v>2542</v>
      </c>
      <c r="G84" s="6" t="s">
        <v>104</v>
      </c>
      <c r="H84" s="6" t="s">
        <v>4966</v>
      </c>
      <c r="I84" s="6" t="s">
        <v>104</v>
      </c>
      <c r="J84" s="6" t="s">
        <v>8195</v>
      </c>
      <c r="K84" s="6" t="s">
        <v>9714</v>
      </c>
      <c r="L84" s="16" t="n">
        <v>45679</v>
      </c>
      <c r="M84" s="16" t="n">
        <v>45962</v>
      </c>
      <c r="N84" s="6" t="s">
        <v>104</v>
      </c>
      <c r="O84" s="21" t="s">
        <v>104</v>
      </c>
      <c r="P84" s="6" t="s">
        <v>104</v>
      </c>
      <c r="Q84" s="6" t="s">
        <v>104</v>
      </c>
      <c r="R84" s="6" t="s">
        <v>104</v>
      </c>
      <c r="S84" s="6" t="s">
        <v>104</v>
      </c>
      <c r="T84" s="21" t="s">
        <v>104</v>
      </c>
      <c r="U84" s="6" t="s">
        <v>104</v>
      </c>
      <c r="V84" s="6" t="s">
        <v>104</v>
      </c>
      <c r="W84" s="6" t="s">
        <v>104</v>
      </c>
      <c r="X84" s="6" t="s">
        <v>104</v>
      </c>
      <c r="Y84" s="21" t="s">
        <v>104</v>
      </c>
      <c r="Z84" s="6" t="s">
        <v>104</v>
      </c>
      <c r="AA84" s="6" t="s">
        <v>104</v>
      </c>
      <c r="AB84" s="6" t="s">
        <v>104</v>
      </c>
      <c r="AC84" s="6" t="s">
        <v>9714</v>
      </c>
      <c r="AD84" s="16" t="n">
        <v>45679</v>
      </c>
      <c r="AE84" s="6" t="s">
        <v>10606</v>
      </c>
      <c r="AF84" s="6" t="s">
        <v>104</v>
      </c>
      <c r="AG84" s="6" t="s">
        <v>104</v>
      </c>
      <c r="AH84" s="6" t="s">
        <v>13229</v>
      </c>
      <c r="AI84" s="6" t="s">
        <v>104</v>
      </c>
      <c r="AJ84" s="6" t="s">
        <v>104</v>
      </c>
      <c r="AK84" s="6" t="s">
        <v>16685</v>
      </c>
      <c r="AL84" s="6" t="s">
        <v>16932</v>
      </c>
      <c r="AM84" s="6" t="s">
        <v>17046</v>
      </c>
      <c r="AN84" s="6" t="s">
        <v>104</v>
      </c>
      <c r="AO84" s="6" t="s">
        <v>104</v>
      </c>
      <c r="AP84" s="6" t="s">
        <v>104</v>
      </c>
      <c r="AQ84" s="6" t="s">
        <v>104</v>
      </c>
      <c r="AR84" s="6" t="s">
        <v>104</v>
      </c>
      <c r="AS84" s="6" t="s">
        <v>104</v>
      </c>
      <c r="AT84" s="6" t="s">
        <v>104</v>
      </c>
      <c r="AU84" s="6" t="s">
        <v>104</v>
      </c>
      <c r="AV84" s="6" t="s">
        <v>104</v>
      </c>
      <c r="AW84" s="6" t="s">
        <v>104</v>
      </c>
      <c r="AX84" s="6" t="s">
        <v>20184</v>
      </c>
      <c r="AY84" s="6" t="s">
        <v>21922</v>
      </c>
      <c r="AZ84" s="6" t="s">
        <v>104</v>
      </c>
      <c r="BA84" s="6" t="s">
        <v>104</v>
      </c>
      <c r="BB84" s="24" t="n">
        <v>0</v>
      </c>
      <c r="BC84" s="26"/>
      <c r="BD84" s="26"/>
      <c r="BE84" s="26"/>
      <c r="BF84" s="26"/>
      <c r="BG84" s="26"/>
      <c r="BH84" s="26"/>
      <c r="BI84" s="26"/>
      <c r="BJ84" s="26"/>
      <c r="BK84" s="26"/>
      <c r="BL84" s="26"/>
      <c r="BM84" s="26"/>
      <c r="BN84" s="26"/>
      <c r="BO84" s="26"/>
      <c r="BP84" s="16" t="n">
        <v>45715</v>
      </c>
      <c r="BQ84" s="28" t="str">
        <f>HYPERLINK("https://organic.ams.usda.gov/Integrity/Certificate.aspx?cid=24&amp;nopid=7880303786")</f>
        <v>https://organic.ams.usda.gov/Integrity/Certificate.aspx?cid=24&amp;nopid=7880303786</v>
      </c>
    </row>
    <row r="85">
      <c r="A85" t="s">
        <v>3</v>
      </c>
      <c r="B85" s="6" t="s">
        <v>25</v>
      </c>
      <c r="C85" s="6" t="s">
        <v>91</v>
      </c>
      <c r="D85" s="6" t="s">
        <v>156</v>
      </c>
      <c r="E85" s="10" t="s">
        <v>283</v>
      </c>
      <c r="F85" s="6" t="s">
        <v>2543</v>
      </c>
      <c r="G85" s="6" t="s">
        <v>104</v>
      </c>
      <c r="H85" s="6" t="s">
        <v>4967</v>
      </c>
      <c r="I85" s="6" t="s">
        <v>6982</v>
      </c>
      <c r="J85" s="6" t="s">
        <v>8196</v>
      </c>
      <c r="K85" s="6" t="s">
        <v>9714</v>
      </c>
      <c r="L85" s="16" t="n">
        <v>45065</v>
      </c>
      <c r="M85" s="16" t="n">
        <v>45689</v>
      </c>
      <c r="N85" s="6" t="s">
        <v>104</v>
      </c>
      <c r="O85" s="21" t="s">
        <v>104</v>
      </c>
      <c r="P85" s="6" t="s">
        <v>104</v>
      </c>
      <c r="Q85" s="6" t="s">
        <v>104</v>
      </c>
      <c r="R85" s="6" t="s">
        <v>104</v>
      </c>
      <c r="S85" s="6" t="s">
        <v>104</v>
      </c>
      <c r="T85" s="21" t="s">
        <v>104</v>
      </c>
      <c r="U85" s="6" t="s">
        <v>104</v>
      </c>
      <c r="V85" s="6" t="s">
        <v>104</v>
      </c>
      <c r="W85" s="6" t="s">
        <v>104</v>
      </c>
      <c r="X85" s="6" t="s">
        <v>104</v>
      </c>
      <c r="Y85" s="21" t="s">
        <v>104</v>
      </c>
      <c r="Z85" s="6" t="s">
        <v>104</v>
      </c>
      <c r="AA85" s="6" t="s">
        <v>104</v>
      </c>
      <c r="AB85" s="6" t="s">
        <v>104</v>
      </c>
      <c r="AC85" s="6" t="s">
        <v>9714</v>
      </c>
      <c r="AD85" s="16" t="n">
        <v>45065</v>
      </c>
      <c r="AE85" s="6" t="s">
        <v>10607</v>
      </c>
      <c r="AF85" s="6" t="s">
        <v>104</v>
      </c>
      <c r="AG85" s="6" t="s">
        <v>104</v>
      </c>
      <c r="AH85" s="6" t="s">
        <v>13230</v>
      </c>
      <c r="AI85" s="6" t="s">
        <v>104</v>
      </c>
      <c r="AJ85" s="6" t="s">
        <v>15419</v>
      </c>
      <c r="AK85" s="6" t="s">
        <v>16708</v>
      </c>
      <c r="AL85" s="6" t="s">
        <v>16935</v>
      </c>
      <c r="AM85" s="6" t="s">
        <v>17047</v>
      </c>
      <c r="AN85" s="6" t="s">
        <v>104</v>
      </c>
      <c r="AO85" s="6" t="s">
        <v>104</v>
      </c>
      <c r="AP85" s="6" t="s">
        <v>13691</v>
      </c>
      <c r="AQ85" s="6" t="s">
        <v>104</v>
      </c>
      <c r="AR85" s="6" t="s">
        <v>15746</v>
      </c>
      <c r="AS85" s="6" t="s">
        <v>16708</v>
      </c>
      <c r="AT85" s="6" t="s">
        <v>16935</v>
      </c>
      <c r="AU85" s="6" t="s">
        <v>17366</v>
      </c>
      <c r="AV85" s="6" t="s">
        <v>104</v>
      </c>
      <c r="AW85" s="6" t="s">
        <v>104</v>
      </c>
      <c r="AX85" s="6" t="s">
        <v>20185</v>
      </c>
      <c r="AY85" s="6" t="s">
        <v>21923</v>
      </c>
      <c r="AZ85" s="6" t="s">
        <v>104</v>
      </c>
      <c r="BA85" s="6" t="s">
        <v>104</v>
      </c>
      <c r="BB85" s="6" t="s">
        <v>104</v>
      </c>
      <c r="BC85" s="26"/>
      <c r="BD85" s="26"/>
      <c r="BE85" s="26"/>
      <c r="BF85" s="26"/>
      <c r="BG85" s="26"/>
      <c r="BH85" s="26"/>
      <c r="BI85" s="26"/>
      <c r="BJ85" s="26"/>
      <c r="BK85" s="26"/>
      <c r="BL85" s="26"/>
      <c r="BM85" s="26"/>
      <c r="BN85" s="26"/>
      <c r="BO85" s="26"/>
      <c r="BP85" s="16" t="n">
        <v>45656</v>
      </c>
      <c r="BQ85" s="28" t="str">
        <f>HYPERLINK("https://organic.ams.usda.gov/Integrity/Certificate.aspx?cid=66&amp;nopid=5500006967")</f>
        <v>https://organic.ams.usda.gov/Integrity/Certificate.aspx?cid=66&amp;nopid=5500006967</v>
      </c>
    </row>
    <row r="86">
      <c r="A86" t="s">
        <v>3</v>
      </c>
      <c r="B86" s="6" t="s">
        <v>11</v>
      </c>
      <c r="C86" s="6" t="s">
        <v>77</v>
      </c>
      <c r="D86" s="6" t="s">
        <v>142</v>
      </c>
      <c r="E86" s="10" t="s">
        <v>284</v>
      </c>
      <c r="F86" s="6" t="s">
        <v>2544</v>
      </c>
      <c r="G86" s="6" t="s">
        <v>104</v>
      </c>
      <c r="H86" s="6" t="s">
        <v>4968</v>
      </c>
      <c r="I86" s="6" t="s">
        <v>6983</v>
      </c>
      <c r="J86" s="6" t="s">
        <v>8197</v>
      </c>
      <c r="K86" s="6" t="s">
        <v>9714</v>
      </c>
      <c r="L86" s="16" t="n">
        <v>45422</v>
      </c>
      <c r="M86" s="16" t="n">
        <v>46027</v>
      </c>
      <c r="N86" s="6" t="s">
        <v>9721</v>
      </c>
      <c r="O86" s="16" t="n">
        <v>45721</v>
      </c>
      <c r="P86" s="6" t="s">
        <v>104</v>
      </c>
      <c r="Q86" s="6" t="s">
        <v>104</v>
      </c>
      <c r="R86" s="6" t="s">
        <v>104</v>
      </c>
      <c r="S86" s="6" t="s">
        <v>104</v>
      </c>
      <c r="T86" s="21" t="s">
        <v>104</v>
      </c>
      <c r="U86" s="6" t="s">
        <v>104</v>
      </c>
      <c r="V86" s="6" t="s">
        <v>104</v>
      </c>
      <c r="W86" s="6" t="s">
        <v>104</v>
      </c>
      <c r="X86" s="6" t="s">
        <v>104</v>
      </c>
      <c r="Y86" s="21" t="s">
        <v>104</v>
      </c>
      <c r="Z86" s="6" t="s">
        <v>104</v>
      </c>
      <c r="AA86" s="6" t="s">
        <v>104</v>
      </c>
      <c r="AB86" s="6" t="s">
        <v>104</v>
      </c>
      <c r="AC86" s="6" t="s">
        <v>9714</v>
      </c>
      <c r="AD86" s="16" t="n">
        <v>45422</v>
      </c>
      <c r="AE86" s="6" t="s">
        <v>10608</v>
      </c>
      <c r="AF86" s="6" t="s">
        <v>104</v>
      </c>
      <c r="AG86" s="6" t="s">
        <v>104</v>
      </c>
      <c r="AH86" s="6" t="s">
        <v>13231</v>
      </c>
      <c r="AI86" s="6" t="s">
        <v>104</v>
      </c>
      <c r="AJ86" s="6" t="s">
        <v>15420</v>
      </c>
      <c r="AK86" s="6" t="s">
        <v>16709</v>
      </c>
      <c r="AL86" s="6" t="s">
        <v>16944</v>
      </c>
      <c r="AM86" s="6" t="s">
        <v>104</v>
      </c>
      <c r="AN86" s="6" t="s">
        <v>104</v>
      </c>
      <c r="AO86" s="6" t="s">
        <v>104</v>
      </c>
      <c r="AP86" s="6" t="s">
        <v>18965</v>
      </c>
      <c r="AQ86" s="6" t="s">
        <v>104</v>
      </c>
      <c r="AR86" s="6" t="s">
        <v>15420</v>
      </c>
      <c r="AS86" s="6" t="s">
        <v>15420</v>
      </c>
      <c r="AT86" s="6" t="s">
        <v>16944</v>
      </c>
      <c r="AU86" s="6" t="s">
        <v>104</v>
      </c>
      <c r="AV86" s="6" t="s">
        <v>104</v>
      </c>
      <c r="AW86" s="6" t="s">
        <v>104</v>
      </c>
      <c r="AX86" s="6" t="s">
        <v>20186</v>
      </c>
      <c r="AY86" s="6" t="s">
        <v>21924</v>
      </c>
      <c r="AZ86" s="6" t="s">
        <v>104</v>
      </c>
      <c r="BA86" s="6" t="s">
        <v>24279</v>
      </c>
      <c r="BB86" s="24" t="n">
        <v>0</v>
      </c>
      <c r="BC86" s="26"/>
      <c r="BD86" s="26"/>
      <c r="BE86" s="26"/>
      <c r="BF86" s="26"/>
      <c r="BG86" s="26"/>
      <c r="BH86" s="26"/>
      <c r="BI86" s="26"/>
      <c r="BJ86" s="26"/>
      <c r="BK86" s="26"/>
      <c r="BL86" s="26"/>
      <c r="BM86" s="26"/>
      <c r="BN86" s="26"/>
      <c r="BO86" s="26"/>
      <c r="BP86" s="16" t="n">
        <v>45721</v>
      </c>
      <c r="BQ86" s="28" t="str">
        <f>HYPERLINK("https://organic.ams.usda.gov/Integrity/Certificate.aspx?cid=21&amp;nopid=1780897231")</f>
        <v>https://organic.ams.usda.gov/Integrity/Certificate.aspx?cid=21&amp;nopid=1780897231</v>
      </c>
    </row>
    <row r="87">
      <c r="A87" t="s">
        <v>3</v>
      </c>
      <c r="B87" s="6" t="s">
        <v>21</v>
      </c>
      <c r="C87" s="6" t="s">
        <v>87</v>
      </c>
      <c r="D87" s="6" t="s">
        <v>152</v>
      </c>
      <c r="E87" s="10" t="s">
        <v>285</v>
      </c>
      <c r="F87" s="6" t="s">
        <v>2545</v>
      </c>
      <c r="G87" s="6" t="s">
        <v>4675</v>
      </c>
      <c r="H87" s="6" t="s">
        <v>4969</v>
      </c>
      <c r="I87" s="6" t="s">
        <v>6984</v>
      </c>
      <c r="J87" s="6" t="s">
        <v>8198</v>
      </c>
      <c r="K87" s="6" t="s">
        <v>9714</v>
      </c>
      <c r="L87" s="16" t="n">
        <v>39578</v>
      </c>
      <c r="M87" s="16" t="n">
        <v>46023</v>
      </c>
      <c r="N87" s="6" t="s">
        <v>9721</v>
      </c>
      <c r="O87" s="16" t="n">
        <v>43236</v>
      </c>
      <c r="P87" s="6" t="s">
        <v>104</v>
      </c>
      <c r="Q87" s="6" t="s">
        <v>104</v>
      </c>
      <c r="R87" s="6" t="s">
        <v>104</v>
      </c>
      <c r="S87" s="6" t="s">
        <v>104</v>
      </c>
      <c r="T87" s="21" t="s">
        <v>104</v>
      </c>
      <c r="U87" s="6" t="s">
        <v>104</v>
      </c>
      <c r="V87" s="6" t="s">
        <v>104</v>
      </c>
      <c r="W87" s="6" t="s">
        <v>104</v>
      </c>
      <c r="X87" s="6" t="s">
        <v>104</v>
      </c>
      <c r="Y87" s="21" t="s">
        <v>104</v>
      </c>
      <c r="Z87" s="6" t="s">
        <v>104</v>
      </c>
      <c r="AA87" s="6" t="s">
        <v>104</v>
      </c>
      <c r="AB87" s="6" t="s">
        <v>104</v>
      </c>
      <c r="AC87" s="6" t="s">
        <v>9714</v>
      </c>
      <c r="AD87" s="16" t="n">
        <v>43419</v>
      </c>
      <c r="AE87" s="6" t="s">
        <v>10609</v>
      </c>
      <c r="AF87" s="6" t="s">
        <v>104</v>
      </c>
      <c r="AG87" s="6" t="s">
        <v>104</v>
      </c>
      <c r="AH87" s="6" t="s">
        <v>13232</v>
      </c>
      <c r="AI87" s="6" t="s">
        <v>104</v>
      </c>
      <c r="AJ87" s="6" t="s">
        <v>15421</v>
      </c>
      <c r="AK87" s="6" t="s">
        <v>16256</v>
      </c>
      <c r="AL87" s="6" t="s">
        <v>16931</v>
      </c>
      <c r="AM87" s="6" t="s">
        <v>17048</v>
      </c>
      <c r="AN87" s="6" t="s">
        <v>18467</v>
      </c>
      <c r="AO87" s="6" t="s">
        <v>18574</v>
      </c>
      <c r="AP87" s="6" t="s">
        <v>18966</v>
      </c>
      <c r="AQ87" s="6" t="s">
        <v>104</v>
      </c>
      <c r="AR87" s="6" t="s">
        <v>15421</v>
      </c>
      <c r="AS87" s="6" t="s">
        <v>16256</v>
      </c>
      <c r="AT87" s="6" t="s">
        <v>16931</v>
      </c>
      <c r="AU87" s="6" t="s">
        <v>19811</v>
      </c>
      <c r="AV87" s="6" t="s">
        <v>104</v>
      </c>
      <c r="AW87" s="6" t="s">
        <v>104</v>
      </c>
      <c r="AX87" s="6" t="s">
        <v>20187</v>
      </c>
      <c r="AY87" s="6" t="s">
        <v>21925</v>
      </c>
      <c r="AZ87" s="6" t="s">
        <v>23703</v>
      </c>
      <c r="BA87" s="6" t="s">
        <v>104</v>
      </c>
      <c r="BB87" s="6" t="s">
        <v>104</v>
      </c>
      <c r="BC87" s="26"/>
      <c r="BD87" s="26"/>
      <c r="BE87" s="26"/>
      <c r="BF87" s="26"/>
      <c r="BG87" s="26"/>
      <c r="BH87" s="26"/>
      <c r="BI87" s="26"/>
      <c r="BJ87" s="26"/>
      <c r="BK87" s="26"/>
      <c r="BL87" s="26"/>
      <c r="BM87" s="26"/>
      <c r="BN87" s="26"/>
      <c r="BO87" s="26"/>
      <c r="BP87" s="16" t="n">
        <v>45667</v>
      </c>
      <c r="BQ87" s="28" t="str">
        <f>HYPERLINK("https://organic.ams.usda.gov/Integrity/Certificate.aspx?cid=15&amp;nopid=5561001140")</f>
        <v>https://organic.ams.usda.gov/Integrity/Certificate.aspx?cid=15&amp;nopid=5561001140</v>
      </c>
    </row>
    <row r="88">
      <c r="A88" t="s">
        <v>3</v>
      </c>
      <c r="B88" s="6" t="s">
        <v>23</v>
      </c>
      <c r="C88" s="6" t="s">
        <v>89</v>
      </c>
      <c r="D88" s="6" t="s">
        <v>154</v>
      </c>
      <c r="E88" s="10" t="s">
        <v>286</v>
      </c>
      <c r="F88" s="6" t="s">
        <v>2546</v>
      </c>
      <c r="G88" s="6" t="s">
        <v>104</v>
      </c>
      <c r="H88" s="6" t="s">
        <v>4970</v>
      </c>
      <c r="I88" s="6" t="s">
        <v>104</v>
      </c>
      <c r="J88" s="6" t="s">
        <v>104</v>
      </c>
      <c r="K88" s="6" t="s">
        <v>9714</v>
      </c>
      <c r="L88" s="16" t="n">
        <v>44939</v>
      </c>
      <c r="M88" s="18" t="s">
        <v>104</v>
      </c>
      <c r="N88" s="6" t="s">
        <v>104</v>
      </c>
      <c r="O88" s="21" t="s">
        <v>104</v>
      </c>
      <c r="P88" s="6" t="s">
        <v>104</v>
      </c>
      <c r="Q88" s="6" t="s">
        <v>104</v>
      </c>
      <c r="R88" s="6" t="s">
        <v>104</v>
      </c>
      <c r="S88" s="6" t="s">
        <v>104</v>
      </c>
      <c r="T88" s="21" t="s">
        <v>104</v>
      </c>
      <c r="U88" s="6" t="s">
        <v>104</v>
      </c>
      <c r="V88" s="6" t="s">
        <v>104</v>
      </c>
      <c r="W88" s="6" t="s">
        <v>104</v>
      </c>
      <c r="X88" s="6" t="s">
        <v>104</v>
      </c>
      <c r="Y88" s="21" t="s">
        <v>104</v>
      </c>
      <c r="Z88" s="6" t="s">
        <v>104</v>
      </c>
      <c r="AA88" s="6" t="s">
        <v>104</v>
      </c>
      <c r="AB88" s="6" t="s">
        <v>104</v>
      </c>
      <c r="AC88" s="6" t="s">
        <v>9714</v>
      </c>
      <c r="AD88" s="16" t="n">
        <v>44939</v>
      </c>
      <c r="AE88" s="6" t="s">
        <v>10610</v>
      </c>
      <c r="AF88" s="6" t="s">
        <v>104</v>
      </c>
      <c r="AG88" s="6" t="s">
        <v>104</v>
      </c>
      <c r="AH88" s="6" t="s">
        <v>13233</v>
      </c>
      <c r="AI88" s="6" t="s">
        <v>15232</v>
      </c>
      <c r="AJ88" s="6" t="s">
        <v>15422</v>
      </c>
      <c r="AK88" s="6" t="s">
        <v>16710</v>
      </c>
      <c r="AL88" s="6" t="s">
        <v>16931</v>
      </c>
      <c r="AM88" s="6" t="s">
        <v>17049</v>
      </c>
      <c r="AN88" s="6" t="s">
        <v>18468</v>
      </c>
      <c r="AO88" s="6" t="s">
        <v>18575</v>
      </c>
      <c r="AP88" s="6" t="s">
        <v>104</v>
      </c>
      <c r="AQ88" s="6" t="s">
        <v>104</v>
      </c>
      <c r="AR88" s="6" t="s">
        <v>104</v>
      </c>
      <c r="AS88" s="6" t="s">
        <v>104</v>
      </c>
      <c r="AT88" s="6" t="s">
        <v>104</v>
      </c>
      <c r="AU88" s="6" t="s">
        <v>104</v>
      </c>
      <c r="AV88" s="6" t="s">
        <v>104</v>
      </c>
      <c r="AW88" s="6" t="s">
        <v>104</v>
      </c>
      <c r="AX88" s="6" t="s">
        <v>104</v>
      </c>
      <c r="AY88" s="6" t="s">
        <v>104</v>
      </c>
      <c r="AZ88" s="6" t="s">
        <v>104</v>
      </c>
      <c r="BA88" s="6" t="s">
        <v>104</v>
      </c>
      <c r="BB88" s="6" t="s">
        <v>104</v>
      </c>
      <c r="BC88" s="26"/>
      <c r="BD88" s="26"/>
      <c r="BE88" s="26"/>
      <c r="BF88" s="26"/>
      <c r="BG88" s="26"/>
      <c r="BH88" s="26"/>
      <c r="BI88" s="26"/>
      <c r="BJ88" s="26"/>
      <c r="BK88" s="26"/>
      <c r="BL88" s="26"/>
      <c r="BM88" s="26"/>
      <c r="BN88" s="26"/>
      <c r="BO88" s="26"/>
      <c r="BP88" s="16" t="n">
        <v>45272</v>
      </c>
      <c r="BQ88" s="28" t="str">
        <f>HYPERLINK("https://organic.ams.usda.gov/Integrity/Certificate.aspx?cid=45&amp;nopid=9958602679")</f>
        <v>https://organic.ams.usda.gov/Integrity/Certificate.aspx?cid=45&amp;nopid=9958602679</v>
      </c>
    </row>
    <row r="89">
      <c r="A89" t="s">
        <v>3</v>
      </c>
      <c r="B89" s="6" t="s">
        <v>23</v>
      </c>
      <c r="C89" s="6" t="s">
        <v>89</v>
      </c>
      <c r="D89" s="6" t="s">
        <v>154</v>
      </c>
      <c r="E89" s="10" t="s">
        <v>287</v>
      </c>
      <c r="F89" s="6" t="s">
        <v>2547</v>
      </c>
      <c r="G89" s="6" t="s">
        <v>4676</v>
      </c>
      <c r="H89" s="6" t="s">
        <v>4971</v>
      </c>
      <c r="I89" s="6" t="s">
        <v>6985</v>
      </c>
      <c r="J89" s="6" t="s">
        <v>8199</v>
      </c>
      <c r="K89" s="6" t="s">
        <v>9714</v>
      </c>
      <c r="L89" s="16" t="n">
        <v>39206</v>
      </c>
      <c r="M89" s="16" t="n">
        <v>45748</v>
      </c>
      <c r="N89" s="6" t="s">
        <v>104</v>
      </c>
      <c r="O89" s="21" t="s">
        <v>104</v>
      </c>
      <c r="P89" s="6" t="s">
        <v>104</v>
      </c>
      <c r="Q89" s="6" t="s">
        <v>104</v>
      </c>
      <c r="R89" s="6" t="s">
        <v>104</v>
      </c>
      <c r="S89" s="6" t="s">
        <v>104</v>
      </c>
      <c r="T89" s="21" t="s">
        <v>104</v>
      </c>
      <c r="U89" s="6" t="s">
        <v>104</v>
      </c>
      <c r="V89" s="6" t="s">
        <v>104</v>
      </c>
      <c r="W89" s="6" t="s">
        <v>104</v>
      </c>
      <c r="X89" s="6" t="s">
        <v>104</v>
      </c>
      <c r="Y89" s="21" t="s">
        <v>104</v>
      </c>
      <c r="Z89" s="6" t="s">
        <v>104</v>
      </c>
      <c r="AA89" s="6" t="s">
        <v>104</v>
      </c>
      <c r="AB89" s="6" t="s">
        <v>104</v>
      </c>
      <c r="AC89" s="6" t="s">
        <v>9714</v>
      </c>
      <c r="AD89" s="16" t="n">
        <v>39206</v>
      </c>
      <c r="AE89" s="6" t="s">
        <v>10611</v>
      </c>
      <c r="AF89" s="6" t="s">
        <v>104</v>
      </c>
      <c r="AG89" s="6" t="s">
        <v>4971</v>
      </c>
      <c r="AH89" s="6" t="s">
        <v>13234</v>
      </c>
      <c r="AI89" s="6" t="s">
        <v>104</v>
      </c>
      <c r="AJ89" s="6" t="s">
        <v>15422</v>
      </c>
      <c r="AK89" s="6" t="s">
        <v>16710</v>
      </c>
      <c r="AL89" s="6" t="s">
        <v>16931</v>
      </c>
      <c r="AM89" s="6" t="s">
        <v>17049</v>
      </c>
      <c r="AN89" s="6" t="s">
        <v>18468</v>
      </c>
      <c r="AO89" s="6" t="s">
        <v>18575</v>
      </c>
      <c r="AP89" s="6" t="s">
        <v>104</v>
      </c>
      <c r="AQ89" s="6" t="s">
        <v>104</v>
      </c>
      <c r="AR89" s="6" t="s">
        <v>104</v>
      </c>
      <c r="AS89" s="6" t="s">
        <v>104</v>
      </c>
      <c r="AT89" s="6" t="s">
        <v>104</v>
      </c>
      <c r="AU89" s="6" t="s">
        <v>104</v>
      </c>
      <c r="AV89" s="6" t="s">
        <v>104</v>
      </c>
      <c r="AW89" s="6" t="s">
        <v>104</v>
      </c>
      <c r="AX89" s="6" t="s">
        <v>20188</v>
      </c>
      <c r="AY89" s="6" t="s">
        <v>21926</v>
      </c>
      <c r="AZ89" s="6" t="s">
        <v>23704</v>
      </c>
      <c r="BA89" s="6" t="s">
        <v>104</v>
      </c>
      <c r="BB89" s="24" t="n">
        <v>0</v>
      </c>
      <c r="BC89" s="26" t="s">
        <v>24533</v>
      </c>
      <c r="BD89" s="26"/>
      <c r="BE89" s="26"/>
      <c r="BF89" s="26"/>
      <c r="BG89" s="26"/>
      <c r="BH89" s="26" t="s">
        <v>24533</v>
      </c>
      <c r="BI89" s="26"/>
      <c r="BJ89" s="26"/>
      <c r="BK89" s="26"/>
      <c r="BL89" s="26"/>
      <c r="BM89" s="26"/>
      <c r="BN89" s="26"/>
      <c r="BO89" s="26"/>
      <c r="BP89" s="16" t="n">
        <v>45628</v>
      </c>
      <c r="BQ89" s="28" t="str">
        <f>HYPERLINK("https://organic.ams.usda.gov/Integrity/Certificate.aspx?cid=45&amp;nopid=9950002679")</f>
        <v>https://organic.ams.usda.gov/Integrity/Certificate.aspx?cid=45&amp;nopid=9950002679</v>
      </c>
    </row>
    <row r="90">
      <c r="A90" t="s">
        <v>3</v>
      </c>
      <c r="B90" s="6" t="s">
        <v>10</v>
      </c>
      <c r="C90" s="6" t="s">
        <v>76</v>
      </c>
      <c r="D90" s="6" t="s">
        <v>141</v>
      </c>
      <c r="E90" s="10" t="s">
        <v>288</v>
      </c>
      <c r="F90" s="6" t="s">
        <v>2548</v>
      </c>
      <c r="G90" s="6" t="s">
        <v>104</v>
      </c>
      <c r="H90" s="6" t="s">
        <v>288</v>
      </c>
      <c r="I90" s="6" t="s">
        <v>6986</v>
      </c>
      <c r="J90" s="6" t="s">
        <v>8200</v>
      </c>
      <c r="K90" s="6" t="s">
        <v>9714</v>
      </c>
      <c r="L90" s="16" t="n">
        <v>44138</v>
      </c>
      <c r="M90" s="16" t="n">
        <v>45731</v>
      </c>
      <c r="N90" s="6" t="s">
        <v>9714</v>
      </c>
      <c r="O90" s="16" t="n">
        <v>44138</v>
      </c>
      <c r="P90" s="6" t="s">
        <v>9749</v>
      </c>
      <c r="Q90" s="6" t="s">
        <v>104</v>
      </c>
      <c r="R90" s="6" t="s">
        <v>10299</v>
      </c>
      <c r="S90" s="6" t="s">
        <v>104</v>
      </c>
      <c r="T90" s="21" t="s">
        <v>104</v>
      </c>
      <c r="U90" s="6" t="s">
        <v>104</v>
      </c>
      <c r="V90" s="6" t="s">
        <v>104</v>
      </c>
      <c r="W90" s="6" t="s">
        <v>104</v>
      </c>
      <c r="X90" s="6" t="s">
        <v>104</v>
      </c>
      <c r="Y90" s="21" t="s">
        <v>104</v>
      </c>
      <c r="Z90" s="6" t="s">
        <v>104</v>
      </c>
      <c r="AA90" s="6" t="s">
        <v>104</v>
      </c>
      <c r="AB90" s="6" t="s">
        <v>104</v>
      </c>
      <c r="AC90" s="6" t="s">
        <v>104</v>
      </c>
      <c r="AD90" s="21" t="s">
        <v>104</v>
      </c>
      <c r="AE90" s="6" t="s">
        <v>104</v>
      </c>
      <c r="AF90" s="6" t="s">
        <v>104</v>
      </c>
      <c r="AG90" s="6" t="s">
        <v>104</v>
      </c>
      <c r="AH90" s="6" t="s">
        <v>13235</v>
      </c>
      <c r="AI90" s="6" t="s">
        <v>104</v>
      </c>
      <c r="AJ90" s="6" t="s">
        <v>15423</v>
      </c>
      <c r="AK90" s="6" t="s">
        <v>16688</v>
      </c>
      <c r="AL90" s="6" t="s">
        <v>16931</v>
      </c>
      <c r="AM90" s="6" t="s">
        <v>17050</v>
      </c>
      <c r="AN90" s="6" t="s">
        <v>18457</v>
      </c>
      <c r="AO90" s="6" t="s">
        <v>18562</v>
      </c>
      <c r="AP90" s="6" t="s">
        <v>13235</v>
      </c>
      <c r="AQ90" s="6" t="s">
        <v>104</v>
      </c>
      <c r="AR90" s="6" t="s">
        <v>15423</v>
      </c>
      <c r="AS90" s="6" t="s">
        <v>16688</v>
      </c>
      <c r="AT90" s="6" t="s">
        <v>16931</v>
      </c>
      <c r="AU90" s="6" t="s">
        <v>17050</v>
      </c>
      <c r="AV90" s="6" t="s">
        <v>104</v>
      </c>
      <c r="AW90" s="6" t="s">
        <v>104</v>
      </c>
      <c r="AX90" s="6" t="s">
        <v>20189</v>
      </c>
      <c r="AY90" s="6" t="s">
        <v>21927</v>
      </c>
      <c r="AZ90" s="6" t="s">
        <v>104</v>
      </c>
      <c r="BA90" s="6" t="s">
        <v>104</v>
      </c>
      <c r="BB90" s="24" t="n">
        <v>25</v>
      </c>
      <c r="BC90" s="26"/>
      <c r="BD90" s="26"/>
      <c r="BE90" s="26"/>
      <c r="BF90" s="26"/>
      <c r="BG90" s="26"/>
      <c r="BH90" s="26"/>
      <c r="BI90" s="26"/>
      <c r="BJ90" s="26"/>
      <c r="BK90" s="26"/>
      <c r="BL90" s="26"/>
      <c r="BM90" s="26"/>
      <c r="BN90" s="26"/>
      <c r="BO90" s="26"/>
      <c r="BP90" s="16" t="n">
        <v>45688</v>
      </c>
      <c r="BQ90" s="28" t="str">
        <f>HYPERLINK("https://organic.ams.usda.gov/Integrity/Certificate.aspx?cid=8&amp;nopid=2202006000")</f>
        <v>https://organic.ams.usda.gov/Integrity/Certificate.aspx?cid=8&amp;nopid=2202006000</v>
      </c>
    </row>
    <row r="91">
      <c r="A91" t="s">
        <v>3</v>
      </c>
      <c r="B91" s="6" t="s">
        <v>39</v>
      </c>
      <c r="C91" s="6" t="s">
        <v>105</v>
      </c>
      <c r="D91" s="6" t="s">
        <v>169</v>
      </c>
      <c r="E91" s="10" t="s">
        <v>289</v>
      </c>
      <c r="F91" s="6" t="s">
        <v>2549</v>
      </c>
      <c r="G91" s="6" t="s">
        <v>4677</v>
      </c>
      <c r="H91" s="6" t="s">
        <v>4972</v>
      </c>
      <c r="I91" s="6" t="s">
        <v>6926</v>
      </c>
      <c r="J91" s="6" t="s">
        <v>8201</v>
      </c>
      <c r="K91" s="6" t="s">
        <v>9714</v>
      </c>
      <c r="L91" s="16" t="n">
        <v>42555</v>
      </c>
      <c r="M91" s="16" t="n">
        <v>45747</v>
      </c>
      <c r="N91" s="6" t="s">
        <v>9714</v>
      </c>
      <c r="O91" s="16" t="n">
        <v>42555</v>
      </c>
      <c r="P91" s="6" t="s">
        <v>9750</v>
      </c>
      <c r="Q91" s="6" t="s">
        <v>104</v>
      </c>
      <c r="R91" s="6" t="s">
        <v>4972</v>
      </c>
      <c r="S91" s="6" t="s">
        <v>104</v>
      </c>
      <c r="T91" s="21" t="s">
        <v>104</v>
      </c>
      <c r="U91" s="6" t="s">
        <v>104</v>
      </c>
      <c r="V91" s="6" t="s">
        <v>104</v>
      </c>
      <c r="W91" s="6" t="s">
        <v>104</v>
      </c>
      <c r="X91" s="6" t="s">
        <v>104</v>
      </c>
      <c r="Y91" s="21" t="s">
        <v>104</v>
      </c>
      <c r="Z91" s="6" t="s">
        <v>104</v>
      </c>
      <c r="AA91" s="6" t="s">
        <v>104</v>
      </c>
      <c r="AB91" s="6" t="s">
        <v>104</v>
      </c>
      <c r="AC91" s="6" t="s">
        <v>104</v>
      </c>
      <c r="AD91" s="21" t="s">
        <v>104</v>
      </c>
      <c r="AE91" s="6" t="s">
        <v>104</v>
      </c>
      <c r="AF91" s="6" t="s">
        <v>104</v>
      </c>
      <c r="AG91" s="6" t="s">
        <v>104</v>
      </c>
      <c r="AH91" s="6" t="s">
        <v>13236</v>
      </c>
      <c r="AI91" s="6" t="s">
        <v>104</v>
      </c>
      <c r="AJ91" s="6" t="s">
        <v>15424</v>
      </c>
      <c r="AK91" s="6" t="s">
        <v>16711</v>
      </c>
      <c r="AL91" s="6" t="s">
        <v>16931</v>
      </c>
      <c r="AM91" s="6" t="s">
        <v>17051</v>
      </c>
      <c r="AN91" s="6" t="s">
        <v>18469</v>
      </c>
      <c r="AO91" s="6" t="s">
        <v>18576</v>
      </c>
      <c r="AP91" s="6" t="s">
        <v>18967</v>
      </c>
      <c r="AQ91" s="6" t="s">
        <v>104</v>
      </c>
      <c r="AR91" s="6" t="s">
        <v>15424</v>
      </c>
      <c r="AS91" s="6" t="s">
        <v>16711</v>
      </c>
      <c r="AT91" s="6" t="s">
        <v>16931</v>
      </c>
      <c r="AU91" s="6" t="s">
        <v>17051</v>
      </c>
      <c r="AV91" s="6" t="s">
        <v>104</v>
      </c>
      <c r="AW91" s="6" t="s">
        <v>104</v>
      </c>
      <c r="AX91" s="6" t="s">
        <v>104</v>
      </c>
      <c r="AY91" s="6" t="s">
        <v>21928</v>
      </c>
      <c r="AZ91" s="6" t="s">
        <v>104</v>
      </c>
      <c r="BA91" s="6" t="s">
        <v>104</v>
      </c>
      <c r="BB91" s="24" t="n">
        <v>870</v>
      </c>
      <c r="BC91" s="26"/>
      <c r="BD91" s="26"/>
      <c r="BE91" s="26"/>
      <c r="BF91" s="26"/>
      <c r="BG91" s="26"/>
      <c r="BH91" s="26"/>
      <c r="BI91" s="26"/>
      <c r="BJ91" s="26"/>
      <c r="BK91" s="26"/>
      <c r="BL91" s="26"/>
      <c r="BM91" s="26"/>
      <c r="BN91" s="26"/>
      <c r="BO91" s="26"/>
      <c r="BP91" s="16" t="n">
        <v>45706</v>
      </c>
      <c r="BQ91" s="28" t="str">
        <f>HYPERLINK("https://organic.ams.usda.gov/Integrity/Certificate.aspx?cid=29&amp;nopid=1581070416")</f>
        <v>https://organic.ams.usda.gov/Integrity/Certificate.aspx?cid=29&amp;nopid=1581070416</v>
      </c>
    </row>
    <row r="92">
      <c r="A92" t="s">
        <v>3</v>
      </c>
      <c r="B92" s="6" t="s">
        <v>34</v>
      </c>
      <c r="C92" s="6" t="s">
        <v>100</v>
      </c>
      <c r="D92" s="6" t="s">
        <v>165</v>
      </c>
      <c r="E92" s="10" t="s">
        <v>290</v>
      </c>
      <c r="F92" s="6" t="s">
        <v>2550</v>
      </c>
      <c r="G92" s="6" t="s">
        <v>104</v>
      </c>
      <c r="H92" s="6" t="s">
        <v>4973</v>
      </c>
      <c r="I92" s="6" t="s">
        <v>6987</v>
      </c>
      <c r="J92" s="6" t="s">
        <v>8202</v>
      </c>
      <c r="K92" s="6" t="s">
        <v>9714</v>
      </c>
      <c r="L92" s="16" t="n">
        <v>45086</v>
      </c>
      <c r="M92" s="16" t="n">
        <v>45862</v>
      </c>
      <c r="N92" s="6" t="s">
        <v>104</v>
      </c>
      <c r="O92" s="21" t="s">
        <v>104</v>
      </c>
      <c r="P92" s="6" t="s">
        <v>104</v>
      </c>
      <c r="Q92" s="6" t="s">
        <v>104</v>
      </c>
      <c r="R92" s="6" t="s">
        <v>104</v>
      </c>
      <c r="S92" s="6" t="s">
        <v>104</v>
      </c>
      <c r="T92" s="21" t="s">
        <v>104</v>
      </c>
      <c r="U92" s="6" t="s">
        <v>104</v>
      </c>
      <c r="V92" s="6" t="s">
        <v>104</v>
      </c>
      <c r="W92" s="6" t="s">
        <v>104</v>
      </c>
      <c r="X92" s="6" t="s">
        <v>104</v>
      </c>
      <c r="Y92" s="21" t="s">
        <v>104</v>
      </c>
      <c r="Z92" s="6" t="s">
        <v>104</v>
      </c>
      <c r="AA92" s="6" t="s">
        <v>104</v>
      </c>
      <c r="AB92" s="6" t="s">
        <v>104</v>
      </c>
      <c r="AC92" s="6" t="s">
        <v>9714</v>
      </c>
      <c r="AD92" s="16" t="n">
        <v>45086</v>
      </c>
      <c r="AE92" s="6" t="s">
        <v>10612</v>
      </c>
      <c r="AF92" s="6" t="s">
        <v>104</v>
      </c>
      <c r="AG92" s="6" t="s">
        <v>12508</v>
      </c>
      <c r="AH92" s="6" t="s">
        <v>13237</v>
      </c>
      <c r="AI92" s="6" t="s">
        <v>15233</v>
      </c>
      <c r="AJ92" s="6" t="s">
        <v>7480</v>
      </c>
      <c r="AK92" s="6" t="s">
        <v>16684</v>
      </c>
      <c r="AL92" s="6" t="s">
        <v>16931</v>
      </c>
      <c r="AM92" s="6" t="s">
        <v>17052</v>
      </c>
      <c r="AN92" s="6" t="s">
        <v>18470</v>
      </c>
      <c r="AO92" s="6" t="s">
        <v>18577</v>
      </c>
      <c r="AP92" s="6" t="s">
        <v>18968</v>
      </c>
      <c r="AQ92" s="6" t="s">
        <v>19546</v>
      </c>
      <c r="AR92" s="6" t="s">
        <v>19595</v>
      </c>
      <c r="AS92" s="6" t="s">
        <v>16684</v>
      </c>
      <c r="AT92" s="6" t="s">
        <v>16931</v>
      </c>
      <c r="AU92" s="6" t="s">
        <v>19812</v>
      </c>
      <c r="AV92" s="6" t="s">
        <v>104</v>
      </c>
      <c r="AW92" s="6" t="s">
        <v>104</v>
      </c>
      <c r="AX92" s="6" t="s">
        <v>20190</v>
      </c>
      <c r="AY92" s="6" t="s">
        <v>104</v>
      </c>
      <c r="AZ92" s="6" t="s">
        <v>104</v>
      </c>
      <c r="BA92" s="6" t="s">
        <v>104</v>
      </c>
      <c r="BB92" s="6" t="s">
        <v>104</v>
      </c>
      <c r="BC92" s="26"/>
      <c r="BD92" s="26"/>
      <c r="BE92" s="26"/>
      <c r="BF92" s="26"/>
      <c r="BG92" s="26" t="s">
        <v>24533</v>
      </c>
      <c r="BH92" s="26"/>
      <c r="BI92" s="26"/>
      <c r="BJ92" s="26"/>
      <c r="BK92" s="26"/>
      <c r="BL92" s="26"/>
      <c r="BM92" s="26"/>
      <c r="BN92" s="26"/>
      <c r="BO92" s="26"/>
      <c r="BP92" s="16" t="n">
        <v>45737</v>
      </c>
      <c r="BQ92" s="28" t="str">
        <f>HYPERLINK("https://organic.ams.usda.gov/Integrity/Certificate.aspx?cid=71&amp;nopid=5520750906")</f>
        <v>https://organic.ams.usda.gov/Integrity/Certificate.aspx?cid=71&amp;nopid=5520750906</v>
      </c>
    </row>
    <row r="93">
      <c r="A93" t="s">
        <v>3</v>
      </c>
      <c r="B93" s="6" t="s">
        <v>25</v>
      </c>
      <c r="C93" s="6" t="s">
        <v>91</v>
      </c>
      <c r="D93" s="6" t="s">
        <v>156</v>
      </c>
      <c r="E93" s="10" t="s">
        <v>291</v>
      </c>
      <c r="F93" s="6" t="s">
        <v>2551</v>
      </c>
      <c r="G93" s="6" t="s">
        <v>104</v>
      </c>
      <c r="H93" s="6" t="s">
        <v>4974</v>
      </c>
      <c r="I93" s="6" t="s">
        <v>6988</v>
      </c>
      <c r="J93" s="6" t="s">
        <v>8203</v>
      </c>
      <c r="K93" s="6" t="s">
        <v>9714</v>
      </c>
      <c r="L93" s="16" t="n">
        <v>41908</v>
      </c>
      <c r="M93" s="16" t="n">
        <v>45792</v>
      </c>
      <c r="N93" s="6" t="s">
        <v>104</v>
      </c>
      <c r="O93" s="21" t="s">
        <v>104</v>
      </c>
      <c r="P93" s="6" t="s">
        <v>104</v>
      </c>
      <c r="Q93" s="6" t="s">
        <v>104</v>
      </c>
      <c r="R93" s="6" t="s">
        <v>104</v>
      </c>
      <c r="S93" s="6" t="s">
        <v>104</v>
      </c>
      <c r="T93" s="21" t="s">
        <v>104</v>
      </c>
      <c r="U93" s="6" t="s">
        <v>104</v>
      </c>
      <c r="V93" s="6" t="s">
        <v>104</v>
      </c>
      <c r="W93" s="6" t="s">
        <v>104</v>
      </c>
      <c r="X93" s="6" t="s">
        <v>104</v>
      </c>
      <c r="Y93" s="21" t="s">
        <v>104</v>
      </c>
      <c r="Z93" s="6" t="s">
        <v>104</v>
      </c>
      <c r="AA93" s="6" t="s">
        <v>104</v>
      </c>
      <c r="AB93" s="6" t="s">
        <v>104</v>
      </c>
      <c r="AC93" s="6" t="s">
        <v>9714</v>
      </c>
      <c r="AD93" s="16" t="n">
        <v>41908</v>
      </c>
      <c r="AE93" s="6" t="s">
        <v>10613</v>
      </c>
      <c r="AF93" s="6" t="s">
        <v>104</v>
      </c>
      <c r="AG93" s="6" t="s">
        <v>104</v>
      </c>
      <c r="AH93" s="6" t="s">
        <v>13238</v>
      </c>
      <c r="AI93" s="6" t="s">
        <v>104</v>
      </c>
      <c r="AJ93" s="6" t="s">
        <v>15425</v>
      </c>
      <c r="AK93" s="6" t="s">
        <v>16691</v>
      </c>
      <c r="AL93" s="6" t="s">
        <v>16935</v>
      </c>
      <c r="AM93" s="6" t="s">
        <v>17053</v>
      </c>
      <c r="AN93" s="6" t="s">
        <v>104</v>
      </c>
      <c r="AO93" s="6" t="s">
        <v>104</v>
      </c>
      <c r="AP93" s="6" t="s">
        <v>18969</v>
      </c>
      <c r="AQ93" s="6" t="s">
        <v>104</v>
      </c>
      <c r="AR93" s="6" t="s">
        <v>15897</v>
      </c>
      <c r="AS93" s="6" t="s">
        <v>104</v>
      </c>
      <c r="AT93" s="6" t="s">
        <v>16935</v>
      </c>
      <c r="AU93" s="6" t="s">
        <v>5164</v>
      </c>
      <c r="AV93" s="6" t="s">
        <v>104</v>
      </c>
      <c r="AW93" s="6" t="s">
        <v>104</v>
      </c>
      <c r="AX93" s="6" t="s">
        <v>20191</v>
      </c>
      <c r="AY93" s="6" t="s">
        <v>21929</v>
      </c>
      <c r="AZ93" s="6" t="s">
        <v>104</v>
      </c>
      <c r="BA93" s="6" t="s">
        <v>24264</v>
      </c>
      <c r="BB93" s="6" t="s">
        <v>104</v>
      </c>
      <c r="BC93" s="26"/>
      <c r="BD93" s="26"/>
      <c r="BE93" s="26"/>
      <c r="BF93" s="26"/>
      <c r="BG93" s="26"/>
      <c r="BH93" s="26"/>
      <c r="BI93" s="26"/>
      <c r="BJ93" s="26"/>
      <c r="BK93" s="26"/>
      <c r="BL93" s="26"/>
      <c r="BM93" s="26"/>
      <c r="BN93" s="26"/>
      <c r="BO93" s="26"/>
      <c r="BP93" s="16" t="n">
        <v>45572</v>
      </c>
      <c r="BQ93" s="28" t="str">
        <f>HYPERLINK("https://organic.ams.usda.gov/Integrity/Certificate.aspx?cid=66&amp;nopid=5500004803")</f>
        <v>https://organic.ams.usda.gov/Integrity/Certificate.aspx?cid=66&amp;nopid=5500004803</v>
      </c>
    </row>
    <row r="94">
      <c r="A94" t="s">
        <v>3</v>
      </c>
      <c r="B94" s="6" t="s">
        <v>40</v>
      </c>
      <c r="C94" s="6" t="s">
        <v>106</v>
      </c>
      <c r="D94" s="6" t="s">
        <v>170</v>
      </c>
      <c r="E94" s="10" t="s">
        <v>292</v>
      </c>
      <c r="F94" s="6" t="s">
        <v>2552</v>
      </c>
      <c r="G94" s="6" t="s">
        <v>104</v>
      </c>
      <c r="H94" s="6" t="s">
        <v>4975</v>
      </c>
      <c r="I94" s="6" t="s">
        <v>6989</v>
      </c>
      <c r="J94" s="6" t="s">
        <v>8204</v>
      </c>
      <c r="K94" s="6" t="s">
        <v>9714</v>
      </c>
      <c r="L94" s="16" t="n">
        <v>45311</v>
      </c>
      <c r="M94" s="16" t="n">
        <v>45616</v>
      </c>
      <c r="N94" s="6" t="s">
        <v>104</v>
      </c>
      <c r="O94" s="21" t="s">
        <v>104</v>
      </c>
      <c r="P94" s="6" t="s">
        <v>104</v>
      </c>
      <c r="Q94" s="6" t="s">
        <v>104</v>
      </c>
      <c r="R94" s="6" t="s">
        <v>104</v>
      </c>
      <c r="S94" s="6" t="s">
        <v>104</v>
      </c>
      <c r="T94" s="21" t="s">
        <v>104</v>
      </c>
      <c r="U94" s="6" t="s">
        <v>104</v>
      </c>
      <c r="V94" s="6" t="s">
        <v>104</v>
      </c>
      <c r="W94" s="6" t="s">
        <v>104</v>
      </c>
      <c r="X94" s="6" t="s">
        <v>104</v>
      </c>
      <c r="Y94" s="21" t="s">
        <v>104</v>
      </c>
      <c r="Z94" s="6" t="s">
        <v>104</v>
      </c>
      <c r="AA94" s="6" t="s">
        <v>104</v>
      </c>
      <c r="AB94" s="6" t="s">
        <v>104</v>
      </c>
      <c r="AC94" s="6" t="s">
        <v>9714</v>
      </c>
      <c r="AD94" s="16" t="n">
        <v>45311</v>
      </c>
      <c r="AE94" s="6" t="s">
        <v>10614</v>
      </c>
      <c r="AF94" s="6" t="s">
        <v>104</v>
      </c>
      <c r="AG94" s="6" t="s">
        <v>104</v>
      </c>
      <c r="AH94" s="6" t="s">
        <v>13239</v>
      </c>
      <c r="AI94" s="6" t="s">
        <v>104</v>
      </c>
      <c r="AJ94" s="6" t="s">
        <v>15426</v>
      </c>
      <c r="AK94" s="6" t="s">
        <v>16712</v>
      </c>
      <c r="AL94" s="6" t="s">
        <v>16898</v>
      </c>
      <c r="AM94" s="6" t="s">
        <v>17054</v>
      </c>
      <c r="AN94" s="6" t="s">
        <v>104</v>
      </c>
      <c r="AO94" s="6" t="s">
        <v>104</v>
      </c>
      <c r="AP94" s="6" t="s">
        <v>13239</v>
      </c>
      <c r="AQ94" s="6" t="s">
        <v>104</v>
      </c>
      <c r="AR94" s="6" t="s">
        <v>15426</v>
      </c>
      <c r="AS94" s="6" t="s">
        <v>16712</v>
      </c>
      <c r="AT94" s="6" t="s">
        <v>16898</v>
      </c>
      <c r="AU94" s="6" t="s">
        <v>17054</v>
      </c>
      <c r="AV94" s="6" t="s">
        <v>104</v>
      </c>
      <c r="AW94" s="6" t="s">
        <v>104</v>
      </c>
      <c r="AX94" s="6" t="s">
        <v>20192</v>
      </c>
      <c r="AY94" s="6" t="s">
        <v>21930</v>
      </c>
      <c r="AZ94" s="6" t="s">
        <v>23705</v>
      </c>
      <c r="BA94" s="6" t="s">
        <v>104</v>
      </c>
      <c r="BB94" s="24" t="n">
        <v>0</v>
      </c>
      <c r="BC94" s="26"/>
      <c r="BD94" s="26"/>
      <c r="BE94" s="26"/>
      <c r="BF94" s="26"/>
      <c r="BG94" s="26"/>
      <c r="BH94" s="26"/>
      <c r="BI94" s="26"/>
      <c r="BJ94" s="26"/>
      <c r="BK94" s="26"/>
      <c r="BL94" s="26"/>
      <c r="BM94" s="26"/>
      <c r="BN94" s="26"/>
      <c r="BO94" s="26"/>
      <c r="BP94" s="16" t="n">
        <v>45565</v>
      </c>
      <c r="BQ94" s="28" t="str">
        <f>HYPERLINK("https://organic.ams.usda.gov/Integrity/Certificate.aspx?cid=94&amp;nopid=9470000371")</f>
        <v>https://organic.ams.usda.gov/Integrity/Certificate.aspx?cid=94&amp;nopid=9470000371</v>
      </c>
    </row>
    <row r="95">
      <c r="A95" t="s">
        <v>3</v>
      </c>
      <c r="B95" s="6" t="s">
        <v>41</v>
      </c>
      <c r="C95" s="6" t="s">
        <v>107</v>
      </c>
      <c r="D95" s="6" t="s">
        <v>171</v>
      </c>
      <c r="E95" s="10" t="s">
        <v>293</v>
      </c>
      <c r="F95" s="6" t="s">
        <v>2553</v>
      </c>
      <c r="G95" s="6" t="s">
        <v>4678</v>
      </c>
      <c r="H95" s="6" t="s">
        <v>4976</v>
      </c>
      <c r="I95" s="6" t="s">
        <v>6990</v>
      </c>
      <c r="J95" s="6" t="s">
        <v>8205</v>
      </c>
      <c r="K95" s="6" t="s">
        <v>9714</v>
      </c>
      <c r="L95" s="16" t="n">
        <v>42881</v>
      </c>
      <c r="M95" s="16" t="n">
        <v>46112</v>
      </c>
      <c r="N95" s="6" t="s">
        <v>104</v>
      </c>
      <c r="O95" s="21" t="s">
        <v>104</v>
      </c>
      <c r="P95" s="6" t="s">
        <v>104</v>
      </c>
      <c r="Q95" s="6" t="s">
        <v>104</v>
      </c>
      <c r="R95" s="6" t="s">
        <v>104</v>
      </c>
      <c r="S95" s="6" t="s">
        <v>104</v>
      </c>
      <c r="T95" s="21" t="s">
        <v>104</v>
      </c>
      <c r="U95" s="6" t="s">
        <v>104</v>
      </c>
      <c r="V95" s="6" t="s">
        <v>104</v>
      </c>
      <c r="W95" s="6" t="s">
        <v>104</v>
      </c>
      <c r="X95" s="6" t="s">
        <v>104</v>
      </c>
      <c r="Y95" s="21" t="s">
        <v>104</v>
      </c>
      <c r="Z95" s="6" t="s">
        <v>104</v>
      </c>
      <c r="AA95" s="6" t="s">
        <v>104</v>
      </c>
      <c r="AB95" s="6" t="s">
        <v>104</v>
      </c>
      <c r="AC95" s="6" t="s">
        <v>9714</v>
      </c>
      <c r="AD95" s="16" t="n">
        <v>42881</v>
      </c>
      <c r="AE95" s="6" t="s">
        <v>10615</v>
      </c>
      <c r="AF95" s="6" t="s">
        <v>104</v>
      </c>
      <c r="AG95" s="6" t="s">
        <v>104</v>
      </c>
      <c r="AH95" s="6" t="s">
        <v>13240</v>
      </c>
      <c r="AI95" s="6" t="s">
        <v>104</v>
      </c>
      <c r="AJ95" s="6" t="s">
        <v>15427</v>
      </c>
      <c r="AK95" s="6" t="s">
        <v>16706</v>
      </c>
      <c r="AL95" s="6" t="s">
        <v>16931</v>
      </c>
      <c r="AM95" s="6" t="s">
        <v>17055</v>
      </c>
      <c r="AN95" s="6" t="s">
        <v>18452</v>
      </c>
      <c r="AO95" s="6" t="s">
        <v>18578</v>
      </c>
      <c r="AP95" s="6" t="s">
        <v>18970</v>
      </c>
      <c r="AQ95" s="6" t="s">
        <v>104</v>
      </c>
      <c r="AR95" s="6" t="s">
        <v>19596</v>
      </c>
      <c r="AS95" s="6" t="s">
        <v>16706</v>
      </c>
      <c r="AT95" s="6" t="s">
        <v>16931</v>
      </c>
      <c r="AU95" s="6" t="s">
        <v>19813</v>
      </c>
      <c r="AV95" s="6" t="s">
        <v>104</v>
      </c>
      <c r="AW95" s="6" t="s">
        <v>104</v>
      </c>
      <c r="AX95" s="6" t="s">
        <v>20193</v>
      </c>
      <c r="AY95" s="6" t="s">
        <v>21931</v>
      </c>
      <c r="AZ95" s="6" t="s">
        <v>104</v>
      </c>
      <c r="BA95" s="6" t="s">
        <v>104</v>
      </c>
      <c r="BB95" s="6" t="s">
        <v>104</v>
      </c>
      <c r="BC95" s="26"/>
      <c r="BD95" s="26"/>
      <c r="BE95" s="26"/>
      <c r="BF95" s="26"/>
      <c r="BG95" s="26"/>
      <c r="BH95" s="26"/>
      <c r="BI95" s="26"/>
      <c r="BJ95" s="26"/>
      <c r="BK95" s="26"/>
      <c r="BL95" s="26"/>
      <c r="BM95" s="26"/>
      <c r="BN95" s="26"/>
      <c r="BO95" s="26"/>
      <c r="BP95" s="16" t="n">
        <v>45737</v>
      </c>
      <c r="BQ95" s="28" t="str">
        <f>HYPERLINK("https://organic.ams.usda.gov/Integrity/Certificate.aspx?cid=58&amp;nopid=1600002865")</f>
        <v>https://organic.ams.usda.gov/Integrity/Certificate.aspx?cid=58&amp;nopid=1600002865</v>
      </c>
    </row>
    <row r="96">
      <c r="A96" t="s">
        <v>3</v>
      </c>
      <c r="B96" s="6" t="s">
        <v>34</v>
      </c>
      <c r="C96" s="6" t="s">
        <v>100</v>
      </c>
      <c r="D96" s="6" t="s">
        <v>165</v>
      </c>
      <c r="E96" s="10" t="s">
        <v>294</v>
      </c>
      <c r="F96" s="6" t="s">
        <v>2554</v>
      </c>
      <c r="G96" s="6" t="s">
        <v>104</v>
      </c>
      <c r="H96" s="6" t="s">
        <v>4977</v>
      </c>
      <c r="I96" s="6" t="s">
        <v>6991</v>
      </c>
      <c r="J96" s="6" t="s">
        <v>8206</v>
      </c>
      <c r="K96" s="6" t="s">
        <v>9714</v>
      </c>
      <c r="L96" s="16" t="n">
        <v>37375</v>
      </c>
      <c r="M96" s="16" t="n">
        <v>45812</v>
      </c>
      <c r="N96" s="6" t="s">
        <v>104</v>
      </c>
      <c r="O96" s="21" t="s">
        <v>104</v>
      </c>
      <c r="P96" s="6" t="s">
        <v>104</v>
      </c>
      <c r="Q96" s="6" t="s">
        <v>104</v>
      </c>
      <c r="R96" s="6" t="s">
        <v>104</v>
      </c>
      <c r="S96" s="6" t="s">
        <v>104</v>
      </c>
      <c r="T96" s="21" t="s">
        <v>104</v>
      </c>
      <c r="U96" s="6" t="s">
        <v>104</v>
      </c>
      <c r="V96" s="6" t="s">
        <v>104</v>
      </c>
      <c r="W96" s="6" t="s">
        <v>104</v>
      </c>
      <c r="X96" s="6" t="s">
        <v>104</v>
      </c>
      <c r="Y96" s="21" t="s">
        <v>104</v>
      </c>
      <c r="Z96" s="6" t="s">
        <v>104</v>
      </c>
      <c r="AA96" s="6" t="s">
        <v>104</v>
      </c>
      <c r="AB96" s="6" t="s">
        <v>104</v>
      </c>
      <c r="AC96" s="6" t="s">
        <v>9714</v>
      </c>
      <c r="AD96" s="16" t="n">
        <v>37375</v>
      </c>
      <c r="AE96" s="6" t="s">
        <v>10616</v>
      </c>
      <c r="AF96" s="6" t="s">
        <v>104</v>
      </c>
      <c r="AG96" s="6" t="s">
        <v>12509</v>
      </c>
      <c r="AH96" s="6" t="s">
        <v>13241</v>
      </c>
      <c r="AI96" s="6" t="s">
        <v>104</v>
      </c>
      <c r="AJ96" s="6" t="s">
        <v>15428</v>
      </c>
      <c r="AK96" s="6" t="s">
        <v>16687</v>
      </c>
      <c r="AL96" s="6" t="s">
        <v>16931</v>
      </c>
      <c r="AM96" s="6" t="s">
        <v>17056</v>
      </c>
      <c r="AN96" s="6" t="s">
        <v>18471</v>
      </c>
      <c r="AO96" s="6" t="s">
        <v>18579</v>
      </c>
      <c r="AP96" s="6" t="s">
        <v>18971</v>
      </c>
      <c r="AQ96" s="6" t="s">
        <v>104</v>
      </c>
      <c r="AR96" s="6" t="s">
        <v>15428</v>
      </c>
      <c r="AS96" s="6" t="s">
        <v>16687</v>
      </c>
      <c r="AT96" s="6" t="s">
        <v>16931</v>
      </c>
      <c r="AU96" s="6" t="s">
        <v>17056</v>
      </c>
      <c r="AV96" s="6" t="s">
        <v>104</v>
      </c>
      <c r="AW96" s="6" t="s">
        <v>104</v>
      </c>
      <c r="AX96" s="6" t="s">
        <v>20194</v>
      </c>
      <c r="AY96" s="6" t="s">
        <v>21932</v>
      </c>
      <c r="AZ96" s="6" t="s">
        <v>104</v>
      </c>
      <c r="BA96" s="6" t="s">
        <v>104</v>
      </c>
      <c r="BB96" s="6" t="s">
        <v>104</v>
      </c>
      <c r="BC96" s="26"/>
      <c r="BD96" s="26"/>
      <c r="BE96" s="26" t="s">
        <v>24533</v>
      </c>
      <c r="BF96" s="26"/>
      <c r="BG96" s="26"/>
      <c r="BH96" s="26"/>
      <c r="BI96" s="26"/>
      <c r="BJ96" s="26"/>
      <c r="BK96" s="26"/>
      <c r="BL96" s="26"/>
      <c r="BM96" s="26"/>
      <c r="BN96" s="26"/>
      <c r="BO96" s="26"/>
      <c r="BP96" s="16" t="n">
        <v>45739</v>
      </c>
      <c r="BQ96" s="28" t="str">
        <f>HYPERLINK("https://organic.ams.usda.gov/Integrity/Certificate.aspx?cid=71&amp;nopid=5520029835")</f>
        <v>https://organic.ams.usda.gov/Integrity/Certificate.aspx?cid=71&amp;nopid=5520029835</v>
      </c>
    </row>
    <row r="97">
      <c r="A97" t="s">
        <v>3</v>
      </c>
      <c r="B97" s="6" t="s">
        <v>11</v>
      </c>
      <c r="C97" s="6" t="s">
        <v>77</v>
      </c>
      <c r="D97" s="6" t="s">
        <v>142</v>
      </c>
      <c r="E97" s="10" t="s">
        <v>295</v>
      </c>
      <c r="F97" s="6" t="s">
        <v>2555</v>
      </c>
      <c r="G97" s="6" t="s">
        <v>104</v>
      </c>
      <c r="H97" s="6" t="s">
        <v>104</v>
      </c>
      <c r="I97" s="6" t="s">
        <v>6992</v>
      </c>
      <c r="J97" s="6" t="s">
        <v>8207</v>
      </c>
      <c r="K97" s="6" t="s">
        <v>9714</v>
      </c>
      <c r="L97" s="16" t="n">
        <v>42913</v>
      </c>
      <c r="M97" s="16" t="n">
        <v>45999</v>
      </c>
      <c r="N97" s="6" t="s">
        <v>9714</v>
      </c>
      <c r="O97" s="16" t="n">
        <v>42913</v>
      </c>
      <c r="P97" s="6" t="s">
        <v>9751</v>
      </c>
      <c r="Q97" s="6" t="s">
        <v>104</v>
      </c>
      <c r="R97" s="6" t="s">
        <v>104</v>
      </c>
      <c r="S97" s="6" t="s">
        <v>104</v>
      </c>
      <c r="T97" s="21" t="s">
        <v>104</v>
      </c>
      <c r="U97" s="6" t="s">
        <v>104</v>
      </c>
      <c r="V97" s="6" t="s">
        <v>104</v>
      </c>
      <c r="W97" s="6" t="s">
        <v>104</v>
      </c>
      <c r="X97" s="6" t="s">
        <v>104</v>
      </c>
      <c r="Y97" s="21" t="s">
        <v>104</v>
      </c>
      <c r="Z97" s="6" t="s">
        <v>104</v>
      </c>
      <c r="AA97" s="6" t="s">
        <v>104</v>
      </c>
      <c r="AB97" s="6" t="s">
        <v>104</v>
      </c>
      <c r="AC97" s="6" t="s">
        <v>9714</v>
      </c>
      <c r="AD97" s="16" t="n">
        <v>42913</v>
      </c>
      <c r="AE97" s="6" t="s">
        <v>10617</v>
      </c>
      <c r="AF97" s="6" t="s">
        <v>104</v>
      </c>
      <c r="AG97" s="6" t="s">
        <v>104</v>
      </c>
      <c r="AH97" s="6" t="s">
        <v>13242</v>
      </c>
      <c r="AI97" s="6" t="s">
        <v>104</v>
      </c>
      <c r="AJ97" s="6" t="s">
        <v>104</v>
      </c>
      <c r="AK97" s="6" t="s">
        <v>104</v>
      </c>
      <c r="AL97" s="6" t="s">
        <v>16940</v>
      </c>
      <c r="AM97" s="6" t="s">
        <v>104</v>
      </c>
      <c r="AN97" s="6" t="s">
        <v>104</v>
      </c>
      <c r="AO97" s="6" t="s">
        <v>104</v>
      </c>
      <c r="AP97" s="6" t="s">
        <v>104</v>
      </c>
      <c r="AQ97" s="6" t="s">
        <v>104</v>
      </c>
      <c r="AR97" s="6" t="s">
        <v>104</v>
      </c>
      <c r="AS97" s="6" t="s">
        <v>104</v>
      </c>
      <c r="AT97" s="6" t="s">
        <v>104</v>
      </c>
      <c r="AU97" s="6" t="s">
        <v>104</v>
      </c>
      <c r="AV97" s="6" t="s">
        <v>104</v>
      </c>
      <c r="AW97" s="6" t="s">
        <v>104</v>
      </c>
      <c r="AX97" s="6" t="s">
        <v>20195</v>
      </c>
      <c r="AY97" s="6" t="s">
        <v>21933</v>
      </c>
      <c r="AZ97" s="6" t="s">
        <v>104</v>
      </c>
      <c r="BA97" s="6" t="s">
        <v>104</v>
      </c>
      <c r="BB97" s="24" t="n">
        <v>9009</v>
      </c>
      <c r="BC97" s="26"/>
      <c r="BD97" s="26"/>
      <c r="BE97" s="26"/>
      <c r="BF97" s="26"/>
      <c r="BG97" s="26"/>
      <c r="BH97" s="26"/>
      <c r="BI97" s="26"/>
      <c r="BJ97" s="26"/>
      <c r="BK97" s="26"/>
      <c r="BL97" s="26"/>
      <c r="BM97" s="26"/>
      <c r="BN97" s="26"/>
      <c r="BO97" s="26"/>
      <c r="BP97" s="16" t="n">
        <v>45734</v>
      </c>
      <c r="BQ97" s="28" t="str">
        <f>HYPERLINK("https://organic.ams.usda.gov/Integrity/Certificate.aspx?cid=21&amp;nopid=1780833845")</f>
        <v>https://organic.ams.usda.gov/Integrity/Certificate.aspx?cid=21&amp;nopid=1780833845</v>
      </c>
    </row>
    <row r="98">
      <c r="A98" t="s">
        <v>3</v>
      </c>
      <c r="B98" s="6" t="s">
        <v>14</v>
      </c>
      <c r="C98" s="6" t="s">
        <v>80</v>
      </c>
      <c r="D98" s="6" t="s">
        <v>145</v>
      </c>
      <c r="E98" s="10" t="s">
        <v>296</v>
      </c>
      <c r="F98" s="6" t="s">
        <v>2556</v>
      </c>
      <c r="G98" s="6" t="s">
        <v>104</v>
      </c>
      <c r="H98" s="6" t="s">
        <v>4978</v>
      </c>
      <c r="I98" s="6" t="s">
        <v>6993</v>
      </c>
      <c r="J98" s="6" t="s">
        <v>8208</v>
      </c>
      <c r="K98" s="6" t="s">
        <v>9714</v>
      </c>
      <c r="L98" s="16" t="n">
        <v>45239</v>
      </c>
      <c r="M98" s="16" t="n">
        <v>45872</v>
      </c>
      <c r="N98" s="6" t="s">
        <v>9714</v>
      </c>
      <c r="O98" s="16" t="n">
        <v>45239</v>
      </c>
      <c r="P98" s="6" t="s">
        <v>9752</v>
      </c>
      <c r="Q98" s="6" t="s">
        <v>104</v>
      </c>
      <c r="R98" s="6" t="s">
        <v>104</v>
      </c>
      <c r="S98" s="6" t="s">
        <v>104</v>
      </c>
      <c r="T98" s="21" t="s">
        <v>104</v>
      </c>
      <c r="U98" s="6" t="s">
        <v>104</v>
      </c>
      <c r="V98" s="6" t="s">
        <v>104</v>
      </c>
      <c r="W98" s="6" t="s">
        <v>104</v>
      </c>
      <c r="X98" s="6" t="s">
        <v>104</v>
      </c>
      <c r="Y98" s="21" t="s">
        <v>104</v>
      </c>
      <c r="Z98" s="6" t="s">
        <v>104</v>
      </c>
      <c r="AA98" s="6" t="s">
        <v>104</v>
      </c>
      <c r="AB98" s="6" t="s">
        <v>104</v>
      </c>
      <c r="AC98" s="6" t="s">
        <v>104</v>
      </c>
      <c r="AD98" s="21" t="s">
        <v>104</v>
      </c>
      <c r="AE98" s="6" t="s">
        <v>104</v>
      </c>
      <c r="AF98" s="6" t="s">
        <v>104</v>
      </c>
      <c r="AG98" s="6" t="s">
        <v>104</v>
      </c>
      <c r="AH98" s="6" t="s">
        <v>13243</v>
      </c>
      <c r="AI98" s="6" t="s">
        <v>104</v>
      </c>
      <c r="AJ98" s="6" t="s">
        <v>15429</v>
      </c>
      <c r="AK98" s="6" t="s">
        <v>15885</v>
      </c>
      <c r="AL98" s="6" t="s">
        <v>16932</v>
      </c>
      <c r="AM98" s="6" t="s">
        <v>17057</v>
      </c>
      <c r="AN98" s="6" t="s">
        <v>104</v>
      </c>
      <c r="AO98" s="6" t="s">
        <v>104</v>
      </c>
      <c r="AP98" s="6" t="s">
        <v>18972</v>
      </c>
      <c r="AQ98" s="6" t="s">
        <v>104</v>
      </c>
      <c r="AR98" s="6" t="s">
        <v>15429</v>
      </c>
      <c r="AS98" s="6" t="s">
        <v>15885</v>
      </c>
      <c r="AT98" s="6" t="s">
        <v>16932</v>
      </c>
      <c r="AU98" s="6" t="s">
        <v>17057</v>
      </c>
      <c r="AV98" s="6" t="s">
        <v>104</v>
      </c>
      <c r="AW98" s="6" t="s">
        <v>104</v>
      </c>
      <c r="AX98" s="6" t="s">
        <v>104</v>
      </c>
      <c r="AY98" s="6" t="s">
        <v>21934</v>
      </c>
      <c r="AZ98" s="6" t="s">
        <v>104</v>
      </c>
      <c r="BA98" s="6" t="s">
        <v>104</v>
      </c>
      <c r="BB98" s="24" t="n">
        <v>1344</v>
      </c>
      <c r="BC98" s="26"/>
      <c r="BD98" s="26"/>
      <c r="BE98" s="26"/>
      <c r="BF98" s="26"/>
      <c r="BG98" s="26"/>
      <c r="BH98" s="26"/>
      <c r="BI98" s="26"/>
      <c r="BJ98" s="26"/>
      <c r="BK98" s="26"/>
      <c r="BL98" s="26"/>
      <c r="BM98" s="26"/>
      <c r="BN98" s="26"/>
      <c r="BO98" s="26"/>
      <c r="BP98" s="16" t="n">
        <v>45603</v>
      </c>
      <c r="BQ98" s="28" t="str">
        <f>HYPERLINK("https://organic.ams.usda.gov/Integrity/Certificate.aspx?cid=89&amp;nopid=4920006074")</f>
        <v>https://organic.ams.usda.gov/Integrity/Certificate.aspx?cid=89&amp;nopid=4920006074</v>
      </c>
    </row>
    <row r="99">
      <c r="A99" t="s">
        <v>3</v>
      </c>
      <c r="B99" s="6" t="s">
        <v>14</v>
      </c>
      <c r="C99" s="6" t="s">
        <v>80</v>
      </c>
      <c r="D99" s="6" t="s">
        <v>145</v>
      </c>
      <c r="E99" s="10" t="s">
        <v>297</v>
      </c>
      <c r="F99" s="6" t="s">
        <v>2557</v>
      </c>
      <c r="G99" s="6" t="s">
        <v>104</v>
      </c>
      <c r="H99" s="6" t="s">
        <v>4979</v>
      </c>
      <c r="I99" s="6" t="s">
        <v>6993</v>
      </c>
      <c r="J99" s="6" t="s">
        <v>8208</v>
      </c>
      <c r="K99" s="6" t="s">
        <v>9714</v>
      </c>
      <c r="L99" s="16" t="n">
        <v>44915</v>
      </c>
      <c r="M99" s="16" t="n">
        <v>45859</v>
      </c>
      <c r="N99" s="6" t="s">
        <v>9714</v>
      </c>
      <c r="O99" s="16" t="n">
        <v>44915</v>
      </c>
      <c r="P99" s="6" t="s">
        <v>9752</v>
      </c>
      <c r="Q99" s="6" t="s">
        <v>104</v>
      </c>
      <c r="R99" s="6" t="s">
        <v>104</v>
      </c>
      <c r="S99" s="6" t="s">
        <v>104</v>
      </c>
      <c r="T99" s="21" t="s">
        <v>104</v>
      </c>
      <c r="U99" s="6" t="s">
        <v>104</v>
      </c>
      <c r="V99" s="6" t="s">
        <v>104</v>
      </c>
      <c r="W99" s="6" t="s">
        <v>104</v>
      </c>
      <c r="X99" s="6" t="s">
        <v>104</v>
      </c>
      <c r="Y99" s="21" t="s">
        <v>104</v>
      </c>
      <c r="Z99" s="6" t="s">
        <v>104</v>
      </c>
      <c r="AA99" s="6" t="s">
        <v>104</v>
      </c>
      <c r="AB99" s="6" t="s">
        <v>104</v>
      </c>
      <c r="AC99" s="6" t="s">
        <v>104</v>
      </c>
      <c r="AD99" s="21" t="s">
        <v>104</v>
      </c>
      <c r="AE99" s="6" t="s">
        <v>104</v>
      </c>
      <c r="AF99" s="6" t="s">
        <v>104</v>
      </c>
      <c r="AG99" s="6" t="s">
        <v>104</v>
      </c>
      <c r="AH99" s="6" t="s">
        <v>13244</v>
      </c>
      <c r="AI99" s="6" t="s">
        <v>104</v>
      </c>
      <c r="AJ99" s="6" t="s">
        <v>15429</v>
      </c>
      <c r="AK99" s="6" t="s">
        <v>15885</v>
      </c>
      <c r="AL99" s="6" t="s">
        <v>16932</v>
      </c>
      <c r="AM99" s="6" t="s">
        <v>17058</v>
      </c>
      <c r="AN99" s="6" t="s">
        <v>104</v>
      </c>
      <c r="AO99" s="6" t="s">
        <v>104</v>
      </c>
      <c r="AP99" s="6" t="s">
        <v>18973</v>
      </c>
      <c r="AQ99" s="6" t="s">
        <v>104</v>
      </c>
      <c r="AR99" s="6" t="s">
        <v>15429</v>
      </c>
      <c r="AS99" s="6" t="s">
        <v>15885</v>
      </c>
      <c r="AT99" s="6" t="s">
        <v>16932</v>
      </c>
      <c r="AU99" s="6" t="s">
        <v>17057</v>
      </c>
      <c r="AV99" s="6" t="s">
        <v>104</v>
      </c>
      <c r="AW99" s="6" t="s">
        <v>104</v>
      </c>
      <c r="AX99" s="6" t="s">
        <v>104</v>
      </c>
      <c r="AY99" s="6" t="s">
        <v>21934</v>
      </c>
      <c r="AZ99" s="6" t="s">
        <v>104</v>
      </c>
      <c r="BA99" s="6" t="s">
        <v>104</v>
      </c>
      <c r="BB99" s="24" t="n">
        <v>722</v>
      </c>
      <c r="BC99" s="26"/>
      <c r="BD99" s="26"/>
      <c r="BE99" s="26"/>
      <c r="BF99" s="26"/>
      <c r="BG99" s="26"/>
      <c r="BH99" s="26"/>
      <c r="BI99" s="26"/>
      <c r="BJ99" s="26"/>
      <c r="BK99" s="26"/>
      <c r="BL99" s="26"/>
      <c r="BM99" s="26"/>
      <c r="BN99" s="26"/>
      <c r="BO99" s="26"/>
      <c r="BP99" s="16" t="n">
        <v>45699</v>
      </c>
      <c r="BQ99" s="28" t="str">
        <f>HYPERLINK("https://organic.ams.usda.gov/Integrity/Certificate.aspx?cid=89&amp;nopid=4920005997")</f>
        <v>https://organic.ams.usda.gov/Integrity/Certificate.aspx?cid=89&amp;nopid=4920005997</v>
      </c>
    </row>
    <row r="100">
      <c r="A100" t="s">
        <v>3</v>
      </c>
      <c r="B100" s="6" t="s">
        <v>14</v>
      </c>
      <c r="C100" s="6" t="s">
        <v>80</v>
      </c>
      <c r="D100" s="6" t="s">
        <v>145</v>
      </c>
      <c r="E100" s="10" t="s">
        <v>298</v>
      </c>
      <c r="F100" s="6" t="s">
        <v>2558</v>
      </c>
      <c r="G100" s="6" t="s">
        <v>104</v>
      </c>
      <c r="H100" s="6" t="s">
        <v>4980</v>
      </c>
      <c r="I100" s="6" t="s">
        <v>6993</v>
      </c>
      <c r="J100" s="6" t="s">
        <v>8208</v>
      </c>
      <c r="K100" s="6" t="s">
        <v>9714</v>
      </c>
      <c r="L100" s="16" t="n">
        <v>44956</v>
      </c>
      <c r="M100" s="16" t="n">
        <v>45855</v>
      </c>
      <c r="N100" s="6" t="s">
        <v>9714</v>
      </c>
      <c r="O100" s="16" t="n">
        <v>44956</v>
      </c>
      <c r="P100" s="6" t="s">
        <v>9753</v>
      </c>
      <c r="Q100" s="6" t="s">
        <v>104</v>
      </c>
      <c r="R100" s="6" t="s">
        <v>104</v>
      </c>
      <c r="S100" s="6" t="s">
        <v>104</v>
      </c>
      <c r="T100" s="21" t="s">
        <v>104</v>
      </c>
      <c r="U100" s="6" t="s">
        <v>104</v>
      </c>
      <c r="V100" s="6" t="s">
        <v>104</v>
      </c>
      <c r="W100" s="6" t="s">
        <v>104</v>
      </c>
      <c r="X100" s="6" t="s">
        <v>104</v>
      </c>
      <c r="Y100" s="21" t="s">
        <v>104</v>
      </c>
      <c r="Z100" s="6" t="s">
        <v>104</v>
      </c>
      <c r="AA100" s="6" t="s">
        <v>104</v>
      </c>
      <c r="AB100" s="6" t="s">
        <v>104</v>
      </c>
      <c r="AC100" s="6" t="s">
        <v>104</v>
      </c>
      <c r="AD100" s="21" t="s">
        <v>104</v>
      </c>
      <c r="AE100" s="6" t="s">
        <v>104</v>
      </c>
      <c r="AF100" s="6" t="s">
        <v>104</v>
      </c>
      <c r="AG100" s="6" t="s">
        <v>104</v>
      </c>
      <c r="AH100" s="6" t="s">
        <v>13245</v>
      </c>
      <c r="AI100" s="6" t="s">
        <v>104</v>
      </c>
      <c r="AJ100" s="6" t="s">
        <v>15429</v>
      </c>
      <c r="AK100" s="6" t="s">
        <v>15885</v>
      </c>
      <c r="AL100" s="6" t="s">
        <v>16932</v>
      </c>
      <c r="AM100" s="6" t="s">
        <v>17059</v>
      </c>
      <c r="AN100" s="6" t="s">
        <v>104</v>
      </c>
      <c r="AO100" s="6" t="s">
        <v>104</v>
      </c>
      <c r="AP100" s="6" t="s">
        <v>18974</v>
      </c>
      <c r="AQ100" s="6" t="s">
        <v>104</v>
      </c>
      <c r="AR100" s="6" t="s">
        <v>15429</v>
      </c>
      <c r="AS100" s="6" t="s">
        <v>15885</v>
      </c>
      <c r="AT100" s="6" t="s">
        <v>16932</v>
      </c>
      <c r="AU100" s="6" t="s">
        <v>17057</v>
      </c>
      <c r="AV100" s="6" t="s">
        <v>104</v>
      </c>
      <c r="AW100" s="6" t="s">
        <v>104</v>
      </c>
      <c r="AX100" s="6" t="s">
        <v>104</v>
      </c>
      <c r="AY100" s="6" t="s">
        <v>21934</v>
      </c>
      <c r="AZ100" s="6" t="s">
        <v>104</v>
      </c>
      <c r="BA100" s="6" t="s">
        <v>104</v>
      </c>
      <c r="BB100" s="24" t="n">
        <v>975</v>
      </c>
      <c r="BC100" s="26"/>
      <c r="BD100" s="26"/>
      <c r="BE100" s="26"/>
      <c r="BF100" s="26"/>
      <c r="BG100" s="26"/>
      <c r="BH100" s="26"/>
      <c r="BI100" s="26"/>
      <c r="BJ100" s="26"/>
      <c r="BK100" s="26"/>
      <c r="BL100" s="26"/>
      <c r="BM100" s="26"/>
      <c r="BN100" s="26"/>
      <c r="BO100" s="26"/>
      <c r="BP100" s="16" t="n">
        <v>45648</v>
      </c>
      <c r="BQ100" s="28" t="str">
        <f>HYPERLINK("https://organic.ams.usda.gov/Integrity/Certificate.aspx?cid=89&amp;nopid=4920005873")</f>
        <v>https://organic.ams.usda.gov/Integrity/Certificate.aspx?cid=89&amp;nopid=4920005873</v>
      </c>
    </row>
    <row r="101">
      <c r="A101" t="s">
        <v>3</v>
      </c>
      <c r="B101" s="6" t="s">
        <v>14</v>
      </c>
      <c r="C101" s="6" t="s">
        <v>80</v>
      </c>
      <c r="D101" s="6" t="s">
        <v>145</v>
      </c>
      <c r="E101" s="10" t="s">
        <v>299</v>
      </c>
      <c r="F101" s="6" t="s">
        <v>2559</v>
      </c>
      <c r="G101" s="6" t="s">
        <v>104</v>
      </c>
      <c r="H101" s="6" t="s">
        <v>4981</v>
      </c>
      <c r="I101" s="6" t="s">
        <v>6993</v>
      </c>
      <c r="J101" s="6" t="s">
        <v>8208</v>
      </c>
      <c r="K101" s="6" t="s">
        <v>9714</v>
      </c>
      <c r="L101" s="16" t="n">
        <v>44943</v>
      </c>
      <c r="M101" s="16" t="n">
        <v>45850</v>
      </c>
      <c r="N101" s="6" t="s">
        <v>9714</v>
      </c>
      <c r="O101" s="16" t="n">
        <v>44943</v>
      </c>
      <c r="P101" s="6" t="s">
        <v>9754</v>
      </c>
      <c r="Q101" s="6" t="s">
        <v>104</v>
      </c>
      <c r="R101" s="6" t="s">
        <v>104</v>
      </c>
      <c r="S101" s="6" t="s">
        <v>104</v>
      </c>
      <c r="T101" s="21" t="s">
        <v>104</v>
      </c>
      <c r="U101" s="6" t="s">
        <v>104</v>
      </c>
      <c r="V101" s="6" t="s">
        <v>104</v>
      </c>
      <c r="W101" s="6" t="s">
        <v>104</v>
      </c>
      <c r="X101" s="6" t="s">
        <v>104</v>
      </c>
      <c r="Y101" s="21" t="s">
        <v>104</v>
      </c>
      <c r="Z101" s="6" t="s">
        <v>104</v>
      </c>
      <c r="AA101" s="6" t="s">
        <v>104</v>
      </c>
      <c r="AB101" s="6" t="s">
        <v>104</v>
      </c>
      <c r="AC101" s="6" t="s">
        <v>104</v>
      </c>
      <c r="AD101" s="21" t="s">
        <v>104</v>
      </c>
      <c r="AE101" s="6" t="s">
        <v>104</v>
      </c>
      <c r="AF101" s="6" t="s">
        <v>104</v>
      </c>
      <c r="AG101" s="6" t="s">
        <v>104</v>
      </c>
      <c r="AH101" s="6" t="s">
        <v>13246</v>
      </c>
      <c r="AI101" s="6" t="s">
        <v>104</v>
      </c>
      <c r="AJ101" s="6" t="s">
        <v>15429</v>
      </c>
      <c r="AK101" s="6" t="s">
        <v>15885</v>
      </c>
      <c r="AL101" s="6" t="s">
        <v>16932</v>
      </c>
      <c r="AM101" s="6" t="s">
        <v>17057</v>
      </c>
      <c r="AN101" s="6" t="s">
        <v>104</v>
      </c>
      <c r="AO101" s="6" t="s">
        <v>104</v>
      </c>
      <c r="AP101" s="6" t="s">
        <v>18975</v>
      </c>
      <c r="AQ101" s="6" t="s">
        <v>104</v>
      </c>
      <c r="AR101" s="6" t="s">
        <v>15429</v>
      </c>
      <c r="AS101" s="6" t="s">
        <v>15885</v>
      </c>
      <c r="AT101" s="6" t="s">
        <v>16932</v>
      </c>
      <c r="AU101" s="6" t="s">
        <v>17057</v>
      </c>
      <c r="AV101" s="6" t="s">
        <v>104</v>
      </c>
      <c r="AW101" s="6" t="s">
        <v>104</v>
      </c>
      <c r="AX101" s="6" t="s">
        <v>104</v>
      </c>
      <c r="AY101" s="6" t="s">
        <v>21934</v>
      </c>
      <c r="AZ101" s="6" t="s">
        <v>104</v>
      </c>
      <c r="BA101" s="6" t="s">
        <v>104</v>
      </c>
      <c r="BB101" s="24" t="n">
        <v>492</v>
      </c>
      <c r="BC101" s="26"/>
      <c r="BD101" s="26"/>
      <c r="BE101" s="26"/>
      <c r="BF101" s="26"/>
      <c r="BG101" s="26"/>
      <c r="BH101" s="26"/>
      <c r="BI101" s="26"/>
      <c r="BJ101" s="26"/>
      <c r="BK101" s="26"/>
      <c r="BL101" s="26"/>
      <c r="BM101" s="26"/>
      <c r="BN101" s="26"/>
      <c r="BO101" s="26"/>
      <c r="BP101" s="16" t="n">
        <v>45699</v>
      </c>
      <c r="BQ101" s="28" t="str">
        <f>HYPERLINK("https://organic.ams.usda.gov/Integrity/Certificate.aspx?cid=89&amp;nopid=4920005872")</f>
        <v>https://organic.ams.usda.gov/Integrity/Certificate.aspx?cid=89&amp;nopid=4920005872</v>
      </c>
    </row>
    <row r="102">
      <c r="A102" t="s">
        <v>3</v>
      </c>
      <c r="B102" s="6" t="s">
        <v>11</v>
      </c>
      <c r="C102" s="6" t="s">
        <v>77</v>
      </c>
      <c r="D102" s="6" t="s">
        <v>142</v>
      </c>
      <c r="E102" s="10" t="s">
        <v>300</v>
      </c>
      <c r="F102" s="6" t="s">
        <v>2560</v>
      </c>
      <c r="G102" s="6" t="s">
        <v>104</v>
      </c>
      <c r="H102" s="6" t="s">
        <v>4982</v>
      </c>
      <c r="I102" s="6" t="s">
        <v>6994</v>
      </c>
      <c r="J102" s="6" t="s">
        <v>8209</v>
      </c>
      <c r="K102" s="6" t="s">
        <v>9714</v>
      </c>
      <c r="L102" s="16" t="n">
        <v>44714</v>
      </c>
      <c r="M102" s="16" t="n">
        <v>45754</v>
      </c>
      <c r="N102" s="6" t="s">
        <v>9714</v>
      </c>
      <c r="O102" s="16" t="n">
        <v>45534</v>
      </c>
      <c r="P102" s="6" t="s">
        <v>9755</v>
      </c>
      <c r="Q102" s="6" t="s">
        <v>104</v>
      </c>
      <c r="R102" s="6" t="s">
        <v>300</v>
      </c>
      <c r="S102" s="6" t="s">
        <v>104</v>
      </c>
      <c r="T102" s="21" t="s">
        <v>104</v>
      </c>
      <c r="U102" s="6" t="s">
        <v>104</v>
      </c>
      <c r="V102" s="6" t="s">
        <v>104</v>
      </c>
      <c r="W102" s="6" t="s">
        <v>104</v>
      </c>
      <c r="X102" s="6" t="s">
        <v>104</v>
      </c>
      <c r="Y102" s="21" t="s">
        <v>104</v>
      </c>
      <c r="Z102" s="6" t="s">
        <v>104</v>
      </c>
      <c r="AA102" s="6" t="s">
        <v>104</v>
      </c>
      <c r="AB102" s="6" t="s">
        <v>104</v>
      </c>
      <c r="AC102" s="6" t="s">
        <v>9714</v>
      </c>
      <c r="AD102" s="16" t="n">
        <v>44714</v>
      </c>
      <c r="AE102" s="6" t="s">
        <v>10618</v>
      </c>
      <c r="AF102" s="6" t="s">
        <v>104</v>
      </c>
      <c r="AG102" s="6" t="s">
        <v>300</v>
      </c>
      <c r="AH102" s="6" t="s">
        <v>13247</v>
      </c>
      <c r="AI102" s="6" t="s">
        <v>104</v>
      </c>
      <c r="AJ102" s="6" t="s">
        <v>15430</v>
      </c>
      <c r="AK102" s="6" t="s">
        <v>104</v>
      </c>
      <c r="AL102" s="6" t="s">
        <v>16939</v>
      </c>
      <c r="AM102" s="6" t="s">
        <v>104</v>
      </c>
      <c r="AN102" s="6" t="s">
        <v>104</v>
      </c>
      <c r="AO102" s="6" t="s">
        <v>104</v>
      </c>
      <c r="AP102" s="6" t="s">
        <v>104</v>
      </c>
      <c r="AQ102" s="6" t="s">
        <v>104</v>
      </c>
      <c r="AR102" s="6" t="s">
        <v>104</v>
      </c>
      <c r="AS102" s="6" t="s">
        <v>104</v>
      </c>
      <c r="AT102" s="6" t="s">
        <v>104</v>
      </c>
      <c r="AU102" s="6" t="s">
        <v>104</v>
      </c>
      <c r="AV102" s="6" t="s">
        <v>104</v>
      </c>
      <c r="AW102" s="6" t="s">
        <v>104</v>
      </c>
      <c r="AX102" s="6" t="s">
        <v>20196</v>
      </c>
      <c r="AY102" s="6" t="s">
        <v>21935</v>
      </c>
      <c r="AZ102" s="6" t="s">
        <v>104</v>
      </c>
      <c r="BA102" s="6" t="s">
        <v>24271</v>
      </c>
      <c r="BB102" s="24" t="n">
        <v>509</v>
      </c>
      <c r="BC102" s="26"/>
      <c r="BD102" s="26"/>
      <c r="BE102" s="26"/>
      <c r="BF102" s="26"/>
      <c r="BG102" s="26" t="s">
        <v>24533</v>
      </c>
      <c r="BH102" s="26" t="s">
        <v>24533</v>
      </c>
      <c r="BI102" s="26"/>
      <c r="BJ102" s="26"/>
      <c r="BK102" s="26"/>
      <c r="BL102" s="26"/>
      <c r="BM102" s="26"/>
      <c r="BN102" s="26" t="s">
        <v>24533</v>
      </c>
      <c r="BO102" s="26" t="s">
        <v>24533</v>
      </c>
      <c r="BP102" s="16" t="n">
        <v>45656</v>
      </c>
      <c r="BQ102" s="28" t="str">
        <f>HYPERLINK("https://organic.ams.usda.gov/Integrity/Certificate.aspx?cid=21&amp;nopid=1780886201")</f>
        <v>https://organic.ams.usda.gov/Integrity/Certificate.aspx?cid=21&amp;nopid=1780886201</v>
      </c>
    </row>
    <row r="103">
      <c r="A103" t="s">
        <v>3</v>
      </c>
      <c r="B103" s="6" t="s">
        <v>42</v>
      </c>
      <c r="C103" s="6" t="s">
        <v>108</v>
      </c>
      <c r="D103" s="6" t="s">
        <v>172</v>
      </c>
      <c r="E103" s="10" t="s">
        <v>301</v>
      </c>
      <c r="F103" s="6" t="s">
        <v>2561</v>
      </c>
      <c r="G103" s="6" t="s">
        <v>104</v>
      </c>
      <c r="H103" s="6" t="s">
        <v>4983</v>
      </c>
      <c r="I103" s="6" t="s">
        <v>6995</v>
      </c>
      <c r="J103" s="6" t="s">
        <v>8210</v>
      </c>
      <c r="K103" s="6" t="s">
        <v>9714</v>
      </c>
      <c r="L103" s="16" t="n">
        <v>45155</v>
      </c>
      <c r="M103" s="16" t="n">
        <v>45886</v>
      </c>
      <c r="N103" s="6" t="s">
        <v>104</v>
      </c>
      <c r="O103" s="21" t="s">
        <v>104</v>
      </c>
      <c r="P103" s="6" t="s">
        <v>104</v>
      </c>
      <c r="Q103" s="6" t="s">
        <v>104</v>
      </c>
      <c r="R103" s="6" t="s">
        <v>104</v>
      </c>
      <c r="S103" s="6" t="s">
        <v>104</v>
      </c>
      <c r="T103" s="21" t="s">
        <v>104</v>
      </c>
      <c r="U103" s="6" t="s">
        <v>104</v>
      </c>
      <c r="V103" s="6" t="s">
        <v>104</v>
      </c>
      <c r="W103" s="6" t="s">
        <v>104</v>
      </c>
      <c r="X103" s="6" t="s">
        <v>104</v>
      </c>
      <c r="Y103" s="21" t="s">
        <v>104</v>
      </c>
      <c r="Z103" s="6" t="s">
        <v>104</v>
      </c>
      <c r="AA103" s="6" t="s">
        <v>104</v>
      </c>
      <c r="AB103" s="6" t="s">
        <v>104</v>
      </c>
      <c r="AC103" s="6" t="s">
        <v>9714</v>
      </c>
      <c r="AD103" s="16" t="n">
        <v>45155</v>
      </c>
      <c r="AE103" s="6" t="s">
        <v>10619</v>
      </c>
      <c r="AF103" s="6" t="s">
        <v>104</v>
      </c>
      <c r="AG103" s="6" t="s">
        <v>4983</v>
      </c>
      <c r="AH103" s="6" t="s">
        <v>13248</v>
      </c>
      <c r="AI103" s="6" t="s">
        <v>104</v>
      </c>
      <c r="AJ103" s="6" t="s">
        <v>15431</v>
      </c>
      <c r="AK103" s="6" t="s">
        <v>16680</v>
      </c>
      <c r="AL103" s="6" t="s">
        <v>16931</v>
      </c>
      <c r="AM103" s="6" t="s">
        <v>17060</v>
      </c>
      <c r="AN103" s="6" t="s">
        <v>18472</v>
      </c>
      <c r="AO103" s="6" t="s">
        <v>18580</v>
      </c>
      <c r="AP103" s="6" t="s">
        <v>104</v>
      </c>
      <c r="AQ103" s="6" t="s">
        <v>104</v>
      </c>
      <c r="AR103" s="6" t="s">
        <v>104</v>
      </c>
      <c r="AS103" s="6" t="s">
        <v>104</v>
      </c>
      <c r="AT103" s="6" t="s">
        <v>104</v>
      </c>
      <c r="AU103" s="6" t="s">
        <v>104</v>
      </c>
      <c r="AV103" s="6" t="s">
        <v>104</v>
      </c>
      <c r="AW103" s="6" t="s">
        <v>104</v>
      </c>
      <c r="AX103" s="6" t="s">
        <v>20197</v>
      </c>
      <c r="AY103" s="6" t="s">
        <v>21936</v>
      </c>
      <c r="AZ103" s="6" t="s">
        <v>104</v>
      </c>
      <c r="BA103" s="6" t="s">
        <v>104</v>
      </c>
      <c r="BB103" s="6" t="s">
        <v>104</v>
      </c>
      <c r="BC103" s="26"/>
      <c r="BD103" s="26"/>
      <c r="BE103" s="26" t="s">
        <v>24533</v>
      </c>
      <c r="BF103" s="26"/>
      <c r="BG103" s="26"/>
      <c r="BH103" s="26"/>
      <c r="BI103" s="26"/>
      <c r="BJ103" s="26"/>
      <c r="BK103" s="26"/>
      <c r="BL103" s="26"/>
      <c r="BM103" s="26"/>
      <c r="BN103" s="26"/>
      <c r="BO103" s="26"/>
      <c r="BP103" s="16" t="n">
        <v>45652</v>
      </c>
      <c r="BQ103" s="28" t="str">
        <f>HYPERLINK("https://organic.ams.usda.gov/Integrity/Certificate.aspx?cid=69&amp;nopid=1560010620")</f>
        <v>https://organic.ams.usda.gov/Integrity/Certificate.aspx?cid=69&amp;nopid=1560010620</v>
      </c>
    </row>
    <row r="104">
      <c r="A104" t="s">
        <v>3</v>
      </c>
      <c r="B104" s="6" t="s">
        <v>11</v>
      </c>
      <c r="C104" s="6" t="s">
        <v>77</v>
      </c>
      <c r="D104" s="6" t="s">
        <v>142</v>
      </c>
      <c r="E104" s="10" t="s">
        <v>302</v>
      </c>
      <c r="F104" s="6" t="s">
        <v>2562</v>
      </c>
      <c r="G104" s="6" t="s">
        <v>104</v>
      </c>
      <c r="H104" s="6" t="s">
        <v>104</v>
      </c>
      <c r="I104" s="6" t="s">
        <v>6996</v>
      </c>
      <c r="J104" s="6" t="s">
        <v>8211</v>
      </c>
      <c r="K104" s="6" t="s">
        <v>9714</v>
      </c>
      <c r="L104" s="16" t="n">
        <v>42147</v>
      </c>
      <c r="M104" s="16" t="n">
        <v>45869</v>
      </c>
      <c r="N104" s="6" t="s">
        <v>104</v>
      </c>
      <c r="O104" s="21" t="s">
        <v>104</v>
      </c>
      <c r="P104" s="6" t="s">
        <v>104</v>
      </c>
      <c r="Q104" s="6" t="s">
        <v>104</v>
      </c>
      <c r="R104" s="6" t="s">
        <v>104</v>
      </c>
      <c r="S104" s="6" t="s">
        <v>104</v>
      </c>
      <c r="T104" s="21" t="s">
        <v>104</v>
      </c>
      <c r="U104" s="6" t="s">
        <v>104</v>
      </c>
      <c r="V104" s="6" t="s">
        <v>104</v>
      </c>
      <c r="W104" s="6" t="s">
        <v>104</v>
      </c>
      <c r="X104" s="6" t="s">
        <v>104</v>
      </c>
      <c r="Y104" s="21" t="s">
        <v>104</v>
      </c>
      <c r="Z104" s="6" t="s">
        <v>104</v>
      </c>
      <c r="AA104" s="6" t="s">
        <v>104</v>
      </c>
      <c r="AB104" s="6" t="s">
        <v>104</v>
      </c>
      <c r="AC104" s="6" t="s">
        <v>9714</v>
      </c>
      <c r="AD104" s="16" t="n">
        <v>42147</v>
      </c>
      <c r="AE104" s="6" t="s">
        <v>10620</v>
      </c>
      <c r="AF104" s="6" t="s">
        <v>104</v>
      </c>
      <c r="AG104" s="6" t="s">
        <v>104</v>
      </c>
      <c r="AH104" s="6" t="s">
        <v>13249</v>
      </c>
      <c r="AI104" s="6" t="s">
        <v>104</v>
      </c>
      <c r="AJ104" s="6" t="s">
        <v>15383</v>
      </c>
      <c r="AK104" s="6" t="s">
        <v>104</v>
      </c>
      <c r="AL104" s="6" t="s">
        <v>16933</v>
      </c>
      <c r="AM104" s="6" t="s">
        <v>104</v>
      </c>
      <c r="AN104" s="6" t="s">
        <v>104</v>
      </c>
      <c r="AO104" s="6" t="s">
        <v>104</v>
      </c>
      <c r="AP104" s="6" t="s">
        <v>104</v>
      </c>
      <c r="AQ104" s="6" t="s">
        <v>104</v>
      </c>
      <c r="AR104" s="6" t="s">
        <v>104</v>
      </c>
      <c r="AS104" s="6" t="s">
        <v>104</v>
      </c>
      <c r="AT104" s="6" t="s">
        <v>104</v>
      </c>
      <c r="AU104" s="6" t="s">
        <v>104</v>
      </c>
      <c r="AV104" s="6" t="s">
        <v>104</v>
      </c>
      <c r="AW104" s="6" t="s">
        <v>104</v>
      </c>
      <c r="AX104" s="6" t="s">
        <v>20198</v>
      </c>
      <c r="AY104" s="6" t="s">
        <v>21937</v>
      </c>
      <c r="AZ104" s="6" t="s">
        <v>104</v>
      </c>
      <c r="BA104" s="6" t="s">
        <v>104</v>
      </c>
      <c r="BB104" s="6" t="s">
        <v>104</v>
      </c>
      <c r="BC104" s="26"/>
      <c r="BD104" s="26"/>
      <c r="BE104" s="26"/>
      <c r="BF104" s="26"/>
      <c r="BG104" s="26"/>
      <c r="BH104" s="26" t="s">
        <v>24533</v>
      </c>
      <c r="BI104" s="26"/>
      <c r="BJ104" s="26"/>
      <c r="BK104" s="26"/>
      <c r="BL104" s="26"/>
      <c r="BM104" s="26"/>
      <c r="BN104" s="26"/>
      <c r="BO104" s="26"/>
      <c r="BP104" s="16" t="n">
        <v>45569</v>
      </c>
      <c r="BQ104" s="28" t="str">
        <f>HYPERLINK("https://organic.ams.usda.gov/Integrity/Certificate.aspx?cid=21&amp;nopid=1780835346")</f>
        <v>https://organic.ams.usda.gov/Integrity/Certificate.aspx?cid=21&amp;nopid=1780835346</v>
      </c>
    </row>
    <row r="105">
      <c r="A105" t="s">
        <v>3</v>
      </c>
      <c r="B105" s="6" t="s">
        <v>43</v>
      </c>
      <c r="C105" s="6" t="s">
        <v>109</v>
      </c>
      <c r="D105" s="6" t="s">
        <v>173</v>
      </c>
      <c r="E105" s="10" t="s">
        <v>303</v>
      </c>
      <c r="F105" s="6" t="s">
        <v>2563</v>
      </c>
      <c r="G105" s="6" t="s">
        <v>104</v>
      </c>
      <c r="H105" s="6" t="s">
        <v>4984</v>
      </c>
      <c r="I105" s="6" t="s">
        <v>6997</v>
      </c>
      <c r="J105" s="6" t="s">
        <v>8212</v>
      </c>
      <c r="K105" s="6" t="s">
        <v>9714</v>
      </c>
      <c r="L105" s="16" t="n">
        <v>43728</v>
      </c>
      <c r="M105" s="16" t="n">
        <v>45921</v>
      </c>
      <c r="N105" s="6" t="s">
        <v>9714</v>
      </c>
      <c r="O105" s="16" t="n">
        <v>43728</v>
      </c>
      <c r="P105" s="6" t="s">
        <v>9756</v>
      </c>
      <c r="Q105" s="6" t="s">
        <v>104</v>
      </c>
      <c r="R105" s="6" t="s">
        <v>4984</v>
      </c>
      <c r="S105" s="6" t="s">
        <v>104</v>
      </c>
      <c r="T105" s="21" t="s">
        <v>104</v>
      </c>
      <c r="U105" s="6" t="s">
        <v>104</v>
      </c>
      <c r="V105" s="6" t="s">
        <v>104</v>
      </c>
      <c r="W105" s="6" t="s">
        <v>104</v>
      </c>
      <c r="X105" s="6" t="s">
        <v>104</v>
      </c>
      <c r="Y105" s="21" t="s">
        <v>104</v>
      </c>
      <c r="Z105" s="6" t="s">
        <v>104</v>
      </c>
      <c r="AA105" s="6" t="s">
        <v>104</v>
      </c>
      <c r="AB105" s="6" t="s">
        <v>104</v>
      </c>
      <c r="AC105" s="6" t="s">
        <v>9714</v>
      </c>
      <c r="AD105" s="16" t="n">
        <v>43728</v>
      </c>
      <c r="AE105" s="6" t="s">
        <v>10621</v>
      </c>
      <c r="AF105" s="6" t="s">
        <v>104</v>
      </c>
      <c r="AG105" s="6" t="s">
        <v>4984</v>
      </c>
      <c r="AH105" s="6" t="s">
        <v>13250</v>
      </c>
      <c r="AI105" s="6" t="s">
        <v>104</v>
      </c>
      <c r="AJ105" s="6" t="s">
        <v>104</v>
      </c>
      <c r="AK105" s="6" t="s">
        <v>104</v>
      </c>
      <c r="AL105" s="6" t="s">
        <v>16933</v>
      </c>
      <c r="AM105" s="6" t="s">
        <v>104</v>
      </c>
      <c r="AN105" s="6" t="s">
        <v>104</v>
      </c>
      <c r="AO105" s="6" t="s">
        <v>104</v>
      </c>
      <c r="AP105" s="6" t="s">
        <v>13250</v>
      </c>
      <c r="AQ105" s="6" t="s">
        <v>104</v>
      </c>
      <c r="AR105" s="6" t="s">
        <v>104</v>
      </c>
      <c r="AS105" s="6" t="s">
        <v>104</v>
      </c>
      <c r="AT105" s="6" t="s">
        <v>16933</v>
      </c>
      <c r="AU105" s="6" t="s">
        <v>104</v>
      </c>
      <c r="AV105" s="6" t="s">
        <v>104</v>
      </c>
      <c r="AW105" s="6" t="s">
        <v>104</v>
      </c>
      <c r="AX105" s="6" t="s">
        <v>20199</v>
      </c>
      <c r="AY105" s="6" t="s">
        <v>21938</v>
      </c>
      <c r="AZ105" s="6" t="s">
        <v>104</v>
      </c>
      <c r="BA105" s="6" t="s">
        <v>24280</v>
      </c>
      <c r="BB105" s="24" t="n">
        <v>4</v>
      </c>
      <c r="BC105" s="26"/>
      <c r="BD105" s="26"/>
      <c r="BE105" s="26"/>
      <c r="BF105" s="26"/>
      <c r="BG105" s="26"/>
      <c r="BH105" s="26"/>
      <c r="BI105" s="26"/>
      <c r="BJ105" s="26"/>
      <c r="BK105" s="26"/>
      <c r="BL105" s="26"/>
      <c r="BM105" s="26"/>
      <c r="BN105" s="26"/>
      <c r="BO105" s="26"/>
      <c r="BP105" s="16" t="n">
        <v>45688</v>
      </c>
      <c r="BQ105" s="28" t="str">
        <f>HYPERLINK("https://organic.ams.usda.gov/Integrity/Certificate.aspx?cid=86&amp;nopid=6400011784")</f>
        <v>https://organic.ams.usda.gov/Integrity/Certificate.aspx?cid=86&amp;nopid=6400011784</v>
      </c>
    </row>
    <row r="106">
      <c r="A106" t="s">
        <v>3</v>
      </c>
      <c r="B106" s="6" t="s">
        <v>11</v>
      </c>
      <c r="C106" s="6" t="s">
        <v>77</v>
      </c>
      <c r="D106" s="6" t="s">
        <v>142</v>
      </c>
      <c r="E106" s="10" t="s">
        <v>304</v>
      </c>
      <c r="F106" s="6" t="s">
        <v>2564</v>
      </c>
      <c r="G106" s="6" t="s">
        <v>104</v>
      </c>
      <c r="H106" s="6" t="s">
        <v>4985</v>
      </c>
      <c r="I106" s="6" t="s">
        <v>6998</v>
      </c>
      <c r="J106" s="6" t="s">
        <v>8213</v>
      </c>
      <c r="K106" s="6" t="s">
        <v>9714</v>
      </c>
      <c r="L106" s="16" t="n">
        <v>44958</v>
      </c>
      <c r="M106" s="16" t="n">
        <v>45827</v>
      </c>
      <c r="N106" s="6" t="s">
        <v>9714</v>
      </c>
      <c r="O106" s="16" t="n">
        <v>45657</v>
      </c>
      <c r="P106" s="6" t="s">
        <v>9757</v>
      </c>
      <c r="Q106" s="6" t="s">
        <v>104</v>
      </c>
      <c r="R106" s="6" t="s">
        <v>104</v>
      </c>
      <c r="S106" s="6" t="s">
        <v>104</v>
      </c>
      <c r="T106" s="21" t="s">
        <v>104</v>
      </c>
      <c r="U106" s="6" t="s">
        <v>104</v>
      </c>
      <c r="V106" s="6" t="s">
        <v>104</v>
      </c>
      <c r="W106" s="6" t="s">
        <v>104</v>
      </c>
      <c r="X106" s="6" t="s">
        <v>104</v>
      </c>
      <c r="Y106" s="21" t="s">
        <v>104</v>
      </c>
      <c r="Z106" s="6" t="s">
        <v>104</v>
      </c>
      <c r="AA106" s="6" t="s">
        <v>104</v>
      </c>
      <c r="AB106" s="6" t="s">
        <v>104</v>
      </c>
      <c r="AC106" s="6" t="s">
        <v>9714</v>
      </c>
      <c r="AD106" s="16" t="n">
        <v>45657</v>
      </c>
      <c r="AE106" s="6" t="s">
        <v>9757</v>
      </c>
      <c r="AF106" s="6" t="s">
        <v>104</v>
      </c>
      <c r="AG106" s="6" t="s">
        <v>104</v>
      </c>
      <c r="AH106" s="6" t="s">
        <v>13251</v>
      </c>
      <c r="AI106" s="6" t="s">
        <v>104</v>
      </c>
      <c r="AJ106" s="6" t="s">
        <v>15383</v>
      </c>
      <c r="AK106" s="6" t="s">
        <v>15383</v>
      </c>
      <c r="AL106" s="6" t="s">
        <v>16933</v>
      </c>
      <c r="AM106" s="6" t="s">
        <v>104</v>
      </c>
      <c r="AN106" s="6" t="s">
        <v>104</v>
      </c>
      <c r="AO106" s="6" t="s">
        <v>104</v>
      </c>
      <c r="AP106" s="6" t="s">
        <v>18976</v>
      </c>
      <c r="AQ106" s="6" t="s">
        <v>104</v>
      </c>
      <c r="AR106" s="6" t="s">
        <v>15383</v>
      </c>
      <c r="AS106" s="6" t="s">
        <v>15383</v>
      </c>
      <c r="AT106" s="6" t="s">
        <v>16933</v>
      </c>
      <c r="AU106" s="6" t="s">
        <v>104</v>
      </c>
      <c r="AV106" s="6" t="s">
        <v>104</v>
      </c>
      <c r="AW106" s="6" t="s">
        <v>104</v>
      </c>
      <c r="AX106" s="6" t="s">
        <v>20200</v>
      </c>
      <c r="AY106" s="6" t="s">
        <v>21939</v>
      </c>
      <c r="AZ106" s="6" t="s">
        <v>104</v>
      </c>
      <c r="BA106" s="6" t="s">
        <v>104</v>
      </c>
      <c r="BB106" s="24" t="n">
        <v>1337</v>
      </c>
      <c r="BC106" s="26"/>
      <c r="BD106" s="26"/>
      <c r="BE106" s="26"/>
      <c r="BF106" s="26"/>
      <c r="BG106" s="26"/>
      <c r="BH106" s="26"/>
      <c r="BI106" s="26"/>
      <c r="BJ106" s="26"/>
      <c r="BK106" s="26"/>
      <c r="BL106" s="26"/>
      <c r="BM106" s="26"/>
      <c r="BN106" s="26"/>
      <c r="BO106" s="26" t="s">
        <v>24533</v>
      </c>
      <c r="BP106" s="16" t="n">
        <v>45657</v>
      </c>
      <c r="BQ106" s="28" t="str">
        <f>HYPERLINK("https://organic.ams.usda.gov/Integrity/Certificate.aspx?cid=21&amp;nopid=1780812233")</f>
        <v>https://organic.ams.usda.gov/Integrity/Certificate.aspx?cid=21&amp;nopid=1780812233</v>
      </c>
    </row>
    <row r="107">
      <c r="A107" t="s">
        <v>3</v>
      </c>
      <c r="B107" s="6" t="s">
        <v>14</v>
      </c>
      <c r="C107" s="6" t="s">
        <v>80</v>
      </c>
      <c r="D107" s="6" t="s">
        <v>145</v>
      </c>
      <c r="E107" s="10" t="s">
        <v>305</v>
      </c>
      <c r="F107" s="6" t="s">
        <v>2565</v>
      </c>
      <c r="G107" s="6" t="s">
        <v>104</v>
      </c>
      <c r="H107" s="6" t="s">
        <v>4986</v>
      </c>
      <c r="I107" s="6" t="s">
        <v>6999</v>
      </c>
      <c r="J107" s="6" t="s">
        <v>8214</v>
      </c>
      <c r="K107" s="6" t="s">
        <v>9714</v>
      </c>
      <c r="L107" s="16" t="n">
        <v>44992</v>
      </c>
      <c r="M107" s="16" t="n">
        <v>45947</v>
      </c>
      <c r="N107" s="6" t="s">
        <v>9714</v>
      </c>
      <c r="O107" s="16" t="n">
        <v>44992</v>
      </c>
      <c r="P107" s="6" t="s">
        <v>9758</v>
      </c>
      <c r="Q107" s="6" t="s">
        <v>104</v>
      </c>
      <c r="R107" s="6" t="s">
        <v>104</v>
      </c>
      <c r="S107" s="6" t="s">
        <v>104</v>
      </c>
      <c r="T107" s="21" t="s">
        <v>104</v>
      </c>
      <c r="U107" s="6" t="s">
        <v>104</v>
      </c>
      <c r="V107" s="6" t="s">
        <v>104</v>
      </c>
      <c r="W107" s="6" t="s">
        <v>104</v>
      </c>
      <c r="X107" s="6" t="s">
        <v>104</v>
      </c>
      <c r="Y107" s="21" t="s">
        <v>104</v>
      </c>
      <c r="Z107" s="6" t="s">
        <v>104</v>
      </c>
      <c r="AA107" s="6" t="s">
        <v>104</v>
      </c>
      <c r="AB107" s="6" t="s">
        <v>104</v>
      </c>
      <c r="AC107" s="6" t="s">
        <v>104</v>
      </c>
      <c r="AD107" s="21" t="s">
        <v>104</v>
      </c>
      <c r="AE107" s="6" t="s">
        <v>104</v>
      </c>
      <c r="AF107" s="6" t="s">
        <v>104</v>
      </c>
      <c r="AG107" s="6" t="s">
        <v>104</v>
      </c>
      <c r="AH107" s="6" t="s">
        <v>13252</v>
      </c>
      <c r="AI107" s="6" t="s">
        <v>104</v>
      </c>
      <c r="AJ107" s="6" t="s">
        <v>15432</v>
      </c>
      <c r="AK107" s="6" t="s">
        <v>16713</v>
      </c>
      <c r="AL107" s="6" t="s">
        <v>16932</v>
      </c>
      <c r="AM107" s="6" t="s">
        <v>17061</v>
      </c>
      <c r="AN107" s="6" t="s">
        <v>104</v>
      </c>
      <c r="AO107" s="6" t="s">
        <v>104</v>
      </c>
      <c r="AP107" s="6" t="s">
        <v>18977</v>
      </c>
      <c r="AQ107" s="6" t="s">
        <v>104</v>
      </c>
      <c r="AR107" s="6" t="s">
        <v>15365</v>
      </c>
      <c r="AS107" s="6" t="s">
        <v>16682</v>
      </c>
      <c r="AT107" s="6" t="s">
        <v>16932</v>
      </c>
      <c r="AU107" s="6" t="s">
        <v>18240</v>
      </c>
      <c r="AV107" s="6" t="s">
        <v>104</v>
      </c>
      <c r="AW107" s="6" t="s">
        <v>104</v>
      </c>
      <c r="AX107" s="6" t="s">
        <v>104</v>
      </c>
      <c r="AY107" s="6" t="s">
        <v>21940</v>
      </c>
      <c r="AZ107" s="6" t="s">
        <v>104</v>
      </c>
      <c r="BA107" s="6" t="s">
        <v>104</v>
      </c>
      <c r="BB107" s="24" t="n">
        <v>994</v>
      </c>
      <c r="BC107" s="26"/>
      <c r="BD107" s="26"/>
      <c r="BE107" s="26"/>
      <c r="BF107" s="26"/>
      <c r="BG107" s="26"/>
      <c r="BH107" s="26"/>
      <c r="BI107" s="26"/>
      <c r="BJ107" s="26"/>
      <c r="BK107" s="26"/>
      <c r="BL107" s="26"/>
      <c r="BM107" s="26"/>
      <c r="BN107" s="26"/>
      <c r="BO107" s="26"/>
      <c r="BP107" s="16" t="n">
        <v>45709</v>
      </c>
      <c r="BQ107" s="28" t="str">
        <f>HYPERLINK("https://organic.ams.usda.gov/Integrity/Certificate.aspx?cid=89&amp;nopid=4920004407")</f>
        <v>https://organic.ams.usda.gov/Integrity/Certificate.aspx?cid=89&amp;nopid=4920004407</v>
      </c>
    </row>
    <row r="108">
      <c r="A108" t="s">
        <v>3</v>
      </c>
      <c r="B108" s="6" t="s">
        <v>17</v>
      </c>
      <c r="C108" s="6" t="s">
        <v>83</v>
      </c>
      <c r="D108" s="6" t="s">
        <v>148</v>
      </c>
      <c r="E108" s="10" t="s">
        <v>306</v>
      </c>
      <c r="F108" s="6" t="s">
        <v>2566</v>
      </c>
      <c r="G108" s="6" t="s">
        <v>104</v>
      </c>
      <c r="H108" s="6" t="s">
        <v>4987</v>
      </c>
      <c r="I108" s="6" t="s">
        <v>7000</v>
      </c>
      <c r="J108" s="6" t="s">
        <v>8215</v>
      </c>
      <c r="K108" s="6" t="s">
        <v>9714</v>
      </c>
      <c r="L108" s="16" t="n">
        <v>45098</v>
      </c>
      <c r="M108" s="16" t="n">
        <v>45474</v>
      </c>
      <c r="N108" s="6" t="s">
        <v>104</v>
      </c>
      <c r="O108" s="21" t="s">
        <v>104</v>
      </c>
      <c r="P108" s="6" t="s">
        <v>104</v>
      </c>
      <c r="Q108" s="6" t="s">
        <v>104</v>
      </c>
      <c r="R108" s="6" t="s">
        <v>104</v>
      </c>
      <c r="S108" s="6" t="s">
        <v>104</v>
      </c>
      <c r="T108" s="21" t="s">
        <v>104</v>
      </c>
      <c r="U108" s="6" t="s">
        <v>104</v>
      </c>
      <c r="V108" s="6" t="s">
        <v>104</v>
      </c>
      <c r="W108" s="6" t="s">
        <v>104</v>
      </c>
      <c r="X108" s="6" t="s">
        <v>104</v>
      </c>
      <c r="Y108" s="21" t="s">
        <v>104</v>
      </c>
      <c r="Z108" s="6" t="s">
        <v>104</v>
      </c>
      <c r="AA108" s="6" t="s">
        <v>104</v>
      </c>
      <c r="AB108" s="6" t="s">
        <v>104</v>
      </c>
      <c r="AC108" s="6" t="s">
        <v>9714</v>
      </c>
      <c r="AD108" s="16" t="n">
        <v>45098</v>
      </c>
      <c r="AE108" s="6" t="s">
        <v>10622</v>
      </c>
      <c r="AF108" s="6" t="s">
        <v>104</v>
      </c>
      <c r="AG108" s="6" t="s">
        <v>104</v>
      </c>
      <c r="AH108" s="6" t="s">
        <v>13253</v>
      </c>
      <c r="AI108" s="6" t="s">
        <v>104</v>
      </c>
      <c r="AJ108" s="6" t="s">
        <v>15433</v>
      </c>
      <c r="AK108" s="6" t="s">
        <v>16680</v>
      </c>
      <c r="AL108" s="6" t="s">
        <v>16931</v>
      </c>
      <c r="AM108" s="6" t="s">
        <v>17062</v>
      </c>
      <c r="AN108" s="6" t="s">
        <v>104</v>
      </c>
      <c r="AO108" s="6" t="s">
        <v>104</v>
      </c>
      <c r="AP108" s="6" t="s">
        <v>13253</v>
      </c>
      <c r="AQ108" s="6" t="s">
        <v>104</v>
      </c>
      <c r="AR108" s="6" t="s">
        <v>15433</v>
      </c>
      <c r="AS108" s="6" t="s">
        <v>16680</v>
      </c>
      <c r="AT108" s="6" t="s">
        <v>16931</v>
      </c>
      <c r="AU108" s="6" t="s">
        <v>17062</v>
      </c>
      <c r="AV108" s="6" t="s">
        <v>104</v>
      </c>
      <c r="AW108" s="6" t="s">
        <v>104</v>
      </c>
      <c r="AX108" s="6" t="s">
        <v>20201</v>
      </c>
      <c r="AY108" s="6" t="s">
        <v>21941</v>
      </c>
      <c r="AZ108" s="6" t="s">
        <v>104</v>
      </c>
      <c r="BA108" s="6" t="s">
        <v>104</v>
      </c>
      <c r="BB108" s="24" t="n">
        <v>0</v>
      </c>
      <c r="BC108" s="26"/>
      <c r="BD108" s="26"/>
      <c r="BE108" s="26"/>
      <c r="BF108" s="26"/>
      <c r="BG108" s="26"/>
      <c r="BH108" s="26"/>
      <c r="BI108" s="26"/>
      <c r="BJ108" s="26"/>
      <c r="BK108" s="26"/>
      <c r="BL108" s="26"/>
      <c r="BM108" s="26"/>
      <c r="BN108" s="26"/>
      <c r="BO108" s="26"/>
      <c r="BP108" s="16" t="n">
        <v>45687</v>
      </c>
      <c r="BQ108" s="28" t="str">
        <f>HYPERLINK("https://organic.ams.usda.gov/Integrity/Certificate.aspx?cid=51&amp;nopid=8240101723")</f>
        <v>https://organic.ams.usda.gov/Integrity/Certificate.aspx?cid=51&amp;nopid=8240101723</v>
      </c>
    </row>
    <row r="109">
      <c r="A109" t="s">
        <v>3</v>
      </c>
      <c r="B109" s="6" t="s">
        <v>12</v>
      </c>
      <c r="C109" s="6" t="s">
        <v>78</v>
      </c>
      <c r="D109" s="6" t="s">
        <v>143</v>
      </c>
      <c r="E109" s="10" t="s">
        <v>307</v>
      </c>
      <c r="F109" s="6" t="s">
        <v>2567</v>
      </c>
      <c r="G109" s="6" t="s">
        <v>104</v>
      </c>
      <c r="H109" s="6" t="s">
        <v>104</v>
      </c>
      <c r="I109" s="6" t="s">
        <v>7001</v>
      </c>
      <c r="J109" s="6" t="s">
        <v>8216</v>
      </c>
      <c r="K109" s="6" t="s">
        <v>9714</v>
      </c>
      <c r="L109" s="16" t="n">
        <v>43991</v>
      </c>
      <c r="M109" s="16" t="n">
        <v>45817</v>
      </c>
      <c r="N109" s="6" t="s">
        <v>104</v>
      </c>
      <c r="O109" s="21" t="s">
        <v>104</v>
      </c>
      <c r="P109" s="6" t="s">
        <v>104</v>
      </c>
      <c r="Q109" s="6" t="s">
        <v>104</v>
      </c>
      <c r="R109" s="6" t="s">
        <v>104</v>
      </c>
      <c r="S109" s="6" t="s">
        <v>104</v>
      </c>
      <c r="T109" s="21" t="s">
        <v>104</v>
      </c>
      <c r="U109" s="6" t="s">
        <v>104</v>
      </c>
      <c r="V109" s="6" t="s">
        <v>104</v>
      </c>
      <c r="W109" s="6" t="s">
        <v>104</v>
      </c>
      <c r="X109" s="6" t="s">
        <v>104</v>
      </c>
      <c r="Y109" s="21" t="s">
        <v>104</v>
      </c>
      <c r="Z109" s="6" t="s">
        <v>104</v>
      </c>
      <c r="AA109" s="6" t="s">
        <v>104</v>
      </c>
      <c r="AB109" s="6" t="s">
        <v>104</v>
      </c>
      <c r="AC109" s="6" t="s">
        <v>9714</v>
      </c>
      <c r="AD109" s="16" t="n">
        <v>43991</v>
      </c>
      <c r="AE109" s="6" t="s">
        <v>10623</v>
      </c>
      <c r="AF109" s="6" t="s">
        <v>104</v>
      </c>
      <c r="AG109" s="6" t="s">
        <v>12510</v>
      </c>
      <c r="AH109" s="6" t="s">
        <v>13254</v>
      </c>
      <c r="AI109" s="6" t="s">
        <v>104</v>
      </c>
      <c r="AJ109" s="6" t="s">
        <v>15434</v>
      </c>
      <c r="AK109" s="6" t="s">
        <v>16681</v>
      </c>
      <c r="AL109" s="6" t="s">
        <v>16931</v>
      </c>
      <c r="AM109" s="6" t="s">
        <v>17063</v>
      </c>
      <c r="AN109" s="6" t="s">
        <v>18473</v>
      </c>
      <c r="AO109" s="6" t="s">
        <v>18581</v>
      </c>
      <c r="AP109" s="6" t="s">
        <v>18978</v>
      </c>
      <c r="AQ109" s="6" t="s">
        <v>104</v>
      </c>
      <c r="AR109" s="6" t="s">
        <v>19597</v>
      </c>
      <c r="AS109" s="6" t="s">
        <v>16742</v>
      </c>
      <c r="AT109" s="6" t="s">
        <v>16931</v>
      </c>
      <c r="AU109" s="6" t="s">
        <v>19814</v>
      </c>
      <c r="AV109" s="6" t="s">
        <v>104</v>
      </c>
      <c r="AW109" s="6" t="s">
        <v>104</v>
      </c>
      <c r="AX109" s="6" t="s">
        <v>104</v>
      </c>
      <c r="AY109" s="6" t="s">
        <v>21942</v>
      </c>
      <c r="AZ109" s="6" t="s">
        <v>104</v>
      </c>
      <c r="BA109" s="6" t="s">
        <v>104</v>
      </c>
      <c r="BB109" s="6" t="s">
        <v>104</v>
      </c>
      <c r="BC109" s="26"/>
      <c r="BD109" s="26"/>
      <c r="BE109" s="26"/>
      <c r="BF109" s="26"/>
      <c r="BG109" s="26"/>
      <c r="BH109" s="26"/>
      <c r="BI109" s="26"/>
      <c r="BJ109" s="26"/>
      <c r="BK109" s="26"/>
      <c r="BL109" s="26"/>
      <c r="BM109" s="26"/>
      <c r="BN109" s="26"/>
      <c r="BO109" s="26"/>
      <c r="BP109" s="16" t="n">
        <v>45721</v>
      </c>
      <c r="BQ109" s="28" t="str">
        <f>HYPERLINK("https://organic.ams.usda.gov/Integrity/Certificate.aspx?cid=1&amp;nopid=9092016101")</f>
        <v>https://organic.ams.usda.gov/Integrity/Certificate.aspx?cid=1&amp;nopid=9092016101</v>
      </c>
    </row>
    <row r="110">
      <c r="A110" t="s">
        <v>3</v>
      </c>
      <c r="B110" s="6" t="s">
        <v>22</v>
      </c>
      <c r="C110" s="6" t="s">
        <v>88</v>
      </c>
      <c r="D110" s="6" t="s">
        <v>153</v>
      </c>
      <c r="E110" s="10" t="s">
        <v>308</v>
      </c>
      <c r="F110" s="6" t="s">
        <v>2568</v>
      </c>
      <c r="G110" s="6" t="s">
        <v>104</v>
      </c>
      <c r="H110" s="6" t="s">
        <v>4988</v>
      </c>
      <c r="I110" s="6" t="s">
        <v>7002</v>
      </c>
      <c r="J110" s="6" t="s">
        <v>8217</v>
      </c>
      <c r="K110" s="6" t="s">
        <v>9714</v>
      </c>
      <c r="L110" s="16" t="n">
        <v>42276</v>
      </c>
      <c r="M110" s="16" t="n">
        <v>45992</v>
      </c>
      <c r="N110" s="6" t="s">
        <v>104</v>
      </c>
      <c r="O110" s="21" t="s">
        <v>104</v>
      </c>
      <c r="P110" s="6" t="s">
        <v>104</v>
      </c>
      <c r="Q110" s="6" t="s">
        <v>104</v>
      </c>
      <c r="R110" s="6" t="s">
        <v>104</v>
      </c>
      <c r="S110" s="6" t="s">
        <v>104</v>
      </c>
      <c r="T110" s="21" t="s">
        <v>104</v>
      </c>
      <c r="U110" s="6" t="s">
        <v>104</v>
      </c>
      <c r="V110" s="6" t="s">
        <v>104</v>
      </c>
      <c r="W110" s="6" t="s">
        <v>104</v>
      </c>
      <c r="X110" s="6" t="s">
        <v>104</v>
      </c>
      <c r="Y110" s="21" t="s">
        <v>104</v>
      </c>
      <c r="Z110" s="6" t="s">
        <v>104</v>
      </c>
      <c r="AA110" s="6" t="s">
        <v>104</v>
      </c>
      <c r="AB110" s="6" t="s">
        <v>104</v>
      </c>
      <c r="AC110" s="6" t="s">
        <v>9714</v>
      </c>
      <c r="AD110" s="16" t="n">
        <v>42276</v>
      </c>
      <c r="AE110" s="6" t="s">
        <v>10624</v>
      </c>
      <c r="AF110" s="6" t="s">
        <v>104</v>
      </c>
      <c r="AG110" s="6" t="s">
        <v>12511</v>
      </c>
      <c r="AH110" s="6" t="s">
        <v>13255</v>
      </c>
      <c r="AI110" s="6" t="s">
        <v>104</v>
      </c>
      <c r="AJ110" s="6" t="s">
        <v>15435</v>
      </c>
      <c r="AK110" s="6" t="s">
        <v>16370</v>
      </c>
      <c r="AL110" s="6" t="s">
        <v>16931</v>
      </c>
      <c r="AM110" s="6" t="s">
        <v>17064</v>
      </c>
      <c r="AN110" s="6" t="s">
        <v>18456</v>
      </c>
      <c r="AO110" s="6" t="s">
        <v>18582</v>
      </c>
      <c r="AP110" s="6" t="s">
        <v>13255</v>
      </c>
      <c r="AQ110" s="6" t="s">
        <v>104</v>
      </c>
      <c r="AR110" s="6" t="s">
        <v>15435</v>
      </c>
      <c r="AS110" s="6" t="s">
        <v>16370</v>
      </c>
      <c r="AT110" s="6" t="s">
        <v>16931</v>
      </c>
      <c r="AU110" s="6" t="s">
        <v>17064</v>
      </c>
      <c r="AV110" s="6" t="s">
        <v>104</v>
      </c>
      <c r="AW110" s="6" t="s">
        <v>104</v>
      </c>
      <c r="AX110" s="6" t="s">
        <v>20202</v>
      </c>
      <c r="AY110" s="6" t="s">
        <v>21943</v>
      </c>
      <c r="AZ110" s="6" t="s">
        <v>104</v>
      </c>
      <c r="BA110" s="6" t="s">
        <v>104</v>
      </c>
      <c r="BB110" s="6" t="s">
        <v>104</v>
      </c>
      <c r="BC110" s="26"/>
      <c r="BD110" s="26"/>
      <c r="BE110" s="26"/>
      <c r="BF110" s="26"/>
      <c r="BG110" s="26" t="s">
        <v>24533</v>
      </c>
      <c r="BH110" s="26"/>
      <c r="BI110" s="26"/>
      <c r="BJ110" s="26"/>
      <c r="BK110" s="26"/>
      <c r="BL110" s="26"/>
      <c r="BM110" s="26"/>
      <c r="BN110" s="26"/>
      <c r="BO110" s="26"/>
      <c r="BP110" s="16" t="n">
        <v>45663</v>
      </c>
      <c r="BQ110" s="28" t="str">
        <f>HYPERLINK("https://organic.ams.usda.gov/Integrity/Certificate.aspx?cid=72&amp;nopid=5870002072")</f>
        <v>https://organic.ams.usda.gov/Integrity/Certificate.aspx?cid=72&amp;nopid=5870002072</v>
      </c>
    </row>
    <row r="111">
      <c r="A111" t="s">
        <v>3</v>
      </c>
      <c r="B111" s="6" t="s">
        <v>21</v>
      </c>
      <c r="C111" s="6" t="s">
        <v>87</v>
      </c>
      <c r="D111" s="6" t="s">
        <v>152</v>
      </c>
      <c r="E111" s="10" t="s">
        <v>309</v>
      </c>
      <c r="F111" s="6" t="s">
        <v>2569</v>
      </c>
      <c r="G111" s="6" t="s">
        <v>4679</v>
      </c>
      <c r="H111" s="6" t="s">
        <v>4989</v>
      </c>
      <c r="I111" s="6" t="s">
        <v>7003</v>
      </c>
      <c r="J111" s="6" t="s">
        <v>8218</v>
      </c>
      <c r="K111" s="6" t="s">
        <v>9714</v>
      </c>
      <c r="L111" s="16" t="n">
        <v>43377</v>
      </c>
      <c r="M111" s="16" t="n">
        <v>46023</v>
      </c>
      <c r="N111" s="6" t="s">
        <v>104</v>
      </c>
      <c r="O111" s="21" t="s">
        <v>104</v>
      </c>
      <c r="P111" s="6" t="s">
        <v>104</v>
      </c>
      <c r="Q111" s="6" t="s">
        <v>104</v>
      </c>
      <c r="R111" s="6" t="s">
        <v>104</v>
      </c>
      <c r="S111" s="6" t="s">
        <v>104</v>
      </c>
      <c r="T111" s="21" t="s">
        <v>104</v>
      </c>
      <c r="U111" s="6" t="s">
        <v>104</v>
      </c>
      <c r="V111" s="6" t="s">
        <v>104</v>
      </c>
      <c r="W111" s="6" t="s">
        <v>104</v>
      </c>
      <c r="X111" s="6" t="s">
        <v>104</v>
      </c>
      <c r="Y111" s="21" t="s">
        <v>104</v>
      </c>
      <c r="Z111" s="6" t="s">
        <v>104</v>
      </c>
      <c r="AA111" s="6" t="s">
        <v>104</v>
      </c>
      <c r="AB111" s="6" t="s">
        <v>104</v>
      </c>
      <c r="AC111" s="6" t="s">
        <v>9714</v>
      </c>
      <c r="AD111" s="16" t="n">
        <v>43377</v>
      </c>
      <c r="AE111" s="6" t="s">
        <v>10625</v>
      </c>
      <c r="AF111" s="6" t="s">
        <v>104</v>
      </c>
      <c r="AG111" s="6" t="s">
        <v>104</v>
      </c>
      <c r="AH111" s="6" t="s">
        <v>13256</v>
      </c>
      <c r="AI111" s="6" t="s">
        <v>104</v>
      </c>
      <c r="AJ111" s="6" t="s">
        <v>15436</v>
      </c>
      <c r="AK111" s="6" t="s">
        <v>16714</v>
      </c>
      <c r="AL111" s="6" t="s">
        <v>16931</v>
      </c>
      <c r="AM111" s="6" t="s">
        <v>17065</v>
      </c>
      <c r="AN111" s="6" t="s">
        <v>18474</v>
      </c>
      <c r="AO111" s="6" t="s">
        <v>18583</v>
      </c>
      <c r="AP111" s="6" t="s">
        <v>18979</v>
      </c>
      <c r="AQ111" s="6" t="s">
        <v>104</v>
      </c>
      <c r="AR111" s="6" t="s">
        <v>15436</v>
      </c>
      <c r="AS111" s="6" t="s">
        <v>16714</v>
      </c>
      <c r="AT111" s="6" t="s">
        <v>16931</v>
      </c>
      <c r="AU111" s="6" t="s">
        <v>19815</v>
      </c>
      <c r="AV111" s="6" t="s">
        <v>104</v>
      </c>
      <c r="AW111" s="6" t="s">
        <v>104</v>
      </c>
      <c r="AX111" s="6" t="s">
        <v>20203</v>
      </c>
      <c r="AY111" s="6" t="s">
        <v>21944</v>
      </c>
      <c r="AZ111" s="6" t="s">
        <v>104</v>
      </c>
      <c r="BA111" s="6" t="s">
        <v>24263</v>
      </c>
      <c r="BB111" s="6" t="s">
        <v>104</v>
      </c>
      <c r="BC111" s="26"/>
      <c r="BD111" s="26"/>
      <c r="BE111" s="26"/>
      <c r="BF111" s="26"/>
      <c r="BG111" s="26"/>
      <c r="BH111" s="26"/>
      <c r="BI111" s="26"/>
      <c r="BJ111" s="26"/>
      <c r="BK111" s="26"/>
      <c r="BL111" s="26"/>
      <c r="BM111" s="26"/>
      <c r="BN111" s="26"/>
      <c r="BO111" s="26"/>
      <c r="BP111" s="16" t="n">
        <v>45720</v>
      </c>
      <c r="BQ111" s="28" t="str">
        <f>HYPERLINK("https://organic.ams.usda.gov/Integrity/Certificate.aspx?cid=15&amp;nopid=5561005622")</f>
        <v>https://organic.ams.usda.gov/Integrity/Certificate.aspx?cid=15&amp;nopid=5561005622</v>
      </c>
    </row>
    <row r="112">
      <c r="A112" t="s">
        <v>3</v>
      </c>
      <c r="B112" s="6" t="s">
        <v>17</v>
      </c>
      <c r="C112" s="6" t="s">
        <v>83</v>
      </c>
      <c r="D112" s="6" t="s">
        <v>148</v>
      </c>
      <c r="E112" s="10" t="s">
        <v>310</v>
      </c>
      <c r="F112" s="6" t="s">
        <v>2570</v>
      </c>
      <c r="G112" s="6" t="s">
        <v>104</v>
      </c>
      <c r="H112" s="6" t="s">
        <v>4990</v>
      </c>
      <c r="I112" s="6" t="s">
        <v>7004</v>
      </c>
      <c r="J112" s="6" t="s">
        <v>8219</v>
      </c>
      <c r="K112" s="6" t="s">
        <v>9714</v>
      </c>
      <c r="L112" s="16" t="n">
        <v>42297</v>
      </c>
      <c r="M112" s="16" t="n">
        <v>45901</v>
      </c>
      <c r="N112" s="6" t="s">
        <v>104</v>
      </c>
      <c r="O112" s="21" t="s">
        <v>104</v>
      </c>
      <c r="P112" s="6" t="s">
        <v>104</v>
      </c>
      <c r="Q112" s="6" t="s">
        <v>104</v>
      </c>
      <c r="R112" s="6" t="s">
        <v>104</v>
      </c>
      <c r="S112" s="6" t="s">
        <v>104</v>
      </c>
      <c r="T112" s="21" t="s">
        <v>104</v>
      </c>
      <c r="U112" s="6" t="s">
        <v>104</v>
      </c>
      <c r="V112" s="6" t="s">
        <v>104</v>
      </c>
      <c r="W112" s="6" t="s">
        <v>104</v>
      </c>
      <c r="X112" s="6" t="s">
        <v>104</v>
      </c>
      <c r="Y112" s="21" t="s">
        <v>104</v>
      </c>
      <c r="Z112" s="6" t="s">
        <v>104</v>
      </c>
      <c r="AA112" s="6" t="s">
        <v>104</v>
      </c>
      <c r="AB112" s="6" t="s">
        <v>104</v>
      </c>
      <c r="AC112" s="6" t="s">
        <v>9714</v>
      </c>
      <c r="AD112" s="16" t="n">
        <v>42297</v>
      </c>
      <c r="AE112" s="6" t="s">
        <v>10626</v>
      </c>
      <c r="AF112" s="6" t="s">
        <v>104</v>
      </c>
      <c r="AG112" s="6" t="s">
        <v>104</v>
      </c>
      <c r="AH112" s="6" t="s">
        <v>13257</v>
      </c>
      <c r="AI112" s="6" t="s">
        <v>104</v>
      </c>
      <c r="AJ112" s="6" t="s">
        <v>15437</v>
      </c>
      <c r="AK112" s="6" t="s">
        <v>16680</v>
      </c>
      <c r="AL112" s="6" t="s">
        <v>16931</v>
      </c>
      <c r="AM112" s="6" t="s">
        <v>17066</v>
      </c>
      <c r="AN112" s="6" t="s">
        <v>18472</v>
      </c>
      <c r="AO112" s="6" t="s">
        <v>18580</v>
      </c>
      <c r="AP112" s="6" t="s">
        <v>13257</v>
      </c>
      <c r="AQ112" s="6" t="s">
        <v>104</v>
      </c>
      <c r="AR112" s="6" t="s">
        <v>15437</v>
      </c>
      <c r="AS112" s="6" t="s">
        <v>16680</v>
      </c>
      <c r="AT112" s="6" t="s">
        <v>16931</v>
      </c>
      <c r="AU112" s="6" t="s">
        <v>17066</v>
      </c>
      <c r="AV112" s="6" t="s">
        <v>104</v>
      </c>
      <c r="AW112" s="6" t="s">
        <v>104</v>
      </c>
      <c r="AX112" s="6" t="s">
        <v>20204</v>
      </c>
      <c r="AY112" s="6" t="s">
        <v>21945</v>
      </c>
      <c r="AZ112" s="6" t="s">
        <v>104</v>
      </c>
      <c r="BA112" s="6" t="s">
        <v>104</v>
      </c>
      <c r="BB112" s="24" t="n">
        <v>0</v>
      </c>
      <c r="BC112" s="26"/>
      <c r="BD112" s="26"/>
      <c r="BE112" s="26"/>
      <c r="BF112" s="26"/>
      <c r="BG112" s="26"/>
      <c r="BH112" s="26"/>
      <c r="BI112" s="26"/>
      <c r="BJ112" s="26"/>
      <c r="BK112" s="26"/>
      <c r="BL112" s="26"/>
      <c r="BM112" s="26"/>
      <c r="BN112" s="26"/>
      <c r="BO112" s="26"/>
      <c r="BP112" s="16" t="n">
        <v>45694</v>
      </c>
      <c r="BQ112" s="28" t="str">
        <f>HYPERLINK("https://organic.ams.usda.gov/Integrity/Certificate.aspx?cid=51&amp;nopid=8240102015")</f>
        <v>https://organic.ams.usda.gov/Integrity/Certificate.aspx?cid=51&amp;nopid=8240102015</v>
      </c>
    </row>
    <row r="113">
      <c r="A113" t="s">
        <v>3</v>
      </c>
      <c r="B113" s="6" t="s">
        <v>32</v>
      </c>
      <c r="C113" s="6" t="s">
        <v>98</v>
      </c>
      <c r="D113" s="6" t="s">
        <v>163</v>
      </c>
      <c r="E113" s="10" t="s">
        <v>311</v>
      </c>
      <c r="F113" s="6" t="s">
        <v>2571</v>
      </c>
      <c r="G113" s="6" t="s">
        <v>104</v>
      </c>
      <c r="H113" s="6" t="s">
        <v>4991</v>
      </c>
      <c r="I113" s="6" t="s">
        <v>7005</v>
      </c>
      <c r="J113" s="6" t="s">
        <v>8220</v>
      </c>
      <c r="K113" s="6" t="s">
        <v>9714</v>
      </c>
      <c r="L113" s="16" t="n">
        <v>39198</v>
      </c>
      <c r="M113" s="16" t="n">
        <v>45689</v>
      </c>
      <c r="N113" s="6" t="s">
        <v>104</v>
      </c>
      <c r="O113" s="21" t="s">
        <v>104</v>
      </c>
      <c r="P113" s="6" t="s">
        <v>104</v>
      </c>
      <c r="Q113" s="6" t="s">
        <v>104</v>
      </c>
      <c r="R113" s="6" t="s">
        <v>104</v>
      </c>
      <c r="S113" s="6" t="s">
        <v>104</v>
      </c>
      <c r="T113" s="21" t="s">
        <v>104</v>
      </c>
      <c r="U113" s="6" t="s">
        <v>104</v>
      </c>
      <c r="V113" s="6" t="s">
        <v>104</v>
      </c>
      <c r="W113" s="6" t="s">
        <v>104</v>
      </c>
      <c r="X113" s="6" t="s">
        <v>104</v>
      </c>
      <c r="Y113" s="21" t="s">
        <v>104</v>
      </c>
      <c r="Z113" s="6" t="s">
        <v>104</v>
      </c>
      <c r="AA113" s="6" t="s">
        <v>104</v>
      </c>
      <c r="AB113" s="6" t="s">
        <v>104</v>
      </c>
      <c r="AC113" s="6" t="s">
        <v>9714</v>
      </c>
      <c r="AD113" s="16" t="n">
        <v>39198</v>
      </c>
      <c r="AE113" s="6" t="s">
        <v>10627</v>
      </c>
      <c r="AF113" s="6" t="s">
        <v>104</v>
      </c>
      <c r="AG113" s="6" t="s">
        <v>104</v>
      </c>
      <c r="AH113" s="6" t="s">
        <v>13258</v>
      </c>
      <c r="AI113" s="6" t="s">
        <v>104</v>
      </c>
      <c r="AJ113" s="6" t="s">
        <v>15438</v>
      </c>
      <c r="AK113" s="6" t="s">
        <v>16681</v>
      </c>
      <c r="AL113" s="6" t="s">
        <v>16931</v>
      </c>
      <c r="AM113" s="6" t="s">
        <v>17067</v>
      </c>
      <c r="AN113" s="6" t="s">
        <v>18475</v>
      </c>
      <c r="AO113" s="6" t="s">
        <v>18584</v>
      </c>
      <c r="AP113" s="6" t="s">
        <v>104</v>
      </c>
      <c r="AQ113" s="6" t="s">
        <v>104</v>
      </c>
      <c r="AR113" s="6" t="s">
        <v>104</v>
      </c>
      <c r="AS113" s="6" t="s">
        <v>104</v>
      </c>
      <c r="AT113" s="6" t="s">
        <v>104</v>
      </c>
      <c r="AU113" s="6" t="s">
        <v>104</v>
      </c>
      <c r="AV113" s="6" t="s">
        <v>104</v>
      </c>
      <c r="AW113" s="6" t="s">
        <v>104</v>
      </c>
      <c r="AX113" s="6" t="s">
        <v>20205</v>
      </c>
      <c r="AY113" s="6" t="s">
        <v>21946</v>
      </c>
      <c r="AZ113" s="6" t="s">
        <v>23706</v>
      </c>
      <c r="BA113" s="6" t="s">
        <v>104</v>
      </c>
      <c r="BB113" s="6" t="s">
        <v>104</v>
      </c>
      <c r="BC113" s="26"/>
      <c r="BD113" s="26"/>
      <c r="BE113" s="26"/>
      <c r="BF113" s="26"/>
      <c r="BG113" s="26"/>
      <c r="BH113" s="26"/>
      <c r="BI113" s="26"/>
      <c r="BJ113" s="26"/>
      <c r="BK113" s="26"/>
      <c r="BL113" s="26"/>
      <c r="BM113" s="26"/>
      <c r="BN113" s="26"/>
      <c r="BO113" s="26"/>
      <c r="BP113" s="16" t="n">
        <v>45520</v>
      </c>
      <c r="BQ113" s="28" t="str">
        <f>HYPERLINK("https://organic.ams.usda.gov/Integrity/Certificate.aspx?cid=64&amp;nopid=8830000614")</f>
        <v>https://organic.ams.usda.gov/Integrity/Certificate.aspx?cid=64&amp;nopid=8830000614</v>
      </c>
    </row>
    <row r="114">
      <c r="A114" t="s">
        <v>3</v>
      </c>
      <c r="B114" s="6" t="s">
        <v>21</v>
      </c>
      <c r="C114" s="6" t="s">
        <v>87</v>
      </c>
      <c r="D114" s="6" t="s">
        <v>152</v>
      </c>
      <c r="E114" s="10" t="s">
        <v>312</v>
      </c>
      <c r="F114" s="6" t="s">
        <v>2572</v>
      </c>
      <c r="G114" s="6" t="s">
        <v>104</v>
      </c>
      <c r="H114" s="6" t="s">
        <v>4992</v>
      </c>
      <c r="I114" s="6" t="s">
        <v>104</v>
      </c>
      <c r="J114" s="6" t="s">
        <v>104</v>
      </c>
      <c r="K114" s="6" t="s">
        <v>9714</v>
      </c>
      <c r="L114" s="16" t="n">
        <v>39979</v>
      </c>
      <c r="M114" s="16" t="n">
        <v>46023</v>
      </c>
      <c r="N114" s="6" t="s">
        <v>104</v>
      </c>
      <c r="O114" s="21" t="s">
        <v>104</v>
      </c>
      <c r="P114" s="6" t="s">
        <v>104</v>
      </c>
      <c r="Q114" s="6" t="s">
        <v>104</v>
      </c>
      <c r="R114" s="6" t="s">
        <v>104</v>
      </c>
      <c r="S114" s="6" t="s">
        <v>104</v>
      </c>
      <c r="T114" s="21" t="s">
        <v>104</v>
      </c>
      <c r="U114" s="6" t="s">
        <v>104</v>
      </c>
      <c r="V114" s="6" t="s">
        <v>104</v>
      </c>
      <c r="W114" s="6" t="s">
        <v>104</v>
      </c>
      <c r="X114" s="6" t="s">
        <v>104</v>
      </c>
      <c r="Y114" s="21" t="s">
        <v>104</v>
      </c>
      <c r="Z114" s="6" t="s">
        <v>104</v>
      </c>
      <c r="AA114" s="6" t="s">
        <v>104</v>
      </c>
      <c r="AB114" s="6" t="s">
        <v>104</v>
      </c>
      <c r="AC114" s="6" t="s">
        <v>9714</v>
      </c>
      <c r="AD114" s="16" t="n">
        <v>39979</v>
      </c>
      <c r="AE114" s="6" t="s">
        <v>10628</v>
      </c>
      <c r="AF114" s="6" t="s">
        <v>104</v>
      </c>
      <c r="AG114" s="6" t="s">
        <v>104</v>
      </c>
      <c r="AH114" s="6" t="s">
        <v>13259</v>
      </c>
      <c r="AI114" s="6" t="s">
        <v>104</v>
      </c>
      <c r="AJ114" s="6" t="s">
        <v>15362</v>
      </c>
      <c r="AK114" s="6" t="s">
        <v>16687</v>
      </c>
      <c r="AL114" s="6" t="s">
        <v>16931</v>
      </c>
      <c r="AM114" s="6" t="s">
        <v>17068</v>
      </c>
      <c r="AN114" s="6" t="s">
        <v>18476</v>
      </c>
      <c r="AO114" s="6" t="s">
        <v>18585</v>
      </c>
      <c r="AP114" s="6" t="s">
        <v>18980</v>
      </c>
      <c r="AQ114" s="6" t="s">
        <v>104</v>
      </c>
      <c r="AR114" s="6" t="s">
        <v>19598</v>
      </c>
      <c r="AS114" s="6" t="s">
        <v>16687</v>
      </c>
      <c r="AT114" s="6" t="s">
        <v>16931</v>
      </c>
      <c r="AU114" s="6" t="s">
        <v>19816</v>
      </c>
      <c r="AV114" s="6" t="s">
        <v>104</v>
      </c>
      <c r="AW114" s="6" t="s">
        <v>104</v>
      </c>
      <c r="AX114" s="6" t="s">
        <v>104</v>
      </c>
      <c r="AY114" s="6" t="s">
        <v>104</v>
      </c>
      <c r="AZ114" s="6" t="s">
        <v>104</v>
      </c>
      <c r="BA114" s="6" t="s">
        <v>104</v>
      </c>
      <c r="BB114" s="6" t="s">
        <v>104</v>
      </c>
      <c r="BC114" s="26" t="s">
        <v>24533</v>
      </c>
      <c r="BD114" s="26"/>
      <c r="BE114" s="26"/>
      <c r="BF114" s="26"/>
      <c r="BG114" s="26" t="s">
        <v>24533</v>
      </c>
      <c r="BH114" s="26" t="s">
        <v>24533</v>
      </c>
      <c r="BI114" s="26"/>
      <c r="BJ114" s="26"/>
      <c r="BK114" s="26"/>
      <c r="BL114" s="26"/>
      <c r="BM114" s="26"/>
      <c r="BN114" s="26"/>
      <c r="BO114" s="26"/>
      <c r="BP114" s="16" t="n">
        <v>45720</v>
      </c>
      <c r="BQ114" s="28" t="str">
        <f>HYPERLINK("https://organic.ams.usda.gov/Integrity/Certificate.aspx?cid=15&amp;nopid=5561002491")</f>
        <v>https://organic.ams.usda.gov/Integrity/Certificate.aspx?cid=15&amp;nopid=5561002491</v>
      </c>
    </row>
    <row r="115">
      <c r="A115" t="s">
        <v>3</v>
      </c>
      <c r="B115" s="6" t="s">
        <v>33</v>
      </c>
      <c r="C115" s="6" t="s">
        <v>99</v>
      </c>
      <c r="D115" s="6" t="s">
        <v>164</v>
      </c>
      <c r="E115" s="10" t="s">
        <v>313</v>
      </c>
      <c r="F115" s="6" t="s">
        <v>2573</v>
      </c>
      <c r="G115" s="6" t="s">
        <v>104</v>
      </c>
      <c r="H115" s="6" t="s">
        <v>104</v>
      </c>
      <c r="I115" s="6" t="s">
        <v>7006</v>
      </c>
      <c r="J115" s="6" t="s">
        <v>8221</v>
      </c>
      <c r="K115" s="6" t="s">
        <v>9714</v>
      </c>
      <c r="L115" s="16" t="n">
        <v>41617</v>
      </c>
      <c r="M115" s="16" t="n">
        <v>45672</v>
      </c>
      <c r="N115" s="6" t="s">
        <v>104</v>
      </c>
      <c r="O115" s="21" t="s">
        <v>104</v>
      </c>
      <c r="P115" s="6" t="s">
        <v>104</v>
      </c>
      <c r="Q115" s="6" t="s">
        <v>104</v>
      </c>
      <c r="R115" s="6" t="s">
        <v>104</v>
      </c>
      <c r="S115" s="6" t="s">
        <v>104</v>
      </c>
      <c r="T115" s="21" t="s">
        <v>104</v>
      </c>
      <c r="U115" s="6" t="s">
        <v>104</v>
      </c>
      <c r="V115" s="6" t="s">
        <v>104</v>
      </c>
      <c r="W115" s="6" t="s">
        <v>104</v>
      </c>
      <c r="X115" s="6" t="s">
        <v>104</v>
      </c>
      <c r="Y115" s="21" t="s">
        <v>104</v>
      </c>
      <c r="Z115" s="6" t="s">
        <v>104</v>
      </c>
      <c r="AA115" s="6" t="s">
        <v>104</v>
      </c>
      <c r="AB115" s="6" t="s">
        <v>104</v>
      </c>
      <c r="AC115" s="6" t="s">
        <v>9714</v>
      </c>
      <c r="AD115" s="16" t="n">
        <v>41617</v>
      </c>
      <c r="AE115" s="6" t="s">
        <v>10629</v>
      </c>
      <c r="AF115" s="6" t="s">
        <v>104</v>
      </c>
      <c r="AG115" s="6" t="s">
        <v>104</v>
      </c>
      <c r="AH115" s="6" t="s">
        <v>13260</v>
      </c>
      <c r="AI115" s="6" t="s">
        <v>104</v>
      </c>
      <c r="AJ115" s="6" t="s">
        <v>15439</v>
      </c>
      <c r="AK115" s="6" t="s">
        <v>16683</v>
      </c>
      <c r="AL115" s="6" t="s">
        <v>16931</v>
      </c>
      <c r="AM115" s="6" t="s">
        <v>17069</v>
      </c>
      <c r="AN115" s="6" t="s">
        <v>18462</v>
      </c>
      <c r="AO115" s="6" t="s">
        <v>18570</v>
      </c>
      <c r="AP115" s="6" t="s">
        <v>13260</v>
      </c>
      <c r="AQ115" s="6" t="s">
        <v>104</v>
      </c>
      <c r="AR115" s="6" t="s">
        <v>15439</v>
      </c>
      <c r="AS115" s="6" t="s">
        <v>16683</v>
      </c>
      <c r="AT115" s="6" t="s">
        <v>16931</v>
      </c>
      <c r="AU115" s="6" t="s">
        <v>17069</v>
      </c>
      <c r="AV115" s="6" t="s">
        <v>104</v>
      </c>
      <c r="AW115" s="6" t="s">
        <v>104</v>
      </c>
      <c r="AX115" s="6" t="s">
        <v>20206</v>
      </c>
      <c r="AY115" s="6" t="s">
        <v>21947</v>
      </c>
      <c r="AZ115" s="6" t="s">
        <v>104</v>
      </c>
      <c r="BA115" s="6" t="s">
        <v>104</v>
      </c>
      <c r="BB115" s="6" t="s">
        <v>104</v>
      </c>
      <c r="BC115" s="26"/>
      <c r="BD115" s="26"/>
      <c r="BE115" s="26"/>
      <c r="BF115" s="26"/>
      <c r="BG115" s="26"/>
      <c r="BH115" s="26"/>
      <c r="BI115" s="26"/>
      <c r="BJ115" s="26"/>
      <c r="BK115" s="26"/>
      <c r="BL115" s="26"/>
      <c r="BM115" s="26"/>
      <c r="BN115" s="26"/>
      <c r="BO115" s="26"/>
      <c r="BP115" s="16" t="n">
        <v>45721</v>
      </c>
      <c r="BQ115" s="28" t="str">
        <f>HYPERLINK("https://organic.ams.usda.gov/Integrity/Certificate.aspx?cid=46&amp;nopid=3671300022")</f>
        <v>https://organic.ams.usda.gov/Integrity/Certificate.aspx?cid=46&amp;nopid=3671300022</v>
      </c>
    </row>
    <row r="116">
      <c r="A116" t="s">
        <v>3</v>
      </c>
      <c r="B116" s="6" t="s">
        <v>20</v>
      </c>
      <c r="C116" s="6" t="s">
        <v>86</v>
      </c>
      <c r="D116" s="6" t="s">
        <v>151</v>
      </c>
      <c r="E116" s="10" t="s">
        <v>314</v>
      </c>
      <c r="F116" s="6" t="s">
        <v>2574</v>
      </c>
      <c r="G116" s="6" t="s">
        <v>104</v>
      </c>
      <c r="H116" s="6" t="s">
        <v>4993</v>
      </c>
      <c r="I116" s="6" t="s">
        <v>7007</v>
      </c>
      <c r="J116" s="6" t="s">
        <v>8222</v>
      </c>
      <c r="K116" s="6" t="s">
        <v>9714</v>
      </c>
      <c r="L116" s="16" t="n">
        <v>42402</v>
      </c>
      <c r="M116" s="16" t="n">
        <v>45747</v>
      </c>
      <c r="N116" s="6" t="s">
        <v>9714</v>
      </c>
      <c r="O116" s="16" t="n">
        <v>42402</v>
      </c>
      <c r="P116" s="6" t="s">
        <v>9759</v>
      </c>
      <c r="Q116" s="6" t="s">
        <v>104</v>
      </c>
      <c r="R116" s="6" t="s">
        <v>10300</v>
      </c>
      <c r="S116" s="6" t="s">
        <v>104</v>
      </c>
      <c r="T116" s="21" t="s">
        <v>104</v>
      </c>
      <c r="U116" s="6" t="s">
        <v>104</v>
      </c>
      <c r="V116" s="6" t="s">
        <v>104</v>
      </c>
      <c r="W116" s="6" t="s">
        <v>104</v>
      </c>
      <c r="X116" s="6" t="s">
        <v>104</v>
      </c>
      <c r="Y116" s="21" t="s">
        <v>104</v>
      </c>
      <c r="Z116" s="6" t="s">
        <v>104</v>
      </c>
      <c r="AA116" s="6" t="s">
        <v>104</v>
      </c>
      <c r="AB116" s="6" t="s">
        <v>104</v>
      </c>
      <c r="AC116" s="6" t="s">
        <v>9714</v>
      </c>
      <c r="AD116" s="16" t="n">
        <v>42402</v>
      </c>
      <c r="AE116" s="6" t="s">
        <v>10630</v>
      </c>
      <c r="AF116" s="6" t="s">
        <v>104</v>
      </c>
      <c r="AG116" s="6" t="s">
        <v>10300</v>
      </c>
      <c r="AH116" s="6" t="s">
        <v>13261</v>
      </c>
      <c r="AI116" s="6" t="s">
        <v>104</v>
      </c>
      <c r="AJ116" s="6" t="s">
        <v>15440</v>
      </c>
      <c r="AK116" s="6" t="s">
        <v>16356</v>
      </c>
      <c r="AL116" s="6" t="s">
        <v>15513</v>
      </c>
      <c r="AM116" s="6" t="s">
        <v>17070</v>
      </c>
      <c r="AN116" s="6" t="s">
        <v>104</v>
      </c>
      <c r="AO116" s="6" t="s">
        <v>104</v>
      </c>
      <c r="AP116" s="6" t="s">
        <v>104</v>
      </c>
      <c r="AQ116" s="6" t="s">
        <v>104</v>
      </c>
      <c r="AR116" s="6" t="s">
        <v>104</v>
      </c>
      <c r="AS116" s="6" t="s">
        <v>104</v>
      </c>
      <c r="AT116" s="6" t="s">
        <v>104</v>
      </c>
      <c r="AU116" s="6" t="s">
        <v>104</v>
      </c>
      <c r="AV116" s="6" t="s">
        <v>104</v>
      </c>
      <c r="AW116" s="6" t="s">
        <v>104</v>
      </c>
      <c r="AX116" s="6" t="s">
        <v>20207</v>
      </c>
      <c r="AY116" s="6" t="s">
        <v>21948</v>
      </c>
      <c r="AZ116" s="6" t="s">
        <v>104</v>
      </c>
      <c r="BA116" s="6" t="s">
        <v>104</v>
      </c>
      <c r="BB116" s="24" t="n">
        <v>5212</v>
      </c>
      <c r="BC116" s="26"/>
      <c r="BD116" s="26"/>
      <c r="BE116" s="26"/>
      <c r="BF116" s="26"/>
      <c r="BG116" s="26"/>
      <c r="BH116" s="26"/>
      <c r="BI116" s="26"/>
      <c r="BJ116" s="26"/>
      <c r="BK116" s="26"/>
      <c r="BL116" s="26"/>
      <c r="BM116" s="26"/>
      <c r="BN116" s="26"/>
      <c r="BO116" s="26" t="s">
        <v>24533</v>
      </c>
      <c r="BP116" s="16" t="n">
        <v>45499</v>
      </c>
      <c r="BQ116" s="28" t="str">
        <f>HYPERLINK("https://organic.ams.usda.gov/Integrity/Certificate.aspx?cid=17&amp;nopid=4083800002")</f>
        <v>https://organic.ams.usda.gov/Integrity/Certificate.aspx?cid=17&amp;nopid=4083800002</v>
      </c>
    </row>
    <row r="117">
      <c r="A117" t="s">
        <v>3</v>
      </c>
      <c r="B117" s="6" t="s">
        <v>20</v>
      </c>
      <c r="C117" s="6" t="s">
        <v>86</v>
      </c>
      <c r="D117" s="6" t="s">
        <v>151</v>
      </c>
      <c r="E117" s="10" t="s">
        <v>315</v>
      </c>
      <c r="F117" s="6" t="s">
        <v>2575</v>
      </c>
      <c r="G117" s="6" t="s">
        <v>104</v>
      </c>
      <c r="H117" s="6" t="s">
        <v>4994</v>
      </c>
      <c r="I117" s="6" t="s">
        <v>7008</v>
      </c>
      <c r="J117" s="6" t="s">
        <v>8223</v>
      </c>
      <c r="K117" s="6" t="s">
        <v>9714</v>
      </c>
      <c r="L117" s="16" t="n">
        <v>43175</v>
      </c>
      <c r="M117" s="16" t="n">
        <v>45747</v>
      </c>
      <c r="N117" s="6" t="s">
        <v>9714</v>
      </c>
      <c r="O117" s="16" t="n">
        <v>43175</v>
      </c>
      <c r="P117" s="6" t="s">
        <v>9760</v>
      </c>
      <c r="Q117" s="6" t="s">
        <v>104</v>
      </c>
      <c r="R117" s="6" t="s">
        <v>10301</v>
      </c>
      <c r="S117" s="6" t="s">
        <v>104</v>
      </c>
      <c r="T117" s="21" t="s">
        <v>104</v>
      </c>
      <c r="U117" s="6" t="s">
        <v>104</v>
      </c>
      <c r="V117" s="6" t="s">
        <v>104</v>
      </c>
      <c r="W117" s="6" t="s">
        <v>104</v>
      </c>
      <c r="X117" s="6" t="s">
        <v>104</v>
      </c>
      <c r="Y117" s="21" t="s">
        <v>104</v>
      </c>
      <c r="Z117" s="6" t="s">
        <v>104</v>
      </c>
      <c r="AA117" s="6" t="s">
        <v>104</v>
      </c>
      <c r="AB117" s="6" t="s">
        <v>104</v>
      </c>
      <c r="AC117" s="6" t="s">
        <v>9714</v>
      </c>
      <c r="AD117" s="16" t="n">
        <v>43175</v>
      </c>
      <c r="AE117" s="6" t="s">
        <v>10631</v>
      </c>
      <c r="AF117" s="6" t="s">
        <v>104</v>
      </c>
      <c r="AG117" s="6" t="s">
        <v>10301</v>
      </c>
      <c r="AH117" s="6" t="s">
        <v>13262</v>
      </c>
      <c r="AI117" s="6" t="s">
        <v>104</v>
      </c>
      <c r="AJ117" s="6" t="s">
        <v>15441</v>
      </c>
      <c r="AK117" s="6" t="s">
        <v>16097</v>
      </c>
      <c r="AL117" s="6" t="s">
        <v>15513</v>
      </c>
      <c r="AM117" s="6" t="s">
        <v>17071</v>
      </c>
      <c r="AN117" s="6" t="s">
        <v>104</v>
      </c>
      <c r="AO117" s="6" t="s">
        <v>104</v>
      </c>
      <c r="AP117" s="6" t="s">
        <v>104</v>
      </c>
      <c r="AQ117" s="6" t="s">
        <v>104</v>
      </c>
      <c r="AR117" s="6" t="s">
        <v>104</v>
      </c>
      <c r="AS117" s="6" t="s">
        <v>104</v>
      </c>
      <c r="AT117" s="6" t="s">
        <v>104</v>
      </c>
      <c r="AU117" s="6" t="s">
        <v>104</v>
      </c>
      <c r="AV117" s="6" t="s">
        <v>104</v>
      </c>
      <c r="AW117" s="6" t="s">
        <v>104</v>
      </c>
      <c r="AX117" s="6" t="s">
        <v>20208</v>
      </c>
      <c r="AY117" s="6" t="s">
        <v>21949</v>
      </c>
      <c r="AZ117" s="6" t="s">
        <v>104</v>
      </c>
      <c r="BA117" s="6" t="s">
        <v>104</v>
      </c>
      <c r="BB117" s="24" t="n">
        <v>1532</v>
      </c>
      <c r="BC117" s="26"/>
      <c r="BD117" s="26"/>
      <c r="BE117" s="26"/>
      <c r="BF117" s="26"/>
      <c r="BG117" s="26"/>
      <c r="BH117" s="26"/>
      <c r="BI117" s="26"/>
      <c r="BJ117" s="26"/>
      <c r="BK117" s="26"/>
      <c r="BL117" s="26"/>
      <c r="BM117" s="26"/>
      <c r="BN117" s="26"/>
      <c r="BO117" s="26" t="s">
        <v>24533</v>
      </c>
      <c r="BP117" s="16" t="n">
        <v>45470</v>
      </c>
      <c r="BQ117" s="28" t="str">
        <f>HYPERLINK("https://organic.ams.usda.gov/Integrity/Certificate.aspx?cid=17&amp;nopid=4087185319")</f>
        <v>https://organic.ams.usda.gov/Integrity/Certificate.aspx?cid=17&amp;nopid=4087185319</v>
      </c>
    </row>
    <row r="118">
      <c r="A118" t="s">
        <v>3</v>
      </c>
      <c r="B118" s="6" t="s">
        <v>21</v>
      </c>
      <c r="C118" s="6" t="s">
        <v>87</v>
      </c>
      <c r="D118" s="6" t="s">
        <v>152</v>
      </c>
      <c r="E118" s="10" t="s">
        <v>316</v>
      </c>
      <c r="F118" s="6" t="s">
        <v>2576</v>
      </c>
      <c r="G118" s="6" t="s">
        <v>104</v>
      </c>
      <c r="H118" s="6" t="s">
        <v>4995</v>
      </c>
      <c r="I118" s="6" t="s">
        <v>7009</v>
      </c>
      <c r="J118" s="6" t="s">
        <v>8224</v>
      </c>
      <c r="K118" s="6" t="s">
        <v>9714</v>
      </c>
      <c r="L118" s="16" t="n">
        <v>45722</v>
      </c>
      <c r="M118" s="16" t="n">
        <v>46023</v>
      </c>
      <c r="N118" s="6" t="s">
        <v>104</v>
      </c>
      <c r="O118" s="21" t="s">
        <v>104</v>
      </c>
      <c r="P118" s="6" t="s">
        <v>104</v>
      </c>
      <c r="Q118" s="6" t="s">
        <v>104</v>
      </c>
      <c r="R118" s="6" t="s">
        <v>104</v>
      </c>
      <c r="S118" s="6" t="s">
        <v>104</v>
      </c>
      <c r="T118" s="21" t="s">
        <v>104</v>
      </c>
      <c r="U118" s="6" t="s">
        <v>104</v>
      </c>
      <c r="V118" s="6" t="s">
        <v>104</v>
      </c>
      <c r="W118" s="6" t="s">
        <v>104</v>
      </c>
      <c r="X118" s="6" t="s">
        <v>104</v>
      </c>
      <c r="Y118" s="21" t="s">
        <v>104</v>
      </c>
      <c r="Z118" s="6" t="s">
        <v>104</v>
      </c>
      <c r="AA118" s="6" t="s">
        <v>104</v>
      </c>
      <c r="AB118" s="6" t="s">
        <v>104</v>
      </c>
      <c r="AC118" s="6" t="s">
        <v>9714</v>
      </c>
      <c r="AD118" s="16" t="n">
        <v>45722</v>
      </c>
      <c r="AE118" s="6" t="s">
        <v>10632</v>
      </c>
      <c r="AF118" s="6" t="s">
        <v>104</v>
      </c>
      <c r="AG118" s="6" t="s">
        <v>104</v>
      </c>
      <c r="AH118" s="6" t="s">
        <v>13263</v>
      </c>
      <c r="AI118" s="6" t="s">
        <v>15234</v>
      </c>
      <c r="AJ118" s="6" t="s">
        <v>15442</v>
      </c>
      <c r="AK118" s="6" t="s">
        <v>16715</v>
      </c>
      <c r="AL118" s="6" t="s">
        <v>16931</v>
      </c>
      <c r="AM118" s="6" t="s">
        <v>17072</v>
      </c>
      <c r="AN118" s="6" t="s">
        <v>104</v>
      </c>
      <c r="AO118" s="6" t="s">
        <v>104</v>
      </c>
      <c r="AP118" s="6" t="s">
        <v>13263</v>
      </c>
      <c r="AQ118" s="6" t="s">
        <v>15234</v>
      </c>
      <c r="AR118" s="6" t="s">
        <v>15442</v>
      </c>
      <c r="AS118" s="6" t="s">
        <v>16715</v>
      </c>
      <c r="AT118" s="6" t="s">
        <v>16931</v>
      </c>
      <c r="AU118" s="6" t="s">
        <v>17072</v>
      </c>
      <c r="AV118" s="6" t="s">
        <v>104</v>
      </c>
      <c r="AW118" s="6" t="s">
        <v>104</v>
      </c>
      <c r="AX118" s="6" t="s">
        <v>20209</v>
      </c>
      <c r="AY118" s="6" t="s">
        <v>21950</v>
      </c>
      <c r="AZ118" s="6" t="s">
        <v>23707</v>
      </c>
      <c r="BA118" s="6" t="s">
        <v>24263</v>
      </c>
      <c r="BB118" s="6" t="s">
        <v>104</v>
      </c>
      <c r="BC118" s="26"/>
      <c r="BD118" s="26"/>
      <c r="BE118" s="26"/>
      <c r="BF118" s="26"/>
      <c r="BG118" s="26" t="s">
        <v>24533</v>
      </c>
      <c r="BH118" s="26"/>
      <c r="BI118" s="26"/>
      <c r="BJ118" s="26"/>
      <c r="BK118" s="26"/>
      <c r="BL118" s="26"/>
      <c r="BM118" s="26"/>
      <c r="BN118" s="26"/>
      <c r="BO118" s="26"/>
      <c r="BP118" s="16" t="n">
        <v>45723</v>
      </c>
      <c r="BQ118" s="28" t="str">
        <f>HYPERLINK("https://organic.ams.usda.gov/Integrity/Certificate.aspx?cid=15&amp;nopid=5561007912")</f>
        <v>https://organic.ams.usda.gov/Integrity/Certificate.aspx?cid=15&amp;nopid=5561007912</v>
      </c>
    </row>
    <row r="119">
      <c r="A119" t="s">
        <v>3</v>
      </c>
      <c r="B119" s="6" t="s">
        <v>29</v>
      </c>
      <c r="C119" s="6" t="s">
        <v>95</v>
      </c>
      <c r="D119" s="6" t="s">
        <v>160</v>
      </c>
      <c r="E119" s="10" t="s">
        <v>317</v>
      </c>
      <c r="F119" s="6" t="s">
        <v>2577</v>
      </c>
      <c r="G119" s="6" t="s">
        <v>104</v>
      </c>
      <c r="H119" s="6" t="s">
        <v>4996</v>
      </c>
      <c r="I119" s="6" t="s">
        <v>104</v>
      </c>
      <c r="J119" s="6" t="s">
        <v>8225</v>
      </c>
      <c r="K119" s="6" t="s">
        <v>9714</v>
      </c>
      <c r="L119" s="16" t="n">
        <v>42346</v>
      </c>
      <c r="M119" s="16" t="n">
        <v>45870</v>
      </c>
      <c r="N119" s="6" t="s">
        <v>104</v>
      </c>
      <c r="O119" s="21" t="s">
        <v>104</v>
      </c>
      <c r="P119" s="6" t="s">
        <v>104</v>
      </c>
      <c r="Q119" s="6" t="s">
        <v>104</v>
      </c>
      <c r="R119" s="6" t="s">
        <v>104</v>
      </c>
      <c r="S119" s="6" t="s">
        <v>104</v>
      </c>
      <c r="T119" s="21" t="s">
        <v>104</v>
      </c>
      <c r="U119" s="6" t="s">
        <v>104</v>
      </c>
      <c r="V119" s="6" t="s">
        <v>104</v>
      </c>
      <c r="W119" s="6" t="s">
        <v>104</v>
      </c>
      <c r="X119" s="6" t="s">
        <v>104</v>
      </c>
      <c r="Y119" s="21" t="s">
        <v>104</v>
      </c>
      <c r="Z119" s="6" t="s">
        <v>104</v>
      </c>
      <c r="AA119" s="6" t="s">
        <v>104</v>
      </c>
      <c r="AB119" s="6" t="s">
        <v>104</v>
      </c>
      <c r="AC119" s="6" t="s">
        <v>9714</v>
      </c>
      <c r="AD119" s="16" t="n">
        <v>42346</v>
      </c>
      <c r="AE119" s="6" t="s">
        <v>10633</v>
      </c>
      <c r="AF119" s="6" t="s">
        <v>104</v>
      </c>
      <c r="AG119" s="6" t="s">
        <v>104</v>
      </c>
      <c r="AH119" s="6" t="s">
        <v>13264</v>
      </c>
      <c r="AI119" s="6" t="s">
        <v>15235</v>
      </c>
      <c r="AJ119" s="6" t="s">
        <v>15443</v>
      </c>
      <c r="AK119" s="6" t="s">
        <v>104</v>
      </c>
      <c r="AL119" s="6" t="s">
        <v>16945</v>
      </c>
      <c r="AM119" s="6" t="s">
        <v>17073</v>
      </c>
      <c r="AN119" s="6" t="s">
        <v>104</v>
      </c>
      <c r="AO119" s="6" t="s">
        <v>104</v>
      </c>
      <c r="AP119" s="6" t="s">
        <v>104</v>
      </c>
      <c r="AQ119" s="6" t="s">
        <v>104</v>
      </c>
      <c r="AR119" s="6" t="s">
        <v>104</v>
      </c>
      <c r="AS119" s="6" t="s">
        <v>104</v>
      </c>
      <c r="AT119" s="6" t="s">
        <v>104</v>
      </c>
      <c r="AU119" s="6" t="s">
        <v>104</v>
      </c>
      <c r="AV119" s="6" t="s">
        <v>104</v>
      </c>
      <c r="AW119" s="6" t="s">
        <v>104</v>
      </c>
      <c r="AX119" s="6" t="s">
        <v>20210</v>
      </c>
      <c r="AY119" s="6" t="s">
        <v>21951</v>
      </c>
      <c r="AZ119" s="6" t="s">
        <v>23708</v>
      </c>
      <c r="BA119" s="6" t="s">
        <v>24269</v>
      </c>
      <c r="BB119" s="24" t="n">
        <v>0</v>
      </c>
      <c r="BC119" s="26"/>
      <c r="BD119" s="26"/>
      <c r="BE119" s="26"/>
      <c r="BF119" s="26"/>
      <c r="BG119" s="26"/>
      <c r="BH119" s="26"/>
      <c r="BI119" s="26"/>
      <c r="BJ119" s="26"/>
      <c r="BK119" s="26"/>
      <c r="BL119" s="26"/>
      <c r="BM119" s="26"/>
      <c r="BN119" s="26"/>
      <c r="BO119" s="26"/>
      <c r="BP119" s="16" t="n">
        <v>45680</v>
      </c>
      <c r="BQ119" s="28" t="str">
        <f>HYPERLINK("https://organic.ams.usda.gov/Integrity/Certificate.aspx?cid=24&amp;nopid=7881530710")</f>
        <v>https://organic.ams.usda.gov/Integrity/Certificate.aspx?cid=24&amp;nopid=7881530710</v>
      </c>
    </row>
    <row r="120">
      <c r="A120" t="s">
        <v>3</v>
      </c>
      <c r="B120" s="6" t="s">
        <v>14</v>
      </c>
      <c r="C120" s="6" t="s">
        <v>80</v>
      </c>
      <c r="D120" s="6" t="s">
        <v>145</v>
      </c>
      <c r="E120" s="10" t="s">
        <v>318</v>
      </c>
      <c r="F120" s="6" t="s">
        <v>2578</v>
      </c>
      <c r="G120" s="6" t="s">
        <v>104</v>
      </c>
      <c r="H120" s="6" t="s">
        <v>4997</v>
      </c>
      <c r="I120" s="6" t="s">
        <v>6993</v>
      </c>
      <c r="J120" s="6" t="s">
        <v>8208</v>
      </c>
      <c r="K120" s="6" t="s">
        <v>9714</v>
      </c>
      <c r="L120" s="16" t="n">
        <v>44877</v>
      </c>
      <c r="M120" s="16" t="n">
        <v>45846</v>
      </c>
      <c r="N120" s="6" t="s">
        <v>9714</v>
      </c>
      <c r="O120" s="16" t="n">
        <v>44877</v>
      </c>
      <c r="P120" s="6" t="s">
        <v>9752</v>
      </c>
      <c r="Q120" s="6" t="s">
        <v>104</v>
      </c>
      <c r="R120" s="6" t="s">
        <v>104</v>
      </c>
      <c r="S120" s="6" t="s">
        <v>104</v>
      </c>
      <c r="T120" s="21" t="s">
        <v>104</v>
      </c>
      <c r="U120" s="6" t="s">
        <v>104</v>
      </c>
      <c r="V120" s="6" t="s">
        <v>104</v>
      </c>
      <c r="W120" s="6" t="s">
        <v>104</v>
      </c>
      <c r="X120" s="6" t="s">
        <v>104</v>
      </c>
      <c r="Y120" s="21" t="s">
        <v>104</v>
      </c>
      <c r="Z120" s="6" t="s">
        <v>104</v>
      </c>
      <c r="AA120" s="6" t="s">
        <v>104</v>
      </c>
      <c r="AB120" s="6" t="s">
        <v>104</v>
      </c>
      <c r="AC120" s="6" t="s">
        <v>104</v>
      </c>
      <c r="AD120" s="21" t="s">
        <v>104</v>
      </c>
      <c r="AE120" s="6" t="s">
        <v>104</v>
      </c>
      <c r="AF120" s="6" t="s">
        <v>104</v>
      </c>
      <c r="AG120" s="6" t="s">
        <v>104</v>
      </c>
      <c r="AH120" s="6" t="s">
        <v>13265</v>
      </c>
      <c r="AI120" s="6" t="s">
        <v>104</v>
      </c>
      <c r="AJ120" s="6" t="s">
        <v>15429</v>
      </c>
      <c r="AK120" s="6" t="s">
        <v>15885</v>
      </c>
      <c r="AL120" s="6" t="s">
        <v>16932</v>
      </c>
      <c r="AM120" s="6" t="s">
        <v>17057</v>
      </c>
      <c r="AN120" s="6" t="s">
        <v>104</v>
      </c>
      <c r="AO120" s="6" t="s">
        <v>104</v>
      </c>
      <c r="AP120" s="6" t="s">
        <v>18973</v>
      </c>
      <c r="AQ120" s="6" t="s">
        <v>104</v>
      </c>
      <c r="AR120" s="6" t="s">
        <v>15429</v>
      </c>
      <c r="AS120" s="6" t="s">
        <v>15885</v>
      </c>
      <c r="AT120" s="6" t="s">
        <v>16932</v>
      </c>
      <c r="AU120" s="6" t="s">
        <v>17057</v>
      </c>
      <c r="AV120" s="6" t="s">
        <v>104</v>
      </c>
      <c r="AW120" s="6" t="s">
        <v>104</v>
      </c>
      <c r="AX120" s="6" t="s">
        <v>104</v>
      </c>
      <c r="AY120" s="6" t="s">
        <v>21934</v>
      </c>
      <c r="AZ120" s="6" t="s">
        <v>104</v>
      </c>
      <c r="BA120" s="6" t="s">
        <v>104</v>
      </c>
      <c r="BB120" s="24" t="n">
        <v>492</v>
      </c>
      <c r="BC120" s="26"/>
      <c r="BD120" s="26"/>
      <c r="BE120" s="26"/>
      <c r="BF120" s="26"/>
      <c r="BG120" s="26"/>
      <c r="BH120" s="26"/>
      <c r="BI120" s="26"/>
      <c r="BJ120" s="26"/>
      <c r="BK120" s="26"/>
      <c r="BL120" s="26"/>
      <c r="BM120" s="26"/>
      <c r="BN120" s="26"/>
      <c r="BO120" s="26"/>
      <c r="BP120" s="16" t="n">
        <v>45699</v>
      </c>
      <c r="BQ120" s="28" t="str">
        <f>HYPERLINK("https://organic.ams.usda.gov/Integrity/Certificate.aspx?cid=89&amp;nopid=4920005871")</f>
        <v>https://organic.ams.usda.gov/Integrity/Certificate.aspx?cid=89&amp;nopid=4920005871</v>
      </c>
    </row>
    <row r="121">
      <c r="A121" t="s">
        <v>3</v>
      </c>
      <c r="B121" s="6" t="s">
        <v>14</v>
      </c>
      <c r="C121" s="6" t="s">
        <v>80</v>
      </c>
      <c r="D121" s="6" t="s">
        <v>145</v>
      </c>
      <c r="E121" s="10" t="s">
        <v>319</v>
      </c>
      <c r="F121" s="6" t="s">
        <v>2579</v>
      </c>
      <c r="G121" s="6" t="s">
        <v>104</v>
      </c>
      <c r="H121" s="6" t="s">
        <v>4998</v>
      </c>
      <c r="I121" s="6" t="s">
        <v>6993</v>
      </c>
      <c r="J121" s="6" t="s">
        <v>8208</v>
      </c>
      <c r="K121" s="6" t="s">
        <v>9714</v>
      </c>
      <c r="L121" s="16" t="n">
        <v>45733</v>
      </c>
      <c r="M121" s="16" t="n">
        <v>45862</v>
      </c>
      <c r="N121" s="6" t="s">
        <v>9714</v>
      </c>
      <c r="O121" s="16" t="n">
        <v>45733</v>
      </c>
      <c r="P121" s="6" t="s">
        <v>9752</v>
      </c>
      <c r="Q121" s="6" t="s">
        <v>104</v>
      </c>
      <c r="R121" s="6" t="s">
        <v>104</v>
      </c>
      <c r="S121" s="6" t="s">
        <v>104</v>
      </c>
      <c r="T121" s="21" t="s">
        <v>104</v>
      </c>
      <c r="U121" s="6" t="s">
        <v>104</v>
      </c>
      <c r="V121" s="6" t="s">
        <v>104</v>
      </c>
      <c r="W121" s="6" t="s">
        <v>104</v>
      </c>
      <c r="X121" s="6" t="s">
        <v>104</v>
      </c>
      <c r="Y121" s="21" t="s">
        <v>104</v>
      </c>
      <c r="Z121" s="6" t="s">
        <v>104</v>
      </c>
      <c r="AA121" s="6" t="s">
        <v>104</v>
      </c>
      <c r="AB121" s="6" t="s">
        <v>104</v>
      </c>
      <c r="AC121" s="6" t="s">
        <v>104</v>
      </c>
      <c r="AD121" s="21" t="s">
        <v>104</v>
      </c>
      <c r="AE121" s="6" t="s">
        <v>104</v>
      </c>
      <c r="AF121" s="6" t="s">
        <v>104</v>
      </c>
      <c r="AG121" s="6" t="s">
        <v>104</v>
      </c>
      <c r="AH121" s="6" t="s">
        <v>13266</v>
      </c>
      <c r="AI121" s="6" t="s">
        <v>104</v>
      </c>
      <c r="AJ121" s="6" t="s">
        <v>15429</v>
      </c>
      <c r="AK121" s="6" t="s">
        <v>15885</v>
      </c>
      <c r="AL121" s="6" t="s">
        <v>16932</v>
      </c>
      <c r="AM121" s="6" t="s">
        <v>17059</v>
      </c>
      <c r="AN121" s="6" t="s">
        <v>104</v>
      </c>
      <c r="AO121" s="6" t="s">
        <v>104</v>
      </c>
      <c r="AP121" s="6" t="s">
        <v>18981</v>
      </c>
      <c r="AQ121" s="6" t="s">
        <v>104</v>
      </c>
      <c r="AR121" s="6" t="s">
        <v>15429</v>
      </c>
      <c r="AS121" s="6" t="s">
        <v>15885</v>
      </c>
      <c r="AT121" s="6" t="s">
        <v>16932</v>
      </c>
      <c r="AU121" s="6" t="s">
        <v>17057</v>
      </c>
      <c r="AV121" s="6" t="s">
        <v>104</v>
      </c>
      <c r="AW121" s="6" t="s">
        <v>104</v>
      </c>
      <c r="AX121" s="6" t="s">
        <v>104</v>
      </c>
      <c r="AY121" s="6" t="s">
        <v>21934</v>
      </c>
      <c r="AZ121" s="6" t="s">
        <v>104</v>
      </c>
      <c r="BA121" s="6" t="s">
        <v>104</v>
      </c>
      <c r="BB121" s="24" t="n">
        <v>1347</v>
      </c>
      <c r="BC121" s="26"/>
      <c r="BD121" s="26"/>
      <c r="BE121" s="26"/>
      <c r="BF121" s="26"/>
      <c r="BG121" s="26"/>
      <c r="BH121" s="26"/>
      <c r="BI121" s="26"/>
      <c r="BJ121" s="26"/>
      <c r="BK121" s="26"/>
      <c r="BL121" s="26"/>
      <c r="BM121" s="26"/>
      <c r="BN121" s="26"/>
      <c r="BO121" s="26"/>
      <c r="BP121" s="16" t="n">
        <v>45733</v>
      </c>
      <c r="BQ121" s="28" t="str">
        <f>HYPERLINK("https://organic.ams.usda.gov/Integrity/Certificate.aspx?cid=89&amp;nopid=4920006046")</f>
        <v>https://organic.ams.usda.gov/Integrity/Certificate.aspx?cid=89&amp;nopid=4920006046</v>
      </c>
    </row>
    <row r="122">
      <c r="A122" t="s">
        <v>3</v>
      </c>
      <c r="B122" s="6" t="s">
        <v>14</v>
      </c>
      <c r="C122" s="6" t="s">
        <v>80</v>
      </c>
      <c r="D122" s="6" t="s">
        <v>145</v>
      </c>
      <c r="E122" s="10" t="s">
        <v>320</v>
      </c>
      <c r="F122" s="6" t="s">
        <v>2580</v>
      </c>
      <c r="G122" s="6" t="s">
        <v>104</v>
      </c>
      <c r="H122" s="6" t="s">
        <v>4999</v>
      </c>
      <c r="I122" s="6" t="s">
        <v>6993</v>
      </c>
      <c r="J122" s="6" t="s">
        <v>8208</v>
      </c>
      <c r="K122" s="6" t="s">
        <v>9714</v>
      </c>
      <c r="L122" s="16" t="n">
        <v>45239</v>
      </c>
      <c r="M122" s="16" t="n">
        <v>45878</v>
      </c>
      <c r="N122" s="6" t="s">
        <v>9714</v>
      </c>
      <c r="O122" s="16" t="n">
        <v>45239</v>
      </c>
      <c r="P122" s="6" t="s">
        <v>9752</v>
      </c>
      <c r="Q122" s="6" t="s">
        <v>104</v>
      </c>
      <c r="R122" s="6" t="s">
        <v>104</v>
      </c>
      <c r="S122" s="6" t="s">
        <v>104</v>
      </c>
      <c r="T122" s="21" t="s">
        <v>104</v>
      </c>
      <c r="U122" s="6" t="s">
        <v>104</v>
      </c>
      <c r="V122" s="6" t="s">
        <v>104</v>
      </c>
      <c r="W122" s="6" t="s">
        <v>104</v>
      </c>
      <c r="X122" s="6" t="s">
        <v>104</v>
      </c>
      <c r="Y122" s="21" t="s">
        <v>104</v>
      </c>
      <c r="Z122" s="6" t="s">
        <v>104</v>
      </c>
      <c r="AA122" s="6" t="s">
        <v>104</v>
      </c>
      <c r="AB122" s="6" t="s">
        <v>104</v>
      </c>
      <c r="AC122" s="6" t="s">
        <v>104</v>
      </c>
      <c r="AD122" s="21" t="s">
        <v>104</v>
      </c>
      <c r="AE122" s="6" t="s">
        <v>104</v>
      </c>
      <c r="AF122" s="6" t="s">
        <v>104</v>
      </c>
      <c r="AG122" s="6" t="s">
        <v>104</v>
      </c>
      <c r="AH122" s="6" t="s">
        <v>13267</v>
      </c>
      <c r="AI122" s="6" t="s">
        <v>104</v>
      </c>
      <c r="AJ122" s="6" t="s">
        <v>15429</v>
      </c>
      <c r="AK122" s="6" t="s">
        <v>15885</v>
      </c>
      <c r="AL122" s="6" t="s">
        <v>16932</v>
      </c>
      <c r="AM122" s="6" t="s">
        <v>17058</v>
      </c>
      <c r="AN122" s="6" t="s">
        <v>104</v>
      </c>
      <c r="AO122" s="6" t="s">
        <v>104</v>
      </c>
      <c r="AP122" s="6" t="s">
        <v>18982</v>
      </c>
      <c r="AQ122" s="6" t="s">
        <v>104</v>
      </c>
      <c r="AR122" s="6" t="s">
        <v>15429</v>
      </c>
      <c r="AS122" s="6" t="s">
        <v>15885</v>
      </c>
      <c r="AT122" s="6" t="s">
        <v>16932</v>
      </c>
      <c r="AU122" s="6" t="s">
        <v>17057</v>
      </c>
      <c r="AV122" s="6" t="s">
        <v>104</v>
      </c>
      <c r="AW122" s="6" t="s">
        <v>104</v>
      </c>
      <c r="AX122" s="6" t="s">
        <v>104</v>
      </c>
      <c r="AY122" s="6" t="s">
        <v>21934</v>
      </c>
      <c r="AZ122" s="6" t="s">
        <v>104</v>
      </c>
      <c r="BA122" s="6" t="s">
        <v>104</v>
      </c>
      <c r="BB122" s="24" t="n">
        <v>1414</v>
      </c>
      <c r="BC122" s="26"/>
      <c r="BD122" s="26"/>
      <c r="BE122" s="26"/>
      <c r="BF122" s="26"/>
      <c r="BG122" s="26"/>
      <c r="BH122" s="26"/>
      <c r="BI122" s="26"/>
      <c r="BJ122" s="26"/>
      <c r="BK122" s="26"/>
      <c r="BL122" s="26"/>
      <c r="BM122" s="26"/>
      <c r="BN122" s="26"/>
      <c r="BO122" s="26"/>
      <c r="BP122" s="16" t="n">
        <v>45603</v>
      </c>
      <c r="BQ122" s="28" t="str">
        <f>HYPERLINK("https://organic.ams.usda.gov/Integrity/Certificate.aspx?cid=89&amp;nopid=4920006071")</f>
        <v>https://organic.ams.usda.gov/Integrity/Certificate.aspx?cid=89&amp;nopid=4920006071</v>
      </c>
    </row>
    <row r="123">
      <c r="A123" t="s">
        <v>3</v>
      </c>
      <c r="B123" s="6" t="s">
        <v>14</v>
      </c>
      <c r="C123" s="6" t="s">
        <v>80</v>
      </c>
      <c r="D123" s="6" t="s">
        <v>145</v>
      </c>
      <c r="E123" s="10" t="s">
        <v>321</v>
      </c>
      <c r="F123" s="6" t="s">
        <v>2581</v>
      </c>
      <c r="G123" s="6" t="s">
        <v>104</v>
      </c>
      <c r="H123" s="6" t="s">
        <v>5000</v>
      </c>
      <c r="I123" s="6" t="s">
        <v>6993</v>
      </c>
      <c r="J123" s="6" t="s">
        <v>8208</v>
      </c>
      <c r="K123" s="6" t="s">
        <v>9714</v>
      </c>
      <c r="L123" s="16" t="n">
        <v>44956</v>
      </c>
      <c r="M123" s="16" t="n">
        <v>45863</v>
      </c>
      <c r="N123" s="6" t="s">
        <v>9714</v>
      </c>
      <c r="O123" s="16" t="n">
        <v>44956</v>
      </c>
      <c r="P123" s="6" t="s">
        <v>9752</v>
      </c>
      <c r="Q123" s="6" t="s">
        <v>104</v>
      </c>
      <c r="R123" s="6" t="s">
        <v>104</v>
      </c>
      <c r="S123" s="6" t="s">
        <v>104</v>
      </c>
      <c r="T123" s="21" t="s">
        <v>104</v>
      </c>
      <c r="U123" s="6" t="s">
        <v>104</v>
      </c>
      <c r="V123" s="6" t="s">
        <v>104</v>
      </c>
      <c r="W123" s="6" t="s">
        <v>104</v>
      </c>
      <c r="X123" s="6" t="s">
        <v>104</v>
      </c>
      <c r="Y123" s="21" t="s">
        <v>104</v>
      </c>
      <c r="Z123" s="6" t="s">
        <v>104</v>
      </c>
      <c r="AA123" s="6" t="s">
        <v>104</v>
      </c>
      <c r="AB123" s="6" t="s">
        <v>104</v>
      </c>
      <c r="AC123" s="6" t="s">
        <v>104</v>
      </c>
      <c r="AD123" s="21" t="s">
        <v>104</v>
      </c>
      <c r="AE123" s="6" t="s">
        <v>104</v>
      </c>
      <c r="AF123" s="6" t="s">
        <v>104</v>
      </c>
      <c r="AG123" s="6" t="s">
        <v>104</v>
      </c>
      <c r="AH123" s="6" t="s">
        <v>13268</v>
      </c>
      <c r="AI123" s="6" t="s">
        <v>104</v>
      </c>
      <c r="AJ123" s="6" t="s">
        <v>15429</v>
      </c>
      <c r="AK123" s="6" t="s">
        <v>15885</v>
      </c>
      <c r="AL123" s="6" t="s">
        <v>16932</v>
      </c>
      <c r="AM123" s="6" t="s">
        <v>17059</v>
      </c>
      <c r="AN123" s="6" t="s">
        <v>104</v>
      </c>
      <c r="AO123" s="6" t="s">
        <v>104</v>
      </c>
      <c r="AP123" s="6" t="s">
        <v>18983</v>
      </c>
      <c r="AQ123" s="6" t="s">
        <v>104</v>
      </c>
      <c r="AR123" s="6" t="s">
        <v>15429</v>
      </c>
      <c r="AS123" s="6" t="s">
        <v>15885</v>
      </c>
      <c r="AT123" s="6" t="s">
        <v>16932</v>
      </c>
      <c r="AU123" s="6" t="s">
        <v>17057</v>
      </c>
      <c r="AV123" s="6" t="s">
        <v>104</v>
      </c>
      <c r="AW123" s="6" t="s">
        <v>104</v>
      </c>
      <c r="AX123" s="6" t="s">
        <v>104</v>
      </c>
      <c r="AY123" s="6" t="s">
        <v>21934</v>
      </c>
      <c r="AZ123" s="6" t="s">
        <v>104</v>
      </c>
      <c r="BA123" s="6" t="s">
        <v>104</v>
      </c>
      <c r="BB123" s="24" t="n">
        <v>491</v>
      </c>
      <c r="BC123" s="26"/>
      <c r="BD123" s="26"/>
      <c r="BE123" s="26"/>
      <c r="BF123" s="26"/>
      <c r="BG123" s="26"/>
      <c r="BH123" s="26"/>
      <c r="BI123" s="26"/>
      <c r="BJ123" s="26"/>
      <c r="BK123" s="26"/>
      <c r="BL123" s="26"/>
      <c r="BM123" s="26"/>
      <c r="BN123" s="26"/>
      <c r="BO123" s="26"/>
      <c r="BP123" s="16" t="n">
        <v>45699</v>
      </c>
      <c r="BQ123" s="28" t="str">
        <f>HYPERLINK("https://organic.ams.usda.gov/Integrity/Certificate.aspx?cid=89&amp;nopid=4920005998")</f>
        <v>https://organic.ams.usda.gov/Integrity/Certificate.aspx?cid=89&amp;nopid=4920005998</v>
      </c>
    </row>
    <row r="124">
      <c r="A124" t="s">
        <v>3</v>
      </c>
      <c r="B124" s="6" t="s">
        <v>14</v>
      </c>
      <c r="C124" s="6" t="s">
        <v>80</v>
      </c>
      <c r="D124" s="6" t="s">
        <v>145</v>
      </c>
      <c r="E124" s="10" t="s">
        <v>322</v>
      </c>
      <c r="F124" s="6" t="s">
        <v>2582</v>
      </c>
      <c r="G124" s="6" t="s">
        <v>104</v>
      </c>
      <c r="H124" s="6" t="s">
        <v>5001</v>
      </c>
      <c r="I124" s="6" t="s">
        <v>6993</v>
      </c>
      <c r="J124" s="6" t="s">
        <v>8208</v>
      </c>
      <c r="K124" s="6" t="s">
        <v>9714</v>
      </c>
      <c r="L124" s="16" t="n">
        <v>45733</v>
      </c>
      <c r="M124" s="16" t="n">
        <v>45846</v>
      </c>
      <c r="N124" s="6" t="s">
        <v>9714</v>
      </c>
      <c r="O124" s="16" t="n">
        <v>45733</v>
      </c>
      <c r="P124" s="6" t="s">
        <v>9761</v>
      </c>
      <c r="Q124" s="6" t="s">
        <v>104</v>
      </c>
      <c r="R124" s="6" t="s">
        <v>104</v>
      </c>
      <c r="S124" s="6" t="s">
        <v>104</v>
      </c>
      <c r="T124" s="21" t="s">
        <v>104</v>
      </c>
      <c r="U124" s="6" t="s">
        <v>104</v>
      </c>
      <c r="V124" s="6" t="s">
        <v>104</v>
      </c>
      <c r="W124" s="6" t="s">
        <v>104</v>
      </c>
      <c r="X124" s="6" t="s">
        <v>104</v>
      </c>
      <c r="Y124" s="21" t="s">
        <v>104</v>
      </c>
      <c r="Z124" s="6" t="s">
        <v>104</v>
      </c>
      <c r="AA124" s="6" t="s">
        <v>104</v>
      </c>
      <c r="AB124" s="6" t="s">
        <v>104</v>
      </c>
      <c r="AC124" s="6" t="s">
        <v>104</v>
      </c>
      <c r="AD124" s="21" t="s">
        <v>104</v>
      </c>
      <c r="AE124" s="6" t="s">
        <v>104</v>
      </c>
      <c r="AF124" s="6" t="s">
        <v>104</v>
      </c>
      <c r="AG124" s="6" t="s">
        <v>104</v>
      </c>
      <c r="AH124" s="6" t="s">
        <v>13269</v>
      </c>
      <c r="AI124" s="6" t="s">
        <v>104</v>
      </c>
      <c r="AJ124" s="6" t="s">
        <v>15429</v>
      </c>
      <c r="AK124" s="6" t="s">
        <v>15885</v>
      </c>
      <c r="AL124" s="6" t="s">
        <v>16932</v>
      </c>
      <c r="AM124" s="6" t="s">
        <v>17057</v>
      </c>
      <c r="AN124" s="6" t="s">
        <v>104</v>
      </c>
      <c r="AO124" s="6" t="s">
        <v>104</v>
      </c>
      <c r="AP124" s="6" t="s">
        <v>18984</v>
      </c>
      <c r="AQ124" s="6" t="s">
        <v>104</v>
      </c>
      <c r="AR124" s="6" t="s">
        <v>15429</v>
      </c>
      <c r="AS124" s="6" t="s">
        <v>15885</v>
      </c>
      <c r="AT124" s="6" t="s">
        <v>16932</v>
      </c>
      <c r="AU124" s="6" t="s">
        <v>17057</v>
      </c>
      <c r="AV124" s="6" t="s">
        <v>104</v>
      </c>
      <c r="AW124" s="6" t="s">
        <v>104</v>
      </c>
      <c r="AX124" s="6" t="s">
        <v>104</v>
      </c>
      <c r="AY124" s="6" t="s">
        <v>21934</v>
      </c>
      <c r="AZ124" s="6" t="s">
        <v>104</v>
      </c>
      <c r="BA124" s="6" t="s">
        <v>104</v>
      </c>
      <c r="BB124" s="24" t="n">
        <v>1234</v>
      </c>
      <c r="BC124" s="26"/>
      <c r="BD124" s="26"/>
      <c r="BE124" s="26"/>
      <c r="BF124" s="26"/>
      <c r="BG124" s="26"/>
      <c r="BH124" s="26"/>
      <c r="BI124" s="26"/>
      <c r="BJ124" s="26"/>
      <c r="BK124" s="26"/>
      <c r="BL124" s="26"/>
      <c r="BM124" s="26"/>
      <c r="BN124" s="26"/>
      <c r="BO124" s="26"/>
      <c r="BP124" s="16" t="n">
        <v>45733</v>
      </c>
      <c r="BQ124" s="28" t="str">
        <f>HYPERLINK("https://organic.ams.usda.gov/Integrity/Certificate.aspx?cid=89&amp;nopid=4920006015")</f>
        <v>https://organic.ams.usda.gov/Integrity/Certificate.aspx?cid=89&amp;nopid=4920006015</v>
      </c>
    </row>
    <row r="125">
      <c r="A125" t="s">
        <v>3</v>
      </c>
      <c r="B125" s="6" t="s">
        <v>14</v>
      </c>
      <c r="C125" s="6" t="s">
        <v>80</v>
      </c>
      <c r="D125" s="6" t="s">
        <v>145</v>
      </c>
      <c r="E125" s="10" t="s">
        <v>323</v>
      </c>
      <c r="F125" s="6" t="s">
        <v>2583</v>
      </c>
      <c r="G125" s="6" t="s">
        <v>104</v>
      </c>
      <c r="H125" s="6" t="s">
        <v>5002</v>
      </c>
      <c r="I125" s="6" t="s">
        <v>6993</v>
      </c>
      <c r="J125" s="6" t="s">
        <v>8208</v>
      </c>
      <c r="K125" s="6" t="s">
        <v>9714</v>
      </c>
      <c r="L125" s="16" t="n">
        <v>44877</v>
      </c>
      <c r="M125" s="16" t="n">
        <v>45850</v>
      </c>
      <c r="N125" s="6" t="s">
        <v>9714</v>
      </c>
      <c r="O125" s="16" t="n">
        <v>44877</v>
      </c>
      <c r="P125" s="6" t="s">
        <v>9752</v>
      </c>
      <c r="Q125" s="6" t="s">
        <v>104</v>
      </c>
      <c r="R125" s="6" t="s">
        <v>104</v>
      </c>
      <c r="S125" s="6" t="s">
        <v>104</v>
      </c>
      <c r="T125" s="21" t="s">
        <v>104</v>
      </c>
      <c r="U125" s="6" t="s">
        <v>104</v>
      </c>
      <c r="V125" s="6" t="s">
        <v>104</v>
      </c>
      <c r="W125" s="6" t="s">
        <v>104</v>
      </c>
      <c r="X125" s="6" t="s">
        <v>104</v>
      </c>
      <c r="Y125" s="21" t="s">
        <v>104</v>
      </c>
      <c r="Z125" s="6" t="s">
        <v>104</v>
      </c>
      <c r="AA125" s="6" t="s">
        <v>104</v>
      </c>
      <c r="AB125" s="6" t="s">
        <v>104</v>
      </c>
      <c r="AC125" s="6" t="s">
        <v>104</v>
      </c>
      <c r="AD125" s="21" t="s">
        <v>104</v>
      </c>
      <c r="AE125" s="6" t="s">
        <v>104</v>
      </c>
      <c r="AF125" s="6" t="s">
        <v>104</v>
      </c>
      <c r="AG125" s="6" t="s">
        <v>104</v>
      </c>
      <c r="AH125" s="6" t="s">
        <v>13270</v>
      </c>
      <c r="AI125" s="6" t="s">
        <v>104</v>
      </c>
      <c r="AJ125" s="6" t="s">
        <v>15429</v>
      </c>
      <c r="AK125" s="6" t="s">
        <v>15885</v>
      </c>
      <c r="AL125" s="6" t="s">
        <v>16932</v>
      </c>
      <c r="AM125" s="6" t="s">
        <v>17059</v>
      </c>
      <c r="AN125" s="6" t="s">
        <v>104</v>
      </c>
      <c r="AO125" s="6" t="s">
        <v>104</v>
      </c>
      <c r="AP125" s="6" t="s">
        <v>18985</v>
      </c>
      <c r="AQ125" s="6" t="s">
        <v>104</v>
      </c>
      <c r="AR125" s="6" t="s">
        <v>15429</v>
      </c>
      <c r="AS125" s="6" t="s">
        <v>15885</v>
      </c>
      <c r="AT125" s="6" t="s">
        <v>16932</v>
      </c>
      <c r="AU125" s="6" t="s">
        <v>17057</v>
      </c>
      <c r="AV125" s="6" t="s">
        <v>104</v>
      </c>
      <c r="AW125" s="6" t="s">
        <v>104</v>
      </c>
      <c r="AX125" s="6" t="s">
        <v>104</v>
      </c>
      <c r="AY125" s="6" t="s">
        <v>21934</v>
      </c>
      <c r="AZ125" s="6" t="s">
        <v>104</v>
      </c>
      <c r="BA125" s="6" t="s">
        <v>104</v>
      </c>
      <c r="BB125" s="24" t="n">
        <v>471</v>
      </c>
      <c r="BC125" s="26"/>
      <c r="BD125" s="26"/>
      <c r="BE125" s="26"/>
      <c r="BF125" s="26"/>
      <c r="BG125" s="26"/>
      <c r="BH125" s="26"/>
      <c r="BI125" s="26"/>
      <c r="BJ125" s="26"/>
      <c r="BK125" s="26"/>
      <c r="BL125" s="26"/>
      <c r="BM125" s="26"/>
      <c r="BN125" s="26"/>
      <c r="BO125" s="26"/>
      <c r="BP125" s="16" t="n">
        <v>45699</v>
      </c>
      <c r="BQ125" s="28" t="str">
        <f>HYPERLINK("https://organic.ams.usda.gov/Integrity/Certificate.aspx?cid=89&amp;nopid=4920005869")</f>
        <v>https://organic.ams.usda.gov/Integrity/Certificate.aspx?cid=89&amp;nopid=4920005869</v>
      </c>
    </row>
    <row r="126">
      <c r="A126" t="s">
        <v>3</v>
      </c>
      <c r="B126" s="6" t="s">
        <v>14</v>
      </c>
      <c r="C126" s="6" t="s">
        <v>80</v>
      </c>
      <c r="D126" s="6" t="s">
        <v>145</v>
      </c>
      <c r="E126" s="10" t="s">
        <v>324</v>
      </c>
      <c r="F126" s="6" t="s">
        <v>2584</v>
      </c>
      <c r="G126" s="6" t="s">
        <v>104</v>
      </c>
      <c r="H126" s="6" t="s">
        <v>5003</v>
      </c>
      <c r="I126" s="6" t="s">
        <v>6993</v>
      </c>
      <c r="J126" s="6" t="s">
        <v>8208</v>
      </c>
      <c r="K126" s="6" t="s">
        <v>9714</v>
      </c>
      <c r="L126" s="16" t="n">
        <v>45701</v>
      </c>
      <c r="M126" s="16" t="n">
        <v>45846</v>
      </c>
      <c r="N126" s="6" t="s">
        <v>9714</v>
      </c>
      <c r="O126" s="16" t="n">
        <v>45701</v>
      </c>
      <c r="P126" s="6" t="s">
        <v>9762</v>
      </c>
      <c r="Q126" s="6" t="s">
        <v>104</v>
      </c>
      <c r="R126" s="6" t="s">
        <v>104</v>
      </c>
      <c r="S126" s="6" t="s">
        <v>104</v>
      </c>
      <c r="T126" s="21" t="s">
        <v>104</v>
      </c>
      <c r="U126" s="6" t="s">
        <v>104</v>
      </c>
      <c r="V126" s="6" t="s">
        <v>104</v>
      </c>
      <c r="W126" s="6" t="s">
        <v>104</v>
      </c>
      <c r="X126" s="6" t="s">
        <v>104</v>
      </c>
      <c r="Y126" s="21" t="s">
        <v>104</v>
      </c>
      <c r="Z126" s="6" t="s">
        <v>104</v>
      </c>
      <c r="AA126" s="6" t="s">
        <v>104</v>
      </c>
      <c r="AB126" s="6" t="s">
        <v>104</v>
      </c>
      <c r="AC126" s="6" t="s">
        <v>104</v>
      </c>
      <c r="AD126" s="21" t="s">
        <v>104</v>
      </c>
      <c r="AE126" s="6" t="s">
        <v>104</v>
      </c>
      <c r="AF126" s="6" t="s">
        <v>104</v>
      </c>
      <c r="AG126" s="6" t="s">
        <v>104</v>
      </c>
      <c r="AH126" s="6" t="s">
        <v>13271</v>
      </c>
      <c r="AI126" s="6" t="s">
        <v>104</v>
      </c>
      <c r="AJ126" s="6" t="s">
        <v>15429</v>
      </c>
      <c r="AK126" s="6" t="s">
        <v>15885</v>
      </c>
      <c r="AL126" s="6" t="s">
        <v>16932</v>
      </c>
      <c r="AM126" s="6" t="s">
        <v>17059</v>
      </c>
      <c r="AN126" s="6" t="s">
        <v>104</v>
      </c>
      <c r="AO126" s="6" t="s">
        <v>104</v>
      </c>
      <c r="AP126" s="6" t="s">
        <v>18974</v>
      </c>
      <c r="AQ126" s="6" t="s">
        <v>104</v>
      </c>
      <c r="AR126" s="6" t="s">
        <v>15429</v>
      </c>
      <c r="AS126" s="6" t="s">
        <v>15885</v>
      </c>
      <c r="AT126" s="6" t="s">
        <v>16932</v>
      </c>
      <c r="AU126" s="6" t="s">
        <v>17057</v>
      </c>
      <c r="AV126" s="6" t="s">
        <v>104</v>
      </c>
      <c r="AW126" s="6" t="s">
        <v>104</v>
      </c>
      <c r="AX126" s="6" t="s">
        <v>104</v>
      </c>
      <c r="AY126" s="6" t="s">
        <v>21934</v>
      </c>
      <c r="AZ126" s="6" t="s">
        <v>104</v>
      </c>
      <c r="BA126" s="6" t="s">
        <v>104</v>
      </c>
      <c r="BB126" s="24" t="n">
        <v>1781</v>
      </c>
      <c r="BC126" s="26"/>
      <c r="BD126" s="26"/>
      <c r="BE126" s="26"/>
      <c r="BF126" s="26"/>
      <c r="BG126" s="26"/>
      <c r="BH126" s="26"/>
      <c r="BI126" s="26"/>
      <c r="BJ126" s="26"/>
      <c r="BK126" s="26"/>
      <c r="BL126" s="26"/>
      <c r="BM126" s="26"/>
      <c r="BN126" s="26"/>
      <c r="BO126" s="26"/>
      <c r="BP126" s="16" t="n">
        <v>45701</v>
      </c>
      <c r="BQ126" s="28" t="str">
        <f>HYPERLINK("https://organic.ams.usda.gov/Integrity/Certificate.aspx?cid=89&amp;nopid=4920006073")</f>
        <v>https://organic.ams.usda.gov/Integrity/Certificate.aspx?cid=89&amp;nopid=4920006073</v>
      </c>
    </row>
    <row r="127">
      <c r="A127" t="s">
        <v>3</v>
      </c>
      <c r="B127" s="6" t="s">
        <v>14</v>
      </c>
      <c r="C127" s="6" t="s">
        <v>80</v>
      </c>
      <c r="D127" s="6" t="s">
        <v>145</v>
      </c>
      <c r="E127" s="10" t="s">
        <v>325</v>
      </c>
      <c r="F127" s="6" t="s">
        <v>2585</v>
      </c>
      <c r="G127" s="6" t="s">
        <v>104</v>
      </c>
      <c r="H127" s="6" t="s">
        <v>5004</v>
      </c>
      <c r="I127" s="6" t="s">
        <v>6993</v>
      </c>
      <c r="J127" s="6" t="s">
        <v>8208</v>
      </c>
      <c r="K127" s="6" t="s">
        <v>9714</v>
      </c>
      <c r="L127" s="16" t="n">
        <v>45701</v>
      </c>
      <c r="M127" s="16" t="n">
        <v>45858</v>
      </c>
      <c r="N127" s="6" t="s">
        <v>9714</v>
      </c>
      <c r="O127" s="16" t="n">
        <v>45701</v>
      </c>
      <c r="P127" s="6" t="s">
        <v>9761</v>
      </c>
      <c r="Q127" s="6" t="s">
        <v>104</v>
      </c>
      <c r="R127" s="6" t="s">
        <v>104</v>
      </c>
      <c r="S127" s="6" t="s">
        <v>104</v>
      </c>
      <c r="T127" s="21" t="s">
        <v>104</v>
      </c>
      <c r="U127" s="6" t="s">
        <v>104</v>
      </c>
      <c r="V127" s="6" t="s">
        <v>104</v>
      </c>
      <c r="W127" s="6" t="s">
        <v>104</v>
      </c>
      <c r="X127" s="6" t="s">
        <v>104</v>
      </c>
      <c r="Y127" s="21" t="s">
        <v>104</v>
      </c>
      <c r="Z127" s="6" t="s">
        <v>104</v>
      </c>
      <c r="AA127" s="6" t="s">
        <v>104</v>
      </c>
      <c r="AB127" s="6" t="s">
        <v>104</v>
      </c>
      <c r="AC127" s="6" t="s">
        <v>104</v>
      </c>
      <c r="AD127" s="21" t="s">
        <v>104</v>
      </c>
      <c r="AE127" s="6" t="s">
        <v>104</v>
      </c>
      <c r="AF127" s="6" t="s">
        <v>104</v>
      </c>
      <c r="AG127" s="6" t="s">
        <v>104</v>
      </c>
      <c r="AH127" s="6" t="s">
        <v>13272</v>
      </c>
      <c r="AI127" s="6" t="s">
        <v>104</v>
      </c>
      <c r="AJ127" s="6" t="s">
        <v>15429</v>
      </c>
      <c r="AK127" s="6" t="s">
        <v>15885</v>
      </c>
      <c r="AL127" s="6" t="s">
        <v>16932</v>
      </c>
      <c r="AM127" s="6" t="s">
        <v>17057</v>
      </c>
      <c r="AN127" s="6" t="s">
        <v>104</v>
      </c>
      <c r="AO127" s="6" t="s">
        <v>104</v>
      </c>
      <c r="AP127" s="6" t="s">
        <v>18986</v>
      </c>
      <c r="AQ127" s="6" t="s">
        <v>104</v>
      </c>
      <c r="AR127" s="6" t="s">
        <v>15429</v>
      </c>
      <c r="AS127" s="6" t="s">
        <v>15885</v>
      </c>
      <c r="AT127" s="6" t="s">
        <v>16932</v>
      </c>
      <c r="AU127" s="6" t="s">
        <v>17057</v>
      </c>
      <c r="AV127" s="6" t="s">
        <v>104</v>
      </c>
      <c r="AW127" s="6" t="s">
        <v>104</v>
      </c>
      <c r="AX127" s="6" t="s">
        <v>104</v>
      </c>
      <c r="AY127" s="6" t="s">
        <v>21934</v>
      </c>
      <c r="AZ127" s="6" t="s">
        <v>104</v>
      </c>
      <c r="BA127" s="6" t="s">
        <v>104</v>
      </c>
      <c r="BB127" s="24" t="n">
        <v>1448</v>
      </c>
      <c r="BC127" s="26"/>
      <c r="BD127" s="26"/>
      <c r="BE127" s="26"/>
      <c r="BF127" s="26"/>
      <c r="BG127" s="26"/>
      <c r="BH127" s="26"/>
      <c r="BI127" s="26"/>
      <c r="BJ127" s="26"/>
      <c r="BK127" s="26"/>
      <c r="BL127" s="26"/>
      <c r="BM127" s="26"/>
      <c r="BN127" s="26"/>
      <c r="BO127" s="26"/>
      <c r="BP127" s="16" t="n">
        <v>45701</v>
      </c>
      <c r="BQ127" s="28" t="str">
        <f>HYPERLINK("https://organic.ams.usda.gov/Integrity/Certificate.aspx?cid=89&amp;nopid=4920006045")</f>
        <v>https://organic.ams.usda.gov/Integrity/Certificate.aspx?cid=89&amp;nopid=4920006045</v>
      </c>
    </row>
    <row r="128">
      <c r="A128" t="s">
        <v>3</v>
      </c>
      <c r="B128" s="6" t="s">
        <v>14</v>
      </c>
      <c r="C128" s="6" t="s">
        <v>80</v>
      </c>
      <c r="D128" s="6" t="s">
        <v>145</v>
      </c>
      <c r="E128" s="10" t="s">
        <v>326</v>
      </c>
      <c r="F128" s="6" t="s">
        <v>2586</v>
      </c>
      <c r="G128" s="6" t="s">
        <v>104</v>
      </c>
      <c r="H128" s="6" t="s">
        <v>5005</v>
      </c>
      <c r="I128" s="6" t="s">
        <v>6993</v>
      </c>
      <c r="J128" s="6" t="s">
        <v>8208</v>
      </c>
      <c r="K128" s="6" t="s">
        <v>9714</v>
      </c>
      <c r="L128" s="16" t="n">
        <v>45733</v>
      </c>
      <c r="M128" s="16" t="n">
        <v>45850</v>
      </c>
      <c r="N128" s="6" t="s">
        <v>9714</v>
      </c>
      <c r="O128" s="16" t="n">
        <v>45733</v>
      </c>
      <c r="P128" s="6" t="s">
        <v>9761</v>
      </c>
      <c r="Q128" s="6" t="s">
        <v>104</v>
      </c>
      <c r="R128" s="6" t="s">
        <v>104</v>
      </c>
      <c r="S128" s="6" t="s">
        <v>104</v>
      </c>
      <c r="T128" s="21" t="s">
        <v>104</v>
      </c>
      <c r="U128" s="6" t="s">
        <v>104</v>
      </c>
      <c r="V128" s="6" t="s">
        <v>104</v>
      </c>
      <c r="W128" s="6" t="s">
        <v>104</v>
      </c>
      <c r="X128" s="6" t="s">
        <v>104</v>
      </c>
      <c r="Y128" s="21" t="s">
        <v>104</v>
      </c>
      <c r="Z128" s="6" t="s">
        <v>104</v>
      </c>
      <c r="AA128" s="6" t="s">
        <v>104</v>
      </c>
      <c r="AB128" s="6" t="s">
        <v>104</v>
      </c>
      <c r="AC128" s="6" t="s">
        <v>104</v>
      </c>
      <c r="AD128" s="21" t="s">
        <v>104</v>
      </c>
      <c r="AE128" s="6" t="s">
        <v>104</v>
      </c>
      <c r="AF128" s="6" t="s">
        <v>104</v>
      </c>
      <c r="AG128" s="6" t="s">
        <v>104</v>
      </c>
      <c r="AH128" s="6" t="s">
        <v>13273</v>
      </c>
      <c r="AI128" s="6" t="s">
        <v>104</v>
      </c>
      <c r="AJ128" s="6" t="s">
        <v>15444</v>
      </c>
      <c r="AK128" s="6" t="s">
        <v>15885</v>
      </c>
      <c r="AL128" s="6" t="s">
        <v>16932</v>
      </c>
      <c r="AM128" s="6" t="s">
        <v>17059</v>
      </c>
      <c r="AN128" s="6" t="s">
        <v>104</v>
      </c>
      <c r="AO128" s="6" t="s">
        <v>104</v>
      </c>
      <c r="AP128" s="6" t="s">
        <v>18984</v>
      </c>
      <c r="AQ128" s="6" t="s">
        <v>104</v>
      </c>
      <c r="AR128" s="6" t="s">
        <v>15429</v>
      </c>
      <c r="AS128" s="6" t="s">
        <v>15885</v>
      </c>
      <c r="AT128" s="6" t="s">
        <v>16932</v>
      </c>
      <c r="AU128" s="6" t="s">
        <v>17057</v>
      </c>
      <c r="AV128" s="6" t="s">
        <v>104</v>
      </c>
      <c r="AW128" s="6" t="s">
        <v>104</v>
      </c>
      <c r="AX128" s="6" t="s">
        <v>104</v>
      </c>
      <c r="AY128" s="6" t="s">
        <v>21934</v>
      </c>
      <c r="AZ128" s="6" t="s">
        <v>104</v>
      </c>
      <c r="BA128" s="6" t="s">
        <v>104</v>
      </c>
      <c r="BB128" s="24" t="n">
        <v>1693</v>
      </c>
      <c r="BC128" s="26"/>
      <c r="BD128" s="26"/>
      <c r="BE128" s="26"/>
      <c r="BF128" s="26"/>
      <c r="BG128" s="26"/>
      <c r="BH128" s="26"/>
      <c r="BI128" s="26"/>
      <c r="BJ128" s="26"/>
      <c r="BK128" s="26"/>
      <c r="BL128" s="26"/>
      <c r="BM128" s="26"/>
      <c r="BN128" s="26"/>
      <c r="BO128" s="26"/>
      <c r="BP128" s="16" t="n">
        <v>45733</v>
      </c>
      <c r="BQ128" s="28" t="str">
        <f>HYPERLINK("https://organic.ams.usda.gov/Integrity/Certificate.aspx?cid=89&amp;nopid=4920006014")</f>
        <v>https://organic.ams.usda.gov/Integrity/Certificate.aspx?cid=89&amp;nopid=4920006014</v>
      </c>
    </row>
    <row r="129">
      <c r="A129" t="s">
        <v>3</v>
      </c>
      <c r="B129" s="6" t="s">
        <v>21</v>
      </c>
      <c r="C129" s="6" t="s">
        <v>87</v>
      </c>
      <c r="D129" s="6" t="s">
        <v>152</v>
      </c>
      <c r="E129" s="10" t="s">
        <v>327</v>
      </c>
      <c r="F129" s="6" t="s">
        <v>2587</v>
      </c>
      <c r="G129" s="6" t="s">
        <v>104</v>
      </c>
      <c r="H129" s="6" t="s">
        <v>5006</v>
      </c>
      <c r="I129" s="6" t="s">
        <v>7010</v>
      </c>
      <c r="J129" s="6" t="s">
        <v>8226</v>
      </c>
      <c r="K129" s="6" t="s">
        <v>9714</v>
      </c>
      <c r="L129" s="16" t="n">
        <v>44344</v>
      </c>
      <c r="M129" s="16" t="n">
        <v>46023</v>
      </c>
      <c r="N129" s="6" t="s">
        <v>9714</v>
      </c>
      <c r="O129" s="16" t="n">
        <v>44939</v>
      </c>
      <c r="P129" s="6" t="s">
        <v>9763</v>
      </c>
      <c r="Q129" s="6" t="s">
        <v>104</v>
      </c>
      <c r="R129" s="6" t="s">
        <v>104</v>
      </c>
      <c r="S129" s="6" t="s">
        <v>104</v>
      </c>
      <c r="T129" s="21" t="s">
        <v>104</v>
      </c>
      <c r="U129" s="6" t="s">
        <v>104</v>
      </c>
      <c r="V129" s="6" t="s">
        <v>104</v>
      </c>
      <c r="W129" s="6" t="s">
        <v>104</v>
      </c>
      <c r="X129" s="6" t="s">
        <v>104</v>
      </c>
      <c r="Y129" s="21" t="s">
        <v>104</v>
      </c>
      <c r="Z129" s="6" t="s">
        <v>104</v>
      </c>
      <c r="AA129" s="6" t="s">
        <v>104</v>
      </c>
      <c r="AB129" s="6" t="s">
        <v>104</v>
      </c>
      <c r="AC129" s="6" t="s">
        <v>9714</v>
      </c>
      <c r="AD129" s="16" t="n">
        <v>44344</v>
      </c>
      <c r="AE129" s="6" t="s">
        <v>10634</v>
      </c>
      <c r="AF129" s="6" t="s">
        <v>104</v>
      </c>
      <c r="AG129" s="6" t="s">
        <v>104</v>
      </c>
      <c r="AH129" s="6" t="s">
        <v>13274</v>
      </c>
      <c r="AI129" s="6" t="s">
        <v>104</v>
      </c>
      <c r="AJ129" s="6" t="s">
        <v>15445</v>
      </c>
      <c r="AK129" s="6" t="s">
        <v>16687</v>
      </c>
      <c r="AL129" s="6" t="s">
        <v>16931</v>
      </c>
      <c r="AM129" s="6" t="s">
        <v>17074</v>
      </c>
      <c r="AN129" s="6" t="s">
        <v>18477</v>
      </c>
      <c r="AO129" s="6" t="s">
        <v>18586</v>
      </c>
      <c r="AP129" s="6" t="s">
        <v>13274</v>
      </c>
      <c r="AQ129" s="6" t="s">
        <v>104</v>
      </c>
      <c r="AR129" s="6" t="s">
        <v>15445</v>
      </c>
      <c r="AS129" s="6" t="s">
        <v>16687</v>
      </c>
      <c r="AT129" s="6" t="s">
        <v>16931</v>
      </c>
      <c r="AU129" s="6" t="s">
        <v>17074</v>
      </c>
      <c r="AV129" s="6" t="s">
        <v>104</v>
      </c>
      <c r="AW129" s="6" t="s">
        <v>104</v>
      </c>
      <c r="AX129" s="6" t="s">
        <v>20211</v>
      </c>
      <c r="AY129" s="6" t="s">
        <v>21952</v>
      </c>
      <c r="AZ129" s="6" t="s">
        <v>23709</v>
      </c>
      <c r="BA129" s="6" t="s">
        <v>104</v>
      </c>
      <c r="BB129" s="24" t="n">
        <v>0</v>
      </c>
      <c r="BC129" s="26"/>
      <c r="BD129" s="26"/>
      <c r="BE129" s="26"/>
      <c r="BF129" s="26"/>
      <c r="BG129" s="26"/>
      <c r="BH129" s="26"/>
      <c r="BI129" s="26"/>
      <c r="BJ129" s="26"/>
      <c r="BK129" s="26"/>
      <c r="BL129" s="26"/>
      <c r="BM129" s="26"/>
      <c r="BN129" s="26"/>
      <c r="BO129" s="26"/>
      <c r="BP129" s="16" t="n">
        <v>45667</v>
      </c>
      <c r="BQ129" s="28" t="str">
        <f>HYPERLINK("https://organic.ams.usda.gov/Integrity/Certificate.aspx?cid=15&amp;nopid=5561006940")</f>
        <v>https://organic.ams.usda.gov/Integrity/Certificate.aspx?cid=15&amp;nopid=5561006940</v>
      </c>
    </row>
    <row r="130">
      <c r="A130" t="s">
        <v>3</v>
      </c>
      <c r="B130" s="6" t="s">
        <v>29</v>
      </c>
      <c r="C130" s="6" t="s">
        <v>95</v>
      </c>
      <c r="D130" s="6" t="s">
        <v>160</v>
      </c>
      <c r="E130" s="10" t="s">
        <v>328</v>
      </c>
      <c r="F130" s="6" t="s">
        <v>2588</v>
      </c>
      <c r="G130" s="6" t="s">
        <v>104</v>
      </c>
      <c r="H130" s="6" t="s">
        <v>5007</v>
      </c>
      <c r="I130" s="6" t="s">
        <v>104</v>
      </c>
      <c r="J130" s="6" t="s">
        <v>8227</v>
      </c>
      <c r="K130" s="6" t="s">
        <v>9714</v>
      </c>
      <c r="L130" s="16" t="n">
        <v>42744</v>
      </c>
      <c r="M130" s="16" t="n">
        <v>45505</v>
      </c>
      <c r="N130" s="6" t="s">
        <v>9714</v>
      </c>
      <c r="O130" s="16" t="n">
        <v>42744</v>
      </c>
      <c r="P130" s="6" t="s">
        <v>9764</v>
      </c>
      <c r="Q130" s="6" t="s">
        <v>104</v>
      </c>
      <c r="R130" s="6" t="s">
        <v>104</v>
      </c>
      <c r="S130" s="6" t="s">
        <v>104</v>
      </c>
      <c r="T130" s="21" t="s">
        <v>104</v>
      </c>
      <c r="U130" s="6" t="s">
        <v>104</v>
      </c>
      <c r="V130" s="6" t="s">
        <v>104</v>
      </c>
      <c r="W130" s="6" t="s">
        <v>104</v>
      </c>
      <c r="X130" s="6" t="s">
        <v>104</v>
      </c>
      <c r="Y130" s="21" t="s">
        <v>104</v>
      </c>
      <c r="Z130" s="6" t="s">
        <v>104</v>
      </c>
      <c r="AA130" s="6" t="s">
        <v>104</v>
      </c>
      <c r="AB130" s="6" t="s">
        <v>104</v>
      </c>
      <c r="AC130" s="6" t="s">
        <v>9714</v>
      </c>
      <c r="AD130" s="16" t="n">
        <v>42744</v>
      </c>
      <c r="AE130" s="6" t="s">
        <v>10635</v>
      </c>
      <c r="AF130" s="6" t="s">
        <v>104</v>
      </c>
      <c r="AG130" s="6" t="s">
        <v>104</v>
      </c>
      <c r="AH130" s="6" t="s">
        <v>13275</v>
      </c>
      <c r="AI130" s="6" t="s">
        <v>104</v>
      </c>
      <c r="AJ130" s="6" t="s">
        <v>15446</v>
      </c>
      <c r="AK130" s="6" t="s">
        <v>16700</v>
      </c>
      <c r="AL130" s="6" t="s">
        <v>16930</v>
      </c>
      <c r="AM130" s="6" t="s">
        <v>17075</v>
      </c>
      <c r="AN130" s="6" t="s">
        <v>104</v>
      </c>
      <c r="AO130" s="6" t="s">
        <v>104</v>
      </c>
      <c r="AP130" s="6" t="s">
        <v>104</v>
      </c>
      <c r="AQ130" s="6" t="s">
        <v>104</v>
      </c>
      <c r="AR130" s="6" t="s">
        <v>104</v>
      </c>
      <c r="AS130" s="6" t="s">
        <v>104</v>
      </c>
      <c r="AT130" s="6" t="s">
        <v>104</v>
      </c>
      <c r="AU130" s="6" t="s">
        <v>104</v>
      </c>
      <c r="AV130" s="6" t="s">
        <v>104</v>
      </c>
      <c r="AW130" s="6" t="s">
        <v>104</v>
      </c>
      <c r="AX130" s="6" t="s">
        <v>20212</v>
      </c>
      <c r="AY130" s="6" t="s">
        <v>21953</v>
      </c>
      <c r="AZ130" s="6" t="s">
        <v>104</v>
      </c>
      <c r="BA130" s="6" t="s">
        <v>104</v>
      </c>
      <c r="BB130" s="24" t="n">
        <v>21</v>
      </c>
      <c r="BC130" s="26"/>
      <c r="BD130" s="26"/>
      <c r="BE130" s="26"/>
      <c r="BF130" s="26"/>
      <c r="BG130" s="26"/>
      <c r="BH130" s="26"/>
      <c r="BI130" s="26"/>
      <c r="BJ130" s="26"/>
      <c r="BK130" s="26"/>
      <c r="BL130" s="26"/>
      <c r="BM130" s="26"/>
      <c r="BN130" s="26"/>
      <c r="BO130" s="26" t="s">
        <v>24533</v>
      </c>
      <c r="BP130" s="16" t="n">
        <v>45491</v>
      </c>
      <c r="BQ130" s="28" t="str">
        <f>HYPERLINK("https://organic.ams.usda.gov/Integrity/Certificate.aspx?cid=24&amp;nopid=7880072823")</f>
        <v>https://organic.ams.usda.gov/Integrity/Certificate.aspx?cid=24&amp;nopid=7880072823</v>
      </c>
    </row>
    <row r="131">
      <c r="A131" t="s">
        <v>3</v>
      </c>
      <c r="B131" s="6" t="s">
        <v>20</v>
      </c>
      <c r="C131" s="6" t="s">
        <v>86</v>
      </c>
      <c r="D131" s="6" t="s">
        <v>151</v>
      </c>
      <c r="E131" s="10" t="s">
        <v>329</v>
      </c>
      <c r="F131" s="6" t="s">
        <v>2589</v>
      </c>
      <c r="G131" s="6" t="s">
        <v>104</v>
      </c>
      <c r="H131" s="6" t="s">
        <v>5008</v>
      </c>
      <c r="I131" s="6" t="s">
        <v>7011</v>
      </c>
      <c r="J131" s="6" t="s">
        <v>8228</v>
      </c>
      <c r="K131" s="6" t="s">
        <v>9714</v>
      </c>
      <c r="L131" s="16" t="n">
        <v>45163</v>
      </c>
      <c r="M131" s="16" t="n">
        <v>45961</v>
      </c>
      <c r="N131" s="6" t="s">
        <v>104</v>
      </c>
      <c r="O131" s="21" t="s">
        <v>104</v>
      </c>
      <c r="P131" s="6" t="s">
        <v>104</v>
      </c>
      <c r="Q131" s="6" t="s">
        <v>104</v>
      </c>
      <c r="R131" s="6" t="s">
        <v>104</v>
      </c>
      <c r="S131" s="6" t="s">
        <v>104</v>
      </c>
      <c r="T131" s="21" t="s">
        <v>104</v>
      </c>
      <c r="U131" s="6" t="s">
        <v>104</v>
      </c>
      <c r="V131" s="6" t="s">
        <v>104</v>
      </c>
      <c r="W131" s="6" t="s">
        <v>104</v>
      </c>
      <c r="X131" s="6" t="s">
        <v>104</v>
      </c>
      <c r="Y131" s="21" t="s">
        <v>104</v>
      </c>
      <c r="Z131" s="6" t="s">
        <v>104</v>
      </c>
      <c r="AA131" s="6" t="s">
        <v>104</v>
      </c>
      <c r="AB131" s="6" t="s">
        <v>104</v>
      </c>
      <c r="AC131" s="6" t="s">
        <v>9714</v>
      </c>
      <c r="AD131" s="16" t="n">
        <v>45163</v>
      </c>
      <c r="AE131" s="6" t="s">
        <v>10636</v>
      </c>
      <c r="AF131" s="6" t="s">
        <v>104</v>
      </c>
      <c r="AG131" s="6" t="s">
        <v>12512</v>
      </c>
      <c r="AH131" s="6" t="s">
        <v>13276</v>
      </c>
      <c r="AI131" s="6" t="s">
        <v>104</v>
      </c>
      <c r="AJ131" s="6" t="s">
        <v>15447</v>
      </c>
      <c r="AK131" s="6" t="s">
        <v>16716</v>
      </c>
      <c r="AL131" s="6" t="s">
        <v>16946</v>
      </c>
      <c r="AM131" s="6" t="s">
        <v>17076</v>
      </c>
      <c r="AN131" s="6" t="s">
        <v>104</v>
      </c>
      <c r="AO131" s="6" t="s">
        <v>104</v>
      </c>
      <c r="AP131" s="6" t="s">
        <v>104</v>
      </c>
      <c r="AQ131" s="6" t="s">
        <v>104</v>
      </c>
      <c r="AR131" s="6" t="s">
        <v>104</v>
      </c>
      <c r="AS131" s="6" t="s">
        <v>104</v>
      </c>
      <c r="AT131" s="6" t="s">
        <v>104</v>
      </c>
      <c r="AU131" s="6" t="s">
        <v>104</v>
      </c>
      <c r="AV131" s="6" t="s">
        <v>104</v>
      </c>
      <c r="AW131" s="6" t="s">
        <v>104</v>
      </c>
      <c r="AX131" s="6" t="s">
        <v>20213</v>
      </c>
      <c r="AY131" s="6" t="s">
        <v>21954</v>
      </c>
      <c r="AZ131" s="6" t="s">
        <v>104</v>
      </c>
      <c r="BA131" s="6" t="s">
        <v>104</v>
      </c>
      <c r="BB131" s="6" t="s">
        <v>104</v>
      </c>
      <c r="BC131" s="26"/>
      <c r="BD131" s="26"/>
      <c r="BE131" s="26"/>
      <c r="BF131" s="26"/>
      <c r="BG131" s="26"/>
      <c r="BH131" s="26"/>
      <c r="BI131" s="26"/>
      <c r="BJ131" s="26"/>
      <c r="BK131" s="26"/>
      <c r="BL131" s="26"/>
      <c r="BM131" s="26"/>
      <c r="BN131" s="26"/>
      <c r="BO131" s="26"/>
      <c r="BP131" s="16" t="n">
        <v>45679</v>
      </c>
      <c r="BQ131" s="28" t="str">
        <f>HYPERLINK("https://organic.ams.usda.gov/Integrity/Certificate.aspx?cid=17&amp;nopid=4080206642")</f>
        <v>https://organic.ams.usda.gov/Integrity/Certificate.aspx?cid=17&amp;nopid=4080206642</v>
      </c>
    </row>
    <row r="132">
      <c r="A132" t="s">
        <v>3</v>
      </c>
      <c r="B132" s="6" t="s">
        <v>21</v>
      </c>
      <c r="C132" s="6" t="s">
        <v>87</v>
      </c>
      <c r="D132" s="6" t="s">
        <v>152</v>
      </c>
      <c r="E132" s="10" t="s">
        <v>330</v>
      </c>
      <c r="F132" s="6" t="s">
        <v>2590</v>
      </c>
      <c r="G132" s="6" t="s">
        <v>104</v>
      </c>
      <c r="H132" s="6" t="s">
        <v>5009</v>
      </c>
      <c r="I132" s="6" t="s">
        <v>7012</v>
      </c>
      <c r="J132" s="6" t="s">
        <v>8229</v>
      </c>
      <c r="K132" s="6" t="s">
        <v>9714</v>
      </c>
      <c r="L132" s="16" t="n">
        <v>41652</v>
      </c>
      <c r="M132" s="16" t="n">
        <v>46023</v>
      </c>
      <c r="N132" s="6" t="s">
        <v>9714</v>
      </c>
      <c r="O132" s="16" t="n">
        <v>43256</v>
      </c>
      <c r="P132" s="6" t="s">
        <v>9765</v>
      </c>
      <c r="Q132" s="6" t="s">
        <v>104</v>
      </c>
      <c r="R132" s="6" t="s">
        <v>104</v>
      </c>
      <c r="S132" s="6" t="s">
        <v>104</v>
      </c>
      <c r="T132" s="21" t="s">
        <v>104</v>
      </c>
      <c r="U132" s="6" t="s">
        <v>104</v>
      </c>
      <c r="V132" s="6" t="s">
        <v>104</v>
      </c>
      <c r="W132" s="6" t="s">
        <v>104</v>
      </c>
      <c r="X132" s="6" t="s">
        <v>104</v>
      </c>
      <c r="Y132" s="21" t="s">
        <v>104</v>
      </c>
      <c r="Z132" s="6" t="s">
        <v>104</v>
      </c>
      <c r="AA132" s="6" t="s">
        <v>104</v>
      </c>
      <c r="AB132" s="6" t="s">
        <v>104</v>
      </c>
      <c r="AC132" s="6" t="s">
        <v>9714</v>
      </c>
      <c r="AD132" s="16" t="n">
        <v>41652</v>
      </c>
      <c r="AE132" s="6" t="s">
        <v>10637</v>
      </c>
      <c r="AF132" s="6" t="s">
        <v>104</v>
      </c>
      <c r="AG132" s="6" t="s">
        <v>104</v>
      </c>
      <c r="AH132" s="6" t="s">
        <v>13277</v>
      </c>
      <c r="AI132" s="6" t="s">
        <v>104</v>
      </c>
      <c r="AJ132" s="6" t="s">
        <v>15448</v>
      </c>
      <c r="AK132" s="6" t="s">
        <v>16687</v>
      </c>
      <c r="AL132" s="6" t="s">
        <v>16931</v>
      </c>
      <c r="AM132" s="6" t="s">
        <v>17077</v>
      </c>
      <c r="AN132" s="6" t="s">
        <v>18478</v>
      </c>
      <c r="AO132" s="6" t="s">
        <v>18587</v>
      </c>
      <c r="AP132" s="6" t="s">
        <v>18987</v>
      </c>
      <c r="AQ132" s="6" t="s">
        <v>104</v>
      </c>
      <c r="AR132" s="6" t="s">
        <v>19599</v>
      </c>
      <c r="AS132" s="6" t="s">
        <v>16687</v>
      </c>
      <c r="AT132" s="6" t="s">
        <v>16931</v>
      </c>
      <c r="AU132" s="6" t="s">
        <v>19817</v>
      </c>
      <c r="AV132" s="6" t="s">
        <v>104</v>
      </c>
      <c r="AW132" s="6" t="s">
        <v>104</v>
      </c>
      <c r="AX132" s="6" t="s">
        <v>20214</v>
      </c>
      <c r="AY132" s="6" t="s">
        <v>21955</v>
      </c>
      <c r="AZ132" s="6" t="s">
        <v>23710</v>
      </c>
      <c r="BA132" s="6" t="s">
        <v>24281</v>
      </c>
      <c r="BB132" s="24" t="n">
        <v>1</v>
      </c>
      <c r="BC132" s="26"/>
      <c r="BD132" s="26"/>
      <c r="BE132" s="26"/>
      <c r="BF132" s="26"/>
      <c r="BG132" s="26"/>
      <c r="BH132" s="26"/>
      <c r="BI132" s="26"/>
      <c r="BJ132" s="26"/>
      <c r="BK132" s="26"/>
      <c r="BL132" s="26"/>
      <c r="BM132" s="26"/>
      <c r="BN132" s="26"/>
      <c r="BO132" s="26"/>
      <c r="BP132" s="16" t="n">
        <v>45667</v>
      </c>
      <c r="BQ132" s="28" t="str">
        <f>HYPERLINK("https://organic.ams.usda.gov/Integrity/Certificate.aspx?cid=15&amp;nopid=5561001871")</f>
        <v>https://organic.ams.usda.gov/Integrity/Certificate.aspx?cid=15&amp;nopid=5561001871</v>
      </c>
    </row>
    <row r="133">
      <c r="A133" t="s">
        <v>3</v>
      </c>
      <c r="B133" s="6" t="s">
        <v>23</v>
      </c>
      <c r="C133" s="6" t="s">
        <v>89</v>
      </c>
      <c r="D133" s="6" t="s">
        <v>154</v>
      </c>
      <c r="E133" s="10" t="s">
        <v>331</v>
      </c>
      <c r="F133" s="6" t="s">
        <v>2591</v>
      </c>
      <c r="G133" s="6" t="s">
        <v>4680</v>
      </c>
      <c r="H133" s="6" t="s">
        <v>5010</v>
      </c>
      <c r="I133" s="6" t="s">
        <v>7013</v>
      </c>
      <c r="J133" s="6" t="s">
        <v>8230</v>
      </c>
      <c r="K133" s="6" t="s">
        <v>9714</v>
      </c>
      <c r="L133" s="16" t="n">
        <v>45210</v>
      </c>
      <c r="M133" s="16" t="n">
        <v>46054</v>
      </c>
      <c r="N133" s="6" t="s">
        <v>104</v>
      </c>
      <c r="O133" s="21" t="s">
        <v>104</v>
      </c>
      <c r="P133" s="6" t="s">
        <v>104</v>
      </c>
      <c r="Q133" s="6" t="s">
        <v>104</v>
      </c>
      <c r="R133" s="6" t="s">
        <v>104</v>
      </c>
      <c r="S133" s="6" t="s">
        <v>104</v>
      </c>
      <c r="T133" s="21" t="s">
        <v>104</v>
      </c>
      <c r="U133" s="6" t="s">
        <v>104</v>
      </c>
      <c r="V133" s="6" t="s">
        <v>104</v>
      </c>
      <c r="W133" s="6" t="s">
        <v>104</v>
      </c>
      <c r="X133" s="6" t="s">
        <v>104</v>
      </c>
      <c r="Y133" s="21" t="s">
        <v>104</v>
      </c>
      <c r="Z133" s="6" t="s">
        <v>104</v>
      </c>
      <c r="AA133" s="6" t="s">
        <v>104</v>
      </c>
      <c r="AB133" s="6" t="s">
        <v>104</v>
      </c>
      <c r="AC133" s="6" t="s">
        <v>9714</v>
      </c>
      <c r="AD133" s="16" t="n">
        <v>45210</v>
      </c>
      <c r="AE133" s="6" t="s">
        <v>10638</v>
      </c>
      <c r="AF133" s="6" t="s">
        <v>104</v>
      </c>
      <c r="AG133" s="6" t="s">
        <v>5010</v>
      </c>
      <c r="AH133" s="6" t="s">
        <v>13278</v>
      </c>
      <c r="AI133" s="6" t="s">
        <v>104</v>
      </c>
      <c r="AJ133" s="6" t="s">
        <v>15449</v>
      </c>
      <c r="AK133" s="6" t="s">
        <v>16681</v>
      </c>
      <c r="AL133" s="6" t="s">
        <v>16931</v>
      </c>
      <c r="AM133" s="6" t="s">
        <v>17078</v>
      </c>
      <c r="AN133" s="6" t="s">
        <v>104</v>
      </c>
      <c r="AO133" s="6" t="s">
        <v>104</v>
      </c>
      <c r="AP133" s="6" t="s">
        <v>104</v>
      </c>
      <c r="AQ133" s="6" t="s">
        <v>104</v>
      </c>
      <c r="AR133" s="6" t="s">
        <v>104</v>
      </c>
      <c r="AS133" s="6" t="s">
        <v>104</v>
      </c>
      <c r="AT133" s="6" t="s">
        <v>104</v>
      </c>
      <c r="AU133" s="6" t="s">
        <v>104</v>
      </c>
      <c r="AV133" s="6" t="s">
        <v>104</v>
      </c>
      <c r="AW133" s="6" t="s">
        <v>104</v>
      </c>
      <c r="AX133" s="6" t="s">
        <v>20215</v>
      </c>
      <c r="AY133" s="6" t="s">
        <v>21956</v>
      </c>
      <c r="AZ133" s="6" t="s">
        <v>23711</v>
      </c>
      <c r="BA133" s="6" t="s">
        <v>24261</v>
      </c>
      <c r="BB133" s="24" t="n">
        <v>0</v>
      </c>
      <c r="BC133" s="26"/>
      <c r="BD133" s="26"/>
      <c r="BE133" s="26"/>
      <c r="BF133" s="26"/>
      <c r="BG133" s="26"/>
      <c r="BH133" s="26"/>
      <c r="BI133" s="26"/>
      <c r="BJ133" s="26"/>
      <c r="BK133" s="26"/>
      <c r="BL133" s="26"/>
      <c r="BM133" s="26"/>
      <c r="BN133" s="26"/>
      <c r="BO133" s="26"/>
      <c r="BP133" s="16" t="n">
        <v>45678</v>
      </c>
      <c r="BQ133" s="28" t="str">
        <f>HYPERLINK("https://organic.ams.usda.gov/Integrity/Certificate.aspx?cid=45&amp;nopid=9950013551")</f>
        <v>https://organic.ams.usda.gov/Integrity/Certificate.aspx?cid=45&amp;nopid=9950013551</v>
      </c>
    </row>
    <row r="134">
      <c r="A134" t="s">
        <v>3</v>
      </c>
      <c r="B134" s="6" t="s">
        <v>7</v>
      </c>
      <c r="C134" s="6" t="s">
        <v>73</v>
      </c>
      <c r="D134" s="6" t="s">
        <v>138</v>
      </c>
      <c r="E134" s="10" t="s">
        <v>332</v>
      </c>
      <c r="F134" s="6" t="s">
        <v>2592</v>
      </c>
      <c r="G134" s="6" t="s">
        <v>4681</v>
      </c>
      <c r="H134" s="6" t="s">
        <v>5011</v>
      </c>
      <c r="I134" s="6" t="s">
        <v>7014</v>
      </c>
      <c r="J134" s="6" t="s">
        <v>8231</v>
      </c>
      <c r="K134" s="6" t="s">
        <v>9714</v>
      </c>
      <c r="L134" s="16" t="n">
        <v>41383</v>
      </c>
      <c r="M134" s="16" t="n">
        <v>45717</v>
      </c>
      <c r="N134" s="6" t="s">
        <v>9714</v>
      </c>
      <c r="O134" s="16" t="n">
        <v>41383</v>
      </c>
      <c r="P134" s="6" t="s">
        <v>9766</v>
      </c>
      <c r="Q134" s="6" t="s">
        <v>104</v>
      </c>
      <c r="R134" s="6" t="s">
        <v>104</v>
      </c>
      <c r="S134" s="6" t="s">
        <v>104</v>
      </c>
      <c r="T134" s="21" t="s">
        <v>104</v>
      </c>
      <c r="U134" s="6" t="s">
        <v>104</v>
      </c>
      <c r="V134" s="6" t="s">
        <v>104</v>
      </c>
      <c r="W134" s="6" t="s">
        <v>104</v>
      </c>
      <c r="X134" s="6" t="s">
        <v>104</v>
      </c>
      <c r="Y134" s="21" t="s">
        <v>104</v>
      </c>
      <c r="Z134" s="6" t="s">
        <v>104</v>
      </c>
      <c r="AA134" s="6" t="s">
        <v>104</v>
      </c>
      <c r="AB134" s="6" t="s">
        <v>104</v>
      </c>
      <c r="AC134" s="6" t="s">
        <v>9714</v>
      </c>
      <c r="AD134" s="16" t="n">
        <v>41383</v>
      </c>
      <c r="AE134" s="6" t="s">
        <v>10639</v>
      </c>
      <c r="AF134" s="6" t="s">
        <v>104</v>
      </c>
      <c r="AG134" s="6" t="s">
        <v>104</v>
      </c>
      <c r="AH134" s="6" t="s">
        <v>13279</v>
      </c>
      <c r="AI134" s="6" t="s">
        <v>104</v>
      </c>
      <c r="AJ134" s="6" t="s">
        <v>15450</v>
      </c>
      <c r="AK134" s="6" t="s">
        <v>16678</v>
      </c>
      <c r="AL134" s="6" t="s">
        <v>16931</v>
      </c>
      <c r="AM134" s="6" t="s">
        <v>17079</v>
      </c>
      <c r="AN134" s="6" t="s">
        <v>18479</v>
      </c>
      <c r="AO134" s="6" t="s">
        <v>18588</v>
      </c>
      <c r="AP134" s="6" t="s">
        <v>18988</v>
      </c>
      <c r="AQ134" s="6" t="s">
        <v>104</v>
      </c>
      <c r="AR134" s="6" t="s">
        <v>15450</v>
      </c>
      <c r="AS134" s="6" t="s">
        <v>16678</v>
      </c>
      <c r="AT134" s="6" t="s">
        <v>16931</v>
      </c>
      <c r="AU134" s="6" t="s">
        <v>17079</v>
      </c>
      <c r="AV134" s="6" t="s">
        <v>104</v>
      </c>
      <c r="AW134" s="6" t="s">
        <v>104</v>
      </c>
      <c r="AX134" s="6" t="s">
        <v>20216</v>
      </c>
      <c r="AY134" s="6" t="s">
        <v>21957</v>
      </c>
      <c r="AZ134" s="6" t="s">
        <v>23712</v>
      </c>
      <c r="BA134" s="6" t="s">
        <v>104</v>
      </c>
      <c r="BB134" s="24" t="n">
        <v>428</v>
      </c>
      <c r="BC134" s="26"/>
      <c r="BD134" s="26"/>
      <c r="BE134" s="26"/>
      <c r="BF134" s="26"/>
      <c r="BG134" s="26"/>
      <c r="BH134" s="26"/>
      <c r="BI134" s="26"/>
      <c r="BJ134" s="26"/>
      <c r="BK134" s="26"/>
      <c r="BL134" s="26"/>
      <c r="BM134" s="26"/>
      <c r="BN134" s="26"/>
      <c r="BO134" s="26"/>
      <c r="BP134" s="16" t="n">
        <v>45693</v>
      </c>
      <c r="BQ134" s="28" t="str">
        <f>HYPERLINK("https://organic.ams.usda.gov/Integrity/Certificate.aspx?cid=33&amp;nopid=2170041852")</f>
        <v>https://organic.ams.usda.gov/Integrity/Certificate.aspx?cid=33&amp;nopid=2170041852</v>
      </c>
    </row>
    <row r="135">
      <c r="A135" t="s">
        <v>3</v>
      </c>
      <c r="B135" s="6" t="s">
        <v>44</v>
      </c>
      <c r="C135" s="6" t="s">
        <v>110</v>
      </c>
      <c r="D135" s="6" t="s">
        <v>174</v>
      </c>
      <c r="E135" s="10" t="s">
        <v>333</v>
      </c>
      <c r="F135" s="6" t="s">
        <v>2593</v>
      </c>
      <c r="G135" s="6" t="s">
        <v>104</v>
      </c>
      <c r="H135" s="6" t="s">
        <v>5012</v>
      </c>
      <c r="I135" s="6" t="s">
        <v>7015</v>
      </c>
      <c r="J135" s="6" t="s">
        <v>8232</v>
      </c>
      <c r="K135" s="6" t="s">
        <v>9714</v>
      </c>
      <c r="L135" s="16" t="n">
        <v>45411</v>
      </c>
      <c r="M135" s="16" t="n">
        <v>46037</v>
      </c>
      <c r="N135" s="6" t="s">
        <v>104</v>
      </c>
      <c r="O135" s="21" t="s">
        <v>104</v>
      </c>
      <c r="P135" s="6" t="s">
        <v>104</v>
      </c>
      <c r="Q135" s="6" t="s">
        <v>104</v>
      </c>
      <c r="R135" s="6" t="s">
        <v>104</v>
      </c>
      <c r="S135" s="6" t="s">
        <v>104</v>
      </c>
      <c r="T135" s="21" t="s">
        <v>104</v>
      </c>
      <c r="U135" s="6" t="s">
        <v>104</v>
      </c>
      <c r="V135" s="6" t="s">
        <v>104</v>
      </c>
      <c r="W135" s="6" t="s">
        <v>104</v>
      </c>
      <c r="X135" s="6" t="s">
        <v>104</v>
      </c>
      <c r="Y135" s="21" t="s">
        <v>104</v>
      </c>
      <c r="Z135" s="6" t="s">
        <v>104</v>
      </c>
      <c r="AA135" s="6" t="s">
        <v>104</v>
      </c>
      <c r="AB135" s="6" t="s">
        <v>104</v>
      </c>
      <c r="AC135" s="6" t="s">
        <v>9714</v>
      </c>
      <c r="AD135" s="16" t="n">
        <v>45411</v>
      </c>
      <c r="AE135" s="6" t="s">
        <v>10640</v>
      </c>
      <c r="AF135" s="6" t="s">
        <v>104</v>
      </c>
      <c r="AG135" s="6" t="s">
        <v>104</v>
      </c>
      <c r="AH135" s="6" t="s">
        <v>13280</v>
      </c>
      <c r="AI135" s="6" t="s">
        <v>104</v>
      </c>
      <c r="AJ135" s="6" t="s">
        <v>15451</v>
      </c>
      <c r="AK135" s="6" t="s">
        <v>15697</v>
      </c>
      <c r="AL135" s="6" t="s">
        <v>16931</v>
      </c>
      <c r="AM135" s="6" t="s">
        <v>17080</v>
      </c>
      <c r="AN135" s="6" t="s">
        <v>104</v>
      </c>
      <c r="AO135" s="6" t="s">
        <v>104</v>
      </c>
      <c r="AP135" s="6" t="s">
        <v>18989</v>
      </c>
      <c r="AQ135" s="6" t="s">
        <v>19547</v>
      </c>
      <c r="AR135" s="6" t="s">
        <v>19600</v>
      </c>
      <c r="AS135" s="6" t="s">
        <v>15697</v>
      </c>
      <c r="AT135" s="6" t="s">
        <v>16931</v>
      </c>
      <c r="AU135" s="6" t="s">
        <v>17674</v>
      </c>
      <c r="AV135" s="6" t="s">
        <v>104</v>
      </c>
      <c r="AW135" s="6" t="s">
        <v>104</v>
      </c>
      <c r="AX135" s="6" t="s">
        <v>20217</v>
      </c>
      <c r="AY135" s="6" t="s">
        <v>21958</v>
      </c>
      <c r="AZ135" s="6" t="s">
        <v>104</v>
      </c>
      <c r="BA135" s="6" t="s">
        <v>104</v>
      </c>
      <c r="BB135" s="24" t="n">
        <v>0</v>
      </c>
      <c r="BC135" s="26"/>
      <c r="BD135" s="26"/>
      <c r="BE135" s="26"/>
      <c r="BF135" s="26"/>
      <c r="BG135" s="26"/>
      <c r="BH135" s="26"/>
      <c r="BI135" s="26"/>
      <c r="BJ135" s="26"/>
      <c r="BK135" s="26"/>
      <c r="BL135" s="26"/>
      <c r="BM135" s="26"/>
      <c r="BN135" s="26"/>
      <c r="BO135" s="26"/>
      <c r="BP135" s="16" t="n">
        <v>45735</v>
      </c>
      <c r="BQ135" s="28" t="str">
        <f>HYPERLINK("https://organic.ams.usda.gov/Integrity/Certificate.aspx?cid=57&amp;nopid=3252024007")</f>
        <v>https://organic.ams.usda.gov/Integrity/Certificate.aspx?cid=57&amp;nopid=3252024007</v>
      </c>
    </row>
    <row r="136">
      <c r="A136" t="s">
        <v>3</v>
      </c>
      <c r="B136" s="6" t="s">
        <v>43</v>
      </c>
      <c r="C136" s="6" t="s">
        <v>109</v>
      </c>
      <c r="D136" s="6" t="s">
        <v>173</v>
      </c>
      <c r="E136" s="10" t="s">
        <v>334</v>
      </c>
      <c r="F136" s="6" t="s">
        <v>2594</v>
      </c>
      <c r="G136" s="6" t="s">
        <v>104</v>
      </c>
      <c r="H136" s="6" t="s">
        <v>5013</v>
      </c>
      <c r="I136" s="6" t="s">
        <v>7016</v>
      </c>
      <c r="J136" s="6" t="s">
        <v>8233</v>
      </c>
      <c r="K136" s="6" t="s">
        <v>9714</v>
      </c>
      <c r="L136" s="16" t="n">
        <v>43971</v>
      </c>
      <c r="M136" s="16" t="n">
        <v>46090</v>
      </c>
      <c r="N136" s="6" t="s">
        <v>104</v>
      </c>
      <c r="O136" s="21" t="s">
        <v>104</v>
      </c>
      <c r="P136" s="6" t="s">
        <v>104</v>
      </c>
      <c r="Q136" s="6" t="s">
        <v>104</v>
      </c>
      <c r="R136" s="6" t="s">
        <v>104</v>
      </c>
      <c r="S136" s="6" t="s">
        <v>104</v>
      </c>
      <c r="T136" s="21" t="s">
        <v>104</v>
      </c>
      <c r="U136" s="6" t="s">
        <v>104</v>
      </c>
      <c r="V136" s="6" t="s">
        <v>104</v>
      </c>
      <c r="W136" s="6" t="s">
        <v>104</v>
      </c>
      <c r="X136" s="6" t="s">
        <v>104</v>
      </c>
      <c r="Y136" s="21" t="s">
        <v>104</v>
      </c>
      <c r="Z136" s="6" t="s">
        <v>104</v>
      </c>
      <c r="AA136" s="6" t="s">
        <v>104</v>
      </c>
      <c r="AB136" s="6" t="s">
        <v>104</v>
      </c>
      <c r="AC136" s="6" t="s">
        <v>9714</v>
      </c>
      <c r="AD136" s="16" t="n">
        <v>43971</v>
      </c>
      <c r="AE136" s="6" t="s">
        <v>10641</v>
      </c>
      <c r="AF136" s="6" t="s">
        <v>104</v>
      </c>
      <c r="AG136" s="6" t="s">
        <v>12513</v>
      </c>
      <c r="AH136" s="6" t="s">
        <v>13281</v>
      </c>
      <c r="AI136" s="6" t="s">
        <v>104</v>
      </c>
      <c r="AJ136" s="6" t="s">
        <v>104</v>
      </c>
      <c r="AK136" s="6" t="s">
        <v>15482</v>
      </c>
      <c r="AL136" s="6" t="s">
        <v>16939</v>
      </c>
      <c r="AM136" s="6" t="s">
        <v>104</v>
      </c>
      <c r="AN136" s="6" t="s">
        <v>104</v>
      </c>
      <c r="AO136" s="6" t="s">
        <v>104</v>
      </c>
      <c r="AP136" s="6" t="s">
        <v>13281</v>
      </c>
      <c r="AQ136" s="6" t="s">
        <v>104</v>
      </c>
      <c r="AR136" s="6" t="s">
        <v>104</v>
      </c>
      <c r="AS136" s="6" t="s">
        <v>15482</v>
      </c>
      <c r="AT136" s="6" t="s">
        <v>16939</v>
      </c>
      <c r="AU136" s="6" t="s">
        <v>104</v>
      </c>
      <c r="AV136" s="6" t="s">
        <v>104</v>
      </c>
      <c r="AW136" s="6" t="s">
        <v>104</v>
      </c>
      <c r="AX136" s="6" t="s">
        <v>20218</v>
      </c>
      <c r="AY136" s="6" t="s">
        <v>21959</v>
      </c>
      <c r="AZ136" s="6" t="s">
        <v>104</v>
      </c>
      <c r="BA136" s="6" t="s">
        <v>104</v>
      </c>
      <c r="BB136" s="6" t="s">
        <v>104</v>
      </c>
      <c r="BC136" s="26"/>
      <c r="BD136" s="26"/>
      <c r="BE136" s="26"/>
      <c r="BF136" s="26"/>
      <c r="BG136" s="26"/>
      <c r="BH136" s="26"/>
      <c r="BI136" s="26"/>
      <c r="BJ136" s="26"/>
      <c r="BK136" s="26"/>
      <c r="BL136" s="26"/>
      <c r="BM136" s="26"/>
      <c r="BN136" s="26"/>
      <c r="BO136" s="26"/>
      <c r="BP136" s="16" t="n">
        <v>45736</v>
      </c>
      <c r="BQ136" s="28" t="str">
        <f>HYPERLINK("https://organic.ams.usda.gov/Integrity/Certificate.aspx?cid=86&amp;nopid=6400012653")</f>
        <v>https://organic.ams.usda.gov/Integrity/Certificate.aspx?cid=86&amp;nopid=6400012653</v>
      </c>
    </row>
    <row r="137">
      <c r="A137" t="s">
        <v>3</v>
      </c>
      <c r="B137" s="6" t="s">
        <v>30</v>
      </c>
      <c r="C137" s="6" t="s">
        <v>96</v>
      </c>
      <c r="D137" s="6" t="s">
        <v>161</v>
      </c>
      <c r="E137" s="10" t="s">
        <v>335</v>
      </c>
      <c r="F137" s="6" t="s">
        <v>2595</v>
      </c>
      <c r="G137" s="6" t="s">
        <v>104</v>
      </c>
      <c r="H137" s="6" t="s">
        <v>5014</v>
      </c>
      <c r="I137" s="6" t="s">
        <v>104</v>
      </c>
      <c r="J137" s="6" t="s">
        <v>104</v>
      </c>
      <c r="K137" s="6" t="s">
        <v>9714</v>
      </c>
      <c r="L137" s="16" t="n">
        <v>45105</v>
      </c>
      <c r="M137" s="16" t="n">
        <v>45429</v>
      </c>
      <c r="N137" s="6" t="s">
        <v>104</v>
      </c>
      <c r="O137" s="21" t="s">
        <v>104</v>
      </c>
      <c r="P137" s="6" t="s">
        <v>104</v>
      </c>
      <c r="Q137" s="6" t="s">
        <v>104</v>
      </c>
      <c r="R137" s="6" t="s">
        <v>104</v>
      </c>
      <c r="S137" s="6" t="s">
        <v>104</v>
      </c>
      <c r="T137" s="21" t="s">
        <v>104</v>
      </c>
      <c r="U137" s="6" t="s">
        <v>104</v>
      </c>
      <c r="V137" s="6" t="s">
        <v>104</v>
      </c>
      <c r="W137" s="6" t="s">
        <v>104</v>
      </c>
      <c r="X137" s="6" t="s">
        <v>104</v>
      </c>
      <c r="Y137" s="21" t="s">
        <v>104</v>
      </c>
      <c r="Z137" s="6" t="s">
        <v>104</v>
      </c>
      <c r="AA137" s="6" t="s">
        <v>104</v>
      </c>
      <c r="AB137" s="6" t="s">
        <v>104</v>
      </c>
      <c r="AC137" s="6" t="s">
        <v>9714</v>
      </c>
      <c r="AD137" s="16" t="n">
        <v>45105</v>
      </c>
      <c r="AE137" s="6" t="s">
        <v>10642</v>
      </c>
      <c r="AF137" s="6" t="s">
        <v>104</v>
      </c>
      <c r="AG137" s="6" t="s">
        <v>12514</v>
      </c>
      <c r="AH137" s="6" t="s">
        <v>13282</v>
      </c>
      <c r="AI137" s="6" t="s">
        <v>104</v>
      </c>
      <c r="AJ137" s="6" t="s">
        <v>15452</v>
      </c>
      <c r="AK137" s="6" t="s">
        <v>16717</v>
      </c>
      <c r="AL137" s="6" t="s">
        <v>16933</v>
      </c>
      <c r="AM137" s="6" t="s">
        <v>17081</v>
      </c>
      <c r="AN137" s="6" t="s">
        <v>104</v>
      </c>
      <c r="AO137" s="6" t="s">
        <v>104</v>
      </c>
      <c r="AP137" s="6" t="s">
        <v>13282</v>
      </c>
      <c r="AQ137" s="6" t="s">
        <v>104</v>
      </c>
      <c r="AR137" s="6" t="s">
        <v>15452</v>
      </c>
      <c r="AS137" s="6" t="s">
        <v>16717</v>
      </c>
      <c r="AT137" s="6" t="s">
        <v>16933</v>
      </c>
      <c r="AU137" s="6" t="s">
        <v>17081</v>
      </c>
      <c r="AV137" s="6" t="s">
        <v>104</v>
      </c>
      <c r="AW137" s="6" t="s">
        <v>104</v>
      </c>
      <c r="AX137" s="6" t="s">
        <v>20219</v>
      </c>
      <c r="AY137" s="6" t="s">
        <v>21960</v>
      </c>
      <c r="AZ137" s="6" t="s">
        <v>104</v>
      </c>
      <c r="BA137" s="6" t="s">
        <v>104</v>
      </c>
      <c r="BB137" s="6" t="s">
        <v>104</v>
      </c>
      <c r="BC137" s="26"/>
      <c r="BD137" s="26"/>
      <c r="BE137" s="26"/>
      <c r="BF137" s="26"/>
      <c r="BG137" s="26"/>
      <c r="BH137" s="26"/>
      <c r="BI137" s="26"/>
      <c r="BJ137" s="26"/>
      <c r="BK137" s="26"/>
      <c r="BL137" s="26"/>
      <c r="BM137" s="26"/>
      <c r="BN137" s="26"/>
      <c r="BO137" s="26"/>
      <c r="BP137" s="16" t="n">
        <v>45356</v>
      </c>
      <c r="BQ137" s="28" t="str">
        <f>HYPERLINK("https://organic.ams.usda.gov/Integrity/Certificate.aspx?cid=14&amp;nopid=6250040205")</f>
        <v>https://organic.ams.usda.gov/Integrity/Certificate.aspx?cid=14&amp;nopid=6250040205</v>
      </c>
    </row>
    <row r="138">
      <c r="A138" t="s">
        <v>3</v>
      </c>
      <c r="B138" s="6" t="s">
        <v>20</v>
      </c>
      <c r="C138" s="6" t="s">
        <v>86</v>
      </c>
      <c r="D138" s="6" t="s">
        <v>151</v>
      </c>
      <c r="E138" s="10" t="s">
        <v>336</v>
      </c>
      <c r="F138" s="6" t="s">
        <v>2596</v>
      </c>
      <c r="G138" s="6" t="s">
        <v>104</v>
      </c>
      <c r="H138" s="6" t="s">
        <v>5015</v>
      </c>
      <c r="I138" s="6" t="s">
        <v>7017</v>
      </c>
      <c r="J138" s="6" t="s">
        <v>8234</v>
      </c>
      <c r="K138" s="6" t="s">
        <v>9714</v>
      </c>
      <c r="L138" s="16" t="n">
        <v>43803</v>
      </c>
      <c r="M138" s="16" t="n">
        <v>45869</v>
      </c>
      <c r="N138" s="6" t="s">
        <v>9714</v>
      </c>
      <c r="O138" s="16" t="n">
        <v>43803</v>
      </c>
      <c r="P138" s="6" t="s">
        <v>9767</v>
      </c>
      <c r="Q138" s="6" t="s">
        <v>104</v>
      </c>
      <c r="R138" s="6" t="s">
        <v>10302</v>
      </c>
      <c r="S138" s="6" t="s">
        <v>104</v>
      </c>
      <c r="T138" s="21" t="s">
        <v>104</v>
      </c>
      <c r="U138" s="6" t="s">
        <v>104</v>
      </c>
      <c r="V138" s="6" t="s">
        <v>104</v>
      </c>
      <c r="W138" s="6" t="s">
        <v>104</v>
      </c>
      <c r="X138" s="6" t="s">
        <v>104</v>
      </c>
      <c r="Y138" s="21" t="s">
        <v>104</v>
      </c>
      <c r="Z138" s="6" t="s">
        <v>104</v>
      </c>
      <c r="AA138" s="6" t="s">
        <v>104</v>
      </c>
      <c r="AB138" s="6" t="s">
        <v>104</v>
      </c>
      <c r="AC138" s="6" t="s">
        <v>9714</v>
      </c>
      <c r="AD138" s="16" t="n">
        <v>43803</v>
      </c>
      <c r="AE138" s="6" t="s">
        <v>10643</v>
      </c>
      <c r="AF138" s="6" t="s">
        <v>104</v>
      </c>
      <c r="AG138" s="6" t="s">
        <v>10302</v>
      </c>
      <c r="AH138" s="6" t="s">
        <v>13283</v>
      </c>
      <c r="AI138" s="6" t="s">
        <v>104</v>
      </c>
      <c r="AJ138" s="6" t="s">
        <v>15453</v>
      </c>
      <c r="AK138" s="6" t="s">
        <v>15661</v>
      </c>
      <c r="AL138" s="6" t="s">
        <v>16939</v>
      </c>
      <c r="AM138" s="6" t="s">
        <v>17082</v>
      </c>
      <c r="AN138" s="6" t="s">
        <v>104</v>
      </c>
      <c r="AO138" s="6" t="s">
        <v>104</v>
      </c>
      <c r="AP138" s="6" t="s">
        <v>104</v>
      </c>
      <c r="AQ138" s="6" t="s">
        <v>104</v>
      </c>
      <c r="AR138" s="6" t="s">
        <v>104</v>
      </c>
      <c r="AS138" s="6" t="s">
        <v>104</v>
      </c>
      <c r="AT138" s="6" t="s">
        <v>104</v>
      </c>
      <c r="AU138" s="6" t="s">
        <v>104</v>
      </c>
      <c r="AV138" s="6" t="s">
        <v>104</v>
      </c>
      <c r="AW138" s="6" t="s">
        <v>104</v>
      </c>
      <c r="AX138" s="6" t="s">
        <v>20220</v>
      </c>
      <c r="AY138" s="6" t="s">
        <v>21961</v>
      </c>
      <c r="AZ138" s="6" t="s">
        <v>23713</v>
      </c>
      <c r="BA138" s="6" t="s">
        <v>24282</v>
      </c>
      <c r="BB138" s="24" t="n">
        <v>1445</v>
      </c>
      <c r="BC138" s="26"/>
      <c r="BD138" s="26"/>
      <c r="BE138" s="26"/>
      <c r="BF138" s="26"/>
      <c r="BG138" s="26"/>
      <c r="BH138" s="26"/>
      <c r="BI138" s="26"/>
      <c r="BJ138" s="26"/>
      <c r="BK138" s="26"/>
      <c r="BL138" s="26"/>
      <c r="BM138" s="26"/>
      <c r="BN138" s="26"/>
      <c r="BO138" s="26" t="s">
        <v>24533</v>
      </c>
      <c r="BP138" s="16" t="n">
        <v>45607</v>
      </c>
      <c r="BQ138" s="28" t="str">
        <f>HYPERLINK("https://organic.ams.usda.gov/Integrity/Certificate.aspx?cid=17&amp;nopid=4083862415")</f>
        <v>https://organic.ams.usda.gov/Integrity/Certificate.aspx?cid=17&amp;nopid=4083862415</v>
      </c>
    </row>
    <row r="139">
      <c r="A139" t="s">
        <v>3</v>
      </c>
      <c r="B139" s="6" t="s">
        <v>11</v>
      </c>
      <c r="C139" s="6" t="s">
        <v>77</v>
      </c>
      <c r="D139" s="6" t="s">
        <v>142</v>
      </c>
      <c r="E139" s="10" t="s">
        <v>337</v>
      </c>
      <c r="F139" s="6" t="s">
        <v>2597</v>
      </c>
      <c r="G139" s="6" t="s">
        <v>104</v>
      </c>
      <c r="H139" s="6" t="s">
        <v>5016</v>
      </c>
      <c r="I139" s="6" t="s">
        <v>7018</v>
      </c>
      <c r="J139" s="6" t="s">
        <v>8235</v>
      </c>
      <c r="K139" s="6" t="s">
        <v>9714</v>
      </c>
      <c r="L139" s="16" t="n">
        <v>45478</v>
      </c>
      <c r="M139" s="16" t="n">
        <v>45820</v>
      </c>
      <c r="N139" s="6" t="s">
        <v>104</v>
      </c>
      <c r="O139" s="21" t="s">
        <v>104</v>
      </c>
      <c r="P139" s="6" t="s">
        <v>104</v>
      </c>
      <c r="Q139" s="6" t="s">
        <v>104</v>
      </c>
      <c r="R139" s="6" t="s">
        <v>104</v>
      </c>
      <c r="S139" s="6" t="s">
        <v>104</v>
      </c>
      <c r="T139" s="21" t="s">
        <v>104</v>
      </c>
      <c r="U139" s="6" t="s">
        <v>104</v>
      </c>
      <c r="V139" s="6" t="s">
        <v>104</v>
      </c>
      <c r="W139" s="6" t="s">
        <v>104</v>
      </c>
      <c r="X139" s="6" t="s">
        <v>104</v>
      </c>
      <c r="Y139" s="21" t="s">
        <v>104</v>
      </c>
      <c r="Z139" s="6" t="s">
        <v>104</v>
      </c>
      <c r="AA139" s="6" t="s">
        <v>104</v>
      </c>
      <c r="AB139" s="6" t="s">
        <v>104</v>
      </c>
      <c r="AC139" s="6" t="s">
        <v>9714</v>
      </c>
      <c r="AD139" s="16" t="n">
        <v>45112</v>
      </c>
      <c r="AE139" s="6" t="s">
        <v>10644</v>
      </c>
      <c r="AF139" s="6" t="s">
        <v>104</v>
      </c>
      <c r="AG139" s="6" t="s">
        <v>104</v>
      </c>
      <c r="AH139" s="6" t="s">
        <v>13284</v>
      </c>
      <c r="AI139" s="6" t="s">
        <v>104</v>
      </c>
      <c r="AJ139" s="6" t="s">
        <v>15373</v>
      </c>
      <c r="AK139" s="6" t="s">
        <v>104</v>
      </c>
      <c r="AL139" s="6" t="s">
        <v>16933</v>
      </c>
      <c r="AM139" s="6" t="s">
        <v>104</v>
      </c>
      <c r="AN139" s="6" t="s">
        <v>104</v>
      </c>
      <c r="AO139" s="6" t="s">
        <v>104</v>
      </c>
      <c r="AP139" s="6" t="s">
        <v>13284</v>
      </c>
      <c r="AQ139" s="6" t="s">
        <v>104</v>
      </c>
      <c r="AR139" s="6" t="s">
        <v>15373</v>
      </c>
      <c r="AS139" s="6" t="s">
        <v>104</v>
      </c>
      <c r="AT139" s="6" t="s">
        <v>16933</v>
      </c>
      <c r="AU139" s="6" t="s">
        <v>104</v>
      </c>
      <c r="AV139" s="6" t="s">
        <v>104</v>
      </c>
      <c r="AW139" s="6" t="s">
        <v>104</v>
      </c>
      <c r="AX139" s="6" t="s">
        <v>20221</v>
      </c>
      <c r="AY139" s="6" t="s">
        <v>21962</v>
      </c>
      <c r="AZ139" s="6" t="s">
        <v>104</v>
      </c>
      <c r="BA139" s="6" t="s">
        <v>24283</v>
      </c>
      <c r="BB139" s="6" t="s">
        <v>104</v>
      </c>
      <c r="BC139" s="26"/>
      <c r="BD139" s="26"/>
      <c r="BE139" s="26"/>
      <c r="BF139" s="26"/>
      <c r="BG139" s="26"/>
      <c r="BH139" s="26" t="s">
        <v>24533</v>
      </c>
      <c r="BI139" s="26"/>
      <c r="BJ139" s="26"/>
      <c r="BK139" s="26"/>
      <c r="BL139" s="26"/>
      <c r="BM139" s="26"/>
      <c r="BN139" s="26"/>
      <c r="BO139" s="26"/>
      <c r="BP139" s="16" t="n">
        <v>45484</v>
      </c>
      <c r="BQ139" s="28" t="str">
        <f>HYPERLINK("https://organic.ams.usda.gov/Integrity/Certificate.aspx?cid=21&amp;nopid=1784388885")</f>
        <v>https://organic.ams.usda.gov/Integrity/Certificate.aspx?cid=21&amp;nopid=1784388885</v>
      </c>
    </row>
    <row r="140">
      <c r="A140" t="s">
        <v>3</v>
      </c>
      <c r="B140" s="6" t="s">
        <v>45</v>
      </c>
      <c r="C140" s="6" t="s">
        <v>111</v>
      </c>
      <c r="D140" s="6" t="s">
        <v>175</v>
      </c>
      <c r="E140" s="10" t="s">
        <v>338</v>
      </c>
      <c r="F140" s="6" t="s">
        <v>2598</v>
      </c>
      <c r="G140" s="6" t="s">
        <v>104</v>
      </c>
      <c r="H140" s="6" t="s">
        <v>5017</v>
      </c>
      <c r="I140" s="6" t="s">
        <v>7019</v>
      </c>
      <c r="J140" s="6" t="s">
        <v>7151</v>
      </c>
      <c r="K140" s="6" t="s">
        <v>9714</v>
      </c>
      <c r="L140" s="16" t="n">
        <v>42534</v>
      </c>
      <c r="M140" s="16" t="n">
        <v>46082</v>
      </c>
      <c r="N140" s="6" t="s">
        <v>9714</v>
      </c>
      <c r="O140" s="16" t="n">
        <v>42534</v>
      </c>
      <c r="P140" s="6" t="s">
        <v>9768</v>
      </c>
      <c r="Q140" s="6" t="s">
        <v>104</v>
      </c>
      <c r="R140" s="6" t="s">
        <v>4667</v>
      </c>
      <c r="S140" s="6" t="s">
        <v>104</v>
      </c>
      <c r="T140" s="21" t="s">
        <v>104</v>
      </c>
      <c r="U140" s="6" t="s">
        <v>104</v>
      </c>
      <c r="V140" s="6" t="s">
        <v>104</v>
      </c>
      <c r="W140" s="6" t="s">
        <v>104</v>
      </c>
      <c r="X140" s="6" t="s">
        <v>104</v>
      </c>
      <c r="Y140" s="21" t="s">
        <v>104</v>
      </c>
      <c r="Z140" s="6" t="s">
        <v>104</v>
      </c>
      <c r="AA140" s="6" t="s">
        <v>104</v>
      </c>
      <c r="AB140" s="6" t="s">
        <v>104</v>
      </c>
      <c r="AC140" s="6" t="s">
        <v>104</v>
      </c>
      <c r="AD140" s="21" t="s">
        <v>104</v>
      </c>
      <c r="AE140" s="6" t="s">
        <v>104</v>
      </c>
      <c r="AF140" s="6" t="s">
        <v>104</v>
      </c>
      <c r="AG140" s="6" t="s">
        <v>104</v>
      </c>
      <c r="AH140" s="6" t="s">
        <v>13285</v>
      </c>
      <c r="AI140" s="6" t="s">
        <v>104</v>
      </c>
      <c r="AJ140" s="6" t="s">
        <v>15454</v>
      </c>
      <c r="AK140" s="6" t="s">
        <v>16382</v>
      </c>
      <c r="AL140" s="6" t="s">
        <v>16931</v>
      </c>
      <c r="AM140" s="6" t="s">
        <v>17083</v>
      </c>
      <c r="AN140" s="6" t="s">
        <v>104</v>
      </c>
      <c r="AO140" s="6" t="s">
        <v>104</v>
      </c>
      <c r="AP140" s="6" t="s">
        <v>18990</v>
      </c>
      <c r="AQ140" s="6" t="s">
        <v>104</v>
      </c>
      <c r="AR140" s="6" t="s">
        <v>15454</v>
      </c>
      <c r="AS140" s="6" t="s">
        <v>16382</v>
      </c>
      <c r="AT140" s="6" t="s">
        <v>16931</v>
      </c>
      <c r="AU140" s="6" t="s">
        <v>17083</v>
      </c>
      <c r="AV140" s="6" t="s">
        <v>18492</v>
      </c>
      <c r="AW140" s="6" t="s">
        <v>18637</v>
      </c>
      <c r="AX140" s="6" t="s">
        <v>20222</v>
      </c>
      <c r="AY140" s="6" t="s">
        <v>21963</v>
      </c>
      <c r="AZ140" s="6" t="s">
        <v>104</v>
      </c>
      <c r="BA140" s="6" t="s">
        <v>104</v>
      </c>
      <c r="BB140" s="24" t="n">
        <v>613</v>
      </c>
      <c r="BC140" s="26"/>
      <c r="BD140" s="26"/>
      <c r="BE140" s="26"/>
      <c r="BF140" s="26"/>
      <c r="BG140" s="26"/>
      <c r="BH140" s="26"/>
      <c r="BI140" s="26"/>
      <c r="BJ140" s="26"/>
      <c r="BK140" s="26"/>
      <c r="BL140" s="26"/>
      <c r="BM140" s="26"/>
      <c r="BN140" s="26"/>
      <c r="BO140" s="26"/>
      <c r="BP140" s="16" t="n">
        <v>45739</v>
      </c>
      <c r="BQ140" s="28" t="str">
        <f>HYPERLINK("https://organic.ams.usda.gov/Integrity/Certificate.aspx?cid=82&amp;nopid=2780003113")</f>
        <v>https://organic.ams.usda.gov/Integrity/Certificate.aspx?cid=82&amp;nopid=2780003113</v>
      </c>
    </row>
    <row r="141">
      <c r="A141" t="s">
        <v>3</v>
      </c>
      <c r="B141" s="6" t="s">
        <v>6</v>
      </c>
      <c r="C141" s="6" t="s">
        <v>72</v>
      </c>
      <c r="D141" s="6" t="s">
        <v>137</v>
      </c>
      <c r="E141" s="10" t="s">
        <v>339</v>
      </c>
      <c r="F141" s="6" t="s">
        <v>2599</v>
      </c>
      <c r="G141" s="6" t="s">
        <v>104</v>
      </c>
      <c r="H141" s="6" t="s">
        <v>5018</v>
      </c>
      <c r="I141" s="6" t="s">
        <v>7020</v>
      </c>
      <c r="J141" s="6" t="s">
        <v>8236</v>
      </c>
      <c r="K141" s="6" t="s">
        <v>9714</v>
      </c>
      <c r="L141" s="16" t="n">
        <v>45390</v>
      </c>
      <c r="M141" s="16" t="n">
        <v>45695</v>
      </c>
      <c r="N141" s="6" t="s">
        <v>9714</v>
      </c>
      <c r="O141" s="16" t="n">
        <v>45390</v>
      </c>
      <c r="P141" s="6" t="s">
        <v>9769</v>
      </c>
      <c r="Q141" s="6" t="s">
        <v>104</v>
      </c>
      <c r="R141" s="6" t="s">
        <v>10303</v>
      </c>
      <c r="S141" s="6" t="s">
        <v>104</v>
      </c>
      <c r="T141" s="21" t="s">
        <v>104</v>
      </c>
      <c r="U141" s="6" t="s">
        <v>104</v>
      </c>
      <c r="V141" s="6" t="s">
        <v>104</v>
      </c>
      <c r="W141" s="6" t="s">
        <v>104</v>
      </c>
      <c r="X141" s="6" t="s">
        <v>104</v>
      </c>
      <c r="Y141" s="21" t="s">
        <v>104</v>
      </c>
      <c r="Z141" s="6" t="s">
        <v>104</v>
      </c>
      <c r="AA141" s="6" t="s">
        <v>104</v>
      </c>
      <c r="AB141" s="6" t="s">
        <v>104</v>
      </c>
      <c r="AC141" s="6" t="s">
        <v>104</v>
      </c>
      <c r="AD141" s="21" t="s">
        <v>104</v>
      </c>
      <c r="AE141" s="6" t="s">
        <v>104</v>
      </c>
      <c r="AF141" s="6" t="s">
        <v>104</v>
      </c>
      <c r="AG141" s="6" t="s">
        <v>104</v>
      </c>
      <c r="AH141" s="6" t="s">
        <v>13286</v>
      </c>
      <c r="AI141" s="6" t="s">
        <v>104</v>
      </c>
      <c r="AJ141" s="6" t="s">
        <v>15455</v>
      </c>
      <c r="AK141" s="6" t="s">
        <v>16707</v>
      </c>
      <c r="AL141" s="6" t="s">
        <v>16930</v>
      </c>
      <c r="AM141" s="6" t="s">
        <v>17084</v>
      </c>
      <c r="AN141" s="6" t="s">
        <v>104</v>
      </c>
      <c r="AO141" s="6" t="s">
        <v>104</v>
      </c>
      <c r="AP141" s="6" t="s">
        <v>104</v>
      </c>
      <c r="AQ141" s="6" t="s">
        <v>104</v>
      </c>
      <c r="AR141" s="6" t="s">
        <v>104</v>
      </c>
      <c r="AS141" s="6" t="s">
        <v>104</v>
      </c>
      <c r="AT141" s="6" t="s">
        <v>104</v>
      </c>
      <c r="AU141" s="6" t="s">
        <v>104</v>
      </c>
      <c r="AV141" s="6" t="s">
        <v>104</v>
      </c>
      <c r="AW141" s="6" t="s">
        <v>104</v>
      </c>
      <c r="AX141" s="6" t="s">
        <v>20223</v>
      </c>
      <c r="AY141" s="6" t="s">
        <v>21964</v>
      </c>
      <c r="AZ141" s="6" t="s">
        <v>104</v>
      </c>
      <c r="BA141" s="6" t="s">
        <v>104</v>
      </c>
      <c r="BB141" s="24" t="n">
        <v>7</v>
      </c>
      <c r="BC141" s="26"/>
      <c r="BD141" s="26"/>
      <c r="BE141" s="26"/>
      <c r="BF141" s="26"/>
      <c r="BG141" s="26"/>
      <c r="BH141" s="26"/>
      <c r="BI141" s="26"/>
      <c r="BJ141" s="26"/>
      <c r="BK141" s="26"/>
      <c r="BL141" s="26"/>
      <c r="BM141" s="26"/>
      <c r="BN141" s="26"/>
      <c r="BO141" s="26"/>
      <c r="BP141" s="16" t="n">
        <v>45737</v>
      </c>
      <c r="BQ141" s="28" t="str">
        <f>HYPERLINK("https://organic.ams.usda.gov/Integrity/Certificate.aspx?cid=32&amp;nopid=2230010920")</f>
        <v>https://organic.ams.usda.gov/Integrity/Certificate.aspx?cid=32&amp;nopid=2230010920</v>
      </c>
    </row>
    <row r="142">
      <c r="A142" t="s">
        <v>3</v>
      </c>
      <c r="B142" s="6" t="s">
        <v>23</v>
      </c>
      <c r="C142" s="6" t="s">
        <v>89</v>
      </c>
      <c r="D142" s="6" t="s">
        <v>154</v>
      </c>
      <c r="E142" s="10" t="s">
        <v>340</v>
      </c>
      <c r="F142" s="6" t="s">
        <v>2600</v>
      </c>
      <c r="G142" s="6" t="s">
        <v>4682</v>
      </c>
      <c r="H142" s="6" t="s">
        <v>5019</v>
      </c>
      <c r="I142" s="6" t="s">
        <v>7021</v>
      </c>
      <c r="J142" s="6" t="s">
        <v>8237</v>
      </c>
      <c r="K142" s="6" t="s">
        <v>9714</v>
      </c>
      <c r="L142" s="16" t="n">
        <v>44375</v>
      </c>
      <c r="M142" s="16" t="n">
        <v>46054</v>
      </c>
      <c r="N142" s="6" t="s">
        <v>104</v>
      </c>
      <c r="O142" s="21" t="s">
        <v>104</v>
      </c>
      <c r="P142" s="6" t="s">
        <v>104</v>
      </c>
      <c r="Q142" s="6" t="s">
        <v>104</v>
      </c>
      <c r="R142" s="6" t="s">
        <v>104</v>
      </c>
      <c r="S142" s="6" t="s">
        <v>104</v>
      </c>
      <c r="T142" s="21" t="s">
        <v>104</v>
      </c>
      <c r="U142" s="6" t="s">
        <v>104</v>
      </c>
      <c r="V142" s="6" t="s">
        <v>104</v>
      </c>
      <c r="W142" s="6" t="s">
        <v>104</v>
      </c>
      <c r="X142" s="6" t="s">
        <v>104</v>
      </c>
      <c r="Y142" s="21" t="s">
        <v>104</v>
      </c>
      <c r="Z142" s="6" t="s">
        <v>104</v>
      </c>
      <c r="AA142" s="6" t="s">
        <v>104</v>
      </c>
      <c r="AB142" s="6" t="s">
        <v>104</v>
      </c>
      <c r="AC142" s="6" t="s">
        <v>9714</v>
      </c>
      <c r="AD142" s="16" t="n">
        <v>44375</v>
      </c>
      <c r="AE142" s="6" t="s">
        <v>10645</v>
      </c>
      <c r="AF142" s="6" t="s">
        <v>104</v>
      </c>
      <c r="AG142" s="6" t="s">
        <v>5019</v>
      </c>
      <c r="AH142" s="6" t="s">
        <v>13287</v>
      </c>
      <c r="AI142" s="6" t="s">
        <v>104</v>
      </c>
      <c r="AJ142" s="6" t="s">
        <v>15456</v>
      </c>
      <c r="AK142" s="6" t="s">
        <v>16714</v>
      </c>
      <c r="AL142" s="6" t="s">
        <v>16931</v>
      </c>
      <c r="AM142" s="6" t="s">
        <v>17085</v>
      </c>
      <c r="AN142" s="6" t="s">
        <v>5640</v>
      </c>
      <c r="AO142" s="6" t="s">
        <v>18589</v>
      </c>
      <c r="AP142" s="6" t="s">
        <v>104</v>
      </c>
      <c r="AQ142" s="6" t="s">
        <v>104</v>
      </c>
      <c r="AR142" s="6" t="s">
        <v>104</v>
      </c>
      <c r="AS142" s="6" t="s">
        <v>104</v>
      </c>
      <c r="AT142" s="6" t="s">
        <v>104</v>
      </c>
      <c r="AU142" s="6" t="s">
        <v>104</v>
      </c>
      <c r="AV142" s="6" t="s">
        <v>104</v>
      </c>
      <c r="AW142" s="6" t="s">
        <v>104</v>
      </c>
      <c r="AX142" s="6" t="s">
        <v>20224</v>
      </c>
      <c r="AY142" s="6" t="s">
        <v>21965</v>
      </c>
      <c r="AZ142" s="6" t="s">
        <v>23714</v>
      </c>
      <c r="BA142" s="6" t="s">
        <v>104</v>
      </c>
      <c r="BB142" s="24" t="n">
        <v>0</v>
      </c>
      <c r="BC142" s="26"/>
      <c r="BD142" s="26"/>
      <c r="BE142" s="26"/>
      <c r="BF142" s="26"/>
      <c r="BG142" s="26" t="s">
        <v>24533</v>
      </c>
      <c r="BH142" s="26"/>
      <c r="BI142" s="26"/>
      <c r="BJ142" s="26"/>
      <c r="BK142" s="26"/>
      <c r="BL142" s="26"/>
      <c r="BM142" s="26"/>
      <c r="BN142" s="26"/>
      <c r="BO142" s="26"/>
      <c r="BP142" s="16" t="n">
        <v>45713</v>
      </c>
      <c r="BQ142" s="28" t="str">
        <f>HYPERLINK("https://organic.ams.usda.gov/Integrity/Certificate.aspx?cid=45&amp;nopid=9950012892")</f>
        <v>https://organic.ams.usda.gov/Integrity/Certificate.aspx?cid=45&amp;nopid=9950012892</v>
      </c>
    </row>
    <row r="143">
      <c r="A143" t="s">
        <v>3</v>
      </c>
      <c r="B143" s="6" t="s">
        <v>30</v>
      </c>
      <c r="C143" s="6" t="s">
        <v>96</v>
      </c>
      <c r="D143" s="6" t="s">
        <v>161</v>
      </c>
      <c r="E143" s="10" t="s">
        <v>341</v>
      </c>
      <c r="F143" s="6" t="s">
        <v>2601</v>
      </c>
      <c r="G143" s="6" t="s">
        <v>104</v>
      </c>
      <c r="H143" s="6" t="s">
        <v>5020</v>
      </c>
      <c r="I143" s="6" t="s">
        <v>104</v>
      </c>
      <c r="J143" s="6" t="s">
        <v>104</v>
      </c>
      <c r="K143" s="6" t="s">
        <v>9714</v>
      </c>
      <c r="L143" s="16" t="n">
        <v>43418</v>
      </c>
      <c r="M143" s="16" t="n">
        <v>45899</v>
      </c>
      <c r="N143" s="6" t="s">
        <v>9714</v>
      </c>
      <c r="O143" s="16" t="n">
        <v>43418</v>
      </c>
      <c r="P143" s="6" t="s">
        <v>9770</v>
      </c>
      <c r="Q143" s="6" t="s">
        <v>104</v>
      </c>
      <c r="R143" s="6" t="s">
        <v>10304</v>
      </c>
      <c r="S143" s="6" t="s">
        <v>104</v>
      </c>
      <c r="T143" s="21" t="s">
        <v>104</v>
      </c>
      <c r="U143" s="6" t="s">
        <v>104</v>
      </c>
      <c r="V143" s="6" t="s">
        <v>104</v>
      </c>
      <c r="W143" s="6" t="s">
        <v>104</v>
      </c>
      <c r="X143" s="6" t="s">
        <v>104</v>
      </c>
      <c r="Y143" s="21" t="s">
        <v>104</v>
      </c>
      <c r="Z143" s="6" t="s">
        <v>104</v>
      </c>
      <c r="AA143" s="6" t="s">
        <v>104</v>
      </c>
      <c r="AB143" s="6" t="s">
        <v>104</v>
      </c>
      <c r="AC143" s="6" t="s">
        <v>9714</v>
      </c>
      <c r="AD143" s="16" t="n">
        <v>43430</v>
      </c>
      <c r="AE143" s="6" t="s">
        <v>10646</v>
      </c>
      <c r="AF143" s="6" t="s">
        <v>104</v>
      </c>
      <c r="AG143" s="6" t="s">
        <v>10304</v>
      </c>
      <c r="AH143" s="6" t="s">
        <v>13288</v>
      </c>
      <c r="AI143" s="6" t="s">
        <v>104</v>
      </c>
      <c r="AJ143" s="6" t="s">
        <v>15457</v>
      </c>
      <c r="AK143" s="6" t="s">
        <v>15457</v>
      </c>
      <c r="AL143" s="6" t="s">
        <v>16933</v>
      </c>
      <c r="AM143" s="6" t="s">
        <v>6689</v>
      </c>
      <c r="AN143" s="6" t="s">
        <v>104</v>
      </c>
      <c r="AO143" s="6" t="s">
        <v>104</v>
      </c>
      <c r="AP143" s="6" t="s">
        <v>13288</v>
      </c>
      <c r="AQ143" s="6" t="s">
        <v>104</v>
      </c>
      <c r="AR143" s="6" t="s">
        <v>15457</v>
      </c>
      <c r="AS143" s="6" t="s">
        <v>15457</v>
      </c>
      <c r="AT143" s="6" t="s">
        <v>16933</v>
      </c>
      <c r="AU143" s="6" t="s">
        <v>6689</v>
      </c>
      <c r="AV143" s="6" t="s">
        <v>104</v>
      </c>
      <c r="AW143" s="6" t="s">
        <v>104</v>
      </c>
      <c r="AX143" s="6" t="s">
        <v>20225</v>
      </c>
      <c r="AY143" s="6" t="s">
        <v>21966</v>
      </c>
      <c r="AZ143" s="6" t="s">
        <v>104</v>
      </c>
      <c r="BA143" s="6" t="s">
        <v>104</v>
      </c>
      <c r="BB143" s="24" t="n">
        <v>73</v>
      </c>
      <c r="BC143" s="26"/>
      <c r="BD143" s="26"/>
      <c r="BE143" s="26"/>
      <c r="BF143" s="26"/>
      <c r="BG143" s="26"/>
      <c r="BH143" s="26"/>
      <c r="BI143" s="26"/>
      <c r="BJ143" s="26"/>
      <c r="BK143" s="26"/>
      <c r="BL143" s="26"/>
      <c r="BM143" s="26"/>
      <c r="BN143" s="26"/>
      <c r="BO143" s="26"/>
      <c r="BP143" s="16" t="n">
        <v>45646</v>
      </c>
      <c r="BQ143" s="28" t="str">
        <f>HYPERLINK("https://organic.ams.usda.gov/Integrity/Certificate.aspx?cid=14&amp;nopid=6250028743")</f>
        <v>https://organic.ams.usda.gov/Integrity/Certificate.aspx?cid=14&amp;nopid=6250028743</v>
      </c>
    </row>
    <row r="144">
      <c r="A144" t="s">
        <v>3</v>
      </c>
      <c r="B144" s="6" t="s">
        <v>16</v>
      </c>
      <c r="C144" s="6" t="s">
        <v>82</v>
      </c>
      <c r="D144" s="6" t="s">
        <v>147</v>
      </c>
      <c r="E144" s="10" t="s">
        <v>342</v>
      </c>
      <c r="F144" s="6" t="s">
        <v>2602</v>
      </c>
      <c r="G144" s="6" t="s">
        <v>104</v>
      </c>
      <c r="H144" s="6" t="s">
        <v>5021</v>
      </c>
      <c r="I144" s="6" t="s">
        <v>7022</v>
      </c>
      <c r="J144" s="6" t="s">
        <v>8238</v>
      </c>
      <c r="K144" s="6" t="s">
        <v>9714</v>
      </c>
      <c r="L144" s="16" t="n">
        <v>43733</v>
      </c>
      <c r="M144" s="16" t="n">
        <v>45565</v>
      </c>
      <c r="N144" s="6" t="s">
        <v>9714</v>
      </c>
      <c r="O144" s="16" t="n">
        <v>43733</v>
      </c>
      <c r="P144" s="6" t="s">
        <v>9771</v>
      </c>
      <c r="Q144" s="6" t="s">
        <v>104</v>
      </c>
      <c r="R144" s="6" t="s">
        <v>2602</v>
      </c>
      <c r="S144" s="6" t="s">
        <v>104</v>
      </c>
      <c r="T144" s="21" t="s">
        <v>104</v>
      </c>
      <c r="U144" s="6" t="s">
        <v>104</v>
      </c>
      <c r="V144" s="6" t="s">
        <v>104</v>
      </c>
      <c r="W144" s="6" t="s">
        <v>104</v>
      </c>
      <c r="X144" s="6" t="s">
        <v>104</v>
      </c>
      <c r="Y144" s="21" t="s">
        <v>104</v>
      </c>
      <c r="Z144" s="6" t="s">
        <v>104</v>
      </c>
      <c r="AA144" s="6" t="s">
        <v>104</v>
      </c>
      <c r="AB144" s="6" t="s">
        <v>104</v>
      </c>
      <c r="AC144" s="6" t="s">
        <v>104</v>
      </c>
      <c r="AD144" s="21" t="s">
        <v>104</v>
      </c>
      <c r="AE144" s="6" t="s">
        <v>104</v>
      </c>
      <c r="AF144" s="6" t="s">
        <v>104</v>
      </c>
      <c r="AG144" s="6" t="s">
        <v>104</v>
      </c>
      <c r="AH144" s="6" t="s">
        <v>13289</v>
      </c>
      <c r="AI144" s="6" t="s">
        <v>104</v>
      </c>
      <c r="AJ144" s="6" t="s">
        <v>15458</v>
      </c>
      <c r="AK144" s="6" t="s">
        <v>16684</v>
      </c>
      <c r="AL144" s="6" t="s">
        <v>16931</v>
      </c>
      <c r="AM144" s="6" t="s">
        <v>17086</v>
      </c>
      <c r="AN144" s="6" t="s">
        <v>18480</v>
      </c>
      <c r="AO144" s="6" t="s">
        <v>18590</v>
      </c>
      <c r="AP144" s="6" t="s">
        <v>18991</v>
      </c>
      <c r="AQ144" s="6" t="s">
        <v>104</v>
      </c>
      <c r="AR144" s="6" t="s">
        <v>15458</v>
      </c>
      <c r="AS144" s="6" t="s">
        <v>16684</v>
      </c>
      <c r="AT144" s="6" t="s">
        <v>16931</v>
      </c>
      <c r="AU144" s="6" t="s">
        <v>17086</v>
      </c>
      <c r="AV144" s="6" t="s">
        <v>104</v>
      </c>
      <c r="AW144" s="6" t="s">
        <v>104</v>
      </c>
      <c r="AX144" s="6" t="s">
        <v>20226</v>
      </c>
      <c r="AY144" s="6" t="s">
        <v>21967</v>
      </c>
      <c r="AZ144" s="6" t="s">
        <v>104</v>
      </c>
      <c r="BA144" s="6" t="s">
        <v>104</v>
      </c>
      <c r="BB144" s="24" t="n">
        <v>555</v>
      </c>
      <c r="BC144" s="26"/>
      <c r="BD144" s="26"/>
      <c r="BE144" s="26"/>
      <c r="BF144" s="26"/>
      <c r="BG144" s="26"/>
      <c r="BH144" s="26"/>
      <c r="BI144" s="26"/>
      <c r="BJ144" s="26"/>
      <c r="BK144" s="26"/>
      <c r="BL144" s="26"/>
      <c r="BM144" s="26"/>
      <c r="BN144" s="26"/>
      <c r="BO144" s="26"/>
      <c r="BP144" s="16" t="n">
        <v>45372</v>
      </c>
      <c r="BQ144" s="28" t="str">
        <f>HYPERLINK("https://organic.ams.usda.gov/Integrity/Certificate.aspx?cid=77&amp;nopid=3510808074")</f>
        <v>https://organic.ams.usda.gov/Integrity/Certificate.aspx?cid=77&amp;nopid=3510808074</v>
      </c>
    </row>
    <row r="145">
      <c r="A145" t="s">
        <v>3</v>
      </c>
      <c r="B145" s="6" t="s">
        <v>12</v>
      </c>
      <c r="C145" s="6" t="s">
        <v>78</v>
      </c>
      <c r="D145" s="6" t="s">
        <v>143</v>
      </c>
      <c r="E145" s="10" t="s">
        <v>343</v>
      </c>
      <c r="F145" s="6" t="s">
        <v>2603</v>
      </c>
      <c r="G145" s="6" t="s">
        <v>104</v>
      </c>
      <c r="H145" s="6" t="s">
        <v>104</v>
      </c>
      <c r="I145" s="6" t="s">
        <v>7023</v>
      </c>
      <c r="J145" s="6" t="s">
        <v>8239</v>
      </c>
      <c r="K145" s="6" t="s">
        <v>9714</v>
      </c>
      <c r="L145" s="16" t="n">
        <v>45211</v>
      </c>
      <c r="M145" s="16" t="n">
        <v>45870</v>
      </c>
      <c r="N145" s="6" t="s">
        <v>104</v>
      </c>
      <c r="O145" s="21" t="s">
        <v>104</v>
      </c>
      <c r="P145" s="6" t="s">
        <v>104</v>
      </c>
      <c r="Q145" s="6" t="s">
        <v>104</v>
      </c>
      <c r="R145" s="6" t="s">
        <v>104</v>
      </c>
      <c r="S145" s="6" t="s">
        <v>104</v>
      </c>
      <c r="T145" s="21" t="s">
        <v>104</v>
      </c>
      <c r="U145" s="6" t="s">
        <v>104</v>
      </c>
      <c r="V145" s="6" t="s">
        <v>104</v>
      </c>
      <c r="W145" s="6" t="s">
        <v>104</v>
      </c>
      <c r="X145" s="6" t="s">
        <v>104</v>
      </c>
      <c r="Y145" s="21" t="s">
        <v>104</v>
      </c>
      <c r="Z145" s="6" t="s">
        <v>104</v>
      </c>
      <c r="AA145" s="6" t="s">
        <v>104</v>
      </c>
      <c r="AB145" s="6" t="s">
        <v>104</v>
      </c>
      <c r="AC145" s="6" t="s">
        <v>9714</v>
      </c>
      <c r="AD145" s="16" t="n">
        <v>45211</v>
      </c>
      <c r="AE145" s="6" t="s">
        <v>10647</v>
      </c>
      <c r="AF145" s="6" t="s">
        <v>104</v>
      </c>
      <c r="AG145" s="6" t="s">
        <v>12515</v>
      </c>
      <c r="AH145" s="6" t="s">
        <v>13290</v>
      </c>
      <c r="AI145" s="6" t="s">
        <v>104</v>
      </c>
      <c r="AJ145" s="6" t="s">
        <v>15459</v>
      </c>
      <c r="AK145" s="6" t="s">
        <v>15697</v>
      </c>
      <c r="AL145" s="6" t="s">
        <v>16931</v>
      </c>
      <c r="AM145" s="6" t="s">
        <v>17087</v>
      </c>
      <c r="AN145" s="6" t="s">
        <v>104</v>
      </c>
      <c r="AO145" s="6" t="s">
        <v>104</v>
      </c>
      <c r="AP145" s="6" t="s">
        <v>18992</v>
      </c>
      <c r="AQ145" s="6" t="s">
        <v>104</v>
      </c>
      <c r="AR145" s="6" t="s">
        <v>15928</v>
      </c>
      <c r="AS145" s="6" t="s">
        <v>16687</v>
      </c>
      <c r="AT145" s="6" t="s">
        <v>16931</v>
      </c>
      <c r="AU145" s="6" t="s">
        <v>19818</v>
      </c>
      <c r="AV145" s="6" t="s">
        <v>104</v>
      </c>
      <c r="AW145" s="6" t="s">
        <v>104</v>
      </c>
      <c r="AX145" s="6" t="s">
        <v>104</v>
      </c>
      <c r="AY145" s="6" t="s">
        <v>21968</v>
      </c>
      <c r="AZ145" s="6" t="s">
        <v>104</v>
      </c>
      <c r="BA145" s="6" t="s">
        <v>104</v>
      </c>
      <c r="BB145" s="6" t="s">
        <v>104</v>
      </c>
      <c r="BC145" s="26"/>
      <c r="BD145" s="26"/>
      <c r="BE145" s="26"/>
      <c r="BF145" s="26"/>
      <c r="BG145" s="26"/>
      <c r="BH145" s="26"/>
      <c r="BI145" s="26"/>
      <c r="BJ145" s="26"/>
      <c r="BK145" s="26"/>
      <c r="BL145" s="26"/>
      <c r="BM145" s="26"/>
      <c r="BN145" s="26"/>
      <c r="BO145" s="26"/>
      <c r="BP145" s="16" t="n">
        <v>45616</v>
      </c>
      <c r="BQ145" s="28" t="str">
        <f>HYPERLINK("https://organic.ams.usda.gov/Integrity/Certificate.aspx?cid=1&amp;nopid=9092325101")</f>
        <v>https://organic.ams.usda.gov/Integrity/Certificate.aspx?cid=1&amp;nopid=9092325101</v>
      </c>
    </row>
    <row r="146">
      <c r="A146" t="s">
        <v>3</v>
      </c>
      <c r="B146" s="6" t="s">
        <v>13</v>
      </c>
      <c r="C146" s="6" t="s">
        <v>79</v>
      </c>
      <c r="D146" s="6" t="s">
        <v>144</v>
      </c>
      <c r="E146" s="10" t="s">
        <v>344</v>
      </c>
      <c r="F146" s="6" t="s">
        <v>2604</v>
      </c>
      <c r="G146" s="6" t="s">
        <v>104</v>
      </c>
      <c r="H146" s="6" t="s">
        <v>5022</v>
      </c>
      <c r="I146" s="6" t="s">
        <v>6945</v>
      </c>
      <c r="J146" s="6" t="s">
        <v>8240</v>
      </c>
      <c r="K146" s="6" t="s">
        <v>9714</v>
      </c>
      <c r="L146" s="16" t="n">
        <v>39071</v>
      </c>
      <c r="M146" s="16" t="n">
        <v>46023</v>
      </c>
      <c r="N146" s="6" t="s">
        <v>104</v>
      </c>
      <c r="O146" s="21" t="s">
        <v>104</v>
      </c>
      <c r="P146" s="6" t="s">
        <v>104</v>
      </c>
      <c r="Q146" s="6" t="s">
        <v>104</v>
      </c>
      <c r="R146" s="6" t="s">
        <v>104</v>
      </c>
      <c r="S146" s="6" t="s">
        <v>104</v>
      </c>
      <c r="T146" s="21" t="s">
        <v>104</v>
      </c>
      <c r="U146" s="6" t="s">
        <v>104</v>
      </c>
      <c r="V146" s="6" t="s">
        <v>104</v>
      </c>
      <c r="W146" s="6" t="s">
        <v>104</v>
      </c>
      <c r="X146" s="6" t="s">
        <v>104</v>
      </c>
      <c r="Y146" s="21" t="s">
        <v>104</v>
      </c>
      <c r="Z146" s="6" t="s">
        <v>104</v>
      </c>
      <c r="AA146" s="6" t="s">
        <v>104</v>
      </c>
      <c r="AB146" s="6" t="s">
        <v>104</v>
      </c>
      <c r="AC146" s="6" t="s">
        <v>9714</v>
      </c>
      <c r="AD146" s="16" t="n">
        <v>39071</v>
      </c>
      <c r="AE146" s="6" t="s">
        <v>10648</v>
      </c>
      <c r="AF146" s="6" t="s">
        <v>104</v>
      </c>
      <c r="AG146" s="6" t="s">
        <v>104</v>
      </c>
      <c r="AH146" s="6" t="s">
        <v>104</v>
      </c>
      <c r="AI146" s="6" t="s">
        <v>104</v>
      </c>
      <c r="AJ146" s="6" t="s">
        <v>104</v>
      </c>
      <c r="AK146" s="6" t="s">
        <v>104</v>
      </c>
      <c r="AL146" s="6" t="s">
        <v>104</v>
      </c>
      <c r="AM146" s="6" t="s">
        <v>104</v>
      </c>
      <c r="AN146" s="6" t="s">
        <v>104</v>
      </c>
      <c r="AO146" s="6" t="s">
        <v>104</v>
      </c>
      <c r="AP146" s="6" t="s">
        <v>18993</v>
      </c>
      <c r="AQ146" s="6" t="s">
        <v>104</v>
      </c>
      <c r="AR146" s="6" t="s">
        <v>19601</v>
      </c>
      <c r="AS146" s="6" t="s">
        <v>16686</v>
      </c>
      <c r="AT146" s="6" t="s">
        <v>16931</v>
      </c>
      <c r="AU146" s="6" t="s">
        <v>19819</v>
      </c>
      <c r="AV146" s="6" t="s">
        <v>18472</v>
      </c>
      <c r="AW146" s="6" t="s">
        <v>20076</v>
      </c>
      <c r="AX146" s="6" t="s">
        <v>20227</v>
      </c>
      <c r="AY146" s="6" t="s">
        <v>21969</v>
      </c>
      <c r="AZ146" s="6" t="s">
        <v>104</v>
      </c>
      <c r="BA146" s="6" t="s">
        <v>104</v>
      </c>
      <c r="BB146" s="6" t="s">
        <v>104</v>
      </c>
      <c r="BC146" s="26"/>
      <c r="BD146" s="26"/>
      <c r="BE146" s="26"/>
      <c r="BF146" s="26"/>
      <c r="BG146" s="26"/>
      <c r="BH146" s="26"/>
      <c r="BI146" s="26"/>
      <c r="BJ146" s="26"/>
      <c r="BK146" s="26"/>
      <c r="BL146" s="26"/>
      <c r="BM146" s="26"/>
      <c r="BN146" s="26"/>
      <c r="BO146" s="26"/>
      <c r="BP146" s="16" t="n">
        <v>45685</v>
      </c>
      <c r="BQ146" s="28" t="str">
        <f>HYPERLINK("https://organic.ams.usda.gov/Integrity/Certificate.aspx?cid=62&amp;nopid=8150001265")</f>
        <v>https://organic.ams.usda.gov/Integrity/Certificate.aspx?cid=62&amp;nopid=8150001265</v>
      </c>
    </row>
    <row r="147">
      <c r="A147" t="s">
        <v>3</v>
      </c>
      <c r="B147" s="6" t="s">
        <v>11</v>
      </c>
      <c r="C147" s="6" t="s">
        <v>77</v>
      </c>
      <c r="D147" s="6" t="s">
        <v>142</v>
      </c>
      <c r="E147" s="10" t="s">
        <v>345</v>
      </c>
      <c r="F147" s="6" t="s">
        <v>2605</v>
      </c>
      <c r="G147" s="6" t="s">
        <v>104</v>
      </c>
      <c r="H147" s="6" t="s">
        <v>345</v>
      </c>
      <c r="I147" s="6" t="s">
        <v>7024</v>
      </c>
      <c r="J147" s="6" t="s">
        <v>104</v>
      </c>
      <c r="K147" s="6" t="s">
        <v>9714</v>
      </c>
      <c r="L147" s="16" t="n">
        <v>44929</v>
      </c>
      <c r="M147" s="16" t="n">
        <v>45894</v>
      </c>
      <c r="N147" s="6" t="s">
        <v>104</v>
      </c>
      <c r="O147" s="21" t="s">
        <v>104</v>
      </c>
      <c r="P147" s="6" t="s">
        <v>104</v>
      </c>
      <c r="Q147" s="6" t="s">
        <v>104</v>
      </c>
      <c r="R147" s="6" t="s">
        <v>104</v>
      </c>
      <c r="S147" s="6" t="s">
        <v>104</v>
      </c>
      <c r="T147" s="21" t="s">
        <v>104</v>
      </c>
      <c r="U147" s="6" t="s">
        <v>104</v>
      </c>
      <c r="V147" s="6" t="s">
        <v>104</v>
      </c>
      <c r="W147" s="6" t="s">
        <v>104</v>
      </c>
      <c r="X147" s="6" t="s">
        <v>104</v>
      </c>
      <c r="Y147" s="21" t="s">
        <v>104</v>
      </c>
      <c r="Z147" s="6" t="s">
        <v>104</v>
      </c>
      <c r="AA147" s="6" t="s">
        <v>104</v>
      </c>
      <c r="AB147" s="6" t="s">
        <v>104</v>
      </c>
      <c r="AC147" s="6" t="s">
        <v>9714</v>
      </c>
      <c r="AD147" s="16" t="n">
        <v>44929</v>
      </c>
      <c r="AE147" s="6" t="s">
        <v>10649</v>
      </c>
      <c r="AF147" s="6" t="s">
        <v>104</v>
      </c>
      <c r="AG147" s="6" t="s">
        <v>12516</v>
      </c>
      <c r="AH147" s="6" t="s">
        <v>13291</v>
      </c>
      <c r="AI147" s="6" t="s">
        <v>104</v>
      </c>
      <c r="AJ147" s="6" t="s">
        <v>15460</v>
      </c>
      <c r="AK147" s="6" t="s">
        <v>16718</v>
      </c>
      <c r="AL147" s="6" t="s">
        <v>16932</v>
      </c>
      <c r="AM147" s="6" t="s">
        <v>17088</v>
      </c>
      <c r="AN147" s="6" t="s">
        <v>104</v>
      </c>
      <c r="AO147" s="6" t="s">
        <v>104</v>
      </c>
      <c r="AP147" s="6" t="s">
        <v>13291</v>
      </c>
      <c r="AQ147" s="6" t="s">
        <v>104</v>
      </c>
      <c r="AR147" s="6" t="s">
        <v>15460</v>
      </c>
      <c r="AS147" s="6" t="s">
        <v>16718</v>
      </c>
      <c r="AT147" s="6" t="s">
        <v>16932</v>
      </c>
      <c r="AU147" s="6" t="s">
        <v>17088</v>
      </c>
      <c r="AV147" s="6" t="s">
        <v>104</v>
      </c>
      <c r="AW147" s="6" t="s">
        <v>104</v>
      </c>
      <c r="AX147" s="6" t="s">
        <v>20228</v>
      </c>
      <c r="AY147" s="6" t="s">
        <v>21970</v>
      </c>
      <c r="AZ147" s="6" t="s">
        <v>104</v>
      </c>
      <c r="BA147" s="6" t="s">
        <v>104</v>
      </c>
      <c r="BB147" s="6" t="s">
        <v>104</v>
      </c>
      <c r="BC147" s="26"/>
      <c r="BD147" s="26"/>
      <c r="BE147" s="26"/>
      <c r="BF147" s="26"/>
      <c r="BG147" s="26"/>
      <c r="BH147" s="26"/>
      <c r="BI147" s="26"/>
      <c r="BJ147" s="26"/>
      <c r="BK147" s="26"/>
      <c r="BL147" s="26"/>
      <c r="BM147" s="26"/>
      <c r="BN147" s="26" t="s">
        <v>24533</v>
      </c>
      <c r="BO147" s="26"/>
      <c r="BP147" s="16" t="n">
        <v>45653</v>
      </c>
      <c r="BQ147" s="28" t="str">
        <f>HYPERLINK("https://organic.ams.usda.gov/Integrity/Certificate.aspx?cid=21&amp;nopid=1780889766")</f>
        <v>https://organic.ams.usda.gov/Integrity/Certificate.aspx?cid=21&amp;nopid=1780889766</v>
      </c>
    </row>
    <row r="148">
      <c r="A148" t="s">
        <v>3</v>
      </c>
      <c r="B148" s="6" t="s">
        <v>20</v>
      </c>
      <c r="C148" s="6" t="s">
        <v>86</v>
      </c>
      <c r="D148" s="6" t="s">
        <v>151</v>
      </c>
      <c r="E148" s="10" t="s">
        <v>346</v>
      </c>
      <c r="F148" s="6" t="s">
        <v>2606</v>
      </c>
      <c r="G148" s="6" t="s">
        <v>104</v>
      </c>
      <c r="H148" s="6" t="s">
        <v>5023</v>
      </c>
      <c r="I148" s="6" t="s">
        <v>7025</v>
      </c>
      <c r="J148" s="6" t="s">
        <v>8241</v>
      </c>
      <c r="K148" s="6" t="s">
        <v>9714</v>
      </c>
      <c r="L148" s="16" t="n">
        <v>45586</v>
      </c>
      <c r="M148" s="16" t="n">
        <v>45930</v>
      </c>
      <c r="N148" s="6" t="s">
        <v>104</v>
      </c>
      <c r="O148" s="21" t="s">
        <v>104</v>
      </c>
      <c r="P148" s="6" t="s">
        <v>104</v>
      </c>
      <c r="Q148" s="6" t="s">
        <v>104</v>
      </c>
      <c r="R148" s="6" t="s">
        <v>104</v>
      </c>
      <c r="S148" s="6" t="s">
        <v>104</v>
      </c>
      <c r="T148" s="21" t="s">
        <v>104</v>
      </c>
      <c r="U148" s="6" t="s">
        <v>104</v>
      </c>
      <c r="V148" s="6" t="s">
        <v>104</v>
      </c>
      <c r="W148" s="6" t="s">
        <v>104</v>
      </c>
      <c r="X148" s="6" t="s">
        <v>104</v>
      </c>
      <c r="Y148" s="21" t="s">
        <v>104</v>
      </c>
      <c r="Z148" s="6" t="s">
        <v>104</v>
      </c>
      <c r="AA148" s="6" t="s">
        <v>104</v>
      </c>
      <c r="AB148" s="6" t="s">
        <v>104</v>
      </c>
      <c r="AC148" s="6" t="s">
        <v>9714</v>
      </c>
      <c r="AD148" s="16" t="n">
        <v>45586</v>
      </c>
      <c r="AE148" s="6" t="s">
        <v>10650</v>
      </c>
      <c r="AF148" s="6" t="s">
        <v>104</v>
      </c>
      <c r="AG148" s="6" t="s">
        <v>12517</v>
      </c>
      <c r="AH148" s="6" t="s">
        <v>13292</v>
      </c>
      <c r="AI148" s="6" t="s">
        <v>104</v>
      </c>
      <c r="AJ148" s="6" t="s">
        <v>15461</v>
      </c>
      <c r="AK148" s="6" t="s">
        <v>104</v>
      </c>
      <c r="AL148" s="6" t="s">
        <v>16703</v>
      </c>
      <c r="AM148" s="6" t="s">
        <v>17089</v>
      </c>
      <c r="AN148" s="6" t="s">
        <v>104</v>
      </c>
      <c r="AO148" s="6" t="s">
        <v>104</v>
      </c>
      <c r="AP148" s="6" t="s">
        <v>104</v>
      </c>
      <c r="AQ148" s="6" t="s">
        <v>104</v>
      </c>
      <c r="AR148" s="6" t="s">
        <v>104</v>
      </c>
      <c r="AS148" s="6" t="s">
        <v>104</v>
      </c>
      <c r="AT148" s="6" t="s">
        <v>104</v>
      </c>
      <c r="AU148" s="6" t="s">
        <v>104</v>
      </c>
      <c r="AV148" s="6" t="s">
        <v>104</v>
      </c>
      <c r="AW148" s="6" t="s">
        <v>104</v>
      </c>
      <c r="AX148" s="6" t="s">
        <v>20229</v>
      </c>
      <c r="AY148" s="6" t="s">
        <v>21971</v>
      </c>
      <c r="AZ148" s="6" t="s">
        <v>23715</v>
      </c>
      <c r="BA148" s="6" t="s">
        <v>104</v>
      </c>
      <c r="BB148" s="6" t="s">
        <v>104</v>
      </c>
      <c r="BC148" s="26"/>
      <c r="BD148" s="26"/>
      <c r="BE148" s="26"/>
      <c r="BF148" s="26"/>
      <c r="BG148" s="26"/>
      <c r="BH148" s="26"/>
      <c r="BI148" s="26"/>
      <c r="BJ148" s="26"/>
      <c r="BK148" s="26"/>
      <c r="BL148" s="26"/>
      <c r="BM148" s="26"/>
      <c r="BN148" s="26"/>
      <c r="BO148" s="26"/>
      <c r="BP148" s="16" t="n">
        <v>45587</v>
      </c>
      <c r="BQ148" s="28" t="str">
        <f>HYPERLINK("https://organic.ams.usda.gov/Integrity/Certificate.aspx?cid=17&amp;nopid=4087186029")</f>
        <v>https://organic.ams.usda.gov/Integrity/Certificate.aspx?cid=17&amp;nopid=4087186029</v>
      </c>
    </row>
    <row r="149">
      <c r="A149" t="s">
        <v>3</v>
      </c>
      <c r="B149" s="6" t="s">
        <v>25</v>
      </c>
      <c r="C149" s="6" t="s">
        <v>91</v>
      </c>
      <c r="D149" s="6" t="s">
        <v>156</v>
      </c>
      <c r="E149" s="10" t="s">
        <v>347</v>
      </c>
      <c r="F149" s="6" t="s">
        <v>2607</v>
      </c>
      <c r="G149" s="6" t="s">
        <v>104</v>
      </c>
      <c r="H149" s="6" t="s">
        <v>5024</v>
      </c>
      <c r="I149" s="6" t="s">
        <v>7026</v>
      </c>
      <c r="J149" s="6" t="s">
        <v>8242</v>
      </c>
      <c r="K149" s="6" t="s">
        <v>9714</v>
      </c>
      <c r="L149" s="16" t="n">
        <v>45456</v>
      </c>
      <c r="M149" s="16" t="n">
        <v>45982</v>
      </c>
      <c r="N149" s="6" t="s">
        <v>104</v>
      </c>
      <c r="O149" s="21" t="s">
        <v>104</v>
      </c>
      <c r="P149" s="6" t="s">
        <v>104</v>
      </c>
      <c r="Q149" s="6" t="s">
        <v>104</v>
      </c>
      <c r="R149" s="6" t="s">
        <v>104</v>
      </c>
      <c r="S149" s="6" t="s">
        <v>104</v>
      </c>
      <c r="T149" s="21" t="s">
        <v>104</v>
      </c>
      <c r="U149" s="6" t="s">
        <v>104</v>
      </c>
      <c r="V149" s="6" t="s">
        <v>104</v>
      </c>
      <c r="W149" s="6" t="s">
        <v>104</v>
      </c>
      <c r="X149" s="6" t="s">
        <v>104</v>
      </c>
      <c r="Y149" s="21" t="s">
        <v>104</v>
      </c>
      <c r="Z149" s="6" t="s">
        <v>104</v>
      </c>
      <c r="AA149" s="6" t="s">
        <v>104</v>
      </c>
      <c r="AB149" s="6" t="s">
        <v>104</v>
      </c>
      <c r="AC149" s="6" t="s">
        <v>9714</v>
      </c>
      <c r="AD149" s="16" t="n">
        <v>45456</v>
      </c>
      <c r="AE149" s="6" t="s">
        <v>10651</v>
      </c>
      <c r="AF149" s="6" t="s">
        <v>104</v>
      </c>
      <c r="AG149" s="6" t="s">
        <v>104</v>
      </c>
      <c r="AH149" s="6" t="s">
        <v>13293</v>
      </c>
      <c r="AI149" s="6" t="s">
        <v>104</v>
      </c>
      <c r="AJ149" s="6" t="s">
        <v>15462</v>
      </c>
      <c r="AK149" s="6" t="s">
        <v>15462</v>
      </c>
      <c r="AL149" s="6" t="s">
        <v>16936</v>
      </c>
      <c r="AM149" s="6" t="s">
        <v>17090</v>
      </c>
      <c r="AN149" s="6" t="s">
        <v>104</v>
      </c>
      <c r="AO149" s="6" t="s">
        <v>104</v>
      </c>
      <c r="AP149" s="6" t="s">
        <v>13293</v>
      </c>
      <c r="AQ149" s="6" t="s">
        <v>104</v>
      </c>
      <c r="AR149" s="6" t="s">
        <v>15462</v>
      </c>
      <c r="AS149" s="6" t="s">
        <v>15462</v>
      </c>
      <c r="AT149" s="6" t="s">
        <v>16936</v>
      </c>
      <c r="AU149" s="6" t="s">
        <v>17090</v>
      </c>
      <c r="AV149" s="6" t="s">
        <v>104</v>
      </c>
      <c r="AW149" s="6" t="s">
        <v>104</v>
      </c>
      <c r="AX149" s="6" t="s">
        <v>104</v>
      </c>
      <c r="AY149" s="6" t="s">
        <v>21972</v>
      </c>
      <c r="AZ149" s="6" t="s">
        <v>104</v>
      </c>
      <c r="BA149" s="6" t="s">
        <v>24264</v>
      </c>
      <c r="BB149" s="6" t="s">
        <v>104</v>
      </c>
      <c r="BC149" s="26"/>
      <c r="BD149" s="26"/>
      <c r="BE149" s="26"/>
      <c r="BF149" s="26"/>
      <c r="BG149" s="26"/>
      <c r="BH149" s="26" t="s">
        <v>24533</v>
      </c>
      <c r="BI149" s="26"/>
      <c r="BJ149" s="26"/>
      <c r="BK149" s="26"/>
      <c r="BL149" s="26"/>
      <c r="BM149" s="26"/>
      <c r="BN149" s="26"/>
      <c r="BO149" s="26"/>
      <c r="BP149" s="16" t="n">
        <v>45685</v>
      </c>
      <c r="BQ149" s="28" t="str">
        <f>HYPERLINK("https://organic.ams.usda.gov/Integrity/Certificate.aspx?cid=66&amp;nopid=5500007146")</f>
        <v>https://organic.ams.usda.gov/Integrity/Certificate.aspx?cid=66&amp;nopid=5500007146</v>
      </c>
    </row>
    <row r="150">
      <c r="A150" t="s">
        <v>3</v>
      </c>
      <c r="B150" s="6" t="s">
        <v>25</v>
      </c>
      <c r="C150" s="6" t="s">
        <v>91</v>
      </c>
      <c r="D150" s="6" t="s">
        <v>156</v>
      </c>
      <c r="E150" s="10" t="s">
        <v>348</v>
      </c>
      <c r="F150" s="6" t="s">
        <v>2608</v>
      </c>
      <c r="G150" s="6" t="s">
        <v>104</v>
      </c>
      <c r="H150" s="6" t="s">
        <v>5025</v>
      </c>
      <c r="I150" s="6" t="s">
        <v>7026</v>
      </c>
      <c r="J150" s="6" t="s">
        <v>8242</v>
      </c>
      <c r="K150" s="6" t="s">
        <v>9714</v>
      </c>
      <c r="L150" s="16" t="n">
        <v>45359</v>
      </c>
      <c r="M150" s="16" t="n">
        <v>45789</v>
      </c>
      <c r="N150" s="6" t="s">
        <v>104</v>
      </c>
      <c r="O150" s="21" t="s">
        <v>104</v>
      </c>
      <c r="P150" s="6" t="s">
        <v>104</v>
      </c>
      <c r="Q150" s="6" t="s">
        <v>104</v>
      </c>
      <c r="R150" s="6" t="s">
        <v>104</v>
      </c>
      <c r="S150" s="6" t="s">
        <v>104</v>
      </c>
      <c r="T150" s="21" t="s">
        <v>104</v>
      </c>
      <c r="U150" s="6" t="s">
        <v>104</v>
      </c>
      <c r="V150" s="6" t="s">
        <v>104</v>
      </c>
      <c r="W150" s="6" t="s">
        <v>104</v>
      </c>
      <c r="X150" s="6" t="s">
        <v>104</v>
      </c>
      <c r="Y150" s="21" t="s">
        <v>104</v>
      </c>
      <c r="Z150" s="6" t="s">
        <v>104</v>
      </c>
      <c r="AA150" s="6" t="s">
        <v>104</v>
      </c>
      <c r="AB150" s="6" t="s">
        <v>104</v>
      </c>
      <c r="AC150" s="6" t="s">
        <v>9714</v>
      </c>
      <c r="AD150" s="16" t="n">
        <v>45359</v>
      </c>
      <c r="AE150" s="6" t="s">
        <v>10652</v>
      </c>
      <c r="AF150" s="6" t="s">
        <v>104</v>
      </c>
      <c r="AG150" s="6" t="s">
        <v>104</v>
      </c>
      <c r="AH150" s="6" t="s">
        <v>13294</v>
      </c>
      <c r="AI150" s="6" t="s">
        <v>104</v>
      </c>
      <c r="AJ150" s="6" t="s">
        <v>15463</v>
      </c>
      <c r="AK150" s="6" t="s">
        <v>16719</v>
      </c>
      <c r="AL150" s="6" t="s">
        <v>16898</v>
      </c>
      <c r="AM150" s="6" t="s">
        <v>17091</v>
      </c>
      <c r="AN150" s="6" t="s">
        <v>104</v>
      </c>
      <c r="AO150" s="6" t="s">
        <v>104</v>
      </c>
      <c r="AP150" s="6" t="s">
        <v>13294</v>
      </c>
      <c r="AQ150" s="6" t="s">
        <v>104</v>
      </c>
      <c r="AR150" s="6" t="s">
        <v>15463</v>
      </c>
      <c r="AS150" s="6" t="s">
        <v>16719</v>
      </c>
      <c r="AT150" s="6" t="s">
        <v>16898</v>
      </c>
      <c r="AU150" s="6" t="s">
        <v>17091</v>
      </c>
      <c r="AV150" s="6" t="s">
        <v>104</v>
      </c>
      <c r="AW150" s="6" t="s">
        <v>104</v>
      </c>
      <c r="AX150" s="6" t="s">
        <v>20230</v>
      </c>
      <c r="AY150" s="6" t="s">
        <v>21972</v>
      </c>
      <c r="AZ150" s="6" t="s">
        <v>104</v>
      </c>
      <c r="BA150" s="6" t="s">
        <v>24264</v>
      </c>
      <c r="BB150" s="6" t="s">
        <v>104</v>
      </c>
      <c r="BC150" s="26"/>
      <c r="BD150" s="26"/>
      <c r="BE150" s="26"/>
      <c r="BF150" s="26"/>
      <c r="BG150" s="26"/>
      <c r="BH150" s="26" t="s">
        <v>24533</v>
      </c>
      <c r="BI150" s="26"/>
      <c r="BJ150" s="26"/>
      <c r="BK150" s="26"/>
      <c r="BL150" s="26"/>
      <c r="BM150" s="26"/>
      <c r="BN150" s="26"/>
      <c r="BO150" s="26"/>
      <c r="BP150" s="16" t="n">
        <v>45653</v>
      </c>
      <c r="BQ150" s="28" t="str">
        <f>HYPERLINK("https://organic.ams.usda.gov/Integrity/Certificate.aspx?cid=66&amp;nopid=5500007143")</f>
        <v>https://organic.ams.usda.gov/Integrity/Certificate.aspx?cid=66&amp;nopid=5500007143</v>
      </c>
    </row>
    <row r="151">
      <c r="A151" t="s">
        <v>3</v>
      </c>
      <c r="B151" s="6" t="s">
        <v>8</v>
      </c>
      <c r="C151" s="6" t="s">
        <v>74</v>
      </c>
      <c r="D151" s="6" t="s">
        <v>139</v>
      </c>
      <c r="E151" s="10" t="s">
        <v>349</v>
      </c>
      <c r="F151" s="6" t="s">
        <v>2609</v>
      </c>
      <c r="G151" s="6" t="s">
        <v>4683</v>
      </c>
      <c r="H151" s="6" t="s">
        <v>349</v>
      </c>
      <c r="I151" s="6" t="s">
        <v>7027</v>
      </c>
      <c r="J151" s="6" t="s">
        <v>7190</v>
      </c>
      <c r="K151" s="6" t="s">
        <v>9714</v>
      </c>
      <c r="L151" s="16" t="n">
        <v>43700</v>
      </c>
      <c r="M151" s="16" t="n">
        <v>45915</v>
      </c>
      <c r="N151" s="6" t="s">
        <v>104</v>
      </c>
      <c r="O151" s="21" t="s">
        <v>104</v>
      </c>
      <c r="P151" s="6" t="s">
        <v>104</v>
      </c>
      <c r="Q151" s="6" t="s">
        <v>104</v>
      </c>
      <c r="R151" s="6" t="s">
        <v>104</v>
      </c>
      <c r="S151" s="6" t="s">
        <v>104</v>
      </c>
      <c r="T151" s="21" t="s">
        <v>104</v>
      </c>
      <c r="U151" s="6" t="s">
        <v>104</v>
      </c>
      <c r="V151" s="6" t="s">
        <v>104</v>
      </c>
      <c r="W151" s="6" t="s">
        <v>104</v>
      </c>
      <c r="X151" s="6" t="s">
        <v>104</v>
      </c>
      <c r="Y151" s="21" t="s">
        <v>104</v>
      </c>
      <c r="Z151" s="6" t="s">
        <v>104</v>
      </c>
      <c r="AA151" s="6" t="s">
        <v>104</v>
      </c>
      <c r="AB151" s="6" t="s">
        <v>104</v>
      </c>
      <c r="AC151" s="6" t="s">
        <v>9714</v>
      </c>
      <c r="AD151" s="16" t="n">
        <v>43700</v>
      </c>
      <c r="AE151" s="6" t="s">
        <v>10653</v>
      </c>
      <c r="AF151" s="6" t="s">
        <v>104</v>
      </c>
      <c r="AG151" s="6" t="s">
        <v>104</v>
      </c>
      <c r="AH151" s="6" t="s">
        <v>13295</v>
      </c>
      <c r="AI151" s="6" t="s">
        <v>104</v>
      </c>
      <c r="AJ151" s="6" t="s">
        <v>15464</v>
      </c>
      <c r="AK151" s="6" t="s">
        <v>16679</v>
      </c>
      <c r="AL151" s="6" t="s">
        <v>16931</v>
      </c>
      <c r="AM151" s="6" t="s">
        <v>17092</v>
      </c>
      <c r="AN151" s="6" t="s">
        <v>18481</v>
      </c>
      <c r="AO151" s="6" t="s">
        <v>18591</v>
      </c>
      <c r="AP151" s="6" t="s">
        <v>18994</v>
      </c>
      <c r="AQ151" s="6" t="s">
        <v>104</v>
      </c>
      <c r="AR151" s="6" t="s">
        <v>19602</v>
      </c>
      <c r="AS151" s="6" t="s">
        <v>16705</v>
      </c>
      <c r="AT151" s="6" t="s">
        <v>16931</v>
      </c>
      <c r="AU151" s="6" t="s">
        <v>19820</v>
      </c>
      <c r="AV151" s="6" t="s">
        <v>104</v>
      </c>
      <c r="AW151" s="6" t="s">
        <v>104</v>
      </c>
      <c r="AX151" s="6" t="s">
        <v>20231</v>
      </c>
      <c r="AY151" s="6" t="s">
        <v>21973</v>
      </c>
      <c r="AZ151" s="6" t="s">
        <v>23716</v>
      </c>
      <c r="BA151" s="6" t="s">
        <v>104</v>
      </c>
      <c r="BB151" s="6" t="s">
        <v>104</v>
      </c>
      <c r="BC151" s="26"/>
      <c r="BD151" s="26"/>
      <c r="BE151" s="26"/>
      <c r="BF151" s="26"/>
      <c r="BG151" s="26"/>
      <c r="BH151" s="26"/>
      <c r="BI151" s="26"/>
      <c r="BJ151" s="26"/>
      <c r="BK151" s="26"/>
      <c r="BL151" s="26"/>
      <c r="BM151" s="26"/>
      <c r="BN151" s="26"/>
      <c r="BO151" s="26"/>
      <c r="BP151" s="16" t="n">
        <v>45736</v>
      </c>
      <c r="BQ151" s="28" t="str">
        <f>HYPERLINK("https://organic.ams.usda.gov/Integrity/Certificate.aspx?cid=48&amp;nopid=1461021704")</f>
        <v>https://organic.ams.usda.gov/Integrity/Certificate.aspx?cid=48&amp;nopid=1461021704</v>
      </c>
    </row>
    <row r="152">
      <c r="A152" t="s">
        <v>3</v>
      </c>
      <c r="B152" s="6" t="s">
        <v>13</v>
      </c>
      <c r="C152" s="6" t="s">
        <v>79</v>
      </c>
      <c r="D152" s="6" t="s">
        <v>144</v>
      </c>
      <c r="E152" s="10" t="s">
        <v>350</v>
      </c>
      <c r="F152" s="6" t="s">
        <v>2610</v>
      </c>
      <c r="G152" s="6" t="s">
        <v>104</v>
      </c>
      <c r="H152" s="6" t="s">
        <v>5026</v>
      </c>
      <c r="I152" s="6" t="s">
        <v>7028</v>
      </c>
      <c r="J152" s="6" t="s">
        <v>7560</v>
      </c>
      <c r="K152" s="6" t="s">
        <v>9714</v>
      </c>
      <c r="L152" s="16" t="n">
        <v>43124</v>
      </c>
      <c r="M152" s="16" t="n">
        <v>46023</v>
      </c>
      <c r="N152" s="6" t="s">
        <v>104</v>
      </c>
      <c r="O152" s="21" t="s">
        <v>104</v>
      </c>
      <c r="P152" s="6" t="s">
        <v>104</v>
      </c>
      <c r="Q152" s="6" t="s">
        <v>104</v>
      </c>
      <c r="R152" s="6" t="s">
        <v>104</v>
      </c>
      <c r="S152" s="6" t="s">
        <v>104</v>
      </c>
      <c r="T152" s="21" t="s">
        <v>104</v>
      </c>
      <c r="U152" s="6" t="s">
        <v>104</v>
      </c>
      <c r="V152" s="6" t="s">
        <v>104</v>
      </c>
      <c r="W152" s="6" t="s">
        <v>104</v>
      </c>
      <c r="X152" s="6" t="s">
        <v>104</v>
      </c>
      <c r="Y152" s="21" t="s">
        <v>104</v>
      </c>
      <c r="Z152" s="6" t="s">
        <v>104</v>
      </c>
      <c r="AA152" s="6" t="s">
        <v>104</v>
      </c>
      <c r="AB152" s="6" t="s">
        <v>104</v>
      </c>
      <c r="AC152" s="6" t="s">
        <v>9714</v>
      </c>
      <c r="AD152" s="16" t="n">
        <v>43124</v>
      </c>
      <c r="AE152" s="6" t="s">
        <v>10654</v>
      </c>
      <c r="AF152" s="6" t="s">
        <v>104</v>
      </c>
      <c r="AG152" s="6" t="s">
        <v>104</v>
      </c>
      <c r="AH152" s="6" t="s">
        <v>104</v>
      </c>
      <c r="AI152" s="6" t="s">
        <v>104</v>
      </c>
      <c r="AJ152" s="6" t="s">
        <v>104</v>
      </c>
      <c r="AK152" s="6" t="s">
        <v>104</v>
      </c>
      <c r="AL152" s="6" t="s">
        <v>104</v>
      </c>
      <c r="AM152" s="6" t="s">
        <v>104</v>
      </c>
      <c r="AN152" s="6" t="s">
        <v>104</v>
      </c>
      <c r="AO152" s="6" t="s">
        <v>104</v>
      </c>
      <c r="AP152" s="6" t="s">
        <v>18995</v>
      </c>
      <c r="AQ152" s="6" t="s">
        <v>104</v>
      </c>
      <c r="AR152" s="6" t="s">
        <v>19603</v>
      </c>
      <c r="AS152" s="6" t="s">
        <v>16705</v>
      </c>
      <c r="AT152" s="6" t="s">
        <v>16931</v>
      </c>
      <c r="AU152" s="6" t="s">
        <v>19821</v>
      </c>
      <c r="AV152" s="6" t="s">
        <v>18502</v>
      </c>
      <c r="AW152" s="6" t="s">
        <v>18598</v>
      </c>
      <c r="AX152" s="6" t="s">
        <v>20232</v>
      </c>
      <c r="AY152" s="6" t="s">
        <v>21974</v>
      </c>
      <c r="AZ152" s="6" t="s">
        <v>104</v>
      </c>
      <c r="BA152" s="6" t="s">
        <v>104</v>
      </c>
      <c r="BB152" s="6" t="s">
        <v>104</v>
      </c>
      <c r="BC152" s="26"/>
      <c r="BD152" s="26"/>
      <c r="BE152" s="26" t="s">
        <v>24533</v>
      </c>
      <c r="BF152" s="26"/>
      <c r="BG152" s="26"/>
      <c r="BH152" s="26"/>
      <c r="BI152" s="26"/>
      <c r="BJ152" s="26"/>
      <c r="BK152" s="26"/>
      <c r="BL152" s="26"/>
      <c r="BM152" s="26"/>
      <c r="BN152" s="26"/>
      <c r="BO152" s="26"/>
      <c r="BP152" s="16" t="n">
        <v>45638</v>
      </c>
      <c r="BQ152" s="28" t="str">
        <f>HYPERLINK("https://organic.ams.usda.gov/Integrity/Certificate.aspx?cid=62&amp;nopid=8150003821")</f>
        <v>https://organic.ams.usda.gov/Integrity/Certificate.aspx?cid=62&amp;nopid=8150003821</v>
      </c>
    </row>
    <row r="153">
      <c r="A153" t="s">
        <v>3</v>
      </c>
      <c r="B153" s="6" t="s">
        <v>21</v>
      </c>
      <c r="C153" s="6" t="s">
        <v>87</v>
      </c>
      <c r="D153" s="6" t="s">
        <v>152</v>
      </c>
      <c r="E153" s="10" t="s">
        <v>351</v>
      </c>
      <c r="F153" s="6" t="s">
        <v>2611</v>
      </c>
      <c r="G153" s="6" t="s">
        <v>4684</v>
      </c>
      <c r="H153" s="6" t="s">
        <v>5027</v>
      </c>
      <c r="I153" s="6" t="s">
        <v>7029</v>
      </c>
      <c r="J153" s="6" t="s">
        <v>8243</v>
      </c>
      <c r="K153" s="6" t="s">
        <v>9714</v>
      </c>
      <c r="L153" s="16" t="n">
        <v>39751</v>
      </c>
      <c r="M153" s="16" t="n">
        <v>46023</v>
      </c>
      <c r="N153" s="6" t="s">
        <v>104</v>
      </c>
      <c r="O153" s="21" t="s">
        <v>104</v>
      </c>
      <c r="P153" s="6" t="s">
        <v>104</v>
      </c>
      <c r="Q153" s="6" t="s">
        <v>104</v>
      </c>
      <c r="R153" s="6" t="s">
        <v>104</v>
      </c>
      <c r="S153" s="6" t="s">
        <v>104</v>
      </c>
      <c r="T153" s="21" t="s">
        <v>104</v>
      </c>
      <c r="U153" s="6" t="s">
        <v>104</v>
      </c>
      <c r="V153" s="6" t="s">
        <v>104</v>
      </c>
      <c r="W153" s="6" t="s">
        <v>104</v>
      </c>
      <c r="X153" s="6" t="s">
        <v>104</v>
      </c>
      <c r="Y153" s="21" t="s">
        <v>104</v>
      </c>
      <c r="Z153" s="6" t="s">
        <v>104</v>
      </c>
      <c r="AA153" s="6" t="s">
        <v>104</v>
      </c>
      <c r="AB153" s="6" t="s">
        <v>104</v>
      </c>
      <c r="AC153" s="6" t="s">
        <v>9714</v>
      </c>
      <c r="AD153" s="16" t="n">
        <v>39751</v>
      </c>
      <c r="AE153" s="6" t="s">
        <v>10655</v>
      </c>
      <c r="AF153" s="6" t="s">
        <v>104</v>
      </c>
      <c r="AG153" s="6" t="s">
        <v>104</v>
      </c>
      <c r="AH153" s="6" t="s">
        <v>13296</v>
      </c>
      <c r="AI153" s="6" t="s">
        <v>104</v>
      </c>
      <c r="AJ153" s="6" t="s">
        <v>15465</v>
      </c>
      <c r="AK153" s="6" t="s">
        <v>16687</v>
      </c>
      <c r="AL153" s="6" t="s">
        <v>16931</v>
      </c>
      <c r="AM153" s="6" t="s">
        <v>17093</v>
      </c>
      <c r="AN153" s="6" t="s">
        <v>18481</v>
      </c>
      <c r="AO153" s="6" t="s">
        <v>18592</v>
      </c>
      <c r="AP153" s="6" t="s">
        <v>13296</v>
      </c>
      <c r="AQ153" s="6" t="s">
        <v>104</v>
      </c>
      <c r="AR153" s="6" t="s">
        <v>15465</v>
      </c>
      <c r="AS153" s="6" t="s">
        <v>16687</v>
      </c>
      <c r="AT153" s="6" t="s">
        <v>16931</v>
      </c>
      <c r="AU153" s="6" t="s">
        <v>17093</v>
      </c>
      <c r="AV153" s="6" t="s">
        <v>104</v>
      </c>
      <c r="AW153" s="6" t="s">
        <v>104</v>
      </c>
      <c r="AX153" s="6" t="s">
        <v>20233</v>
      </c>
      <c r="AY153" s="6" t="s">
        <v>21975</v>
      </c>
      <c r="AZ153" s="6" t="s">
        <v>23717</v>
      </c>
      <c r="BA153" s="6" t="s">
        <v>24284</v>
      </c>
      <c r="BB153" s="6" t="s">
        <v>104</v>
      </c>
      <c r="BC153" s="26"/>
      <c r="BD153" s="26"/>
      <c r="BE153" s="26"/>
      <c r="BF153" s="26"/>
      <c r="BG153" s="26"/>
      <c r="BH153" s="26"/>
      <c r="BI153" s="26"/>
      <c r="BJ153" s="26"/>
      <c r="BK153" s="26"/>
      <c r="BL153" s="26"/>
      <c r="BM153" s="26"/>
      <c r="BN153" s="26"/>
      <c r="BO153" s="26"/>
      <c r="BP153" s="16" t="n">
        <v>45687</v>
      </c>
      <c r="BQ153" s="28" t="str">
        <f>HYPERLINK("https://organic.ams.usda.gov/Integrity/Certificate.aspx?cid=15&amp;nopid=5561002463")</f>
        <v>https://organic.ams.usda.gov/Integrity/Certificate.aspx?cid=15&amp;nopid=5561002463</v>
      </c>
    </row>
    <row r="154">
      <c r="A154" t="s">
        <v>3</v>
      </c>
      <c r="B154" s="6" t="s">
        <v>13</v>
      </c>
      <c r="C154" s="6" t="s">
        <v>79</v>
      </c>
      <c r="D154" s="6" t="s">
        <v>144</v>
      </c>
      <c r="E154" s="10" t="s">
        <v>352</v>
      </c>
      <c r="F154" s="6" t="s">
        <v>2611</v>
      </c>
      <c r="G154" s="6" t="s">
        <v>104</v>
      </c>
      <c r="H154" s="6" t="s">
        <v>5028</v>
      </c>
      <c r="I154" s="6" t="s">
        <v>7030</v>
      </c>
      <c r="J154" s="6" t="s">
        <v>8244</v>
      </c>
      <c r="K154" s="6" t="s">
        <v>9714</v>
      </c>
      <c r="L154" s="16" t="n">
        <v>44490</v>
      </c>
      <c r="M154" s="16" t="n">
        <v>46023</v>
      </c>
      <c r="N154" s="6" t="s">
        <v>104</v>
      </c>
      <c r="O154" s="21" t="s">
        <v>104</v>
      </c>
      <c r="P154" s="6" t="s">
        <v>104</v>
      </c>
      <c r="Q154" s="6" t="s">
        <v>104</v>
      </c>
      <c r="R154" s="6" t="s">
        <v>104</v>
      </c>
      <c r="S154" s="6" t="s">
        <v>104</v>
      </c>
      <c r="T154" s="21" t="s">
        <v>104</v>
      </c>
      <c r="U154" s="6" t="s">
        <v>104</v>
      </c>
      <c r="V154" s="6" t="s">
        <v>104</v>
      </c>
      <c r="W154" s="6" t="s">
        <v>104</v>
      </c>
      <c r="X154" s="6" t="s">
        <v>104</v>
      </c>
      <c r="Y154" s="21" t="s">
        <v>104</v>
      </c>
      <c r="Z154" s="6" t="s">
        <v>104</v>
      </c>
      <c r="AA154" s="6" t="s">
        <v>104</v>
      </c>
      <c r="AB154" s="6" t="s">
        <v>104</v>
      </c>
      <c r="AC154" s="6" t="s">
        <v>9714</v>
      </c>
      <c r="AD154" s="16" t="n">
        <v>44490</v>
      </c>
      <c r="AE154" s="6" t="s">
        <v>10656</v>
      </c>
      <c r="AF154" s="6" t="s">
        <v>104</v>
      </c>
      <c r="AG154" s="6" t="s">
        <v>104</v>
      </c>
      <c r="AH154" s="6" t="s">
        <v>104</v>
      </c>
      <c r="AI154" s="6" t="s">
        <v>104</v>
      </c>
      <c r="AJ154" s="6" t="s">
        <v>104</v>
      </c>
      <c r="AK154" s="6" t="s">
        <v>104</v>
      </c>
      <c r="AL154" s="6" t="s">
        <v>104</v>
      </c>
      <c r="AM154" s="6" t="s">
        <v>104</v>
      </c>
      <c r="AN154" s="6" t="s">
        <v>104</v>
      </c>
      <c r="AO154" s="6" t="s">
        <v>104</v>
      </c>
      <c r="AP154" s="6" t="s">
        <v>18996</v>
      </c>
      <c r="AQ154" s="6" t="s">
        <v>104</v>
      </c>
      <c r="AR154" s="6" t="s">
        <v>15901</v>
      </c>
      <c r="AS154" s="6" t="s">
        <v>16730</v>
      </c>
      <c r="AT154" s="6" t="s">
        <v>16931</v>
      </c>
      <c r="AU154" s="6" t="s">
        <v>18049</v>
      </c>
      <c r="AV154" s="6" t="s">
        <v>18468</v>
      </c>
      <c r="AW154" s="6" t="s">
        <v>20077</v>
      </c>
      <c r="AX154" s="6" t="s">
        <v>20234</v>
      </c>
      <c r="AY154" s="6" t="s">
        <v>21976</v>
      </c>
      <c r="AZ154" s="6" t="s">
        <v>104</v>
      </c>
      <c r="BA154" s="6" t="s">
        <v>104</v>
      </c>
      <c r="BB154" s="6" t="s">
        <v>104</v>
      </c>
      <c r="BC154" s="26"/>
      <c r="BD154" s="26"/>
      <c r="BE154" s="26"/>
      <c r="BF154" s="26"/>
      <c r="BG154" s="26"/>
      <c r="BH154" s="26"/>
      <c r="BI154" s="26"/>
      <c r="BJ154" s="26"/>
      <c r="BK154" s="26"/>
      <c r="BL154" s="26"/>
      <c r="BM154" s="26"/>
      <c r="BN154" s="26" t="s">
        <v>24533</v>
      </c>
      <c r="BO154" s="26"/>
      <c r="BP154" s="16" t="n">
        <v>45664</v>
      </c>
      <c r="BQ154" s="28" t="str">
        <f>HYPERLINK("https://organic.ams.usda.gov/Integrity/Certificate.aspx?cid=62&amp;nopid=8150017697")</f>
        <v>https://organic.ams.usda.gov/Integrity/Certificate.aspx?cid=62&amp;nopid=8150017697</v>
      </c>
    </row>
    <row r="155">
      <c r="A155" t="s">
        <v>3</v>
      </c>
      <c r="B155" s="6" t="s">
        <v>12</v>
      </c>
      <c r="C155" s="6" t="s">
        <v>78</v>
      </c>
      <c r="D155" s="6" t="s">
        <v>143</v>
      </c>
      <c r="E155" s="10" t="s">
        <v>353</v>
      </c>
      <c r="F155" s="6" t="s">
        <v>2611</v>
      </c>
      <c r="G155" s="6" t="s">
        <v>104</v>
      </c>
      <c r="H155" s="6" t="s">
        <v>104</v>
      </c>
      <c r="I155" s="6" t="s">
        <v>7006</v>
      </c>
      <c r="J155" s="6" t="s">
        <v>8245</v>
      </c>
      <c r="K155" s="6" t="s">
        <v>9714</v>
      </c>
      <c r="L155" s="16" t="n">
        <v>44445</v>
      </c>
      <c r="M155" s="16" t="n">
        <v>45809</v>
      </c>
      <c r="N155" s="6" t="s">
        <v>104</v>
      </c>
      <c r="O155" s="21" t="s">
        <v>104</v>
      </c>
      <c r="P155" s="6" t="s">
        <v>104</v>
      </c>
      <c r="Q155" s="6" t="s">
        <v>104</v>
      </c>
      <c r="R155" s="6" t="s">
        <v>104</v>
      </c>
      <c r="S155" s="6" t="s">
        <v>104</v>
      </c>
      <c r="T155" s="21" t="s">
        <v>104</v>
      </c>
      <c r="U155" s="6" t="s">
        <v>104</v>
      </c>
      <c r="V155" s="6" t="s">
        <v>104</v>
      </c>
      <c r="W155" s="6" t="s">
        <v>104</v>
      </c>
      <c r="X155" s="6" t="s">
        <v>104</v>
      </c>
      <c r="Y155" s="21" t="s">
        <v>104</v>
      </c>
      <c r="Z155" s="6" t="s">
        <v>104</v>
      </c>
      <c r="AA155" s="6" t="s">
        <v>104</v>
      </c>
      <c r="AB155" s="6" t="s">
        <v>104</v>
      </c>
      <c r="AC155" s="6" t="s">
        <v>9714</v>
      </c>
      <c r="AD155" s="16" t="n">
        <v>44445</v>
      </c>
      <c r="AE155" s="6" t="s">
        <v>10657</v>
      </c>
      <c r="AF155" s="6" t="s">
        <v>104</v>
      </c>
      <c r="AG155" s="6" t="s">
        <v>12518</v>
      </c>
      <c r="AH155" s="6" t="s">
        <v>13297</v>
      </c>
      <c r="AI155" s="6" t="s">
        <v>104</v>
      </c>
      <c r="AJ155" s="6" t="s">
        <v>15466</v>
      </c>
      <c r="AK155" s="6" t="s">
        <v>16720</v>
      </c>
      <c r="AL155" s="6" t="s">
        <v>16931</v>
      </c>
      <c r="AM155" s="6" t="s">
        <v>17094</v>
      </c>
      <c r="AN155" s="6" t="s">
        <v>17970</v>
      </c>
      <c r="AO155" s="6" t="s">
        <v>18593</v>
      </c>
      <c r="AP155" s="6" t="s">
        <v>18997</v>
      </c>
      <c r="AQ155" s="6" t="s">
        <v>104</v>
      </c>
      <c r="AR155" s="6" t="s">
        <v>15901</v>
      </c>
      <c r="AS155" s="6" t="s">
        <v>16730</v>
      </c>
      <c r="AT155" s="6" t="s">
        <v>16931</v>
      </c>
      <c r="AU155" s="6" t="s">
        <v>19822</v>
      </c>
      <c r="AV155" s="6" t="s">
        <v>104</v>
      </c>
      <c r="AW155" s="6" t="s">
        <v>104</v>
      </c>
      <c r="AX155" s="6" t="s">
        <v>104</v>
      </c>
      <c r="AY155" s="6" t="s">
        <v>21977</v>
      </c>
      <c r="AZ155" s="6" t="s">
        <v>104</v>
      </c>
      <c r="BA155" s="6" t="s">
        <v>104</v>
      </c>
      <c r="BB155" s="6" t="s">
        <v>104</v>
      </c>
      <c r="BC155" s="26"/>
      <c r="BD155" s="26"/>
      <c r="BE155" s="26"/>
      <c r="BF155" s="26"/>
      <c r="BG155" s="26"/>
      <c r="BH155" s="26"/>
      <c r="BI155" s="26"/>
      <c r="BJ155" s="26"/>
      <c r="BK155" s="26"/>
      <c r="BL155" s="26"/>
      <c r="BM155" s="26"/>
      <c r="BN155" s="26"/>
      <c r="BO155" s="26"/>
      <c r="BP155" s="16" t="n">
        <v>45735</v>
      </c>
      <c r="BQ155" s="28" t="str">
        <f>HYPERLINK("https://organic.ams.usda.gov/Integrity/Certificate.aspx?cid=1&amp;nopid=9092120701")</f>
        <v>https://organic.ams.usda.gov/Integrity/Certificate.aspx?cid=1&amp;nopid=9092120701</v>
      </c>
    </row>
    <row r="156">
      <c r="A156" t="s">
        <v>3</v>
      </c>
      <c r="B156" s="6" t="s">
        <v>13</v>
      </c>
      <c r="C156" s="6" t="s">
        <v>79</v>
      </c>
      <c r="D156" s="6" t="s">
        <v>144</v>
      </c>
      <c r="E156" s="10" t="s">
        <v>354</v>
      </c>
      <c r="F156" s="6" t="s">
        <v>2612</v>
      </c>
      <c r="G156" s="6" t="s">
        <v>104</v>
      </c>
      <c r="H156" s="6" t="s">
        <v>5029</v>
      </c>
      <c r="I156" s="6" t="s">
        <v>7031</v>
      </c>
      <c r="J156" s="6" t="s">
        <v>8246</v>
      </c>
      <c r="K156" s="6" t="s">
        <v>9714</v>
      </c>
      <c r="L156" s="16" t="n">
        <v>37375</v>
      </c>
      <c r="M156" s="16" t="n">
        <v>45748</v>
      </c>
      <c r="N156" s="6" t="s">
        <v>104</v>
      </c>
      <c r="O156" s="21" t="s">
        <v>104</v>
      </c>
      <c r="P156" s="6" t="s">
        <v>104</v>
      </c>
      <c r="Q156" s="6" t="s">
        <v>104</v>
      </c>
      <c r="R156" s="6" t="s">
        <v>104</v>
      </c>
      <c r="S156" s="6" t="s">
        <v>104</v>
      </c>
      <c r="T156" s="21" t="s">
        <v>104</v>
      </c>
      <c r="U156" s="6" t="s">
        <v>104</v>
      </c>
      <c r="V156" s="6" t="s">
        <v>104</v>
      </c>
      <c r="W156" s="6" t="s">
        <v>104</v>
      </c>
      <c r="X156" s="6" t="s">
        <v>104</v>
      </c>
      <c r="Y156" s="21" t="s">
        <v>104</v>
      </c>
      <c r="Z156" s="6" t="s">
        <v>104</v>
      </c>
      <c r="AA156" s="6" t="s">
        <v>104</v>
      </c>
      <c r="AB156" s="6" t="s">
        <v>104</v>
      </c>
      <c r="AC156" s="6" t="s">
        <v>9714</v>
      </c>
      <c r="AD156" s="16" t="n">
        <v>37375</v>
      </c>
      <c r="AE156" s="6" t="s">
        <v>10658</v>
      </c>
      <c r="AF156" s="6" t="s">
        <v>104</v>
      </c>
      <c r="AG156" s="6" t="s">
        <v>104</v>
      </c>
      <c r="AH156" s="6" t="s">
        <v>104</v>
      </c>
      <c r="AI156" s="6" t="s">
        <v>104</v>
      </c>
      <c r="AJ156" s="6" t="s">
        <v>104</v>
      </c>
      <c r="AK156" s="6" t="s">
        <v>104</v>
      </c>
      <c r="AL156" s="6" t="s">
        <v>104</v>
      </c>
      <c r="AM156" s="6" t="s">
        <v>104</v>
      </c>
      <c r="AN156" s="6" t="s">
        <v>104</v>
      </c>
      <c r="AO156" s="6" t="s">
        <v>104</v>
      </c>
      <c r="AP156" s="6" t="s">
        <v>18998</v>
      </c>
      <c r="AQ156" s="6" t="s">
        <v>104</v>
      </c>
      <c r="AR156" s="6" t="s">
        <v>15901</v>
      </c>
      <c r="AS156" s="6" t="s">
        <v>16730</v>
      </c>
      <c r="AT156" s="6" t="s">
        <v>16931</v>
      </c>
      <c r="AU156" s="6" t="s">
        <v>19822</v>
      </c>
      <c r="AV156" s="6" t="s">
        <v>18468</v>
      </c>
      <c r="AW156" s="6" t="s">
        <v>20077</v>
      </c>
      <c r="AX156" s="6" t="s">
        <v>20235</v>
      </c>
      <c r="AY156" s="6" t="s">
        <v>21978</v>
      </c>
      <c r="AZ156" s="6" t="s">
        <v>104</v>
      </c>
      <c r="BA156" s="6" t="s">
        <v>104</v>
      </c>
      <c r="BB156" s="6" t="s">
        <v>104</v>
      </c>
      <c r="BC156" s="26"/>
      <c r="BD156" s="26"/>
      <c r="BE156" s="26"/>
      <c r="BF156" s="26"/>
      <c r="BG156" s="26"/>
      <c r="BH156" s="26"/>
      <c r="BI156" s="26"/>
      <c r="BJ156" s="26"/>
      <c r="BK156" s="26"/>
      <c r="BL156" s="26"/>
      <c r="BM156" s="26"/>
      <c r="BN156" s="26"/>
      <c r="BO156" s="26"/>
      <c r="BP156" s="16" t="n">
        <v>45686</v>
      </c>
      <c r="BQ156" s="28" t="str">
        <f>HYPERLINK("https://organic.ams.usda.gov/Integrity/Certificate.aspx?cid=62&amp;nopid=8150000523")</f>
        <v>https://organic.ams.usda.gov/Integrity/Certificate.aspx?cid=62&amp;nopid=8150000523</v>
      </c>
    </row>
    <row r="157">
      <c r="A157" t="s">
        <v>3</v>
      </c>
      <c r="B157" s="6" t="s">
        <v>29</v>
      </c>
      <c r="C157" s="6" t="s">
        <v>95</v>
      </c>
      <c r="D157" s="6" t="s">
        <v>160</v>
      </c>
      <c r="E157" s="10" t="s">
        <v>355</v>
      </c>
      <c r="F157" s="6" t="s">
        <v>2613</v>
      </c>
      <c r="G157" s="6" t="s">
        <v>104</v>
      </c>
      <c r="H157" s="6" t="s">
        <v>5030</v>
      </c>
      <c r="I157" s="6" t="s">
        <v>104</v>
      </c>
      <c r="J157" s="6" t="s">
        <v>8247</v>
      </c>
      <c r="K157" s="6" t="s">
        <v>9714</v>
      </c>
      <c r="L157" s="16" t="n">
        <v>41466</v>
      </c>
      <c r="M157" s="16" t="n">
        <v>45870</v>
      </c>
      <c r="N157" s="6" t="s">
        <v>104</v>
      </c>
      <c r="O157" s="21" t="s">
        <v>104</v>
      </c>
      <c r="P157" s="6" t="s">
        <v>104</v>
      </c>
      <c r="Q157" s="6" t="s">
        <v>104</v>
      </c>
      <c r="R157" s="6" t="s">
        <v>104</v>
      </c>
      <c r="S157" s="6" t="s">
        <v>104</v>
      </c>
      <c r="T157" s="21" t="s">
        <v>104</v>
      </c>
      <c r="U157" s="6" t="s">
        <v>104</v>
      </c>
      <c r="V157" s="6" t="s">
        <v>104</v>
      </c>
      <c r="W157" s="6" t="s">
        <v>104</v>
      </c>
      <c r="X157" s="6" t="s">
        <v>9714</v>
      </c>
      <c r="Y157" s="16" t="n">
        <v>41466</v>
      </c>
      <c r="Z157" s="6" t="s">
        <v>10517</v>
      </c>
      <c r="AA157" s="6" t="s">
        <v>104</v>
      </c>
      <c r="AB157" s="6" t="s">
        <v>104</v>
      </c>
      <c r="AC157" s="6" t="s">
        <v>9714</v>
      </c>
      <c r="AD157" s="16" t="n">
        <v>41466</v>
      </c>
      <c r="AE157" s="6" t="s">
        <v>10659</v>
      </c>
      <c r="AF157" s="6" t="s">
        <v>104</v>
      </c>
      <c r="AG157" s="6" t="s">
        <v>104</v>
      </c>
      <c r="AH157" s="6" t="s">
        <v>13298</v>
      </c>
      <c r="AI157" s="6" t="s">
        <v>104</v>
      </c>
      <c r="AJ157" s="6" t="s">
        <v>15467</v>
      </c>
      <c r="AK157" s="6" t="s">
        <v>16721</v>
      </c>
      <c r="AL157" s="6" t="s">
        <v>16947</v>
      </c>
      <c r="AM157" s="6" t="s">
        <v>17095</v>
      </c>
      <c r="AN157" s="6" t="s">
        <v>104</v>
      </c>
      <c r="AO157" s="6" t="s">
        <v>104</v>
      </c>
      <c r="AP157" s="6" t="s">
        <v>104</v>
      </c>
      <c r="AQ157" s="6" t="s">
        <v>104</v>
      </c>
      <c r="AR157" s="6" t="s">
        <v>104</v>
      </c>
      <c r="AS157" s="6" t="s">
        <v>104</v>
      </c>
      <c r="AT157" s="6" t="s">
        <v>104</v>
      </c>
      <c r="AU157" s="6" t="s">
        <v>104</v>
      </c>
      <c r="AV157" s="6" t="s">
        <v>104</v>
      </c>
      <c r="AW157" s="6" t="s">
        <v>104</v>
      </c>
      <c r="AX157" s="6" t="s">
        <v>104</v>
      </c>
      <c r="AY157" s="6" t="s">
        <v>21979</v>
      </c>
      <c r="AZ157" s="6" t="s">
        <v>104</v>
      </c>
      <c r="BA157" s="6" t="s">
        <v>104</v>
      </c>
      <c r="BB157" s="24" t="n">
        <v>1038</v>
      </c>
      <c r="BC157" s="26"/>
      <c r="BD157" s="26"/>
      <c r="BE157" s="26"/>
      <c r="BF157" s="26"/>
      <c r="BG157" s="26"/>
      <c r="BH157" s="26"/>
      <c r="BI157" s="26"/>
      <c r="BJ157" s="26"/>
      <c r="BK157" s="26"/>
      <c r="BL157" s="26"/>
      <c r="BM157" s="26"/>
      <c r="BN157" s="26"/>
      <c r="BO157" s="26"/>
      <c r="BP157" s="16" t="n">
        <v>45554</v>
      </c>
      <c r="BQ157" s="28" t="str">
        <f>HYPERLINK("https://organic.ams.usda.gov/Integrity/Certificate.aspx?cid=24&amp;nopid=7881191860")</f>
        <v>https://organic.ams.usda.gov/Integrity/Certificate.aspx?cid=24&amp;nopid=7881191860</v>
      </c>
    </row>
    <row r="158">
      <c r="A158" t="s">
        <v>3</v>
      </c>
      <c r="B158" s="6" t="s">
        <v>25</v>
      </c>
      <c r="C158" s="6" t="s">
        <v>91</v>
      </c>
      <c r="D158" s="6" t="s">
        <v>156</v>
      </c>
      <c r="E158" s="10" t="s">
        <v>356</v>
      </c>
      <c r="F158" s="6" t="s">
        <v>2614</v>
      </c>
      <c r="G158" s="6" t="s">
        <v>104</v>
      </c>
      <c r="H158" s="6" t="s">
        <v>5031</v>
      </c>
      <c r="I158" s="6" t="s">
        <v>6939</v>
      </c>
      <c r="J158" s="6" t="s">
        <v>8151</v>
      </c>
      <c r="K158" s="6" t="s">
        <v>9714</v>
      </c>
      <c r="L158" s="16" t="n">
        <v>42210</v>
      </c>
      <c r="M158" s="16" t="n">
        <v>45705</v>
      </c>
      <c r="N158" s="6" t="s">
        <v>104</v>
      </c>
      <c r="O158" s="21" t="s">
        <v>104</v>
      </c>
      <c r="P158" s="6" t="s">
        <v>104</v>
      </c>
      <c r="Q158" s="6" t="s">
        <v>104</v>
      </c>
      <c r="R158" s="6" t="s">
        <v>104</v>
      </c>
      <c r="S158" s="6" t="s">
        <v>104</v>
      </c>
      <c r="T158" s="21" t="s">
        <v>104</v>
      </c>
      <c r="U158" s="6" t="s">
        <v>104</v>
      </c>
      <c r="V158" s="6" t="s">
        <v>104</v>
      </c>
      <c r="W158" s="6" t="s">
        <v>104</v>
      </c>
      <c r="X158" s="6" t="s">
        <v>104</v>
      </c>
      <c r="Y158" s="21" t="s">
        <v>104</v>
      </c>
      <c r="Z158" s="6" t="s">
        <v>104</v>
      </c>
      <c r="AA158" s="6" t="s">
        <v>104</v>
      </c>
      <c r="AB158" s="6" t="s">
        <v>104</v>
      </c>
      <c r="AC158" s="6" t="s">
        <v>9714</v>
      </c>
      <c r="AD158" s="16" t="n">
        <v>42210</v>
      </c>
      <c r="AE158" s="6" t="s">
        <v>10660</v>
      </c>
      <c r="AF158" s="6" t="s">
        <v>104</v>
      </c>
      <c r="AG158" s="6" t="s">
        <v>104</v>
      </c>
      <c r="AH158" s="6" t="s">
        <v>13299</v>
      </c>
      <c r="AI158" s="6" t="s">
        <v>104</v>
      </c>
      <c r="AJ158" s="6" t="s">
        <v>15468</v>
      </c>
      <c r="AK158" s="6" t="s">
        <v>16722</v>
      </c>
      <c r="AL158" s="6" t="s">
        <v>16930</v>
      </c>
      <c r="AM158" s="6" t="s">
        <v>104</v>
      </c>
      <c r="AN158" s="6" t="s">
        <v>104</v>
      </c>
      <c r="AO158" s="6" t="s">
        <v>104</v>
      </c>
      <c r="AP158" s="6" t="s">
        <v>18999</v>
      </c>
      <c r="AQ158" s="6" t="s">
        <v>104</v>
      </c>
      <c r="AR158" s="6" t="s">
        <v>15468</v>
      </c>
      <c r="AS158" s="6" t="s">
        <v>16722</v>
      </c>
      <c r="AT158" s="6" t="s">
        <v>16930</v>
      </c>
      <c r="AU158" s="6" t="s">
        <v>19823</v>
      </c>
      <c r="AV158" s="6" t="s">
        <v>104</v>
      </c>
      <c r="AW158" s="6" t="s">
        <v>104</v>
      </c>
      <c r="AX158" s="6" t="s">
        <v>20137</v>
      </c>
      <c r="AY158" s="6" t="s">
        <v>21875</v>
      </c>
      <c r="AZ158" s="6" t="s">
        <v>104</v>
      </c>
      <c r="BA158" s="6" t="s">
        <v>24264</v>
      </c>
      <c r="BB158" s="6" t="s">
        <v>104</v>
      </c>
      <c r="BC158" s="26"/>
      <c r="BD158" s="26"/>
      <c r="BE158" s="26"/>
      <c r="BF158" s="26"/>
      <c r="BG158" s="26"/>
      <c r="BH158" s="26"/>
      <c r="BI158" s="26"/>
      <c r="BJ158" s="26"/>
      <c r="BK158" s="26"/>
      <c r="BL158" s="26"/>
      <c r="BM158" s="26"/>
      <c r="BN158" s="26"/>
      <c r="BO158" s="26"/>
      <c r="BP158" s="16" t="n">
        <v>45572</v>
      </c>
      <c r="BQ158" s="28" t="str">
        <f>HYPERLINK("https://organic.ams.usda.gov/Integrity/Certificate.aspx?cid=66&amp;nopid=5500004925")</f>
        <v>https://organic.ams.usda.gov/Integrity/Certificate.aspx?cid=66&amp;nopid=5500004925</v>
      </c>
    </row>
    <row r="159">
      <c r="A159" t="s">
        <v>3</v>
      </c>
      <c r="B159" s="6" t="s">
        <v>38</v>
      </c>
      <c r="C159" s="6" t="s">
        <v>104</v>
      </c>
      <c r="D159" s="6" t="s">
        <v>104</v>
      </c>
      <c r="E159" s="10" t="s">
        <v>357</v>
      </c>
      <c r="F159" s="6" t="s">
        <v>2615</v>
      </c>
      <c r="G159" s="6" t="s">
        <v>4685</v>
      </c>
      <c r="H159" s="6" t="s">
        <v>5032</v>
      </c>
      <c r="I159" s="6" t="s">
        <v>7032</v>
      </c>
      <c r="J159" s="6" t="s">
        <v>8248</v>
      </c>
      <c r="K159" s="6" t="s">
        <v>9714</v>
      </c>
      <c r="L159" s="16" t="n">
        <v>42529</v>
      </c>
      <c r="M159" s="16" t="n">
        <v>45816</v>
      </c>
      <c r="N159" s="6" t="s">
        <v>104</v>
      </c>
      <c r="O159" s="21" t="s">
        <v>104</v>
      </c>
      <c r="P159" s="6" t="s">
        <v>104</v>
      </c>
      <c r="Q159" s="6" t="s">
        <v>104</v>
      </c>
      <c r="R159" s="6" t="s">
        <v>104</v>
      </c>
      <c r="S159" s="6" t="s">
        <v>104</v>
      </c>
      <c r="T159" s="21" t="s">
        <v>104</v>
      </c>
      <c r="U159" s="6" t="s">
        <v>104</v>
      </c>
      <c r="V159" s="6" t="s">
        <v>104</v>
      </c>
      <c r="W159" s="6" t="s">
        <v>104</v>
      </c>
      <c r="X159" s="6" t="s">
        <v>104</v>
      </c>
      <c r="Y159" s="21" t="s">
        <v>104</v>
      </c>
      <c r="Z159" s="6" t="s">
        <v>104</v>
      </c>
      <c r="AA159" s="6" t="s">
        <v>104</v>
      </c>
      <c r="AB159" s="6" t="s">
        <v>104</v>
      </c>
      <c r="AC159" s="6" t="s">
        <v>9714</v>
      </c>
      <c r="AD159" s="16" t="n">
        <v>42529</v>
      </c>
      <c r="AE159" s="6" t="s">
        <v>10661</v>
      </c>
      <c r="AF159" s="6" t="s">
        <v>104</v>
      </c>
      <c r="AG159" s="6" t="s">
        <v>5032</v>
      </c>
      <c r="AH159" s="6" t="s">
        <v>13300</v>
      </c>
      <c r="AI159" s="6" t="s">
        <v>104</v>
      </c>
      <c r="AJ159" s="6" t="s">
        <v>15469</v>
      </c>
      <c r="AK159" s="6" t="s">
        <v>16715</v>
      </c>
      <c r="AL159" s="6" t="s">
        <v>16931</v>
      </c>
      <c r="AM159" s="6" t="s">
        <v>17096</v>
      </c>
      <c r="AN159" s="6" t="s">
        <v>104</v>
      </c>
      <c r="AO159" s="6" t="s">
        <v>104</v>
      </c>
      <c r="AP159" s="6" t="s">
        <v>13300</v>
      </c>
      <c r="AQ159" s="6" t="s">
        <v>104</v>
      </c>
      <c r="AR159" s="6" t="s">
        <v>15469</v>
      </c>
      <c r="AS159" s="6" t="s">
        <v>16715</v>
      </c>
      <c r="AT159" s="6" t="s">
        <v>16931</v>
      </c>
      <c r="AU159" s="6" t="s">
        <v>17096</v>
      </c>
      <c r="AV159" s="6" t="s">
        <v>104</v>
      </c>
      <c r="AW159" s="6" t="s">
        <v>104</v>
      </c>
      <c r="AX159" s="6" t="s">
        <v>20236</v>
      </c>
      <c r="AY159" s="6" t="s">
        <v>21980</v>
      </c>
      <c r="AZ159" s="6" t="s">
        <v>23718</v>
      </c>
      <c r="BA159" s="6" t="s">
        <v>24285</v>
      </c>
      <c r="BB159" s="6" t="s">
        <v>104</v>
      </c>
      <c r="BC159" s="26"/>
      <c r="BD159" s="26"/>
      <c r="BE159" s="26"/>
      <c r="BF159" s="26"/>
      <c r="BG159" s="26"/>
      <c r="BH159" s="26"/>
      <c r="BI159" s="26"/>
      <c r="BJ159" s="26"/>
      <c r="BK159" s="26"/>
      <c r="BL159" s="26"/>
      <c r="BM159" s="26"/>
      <c r="BN159" s="26"/>
      <c r="BO159" s="26"/>
      <c r="BP159" s="16" t="n">
        <v>45733</v>
      </c>
      <c r="BQ159" s="28" t="str">
        <f>HYPERLINK("")</f>
      </c>
    </row>
    <row r="160">
      <c r="A160" t="s">
        <v>3</v>
      </c>
      <c r="B160" s="6" t="s">
        <v>41</v>
      </c>
      <c r="C160" s="6" t="s">
        <v>107</v>
      </c>
      <c r="D160" s="6" t="s">
        <v>171</v>
      </c>
      <c r="E160" s="10" t="s">
        <v>358</v>
      </c>
      <c r="F160" s="6" t="s">
        <v>2616</v>
      </c>
      <c r="G160" s="6" t="s">
        <v>4686</v>
      </c>
      <c r="H160" s="6" t="s">
        <v>5033</v>
      </c>
      <c r="I160" s="6" t="s">
        <v>7033</v>
      </c>
      <c r="J160" s="6" t="s">
        <v>8249</v>
      </c>
      <c r="K160" s="6" t="s">
        <v>9714</v>
      </c>
      <c r="L160" s="16" t="n">
        <v>38668</v>
      </c>
      <c r="M160" s="16" t="n">
        <v>46157</v>
      </c>
      <c r="N160" s="6" t="s">
        <v>9714</v>
      </c>
      <c r="O160" s="16" t="n">
        <v>38668</v>
      </c>
      <c r="P160" s="6" t="s">
        <v>9772</v>
      </c>
      <c r="Q160" s="6" t="s">
        <v>104</v>
      </c>
      <c r="R160" s="6" t="s">
        <v>104</v>
      </c>
      <c r="S160" s="6" t="s">
        <v>9714</v>
      </c>
      <c r="T160" s="16" t="n">
        <v>38668</v>
      </c>
      <c r="U160" s="6" t="s">
        <v>10467</v>
      </c>
      <c r="V160" s="6" t="s">
        <v>104</v>
      </c>
      <c r="W160" s="6" t="s">
        <v>104</v>
      </c>
      <c r="X160" s="6" t="s">
        <v>104</v>
      </c>
      <c r="Y160" s="21" t="s">
        <v>104</v>
      </c>
      <c r="Z160" s="6" t="s">
        <v>104</v>
      </c>
      <c r="AA160" s="6" t="s">
        <v>104</v>
      </c>
      <c r="AB160" s="6" t="s">
        <v>104</v>
      </c>
      <c r="AC160" s="6" t="s">
        <v>9714</v>
      </c>
      <c r="AD160" s="16" t="n">
        <v>38668</v>
      </c>
      <c r="AE160" s="6" t="s">
        <v>10662</v>
      </c>
      <c r="AF160" s="6" t="s">
        <v>104</v>
      </c>
      <c r="AG160" s="6" t="s">
        <v>104</v>
      </c>
      <c r="AH160" s="6" t="s">
        <v>13301</v>
      </c>
      <c r="AI160" s="6" t="s">
        <v>104</v>
      </c>
      <c r="AJ160" s="6" t="s">
        <v>15470</v>
      </c>
      <c r="AK160" s="6" t="s">
        <v>16688</v>
      </c>
      <c r="AL160" s="6" t="s">
        <v>16931</v>
      </c>
      <c r="AM160" s="6" t="s">
        <v>17097</v>
      </c>
      <c r="AN160" s="6" t="s">
        <v>18482</v>
      </c>
      <c r="AO160" s="6" t="s">
        <v>18594</v>
      </c>
      <c r="AP160" s="6" t="s">
        <v>13301</v>
      </c>
      <c r="AQ160" s="6" t="s">
        <v>104</v>
      </c>
      <c r="AR160" s="6" t="s">
        <v>15470</v>
      </c>
      <c r="AS160" s="6" t="s">
        <v>16688</v>
      </c>
      <c r="AT160" s="6" t="s">
        <v>16931</v>
      </c>
      <c r="AU160" s="6" t="s">
        <v>17097</v>
      </c>
      <c r="AV160" s="6" t="s">
        <v>104</v>
      </c>
      <c r="AW160" s="6" t="s">
        <v>104</v>
      </c>
      <c r="AX160" s="6" t="s">
        <v>20237</v>
      </c>
      <c r="AY160" s="6" t="s">
        <v>104</v>
      </c>
      <c r="AZ160" s="6" t="s">
        <v>104</v>
      </c>
      <c r="BA160" s="6" t="s">
        <v>104</v>
      </c>
      <c r="BB160" s="24" t="n">
        <v>324</v>
      </c>
      <c r="BC160" s="26"/>
      <c r="BD160" s="26"/>
      <c r="BE160" s="26"/>
      <c r="BF160" s="26" t="s">
        <v>24533</v>
      </c>
      <c r="BG160" s="26"/>
      <c r="BH160" s="26"/>
      <c r="BI160" s="26"/>
      <c r="BJ160" s="26"/>
      <c r="BK160" s="26" t="s">
        <v>24533</v>
      </c>
      <c r="BL160" s="26"/>
      <c r="BM160" s="26"/>
      <c r="BN160" s="26"/>
      <c r="BO160" s="26"/>
      <c r="BP160" s="16" t="n">
        <v>45737</v>
      </c>
      <c r="BQ160" s="28" t="str">
        <f>HYPERLINK("https://organic.ams.usda.gov/Integrity/Certificate.aspx?cid=58&amp;nopid=1600000984")</f>
        <v>https://organic.ams.usda.gov/Integrity/Certificate.aspx?cid=58&amp;nopid=1600000984</v>
      </c>
    </row>
    <row r="161">
      <c r="A161" t="s">
        <v>3</v>
      </c>
      <c r="B161" s="6" t="s">
        <v>35</v>
      </c>
      <c r="C161" s="6" t="s">
        <v>101</v>
      </c>
      <c r="D161" s="6" t="s">
        <v>166</v>
      </c>
      <c r="E161" s="10" t="s">
        <v>359</v>
      </c>
      <c r="F161" s="6" t="s">
        <v>2617</v>
      </c>
      <c r="G161" s="6" t="s">
        <v>104</v>
      </c>
      <c r="H161" s="6" t="s">
        <v>5034</v>
      </c>
      <c r="I161" s="6" t="s">
        <v>7034</v>
      </c>
      <c r="J161" s="6" t="s">
        <v>8250</v>
      </c>
      <c r="K161" s="6" t="s">
        <v>9714</v>
      </c>
      <c r="L161" s="16" t="n">
        <v>43593</v>
      </c>
      <c r="M161" s="16" t="n">
        <v>45716</v>
      </c>
      <c r="N161" s="6" t="s">
        <v>9721</v>
      </c>
      <c r="O161" s="16" t="n">
        <v>45091</v>
      </c>
      <c r="P161" s="6" t="s">
        <v>104</v>
      </c>
      <c r="Q161" s="6" t="s">
        <v>104</v>
      </c>
      <c r="R161" s="6" t="s">
        <v>104</v>
      </c>
      <c r="S161" s="6" t="s">
        <v>104</v>
      </c>
      <c r="T161" s="21" t="s">
        <v>104</v>
      </c>
      <c r="U161" s="6" t="s">
        <v>104</v>
      </c>
      <c r="V161" s="6" t="s">
        <v>104</v>
      </c>
      <c r="W161" s="6" t="s">
        <v>104</v>
      </c>
      <c r="X161" s="6" t="s">
        <v>104</v>
      </c>
      <c r="Y161" s="21" t="s">
        <v>104</v>
      </c>
      <c r="Z161" s="6" t="s">
        <v>104</v>
      </c>
      <c r="AA161" s="6" t="s">
        <v>104</v>
      </c>
      <c r="AB161" s="6" t="s">
        <v>104</v>
      </c>
      <c r="AC161" s="6" t="s">
        <v>9714</v>
      </c>
      <c r="AD161" s="16" t="n">
        <v>43593</v>
      </c>
      <c r="AE161" s="6" t="s">
        <v>10663</v>
      </c>
      <c r="AF161" s="6" t="s">
        <v>104</v>
      </c>
      <c r="AG161" s="6" t="s">
        <v>104</v>
      </c>
      <c r="AH161" s="6" t="s">
        <v>13302</v>
      </c>
      <c r="AI161" s="6" t="s">
        <v>104</v>
      </c>
      <c r="AJ161" s="6" t="s">
        <v>15471</v>
      </c>
      <c r="AK161" s="6" t="s">
        <v>104</v>
      </c>
      <c r="AL161" s="6" t="s">
        <v>16898</v>
      </c>
      <c r="AM161" s="6" t="s">
        <v>104</v>
      </c>
      <c r="AN161" s="6" t="s">
        <v>104</v>
      </c>
      <c r="AO161" s="6" t="s">
        <v>104</v>
      </c>
      <c r="AP161" s="6" t="s">
        <v>13302</v>
      </c>
      <c r="AQ161" s="6" t="s">
        <v>104</v>
      </c>
      <c r="AR161" s="6" t="s">
        <v>15471</v>
      </c>
      <c r="AS161" s="6" t="s">
        <v>104</v>
      </c>
      <c r="AT161" s="6" t="s">
        <v>16898</v>
      </c>
      <c r="AU161" s="6" t="s">
        <v>104</v>
      </c>
      <c r="AV161" s="6" t="s">
        <v>104</v>
      </c>
      <c r="AW161" s="6" t="s">
        <v>104</v>
      </c>
      <c r="AX161" s="6" t="s">
        <v>20238</v>
      </c>
      <c r="AY161" s="6" t="s">
        <v>21981</v>
      </c>
      <c r="AZ161" s="6" t="s">
        <v>23719</v>
      </c>
      <c r="BA161" s="6" t="s">
        <v>24286</v>
      </c>
      <c r="BB161" s="24" t="n">
        <v>1726</v>
      </c>
      <c r="BC161" s="26"/>
      <c r="BD161" s="26"/>
      <c r="BE161" s="26"/>
      <c r="BF161" s="26"/>
      <c r="BG161" s="26"/>
      <c r="BH161" s="26"/>
      <c r="BI161" s="26"/>
      <c r="BJ161" s="26"/>
      <c r="BK161" s="26"/>
      <c r="BL161" s="26"/>
      <c r="BM161" s="26"/>
      <c r="BN161" s="26"/>
      <c r="BO161" s="26"/>
      <c r="BP161" s="16" t="n">
        <v>45538</v>
      </c>
      <c r="BQ161" s="28" t="str">
        <f>HYPERLINK("https://organic.ams.usda.gov/Integrity/Certificate.aspx?cid=84&amp;nopid=5380000463")</f>
        <v>https://organic.ams.usda.gov/Integrity/Certificate.aspx?cid=84&amp;nopid=5380000463</v>
      </c>
    </row>
    <row r="162">
      <c r="A162" t="s">
        <v>3</v>
      </c>
      <c r="B162" s="6" t="s">
        <v>11</v>
      </c>
      <c r="C162" s="6" t="s">
        <v>77</v>
      </c>
      <c r="D162" s="6" t="s">
        <v>142</v>
      </c>
      <c r="E162" s="10" t="s">
        <v>360</v>
      </c>
      <c r="F162" s="6" t="s">
        <v>2618</v>
      </c>
      <c r="G162" s="6" t="s">
        <v>104</v>
      </c>
      <c r="H162" s="6" t="s">
        <v>104</v>
      </c>
      <c r="I162" s="6" t="s">
        <v>7035</v>
      </c>
      <c r="J162" s="6" t="s">
        <v>8251</v>
      </c>
      <c r="K162" s="6" t="s">
        <v>9714</v>
      </c>
      <c r="L162" s="16" t="n">
        <v>43754</v>
      </c>
      <c r="M162" s="16" t="n">
        <v>45932</v>
      </c>
      <c r="N162" s="6" t="s">
        <v>9714</v>
      </c>
      <c r="O162" s="16" t="n">
        <v>43754</v>
      </c>
      <c r="P162" s="6" t="s">
        <v>9773</v>
      </c>
      <c r="Q162" s="6" t="s">
        <v>104</v>
      </c>
      <c r="R162" s="6" t="s">
        <v>104</v>
      </c>
      <c r="S162" s="6" t="s">
        <v>104</v>
      </c>
      <c r="T162" s="21" t="s">
        <v>104</v>
      </c>
      <c r="U162" s="6" t="s">
        <v>104</v>
      </c>
      <c r="V162" s="6" t="s">
        <v>104</v>
      </c>
      <c r="W162" s="6" t="s">
        <v>104</v>
      </c>
      <c r="X162" s="6" t="s">
        <v>104</v>
      </c>
      <c r="Y162" s="21" t="s">
        <v>104</v>
      </c>
      <c r="Z162" s="6" t="s">
        <v>104</v>
      </c>
      <c r="AA162" s="6" t="s">
        <v>104</v>
      </c>
      <c r="AB162" s="6" t="s">
        <v>104</v>
      </c>
      <c r="AC162" s="6" t="s">
        <v>9714</v>
      </c>
      <c r="AD162" s="16" t="n">
        <v>43754</v>
      </c>
      <c r="AE162" s="6" t="s">
        <v>10664</v>
      </c>
      <c r="AF162" s="6" t="s">
        <v>104</v>
      </c>
      <c r="AG162" s="6" t="s">
        <v>104</v>
      </c>
      <c r="AH162" s="6" t="s">
        <v>13303</v>
      </c>
      <c r="AI162" s="6" t="s">
        <v>104</v>
      </c>
      <c r="AJ162" s="6" t="s">
        <v>104</v>
      </c>
      <c r="AK162" s="6" t="s">
        <v>104</v>
      </c>
      <c r="AL162" s="6" t="s">
        <v>16940</v>
      </c>
      <c r="AM162" s="6" t="s">
        <v>104</v>
      </c>
      <c r="AN162" s="6" t="s">
        <v>104</v>
      </c>
      <c r="AO162" s="6" t="s">
        <v>104</v>
      </c>
      <c r="AP162" s="6" t="s">
        <v>104</v>
      </c>
      <c r="AQ162" s="6" t="s">
        <v>104</v>
      </c>
      <c r="AR162" s="6" t="s">
        <v>104</v>
      </c>
      <c r="AS162" s="6" t="s">
        <v>104</v>
      </c>
      <c r="AT162" s="6" t="s">
        <v>104</v>
      </c>
      <c r="AU162" s="6" t="s">
        <v>104</v>
      </c>
      <c r="AV162" s="6" t="s">
        <v>104</v>
      </c>
      <c r="AW162" s="6" t="s">
        <v>104</v>
      </c>
      <c r="AX162" s="6" t="s">
        <v>104</v>
      </c>
      <c r="AY162" s="6" t="s">
        <v>21982</v>
      </c>
      <c r="AZ162" s="6" t="s">
        <v>104</v>
      </c>
      <c r="BA162" s="6" t="s">
        <v>104</v>
      </c>
      <c r="BB162" s="24" t="n">
        <v>9907</v>
      </c>
      <c r="BC162" s="26"/>
      <c r="BD162" s="26"/>
      <c r="BE162" s="26"/>
      <c r="BF162" s="26"/>
      <c r="BG162" s="26"/>
      <c r="BH162" s="26"/>
      <c r="BI162" s="26"/>
      <c r="BJ162" s="26"/>
      <c r="BK162" s="26"/>
      <c r="BL162" s="26"/>
      <c r="BM162" s="26"/>
      <c r="BN162" s="26"/>
      <c r="BO162" s="26"/>
      <c r="BP162" s="16" t="n">
        <v>45624</v>
      </c>
      <c r="BQ162" s="28" t="str">
        <f>HYPERLINK("https://organic.ams.usda.gov/Integrity/Certificate.aspx?cid=21&amp;nopid=1780867097")</f>
        <v>https://organic.ams.usda.gov/Integrity/Certificate.aspx?cid=21&amp;nopid=1780867097</v>
      </c>
    </row>
    <row r="163">
      <c r="A163" t="s">
        <v>3</v>
      </c>
      <c r="B163" s="6" t="s">
        <v>29</v>
      </c>
      <c r="C163" s="6" t="s">
        <v>95</v>
      </c>
      <c r="D163" s="6" t="s">
        <v>160</v>
      </c>
      <c r="E163" s="10" t="s">
        <v>361</v>
      </c>
      <c r="F163" s="6" t="s">
        <v>2619</v>
      </c>
      <c r="G163" s="6" t="s">
        <v>104</v>
      </c>
      <c r="H163" s="6" t="s">
        <v>5035</v>
      </c>
      <c r="I163" s="6" t="s">
        <v>104</v>
      </c>
      <c r="J163" s="6" t="s">
        <v>8252</v>
      </c>
      <c r="K163" s="6" t="s">
        <v>9714</v>
      </c>
      <c r="L163" s="16" t="n">
        <v>44404</v>
      </c>
      <c r="M163" s="16" t="n">
        <v>45778</v>
      </c>
      <c r="N163" s="6" t="s">
        <v>104</v>
      </c>
      <c r="O163" s="21" t="s">
        <v>104</v>
      </c>
      <c r="P163" s="6" t="s">
        <v>104</v>
      </c>
      <c r="Q163" s="6" t="s">
        <v>104</v>
      </c>
      <c r="R163" s="6" t="s">
        <v>104</v>
      </c>
      <c r="S163" s="6" t="s">
        <v>104</v>
      </c>
      <c r="T163" s="21" t="s">
        <v>104</v>
      </c>
      <c r="U163" s="6" t="s">
        <v>104</v>
      </c>
      <c r="V163" s="6" t="s">
        <v>104</v>
      </c>
      <c r="W163" s="6" t="s">
        <v>104</v>
      </c>
      <c r="X163" s="6" t="s">
        <v>104</v>
      </c>
      <c r="Y163" s="21" t="s">
        <v>104</v>
      </c>
      <c r="Z163" s="6" t="s">
        <v>104</v>
      </c>
      <c r="AA163" s="6" t="s">
        <v>104</v>
      </c>
      <c r="AB163" s="6" t="s">
        <v>104</v>
      </c>
      <c r="AC163" s="6" t="s">
        <v>9714</v>
      </c>
      <c r="AD163" s="16" t="n">
        <v>44404</v>
      </c>
      <c r="AE163" s="6" t="s">
        <v>10665</v>
      </c>
      <c r="AF163" s="6" t="s">
        <v>104</v>
      </c>
      <c r="AG163" s="6" t="s">
        <v>104</v>
      </c>
      <c r="AH163" s="6" t="s">
        <v>13304</v>
      </c>
      <c r="AI163" s="6" t="s">
        <v>104</v>
      </c>
      <c r="AJ163" s="6" t="s">
        <v>15472</v>
      </c>
      <c r="AK163" s="6" t="s">
        <v>16723</v>
      </c>
      <c r="AL163" s="6" t="s">
        <v>16948</v>
      </c>
      <c r="AM163" s="6" t="s">
        <v>17098</v>
      </c>
      <c r="AN163" s="6" t="s">
        <v>104</v>
      </c>
      <c r="AO163" s="6" t="s">
        <v>104</v>
      </c>
      <c r="AP163" s="6" t="s">
        <v>104</v>
      </c>
      <c r="AQ163" s="6" t="s">
        <v>104</v>
      </c>
      <c r="AR163" s="6" t="s">
        <v>104</v>
      </c>
      <c r="AS163" s="6" t="s">
        <v>104</v>
      </c>
      <c r="AT163" s="6" t="s">
        <v>104</v>
      </c>
      <c r="AU163" s="6" t="s">
        <v>104</v>
      </c>
      <c r="AV163" s="6" t="s">
        <v>104</v>
      </c>
      <c r="AW163" s="6" t="s">
        <v>104</v>
      </c>
      <c r="AX163" s="6" t="s">
        <v>20239</v>
      </c>
      <c r="AY163" s="6" t="s">
        <v>21983</v>
      </c>
      <c r="AZ163" s="6" t="s">
        <v>23720</v>
      </c>
      <c r="BA163" s="6" t="s">
        <v>104</v>
      </c>
      <c r="BB163" s="24" t="n">
        <v>0</v>
      </c>
      <c r="BC163" s="26"/>
      <c r="BD163" s="26"/>
      <c r="BE163" s="26"/>
      <c r="BF163" s="26"/>
      <c r="BG163" s="26"/>
      <c r="BH163" s="26"/>
      <c r="BI163" s="26"/>
      <c r="BJ163" s="26"/>
      <c r="BK163" s="26"/>
      <c r="BL163" s="26"/>
      <c r="BM163" s="26"/>
      <c r="BN163" s="26"/>
      <c r="BO163" s="26"/>
      <c r="BP163" s="16" t="n">
        <v>45561</v>
      </c>
      <c r="BQ163" s="28" t="str">
        <f>HYPERLINK("https://organic.ams.usda.gov/Integrity/Certificate.aspx?cid=24&amp;nopid=7880207559")</f>
        <v>https://organic.ams.usda.gov/Integrity/Certificate.aspx?cid=24&amp;nopid=7880207559</v>
      </c>
    </row>
    <row r="164">
      <c r="A164" t="s">
        <v>3</v>
      </c>
      <c r="B164" s="6" t="s">
        <v>46</v>
      </c>
      <c r="C164" s="6" t="s">
        <v>112</v>
      </c>
      <c r="D164" s="6" t="s">
        <v>176</v>
      </c>
      <c r="E164" s="10" t="s">
        <v>362</v>
      </c>
      <c r="F164" s="6" t="s">
        <v>2620</v>
      </c>
      <c r="G164" s="6" t="s">
        <v>104</v>
      </c>
      <c r="H164" s="6" t="s">
        <v>5036</v>
      </c>
      <c r="I164" s="6" t="s">
        <v>7036</v>
      </c>
      <c r="J164" s="6" t="s">
        <v>8253</v>
      </c>
      <c r="K164" s="6" t="s">
        <v>9714</v>
      </c>
      <c r="L164" s="16" t="n">
        <v>45314</v>
      </c>
      <c r="M164" s="16" t="n">
        <v>45680</v>
      </c>
      <c r="N164" s="6" t="s">
        <v>104</v>
      </c>
      <c r="O164" s="21" t="s">
        <v>104</v>
      </c>
      <c r="P164" s="6" t="s">
        <v>104</v>
      </c>
      <c r="Q164" s="6" t="s">
        <v>104</v>
      </c>
      <c r="R164" s="6" t="s">
        <v>104</v>
      </c>
      <c r="S164" s="6" t="s">
        <v>104</v>
      </c>
      <c r="T164" s="21" t="s">
        <v>104</v>
      </c>
      <c r="U164" s="6" t="s">
        <v>104</v>
      </c>
      <c r="V164" s="6" t="s">
        <v>104</v>
      </c>
      <c r="W164" s="6" t="s">
        <v>104</v>
      </c>
      <c r="X164" s="6" t="s">
        <v>104</v>
      </c>
      <c r="Y164" s="21" t="s">
        <v>104</v>
      </c>
      <c r="Z164" s="6" t="s">
        <v>104</v>
      </c>
      <c r="AA164" s="6" t="s">
        <v>104</v>
      </c>
      <c r="AB164" s="6" t="s">
        <v>104</v>
      </c>
      <c r="AC164" s="6" t="s">
        <v>9714</v>
      </c>
      <c r="AD164" s="16" t="n">
        <v>45314</v>
      </c>
      <c r="AE164" s="6" t="s">
        <v>10666</v>
      </c>
      <c r="AF164" s="6" t="s">
        <v>104</v>
      </c>
      <c r="AG164" s="6" t="s">
        <v>12519</v>
      </c>
      <c r="AH164" s="6" t="s">
        <v>13305</v>
      </c>
      <c r="AI164" s="6" t="s">
        <v>104</v>
      </c>
      <c r="AJ164" s="6" t="s">
        <v>15473</v>
      </c>
      <c r="AK164" s="6" t="s">
        <v>16724</v>
      </c>
      <c r="AL164" s="6" t="s">
        <v>16949</v>
      </c>
      <c r="AM164" s="6" t="s">
        <v>104</v>
      </c>
      <c r="AN164" s="6" t="s">
        <v>104</v>
      </c>
      <c r="AO164" s="6" t="s">
        <v>104</v>
      </c>
      <c r="AP164" s="6" t="s">
        <v>13305</v>
      </c>
      <c r="AQ164" s="6" t="s">
        <v>104</v>
      </c>
      <c r="AR164" s="6" t="s">
        <v>15473</v>
      </c>
      <c r="AS164" s="6" t="s">
        <v>16724</v>
      </c>
      <c r="AT164" s="6" t="s">
        <v>16949</v>
      </c>
      <c r="AU164" s="6" t="s">
        <v>104</v>
      </c>
      <c r="AV164" s="6" t="s">
        <v>104</v>
      </c>
      <c r="AW164" s="6" t="s">
        <v>104</v>
      </c>
      <c r="AX164" s="6" t="s">
        <v>20240</v>
      </c>
      <c r="AY164" s="6" t="s">
        <v>21984</v>
      </c>
      <c r="AZ164" s="6" t="s">
        <v>104</v>
      </c>
      <c r="BA164" s="6" t="s">
        <v>104</v>
      </c>
      <c r="BB164" s="6" t="s">
        <v>104</v>
      </c>
      <c r="BC164" s="26"/>
      <c r="BD164" s="26"/>
      <c r="BE164" s="26"/>
      <c r="BF164" s="26"/>
      <c r="BG164" s="26"/>
      <c r="BH164" s="26"/>
      <c r="BI164" s="26"/>
      <c r="BJ164" s="26"/>
      <c r="BK164" s="26"/>
      <c r="BL164" s="26"/>
      <c r="BM164" s="26"/>
      <c r="BN164" s="26"/>
      <c r="BO164" s="26"/>
      <c r="BP164" s="16" t="n">
        <v>45320</v>
      </c>
      <c r="BQ164" s="28" t="str">
        <f>HYPERLINK("https://organic.ams.usda.gov/Integrity/Certificate.aspx?cid=185&amp;nopid=4196950793")</f>
        <v>https://organic.ams.usda.gov/Integrity/Certificate.aspx?cid=185&amp;nopid=4196950793</v>
      </c>
    </row>
    <row r="165">
      <c r="A165" t="s">
        <v>3</v>
      </c>
      <c r="B165" s="6" t="s">
        <v>9</v>
      </c>
      <c r="C165" s="6" t="s">
        <v>75</v>
      </c>
      <c r="D165" s="6" t="s">
        <v>140</v>
      </c>
      <c r="E165" s="10" t="s">
        <v>363</v>
      </c>
      <c r="F165" s="6" t="s">
        <v>2621</v>
      </c>
      <c r="G165" s="6" t="s">
        <v>104</v>
      </c>
      <c r="H165" s="6" t="s">
        <v>5037</v>
      </c>
      <c r="I165" s="6" t="s">
        <v>7037</v>
      </c>
      <c r="J165" s="6" t="s">
        <v>8254</v>
      </c>
      <c r="K165" s="6" t="s">
        <v>9714</v>
      </c>
      <c r="L165" s="16" t="n">
        <v>41450</v>
      </c>
      <c r="M165" s="16" t="n">
        <v>45833</v>
      </c>
      <c r="N165" s="6" t="s">
        <v>104</v>
      </c>
      <c r="O165" s="21" t="s">
        <v>104</v>
      </c>
      <c r="P165" s="6" t="s">
        <v>104</v>
      </c>
      <c r="Q165" s="6" t="s">
        <v>104</v>
      </c>
      <c r="R165" s="6" t="s">
        <v>104</v>
      </c>
      <c r="S165" s="6" t="s">
        <v>104</v>
      </c>
      <c r="T165" s="21" t="s">
        <v>104</v>
      </c>
      <c r="U165" s="6" t="s">
        <v>104</v>
      </c>
      <c r="V165" s="6" t="s">
        <v>104</v>
      </c>
      <c r="W165" s="6" t="s">
        <v>104</v>
      </c>
      <c r="X165" s="6" t="s">
        <v>104</v>
      </c>
      <c r="Y165" s="21" t="s">
        <v>104</v>
      </c>
      <c r="Z165" s="6" t="s">
        <v>104</v>
      </c>
      <c r="AA165" s="6" t="s">
        <v>104</v>
      </c>
      <c r="AB165" s="6" t="s">
        <v>104</v>
      </c>
      <c r="AC165" s="6" t="s">
        <v>9714</v>
      </c>
      <c r="AD165" s="16" t="n">
        <v>41450</v>
      </c>
      <c r="AE165" s="6" t="s">
        <v>10667</v>
      </c>
      <c r="AF165" s="6" t="s">
        <v>104</v>
      </c>
      <c r="AG165" s="6" t="s">
        <v>104</v>
      </c>
      <c r="AH165" s="6" t="s">
        <v>13306</v>
      </c>
      <c r="AI165" s="6" t="s">
        <v>104</v>
      </c>
      <c r="AJ165" s="6" t="s">
        <v>15474</v>
      </c>
      <c r="AK165" s="6" t="s">
        <v>16687</v>
      </c>
      <c r="AL165" s="6" t="s">
        <v>16931</v>
      </c>
      <c r="AM165" s="6" t="s">
        <v>17099</v>
      </c>
      <c r="AN165" s="6" t="s">
        <v>104</v>
      </c>
      <c r="AO165" s="6" t="s">
        <v>104</v>
      </c>
      <c r="AP165" s="6" t="s">
        <v>104</v>
      </c>
      <c r="AQ165" s="6" t="s">
        <v>104</v>
      </c>
      <c r="AR165" s="6" t="s">
        <v>104</v>
      </c>
      <c r="AS165" s="6" t="s">
        <v>104</v>
      </c>
      <c r="AT165" s="6" t="s">
        <v>104</v>
      </c>
      <c r="AU165" s="6" t="s">
        <v>104</v>
      </c>
      <c r="AV165" s="6" t="s">
        <v>104</v>
      </c>
      <c r="AW165" s="6" t="s">
        <v>104</v>
      </c>
      <c r="AX165" s="6" t="s">
        <v>20241</v>
      </c>
      <c r="AY165" s="6" t="s">
        <v>21985</v>
      </c>
      <c r="AZ165" s="6" t="s">
        <v>104</v>
      </c>
      <c r="BA165" s="6" t="s">
        <v>104</v>
      </c>
      <c r="BB165" s="6" t="s">
        <v>104</v>
      </c>
      <c r="BC165" s="26"/>
      <c r="BD165" s="26"/>
      <c r="BE165" s="26"/>
      <c r="BF165" s="26"/>
      <c r="BG165" s="26"/>
      <c r="BH165" s="26"/>
      <c r="BI165" s="26"/>
      <c r="BJ165" s="26"/>
      <c r="BK165" s="26"/>
      <c r="BL165" s="26"/>
      <c r="BM165" s="26"/>
      <c r="BN165" s="26"/>
      <c r="BO165" s="26"/>
      <c r="BP165" s="16" t="n">
        <v>45722</v>
      </c>
      <c r="BQ165" s="28" t="str">
        <f>HYPERLINK("https://organic.ams.usda.gov/Integrity/Certificate.aspx?cid=63&amp;nopid=6220005859")</f>
        <v>https://organic.ams.usda.gov/Integrity/Certificate.aspx?cid=63&amp;nopid=6220005859</v>
      </c>
    </row>
    <row r="166">
      <c r="A166" t="s">
        <v>3</v>
      </c>
      <c r="B166" s="6" t="s">
        <v>23</v>
      </c>
      <c r="C166" s="6" t="s">
        <v>89</v>
      </c>
      <c r="D166" s="6" t="s">
        <v>154</v>
      </c>
      <c r="E166" s="10" t="s">
        <v>364</v>
      </c>
      <c r="F166" s="6" t="s">
        <v>2622</v>
      </c>
      <c r="G166" s="6" t="s">
        <v>104</v>
      </c>
      <c r="H166" s="6" t="s">
        <v>5038</v>
      </c>
      <c r="I166" s="6" t="s">
        <v>6933</v>
      </c>
      <c r="J166" s="6" t="s">
        <v>8255</v>
      </c>
      <c r="K166" s="6" t="s">
        <v>9714</v>
      </c>
      <c r="L166" s="16" t="n">
        <v>43619</v>
      </c>
      <c r="M166" s="18" t="s">
        <v>104</v>
      </c>
      <c r="N166" s="6" t="s">
        <v>104</v>
      </c>
      <c r="O166" s="21" t="s">
        <v>104</v>
      </c>
      <c r="P166" s="6" t="s">
        <v>104</v>
      </c>
      <c r="Q166" s="6" t="s">
        <v>104</v>
      </c>
      <c r="R166" s="6" t="s">
        <v>104</v>
      </c>
      <c r="S166" s="6" t="s">
        <v>104</v>
      </c>
      <c r="T166" s="21" t="s">
        <v>104</v>
      </c>
      <c r="U166" s="6" t="s">
        <v>104</v>
      </c>
      <c r="V166" s="6" t="s">
        <v>104</v>
      </c>
      <c r="W166" s="6" t="s">
        <v>104</v>
      </c>
      <c r="X166" s="6" t="s">
        <v>104</v>
      </c>
      <c r="Y166" s="21" t="s">
        <v>104</v>
      </c>
      <c r="Z166" s="6" t="s">
        <v>104</v>
      </c>
      <c r="AA166" s="6" t="s">
        <v>104</v>
      </c>
      <c r="AB166" s="6" t="s">
        <v>104</v>
      </c>
      <c r="AC166" s="6" t="s">
        <v>9714</v>
      </c>
      <c r="AD166" s="16" t="n">
        <v>43619</v>
      </c>
      <c r="AE166" s="6" t="s">
        <v>10668</v>
      </c>
      <c r="AF166" s="6" t="s">
        <v>104</v>
      </c>
      <c r="AG166" s="6" t="s">
        <v>104</v>
      </c>
      <c r="AH166" s="6" t="s">
        <v>13307</v>
      </c>
      <c r="AI166" s="6" t="s">
        <v>104</v>
      </c>
      <c r="AJ166" s="6" t="s">
        <v>15475</v>
      </c>
      <c r="AK166" s="6" t="s">
        <v>16710</v>
      </c>
      <c r="AL166" s="6" t="s">
        <v>16931</v>
      </c>
      <c r="AM166" s="6" t="s">
        <v>17100</v>
      </c>
      <c r="AN166" s="6" t="s">
        <v>18468</v>
      </c>
      <c r="AO166" s="6" t="s">
        <v>18575</v>
      </c>
      <c r="AP166" s="6" t="s">
        <v>13307</v>
      </c>
      <c r="AQ166" s="6" t="s">
        <v>104</v>
      </c>
      <c r="AR166" s="6" t="s">
        <v>15475</v>
      </c>
      <c r="AS166" s="6" t="s">
        <v>16710</v>
      </c>
      <c r="AT166" s="6" t="s">
        <v>16931</v>
      </c>
      <c r="AU166" s="6" t="s">
        <v>17100</v>
      </c>
      <c r="AV166" s="6" t="s">
        <v>104</v>
      </c>
      <c r="AW166" s="6" t="s">
        <v>104</v>
      </c>
      <c r="AX166" s="6" t="s">
        <v>104</v>
      </c>
      <c r="AY166" s="6" t="s">
        <v>104</v>
      </c>
      <c r="AZ166" s="6" t="s">
        <v>23721</v>
      </c>
      <c r="BA166" s="6" t="s">
        <v>104</v>
      </c>
      <c r="BB166" s="6" t="s">
        <v>104</v>
      </c>
      <c r="BC166" s="26"/>
      <c r="BD166" s="26"/>
      <c r="BE166" s="26"/>
      <c r="BF166" s="26"/>
      <c r="BG166" s="26"/>
      <c r="BH166" s="26"/>
      <c r="BI166" s="26"/>
      <c r="BJ166" s="26"/>
      <c r="BK166" s="26"/>
      <c r="BL166" s="26"/>
      <c r="BM166" s="26"/>
      <c r="BN166" s="26"/>
      <c r="BO166" s="26"/>
      <c r="BP166" s="16" t="n">
        <v>45292</v>
      </c>
      <c r="BQ166" s="28" t="str">
        <f>HYPERLINK("https://organic.ams.usda.gov/Integrity/Certificate.aspx?cid=45&amp;nopid=9950011500")</f>
        <v>https://organic.ams.usda.gov/Integrity/Certificate.aspx?cid=45&amp;nopid=9950011500</v>
      </c>
    </row>
    <row r="167">
      <c r="A167" t="s">
        <v>3</v>
      </c>
      <c r="B167" s="6" t="s">
        <v>23</v>
      </c>
      <c r="C167" s="6" t="s">
        <v>89</v>
      </c>
      <c r="D167" s="6" t="s">
        <v>154</v>
      </c>
      <c r="E167" s="10" t="s">
        <v>365</v>
      </c>
      <c r="F167" s="6" t="s">
        <v>2623</v>
      </c>
      <c r="G167" s="6" t="s">
        <v>104</v>
      </c>
      <c r="H167" s="6" t="s">
        <v>5039</v>
      </c>
      <c r="I167" s="6" t="s">
        <v>7038</v>
      </c>
      <c r="J167" s="6" t="s">
        <v>8256</v>
      </c>
      <c r="K167" s="6" t="s">
        <v>9714</v>
      </c>
      <c r="L167" s="16" t="n">
        <v>45363</v>
      </c>
      <c r="M167" s="16" t="n">
        <v>45748</v>
      </c>
      <c r="N167" s="6" t="s">
        <v>104</v>
      </c>
      <c r="O167" s="21" t="s">
        <v>104</v>
      </c>
      <c r="P167" s="6" t="s">
        <v>104</v>
      </c>
      <c r="Q167" s="6" t="s">
        <v>104</v>
      </c>
      <c r="R167" s="6" t="s">
        <v>104</v>
      </c>
      <c r="S167" s="6" t="s">
        <v>104</v>
      </c>
      <c r="T167" s="21" t="s">
        <v>104</v>
      </c>
      <c r="U167" s="6" t="s">
        <v>104</v>
      </c>
      <c r="V167" s="6" t="s">
        <v>104</v>
      </c>
      <c r="W167" s="6" t="s">
        <v>104</v>
      </c>
      <c r="X167" s="6" t="s">
        <v>104</v>
      </c>
      <c r="Y167" s="21" t="s">
        <v>104</v>
      </c>
      <c r="Z167" s="6" t="s">
        <v>104</v>
      </c>
      <c r="AA167" s="6" t="s">
        <v>104</v>
      </c>
      <c r="AB167" s="6" t="s">
        <v>104</v>
      </c>
      <c r="AC167" s="6" t="s">
        <v>9714</v>
      </c>
      <c r="AD167" s="16" t="n">
        <v>45363</v>
      </c>
      <c r="AE167" s="6" t="s">
        <v>10669</v>
      </c>
      <c r="AF167" s="6" t="s">
        <v>104</v>
      </c>
      <c r="AG167" s="6" t="s">
        <v>5039</v>
      </c>
      <c r="AH167" s="6" t="s">
        <v>13308</v>
      </c>
      <c r="AI167" s="6" t="s">
        <v>104</v>
      </c>
      <c r="AJ167" s="6" t="s">
        <v>15476</v>
      </c>
      <c r="AK167" s="6" t="s">
        <v>16725</v>
      </c>
      <c r="AL167" s="6" t="s">
        <v>16931</v>
      </c>
      <c r="AM167" s="6" t="s">
        <v>17101</v>
      </c>
      <c r="AN167" s="6" t="s">
        <v>104</v>
      </c>
      <c r="AO167" s="6" t="s">
        <v>104</v>
      </c>
      <c r="AP167" s="6" t="s">
        <v>104</v>
      </c>
      <c r="AQ167" s="6" t="s">
        <v>104</v>
      </c>
      <c r="AR167" s="6" t="s">
        <v>104</v>
      </c>
      <c r="AS167" s="6" t="s">
        <v>104</v>
      </c>
      <c r="AT167" s="6" t="s">
        <v>104</v>
      </c>
      <c r="AU167" s="6" t="s">
        <v>104</v>
      </c>
      <c r="AV167" s="6" t="s">
        <v>104</v>
      </c>
      <c r="AW167" s="6" t="s">
        <v>104</v>
      </c>
      <c r="AX167" s="6" t="s">
        <v>20242</v>
      </c>
      <c r="AY167" s="6" t="s">
        <v>21986</v>
      </c>
      <c r="AZ167" s="6" t="s">
        <v>23722</v>
      </c>
      <c r="BA167" s="6" t="s">
        <v>104</v>
      </c>
      <c r="BB167" s="24" t="n">
        <v>0</v>
      </c>
      <c r="BC167" s="26"/>
      <c r="BD167" s="26"/>
      <c r="BE167" s="26"/>
      <c r="BF167" s="26"/>
      <c r="BG167" s="26" t="s">
        <v>24533</v>
      </c>
      <c r="BH167" s="26"/>
      <c r="BI167" s="26"/>
      <c r="BJ167" s="26"/>
      <c r="BK167" s="26"/>
      <c r="BL167" s="26"/>
      <c r="BM167" s="26"/>
      <c r="BN167" s="26" t="s">
        <v>24533</v>
      </c>
      <c r="BO167" s="26"/>
      <c r="BP167" s="16" t="n">
        <v>45666</v>
      </c>
      <c r="BQ167" s="28" t="str">
        <f>HYPERLINK("https://organic.ams.usda.gov/Integrity/Certificate.aspx?cid=45&amp;nopid=9950013963")</f>
        <v>https://organic.ams.usda.gov/Integrity/Certificate.aspx?cid=45&amp;nopid=9950013963</v>
      </c>
    </row>
    <row r="168">
      <c r="A168" t="s">
        <v>3</v>
      </c>
      <c r="B168" s="6" t="s">
        <v>31</v>
      </c>
      <c r="C168" s="6" t="s">
        <v>97</v>
      </c>
      <c r="D168" s="6" t="s">
        <v>162</v>
      </c>
      <c r="E168" s="10" t="s">
        <v>366</v>
      </c>
      <c r="F168" s="6" t="s">
        <v>2624</v>
      </c>
      <c r="G168" s="6" t="s">
        <v>104</v>
      </c>
      <c r="H168" s="6" t="s">
        <v>5040</v>
      </c>
      <c r="I168" s="6" t="s">
        <v>7039</v>
      </c>
      <c r="J168" s="6" t="s">
        <v>8257</v>
      </c>
      <c r="K168" s="6" t="s">
        <v>9714</v>
      </c>
      <c r="L168" s="16" t="n">
        <v>44699</v>
      </c>
      <c r="M168" s="16" t="n">
        <v>45795</v>
      </c>
      <c r="N168" s="6" t="s">
        <v>104</v>
      </c>
      <c r="O168" s="21" t="s">
        <v>104</v>
      </c>
      <c r="P168" s="6" t="s">
        <v>104</v>
      </c>
      <c r="Q168" s="6" t="s">
        <v>104</v>
      </c>
      <c r="R168" s="6" t="s">
        <v>104</v>
      </c>
      <c r="S168" s="6" t="s">
        <v>104</v>
      </c>
      <c r="T168" s="21" t="s">
        <v>104</v>
      </c>
      <c r="U168" s="6" t="s">
        <v>104</v>
      </c>
      <c r="V168" s="6" t="s">
        <v>104</v>
      </c>
      <c r="W168" s="6" t="s">
        <v>104</v>
      </c>
      <c r="X168" s="6" t="s">
        <v>104</v>
      </c>
      <c r="Y168" s="21" t="s">
        <v>104</v>
      </c>
      <c r="Z168" s="6" t="s">
        <v>104</v>
      </c>
      <c r="AA168" s="6" t="s">
        <v>104</v>
      </c>
      <c r="AB168" s="6" t="s">
        <v>104</v>
      </c>
      <c r="AC168" s="6" t="s">
        <v>9714</v>
      </c>
      <c r="AD168" s="16" t="n">
        <v>44699</v>
      </c>
      <c r="AE168" s="6" t="s">
        <v>10670</v>
      </c>
      <c r="AF168" s="6" t="s">
        <v>104</v>
      </c>
      <c r="AG168" s="6" t="s">
        <v>12520</v>
      </c>
      <c r="AH168" s="6" t="s">
        <v>13309</v>
      </c>
      <c r="AI168" s="6" t="s">
        <v>104</v>
      </c>
      <c r="AJ168" s="6" t="s">
        <v>15477</v>
      </c>
      <c r="AK168" s="6" t="s">
        <v>16001</v>
      </c>
      <c r="AL168" s="6" t="s">
        <v>16932</v>
      </c>
      <c r="AM168" s="6" t="s">
        <v>17102</v>
      </c>
      <c r="AN168" s="6" t="s">
        <v>104</v>
      </c>
      <c r="AO168" s="6" t="s">
        <v>104</v>
      </c>
      <c r="AP168" s="6" t="s">
        <v>19000</v>
      </c>
      <c r="AQ168" s="6" t="s">
        <v>104</v>
      </c>
      <c r="AR168" s="6" t="s">
        <v>19604</v>
      </c>
      <c r="AS168" s="6" t="s">
        <v>15927</v>
      </c>
      <c r="AT168" s="6" t="s">
        <v>16932</v>
      </c>
      <c r="AU168" s="6" t="s">
        <v>19824</v>
      </c>
      <c r="AV168" s="6" t="s">
        <v>104</v>
      </c>
      <c r="AW168" s="6" t="s">
        <v>104</v>
      </c>
      <c r="AX168" s="6" t="s">
        <v>20243</v>
      </c>
      <c r="AY168" s="6" t="s">
        <v>21987</v>
      </c>
      <c r="AZ168" s="6" t="s">
        <v>104</v>
      </c>
      <c r="BA168" s="6" t="s">
        <v>104</v>
      </c>
      <c r="BB168" s="6" t="s">
        <v>104</v>
      </c>
      <c r="BC168" s="26"/>
      <c r="BD168" s="26"/>
      <c r="BE168" s="26"/>
      <c r="BF168" s="26"/>
      <c r="BG168" s="26"/>
      <c r="BH168" s="26"/>
      <c r="BI168" s="26"/>
      <c r="BJ168" s="26"/>
      <c r="BK168" s="26"/>
      <c r="BL168" s="26"/>
      <c r="BM168" s="26"/>
      <c r="BN168" s="26"/>
      <c r="BO168" s="26"/>
      <c r="BP168" s="16" t="n">
        <v>45482</v>
      </c>
      <c r="BQ168" s="28" t="str">
        <f>HYPERLINK("https://organic.ams.usda.gov/Integrity/Certificate.aspx?cid=43&amp;nopid=3532121026")</f>
        <v>https://organic.ams.usda.gov/Integrity/Certificate.aspx?cid=43&amp;nopid=3532121026</v>
      </c>
    </row>
    <row r="169">
      <c r="A169" t="s">
        <v>3</v>
      </c>
      <c r="B169" s="6" t="s">
        <v>28</v>
      </c>
      <c r="C169" s="6" t="s">
        <v>94</v>
      </c>
      <c r="D169" s="6" t="s">
        <v>159</v>
      </c>
      <c r="E169" s="10" t="s">
        <v>367</v>
      </c>
      <c r="F169" s="6" t="s">
        <v>2625</v>
      </c>
      <c r="G169" s="6" t="s">
        <v>104</v>
      </c>
      <c r="H169" s="6" t="s">
        <v>5041</v>
      </c>
      <c r="I169" s="6" t="s">
        <v>7039</v>
      </c>
      <c r="J169" s="6" t="s">
        <v>8257</v>
      </c>
      <c r="K169" s="6" t="s">
        <v>9714</v>
      </c>
      <c r="L169" s="16" t="n">
        <v>42796</v>
      </c>
      <c r="M169" s="16" t="n">
        <v>45748</v>
      </c>
      <c r="N169" s="6" t="s">
        <v>104</v>
      </c>
      <c r="O169" s="21" t="s">
        <v>104</v>
      </c>
      <c r="P169" s="6" t="s">
        <v>104</v>
      </c>
      <c r="Q169" s="6" t="s">
        <v>104</v>
      </c>
      <c r="R169" s="6" t="s">
        <v>104</v>
      </c>
      <c r="S169" s="6" t="s">
        <v>104</v>
      </c>
      <c r="T169" s="21" t="s">
        <v>104</v>
      </c>
      <c r="U169" s="6" t="s">
        <v>104</v>
      </c>
      <c r="V169" s="6" t="s">
        <v>104</v>
      </c>
      <c r="W169" s="6" t="s">
        <v>104</v>
      </c>
      <c r="X169" s="6" t="s">
        <v>104</v>
      </c>
      <c r="Y169" s="21" t="s">
        <v>104</v>
      </c>
      <c r="Z169" s="6" t="s">
        <v>104</v>
      </c>
      <c r="AA169" s="6" t="s">
        <v>104</v>
      </c>
      <c r="AB169" s="6" t="s">
        <v>104</v>
      </c>
      <c r="AC169" s="6" t="s">
        <v>9714</v>
      </c>
      <c r="AD169" s="16" t="n">
        <v>42796</v>
      </c>
      <c r="AE169" s="6" t="s">
        <v>10671</v>
      </c>
      <c r="AF169" s="6" t="s">
        <v>104</v>
      </c>
      <c r="AG169" s="6" t="s">
        <v>12521</v>
      </c>
      <c r="AH169" s="6" t="s">
        <v>13310</v>
      </c>
      <c r="AI169" s="6" t="s">
        <v>104</v>
      </c>
      <c r="AJ169" s="6" t="s">
        <v>15478</v>
      </c>
      <c r="AK169" s="6" t="s">
        <v>104</v>
      </c>
      <c r="AL169" s="6" t="s">
        <v>16936</v>
      </c>
      <c r="AM169" s="6" t="s">
        <v>17103</v>
      </c>
      <c r="AN169" s="6" t="s">
        <v>104</v>
      </c>
      <c r="AO169" s="6" t="s">
        <v>104</v>
      </c>
      <c r="AP169" s="6" t="s">
        <v>104</v>
      </c>
      <c r="AQ169" s="6" t="s">
        <v>104</v>
      </c>
      <c r="AR169" s="6" t="s">
        <v>104</v>
      </c>
      <c r="AS169" s="6" t="s">
        <v>104</v>
      </c>
      <c r="AT169" s="6" t="s">
        <v>104</v>
      </c>
      <c r="AU169" s="6" t="s">
        <v>104</v>
      </c>
      <c r="AV169" s="6" t="s">
        <v>104</v>
      </c>
      <c r="AW169" s="6" t="s">
        <v>104</v>
      </c>
      <c r="AX169" s="6" t="s">
        <v>20244</v>
      </c>
      <c r="AY169" s="6" t="s">
        <v>21987</v>
      </c>
      <c r="AZ169" s="6" t="s">
        <v>104</v>
      </c>
      <c r="BA169" s="6" t="s">
        <v>104</v>
      </c>
      <c r="BB169" s="6" t="s">
        <v>104</v>
      </c>
      <c r="BC169" s="26"/>
      <c r="BD169" s="26"/>
      <c r="BE169" s="26"/>
      <c r="BF169" s="26"/>
      <c r="BG169" s="26"/>
      <c r="BH169" s="26"/>
      <c r="BI169" s="26"/>
      <c r="BJ169" s="26"/>
      <c r="BK169" s="26"/>
      <c r="BL169" s="26"/>
      <c r="BM169" s="26"/>
      <c r="BN169" s="26"/>
      <c r="BO169" s="26"/>
      <c r="BP169" s="16" t="n">
        <v>45707</v>
      </c>
      <c r="BQ169" s="28" t="str">
        <f>HYPERLINK("https://organic.ams.usda.gov/Integrity/Certificate.aspx?cid=11&amp;nopid=4797059900")</f>
        <v>https://organic.ams.usda.gov/Integrity/Certificate.aspx?cid=11&amp;nopid=4797059900</v>
      </c>
    </row>
    <row r="170">
      <c r="A170" t="s">
        <v>3</v>
      </c>
      <c r="B170" s="6" t="s">
        <v>6</v>
      </c>
      <c r="C170" s="6" t="s">
        <v>72</v>
      </c>
      <c r="D170" s="6" t="s">
        <v>137</v>
      </c>
      <c r="E170" s="10" t="s">
        <v>368</v>
      </c>
      <c r="F170" s="6" t="s">
        <v>2626</v>
      </c>
      <c r="G170" s="6" t="s">
        <v>104</v>
      </c>
      <c r="H170" s="6" t="s">
        <v>5042</v>
      </c>
      <c r="I170" s="6" t="s">
        <v>7040</v>
      </c>
      <c r="J170" s="6" t="s">
        <v>8258</v>
      </c>
      <c r="K170" s="6" t="s">
        <v>9714</v>
      </c>
      <c r="L170" s="16" t="n">
        <v>45684</v>
      </c>
      <c r="M170" s="16" t="n">
        <v>45925</v>
      </c>
      <c r="N170" s="6" t="s">
        <v>104</v>
      </c>
      <c r="O170" s="21" t="s">
        <v>104</v>
      </c>
      <c r="P170" s="6" t="s">
        <v>104</v>
      </c>
      <c r="Q170" s="6" t="s">
        <v>104</v>
      </c>
      <c r="R170" s="6" t="s">
        <v>104</v>
      </c>
      <c r="S170" s="6" t="s">
        <v>104</v>
      </c>
      <c r="T170" s="21" t="s">
        <v>104</v>
      </c>
      <c r="U170" s="6" t="s">
        <v>104</v>
      </c>
      <c r="V170" s="6" t="s">
        <v>104</v>
      </c>
      <c r="W170" s="6" t="s">
        <v>104</v>
      </c>
      <c r="X170" s="6" t="s">
        <v>104</v>
      </c>
      <c r="Y170" s="21" t="s">
        <v>104</v>
      </c>
      <c r="Z170" s="6" t="s">
        <v>104</v>
      </c>
      <c r="AA170" s="6" t="s">
        <v>104</v>
      </c>
      <c r="AB170" s="6" t="s">
        <v>104</v>
      </c>
      <c r="AC170" s="6" t="s">
        <v>9714</v>
      </c>
      <c r="AD170" s="16" t="n">
        <v>45684</v>
      </c>
      <c r="AE170" s="6" t="s">
        <v>10672</v>
      </c>
      <c r="AF170" s="6" t="s">
        <v>104</v>
      </c>
      <c r="AG170" s="6" t="s">
        <v>12522</v>
      </c>
      <c r="AH170" s="6" t="s">
        <v>13311</v>
      </c>
      <c r="AI170" s="6" t="s">
        <v>104</v>
      </c>
      <c r="AJ170" s="6" t="s">
        <v>15479</v>
      </c>
      <c r="AK170" s="6" t="s">
        <v>16726</v>
      </c>
      <c r="AL170" s="6" t="s">
        <v>16929</v>
      </c>
      <c r="AM170" s="6" t="s">
        <v>104</v>
      </c>
      <c r="AN170" s="6" t="s">
        <v>104</v>
      </c>
      <c r="AO170" s="6" t="s">
        <v>104</v>
      </c>
      <c r="AP170" s="6" t="s">
        <v>104</v>
      </c>
      <c r="AQ170" s="6" t="s">
        <v>104</v>
      </c>
      <c r="AR170" s="6" t="s">
        <v>104</v>
      </c>
      <c r="AS170" s="6" t="s">
        <v>104</v>
      </c>
      <c r="AT170" s="6" t="s">
        <v>104</v>
      </c>
      <c r="AU170" s="6" t="s">
        <v>104</v>
      </c>
      <c r="AV170" s="6" t="s">
        <v>104</v>
      </c>
      <c r="AW170" s="6" t="s">
        <v>104</v>
      </c>
      <c r="AX170" s="6" t="s">
        <v>104</v>
      </c>
      <c r="AY170" s="6" t="s">
        <v>21988</v>
      </c>
      <c r="AZ170" s="6" t="s">
        <v>104</v>
      </c>
      <c r="BA170" s="6" t="s">
        <v>24258</v>
      </c>
      <c r="BB170" s="6" t="s">
        <v>104</v>
      </c>
      <c r="BC170" s="26"/>
      <c r="BD170" s="26"/>
      <c r="BE170" s="26"/>
      <c r="BF170" s="26"/>
      <c r="BG170" s="26"/>
      <c r="BH170" s="26"/>
      <c r="BI170" s="26"/>
      <c r="BJ170" s="26"/>
      <c r="BK170" s="26"/>
      <c r="BL170" s="26"/>
      <c r="BM170" s="26"/>
      <c r="BN170" s="26"/>
      <c r="BO170" s="26"/>
      <c r="BP170" s="16" t="n">
        <v>45737</v>
      </c>
      <c r="BQ170" s="28" t="str">
        <f>HYPERLINK("https://organic.ams.usda.gov/Integrity/Certificate.aspx?cid=32&amp;nopid=2230011616")</f>
        <v>https://organic.ams.usda.gov/Integrity/Certificate.aspx?cid=32&amp;nopid=2230011616</v>
      </c>
    </row>
    <row r="171">
      <c r="A171" t="s">
        <v>3</v>
      </c>
      <c r="B171" s="6" t="s">
        <v>32</v>
      </c>
      <c r="C171" s="6" t="s">
        <v>98</v>
      </c>
      <c r="D171" s="6" t="s">
        <v>163</v>
      </c>
      <c r="E171" s="10" t="s">
        <v>369</v>
      </c>
      <c r="F171" s="6" t="s">
        <v>2627</v>
      </c>
      <c r="G171" s="6" t="s">
        <v>104</v>
      </c>
      <c r="H171" s="6" t="s">
        <v>5043</v>
      </c>
      <c r="I171" s="6" t="s">
        <v>7041</v>
      </c>
      <c r="J171" s="6" t="s">
        <v>8259</v>
      </c>
      <c r="K171" s="6" t="s">
        <v>9714</v>
      </c>
      <c r="L171" s="16" t="n">
        <v>40886</v>
      </c>
      <c r="M171" s="16" t="n">
        <v>45748</v>
      </c>
      <c r="N171" s="6" t="s">
        <v>104</v>
      </c>
      <c r="O171" s="21" t="s">
        <v>104</v>
      </c>
      <c r="P171" s="6" t="s">
        <v>104</v>
      </c>
      <c r="Q171" s="6" t="s">
        <v>104</v>
      </c>
      <c r="R171" s="6" t="s">
        <v>104</v>
      </c>
      <c r="S171" s="6" t="s">
        <v>104</v>
      </c>
      <c r="T171" s="21" t="s">
        <v>104</v>
      </c>
      <c r="U171" s="6" t="s">
        <v>104</v>
      </c>
      <c r="V171" s="6" t="s">
        <v>104</v>
      </c>
      <c r="W171" s="6" t="s">
        <v>104</v>
      </c>
      <c r="X171" s="6" t="s">
        <v>104</v>
      </c>
      <c r="Y171" s="21" t="s">
        <v>104</v>
      </c>
      <c r="Z171" s="6" t="s">
        <v>104</v>
      </c>
      <c r="AA171" s="6" t="s">
        <v>104</v>
      </c>
      <c r="AB171" s="6" t="s">
        <v>104</v>
      </c>
      <c r="AC171" s="6" t="s">
        <v>9714</v>
      </c>
      <c r="AD171" s="16" t="n">
        <v>40886</v>
      </c>
      <c r="AE171" s="6" t="s">
        <v>10673</v>
      </c>
      <c r="AF171" s="6" t="s">
        <v>104</v>
      </c>
      <c r="AG171" s="6" t="s">
        <v>104</v>
      </c>
      <c r="AH171" s="6" t="s">
        <v>13312</v>
      </c>
      <c r="AI171" s="6" t="s">
        <v>104</v>
      </c>
      <c r="AJ171" s="6" t="s">
        <v>15480</v>
      </c>
      <c r="AK171" s="6" t="s">
        <v>16683</v>
      </c>
      <c r="AL171" s="6" t="s">
        <v>16931</v>
      </c>
      <c r="AM171" s="6" t="s">
        <v>17104</v>
      </c>
      <c r="AN171" s="6" t="s">
        <v>18483</v>
      </c>
      <c r="AO171" s="6" t="s">
        <v>18595</v>
      </c>
      <c r="AP171" s="6" t="s">
        <v>104</v>
      </c>
      <c r="AQ171" s="6" t="s">
        <v>104</v>
      </c>
      <c r="AR171" s="6" t="s">
        <v>104</v>
      </c>
      <c r="AS171" s="6" t="s">
        <v>104</v>
      </c>
      <c r="AT171" s="6" t="s">
        <v>104</v>
      </c>
      <c r="AU171" s="6" t="s">
        <v>104</v>
      </c>
      <c r="AV171" s="6" t="s">
        <v>104</v>
      </c>
      <c r="AW171" s="6" t="s">
        <v>104</v>
      </c>
      <c r="AX171" s="6" t="s">
        <v>104</v>
      </c>
      <c r="AY171" s="6" t="s">
        <v>21989</v>
      </c>
      <c r="AZ171" s="6" t="s">
        <v>23723</v>
      </c>
      <c r="BA171" s="6" t="s">
        <v>104</v>
      </c>
      <c r="BB171" s="6" t="s">
        <v>104</v>
      </c>
      <c r="BC171" s="26"/>
      <c r="BD171" s="26"/>
      <c r="BE171" s="26"/>
      <c r="BF171" s="26"/>
      <c r="BG171" s="26"/>
      <c r="BH171" s="26"/>
      <c r="BI171" s="26"/>
      <c r="BJ171" s="26"/>
      <c r="BK171" s="26"/>
      <c r="BL171" s="26"/>
      <c r="BM171" s="26"/>
      <c r="BN171" s="26"/>
      <c r="BO171" s="26"/>
      <c r="BP171" s="16" t="n">
        <v>45630</v>
      </c>
      <c r="BQ171" s="28" t="str">
        <f>HYPERLINK("https://organic.ams.usda.gov/Integrity/Certificate.aspx?cid=64&amp;nopid=8830000429")</f>
        <v>https://organic.ams.usda.gov/Integrity/Certificate.aspx?cid=64&amp;nopid=8830000429</v>
      </c>
    </row>
    <row r="172">
      <c r="A172" t="s">
        <v>3</v>
      </c>
      <c r="B172" s="6" t="s">
        <v>45</v>
      </c>
      <c r="C172" s="6" t="s">
        <v>111</v>
      </c>
      <c r="D172" s="6" t="s">
        <v>175</v>
      </c>
      <c r="E172" s="10" t="s">
        <v>370</v>
      </c>
      <c r="F172" s="6" t="s">
        <v>2628</v>
      </c>
      <c r="G172" s="6" t="s">
        <v>104</v>
      </c>
      <c r="H172" s="6" t="s">
        <v>5044</v>
      </c>
      <c r="I172" s="6" t="s">
        <v>7042</v>
      </c>
      <c r="J172" s="6" t="s">
        <v>8260</v>
      </c>
      <c r="K172" s="6" t="s">
        <v>9714</v>
      </c>
      <c r="L172" s="16" t="n">
        <v>41726</v>
      </c>
      <c r="M172" s="16" t="n">
        <v>46082</v>
      </c>
      <c r="N172" s="6" t="s">
        <v>104</v>
      </c>
      <c r="O172" s="21" t="s">
        <v>104</v>
      </c>
      <c r="P172" s="6" t="s">
        <v>104</v>
      </c>
      <c r="Q172" s="6" t="s">
        <v>104</v>
      </c>
      <c r="R172" s="6" t="s">
        <v>104</v>
      </c>
      <c r="S172" s="6" t="s">
        <v>104</v>
      </c>
      <c r="T172" s="21" t="s">
        <v>104</v>
      </c>
      <c r="U172" s="6" t="s">
        <v>104</v>
      </c>
      <c r="V172" s="6" t="s">
        <v>104</v>
      </c>
      <c r="W172" s="6" t="s">
        <v>104</v>
      </c>
      <c r="X172" s="6" t="s">
        <v>104</v>
      </c>
      <c r="Y172" s="21" t="s">
        <v>104</v>
      </c>
      <c r="Z172" s="6" t="s">
        <v>104</v>
      </c>
      <c r="AA172" s="6" t="s">
        <v>104</v>
      </c>
      <c r="AB172" s="6" t="s">
        <v>104</v>
      </c>
      <c r="AC172" s="6" t="s">
        <v>9714</v>
      </c>
      <c r="AD172" s="16" t="n">
        <v>41726</v>
      </c>
      <c r="AE172" s="6" t="s">
        <v>10674</v>
      </c>
      <c r="AF172" s="6" t="s">
        <v>104</v>
      </c>
      <c r="AG172" s="6" t="s">
        <v>4667</v>
      </c>
      <c r="AH172" s="6" t="s">
        <v>13313</v>
      </c>
      <c r="AI172" s="6" t="s">
        <v>104</v>
      </c>
      <c r="AJ172" s="6" t="s">
        <v>15481</v>
      </c>
      <c r="AK172" s="6" t="s">
        <v>16382</v>
      </c>
      <c r="AL172" s="6" t="s">
        <v>16931</v>
      </c>
      <c r="AM172" s="6" t="s">
        <v>17105</v>
      </c>
      <c r="AN172" s="6" t="s">
        <v>104</v>
      </c>
      <c r="AO172" s="6" t="s">
        <v>104</v>
      </c>
      <c r="AP172" s="6" t="s">
        <v>19001</v>
      </c>
      <c r="AQ172" s="6" t="s">
        <v>104</v>
      </c>
      <c r="AR172" s="6" t="s">
        <v>15481</v>
      </c>
      <c r="AS172" s="6" t="s">
        <v>16382</v>
      </c>
      <c r="AT172" s="6" t="s">
        <v>16931</v>
      </c>
      <c r="AU172" s="6" t="s">
        <v>17105</v>
      </c>
      <c r="AV172" s="6" t="s">
        <v>18503</v>
      </c>
      <c r="AW172" s="6" t="s">
        <v>18837</v>
      </c>
      <c r="AX172" s="6" t="s">
        <v>20245</v>
      </c>
      <c r="AY172" s="6" t="s">
        <v>21990</v>
      </c>
      <c r="AZ172" s="6" t="s">
        <v>23724</v>
      </c>
      <c r="BA172" s="6" t="s">
        <v>104</v>
      </c>
      <c r="BB172" s="6" t="s">
        <v>104</v>
      </c>
      <c r="BC172" s="26"/>
      <c r="BD172" s="26"/>
      <c r="BE172" s="26"/>
      <c r="BF172" s="26"/>
      <c r="BG172" s="26"/>
      <c r="BH172" s="26"/>
      <c r="BI172" s="26"/>
      <c r="BJ172" s="26"/>
      <c r="BK172" s="26"/>
      <c r="BL172" s="26"/>
      <c r="BM172" s="26"/>
      <c r="BN172" s="26"/>
      <c r="BO172" s="26"/>
      <c r="BP172" s="16" t="n">
        <v>45739</v>
      </c>
      <c r="BQ172" s="28" t="str">
        <f>HYPERLINK("https://organic.ams.usda.gov/Integrity/Certificate.aspx?cid=82&amp;nopid=2780002868")</f>
        <v>https://organic.ams.usda.gov/Integrity/Certificate.aspx?cid=82&amp;nopid=2780002868</v>
      </c>
    </row>
    <row r="173">
      <c r="A173" t="s">
        <v>3</v>
      </c>
      <c r="B173" s="6" t="s">
        <v>11</v>
      </c>
      <c r="C173" s="6" t="s">
        <v>77</v>
      </c>
      <c r="D173" s="6" t="s">
        <v>142</v>
      </c>
      <c r="E173" s="10" t="s">
        <v>371</v>
      </c>
      <c r="F173" s="6" t="s">
        <v>2629</v>
      </c>
      <c r="G173" s="6" t="s">
        <v>104</v>
      </c>
      <c r="H173" s="6" t="s">
        <v>371</v>
      </c>
      <c r="I173" s="6" t="s">
        <v>7043</v>
      </c>
      <c r="J173" s="6" t="s">
        <v>8261</v>
      </c>
      <c r="K173" s="6" t="s">
        <v>9714</v>
      </c>
      <c r="L173" s="16" t="n">
        <v>45044</v>
      </c>
      <c r="M173" s="16" t="n">
        <v>45689</v>
      </c>
      <c r="N173" s="6" t="s">
        <v>104</v>
      </c>
      <c r="O173" s="21" t="s">
        <v>104</v>
      </c>
      <c r="P173" s="6" t="s">
        <v>104</v>
      </c>
      <c r="Q173" s="6" t="s">
        <v>104</v>
      </c>
      <c r="R173" s="6" t="s">
        <v>104</v>
      </c>
      <c r="S173" s="6" t="s">
        <v>104</v>
      </c>
      <c r="T173" s="21" t="s">
        <v>104</v>
      </c>
      <c r="U173" s="6" t="s">
        <v>104</v>
      </c>
      <c r="V173" s="6" t="s">
        <v>104</v>
      </c>
      <c r="W173" s="6" t="s">
        <v>104</v>
      </c>
      <c r="X173" s="6" t="s">
        <v>104</v>
      </c>
      <c r="Y173" s="21" t="s">
        <v>104</v>
      </c>
      <c r="Z173" s="6" t="s">
        <v>104</v>
      </c>
      <c r="AA173" s="6" t="s">
        <v>104</v>
      </c>
      <c r="AB173" s="6" t="s">
        <v>104</v>
      </c>
      <c r="AC173" s="6" t="s">
        <v>9714</v>
      </c>
      <c r="AD173" s="16" t="n">
        <v>45044</v>
      </c>
      <c r="AE173" s="6" t="s">
        <v>10675</v>
      </c>
      <c r="AF173" s="6" t="s">
        <v>104</v>
      </c>
      <c r="AG173" s="6" t="s">
        <v>12523</v>
      </c>
      <c r="AH173" s="6" t="s">
        <v>13314</v>
      </c>
      <c r="AI173" s="6" t="s">
        <v>104</v>
      </c>
      <c r="AJ173" s="6" t="s">
        <v>15366</v>
      </c>
      <c r="AK173" s="6" t="s">
        <v>15885</v>
      </c>
      <c r="AL173" s="6" t="s">
        <v>16932</v>
      </c>
      <c r="AM173" s="6" t="s">
        <v>17106</v>
      </c>
      <c r="AN173" s="6" t="s">
        <v>104</v>
      </c>
      <c r="AO173" s="6" t="s">
        <v>104</v>
      </c>
      <c r="AP173" s="6" t="s">
        <v>13314</v>
      </c>
      <c r="AQ173" s="6" t="s">
        <v>104</v>
      </c>
      <c r="AR173" s="6" t="s">
        <v>15366</v>
      </c>
      <c r="AS173" s="6" t="s">
        <v>15885</v>
      </c>
      <c r="AT173" s="6" t="s">
        <v>16932</v>
      </c>
      <c r="AU173" s="6" t="s">
        <v>17106</v>
      </c>
      <c r="AV173" s="6" t="s">
        <v>104</v>
      </c>
      <c r="AW173" s="6" t="s">
        <v>104</v>
      </c>
      <c r="AX173" s="6" t="s">
        <v>20246</v>
      </c>
      <c r="AY173" s="6" t="s">
        <v>21991</v>
      </c>
      <c r="AZ173" s="6" t="s">
        <v>104</v>
      </c>
      <c r="BA173" s="6" t="s">
        <v>104</v>
      </c>
      <c r="BB173" s="6" t="s">
        <v>104</v>
      </c>
      <c r="BC173" s="26"/>
      <c r="BD173" s="26"/>
      <c r="BE173" s="26"/>
      <c r="BF173" s="26"/>
      <c r="BG173" s="26"/>
      <c r="BH173" s="26"/>
      <c r="BI173" s="26"/>
      <c r="BJ173" s="26"/>
      <c r="BK173" s="26"/>
      <c r="BL173" s="26"/>
      <c r="BM173" s="26"/>
      <c r="BN173" s="26" t="s">
        <v>24533</v>
      </c>
      <c r="BO173" s="26"/>
      <c r="BP173" s="16" t="n">
        <v>45455</v>
      </c>
      <c r="BQ173" s="28" t="str">
        <f>HYPERLINK("https://organic.ams.usda.gov/Integrity/Certificate.aspx?cid=21&amp;nopid=1780893288")</f>
        <v>https://organic.ams.usda.gov/Integrity/Certificate.aspx?cid=21&amp;nopid=1780893288</v>
      </c>
    </row>
    <row r="174">
      <c r="A174" t="s">
        <v>3</v>
      </c>
      <c r="B174" s="6" t="s">
        <v>20</v>
      </c>
      <c r="C174" s="6" t="s">
        <v>86</v>
      </c>
      <c r="D174" s="6" t="s">
        <v>151</v>
      </c>
      <c r="E174" s="10" t="s">
        <v>372</v>
      </c>
      <c r="F174" s="6" t="s">
        <v>2630</v>
      </c>
      <c r="G174" s="6" t="s">
        <v>104</v>
      </c>
      <c r="H174" s="6" t="s">
        <v>5045</v>
      </c>
      <c r="I174" s="6" t="s">
        <v>7044</v>
      </c>
      <c r="J174" s="6" t="s">
        <v>8262</v>
      </c>
      <c r="K174" s="6" t="s">
        <v>9714</v>
      </c>
      <c r="L174" s="16" t="n">
        <v>44817</v>
      </c>
      <c r="M174" s="16" t="n">
        <v>45777</v>
      </c>
      <c r="N174" s="6" t="s">
        <v>9714</v>
      </c>
      <c r="O174" s="16" t="n">
        <v>44817</v>
      </c>
      <c r="P174" s="6" t="s">
        <v>9774</v>
      </c>
      <c r="Q174" s="6" t="s">
        <v>104</v>
      </c>
      <c r="R174" s="6" t="s">
        <v>10305</v>
      </c>
      <c r="S174" s="6" t="s">
        <v>104</v>
      </c>
      <c r="T174" s="21" t="s">
        <v>104</v>
      </c>
      <c r="U174" s="6" t="s">
        <v>104</v>
      </c>
      <c r="V174" s="6" t="s">
        <v>104</v>
      </c>
      <c r="W174" s="6" t="s">
        <v>104</v>
      </c>
      <c r="X174" s="6" t="s">
        <v>104</v>
      </c>
      <c r="Y174" s="21" t="s">
        <v>104</v>
      </c>
      <c r="Z174" s="6" t="s">
        <v>104</v>
      </c>
      <c r="AA174" s="6" t="s">
        <v>104</v>
      </c>
      <c r="AB174" s="6" t="s">
        <v>104</v>
      </c>
      <c r="AC174" s="6" t="s">
        <v>9714</v>
      </c>
      <c r="AD174" s="16" t="n">
        <v>44817</v>
      </c>
      <c r="AE174" s="6" t="s">
        <v>10676</v>
      </c>
      <c r="AF174" s="6" t="s">
        <v>104</v>
      </c>
      <c r="AG174" s="6" t="s">
        <v>10305</v>
      </c>
      <c r="AH174" s="6" t="s">
        <v>13315</v>
      </c>
      <c r="AI174" s="6" t="s">
        <v>104</v>
      </c>
      <c r="AJ174" s="6" t="s">
        <v>15482</v>
      </c>
      <c r="AK174" s="6" t="s">
        <v>15482</v>
      </c>
      <c r="AL174" s="6" t="s">
        <v>16939</v>
      </c>
      <c r="AM174" s="6" t="s">
        <v>104</v>
      </c>
      <c r="AN174" s="6" t="s">
        <v>104</v>
      </c>
      <c r="AO174" s="6" t="s">
        <v>104</v>
      </c>
      <c r="AP174" s="6" t="s">
        <v>104</v>
      </c>
      <c r="AQ174" s="6" t="s">
        <v>104</v>
      </c>
      <c r="AR174" s="6" t="s">
        <v>104</v>
      </c>
      <c r="AS174" s="6" t="s">
        <v>104</v>
      </c>
      <c r="AT174" s="6" t="s">
        <v>104</v>
      </c>
      <c r="AU174" s="6" t="s">
        <v>104</v>
      </c>
      <c r="AV174" s="6" t="s">
        <v>104</v>
      </c>
      <c r="AW174" s="6" t="s">
        <v>104</v>
      </c>
      <c r="AX174" s="6" t="s">
        <v>20247</v>
      </c>
      <c r="AY174" s="6" t="s">
        <v>21992</v>
      </c>
      <c r="AZ174" s="6" t="s">
        <v>104</v>
      </c>
      <c r="BA174" s="6" t="s">
        <v>104</v>
      </c>
      <c r="BB174" s="24" t="n">
        <v>2303</v>
      </c>
      <c r="BC174" s="26"/>
      <c r="BD174" s="26"/>
      <c r="BE174" s="26"/>
      <c r="BF174" s="26"/>
      <c r="BG174" s="26"/>
      <c r="BH174" s="26"/>
      <c r="BI174" s="26"/>
      <c r="BJ174" s="26"/>
      <c r="BK174" s="26"/>
      <c r="BL174" s="26"/>
      <c r="BM174" s="26"/>
      <c r="BN174" s="26"/>
      <c r="BO174" s="26" t="s">
        <v>24533</v>
      </c>
      <c r="BP174" s="16" t="n">
        <v>45447</v>
      </c>
      <c r="BQ174" s="28" t="str">
        <f>HYPERLINK("https://organic.ams.usda.gov/Integrity/Certificate.aspx?cid=17&amp;nopid=4081095955")</f>
        <v>https://organic.ams.usda.gov/Integrity/Certificate.aspx?cid=17&amp;nopid=4081095955</v>
      </c>
    </row>
    <row r="175">
      <c r="A175" t="s">
        <v>3</v>
      </c>
      <c r="B175" s="6" t="s">
        <v>11</v>
      </c>
      <c r="C175" s="6" t="s">
        <v>77</v>
      </c>
      <c r="D175" s="6" t="s">
        <v>142</v>
      </c>
      <c r="E175" s="10" t="s">
        <v>373</v>
      </c>
      <c r="F175" s="6" t="s">
        <v>2631</v>
      </c>
      <c r="G175" s="6" t="s">
        <v>104</v>
      </c>
      <c r="H175" s="6" t="s">
        <v>5046</v>
      </c>
      <c r="I175" s="6" t="s">
        <v>7045</v>
      </c>
      <c r="J175" s="6" t="s">
        <v>8263</v>
      </c>
      <c r="K175" s="6" t="s">
        <v>9714</v>
      </c>
      <c r="L175" s="16" t="n">
        <v>45044</v>
      </c>
      <c r="M175" s="16" t="n">
        <v>45677</v>
      </c>
      <c r="N175" s="6" t="s">
        <v>9714</v>
      </c>
      <c r="O175" s="16" t="n">
        <v>45523</v>
      </c>
      <c r="P175" s="6" t="s">
        <v>9775</v>
      </c>
      <c r="Q175" s="6" t="s">
        <v>104</v>
      </c>
      <c r="R175" s="6" t="s">
        <v>104</v>
      </c>
      <c r="S175" s="6" t="s">
        <v>104</v>
      </c>
      <c r="T175" s="21" t="s">
        <v>104</v>
      </c>
      <c r="U175" s="6" t="s">
        <v>104</v>
      </c>
      <c r="V175" s="6" t="s">
        <v>104</v>
      </c>
      <c r="W175" s="6" t="s">
        <v>104</v>
      </c>
      <c r="X175" s="6" t="s">
        <v>104</v>
      </c>
      <c r="Y175" s="21" t="s">
        <v>104</v>
      </c>
      <c r="Z175" s="6" t="s">
        <v>104</v>
      </c>
      <c r="AA175" s="6" t="s">
        <v>104</v>
      </c>
      <c r="AB175" s="6" t="s">
        <v>104</v>
      </c>
      <c r="AC175" s="6" t="s">
        <v>9714</v>
      </c>
      <c r="AD175" s="16" t="n">
        <v>45523</v>
      </c>
      <c r="AE175" s="6" t="s">
        <v>9775</v>
      </c>
      <c r="AF175" s="6" t="s">
        <v>104</v>
      </c>
      <c r="AG175" s="6" t="s">
        <v>104</v>
      </c>
      <c r="AH175" s="6" t="s">
        <v>13316</v>
      </c>
      <c r="AI175" s="6" t="s">
        <v>104</v>
      </c>
      <c r="AJ175" s="6" t="s">
        <v>15483</v>
      </c>
      <c r="AK175" s="6" t="s">
        <v>15488</v>
      </c>
      <c r="AL175" s="6" t="s">
        <v>16933</v>
      </c>
      <c r="AM175" s="6" t="s">
        <v>104</v>
      </c>
      <c r="AN175" s="6" t="s">
        <v>104</v>
      </c>
      <c r="AO175" s="6" t="s">
        <v>104</v>
      </c>
      <c r="AP175" s="6" t="s">
        <v>19002</v>
      </c>
      <c r="AQ175" s="6" t="s">
        <v>104</v>
      </c>
      <c r="AR175" s="6" t="s">
        <v>15383</v>
      </c>
      <c r="AS175" s="6" t="s">
        <v>15383</v>
      </c>
      <c r="AT175" s="6" t="s">
        <v>16933</v>
      </c>
      <c r="AU175" s="6" t="s">
        <v>104</v>
      </c>
      <c r="AV175" s="6" t="s">
        <v>104</v>
      </c>
      <c r="AW175" s="6" t="s">
        <v>104</v>
      </c>
      <c r="AX175" s="6" t="s">
        <v>20248</v>
      </c>
      <c r="AY175" s="6" t="s">
        <v>21993</v>
      </c>
      <c r="AZ175" s="6" t="s">
        <v>104</v>
      </c>
      <c r="BA175" s="6" t="s">
        <v>104</v>
      </c>
      <c r="BB175" s="24" t="n">
        <v>1478</v>
      </c>
      <c r="BC175" s="26"/>
      <c r="BD175" s="26"/>
      <c r="BE175" s="26"/>
      <c r="BF175" s="26"/>
      <c r="BG175" s="26"/>
      <c r="BH175" s="26"/>
      <c r="BI175" s="26"/>
      <c r="BJ175" s="26"/>
      <c r="BK175" s="26"/>
      <c r="BL175" s="26"/>
      <c r="BM175" s="26"/>
      <c r="BN175" s="26"/>
      <c r="BO175" s="26" t="s">
        <v>24533</v>
      </c>
      <c r="BP175" s="16" t="n">
        <v>45530</v>
      </c>
      <c r="BQ175" s="28" t="str">
        <f>HYPERLINK("https://organic.ams.usda.gov/Integrity/Certificate.aspx?cid=21&amp;nopid=1780869120")</f>
        <v>https://organic.ams.usda.gov/Integrity/Certificate.aspx?cid=21&amp;nopid=1780869120</v>
      </c>
    </row>
    <row r="176">
      <c r="A176" t="s">
        <v>3</v>
      </c>
      <c r="B176" s="6" t="s">
        <v>11</v>
      </c>
      <c r="C176" s="6" t="s">
        <v>77</v>
      </c>
      <c r="D176" s="6" t="s">
        <v>142</v>
      </c>
      <c r="E176" s="10" t="s">
        <v>374</v>
      </c>
      <c r="F176" s="6" t="s">
        <v>2632</v>
      </c>
      <c r="G176" s="6" t="s">
        <v>104</v>
      </c>
      <c r="H176" s="6" t="s">
        <v>5047</v>
      </c>
      <c r="I176" s="6" t="s">
        <v>7046</v>
      </c>
      <c r="J176" s="6" t="s">
        <v>8264</v>
      </c>
      <c r="K176" s="6" t="s">
        <v>9714</v>
      </c>
      <c r="L176" s="16" t="n">
        <v>45118</v>
      </c>
      <c r="M176" s="16" t="n">
        <v>45845</v>
      </c>
      <c r="N176" s="6" t="s">
        <v>9714</v>
      </c>
      <c r="O176" s="16" t="n">
        <v>45118</v>
      </c>
      <c r="P176" s="6" t="s">
        <v>9776</v>
      </c>
      <c r="Q176" s="6" t="s">
        <v>104</v>
      </c>
      <c r="R176" s="6" t="s">
        <v>374</v>
      </c>
      <c r="S176" s="6" t="s">
        <v>104</v>
      </c>
      <c r="T176" s="21" t="s">
        <v>104</v>
      </c>
      <c r="U176" s="6" t="s">
        <v>104</v>
      </c>
      <c r="V176" s="6" t="s">
        <v>104</v>
      </c>
      <c r="W176" s="6" t="s">
        <v>104</v>
      </c>
      <c r="X176" s="6" t="s">
        <v>104</v>
      </c>
      <c r="Y176" s="21" t="s">
        <v>104</v>
      </c>
      <c r="Z176" s="6" t="s">
        <v>104</v>
      </c>
      <c r="AA176" s="6" t="s">
        <v>104</v>
      </c>
      <c r="AB176" s="6" t="s">
        <v>104</v>
      </c>
      <c r="AC176" s="6" t="s">
        <v>9714</v>
      </c>
      <c r="AD176" s="16" t="n">
        <v>45118</v>
      </c>
      <c r="AE176" s="6" t="s">
        <v>10677</v>
      </c>
      <c r="AF176" s="6" t="s">
        <v>104</v>
      </c>
      <c r="AG176" s="6" t="s">
        <v>374</v>
      </c>
      <c r="AH176" s="6" t="s">
        <v>13317</v>
      </c>
      <c r="AI176" s="6" t="s">
        <v>104</v>
      </c>
      <c r="AJ176" s="6" t="s">
        <v>15484</v>
      </c>
      <c r="AK176" s="6" t="s">
        <v>15484</v>
      </c>
      <c r="AL176" s="6" t="s">
        <v>16939</v>
      </c>
      <c r="AM176" s="6" t="s">
        <v>104</v>
      </c>
      <c r="AN176" s="6" t="s">
        <v>104</v>
      </c>
      <c r="AO176" s="6" t="s">
        <v>104</v>
      </c>
      <c r="AP176" s="6" t="s">
        <v>104</v>
      </c>
      <c r="AQ176" s="6" t="s">
        <v>104</v>
      </c>
      <c r="AR176" s="6" t="s">
        <v>104</v>
      </c>
      <c r="AS176" s="6" t="s">
        <v>104</v>
      </c>
      <c r="AT176" s="6" t="s">
        <v>104</v>
      </c>
      <c r="AU176" s="6" t="s">
        <v>104</v>
      </c>
      <c r="AV176" s="6" t="s">
        <v>104</v>
      </c>
      <c r="AW176" s="6" t="s">
        <v>104</v>
      </c>
      <c r="AX176" s="6" t="s">
        <v>20249</v>
      </c>
      <c r="AY176" s="6" t="s">
        <v>21994</v>
      </c>
      <c r="AZ176" s="6" t="s">
        <v>104</v>
      </c>
      <c r="BA176" s="6" t="s">
        <v>104</v>
      </c>
      <c r="BB176" s="24" t="n">
        <v>37</v>
      </c>
      <c r="BC176" s="26"/>
      <c r="BD176" s="26"/>
      <c r="BE176" s="26"/>
      <c r="BF176" s="26"/>
      <c r="BG176" s="26"/>
      <c r="BH176" s="26" t="s">
        <v>24533</v>
      </c>
      <c r="BI176" s="26"/>
      <c r="BJ176" s="26"/>
      <c r="BK176" s="26"/>
      <c r="BL176" s="26"/>
      <c r="BM176" s="26"/>
      <c r="BN176" s="26" t="s">
        <v>24533</v>
      </c>
      <c r="BO176" s="26" t="s">
        <v>24533</v>
      </c>
      <c r="BP176" s="16" t="n">
        <v>45702</v>
      </c>
      <c r="BQ176" s="28" t="str">
        <f>HYPERLINK("https://organic.ams.usda.gov/Integrity/Certificate.aspx?cid=21&amp;nopid=1780896887")</f>
        <v>https://organic.ams.usda.gov/Integrity/Certificate.aspx?cid=21&amp;nopid=1780896887</v>
      </c>
    </row>
    <row r="177">
      <c r="A177" t="s">
        <v>3</v>
      </c>
      <c r="B177" s="6" t="s">
        <v>20</v>
      </c>
      <c r="C177" s="6" t="s">
        <v>86</v>
      </c>
      <c r="D177" s="6" t="s">
        <v>151</v>
      </c>
      <c r="E177" s="10" t="s">
        <v>375</v>
      </c>
      <c r="F177" s="6" t="s">
        <v>2633</v>
      </c>
      <c r="G177" s="6" t="s">
        <v>104</v>
      </c>
      <c r="H177" s="6" t="s">
        <v>5048</v>
      </c>
      <c r="I177" s="6" t="s">
        <v>7047</v>
      </c>
      <c r="J177" s="6" t="s">
        <v>8265</v>
      </c>
      <c r="K177" s="6" t="s">
        <v>9714</v>
      </c>
      <c r="L177" s="16" t="n">
        <v>42809</v>
      </c>
      <c r="M177" s="16" t="n">
        <v>45747</v>
      </c>
      <c r="N177" s="6" t="s">
        <v>9714</v>
      </c>
      <c r="O177" s="16" t="n">
        <v>42809</v>
      </c>
      <c r="P177" s="6" t="s">
        <v>9777</v>
      </c>
      <c r="Q177" s="6" t="s">
        <v>104</v>
      </c>
      <c r="R177" s="6" t="s">
        <v>10306</v>
      </c>
      <c r="S177" s="6" t="s">
        <v>104</v>
      </c>
      <c r="T177" s="21" t="s">
        <v>104</v>
      </c>
      <c r="U177" s="6" t="s">
        <v>104</v>
      </c>
      <c r="V177" s="6" t="s">
        <v>104</v>
      </c>
      <c r="W177" s="6" t="s">
        <v>104</v>
      </c>
      <c r="X177" s="6" t="s">
        <v>104</v>
      </c>
      <c r="Y177" s="21" t="s">
        <v>104</v>
      </c>
      <c r="Z177" s="6" t="s">
        <v>104</v>
      </c>
      <c r="AA177" s="6" t="s">
        <v>104</v>
      </c>
      <c r="AB177" s="6" t="s">
        <v>104</v>
      </c>
      <c r="AC177" s="6" t="s">
        <v>9714</v>
      </c>
      <c r="AD177" s="16" t="n">
        <v>42809</v>
      </c>
      <c r="AE177" s="6" t="s">
        <v>10678</v>
      </c>
      <c r="AF177" s="6" t="s">
        <v>104</v>
      </c>
      <c r="AG177" s="6" t="s">
        <v>10306</v>
      </c>
      <c r="AH177" s="6" t="s">
        <v>13318</v>
      </c>
      <c r="AI177" s="6" t="s">
        <v>104</v>
      </c>
      <c r="AJ177" s="6" t="s">
        <v>15485</v>
      </c>
      <c r="AK177" s="6" t="s">
        <v>16727</v>
      </c>
      <c r="AL177" s="6" t="s">
        <v>16939</v>
      </c>
      <c r="AM177" s="6" t="s">
        <v>104</v>
      </c>
      <c r="AN177" s="6" t="s">
        <v>104</v>
      </c>
      <c r="AO177" s="6" t="s">
        <v>104</v>
      </c>
      <c r="AP177" s="6" t="s">
        <v>104</v>
      </c>
      <c r="AQ177" s="6" t="s">
        <v>104</v>
      </c>
      <c r="AR177" s="6" t="s">
        <v>104</v>
      </c>
      <c r="AS177" s="6" t="s">
        <v>104</v>
      </c>
      <c r="AT177" s="6" t="s">
        <v>104</v>
      </c>
      <c r="AU177" s="6" t="s">
        <v>104</v>
      </c>
      <c r="AV177" s="6" t="s">
        <v>104</v>
      </c>
      <c r="AW177" s="6" t="s">
        <v>104</v>
      </c>
      <c r="AX177" s="6" t="s">
        <v>20250</v>
      </c>
      <c r="AY177" s="6" t="s">
        <v>21995</v>
      </c>
      <c r="AZ177" s="6" t="s">
        <v>104</v>
      </c>
      <c r="BA177" s="6" t="s">
        <v>104</v>
      </c>
      <c r="BB177" s="24" t="n">
        <v>196</v>
      </c>
      <c r="BC177" s="26"/>
      <c r="BD177" s="26"/>
      <c r="BE177" s="26"/>
      <c r="BF177" s="26"/>
      <c r="BG177" s="26"/>
      <c r="BH177" s="26"/>
      <c r="BI177" s="26"/>
      <c r="BJ177" s="26"/>
      <c r="BK177" s="26"/>
      <c r="BL177" s="26"/>
      <c r="BM177" s="26"/>
      <c r="BN177" s="26"/>
      <c r="BO177" s="26" t="s">
        <v>24533</v>
      </c>
      <c r="BP177" s="16" t="n">
        <v>45468</v>
      </c>
      <c r="BQ177" s="28" t="str">
        <f>HYPERLINK("https://organic.ams.usda.gov/Integrity/Certificate.aspx?cid=17&amp;nopid=4081065319")</f>
        <v>https://organic.ams.usda.gov/Integrity/Certificate.aspx?cid=17&amp;nopid=4081065319</v>
      </c>
    </row>
    <row r="178">
      <c r="A178" t="s">
        <v>3</v>
      </c>
      <c r="B178" s="6" t="s">
        <v>11</v>
      </c>
      <c r="C178" s="6" t="s">
        <v>77</v>
      </c>
      <c r="D178" s="6" t="s">
        <v>142</v>
      </c>
      <c r="E178" s="10" t="s">
        <v>376</v>
      </c>
      <c r="F178" s="6" t="s">
        <v>2634</v>
      </c>
      <c r="G178" s="6" t="s">
        <v>104</v>
      </c>
      <c r="H178" s="6" t="s">
        <v>5049</v>
      </c>
      <c r="I178" s="6" t="s">
        <v>7048</v>
      </c>
      <c r="J178" s="6" t="s">
        <v>8266</v>
      </c>
      <c r="K178" s="6" t="s">
        <v>9714</v>
      </c>
      <c r="L178" s="16" t="n">
        <v>44888</v>
      </c>
      <c r="M178" s="16" t="n">
        <v>45854</v>
      </c>
      <c r="N178" s="6" t="s">
        <v>9714</v>
      </c>
      <c r="O178" s="16" t="n">
        <v>44888</v>
      </c>
      <c r="P178" s="6" t="s">
        <v>9778</v>
      </c>
      <c r="Q178" s="6" t="s">
        <v>104</v>
      </c>
      <c r="R178" s="6" t="s">
        <v>376</v>
      </c>
      <c r="S178" s="6" t="s">
        <v>104</v>
      </c>
      <c r="T178" s="21" t="s">
        <v>104</v>
      </c>
      <c r="U178" s="6" t="s">
        <v>104</v>
      </c>
      <c r="V178" s="6" t="s">
        <v>104</v>
      </c>
      <c r="W178" s="6" t="s">
        <v>104</v>
      </c>
      <c r="X178" s="6" t="s">
        <v>104</v>
      </c>
      <c r="Y178" s="21" t="s">
        <v>104</v>
      </c>
      <c r="Z178" s="6" t="s">
        <v>104</v>
      </c>
      <c r="AA178" s="6" t="s">
        <v>104</v>
      </c>
      <c r="AB178" s="6" t="s">
        <v>104</v>
      </c>
      <c r="AC178" s="6" t="s">
        <v>9714</v>
      </c>
      <c r="AD178" s="16" t="n">
        <v>44888</v>
      </c>
      <c r="AE178" s="6" t="s">
        <v>10679</v>
      </c>
      <c r="AF178" s="6" t="s">
        <v>104</v>
      </c>
      <c r="AG178" s="6" t="s">
        <v>376</v>
      </c>
      <c r="AH178" s="6" t="s">
        <v>13319</v>
      </c>
      <c r="AI178" s="6" t="s">
        <v>104</v>
      </c>
      <c r="AJ178" s="6" t="s">
        <v>15486</v>
      </c>
      <c r="AK178" s="6" t="s">
        <v>15661</v>
      </c>
      <c r="AL178" s="6" t="s">
        <v>16939</v>
      </c>
      <c r="AM178" s="6" t="s">
        <v>104</v>
      </c>
      <c r="AN178" s="6" t="s">
        <v>104</v>
      </c>
      <c r="AO178" s="6" t="s">
        <v>104</v>
      </c>
      <c r="AP178" s="6" t="s">
        <v>104</v>
      </c>
      <c r="AQ178" s="6" t="s">
        <v>104</v>
      </c>
      <c r="AR178" s="6" t="s">
        <v>104</v>
      </c>
      <c r="AS178" s="6" t="s">
        <v>104</v>
      </c>
      <c r="AT178" s="6" t="s">
        <v>104</v>
      </c>
      <c r="AU178" s="6" t="s">
        <v>104</v>
      </c>
      <c r="AV178" s="6" t="s">
        <v>104</v>
      </c>
      <c r="AW178" s="6" t="s">
        <v>104</v>
      </c>
      <c r="AX178" s="6" t="s">
        <v>20251</v>
      </c>
      <c r="AY178" s="6" t="s">
        <v>21996</v>
      </c>
      <c r="AZ178" s="6" t="s">
        <v>23725</v>
      </c>
      <c r="BA178" s="6" t="s">
        <v>24271</v>
      </c>
      <c r="BB178" s="24" t="n">
        <v>885</v>
      </c>
      <c r="BC178" s="26"/>
      <c r="BD178" s="26"/>
      <c r="BE178" s="26"/>
      <c r="BF178" s="26"/>
      <c r="BG178" s="26" t="s">
        <v>24533</v>
      </c>
      <c r="BH178" s="26" t="s">
        <v>24533</v>
      </c>
      <c r="BI178" s="26"/>
      <c r="BJ178" s="26"/>
      <c r="BK178" s="26"/>
      <c r="BL178" s="26"/>
      <c r="BM178" s="26"/>
      <c r="BN178" s="26" t="s">
        <v>24533</v>
      </c>
      <c r="BO178" s="26" t="s">
        <v>24533</v>
      </c>
      <c r="BP178" s="16" t="n">
        <v>45499</v>
      </c>
      <c r="BQ178" s="28" t="str">
        <f>HYPERLINK("https://organic.ams.usda.gov/Integrity/Certificate.aspx?cid=21&amp;nopid=1780886853")</f>
        <v>https://organic.ams.usda.gov/Integrity/Certificate.aspx?cid=21&amp;nopid=1780886853</v>
      </c>
    </row>
    <row r="179">
      <c r="A179" t="s">
        <v>3</v>
      </c>
      <c r="B179" s="6" t="s">
        <v>31</v>
      </c>
      <c r="C179" s="6" t="s">
        <v>97</v>
      </c>
      <c r="D179" s="6" t="s">
        <v>162</v>
      </c>
      <c r="E179" s="10" t="s">
        <v>377</v>
      </c>
      <c r="F179" s="6" t="s">
        <v>2635</v>
      </c>
      <c r="G179" s="6" t="s">
        <v>104</v>
      </c>
      <c r="H179" s="6" t="s">
        <v>5050</v>
      </c>
      <c r="I179" s="6" t="s">
        <v>7049</v>
      </c>
      <c r="J179" s="6" t="s">
        <v>8267</v>
      </c>
      <c r="K179" s="6" t="s">
        <v>9714</v>
      </c>
      <c r="L179" s="16" t="n">
        <v>44593</v>
      </c>
      <c r="M179" s="16" t="n">
        <v>45689</v>
      </c>
      <c r="N179" s="6" t="s">
        <v>9714</v>
      </c>
      <c r="O179" s="16" t="n">
        <v>44593</v>
      </c>
      <c r="P179" s="6" t="s">
        <v>9779</v>
      </c>
      <c r="Q179" s="6" t="s">
        <v>104</v>
      </c>
      <c r="R179" s="6" t="s">
        <v>10307</v>
      </c>
      <c r="S179" s="6" t="s">
        <v>104</v>
      </c>
      <c r="T179" s="21" t="s">
        <v>104</v>
      </c>
      <c r="U179" s="6" t="s">
        <v>104</v>
      </c>
      <c r="V179" s="6" t="s">
        <v>104</v>
      </c>
      <c r="W179" s="6" t="s">
        <v>104</v>
      </c>
      <c r="X179" s="6" t="s">
        <v>104</v>
      </c>
      <c r="Y179" s="21" t="s">
        <v>104</v>
      </c>
      <c r="Z179" s="6" t="s">
        <v>104</v>
      </c>
      <c r="AA179" s="6" t="s">
        <v>104</v>
      </c>
      <c r="AB179" s="6" t="s">
        <v>104</v>
      </c>
      <c r="AC179" s="6" t="s">
        <v>9714</v>
      </c>
      <c r="AD179" s="16" t="n">
        <v>44593</v>
      </c>
      <c r="AE179" s="6" t="s">
        <v>10680</v>
      </c>
      <c r="AF179" s="6" t="s">
        <v>104</v>
      </c>
      <c r="AG179" s="6" t="s">
        <v>12524</v>
      </c>
      <c r="AH179" s="6" t="s">
        <v>13320</v>
      </c>
      <c r="AI179" s="6" t="s">
        <v>104</v>
      </c>
      <c r="AJ179" s="6" t="s">
        <v>15487</v>
      </c>
      <c r="AK179" s="6" t="s">
        <v>16728</v>
      </c>
      <c r="AL179" s="6" t="s">
        <v>16950</v>
      </c>
      <c r="AM179" s="6" t="s">
        <v>104</v>
      </c>
      <c r="AN179" s="6" t="s">
        <v>104</v>
      </c>
      <c r="AO179" s="6" t="s">
        <v>104</v>
      </c>
      <c r="AP179" s="6" t="s">
        <v>13320</v>
      </c>
      <c r="AQ179" s="6" t="s">
        <v>104</v>
      </c>
      <c r="AR179" s="6" t="s">
        <v>15487</v>
      </c>
      <c r="AS179" s="6" t="s">
        <v>16728</v>
      </c>
      <c r="AT179" s="6" t="s">
        <v>16950</v>
      </c>
      <c r="AU179" s="6" t="s">
        <v>104</v>
      </c>
      <c r="AV179" s="6" t="s">
        <v>104</v>
      </c>
      <c r="AW179" s="6" t="s">
        <v>104</v>
      </c>
      <c r="AX179" s="6" t="s">
        <v>20252</v>
      </c>
      <c r="AY179" s="6" t="s">
        <v>21997</v>
      </c>
      <c r="AZ179" s="6" t="s">
        <v>104</v>
      </c>
      <c r="BA179" s="6" t="s">
        <v>104</v>
      </c>
      <c r="BB179" s="24" t="n">
        <v>1864</v>
      </c>
      <c r="BC179" s="26"/>
      <c r="BD179" s="26"/>
      <c r="BE179" s="26"/>
      <c r="BF179" s="26"/>
      <c r="BG179" s="26"/>
      <c r="BH179" s="26"/>
      <c r="BI179" s="26"/>
      <c r="BJ179" s="26"/>
      <c r="BK179" s="26"/>
      <c r="BL179" s="26"/>
      <c r="BM179" s="26"/>
      <c r="BN179" s="26"/>
      <c r="BO179" s="26" t="s">
        <v>24533</v>
      </c>
      <c r="BP179" s="16" t="n">
        <v>45421</v>
      </c>
      <c r="BQ179" s="28" t="str">
        <f>HYPERLINK("https://organic.ams.usda.gov/Integrity/Certificate.aspx?cid=43&amp;nopid=3532022134")</f>
        <v>https://organic.ams.usda.gov/Integrity/Certificate.aspx?cid=43&amp;nopid=3532022134</v>
      </c>
    </row>
    <row r="180">
      <c r="A180" t="s">
        <v>3</v>
      </c>
      <c r="B180" s="6" t="s">
        <v>11</v>
      </c>
      <c r="C180" s="6" t="s">
        <v>77</v>
      </c>
      <c r="D180" s="6" t="s">
        <v>142</v>
      </c>
      <c r="E180" s="10" t="s">
        <v>378</v>
      </c>
      <c r="F180" s="6" t="s">
        <v>2636</v>
      </c>
      <c r="G180" s="6" t="s">
        <v>104</v>
      </c>
      <c r="H180" s="6" t="s">
        <v>5051</v>
      </c>
      <c r="I180" s="6" t="s">
        <v>7050</v>
      </c>
      <c r="J180" s="6" t="s">
        <v>8268</v>
      </c>
      <c r="K180" s="6" t="s">
        <v>9714</v>
      </c>
      <c r="L180" s="16" t="n">
        <v>45078</v>
      </c>
      <c r="M180" s="16" t="n">
        <v>45737</v>
      </c>
      <c r="N180" s="6" t="s">
        <v>9714</v>
      </c>
      <c r="O180" s="16" t="n">
        <v>45078</v>
      </c>
      <c r="P180" s="6" t="s">
        <v>9780</v>
      </c>
      <c r="Q180" s="6" t="s">
        <v>104</v>
      </c>
      <c r="R180" s="6" t="s">
        <v>104</v>
      </c>
      <c r="S180" s="6" t="s">
        <v>104</v>
      </c>
      <c r="T180" s="21" t="s">
        <v>104</v>
      </c>
      <c r="U180" s="6" t="s">
        <v>104</v>
      </c>
      <c r="V180" s="6" t="s">
        <v>104</v>
      </c>
      <c r="W180" s="6" t="s">
        <v>104</v>
      </c>
      <c r="X180" s="6" t="s">
        <v>104</v>
      </c>
      <c r="Y180" s="21" t="s">
        <v>104</v>
      </c>
      <c r="Z180" s="6" t="s">
        <v>104</v>
      </c>
      <c r="AA180" s="6" t="s">
        <v>104</v>
      </c>
      <c r="AB180" s="6" t="s">
        <v>104</v>
      </c>
      <c r="AC180" s="6" t="s">
        <v>9714</v>
      </c>
      <c r="AD180" s="16" t="n">
        <v>45078</v>
      </c>
      <c r="AE180" s="6" t="s">
        <v>9757</v>
      </c>
      <c r="AF180" s="6" t="s">
        <v>104</v>
      </c>
      <c r="AG180" s="6" t="s">
        <v>104</v>
      </c>
      <c r="AH180" s="6" t="s">
        <v>13321</v>
      </c>
      <c r="AI180" s="6" t="s">
        <v>104</v>
      </c>
      <c r="AJ180" s="6" t="s">
        <v>15488</v>
      </c>
      <c r="AK180" s="6" t="s">
        <v>104</v>
      </c>
      <c r="AL180" s="6" t="s">
        <v>16933</v>
      </c>
      <c r="AM180" s="6" t="s">
        <v>104</v>
      </c>
      <c r="AN180" s="6" t="s">
        <v>104</v>
      </c>
      <c r="AO180" s="6" t="s">
        <v>104</v>
      </c>
      <c r="AP180" s="6" t="s">
        <v>13321</v>
      </c>
      <c r="AQ180" s="6" t="s">
        <v>104</v>
      </c>
      <c r="AR180" s="6" t="s">
        <v>15488</v>
      </c>
      <c r="AS180" s="6" t="s">
        <v>104</v>
      </c>
      <c r="AT180" s="6" t="s">
        <v>16933</v>
      </c>
      <c r="AU180" s="6" t="s">
        <v>104</v>
      </c>
      <c r="AV180" s="6" t="s">
        <v>104</v>
      </c>
      <c r="AW180" s="6" t="s">
        <v>104</v>
      </c>
      <c r="AX180" s="6" t="s">
        <v>20253</v>
      </c>
      <c r="AY180" s="6" t="s">
        <v>21998</v>
      </c>
      <c r="AZ180" s="6" t="s">
        <v>104</v>
      </c>
      <c r="BA180" s="6" t="s">
        <v>24273</v>
      </c>
      <c r="BB180" s="24" t="n">
        <v>903</v>
      </c>
      <c r="BC180" s="26"/>
      <c r="BD180" s="26"/>
      <c r="BE180" s="26"/>
      <c r="BF180" s="26"/>
      <c r="BG180" s="26"/>
      <c r="BH180" s="26" t="s">
        <v>24533</v>
      </c>
      <c r="BI180" s="26"/>
      <c r="BJ180" s="26"/>
      <c r="BK180" s="26"/>
      <c r="BL180" s="26"/>
      <c r="BM180" s="26"/>
      <c r="BN180" s="26" t="s">
        <v>24533</v>
      </c>
      <c r="BO180" s="26" t="s">
        <v>24533</v>
      </c>
      <c r="BP180" s="16" t="n">
        <v>45471</v>
      </c>
      <c r="BQ180" s="28" t="str">
        <f>HYPERLINK("https://organic.ams.usda.gov/Integrity/Certificate.aspx?cid=21&amp;nopid=1780893261")</f>
        <v>https://organic.ams.usda.gov/Integrity/Certificate.aspx?cid=21&amp;nopid=1780893261</v>
      </c>
    </row>
    <row r="181">
      <c r="A181" t="s">
        <v>3</v>
      </c>
      <c r="B181" s="6" t="s">
        <v>31</v>
      </c>
      <c r="C181" s="6" t="s">
        <v>97</v>
      </c>
      <c r="D181" s="6" t="s">
        <v>162</v>
      </c>
      <c r="E181" s="10" t="s">
        <v>379</v>
      </c>
      <c r="F181" s="6" t="s">
        <v>2637</v>
      </c>
      <c r="G181" s="6" t="s">
        <v>104</v>
      </c>
      <c r="H181" s="6" t="s">
        <v>5052</v>
      </c>
      <c r="I181" s="6" t="s">
        <v>7051</v>
      </c>
      <c r="J181" s="6" t="s">
        <v>8269</v>
      </c>
      <c r="K181" s="6" t="s">
        <v>9714</v>
      </c>
      <c r="L181" s="16" t="n">
        <v>44195</v>
      </c>
      <c r="M181" s="16" t="n">
        <v>45655</v>
      </c>
      <c r="N181" s="6" t="s">
        <v>9714</v>
      </c>
      <c r="O181" s="16" t="n">
        <v>44195</v>
      </c>
      <c r="P181" s="6" t="s">
        <v>9781</v>
      </c>
      <c r="Q181" s="6" t="s">
        <v>104</v>
      </c>
      <c r="R181" s="6" t="s">
        <v>10308</v>
      </c>
      <c r="S181" s="6" t="s">
        <v>104</v>
      </c>
      <c r="T181" s="21" t="s">
        <v>104</v>
      </c>
      <c r="U181" s="6" t="s">
        <v>104</v>
      </c>
      <c r="V181" s="6" t="s">
        <v>104</v>
      </c>
      <c r="W181" s="6" t="s">
        <v>104</v>
      </c>
      <c r="X181" s="6" t="s">
        <v>104</v>
      </c>
      <c r="Y181" s="21" t="s">
        <v>104</v>
      </c>
      <c r="Z181" s="6" t="s">
        <v>104</v>
      </c>
      <c r="AA181" s="6" t="s">
        <v>104</v>
      </c>
      <c r="AB181" s="6" t="s">
        <v>104</v>
      </c>
      <c r="AC181" s="6" t="s">
        <v>9714</v>
      </c>
      <c r="AD181" s="16" t="n">
        <v>44195</v>
      </c>
      <c r="AE181" s="6" t="s">
        <v>10681</v>
      </c>
      <c r="AF181" s="6" t="s">
        <v>104</v>
      </c>
      <c r="AG181" s="6" t="s">
        <v>10308</v>
      </c>
      <c r="AH181" s="6" t="s">
        <v>13322</v>
      </c>
      <c r="AI181" s="6" t="s">
        <v>104</v>
      </c>
      <c r="AJ181" s="6" t="s">
        <v>15489</v>
      </c>
      <c r="AK181" s="6" t="s">
        <v>16729</v>
      </c>
      <c r="AL181" s="6" t="s">
        <v>16951</v>
      </c>
      <c r="AM181" s="6" t="s">
        <v>104</v>
      </c>
      <c r="AN181" s="6" t="s">
        <v>104</v>
      </c>
      <c r="AO181" s="6" t="s">
        <v>104</v>
      </c>
      <c r="AP181" s="6" t="s">
        <v>13322</v>
      </c>
      <c r="AQ181" s="6" t="s">
        <v>104</v>
      </c>
      <c r="AR181" s="6" t="s">
        <v>15489</v>
      </c>
      <c r="AS181" s="6" t="s">
        <v>16729</v>
      </c>
      <c r="AT181" s="6" t="s">
        <v>16951</v>
      </c>
      <c r="AU181" s="6" t="s">
        <v>104</v>
      </c>
      <c r="AV181" s="6" t="s">
        <v>104</v>
      </c>
      <c r="AW181" s="6" t="s">
        <v>104</v>
      </c>
      <c r="AX181" s="6" t="s">
        <v>20254</v>
      </c>
      <c r="AY181" s="6" t="s">
        <v>21999</v>
      </c>
      <c r="AZ181" s="6" t="s">
        <v>104</v>
      </c>
      <c r="BA181" s="6" t="s">
        <v>104</v>
      </c>
      <c r="BB181" s="24" t="n">
        <v>6223</v>
      </c>
      <c r="BC181" s="26"/>
      <c r="BD181" s="26"/>
      <c r="BE181" s="26"/>
      <c r="BF181" s="26"/>
      <c r="BG181" s="26"/>
      <c r="BH181" s="26"/>
      <c r="BI181" s="26"/>
      <c r="BJ181" s="26"/>
      <c r="BK181" s="26"/>
      <c r="BL181" s="26"/>
      <c r="BM181" s="26"/>
      <c r="BN181" s="26"/>
      <c r="BO181" s="26" t="s">
        <v>24533</v>
      </c>
      <c r="BP181" s="16" t="n">
        <v>45386</v>
      </c>
      <c r="BQ181" s="28" t="str">
        <f>HYPERLINK("https://organic.ams.usda.gov/Integrity/Certificate.aspx?cid=43&amp;nopid=3532021081")</f>
        <v>https://organic.ams.usda.gov/Integrity/Certificate.aspx?cid=43&amp;nopid=3532021081</v>
      </c>
    </row>
    <row r="182">
      <c r="A182" t="s">
        <v>3</v>
      </c>
      <c r="B182" s="6" t="s">
        <v>21</v>
      </c>
      <c r="C182" s="6" t="s">
        <v>87</v>
      </c>
      <c r="D182" s="6" t="s">
        <v>152</v>
      </c>
      <c r="E182" s="10" t="s">
        <v>380</v>
      </c>
      <c r="F182" s="6" t="s">
        <v>2638</v>
      </c>
      <c r="G182" s="6" t="s">
        <v>4687</v>
      </c>
      <c r="H182" s="6" t="s">
        <v>5053</v>
      </c>
      <c r="I182" s="6" t="s">
        <v>7052</v>
      </c>
      <c r="J182" s="6" t="s">
        <v>8270</v>
      </c>
      <c r="K182" s="6" t="s">
        <v>9714</v>
      </c>
      <c r="L182" s="16" t="n">
        <v>43411</v>
      </c>
      <c r="M182" s="16" t="n">
        <v>46023</v>
      </c>
      <c r="N182" s="6" t="s">
        <v>9714</v>
      </c>
      <c r="O182" s="16" t="n">
        <v>43411</v>
      </c>
      <c r="P182" s="6" t="s">
        <v>9782</v>
      </c>
      <c r="Q182" s="6" t="s">
        <v>104</v>
      </c>
      <c r="R182" s="6" t="s">
        <v>104</v>
      </c>
      <c r="S182" s="6" t="s">
        <v>104</v>
      </c>
      <c r="T182" s="21" t="s">
        <v>104</v>
      </c>
      <c r="U182" s="6" t="s">
        <v>104</v>
      </c>
      <c r="V182" s="6" t="s">
        <v>104</v>
      </c>
      <c r="W182" s="6" t="s">
        <v>104</v>
      </c>
      <c r="X182" s="6" t="s">
        <v>104</v>
      </c>
      <c r="Y182" s="21" t="s">
        <v>104</v>
      </c>
      <c r="Z182" s="6" t="s">
        <v>104</v>
      </c>
      <c r="AA182" s="6" t="s">
        <v>104</v>
      </c>
      <c r="AB182" s="6" t="s">
        <v>104</v>
      </c>
      <c r="AC182" s="6" t="s">
        <v>9714</v>
      </c>
      <c r="AD182" s="16" t="n">
        <v>43411</v>
      </c>
      <c r="AE182" s="6" t="s">
        <v>10682</v>
      </c>
      <c r="AF182" s="6" t="s">
        <v>104</v>
      </c>
      <c r="AG182" s="6" t="s">
        <v>104</v>
      </c>
      <c r="AH182" s="6" t="s">
        <v>13323</v>
      </c>
      <c r="AI182" s="6" t="s">
        <v>104</v>
      </c>
      <c r="AJ182" s="6" t="s">
        <v>15490</v>
      </c>
      <c r="AK182" s="6" t="s">
        <v>16730</v>
      </c>
      <c r="AL182" s="6" t="s">
        <v>16931</v>
      </c>
      <c r="AM182" s="6" t="s">
        <v>17107</v>
      </c>
      <c r="AN182" s="6" t="s">
        <v>18463</v>
      </c>
      <c r="AO182" s="6" t="s">
        <v>18596</v>
      </c>
      <c r="AP182" s="6" t="s">
        <v>13323</v>
      </c>
      <c r="AQ182" s="6" t="s">
        <v>104</v>
      </c>
      <c r="AR182" s="6" t="s">
        <v>15490</v>
      </c>
      <c r="AS182" s="6" t="s">
        <v>16730</v>
      </c>
      <c r="AT182" s="6" t="s">
        <v>16931</v>
      </c>
      <c r="AU182" s="6" t="s">
        <v>17107</v>
      </c>
      <c r="AV182" s="6" t="s">
        <v>104</v>
      </c>
      <c r="AW182" s="6" t="s">
        <v>104</v>
      </c>
      <c r="AX182" s="6" t="s">
        <v>20255</v>
      </c>
      <c r="AY182" s="6" t="s">
        <v>22000</v>
      </c>
      <c r="AZ182" s="6" t="s">
        <v>23726</v>
      </c>
      <c r="BA182" s="6" t="s">
        <v>24287</v>
      </c>
      <c r="BB182" s="24" t="n">
        <v>90</v>
      </c>
      <c r="BC182" s="26"/>
      <c r="BD182" s="26"/>
      <c r="BE182" s="26"/>
      <c r="BF182" s="26"/>
      <c r="BG182" s="26"/>
      <c r="BH182" s="26"/>
      <c r="BI182" s="26"/>
      <c r="BJ182" s="26"/>
      <c r="BK182" s="26"/>
      <c r="BL182" s="26"/>
      <c r="BM182" s="26"/>
      <c r="BN182" s="26"/>
      <c r="BO182" s="26"/>
      <c r="BP182" s="16" t="n">
        <v>45672</v>
      </c>
      <c r="BQ182" s="28" t="str">
        <f>HYPERLINK("https://organic.ams.usda.gov/Integrity/Certificate.aspx?cid=15&amp;nopid=5561005582")</f>
        <v>https://organic.ams.usda.gov/Integrity/Certificate.aspx?cid=15&amp;nopid=5561005582</v>
      </c>
    </row>
    <row r="183">
      <c r="A183" t="s">
        <v>3</v>
      </c>
      <c r="B183" s="6" t="s">
        <v>6</v>
      </c>
      <c r="C183" s="6" t="s">
        <v>72</v>
      </c>
      <c r="D183" s="6" t="s">
        <v>137</v>
      </c>
      <c r="E183" s="10" t="s">
        <v>381</v>
      </c>
      <c r="F183" s="6" t="s">
        <v>2639</v>
      </c>
      <c r="G183" s="6" t="s">
        <v>104</v>
      </c>
      <c r="H183" s="6" t="s">
        <v>5054</v>
      </c>
      <c r="I183" s="6" t="s">
        <v>7053</v>
      </c>
      <c r="J183" s="6" t="s">
        <v>8271</v>
      </c>
      <c r="K183" s="6" t="s">
        <v>9714</v>
      </c>
      <c r="L183" s="16" t="n">
        <v>44742</v>
      </c>
      <c r="M183" s="16" t="n">
        <v>45775</v>
      </c>
      <c r="N183" s="6" t="s">
        <v>104</v>
      </c>
      <c r="O183" s="21" t="s">
        <v>104</v>
      </c>
      <c r="P183" s="6" t="s">
        <v>104</v>
      </c>
      <c r="Q183" s="6" t="s">
        <v>104</v>
      </c>
      <c r="R183" s="6" t="s">
        <v>104</v>
      </c>
      <c r="S183" s="6" t="s">
        <v>104</v>
      </c>
      <c r="T183" s="21" t="s">
        <v>104</v>
      </c>
      <c r="U183" s="6" t="s">
        <v>104</v>
      </c>
      <c r="V183" s="6" t="s">
        <v>104</v>
      </c>
      <c r="W183" s="6" t="s">
        <v>104</v>
      </c>
      <c r="X183" s="6" t="s">
        <v>104</v>
      </c>
      <c r="Y183" s="21" t="s">
        <v>104</v>
      </c>
      <c r="Z183" s="6" t="s">
        <v>104</v>
      </c>
      <c r="AA183" s="6" t="s">
        <v>104</v>
      </c>
      <c r="AB183" s="6" t="s">
        <v>104</v>
      </c>
      <c r="AC183" s="6" t="s">
        <v>9714</v>
      </c>
      <c r="AD183" s="16" t="n">
        <v>44742</v>
      </c>
      <c r="AE183" s="6" t="s">
        <v>10683</v>
      </c>
      <c r="AF183" s="6" t="s">
        <v>104</v>
      </c>
      <c r="AG183" s="6" t="s">
        <v>12525</v>
      </c>
      <c r="AH183" s="6" t="s">
        <v>13324</v>
      </c>
      <c r="AI183" s="6" t="s">
        <v>104</v>
      </c>
      <c r="AJ183" s="6" t="s">
        <v>15491</v>
      </c>
      <c r="AK183" s="6" t="s">
        <v>15707</v>
      </c>
      <c r="AL183" s="6" t="s">
        <v>16766</v>
      </c>
      <c r="AM183" s="6" t="s">
        <v>104</v>
      </c>
      <c r="AN183" s="6" t="s">
        <v>104</v>
      </c>
      <c r="AO183" s="6" t="s">
        <v>104</v>
      </c>
      <c r="AP183" s="6" t="s">
        <v>104</v>
      </c>
      <c r="AQ183" s="6" t="s">
        <v>104</v>
      </c>
      <c r="AR183" s="6" t="s">
        <v>104</v>
      </c>
      <c r="AS183" s="6" t="s">
        <v>104</v>
      </c>
      <c r="AT183" s="6" t="s">
        <v>104</v>
      </c>
      <c r="AU183" s="6" t="s">
        <v>104</v>
      </c>
      <c r="AV183" s="6" t="s">
        <v>104</v>
      </c>
      <c r="AW183" s="6" t="s">
        <v>104</v>
      </c>
      <c r="AX183" s="6" t="s">
        <v>20256</v>
      </c>
      <c r="AY183" s="6" t="s">
        <v>22001</v>
      </c>
      <c r="AZ183" s="6" t="s">
        <v>104</v>
      </c>
      <c r="BA183" s="6" t="s">
        <v>104</v>
      </c>
      <c r="BB183" s="6" t="s">
        <v>104</v>
      </c>
      <c r="BC183" s="26"/>
      <c r="BD183" s="26"/>
      <c r="BE183" s="26"/>
      <c r="BF183" s="26"/>
      <c r="BG183" s="26"/>
      <c r="BH183" s="26"/>
      <c r="BI183" s="26"/>
      <c r="BJ183" s="26"/>
      <c r="BK183" s="26"/>
      <c r="BL183" s="26"/>
      <c r="BM183" s="26"/>
      <c r="BN183" s="26"/>
      <c r="BO183" s="26"/>
      <c r="BP183" s="16" t="n">
        <v>45737</v>
      </c>
      <c r="BQ183" s="28" t="str">
        <f>HYPERLINK("https://organic.ams.usda.gov/Integrity/Certificate.aspx?cid=32&amp;nopid=2230009611")</f>
        <v>https://organic.ams.usda.gov/Integrity/Certificate.aspx?cid=32&amp;nopid=2230009611</v>
      </c>
    </row>
    <row r="184">
      <c r="A184" t="s">
        <v>3</v>
      </c>
      <c r="B184" s="6" t="s">
        <v>6</v>
      </c>
      <c r="C184" s="6" t="s">
        <v>72</v>
      </c>
      <c r="D184" s="6" t="s">
        <v>137</v>
      </c>
      <c r="E184" s="10" t="s">
        <v>382</v>
      </c>
      <c r="F184" s="6" t="s">
        <v>2640</v>
      </c>
      <c r="G184" s="6" t="s">
        <v>104</v>
      </c>
      <c r="H184" s="6" t="s">
        <v>5055</v>
      </c>
      <c r="I184" s="6" t="s">
        <v>7053</v>
      </c>
      <c r="J184" s="6" t="s">
        <v>8271</v>
      </c>
      <c r="K184" s="6" t="s">
        <v>9714</v>
      </c>
      <c r="L184" s="16" t="n">
        <v>44742</v>
      </c>
      <c r="M184" s="16" t="n">
        <v>45776</v>
      </c>
      <c r="N184" s="6" t="s">
        <v>104</v>
      </c>
      <c r="O184" s="21" t="s">
        <v>104</v>
      </c>
      <c r="P184" s="6" t="s">
        <v>104</v>
      </c>
      <c r="Q184" s="6" t="s">
        <v>104</v>
      </c>
      <c r="R184" s="6" t="s">
        <v>104</v>
      </c>
      <c r="S184" s="6" t="s">
        <v>104</v>
      </c>
      <c r="T184" s="21" t="s">
        <v>104</v>
      </c>
      <c r="U184" s="6" t="s">
        <v>104</v>
      </c>
      <c r="V184" s="6" t="s">
        <v>104</v>
      </c>
      <c r="W184" s="6" t="s">
        <v>104</v>
      </c>
      <c r="X184" s="6" t="s">
        <v>104</v>
      </c>
      <c r="Y184" s="21" t="s">
        <v>104</v>
      </c>
      <c r="Z184" s="6" t="s">
        <v>104</v>
      </c>
      <c r="AA184" s="6" t="s">
        <v>104</v>
      </c>
      <c r="AB184" s="6" t="s">
        <v>104</v>
      </c>
      <c r="AC184" s="6" t="s">
        <v>9714</v>
      </c>
      <c r="AD184" s="16" t="n">
        <v>44742</v>
      </c>
      <c r="AE184" s="6" t="s">
        <v>10684</v>
      </c>
      <c r="AF184" s="6" t="s">
        <v>104</v>
      </c>
      <c r="AG184" s="6" t="s">
        <v>12526</v>
      </c>
      <c r="AH184" s="6" t="s">
        <v>13325</v>
      </c>
      <c r="AI184" s="6" t="s">
        <v>104</v>
      </c>
      <c r="AJ184" s="6" t="s">
        <v>15491</v>
      </c>
      <c r="AK184" s="6" t="s">
        <v>16731</v>
      </c>
      <c r="AL184" s="6" t="s">
        <v>16766</v>
      </c>
      <c r="AM184" s="6" t="s">
        <v>17108</v>
      </c>
      <c r="AN184" s="6" t="s">
        <v>104</v>
      </c>
      <c r="AO184" s="6" t="s">
        <v>104</v>
      </c>
      <c r="AP184" s="6" t="s">
        <v>104</v>
      </c>
      <c r="AQ184" s="6" t="s">
        <v>104</v>
      </c>
      <c r="AR184" s="6" t="s">
        <v>104</v>
      </c>
      <c r="AS184" s="6" t="s">
        <v>104</v>
      </c>
      <c r="AT184" s="6" t="s">
        <v>104</v>
      </c>
      <c r="AU184" s="6" t="s">
        <v>104</v>
      </c>
      <c r="AV184" s="6" t="s">
        <v>104</v>
      </c>
      <c r="AW184" s="6" t="s">
        <v>104</v>
      </c>
      <c r="AX184" s="6" t="s">
        <v>20256</v>
      </c>
      <c r="AY184" s="6" t="s">
        <v>22001</v>
      </c>
      <c r="AZ184" s="6" t="s">
        <v>104</v>
      </c>
      <c r="BA184" s="6" t="s">
        <v>104</v>
      </c>
      <c r="BB184" s="6" t="s">
        <v>104</v>
      </c>
      <c r="BC184" s="26"/>
      <c r="BD184" s="26"/>
      <c r="BE184" s="26"/>
      <c r="BF184" s="26"/>
      <c r="BG184" s="26"/>
      <c r="BH184" s="26"/>
      <c r="BI184" s="26"/>
      <c r="BJ184" s="26"/>
      <c r="BK184" s="26"/>
      <c r="BL184" s="26"/>
      <c r="BM184" s="26"/>
      <c r="BN184" s="26"/>
      <c r="BO184" s="26"/>
      <c r="BP184" s="16" t="n">
        <v>45737</v>
      </c>
      <c r="BQ184" s="28" t="str">
        <f>HYPERLINK("https://organic.ams.usda.gov/Integrity/Certificate.aspx?cid=32&amp;nopid=2230009612")</f>
        <v>https://organic.ams.usda.gov/Integrity/Certificate.aspx?cid=32&amp;nopid=2230009612</v>
      </c>
    </row>
    <row r="185">
      <c r="A185" t="s">
        <v>3</v>
      </c>
      <c r="B185" s="6" t="s">
        <v>29</v>
      </c>
      <c r="C185" s="6" t="s">
        <v>95</v>
      </c>
      <c r="D185" s="6" t="s">
        <v>160</v>
      </c>
      <c r="E185" s="10" t="s">
        <v>383</v>
      </c>
      <c r="F185" s="6" t="s">
        <v>2641</v>
      </c>
      <c r="G185" s="6" t="s">
        <v>104</v>
      </c>
      <c r="H185" s="6" t="s">
        <v>5056</v>
      </c>
      <c r="I185" s="6" t="s">
        <v>104</v>
      </c>
      <c r="J185" s="6" t="s">
        <v>8272</v>
      </c>
      <c r="K185" s="6" t="s">
        <v>9714</v>
      </c>
      <c r="L185" s="16" t="n">
        <v>43691</v>
      </c>
      <c r="M185" s="16" t="n">
        <v>45778</v>
      </c>
      <c r="N185" s="6" t="s">
        <v>104</v>
      </c>
      <c r="O185" s="21" t="s">
        <v>104</v>
      </c>
      <c r="P185" s="6" t="s">
        <v>104</v>
      </c>
      <c r="Q185" s="6" t="s">
        <v>104</v>
      </c>
      <c r="R185" s="6" t="s">
        <v>104</v>
      </c>
      <c r="S185" s="6" t="s">
        <v>104</v>
      </c>
      <c r="T185" s="21" t="s">
        <v>104</v>
      </c>
      <c r="U185" s="6" t="s">
        <v>104</v>
      </c>
      <c r="V185" s="6" t="s">
        <v>104</v>
      </c>
      <c r="W185" s="6" t="s">
        <v>104</v>
      </c>
      <c r="X185" s="6" t="s">
        <v>104</v>
      </c>
      <c r="Y185" s="21" t="s">
        <v>104</v>
      </c>
      <c r="Z185" s="6" t="s">
        <v>104</v>
      </c>
      <c r="AA185" s="6" t="s">
        <v>104</v>
      </c>
      <c r="AB185" s="6" t="s">
        <v>104</v>
      </c>
      <c r="AC185" s="6" t="s">
        <v>9714</v>
      </c>
      <c r="AD185" s="16" t="n">
        <v>43691</v>
      </c>
      <c r="AE185" s="6" t="s">
        <v>10685</v>
      </c>
      <c r="AF185" s="6" t="s">
        <v>104</v>
      </c>
      <c r="AG185" s="6" t="s">
        <v>104</v>
      </c>
      <c r="AH185" s="6" t="s">
        <v>13326</v>
      </c>
      <c r="AI185" s="6" t="s">
        <v>104</v>
      </c>
      <c r="AJ185" s="6" t="s">
        <v>15492</v>
      </c>
      <c r="AK185" s="6" t="s">
        <v>16732</v>
      </c>
      <c r="AL185" s="6" t="s">
        <v>16948</v>
      </c>
      <c r="AM185" s="6" t="s">
        <v>104</v>
      </c>
      <c r="AN185" s="6" t="s">
        <v>104</v>
      </c>
      <c r="AO185" s="6" t="s">
        <v>104</v>
      </c>
      <c r="AP185" s="6" t="s">
        <v>104</v>
      </c>
      <c r="AQ185" s="6" t="s">
        <v>104</v>
      </c>
      <c r="AR185" s="6" t="s">
        <v>104</v>
      </c>
      <c r="AS185" s="6" t="s">
        <v>104</v>
      </c>
      <c r="AT185" s="6" t="s">
        <v>104</v>
      </c>
      <c r="AU185" s="6" t="s">
        <v>104</v>
      </c>
      <c r="AV185" s="6" t="s">
        <v>104</v>
      </c>
      <c r="AW185" s="6" t="s">
        <v>104</v>
      </c>
      <c r="AX185" s="6" t="s">
        <v>20257</v>
      </c>
      <c r="AY185" s="6" t="s">
        <v>22002</v>
      </c>
      <c r="AZ185" s="6" t="s">
        <v>104</v>
      </c>
      <c r="BA185" s="6" t="s">
        <v>104</v>
      </c>
      <c r="BB185" s="24" t="n">
        <v>0</v>
      </c>
      <c r="BC185" s="26"/>
      <c r="BD185" s="26"/>
      <c r="BE185" s="26"/>
      <c r="BF185" s="26"/>
      <c r="BG185" s="26" t="s">
        <v>24533</v>
      </c>
      <c r="BH185" s="26"/>
      <c r="BI185" s="26"/>
      <c r="BJ185" s="26"/>
      <c r="BK185" s="26"/>
      <c r="BL185" s="26"/>
      <c r="BM185" s="26"/>
      <c r="BN185" s="26"/>
      <c r="BO185" s="26"/>
      <c r="BP185" s="16" t="n">
        <v>45683</v>
      </c>
      <c r="BQ185" s="28" t="str">
        <f>HYPERLINK("https://organic.ams.usda.gov/Integrity/Certificate.aspx?cid=24&amp;nopid=7881796950")</f>
        <v>https://organic.ams.usda.gov/Integrity/Certificate.aspx?cid=24&amp;nopid=7881796950</v>
      </c>
    </row>
    <row r="186">
      <c r="A186" t="s">
        <v>3</v>
      </c>
      <c r="B186" s="6" t="s">
        <v>21</v>
      </c>
      <c r="C186" s="6" t="s">
        <v>87</v>
      </c>
      <c r="D186" s="6" t="s">
        <v>152</v>
      </c>
      <c r="E186" s="10" t="s">
        <v>384</v>
      </c>
      <c r="F186" s="6" t="s">
        <v>2642</v>
      </c>
      <c r="G186" s="6" t="s">
        <v>4688</v>
      </c>
      <c r="H186" s="6" t="s">
        <v>5057</v>
      </c>
      <c r="I186" s="6" t="s">
        <v>7054</v>
      </c>
      <c r="J186" s="6" t="s">
        <v>8273</v>
      </c>
      <c r="K186" s="6" t="s">
        <v>9714</v>
      </c>
      <c r="L186" s="16" t="n">
        <v>42215</v>
      </c>
      <c r="M186" s="16" t="n">
        <v>46023</v>
      </c>
      <c r="N186" s="6" t="s">
        <v>104</v>
      </c>
      <c r="O186" s="21" t="s">
        <v>104</v>
      </c>
      <c r="P186" s="6" t="s">
        <v>104</v>
      </c>
      <c r="Q186" s="6" t="s">
        <v>104</v>
      </c>
      <c r="R186" s="6" t="s">
        <v>104</v>
      </c>
      <c r="S186" s="6" t="s">
        <v>104</v>
      </c>
      <c r="T186" s="21" t="s">
        <v>104</v>
      </c>
      <c r="U186" s="6" t="s">
        <v>104</v>
      </c>
      <c r="V186" s="6" t="s">
        <v>104</v>
      </c>
      <c r="W186" s="6" t="s">
        <v>104</v>
      </c>
      <c r="X186" s="6" t="s">
        <v>104</v>
      </c>
      <c r="Y186" s="21" t="s">
        <v>104</v>
      </c>
      <c r="Z186" s="6" t="s">
        <v>104</v>
      </c>
      <c r="AA186" s="6" t="s">
        <v>104</v>
      </c>
      <c r="AB186" s="6" t="s">
        <v>104</v>
      </c>
      <c r="AC186" s="6" t="s">
        <v>9714</v>
      </c>
      <c r="AD186" s="16" t="n">
        <v>42215</v>
      </c>
      <c r="AE186" s="6" t="s">
        <v>10686</v>
      </c>
      <c r="AF186" s="6" t="s">
        <v>104</v>
      </c>
      <c r="AG186" s="6" t="s">
        <v>104</v>
      </c>
      <c r="AH186" s="6" t="s">
        <v>13327</v>
      </c>
      <c r="AI186" s="6" t="s">
        <v>104</v>
      </c>
      <c r="AJ186" s="6" t="s">
        <v>15493</v>
      </c>
      <c r="AK186" s="6" t="s">
        <v>16687</v>
      </c>
      <c r="AL186" s="6" t="s">
        <v>16931</v>
      </c>
      <c r="AM186" s="6" t="s">
        <v>17109</v>
      </c>
      <c r="AN186" s="6" t="s">
        <v>18484</v>
      </c>
      <c r="AO186" s="6" t="s">
        <v>18597</v>
      </c>
      <c r="AP186" s="6" t="s">
        <v>13327</v>
      </c>
      <c r="AQ186" s="6" t="s">
        <v>104</v>
      </c>
      <c r="AR186" s="6" t="s">
        <v>15493</v>
      </c>
      <c r="AS186" s="6" t="s">
        <v>16687</v>
      </c>
      <c r="AT186" s="6" t="s">
        <v>16931</v>
      </c>
      <c r="AU186" s="6" t="s">
        <v>17109</v>
      </c>
      <c r="AV186" s="6" t="s">
        <v>104</v>
      </c>
      <c r="AW186" s="6" t="s">
        <v>104</v>
      </c>
      <c r="AX186" s="6" t="s">
        <v>20258</v>
      </c>
      <c r="AY186" s="6" t="s">
        <v>22003</v>
      </c>
      <c r="AZ186" s="6" t="s">
        <v>23727</v>
      </c>
      <c r="BA186" s="6" t="s">
        <v>24288</v>
      </c>
      <c r="BB186" s="6" t="s">
        <v>104</v>
      </c>
      <c r="BC186" s="26"/>
      <c r="BD186" s="26"/>
      <c r="BE186" s="26"/>
      <c r="BF186" s="26"/>
      <c r="BG186" s="26"/>
      <c r="BH186" s="26"/>
      <c r="BI186" s="26"/>
      <c r="BJ186" s="26"/>
      <c r="BK186" s="26"/>
      <c r="BL186" s="26"/>
      <c r="BM186" s="26"/>
      <c r="BN186" s="26"/>
      <c r="BO186" s="26"/>
      <c r="BP186" s="16" t="n">
        <v>45667</v>
      </c>
      <c r="BQ186" s="28" t="str">
        <f>HYPERLINK("https://organic.ams.usda.gov/Integrity/Certificate.aspx?cid=15&amp;nopid=5561002056")</f>
        <v>https://organic.ams.usda.gov/Integrity/Certificate.aspx?cid=15&amp;nopid=5561002056</v>
      </c>
    </row>
    <row r="187">
      <c r="A187" t="s">
        <v>3</v>
      </c>
      <c r="B187" s="6" t="s">
        <v>34</v>
      </c>
      <c r="C187" s="6" t="s">
        <v>100</v>
      </c>
      <c r="D187" s="6" t="s">
        <v>165</v>
      </c>
      <c r="E187" s="10" t="s">
        <v>385</v>
      </c>
      <c r="F187" s="6" t="s">
        <v>2643</v>
      </c>
      <c r="G187" s="6" t="s">
        <v>104</v>
      </c>
      <c r="H187" s="6" t="s">
        <v>5058</v>
      </c>
      <c r="I187" s="6" t="s">
        <v>7055</v>
      </c>
      <c r="J187" s="6" t="s">
        <v>8274</v>
      </c>
      <c r="K187" s="6" t="s">
        <v>9714</v>
      </c>
      <c r="L187" s="16" t="n">
        <v>45366</v>
      </c>
      <c r="M187" s="16" t="n">
        <v>45658</v>
      </c>
      <c r="N187" s="6" t="s">
        <v>104</v>
      </c>
      <c r="O187" s="21" t="s">
        <v>104</v>
      </c>
      <c r="P187" s="6" t="s">
        <v>104</v>
      </c>
      <c r="Q187" s="6" t="s">
        <v>104</v>
      </c>
      <c r="R187" s="6" t="s">
        <v>104</v>
      </c>
      <c r="S187" s="6" t="s">
        <v>104</v>
      </c>
      <c r="T187" s="21" t="s">
        <v>104</v>
      </c>
      <c r="U187" s="6" t="s">
        <v>104</v>
      </c>
      <c r="V187" s="6" t="s">
        <v>104</v>
      </c>
      <c r="W187" s="6" t="s">
        <v>104</v>
      </c>
      <c r="X187" s="6" t="s">
        <v>104</v>
      </c>
      <c r="Y187" s="21" t="s">
        <v>104</v>
      </c>
      <c r="Z187" s="6" t="s">
        <v>104</v>
      </c>
      <c r="AA187" s="6" t="s">
        <v>104</v>
      </c>
      <c r="AB187" s="6" t="s">
        <v>104</v>
      </c>
      <c r="AC187" s="6" t="s">
        <v>9714</v>
      </c>
      <c r="AD187" s="16" t="n">
        <v>45366</v>
      </c>
      <c r="AE187" s="6" t="s">
        <v>10687</v>
      </c>
      <c r="AF187" s="6" t="s">
        <v>104</v>
      </c>
      <c r="AG187" s="6" t="s">
        <v>12527</v>
      </c>
      <c r="AH187" s="6" t="s">
        <v>13328</v>
      </c>
      <c r="AI187" s="6" t="s">
        <v>104</v>
      </c>
      <c r="AJ187" s="6" t="s">
        <v>7726</v>
      </c>
      <c r="AK187" s="6" t="s">
        <v>16680</v>
      </c>
      <c r="AL187" s="6" t="s">
        <v>16931</v>
      </c>
      <c r="AM187" s="6" t="s">
        <v>17110</v>
      </c>
      <c r="AN187" s="6" t="s">
        <v>104</v>
      </c>
      <c r="AO187" s="6" t="s">
        <v>104</v>
      </c>
      <c r="AP187" s="6" t="s">
        <v>13328</v>
      </c>
      <c r="AQ187" s="6" t="s">
        <v>104</v>
      </c>
      <c r="AR187" s="6" t="s">
        <v>7726</v>
      </c>
      <c r="AS187" s="6" t="s">
        <v>16680</v>
      </c>
      <c r="AT187" s="6" t="s">
        <v>16931</v>
      </c>
      <c r="AU187" s="6" t="s">
        <v>17110</v>
      </c>
      <c r="AV187" s="6" t="s">
        <v>104</v>
      </c>
      <c r="AW187" s="6" t="s">
        <v>104</v>
      </c>
      <c r="AX187" s="6" t="s">
        <v>20259</v>
      </c>
      <c r="AY187" s="6" t="s">
        <v>104</v>
      </c>
      <c r="AZ187" s="6" t="s">
        <v>23728</v>
      </c>
      <c r="BA187" s="6" t="s">
        <v>104</v>
      </c>
      <c r="BB187" s="6" t="s">
        <v>104</v>
      </c>
      <c r="BC187" s="26"/>
      <c r="BD187" s="26"/>
      <c r="BE187" s="26"/>
      <c r="BF187" s="26"/>
      <c r="BG187" s="26" t="s">
        <v>24533</v>
      </c>
      <c r="BH187" s="26"/>
      <c r="BI187" s="26"/>
      <c r="BJ187" s="26"/>
      <c r="BK187" s="26"/>
      <c r="BL187" s="26"/>
      <c r="BM187" s="26"/>
      <c r="BN187" s="26"/>
      <c r="BO187" s="26"/>
      <c r="BP187" s="16" t="n">
        <v>45737</v>
      </c>
      <c r="BQ187" s="28" t="str">
        <f>HYPERLINK("https://organic.ams.usda.gov/Integrity/Certificate.aspx?cid=71&amp;nopid=5520804569")</f>
        <v>https://organic.ams.usda.gov/Integrity/Certificate.aspx?cid=71&amp;nopid=5520804569</v>
      </c>
    </row>
    <row r="188">
      <c r="A188" t="s">
        <v>3</v>
      </c>
      <c r="B188" s="6" t="s">
        <v>34</v>
      </c>
      <c r="C188" s="6" t="s">
        <v>100</v>
      </c>
      <c r="D188" s="6" t="s">
        <v>165</v>
      </c>
      <c r="E188" s="10" t="s">
        <v>386</v>
      </c>
      <c r="F188" s="6" t="s">
        <v>2644</v>
      </c>
      <c r="G188" s="6" t="s">
        <v>104</v>
      </c>
      <c r="H188" s="6" t="s">
        <v>5059</v>
      </c>
      <c r="I188" s="6" t="s">
        <v>7056</v>
      </c>
      <c r="J188" s="6" t="s">
        <v>8275</v>
      </c>
      <c r="K188" s="6" t="s">
        <v>9714</v>
      </c>
      <c r="L188" s="16" t="n">
        <v>42234</v>
      </c>
      <c r="M188" s="16" t="n">
        <v>45819</v>
      </c>
      <c r="N188" s="6" t="s">
        <v>104</v>
      </c>
      <c r="O188" s="21" t="s">
        <v>104</v>
      </c>
      <c r="P188" s="6" t="s">
        <v>104</v>
      </c>
      <c r="Q188" s="6" t="s">
        <v>104</v>
      </c>
      <c r="R188" s="6" t="s">
        <v>104</v>
      </c>
      <c r="S188" s="6" t="s">
        <v>104</v>
      </c>
      <c r="T188" s="21" t="s">
        <v>104</v>
      </c>
      <c r="U188" s="6" t="s">
        <v>104</v>
      </c>
      <c r="V188" s="6" t="s">
        <v>104</v>
      </c>
      <c r="W188" s="6" t="s">
        <v>104</v>
      </c>
      <c r="X188" s="6" t="s">
        <v>104</v>
      </c>
      <c r="Y188" s="21" t="s">
        <v>104</v>
      </c>
      <c r="Z188" s="6" t="s">
        <v>104</v>
      </c>
      <c r="AA188" s="6" t="s">
        <v>104</v>
      </c>
      <c r="AB188" s="6" t="s">
        <v>104</v>
      </c>
      <c r="AC188" s="6" t="s">
        <v>9714</v>
      </c>
      <c r="AD188" s="16" t="n">
        <v>42234</v>
      </c>
      <c r="AE188" s="6" t="s">
        <v>10688</v>
      </c>
      <c r="AF188" s="6" t="s">
        <v>104</v>
      </c>
      <c r="AG188" s="6" t="s">
        <v>12528</v>
      </c>
      <c r="AH188" s="6" t="s">
        <v>13329</v>
      </c>
      <c r="AI188" s="6" t="s">
        <v>104</v>
      </c>
      <c r="AJ188" s="6" t="s">
        <v>15494</v>
      </c>
      <c r="AK188" s="6" t="s">
        <v>16733</v>
      </c>
      <c r="AL188" s="6" t="s">
        <v>16931</v>
      </c>
      <c r="AM188" s="6" t="s">
        <v>17111</v>
      </c>
      <c r="AN188" s="6" t="s">
        <v>18485</v>
      </c>
      <c r="AO188" s="6" t="s">
        <v>18598</v>
      </c>
      <c r="AP188" s="6" t="s">
        <v>13329</v>
      </c>
      <c r="AQ188" s="6" t="s">
        <v>104</v>
      </c>
      <c r="AR188" s="6" t="s">
        <v>15494</v>
      </c>
      <c r="AS188" s="6" t="s">
        <v>16733</v>
      </c>
      <c r="AT188" s="6" t="s">
        <v>16931</v>
      </c>
      <c r="AU188" s="6" t="s">
        <v>17111</v>
      </c>
      <c r="AV188" s="6" t="s">
        <v>104</v>
      </c>
      <c r="AW188" s="6" t="s">
        <v>104</v>
      </c>
      <c r="AX188" s="6" t="s">
        <v>20260</v>
      </c>
      <c r="AY188" s="6" t="s">
        <v>22004</v>
      </c>
      <c r="AZ188" s="6" t="s">
        <v>104</v>
      </c>
      <c r="BA188" s="6" t="s">
        <v>104</v>
      </c>
      <c r="BB188" s="6" t="s">
        <v>104</v>
      </c>
      <c r="BC188" s="26"/>
      <c r="BD188" s="26"/>
      <c r="BE188" s="26" t="s">
        <v>24533</v>
      </c>
      <c r="BF188" s="26"/>
      <c r="BG188" s="26"/>
      <c r="BH188" s="26"/>
      <c r="BI188" s="26"/>
      <c r="BJ188" s="26"/>
      <c r="BK188" s="26"/>
      <c r="BL188" s="26"/>
      <c r="BM188" s="26"/>
      <c r="BN188" s="26"/>
      <c r="BO188" s="26"/>
      <c r="BP188" s="16" t="n">
        <v>45737</v>
      </c>
      <c r="BQ188" s="28" t="str">
        <f>HYPERLINK("https://organic.ams.usda.gov/Integrity/Certificate.aspx?cid=71&amp;nopid=5520250729")</f>
        <v>https://organic.ams.usda.gov/Integrity/Certificate.aspx?cid=71&amp;nopid=5520250729</v>
      </c>
    </row>
    <row r="189">
      <c r="A189" t="s">
        <v>3</v>
      </c>
      <c r="B189" s="6" t="s">
        <v>11</v>
      </c>
      <c r="C189" s="6" t="s">
        <v>77</v>
      </c>
      <c r="D189" s="6" t="s">
        <v>142</v>
      </c>
      <c r="E189" s="10" t="s">
        <v>387</v>
      </c>
      <c r="F189" s="6" t="s">
        <v>2645</v>
      </c>
      <c r="G189" s="6" t="s">
        <v>104</v>
      </c>
      <c r="H189" s="6" t="s">
        <v>104</v>
      </c>
      <c r="I189" s="6" t="s">
        <v>7057</v>
      </c>
      <c r="J189" s="6" t="s">
        <v>8276</v>
      </c>
      <c r="K189" s="6" t="s">
        <v>9714</v>
      </c>
      <c r="L189" s="16" t="n">
        <v>44745</v>
      </c>
      <c r="M189" s="16" t="n">
        <v>46007</v>
      </c>
      <c r="N189" s="6" t="s">
        <v>9714</v>
      </c>
      <c r="O189" s="16" t="n">
        <v>43649</v>
      </c>
      <c r="P189" s="6" t="s">
        <v>9783</v>
      </c>
      <c r="Q189" s="6" t="s">
        <v>104</v>
      </c>
      <c r="R189" s="6" t="s">
        <v>104</v>
      </c>
      <c r="S189" s="6" t="s">
        <v>104</v>
      </c>
      <c r="T189" s="21" t="s">
        <v>104</v>
      </c>
      <c r="U189" s="6" t="s">
        <v>104</v>
      </c>
      <c r="V189" s="6" t="s">
        <v>104</v>
      </c>
      <c r="W189" s="6" t="s">
        <v>104</v>
      </c>
      <c r="X189" s="6" t="s">
        <v>104</v>
      </c>
      <c r="Y189" s="21" t="s">
        <v>104</v>
      </c>
      <c r="Z189" s="6" t="s">
        <v>104</v>
      </c>
      <c r="AA189" s="6" t="s">
        <v>104</v>
      </c>
      <c r="AB189" s="6" t="s">
        <v>104</v>
      </c>
      <c r="AC189" s="6" t="s">
        <v>9714</v>
      </c>
      <c r="AD189" s="16" t="n">
        <v>43649</v>
      </c>
      <c r="AE189" s="6" t="s">
        <v>10689</v>
      </c>
      <c r="AF189" s="6" t="s">
        <v>104</v>
      </c>
      <c r="AG189" s="6" t="s">
        <v>104</v>
      </c>
      <c r="AH189" s="6" t="s">
        <v>13330</v>
      </c>
      <c r="AI189" s="6" t="s">
        <v>104</v>
      </c>
      <c r="AJ189" s="6" t="s">
        <v>15495</v>
      </c>
      <c r="AK189" s="6" t="s">
        <v>104</v>
      </c>
      <c r="AL189" s="6" t="s">
        <v>16940</v>
      </c>
      <c r="AM189" s="6" t="s">
        <v>104</v>
      </c>
      <c r="AN189" s="6" t="s">
        <v>104</v>
      </c>
      <c r="AO189" s="6" t="s">
        <v>104</v>
      </c>
      <c r="AP189" s="6" t="s">
        <v>104</v>
      </c>
      <c r="AQ189" s="6" t="s">
        <v>104</v>
      </c>
      <c r="AR189" s="6" t="s">
        <v>104</v>
      </c>
      <c r="AS189" s="6" t="s">
        <v>104</v>
      </c>
      <c r="AT189" s="6" t="s">
        <v>104</v>
      </c>
      <c r="AU189" s="6" t="s">
        <v>104</v>
      </c>
      <c r="AV189" s="6" t="s">
        <v>104</v>
      </c>
      <c r="AW189" s="6" t="s">
        <v>104</v>
      </c>
      <c r="AX189" s="6" t="s">
        <v>20261</v>
      </c>
      <c r="AY189" s="6" t="s">
        <v>22005</v>
      </c>
      <c r="AZ189" s="6" t="s">
        <v>104</v>
      </c>
      <c r="BA189" s="6" t="s">
        <v>104</v>
      </c>
      <c r="BB189" s="24" t="n">
        <v>3150</v>
      </c>
      <c r="BC189" s="26"/>
      <c r="BD189" s="26"/>
      <c r="BE189" s="26"/>
      <c r="BF189" s="26"/>
      <c r="BG189" s="26"/>
      <c r="BH189" s="26"/>
      <c r="BI189" s="26"/>
      <c r="BJ189" s="26"/>
      <c r="BK189" s="26"/>
      <c r="BL189" s="26"/>
      <c r="BM189" s="26"/>
      <c r="BN189" s="26"/>
      <c r="BO189" s="26"/>
      <c r="BP189" s="16" t="n">
        <v>45737</v>
      </c>
      <c r="BQ189" s="28" t="str">
        <f>HYPERLINK("https://organic.ams.usda.gov/Integrity/Certificate.aspx?cid=21&amp;nopid=1780859114")</f>
        <v>https://organic.ams.usda.gov/Integrity/Certificate.aspx?cid=21&amp;nopid=1780859114</v>
      </c>
    </row>
    <row r="190">
      <c r="A190" t="s">
        <v>3</v>
      </c>
      <c r="B190" s="6" t="s">
        <v>25</v>
      </c>
      <c r="C190" s="6" t="s">
        <v>91</v>
      </c>
      <c r="D190" s="6" t="s">
        <v>156</v>
      </c>
      <c r="E190" s="10" t="s">
        <v>388</v>
      </c>
      <c r="F190" s="6" t="s">
        <v>2646</v>
      </c>
      <c r="G190" s="6" t="s">
        <v>4689</v>
      </c>
      <c r="H190" s="6" t="s">
        <v>5060</v>
      </c>
      <c r="I190" s="6" t="s">
        <v>7058</v>
      </c>
      <c r="J190" s="6" t="s">
        <v>8277</v>
      </c>
      <c r="K190" s="6" t="s">
        <v>9714</v>
      </c>
      <c r="L190" s="16" t="n">
        <v>44537</v>
      </c>
      <c r="M190" s="16" t="n">
        <v>45948</v>
      </c>
      <c r="N190" s="6" t="s">
        <v>104</v>
      </c>
      <c r="O190" s="21" t="s">
        <v>104</v>
      </c>
      <c r="P190" s="6" t="s">
        <v>104</v>
      </c>
      <c r="Q190" s="6" t="s">
        <v>104</v>
      </c>
      <c r="R190" s="6" t="s">
        <v>104</v>
      </c>
      <c r="S190" s="6" t="s">
        <v>104</v>
      </c>
      <c r="T190" s="21" t="s">
        <v>104</v>
      </c>
      <c r="U190" s="6" t="s">
        <v>104</v>
      </c>
      <c r="V190" s="6" t="s">
        <v>104</v>
      </c>
      <c r="W190" s="6" t="s">
        <v>104</v>
      </c>
      <c r="X190" s="6" t="s">
        <v>104</v>
      </c>
      <c r="Y190" s="21" t="s">
        <v>104</v>
      </c>
      <c r="Z190" s="6" t="s">
        <v>104</v>
      </c>
      <c r="AA190" s="6" t="s">
        <v>104</v>
      </c>
      <c r="AB190" s="6" t="s">
        <v>104</v>
      </c>
      <c r="AC190" s="6" t="s">
        <v>9714</v>
      </c>
      <c r="AD190" s="16" t="n">
        <v>44537</v>
      </c>
      <c r="AE190" s="6" t="s">
        <v>10690</v>
      </c>
      <c r="AF190" s="6" t="s">
        <v>104</v>
      </c>
      <c r="AG190" s="6" t="s">
        <v>104</v>
      </c>
      <c r="AH190" s="6" t="s">
        <v>13331</v>
      </c>
      <c r="AI190" s="6" t="s">
        <v>104</v>
      </c>
      <c r="AJ190" s="6" t="s">
        <v>15496</v>
      </c>
      <c r="AK190" s="6" t="s">
        <v>16691</v>
      </c>
      <c r="AL190" s="6" t="s">
        <v>16935</v>
      </c>
      <c r="AM190" s="6" t="s">
        <v>17112</v>
      </c>
      <c r="AN190" s="6" t="s">
        <v>104</v>
      </c>
      <c r="AO190" s="6" t="s">
        <v>104</v>
      </c>
      <c r="AP190" s="6" t="s">
        <v>19003</v>
      </c>
      <c r="AQ190" s="6" t="s">
        <v>104</v>
      </c>
      <c r="AR190" s="6" t="s">
        <v>15802</v>
      </c>
      <c r="AS190" s="6" t="s">
        <v>16370</v>
      </c>
      <c r="AT190" s="6" t="s">
        <v>16931</v>
      </c>
      <c r="AU190" s="6" t="s">
        <v>19825</v>
      </c>
      <c r="AV190" s="6" t="s">
        <v>104</v>
      </c>
      <c r="AW190" s="6" t="s">
        <v>104</v>
      </c>
      <c r="AX190" s="6" t="s">
        <v>20262</v>
      </c>
      <c r="AY190" s="6" t="s">
        <v>22006</v>
      </c>
      <c r="AZ190" s="6" t="s">
        <v>104</v>
      </c>
      <c r="BA190" s="6" t="s">
        <v>24264</v>
      </c>
      <c r="BB190" s="6" t="s">
        <v>104</v>
      </c>
      <c r="BC190" s="26"/>
      <c r="BD190" s="26"/>
      <c r="BE190" s="26"/>
      <c r="BF190" s="26"/>
      <c r="BG190" s="26"/>
      <c r="BH190" s="26" t="s">
        <v>24533</v>
      </c>
      <c r="BI190" s="26"/>
      <c r="BJ190" s="26"/>
      <c r="BK190" s="26"/>
      <c r="BL190" s="26"/>
      <c r="BM190" s="26"/>
      <c r="BN190" s="26"/>
      <c r="BO190" s="26"/>
      <c r="BP190" s="16" t="n">
        <v>45722</v>
      </c>
      <c r="BQ190" s="28" t="str">
        <f>HYPERLINK("https://organic.ams.usda.gov/Integrity/Certificate.aspx?cid=66&amp;nopid=5500006634")</f>
        <v>https://organic.ams.usda.gov/Integrity/Certificate.aspx?cid=66&amp;nopid=5500006634</v>
      </c>
    </row>
    <row r="191">
      <c r="A191" t="s">
        <v>3</v>
      </c>
      <c r="B191" s="6" t="s">
        <v>34</v>
      </c>
      <c r="C191" s="6" t="s">
        <v>100</v>
      </c>
      <c r="D191" s="6" t="s">
        <v>165</v>
      </c>
      <c r="E191" s="10" t="s">
        <v>389</v>
      </c>
      <c r="F191" s="6" t="s">
        <v>2647</v>
      </c>
      <c r="G191" s="6" t="s">
        <v>104</v>
      </c>
      <c r="H191" s="6" t="s">
        <v>5061</v>
      </c>
      <c r="I191" s="6" t="s">
        <v>7059</v>
      </c>
      <c r="J191" s="6" t="s">
        <v>8278</v>
      </c>
      <c r="K191" s="6" t="s">
        <v>9714</v>
      </c>
      <c r="L191" s="16" t="n">
        <v>40400</v>
      </c>
      <c r="M191" s="16" t="n">
        <v>45916</v>
      </c>
      <c r="N191" s="6" t="s">
        <v>104</v>
      </c>
      <c r="O191" s="21" t="s">
        <v>104</v>
      </c>
      <c r="P191" s="6" t="s">
        <v>104</v>
      </c>
      <c r="Q191" s="6" t="s">
        <v>104</v>
      </c>
      <c r="R191" s="6" t="s">
        <v>104</v>
      </c>
      <c r="S191" s="6" t="s">
        <v>104</v>
      </c>
      <c r="T191" s="21" t="s">
        <v>104</v>
      </c>
      <c r="U191" s="6" t="s">
        <v>104</v>
      </c>
      <c r="V191" s="6" t="s">
        <v>104</v>
      </c>
      <c r="W191" s="6" t="s">
        <v>104</v>
      </c>
      <c r="X191" s="6" t="s">
        <v>104</v>
      </c>
      <c r="Y191" s="21" t="s">
        <v>104</v>
      </c>
      <c r="Z191" s="6" t="s">
        <v>104</v>
      </c>
      <c r="AA191" s="6" t="s">
        <v>104</v>
      </c>
      <c r="AB191" s="6" t="s">
        <v>104</v>
      </c>
      <c r="AC191" s="6" t="s">
        <v>9714</v>
      </c>
      <c r="AD191" s="16" t="n">
        <v>40400</v>
      </c>
      <c r="AE191" s="6" t="s">
        <v>10691</v>
      </c>
      <c r="AF191" s="6" t="s">
        <v>104</v>
      </c>
      <c r="AG191" s="6" t="s">
        <v>12529</v>
      </c>
      <c r="AH191" s="6" t="s">
        <v>13332</v>
      </c>
      <c r="AI191" s="6" t="s">
        <v>104</v>
      </c>
      <c r="AJ191" s="6" t="s">
        <v>8077</v>
      </c>
      <c r="AK191" s="6" t="s">
        <v>16705</v>
      </c>
      <c r="AL191" s="6" t="s">
        <v>16931</v>
      </c>
      <c r="AM191" s="6" t="s">
        <v>17113</v>
      </c>
      <c r="AN191" s="6" t="s">
        <v>18486</v>
      </c>
      <c r="AO191" s="6" t="s">
        <v>18599</v>
      </c>
      <c r="AP191" s="6" t="s">
        <v>13332</v>
      </c>
      <c r="AQ191" s="6" t="s">
        <v>104</v>
      </c>
      <c r="AR191" s="6" t="s">
        <v>8077</v>
      </c>
      <c r="AS191" s="6" t="s">
        <v>16705</v>
      </c>
      <c r="AT191" s="6" t="s">
        <v>16931</v>
      </c>
      <c r="AU191" s="6" t="s">
        <v>17113</v>
      </c>
      <c r="AV191" s="6" t="s">
        <v>104</v>
      </c>
      <c r="AW191" s="6" t="s">
        <v>104</v>
      </c>
      <c r="AX191" s="6" t="s">
        <v>20263</v>
      </c>
      <c r="AY191" s="6" t="s">
        <v>22007</v>
      </c>
      <c r="AZ191" s="6" t="s">
        <v>104</v>
      </c>
      <c r="BA191" s="6" t="s">
        <v>104</v>
      </c>
      <c r="BB191" s="6" t="s">
        <v>104</v>
      </c>
      <c r="BC191" s="26"/>
      <c r="BD191" s="26"/>
      <c r="BE191" s="26"/>
      <c r="BF191" s="26"/>
      <c r="BG191" s="26"/>
      <c r="BH191" s="26"/>
      <c r="BI191" s="26"/>
      <c r="BJ191" s="26"/>
      <c r="BK191" s="26"/>
      <c r="BL191" s="26"/>
      <c r="BM191" s="26"/>
      <c r="BN191" s="26"/>
      <c r="BO191" s="26"/>
      <c r="BP191" s="16" t="n">
        <v>45737</v>
      </c>
      <c r="BQ191" s="28" t="str">
        <f>HYPERLINK("https://organic.ams.usda.gov/Integrity/Certificate.aspx?cid=71&amp;nopid=5520055120")</f>
        <v>https://organic.ams.usda.gov/Integrity/Certificate.aspx?cid=71&amp;nopid=5520055120</v>
      </c>
    </row>
    <row r="192">
      <c r="A192" t="s">
        <v>3</v>
      </c>
      <c r="B192" s="6" t="s">
        <v>47</v>
      </c>
      <c r="C192" s="6" t="s">
        <v>113</v>
      </c>
      <c r="D192" s="6" t="s">
        <v>177</v>
      </c>
      <c r="E192" s="10" t="s">
        <v>390</v>
      </c>
      <c r="F192" s="6" t="s">
        <v>2648</v>
      </c>
      <c r="G192" s="6" t="s">
        <v>104</v>
      </c>
      <c r="H192" s="6" t="s">
        <v>5062</v>
      </c>
      <c r="I192" s="6" t="s">
        <v>7032</v>
      </c>
      <c r="J192" s="6" t="s">
        <v>8279</v>
      </c>
      <c r="K192" s="6" t="s">
        <v>9714</v>
      </c>
      <c r="L192" s="16" t="n">
        <v>37510</v>
      </c>
      <c r="M192" s="16" t="n">
        <v>45777</v>
      </c>
      <c r="N192" s="6" t="s">
        <v>9714</v>
      </c>
      <c r="O192" s="16" t="n">
        <v>37510</v>
      </c>
      <c r="P192" s="6" t="s">
        <v>9784</v>
      </c>
      <c r="Q192" s="6" t="s">
        <v>104</v>
      </c>
      <c r="R192" s="6" t="s">
        <v>10309</v>
      </c>
      <c r="S192" s="6" t="s">
        <v>104</v>
      </c>
      <c r="T192" s="21" t="s">
        <v>104</v>
      </c>
      <c r="U192" s="6" t="s">
        <v>104</v>
      </c>
      <c r="V192" s="6" t="s">
        <v>104</v>
      </c>
      <c r="W192" s="6" t="s">
        <v>104</v>
      </c>
      <c r="X192" s="6" t="s">
        <v>104</v>
      </c>
      <c r="Y192" s="21" t="s">
        <v>104</v>
      </c>
      <c r="Z192" s="6" t="s">
        <v>104</v>
      </c>
      <c r="AA192" s="6" t="s">
        <v>104</v>
      </c>
      <c r="AB192" s="6" t="s">
        <v>104</v>
      </c>
      <c r="AC192" s="6" t="s">
        <v>9714</v>
      </c>
      <c r="AD192" s="16" t="n">
        <v>37510</v>
      </c>
      <c r="AE192" s="6" t="s">
        <v>10692</v>
      </c>
      <c r="AF192" s="6" t="s">
        <v>104</v>
      </c>
      <c r="AG192" s="6" t="s">
        <v>10309</v>
      </c>
      <c r="AH192" s="6" t="s">
        <v>13333</v>
      </c>
      <c r="AI192" s="6" t="s">
        <v>104</v>
      </c>
      <c r="AJ192" s="6" t="s">
        <v>15497</v>
      </c>
      <c r="AK192" s="6" t="s">
        <v>16734</v>
      </c>
      <c r="AL192" s="6" t="s">
        <v>16931</v>
      </c>
      <c r="AM192" s="6" t="s">
        <v>17114</v>
      </c>
      <c r="AN192" s="6" t="s">
        <v>18472</v>
      </c>
      <c r="AO192" s="6" t="s">
        <v>18600</v>
      </c>
      <c r="AP192" s="6" t="s">
        <v>13333</v>
      </c>
      <c r="AQ192" s="6" t="s">
        <v>104</v>
      </c>
      <c r="AR192" s="6" t="s">
        <v>15497</v>
      </c>
      <c r="AS192" s="6" t="s">
        <v>16734</v>
      </c>
      <c r="AT192" s="6" t="s">
        <v>16931</v>
      </c>
      <c r="AU192" s="6" t="s">
        <v>17114</v>
      </c>
      <c r="AV192" s="6" t="s">
        <v>104</v>
      </c>
      <c r="AW192" s="6" t="s">
        <v>104</v>
      </c>
      <c r="AX192" s="6" t="s">
        <v>20264</v>
      </c>
      <c r="AY192" s="6" t="s">
        <v>22008</v>
      </c>
      <c r="AZ192" s="6" t="s">
        <v>23729</v>
      </c>
      <c r="BA192" s="6" t="s">
        <v>104</v>
      </c>
      <c r="BB192" s="24" t="n">
        <v>412</v>
      </c>
      <c r="BC192" s="26"/>
      <c r="BD192" s="26"/>
      <c r="BE192" s="26"/>
      <c r="BF192" s="26"/>
      <c r="BG192" s="26"/>
      <c r="BH192" s="26"/>
      <c r="BI192" s="26"/>
      <c r="BJ192" s="26"/>
      <c r="BK192" s="26"/>
      <c r="BL192" s="26"/>
      <c r="BM192" s="26"/>
      <c r="BN192" s="26"/>
      <c r="BO192" s="26"/>
      <c r="BP192" s="16" t="n">
        <v>45694</v>
      </c>
      <c r="BQ192" s="28" t="str">
        <f>HYPERLINK("https://organic.ams.usda.gov/Integrity/Certificate.aspx?cid=47&amp;nopid=7142071420")</f>
        <v>https://organic.ams.usda.gov/Integrity/Certificate.aspx?cid=47&amp;nopid=7142071420</v>
      </c>
    </row>
    <row r="193">
      <c r="A193" t="s">
        <v>3</v>
      </c>
      <c r="B193" s="6" t="s">
        <v>44</v>
      </c>
      <c r="C193" s="6" t="s">
        <v>110</v>
      </c>
      <c r="D193" s="6" t="s">
        <v>174</v>
      </c>
      <c r="E193" s="10" t="s">
        <v>391</v>
      </c>
      <c r="F193" s="6" t="s">
        <v>2649</v>
      </c>
      <c r="G193" s="6" t="s">
        <v>104</v>
      </c>
      <c r="H193" s="6" t="s">
        <v>5063</v>
      </c>
      <c r="I193" s="6" t="s">
        <v>7060</v>
      </c>
      <c r="J193" s="6" t="s">
        <v>8280</v>
      </c>
      <c r="K193" s="6" t="s">
        <v>9714</v>
      </c>
      <c r="L193" s="16" t="n">
        <v>37539</v>
      </c>
      <c r="M193" s="16" t="n">
        <v>45672</v>
      </c>
      <c r="N193" s="6" t="s">
        <v>104</v>
      </c>
      <c r="O193" s="21" t="s">
        <v>104</v>
      </c>
      <c r="P193" s="6" t="s">
        <v>104</v>
      </c>
      <c r="Q193" s="6" t="s">
        <v>104</v>
      </c>
      <c r="R193" s="6" t="s">
        <v>104</v>
      </c>
      <c r="S193" s="6" t="s">
        <v>104</v>
      </c>
      <c r="T193" s="21" t="s">
        <v>104</v>
      </c>
      <c r="U193" s="6" t="s">
        <v>104</v>
      </c>
      <c r="V193" s="6" t="s">
        <v>104</v>
      </c>
      <c r="W193" s="6" t="s">
        <v>104</v>
      </c>
      <c r="X193" s="6" t="s">
        <v>104</v>
      </c>
      <c r="Y193" s="21" t="s">
        <v>104</v>
      </c>
      <c r="Z193" s="6" t="s">
        <v>104</v>
      </c>
      <c r="AA193" s="6" t="s">
        <v>104</v>
      </c>
      <c r="AB193" s="6" t="s">
        <v>104</v>
      </c>
      <c r="AC193" s="6" t="s">
        <v>9714</v>
      </c>
      <c r="AD193" s="16" t="n">
        <v>37539</v>
      </c>
      <c r="AE193" s="6" t="s">
        <v>10693</v>
      </c>
      <c r="AF193" s="6" t="s">
        <v>104</v>
      </c>
      <c r="AG193" s="6" t="s">
        <v>104</v>
      </c>
      <c r="AH193" s="6" t="s">
        <v>13334</v>
      </c>
      <c r="AI193" s="6" t="s">
        <v>104</v>
      </c>
      <c r="AJ193" s="6" t="s">
        <v>15498</v>
      </c>
      <c r="AK193" s="6" t="s">
        <v>16735</v>
      </c>
      <c r="AL193" s="6" t="s">
        <v>16931</v>
      </c>
      <c r="AM193" s="6" t="s">
        <v>17115</v>
      </c>
      <c r="AN193" s="6" t="s">
        <v>104</v>
      </c>
      <c r="AO193" s="6" t="s">
        <v>104</v>
      </c>
      <c r="AP193" s="6" t="s">
        <v>13334</v>
      </c>
      <c r="AQ193" s="6" t="s">
        <v>104</v>
      </c>
      <c r="AR193" s="6" t="s">
        <v>15498</v>
      </c>
      <c r="AS193" s="6" t="s">
        <v>16735</v>
      </c>
      <c r="AT193" s="6" t="s">
        <v>16931</v>
      </c>
      <c r="AU193" s="6" t="s">
        <v>17115</v>
      </c>
      <c r="AV193" s="6" t="s">
        <v>104</v>
      </c>
      <c r="AW193" s="6" t="s">
        <v>104</v>
      </c>
      <c r="AX193" s="6" t="s">
        <v>20265</v>
      </c>
      <c r="AY193" s="6" t="s">
        <v>22009</v>
      </c>
      <c r="AZ193" s="6" t="s">
        <v>23730</v>
      </c>
      <c r="BA193" s="6" t="s">
        <v>104</v>
      </c>
      <c r="BB193" s="24" t="n">
        <v>0</v>
      </c>
      <c r="BC193" s="26"/>
      <c r="BD193" s="26"/>
      <c r="BE193" s="26"/>
      <c r="BF193" s="26"/>
      <c r="BG193" s="26"/>
      <c r="BH193" s="26"/>
      <c r="BI193" s="26"/>
      <c r="BJ193" s="26"/>
      <c r="BK193" s="26"/>
      <c r="BL193" s="26"/>
      <c r="BM193" s="26"/>
      <c r="BN193" s="26"/>
      <c r="BO193" s="26"/>
      <c r="BP193" s="16" t="n">
        <v>45656</v>
      </c>
      <c r="BQ193" s="28" t="str">
        <f>HYPERLINK("https://organic.ams.usda.gov/Integrity/Certificate.aspx?cid=57&amp;nopid=3250200242")</f>
        <v>https://organic.ams.usda.gov/Integrity/Certificate.aspx?cid=57&amp;nopid=3250200242</v>
      </c>
    </row>
    <row r="194">
      <c r="A194" t="s">
        <v>3</v>
      </c>
      <c r="B194" s="6" t="s">
        <v>24</v>
      </c>
      <c r="C194" s="6" t="s">
        <v>90</v>
      </c>
      <c r="D194" s="6" t="s">
        <v>155</v>
      </c>
      <c r="E194" s="10" t="s">
        <v>392</v>
      </c>
      <c r="F194" s="6" t="s">
        <v>2650</v>
      </c>
      <c r="G194" s="6" t="s">
        <v>4667</v>
      </c>
      <c r="H194" s="6" t="s">
        <v>5064</v>
      </c>
      <c r="I194" s="6" t="s">
        <v>7061</v>
      </c>
      <c r="J194" s="6" t="s">
        <v>8281</v>
      </c>
      <c r="K194" s="6" t="s">
        <v>9714</v>
      </c>
      <c r="L194" s="16" t="n">
        <v>41521</v>
      </c>
      <c r="M194" s="16" t="n">
        <v>45747</v>
      </c>
      <c r="N194" s="6" t="s">
        <v>104</v>
      </c>
      <c r="O194" s="21" t="s">
        <v>104</v>
      </c>
      <c r="P194" s="6" t="s">
        <v>104</v>
      </c>
      <c r="Q194" s="6" t="s">
        <v>104</v>
      </c>
      <c r="R194" s="6" t="s">
        <v>104</v>
      </c>
      <c r="S194" s="6" t="s">
        <v>104</v>
      </c>
      <c r="T194" s="21" t="s">
        <v>104</v>
      </c>
      <c r="U194" s="6" t="s">
        <v>104</v>
      </c>
      <c r="V194" s="6" t="s">
        <v>104</v>
      </c>
      <c r="W194" s="6" t="s">
        <v>104</v>
      </c>
      <c r="X194" s="6" t="s">
        <v>104</v>
      </c>
      <c r="Y194" s="21" t="s">
        <v>104</v>
      </c>
      <c r="Z194" s="6" t="s">
        <v>104</v>
      </c>
      <c r="AA194" s="6" t="s">
        <v>104</v>
      </c>
      <c r="AB194" s="6" t="s">
        <v>104</v>
      </c>
      <c r="AC194" s="6" t="s">
        <v>9714</v>
      </c>
      <c r="AD194" s="16" t="n">
        <v>41521</v>
      </c>
      <c r="AE194" s="6" t="s">
        <v>10694</v>
      </c>
      <c r="AF194" s="6" t="s">
        <v>104</v>
      </c>
      <c r="AG194" s="6" t="s">
        <v>5064</v>
      </c>
      <c r="AH194" s="6" t="s">
        <v>13335</v>
      </c>
      <c r="AI194" s="6" t="s">
        <v>104</v>
      </c>
      <c r="AJ194" s="6" t="s">
        <v>15295</v>
      </c>
      <c r="AK194" s="6" t="s">
        <v>16690</v>
      </c>
      <c r="AL194" s="6" t="s">
        <v>16934</v>
      </c>
      <c r="AM194" s="6" t="s">
        <v>17116</v>
      </c>
      <c r="AN194" s="6" t="s">
        <v>104</v>
      </c>
      <c r="AO194" s="6" t="s">
        <v>104</v>
      </c>
      <c r="AP194" s="6" t="s">
        <v>13335</v>
      </c>
      <c r="AQ194" s="6" t="s">
        <v>104</v>
      </c>
      <c r="AR194" s="6" t="s">
        <v>15295</v>
      </c>
      <c r="AS194" s="6" t="s">
        <v>16690</v>
      </c>
      <c r="AT194" s="6" t="s">
        <v>16934</v>
      </c>
      <c r="AU194" s="6" t="s">
        <v>17116</v>
      </c>
      <c r="AV194" s="6" t="s">
        <v>104</v>
      </c>
      <c r="AW194" s="6" t="s">
        <v>104</v>
      </c>
      <c r="AX194" s="6" t="s">
        <v>20266</v>
      </c>
      <c r="AY194" s="6" t="s">
        <v>22010</v>
      </c>
      <c r="AZ194" s="6" t="s">
        <v>104</v>
      </c>
      <c r="BA194" s="6" t="s">
        <v>24262</v>
      </c>
      <c r="BB194" s="24" t="n">
        <v>0</v>
      </c>
      <c r="BC194" s="26"/>
      <c r="BD194" s="26"/>
      <c r="BE194" s="26"/>
      <c r="BF194" s="26" t="s">
        <v>24533</v>
      </c>
      <c r="BG194" s="26"/>
      <c r="BH194" s="26"/>
      <c r="BI194" s="26"/>
      <c r="BJ194" s="26"/>
      <c r="BK194" s="26"/>
      <c r="BL194" s="26"/>
      <c r="BM194" s="26"/>
      <c r="BN194" s="26"/>
      <c r="BO194" s="26"/>
      <c r="BP194" s="16" t="n">
        <v>45513</v>
      </c>
      <c r="BQ194" s="28" t="str">
        <f>HYPERLINK("https://organic.ams.usda.gov/Integrity/Certificate.aspx?cid=7&amp;nopid=3950000038")</f>
        <v>https://organic.ams.usda.gov/Integrity/Certificate.aspx?cid=7&amp;nopid=3950000038</v>
      </c>
    </row>
    <row r="195">
      <c r="A195" t="s">
        <v>3</v>
      </c>
      <c r="B195" s="6" t="s">
        <v>21</v>
      </c>
      <c r="C195" s="6" t="s">
        <v>87</v>
      </c>
      <c r="D195" s="6" t="s">
        <v>152</v>
      </c>
      <c r="E195" s="10" t="s">
        <v>393</v>
      </c>
      <c r="F195" s="6" t="s">
        <v>2651</v>
      </c>
      <c r="G195" s="6" t="s">
        <v>104</v>
      </c>
      <c r="H195" s="6" t="s">
        <v>5065</v>
      </c>
      <c r="I195" s="6" t="s">
        <v>7062</v>
      </c>
      <c r="J195" s="6" t="s">
        <v>8282</v>
      </c>
      <c r="K195" s="6" t="s">
        <v>9714</v>
      </c>
      <c r="L195" s="16" t="n">
        <v>43434</v>
      </c>
      <c r="M195" s="16" t="n">
        <v>46023</v>
      </c>
      <c r="N195" s="6" t="s">
        <v>104</v>
      </c>
      <c r="O195" s="21" t="s">
        <v>104</v>
      </c>
      <c r="P195" s="6" t="s">
        <v>104</v>
      </c>
      <c r="Q195" s="6" t="s">
        <v>104</v>
      </c>
      <c r="R195" s="6" t="s">
        <v>104</v>
      </c>
      <c r="S195" s="6" t="s">
        <v>104</v>
      </c>
      <c r="T195" s="21" t="s">
        <v>104</v>
      </c>
      <c r="U195" s="6" t="s">
        <v>104</v>
      </c>
      <c r="V195" s="6" t="s">
        <v>104</v>
      </c>
      <c r="W195" s="6" t="s">
        <v>104</v>
      </c>
      <c r="X195" s="6" t="s">
        <v>104</v>
      </c>
      <c r="Y195" s="21" t="s">
        <v>104</v>
      </c>
      <c r="Z195" s="6" t="s">
        <v>104</v>
      </c>
      <c r="AA195" s="6" t="s">
        <v>104</v>
      </c>
      <c r="AB195" s="6" t="s">
        <v>104</v>
      </c>
      <c r="AC195" s="6" t="s">
        <v>9714</v>
      </c>
      <c r="AD195" s="16" t="n">
        <v>43434</v>
      </c>
      <c r="AE195" s="6" t="s">
        <v>10695</v>
      </c>
      <c r="AF195" s="6" t="s">
        <v>104</v>
      </c>
      <c r="AG195" s="6" t="s">
        <v>104</v>
      </c>
      <c r="AH195" s="6" t="s">
        <v>13336</v>
      </c>
      <c r="AI195" s="6" t="s">
        <v>104</v>
      </c>
      <c r="AJ195" s="6" t="s">
        <v>15499</v>
      </c>
      <c r="AK195" s="6" t="s">
        <v>16687</v>
      </c>
      <c r="AL195" s="6" t="s">
        <v>16931</v>
      </c>
      <c r="AM195" s="6" t="s">
        <v>17117</v>
      </c>
      <c r="AN195" s="6" t="s">
        <v>18478</v>
      </c>
      <c r="AO195" s="6" t="s">
        <v>18587</v>
      </c>
      <c r="AP195" s="6" t="s">
        <v>13336</v>
      </c>
      <c r="AQ195" s="6" t="s">
        <v>104</v>
      </c>
      <c r="AR195" s="6" t="s">
        <v>15499</v>
      </c>
      <c r="AS195" s="6" t="s">
        <v>16687</v>
      </c>
      <c r="AT195" s="6" t="s">
        <v>16931</v>
      </c>
      <c r="AU195" s="6" t="s">
        <v>17117</v>
      </c>
      <c r="AV195" s="6" t="s">
        <v>104</v>
      </c>
      <c r="AW195" s="6" t="s">
        <v>104</v>
      </c>
      <c r="AX195" s="6" t="s">
        <v>20267</v>
      </c>
      <c r="AY195" s="6" t="s">
        <v>22011</v>
      </c>
      <c r="AZ195" s="6" t="s">
        <v>23731</v>
      </c>
      <c r="BA195" s="6" t="s">
        <v>24289</v>
      </c>
      <c r="BB195" s="6" t="s">
        <v>104</v>
      </c>
      <c r="BC195" s="26" t="s">
        <v>24533</v>
      </c>
      <c r="BD195" s="26"/>
      <c r="BE195" s="26"/>
      <c r="BF195" s="26"/>
      <c r="BG195" s="26"/>
      <c r="BH195" s="26"/>
      <c r="BI195" s="26"/>
      <c r="BJ195" s="26"/>
      <c r="BK195" s="26"/>
      <c r="BL195" s="26"/>
      <c r="BM195" s="26"/>
      <c r="BN195" s="26"/>
      <c r="BO195" s="26"/>
      <c r="BP195" s="16" t="n">
        <v>45672</v>
      </c>
      <c r="BQ195" s="28" t="str">
        <f>HYPERLINK("https://organic.ams.usda.gov/Integrity/Certificate.aspx?cid=15&amp;nopid=5561005568")</f>
        <v>https://organic.ams.usda.gov/Integrity/Certificate.aspx?cid=15&amp;nopid=5561005568</v>
      </c>
    </row>
    <row r="196">
      <c r="A196" t="s">
        <v>3</v>
      </c>
      <c r="B196" s="6" t="s">
        <v>27</v>
      </c>
      <c r="C196" s="6" t="s">
        <v>93</v>
      </c>
      <c r="D196" s="6" t="s">
        <v>158</v>
      </c>
      <c r="E196" s="10" t="s">
        <v>394</v>
      </c>
      <c r="F196" s="6" t="s">
        <v>2652</v>
      </c>
      <c r="G196" s="6" t="s">
        <v>104</v>
      </c>
      <c r="H196" s="6" t="s">
        <v>5066</v>
      </c>
      <c r="I196" s="6" t="s">
        <v>7063</v>
      </c>
      <c r="J196" s="6" t="s">
        <v>8283</v>
      </c>
      <c r="K196" s="6" t="s">
        <v>9714</v>
      </c>
      <c r="L196" s="16" t="n">
        <v>45344</v>
      </c>
      <c r="M196" s="16" t="n">
        <v>45565</v>
      </c>
      <c r="N196" s="6" t="s">
        <v>9714</v>
      </c>
      <c r="O196" s="16" t="n">
        <v>45344</v>
      </c>
      <c r="P196" s="6" t="s">
        <v>9785</v>
      </c>
      <c r="Q196" s="6" t="s">
        <v>104</v>
      </c>
      <c r="R196" s="6" t="s">
        <v>10310</v>
      </c>
      <c r="S196" s="6" t="s">
        <v>104</v>
      </c>
      <c r="T196" s="21" t="s">
        <v>104</v>
      </c>
      <c r="U196" s="6" t="s">
        <v>104</v>
      </c>
      <c r="V196" s="6" t="s">
        <v>104</v>
      </c>
      <c r="W196" s="6" t="s">
        <v>104</v>
      </c>
      <c r="X196" s="6" t="s">
        <v>104</v>
      </c>
      <c r="Y196" s="21" t="s">
        <v>104</v>
      </c>
      <c r="Z196" s="6" t="s">
        <v>104</v>
      </c>
      <c r="AA196" s="6" t="s">
        <v>104</v>
      </c>
      <c r="AB196" s="6" t="s">
        <v>104</v>
      </c>
      <c r="AC196" s="6" t="s">
        <v>104</v>
      </c>
      <c r="AD196" s="21" t="s">
        <v>104</v>
      </c>
      <c r="AE196" s="6" t="s">
        <v>104</v>
      </c>
      <c r="AF196" s="6" t="s">
        <v>104</v>
      </c>
      <c r="AG196" s="6" t="s">
        <v>104</v>
      </c>
      <c r="AH196" s="6" t="s">
        <v>13337</v>
      </c>
      <c r="AI196" s="6" t="s">
        <v>15236</v>
      </c>
      <c r="AJ196" s="6" t="s">
        <v>15239</v>
      </c>
      <c r="AK196" s="6" t="s">
        <v>16270</v>
      </c>
      <c r="AL196" s="6" t="s">
        <v>16932</v>
      </c>
      <c r="AM196" s="6" t="s">
        <v>17118</v>
      </c>
      <c r="AN196" s="6" t="s">
        <v>104</v>
      </c>
      <c r="AO196" s="6" t="s">
        <v>104</v>
      </c>
      <c r="AP196" s="6" t="s">
        <v>19004</v>
      </c>
      <c r="AQ196" s="6" t="s">
        <v>19548</v>
      </c>
      <c r="AR196" s="6" t="s">
        <v>16625</v>
      </c>
      <c r="AS196" s="6" t="s">
        <v>16270</v>
      </c>
      <c r="AT196" s="6" t="s">
        <v>16932</v>
      </c>
      <c r="AU196" s="6" t="s">
        <v>18385</v>
      </c>
      <c r="AV196" s="6" t="s">
        <v>104</v>
      </c>
      <c r="AW196" s="6" t="s">
        <v>104</v>
      </c>
      <c r="AX196" s="6" t="s">
        <v>20268</v>
      </c>
      <c r="AY196" s="6" t="s">
        <v>22012</v>
      </c>
      <c r="AZ196" s="6" t="s">
        <v>104</v>
      </c>
      <c r="BA196" s="6" t="s">
        <v>104</v>
      </c>
      <c r="BB196" s="24" t="n">
        <v>1763</v>
      </c>
      <c r="BC196" s="26"/>
      <c r="BD196" s="26"/>
      <c r="BE196" s="26"/>
      <c r="BF196" s="26"/>
      <c r="BG196" s="26"/>
      <c r="BH196" s="26"/>
      <c r="BI196" s="26"/>
      <c r="BJ196" s="26"/>
      <c r="BK196" s="26"/>
      <c r="BL196" s="26"/>
      <c r="BM196" s="26"/>
      <c r="BN196" s="26"/>
      <c r="BO196" s="26" t="s">
        <v>24533</v>
      </c>
      <c r="BP196" s="16" t="n">
        <v>45351</v>
      </c>
      <c r="BQ196" s="28" t="str">
        <f>HYPERLINK("https://organic.ams.usda.gov/Integrity/Certificate.aspx?cid=93&amp;nopid=6362252004")</f>
        <v>https://organic.ams.usda.gov/Integrity/Certificate.aspx?cid=93&amp;nopid=6362252004</v>
      </c>
    </row>
    <row r="197">
      <c r="A197" t="s">
        <v>3</v>
      </c>
      <c r="B197" s="6" t="s">
        <v>48</v>
      </c>
      <c r="C197" s="6" t="s">
        <v>114</v>
      </c>
      <c r="D197" s="6" t="s">
        <v>178</v>
      </c>
      <c r="E197" s="10" t="s">
        <v>395</v>
      </c>
      <c r="F197" s="6" t="s">
        <v>2653</v>
      </c>
      <c r="G197" s="6" t="s">
        <v>104</v>
      </c>
      <c r="H197" s="6" t="s">
        <v>5067</v>
      </c>
      <c r="I197" s="6" t="s">
        <v>104</v>
      </c>
      <c r="J197" s="6" t="s">
        <v>104</v>
      </c>
      <c r="K197" s="6" t="s">
        <v>9714</v>
      </c>
      <c r="L197" s="16" t="n">
        <v>45279</v>
      </c>
      <c r="M197" s="16" t="n">
        <v>46022</v>
      </c>
      <c r="N197" s="6" t="s">
        <v>104</v>
      </c>
      <c r="O197" s="21" t="s">
        <v>104</v>
      </c>
      <c r="P197" s="6" t="s">
        <v>104</v>
      </c>
      <c r="Q197" s="6" t="s">
        <v>104</v>
      </c>
      <c r="R197" s="6" t="s">
        <v>104</v>
      </c>
      <c r="S197" s="6" t="s">
        <v>104</v>
      </c>
      <c r="T197" s="21" t="s">
        <v>104</v>
      </c>
      <c r="U197" s="6" t="s">
        <v>104</v>
      </c>
      <c r="V197" s="6" t="s">
        <v>104</v>
      </c>
      <c r="W197" s="6" t="s">
        <v>104</v>
      </c>
      <c r="X197" s="6" t="s">
        <v>104</v>
      </c>
      <c r="Y197" s="21" t="s">
        <v>104</v>
      </c>
      <c r="Z197" s="6" t="s">
        <v>104</v>
      </c>
      <c r="AA197" s="6" t="s">
        <v>104</v>
      </c>
      <c r="AB197" s="6" t="s">
        <v>104</v>
      </c>
      <c r="AC197" s="6" t="s">
        <v>9714</v>
      </c>
      <c r="AD197" s="16" t="n">
        <v>45279</v>
      </c>
      <c r="AE197" s="6" t="s">
        <v>10696</v>
      </c>
      <c r="AF197" s="6" t="s">
        <v>104</v>
      </c>
      <c r="AG197" s="6" t="s">
        <v>104</v>
      </c>
      <c r="AH197" s="6" t="s">
        <v>13338</v>
      </c>
      <c r="AI197" s="6" t="s">
        <v>104</v>
      </c>
      <c r="AJ197" s="6" t="s">
        <v>15500</v>
      </c>
      <c r="AK197" s="6" t="s">
        <v>104</v>
      </c>
      <c r="AL197" s="6" t="s">
        <v>16933</v>
      </c>
      <c r="AM197" s="6" t="s">
        <v>17119</v>
      </c>
      <c r="AN197" s="6" t="s">
        <v>104</v>
      </c>
      <c r="AO197" s="6" t="s">
        <v>104</v>
      </c>
      <c r="AP197" s="6" t="s">
        <v>13338</v>
      </c>
      <c r="AQ197" s="6" t="s">
        <v>104</v>
      </c>
      <c r="AR197" s="6" t="s">
        <v>15500</v>
      </c>
      <c r="AS197" s="6" t="s">
        <v>104</v>
      </c>
      <c r="AT197" s="6" t="s">
        <v>16933</v>
      </c>
      <c r="AU197" s="6" t="s">
        <v>17119</v>
      </c>
      <c r="AV197" s="6" t="s">
        <v>104</v>
      </c>
      <c r="AW197" s="6" t="s">
        <v>104</v>
      </c>
      <c r="AX197" s="6" t="s">
        <v>104</v>
      </c>
      <c r="AY197" s="6" t="s">
        <v>104</v>
      </c>
      <c r="AZ197" s="6" t="s">
        <v>104</v>
      </c>
      <c r="BA197" s="6" t="s">
        <v>104</v>
      </c>
      <c r="BB197" s="6" t="s">
        <v>104</v>
      </c>
      <c r="BC197" s="26"/>
      <c r="BD197" s="26"/>
      <c r="BE197" s="26"/>
      <c r="BF197" s="26"/>
      <c r="BG197" s="26"/>
      <c r="BH197" s="26"/>
      <c r="BI197" s="26"/>
      <c r="BJ197" s="26"/>
      <c r="BK197" s="26"/>
      <c r="BL197" s="26"/>
      <c r="BM197" s="26"/>
      <c r="BN197" s="26"/>
      <c r="BO197" s="26"/>
      <c r="BP197" s="16" t="n">
        <v>45682</v>
      </c>
      <c r="BQ197" s="28" t="str">
        <f>HYPERLINK("https://organic.ams.usda.gov/Integrity/Certificate.aspx?cid=9&amp;nopid=1202829202")</f>
        <v>https://organic.ams.usda.gov/Integrity/Certificate.aspx?cid=9&amp;nopid=1202829202</v>
      </c>
    </row>
    <row r="198">
      <c r="A198" t="s">
        <v>3</v>
      </c>
      <c r="B198" s="6" t="s">
        <v>28</v>
      </c>
      <c r="C198" s="6" t="s">
        <v>94</v>
      </c>
      <c r="D198" s="6" t="s">
        <v>159</v>
      </c>
      <c r="E198" s="10" t="s">
        <v>396</v>
      </c>
      <c r="F198" s="6" t="s">
        <v>2654</v>
      </c>
      <c r="G198" s="6" t="s">
        <v>104</v>
      </c>
      <c r="H198" s="6" t="s">
        <v>5068</v>
      </c>
      <c r="I198" s="6" t="s">
        <v>7064</v>
      </c>
      <c r="J198" s="6" t="s">
        <v>8284</v>
      </c>
      <c r="K198" s="6" t="s">
        <v>9714</v>
      </c>
      <c r="L198" s="16" t="n">
        <v>44581</v>
      </c>
      <c r="M198" s="16" t="n">
        <v>45748</v>
      </c>
      <c r="N198" s="6" t="s">
        <v>104</v>
      </c>
      <c r="O198" s="21" t="s">
        <v>104</v>
      </c>
      <c r="P198" s="6" t="s">
        <v>104</v>
      </c>
      <c r="Q198" s="6" t="s">
        <v>104</v>
      </c>
      <c r="R198" s="6" t="s">
        <v>104</v>
      </c>
      <c r="S198" s="6" t="s">
        <v>104</v>
      </c>
      <c r="T198" s="21" t="s">
        <v>104</v>
      </c>
      <c r="U198" s="6" t="s">
        <v>104</v>
      </c>
      <c r="V198" s="6" t="s">
        <v>104</v>
      </c>
      <c r="W198" s="6" t="s">
        <v>104</v>
      </c>
      <c r="X198" s="6" t="s">
        <v>104</v>
      </c>
      <c r="Y198" s="21" t="s">
        <v>104</v>
      </c>
      <c r="Z198" s="6" t="s">
        <v>104</v>
      </c>
      <c r="AA198" s="6" t="s">
        <v>104</v>
      </c>
      <c r="AB198" s="6" t="s">
        <v>104</v>
      </c>
      <c r="AC198" s="6" t="s">
        <v>9714</v>
      </c>
      <c r="AD198" s="16" t="n">
        <v>44581</v>
      </c>
      <c r="AE198" s="6" t="s">
        <v>10697</v>
      </c>
      <c r="AF198" s="6" t="s">
        <v>104</v>
      </c>
      <c r="AG198" s="6" t="s">
        <v>12530</v>
      </c>
      <c r="AH198" s="6" t="s">
        <v>13339</v>
      </c>
      <c r="AI198" s="6" t="s">
        <v>15237</v>
      </c>
      <c r="AJ198" s="6" t="s">
        <v>15501</v>
      </c>
      <c r="AK198" s="6" t="s">
        <v>104</v>
      </c>
      <c r="AL198" s="6" t="s">
        <v>16932</v>
      </c>
      <c r="AM198" s="6" t="s">
        <v>17120</v>
      </c>
      <c r="AN198" s="6" t="s">
        <v>104</v>
      </c>
      <c r="AO198" s="6" t="s">
        <v>104</v>
      </c>
      <c r="AP198" s="6" t="s">
        <v>104</v>
      </c>
      <c r="AQ198" s="6" t="s">
        <v>104</v>
      </c>
      <c r="AR198" s="6" t="s">
        <v>104</v>
      </c>
      <c r="AS198" s="6" t="s">
        <v>104</v>
      </c>
      <c r="AT198" s="6" t="s">
        <v>104</v>
      </c>
      <c r="AU198" s="6" t="s">
        <v>104</v>
      </c>
      <c r="AV198" s="6" t="s">
        <v>104</v>
      </c>
      <c r="AW198" s="6" t="s">
        <v>104</v>
      </c>
      <c r="AX198" s="6" t="s">
        <v>20269</v>
      </c>
      <c r="AY198" s="6" t="s">
        <v>22013</v>
      </c>
      <c r="AZ198" s="6" t="s">
        <v>23732</v>
      </c>
      <c r="BA198" s="6" t="s">
        <v>104</v>
      </c>
      <c r="BB198" s="6" t="s">
        <v>104</v>
      </c>
      <c r="BC198" s="26"/>
      <c r="BD198" s="26"/>
      <c r="BE198" s="26"/>
      <c r="BF198" s="26"/>
      <c r="BG198" s="26"/>
      <c r="BH198" s="26"/>
      <c r="BI198" s="26"/>
      <c r="BJ198" s="26"/>
      <c r="BK198" s="26"/>
      <c r="BL198" s="26"/>
      <c r="BM198" s="26"/>
      <c r="BN198" s="26"/>
      <c r="BO198" s="26"/>
      <c r="BP198" s="16" t="n">
        <v>45660</v>
      </c>
      <c r="BQ198" s="28" t="str">
        <f>HYPERLINK("https://organic.ams.usda.gov/Integrity/Certificate.aspx?cid=11&amp;nopid=4797103700")</f>
        <v>https://organic.ams.usda.gov/Integrity/Certificate.aspx?cid=11&amp;nopid=4797103700</v>
      </c>
    </row>
    <row r="199">
      <c r="A199" t="s">
        <v>3</v>
      </c>
      <c r="B199" s="6" t="s">
        <v>11</v>
      </c>
      <c r="C199" s="6" t="s">
        <v>77</v>
      </c>
      <c r="D199" s="6" t="s">
        <v>142</v>
      </c>
      <c r="E199" s="10" t="s">
        <v>397</v>
      </c>
      <c r="F199" s="6" t="s">
        <v>2655</v>
      </c>
      <c r="G199" s="6" t="s">
        <v>104</v>
      </c>
      <c r="H199" s="6" t="s">
        <v>397</v>
      </c>
      <c r="I199" s="6" t="s">
        <v>7065</v>
      </c>
      <c r="J199" s="6" t="s">
        <v>8285</v>
      </c>
      <c r="K199" s="6" t="s">
        <v>9714</v>
      </c>
      <c r="L199" s="16" t="n">
        <v>45034</v>
      </c>
      <c r="M199" s="16" t="n">
        <v>45667</v>
      </c>
      <c r="N199" s="6" t="s">
        <v>9714</v>
      </c>
      <c r="O199" s="16" t="n">
        <v>45034</v>
      </c>
      <c r="P199" s="6" t="s">
        <v>9786</v>
      </c>
      <c r="Q199" s="6" t="s">
        <v>104</v>
      </c>
      <c r="R199" s="6" t="s">
        <v>10311</v>
      </c>
      <c r="S199" s="6" t="s">
        <v>104</v>
      </c>
      <c r="T199" s="21" t="s">
        <v>104</v>
      </c>
      <c r="U199" s="6" t="s">
        <v>104</v>
      </c>
      <c r="V199" s="6" t="s">
        <v>104</v>
      </c>
      <c r="W199" s="6" t="s">
        <v>104</v>
      </c>
      <c r="X199" s="6" t="s">
        <v>104</v>
      </c>
      <c r="Y199" s="21" t="s">
        <v>104</v>
      </c>
      <c r="Z199" s="6" t="s">
        <v>104</v>
      </c>
      <c r="AA199" s="6" t="s">
        <v>104</v>
      </c>
      <c r="AB199" s="6" t="s">
        <v>104</v>
      </c>
      <c r="AC199" s="6" t="s">
        <v>9714</v>
      </c>
      <c r="AD199" s="16" t="n">
        <v>45034</v>
      </c>
      <c r="AE199" s="6" t="s">
        <v>10698</v>
      </c>
      <c r="AF199" s="6" t="s">
        <v>104</v>
      </c>
      <c r="AG199" s="6" t="s">
        <v>10311</v>
      </c>
      <c r="AH199" s="6" t="s">
        <v>13340</v>
      </c>
      <c r="AI199" s="6" t="s">
        <v>104</v>
      </c>
      <c r="AJ199" s="6" t="s">
        <v>15502</v>
      </c>
      <c r="AK199" s="6" t="s">
        <v>16001</v>
      </c>
      <c r="AL199" s="6" t="s">
        <v>16932</v>
      </c>
      <c r="AM199" s="6" t="s">
        <v>17121</v>
      </c>
      <c r="AN199" s="6" t="s">
        <v>104</v>
      </c>
      <c r="AO199" s="6" t="s">
        <v>104</v>
      </c>
      <c r="AP199" s="6" t="s">
        <v>13340</v>
      </c>
      <c r="AQ199" s="6" t="s">
        <v>104</v>
      </c>
      <c r="AR199" s="6" t="s">
        <v>15502</v>
      </c>
      <c r="AS199" s="6" t="s">
        <v>16001</v>
      </c>
      <c r="AT199" s="6" t="s">
        <v>16932</v>
      </c>
      <c r="AU199" s="6" t="s">
        <v>17121</v>
      </c>
      <c r="AV199" s="6" t="s">
        <v>104</v>
      </c>
      <c r="AW199" s="6" t="s">
        <v>104</v>
      </c>
      <c r="AX199" s="6" t="s">
        <v>20270</v>
      </c>
      <c r="AY199" s="6" t="s">
        <v>22014</v>
      </c>
      <c r="AZ199" s="6" t="s">
        <v>104</v>
      </c>
      <c r="BA199" s="6" t="s">
        <v>104</v>
      </c>
      <c r="BB199" s="24" t="n">
        <v>810</v>
      </c>
      <c r="BC199" s="26"/>
      <c r="BD199" s="26"/>
      <c r="BE199" s="26"/>
      <c r="BF199" s="26"/>
      <c r="BG199" s="26"/>
      <c r="BH199" s="26"/>
      <c r="BI199" s="26"/>
      <c r="BJ199" s="26"/>
      <c r="BK199" s="26"/>
      <c r="BL199" s="26"/>
      <c r="BM199" s="26"/>
      <c r="BN199" s="26"/>
      <c r="BO199" s="26" t="s">
        <v>24533</v>
      </c>
      <c r="BP199" s="16" t="n">
        <v>45364</v>
      </c>
      <c r="BQ199" s="28" t="str">
        <f>HYPERLINK("https://organic.ams.usda.gov/Integrity/Certificate.aspx?cid=21&amp;nopid=1780848306")</f>
        <v>https://organic.ams.usda.gov/Integrity/Certificate.aspx?cid=21&amp;nopid=1780848306</v>
      </c>
    </row>
    <row r="200">
      <c r="A200" t="s">
        <v>3</v>
      </c>
      <c r="B200" s="6" t="s">
        <v>32</v>
      </c>
      <c r="C200" s="6" t="s">
        <v>98</v>
      </c>
      <c r="D200" s="6" t="s">
        <v>163</v>
      </c>
      <c r="E200" s="10" t="s">
        <v>398</v>
      </c>
      <c r="F200" s="6" t="s">
        <v>2656</v>
      </c>
      <c r="G200" s="6" t="s">
        <v>104</v>
      </c>
      <c r="H200" s="6" t="s">
        <v>5069</v>
      </c>
      <c r="I200" s="6" t="s">
        <v>7066</v>
      </c>
      <c r="J200" s="6" t="s">
        <v>8286</v>
      </c>
      <c r="K200" s="6" t="s">
        <v>9714</v>
      </c>
      <c r="L200" s="16" t="n">
        <v>44392</v>
      </c>
      <c r="M200" s="16" t="n">
        <v>45352</v>
      </c>
      <c r="N200" s="6" t="s">
        <v>104</v>
      </c>
      <c r="O200" s="21" t="s">
        <v>104</v>
      </c>
      <c r="P200" s="6" t="s">
        <v>104</v>
      </c>
      <c r="Q200" s="6" t="s">
        <v>104</v>
      </c>
      <c r="R200" s="6" t="s">
        <v>104</v>
      </c>
      <c r="S200" s="6" t="s">
        <v>104</v>
      </c>
      <c r="T200" s="21" t="s">
        <v>104</v>
      </c>
      <c r="U200" s="6" t="s">
        <v>104</v>
      </c>
      <c r="V200" s="6" t="s">
        <v>104</v>
      </c>
      <c r="W200" s="6" t="s">
        <v>104</v>
      </c>
      <c r="X200" s="6" t="s">
        <v>104</v>
      </c>
      <c r="Y200" s="21" t="s">
        <v>104</v>
      </c>
      <c r="Z200" s="6" t="s">
        <v>104</v>
      </c>
      <c r="AA200" s="6" t="s">
        <v>104</v>
      </c>
      <c r="AB200" s="6" t="s">
        <v>104</v>
      </c>
      <c r="AC200" s="6" t="s">
        <v>9714</v>
      </c>
      <c r="AD200" s="16" t="n">
        <v>44392</v>
      </c>
      <c r="AE200" s="6" t="s">
        <v>10699</v>
      </c>
      <c r="AF200" s="6" t="s">
        <v>104</v>
      </c>
      <c r="AG200" s="6" t="s">
        <v>104</v>
      </c>
      <c r="AH200" s="6" t="s">
        <v>13341</v>
      </c>
      <c r="AI200" s="6" t="s">
        <v>104</v>
      </c>
      <c r="AJ200" s="6" t="s">
        <v>15503</v>
      </c>
      <c r="AK200" s="6" t="s">
        <v>16687</v>
      </c>
      <c r="AL200" s="6" t="s">
        <v>16931</v>
      </c>
      <c r="AM200" s="6" t="s">
        <v>17122</v>
      </c>
      <c r="AN200" s="6" t="s">
        <v>18487</v>
      </c>
      <c r="AO200" s="6" t="s">
        <v>18601</v>
      </c>
      <c r="AP200" s="6" t="s">
        <v>104</v>
      </c>
      <c r="AQ200" s="6" t="s">
        <v>104</v>
      </c>
      <c r="AR200" s="6" t="s">
        <v>104</v>
      </c>
      <c r="AS200" s="6" t="s">
        <v>104</v>
      </c>
      <c r="AT200" s="6" t="s">
        <v>104</v>
      </c>
      <c r="AU200" s="6" t="s">
        <v>104</v>
      </c>
      <c r="AV200" s="6" t="s">
        <v>104</v>
      </c>
      <c r="AW200" s="6" t="s">
        <v>104</v>
      </c>
      <c r="AX200" s="6" t="s">
        <v>20271</v>
      </c>
      <c r="AY200" s="6" t="s">
        <v>22015</v>
      </c>
      <c r="AZ200" s="6" t="s">
        <v>23733</v>
      </c>
      <c r="BA200" s="6" t="s">
        <v>104</v>
      </c>
      <c r="BB200" s="6" t="s">
        <v>104</v>
      </c>
      <c r="BC200" s="26" t="s">
        <v>24533</v>
      </c>
      <c r="BD200" s="26"/>
      <c r="BE200" s="26"/>
      <c r="BF200" s="26"/>
      <c r="BG200" s="26"/>
      <c r="BH200" s="26" t="s">
        <v>24533</v>
      </c>
      <c r="BI200" s="26"/>
      <c r="BJ200" s="26"/>
      <c r="BK200" s="26"/>
      <c r="BL200" s="26"/>
      <c r="BM200" s="26"/>
      <c r="BN200" s="26"/>
      <c r="BO200" s="26"/>
      <c r="BP200" s="16" t="n">
        <v>45377</v>
      </c>
      <c r="BQ200" s="28" t="str">
        <f>HYPERLINK("https://organic.ams.usda.gov/Integrity/Certificate.aspx?cid=64&amp;nopid=8830001542")</f>
        <v>https://organic.ams.usda.gov/Integrity/Certificate.aspx?cid=64&amp;nopid=8830001542</v>
      </c>
    </row>
    <row r="201">
      <c r="A201" t="s">
        <v>3</v>
      </c>
      <c r="B201" s="6" t="s">
        <v>31</v>
      </c>
      <c r="C201" s="6" t="s">
        <v>97</v>
      </c>
      <c r="D201" s="6" t="s">
        <v>162</v>
      </c>
      <c r="E201" s="10" t="s">
        <v>399</v>
      </c>
      <c r="F201" s="6" t="s">
        <v>2657</v>
      </c>
      <c r="G201" s="6" t="s">
        <v>104</v>
      </c>
      <c r="H201" s="6" t="s">
        <v>5070</v>
      </c>
      <c r="I201" s="6" t="s">
        <v>7067</v>
      </c>
      <c r="J201" s="6" t="s">
        <v>8287</v>
      </c>
      <c r="K201" s="6" t="s">
        <v>9714</v>
      </c>
      <c r="L201" s="16" t="n">
        <v>44760</v>
      </c>
      <c r="M201" s="16" t="n">
        <v>45856</v>
      </c>
      <c r="N201" s="6" t="s">
        <v>9714</v>
      </c>
      <c r="O201" s="16" t="n">
        <v>44760</v>
      </c>
      <c r="P201" s="6" t="s">
        <v>9787</v>
      </c>
      <c r="Q201" s="6" t="s">
        <v>104</v>
      </c>
      <c r="R201" s="6" t="s">
        <v>10312</v>
      </c>
      <c r="S201" s="6" t="s">
        <v>104</v>
      </c>
      <c r="T201" s="21" t="s">
        <v>104</v>
      </c>
      <c r="U201" s="6" t="s">
        <v>104</v>
      </c>
      <c r="V201" s="6" t="s">
        <v>104</v>
      </c>
      <c r="W201" s="6" t="s">
        <v>104</v>
      </c>
      <c r="X201" s="6" t="s">
        <v>104</v>
      </c>
      <c r="Y201" s="21" t="s">
        <v>104</v>
      </c>
      <c r="Z201" s="6" t="s">
        <v>104</v>
      </c>
      <c r="AA201" s="6" t="s">
        <v>104</v>
      </c>
      <c r="AB201" s="6" t="s">
        <v>104</v>
      </c>
      <c r="AC201" s="6" t="s">
        <v>9714</v>
      </c>
      <c r="AD201" s="16" t="n">
        <v>44760</v>
      </c>
      <c r="AE201" s="6" t="s">
        <v>10700</v>
      </c>
      <c r="AF201" s="6" t="s">
        <v>104</v>
      </c>
      <c r="AG201" s="6" t="s">
        <v>12531</v>
      </c>
      <c r="AH201" s="6" t="s">
        <v>13342</v>
      </c>
      <c r="AI201" s="6" t="s">
        <v>104</v>
      </c>
      <c r="AJ201" s="6" t="s">
        <v>15504</v>
      </c>
      <c r="AK201" s="6" t="s">
        <v>16736</v>
      </c>
      <c r="AL201" s="6" t="s">
        <v>16952</v>
      </c>
      <c r="AM201" s="6" t="s">
        <v>17123</v>
      </c>
      <c r="AN201" s="6" t="s">
        <v>104</v>
      </c>
      <c r="AO201" s="6" t="s">
        <v>104</v>
      </c>
      <c r="AP201" s="6" t="s">
        <v>13342</v>
      </c>
      <c r="AQ201" s="6" t="s">
        <v>104</v>
      </c>
      <c r="AR201" s="6" t="s">
        <v>15504</v>
      </c>
      <c r="AS201" s="6" t="s">
        <v>16736</v>
      </c>
      <c r="AT201" s="6" t="s">
        <v>16952</v>
      </c>
      <c r="AU201" s="6" t="s">
        <v>17123</v>
      </c>
      <c r="AV201" s="6" t="s">
        <v>104</v>
      </c>
      <c r="AW201" s="6" t="s">
        <v>104</v>
      </c>
      <c r="AX201" s="6" t="s">
        <v>20272</v>
      </c>
      <c r="AY201" s="6" t="s">
        <v>22016</v>
      </c>
      <c r="AZ201" s="6" t="s">
        <v>104</v>
      </c>
      <c r="BA201" s="6" t="s">
        <v>104</v>
      </c>
      <c r="BB201" s="24" t="n">
        <v>85</v>
      </c>
      <c r="BC201" s="26"/>
      <c r="BD201" s="26"/>
      <c r="BE201" s="26"/>
      <c r="BF201" s="26"/>
      <c r="BG201" s="26"/>
      <c r="BH201" s="26"/>
      <c r="BI201" s="26"/>
      <c r="BJ201" s="26"/>
      <c r="BK201" s="26"/>
      <c r="BL201" s="26"/>
      <c r="BM201" s="26"/>
      <c r="BN201" s="26"/>
      <c r="BO201" s="26"/>
      <c r="BP201" s="16" t="n">
        <v>45644</v>
      </c>
      <c r="BQ201" s="28" t="str">
        <f>HYPERLINK("https://organic.ams.usda.gov/Integrity/Certificate.aspx?cid=43&amp;nopid=3532022479")</f>
        <v>https://organic.ams.usda.gov/Integrity/Certificate.aspx?cid=43&amp;nopid=3532022479</v>
      </c>
    </row>
    <row r="202">
      <c r="A202" t="s">
        <v>3</v>
      </c>
      <c r="B202" s="6" t="s">
        <v>20</v>
      </c>
      <c r="C202" s="6" t="s">
        <v>86</v>
      </c>
      <c r="D202" s="6" t="s">
        <v>151</v>
      </c>
      <c r="E202" s="10" t="s">
        <v>400</v>
      </c>
      <c r="F202" s="6" t="s">
        <v>2658</v>
      </c>
      <c r="G202" s="6" t="s">
        <v>104</v>
      </c>
      <c r="H202" s="6" t="s">
        <v>5071</v>
      </c>
      <c r="I202" s="6" t="s">
        <v>7068</v>
      </c>
      <c r="J202" s="6" t="s">
        <v>8288</v>
      </c>
      <c r="K202" s="6" t="s">
        <v>9714</v>
      </c>
      <c r="L202" s="16" t="n">
        <v>43350</v>
      </c>
      <c r="M202" s="16" t="n">
        <v>45869</v>
      </c>
      <c r="N202" s="6" t="s">
        <v>104</v>
      </c>
      <c r="O202" s="21" t="s">
        <v>104</v>
      </c>
      <c r="P202" s="6" t="s">
        <v>104</v>
      </c>
      <c r="Q202" s="6" t="s">
        <v>104</v>
      </c>
      <c r="R202" s="6" t="s">
        <v>104</v>
      </c>
      <c r="S202" s="6" t="s">
        <v>104</v>
      </c>
      <c r="T202" s="21" t="s">
        <v>104</v>
      </c>
      <c r="U202" s="6" t="s">
        <v>104</v>
      </c>
      <c r="V202" s="6" t="s">
        <v>104</v>
      </c>
      <c r="W202" s="6" t="s">
        <v>104</v>
      </c>
      <c r="X202" s="6" t="s">
        <v>104</v>
      </c>
      <c r="Y202" s="21" t="s">
        <v>104</v>
      </c>
      <c r="Z202" s="6" t="s">
        <v>104</v>
      </c>
      <c r="AA202" s="6" t="s">
        <v>104</v>
      </c>
      <c r="AB202" s="6" t="s">
        <v>104</v>
      </c>
      <c r="AC202" s="6" t="s">
        <v>9714</v>
      </c>
      <c r="AD202" s="16" t="n">
        <v>43350</v>
      </c>
      <c r="AE202" s="6" t="s">
        <v>10701</v>
      </c>
      <c r="AF202" s="6" t="s">
        <v>104</v>
      </c>
      <c r="AG202" s="6" t="s">
        <v>12532</v>
      </c>
      <c r="AH202" s="6" t="s">
        <v>13343</v>
      </c>
      <c r="AI202" s="6" t="s">
        <v>104</v>
      </c>
      <c r="AJ202" s="6" t="s">
        <v>15505</v>
      </c>
      <c r="AK202" s="6" t="s">
        <v>16737</v>
      </c>
      <c r="AL202" s="6" t="s">
        <v>16898</v>
      </c>
      <c r="AM202" s="6" t="s">
        <v>104</v>
      </c>
      <c r="AN202" s="6" t="s">
        <v>104</v>
      </c>
      <c r="AO202" s="6" t="s">
        <v>104</v>
      </c>
      <c r="AP202" s="6" t="s">
        <v>104</v>
      </c>
      <c r="AQ202" s="6" t="s">
        <v>104</v>
      </c>
      <c r="AR202" s="6" t="s">
        <v>104</v>
      </c>
      <c r="AS202" s="6" t="s">
        <v>104</v>
      </c>
      <c r="AT202" s="6" t="s">
        <v>104</v>
      </c>
      <c r="AU202" s="6" t="s">
        <v>104</v>
      </c>
      <c r="AV202" s="6" t="s">
        <v>104</v>
      </c>
      <c r="AW202" s="6" t="s">
        <v>104</v>
      </c>
      <c r="AX202" s="6" t="s">
        <v>20273</v>
      </c>
      <c r="AY202" s="6" t="s">
        <v>22017</v>
      </c>
      <c r="AZ202" s="6" t="s">
        <v>104</v>
      </c>
      <c r="BA202" s="6" t="s">
        <v>104</v>
      </c>
      <c r="BB202" s="6" t="s">
        <v>104</v>
      </c>
      <c r="BC202" s="26"/>
      <c r="BD202" s="26"/>
      <c r="BE202" s="26"/>
      <c r="BF202" s="26"/>
      <c r="BG202" s="26"/>
      <c r="BH202" s="26"/>
      <c r="BI202" s="26"/>
      <c r="BJ202" s="26"/>
      <c r="BK202" s="26"/>
      <c r="BL202" s="26"/>
      <c r="BM202" s="26"/>
      <c r="BN202" s="26"/>
      <c r="BO202" s="26"/>
      <c r="BP202" s="16" t="n">
        <v>45504</v>
      </c>
      <c r="BQ202" s="28" t="str">
        <f>HYPERLINK("https://organic.ams.usda.gov/Integrity/Certificate.aspx?cid=17&amp;nopid=4088226107")</f>
        <v>https://organic.ams.usda.gov/Integrity/Certificate.aspx?cid=17&amp;nopid=4088226107</v>
      </c>
    </row>
    <row r="203">
      <c r="A203" t="s">
        <v>3</v>
      </c>
      <c r="B203" s="6" t="s">
        <v>13</v>
      </c>
      <c r="C203" s="6" t="s">
        <v>79</v>
      </c>
      <c r="D203" s="6" t="s">
        <v>144</v>
      </c>
      <c r="E203" s="10" t="s">
        <v>401</v>
      </c>
      <c r="F203" s="6" t="s">
        <v>2659</v>
      </c>
      <c r="G203" s="6" t="s">
        <v>104</v>
      </c>
      <c r="H203" s="6" t="s">
        <v>5072</v>
      </c>
      <c r="I203" s="6" t="s">
        <v>7028</v>
      </c>
      <c r="J203" s="6" t="s">
        <v>8289</v>
      </c>
      <c r="K203" s="6" t="s">
        <v>9714</v>
      </c>
      <c r="L203" s="16" t="n">
        <v>37375</v>
      </c>
      <c r="M203" s="16" t="n">
        <v>46023</v>
      </c>
      <c r="N203" s="6" t="s">
        <v>9714</v>
      </c>
      <c r="O203" s="16" t="n">
        <v>37375</v>
      </c>
      <c r="P203" s="6" t="s">
        <v>9788</v>
      </c>
      <c r="Q203" s="6" t="s">
        <v>104</v>
      </c>
      <c r="R203" s="6" t="s">
        <v>104</v>
      </c>
      <c r="S203" s="6" t="s">
        <v>9714</v>
      </c>
      <c r="T203" s="16" t="n">
        <v>37375</v>
      </c>
      <c r="U203" s="6" t="s">
        <v>10468</v>
      </c>
      <c r="V203" s="6" t="s">
        <v>104</v>
      </c>
      <c r="W203" s="6" t="s">
        <v>104</v>
      </c>
      <c r="X203" s="6" t="s">
        <v>104</v>
      </c>
      <c r="Y203" s="21" t="s">
        <v>104</v>
      </c>
      <c r="Z203" s="6" t="s">
        <v>104</v>
      </c>
      <c r="AA203" s="6" t="s">
        <v>104</v>
      </c>
      <c r="AB203" s="6" t="s">
        <v>104</v>
      </c>
      <c r="AC203" s="6" t="s">
        <v>9714</v>
      </c>
      <c r="AD203" s="16" t="n">
        <v>37375</v>
      </c>
      <c r="AE203" s="6" t="s">
        <v>10702</v>
      </c>
      <c r="AF203" s="6" t="s">
        <v>104</v>
      </c>
      <c r="AG203" s="6" t="s">
        <v>104</v>
      </c>
      <c r="AH203" s="6" t="s">
        <v>104</v>
      </c>
      <c r="AI203" s="6" t="s">
        <v>104</v>
      </c>
      <c r="AJ203" s="6" t="s">
        <v>104</v>
      </c>
      <c r="AK203" s="6" t="s">
        <v>104</v>
      </c>
      <c r="AL203" s="6" t="s">
        <v>104</v>
      </c>
      <c r="AM203" s="6" t="s">
        <v>104</v>
      </c>
      <c r="AN203" s="6" t="s">
        <v>104</v>
      </c>
      <c r="AO203" s="6" t="s">
        <v>104</v>
      </c>
      <c r="AP203" s="6" t="s">
        <v>19005</v>
      </c>
      <c r="AQ203" s="6" t="s">
        <v>104</v>
      </c>
      <c r="AR203" s="6" t="s">
        <v>19605</v>
      </c>
      <c r="AS203" s="6" t="s">
        <v>16705</v>
      </c>
      <c r="AT203" s="6" t="s">
        <v>16931</v>
      </c>
      <c r="AU203" s="6" t="s">
        <v>19826</v>
      </c>
      <c r="AV203" s="6" t="s">
        <v>18506</v>
      </c>
      <c r="AW203" s="6" t="s">
        <v>20078</v>
      </c>
      <c r="AX203" s="6" t="s">
        <v>20274</v>
      </c>
      <c r="AY203" s="6" t="s">
        <v>22018</v>
      </c>
      <c r="AZ203" s="6" t="s">
        <v>23734</v>
      </c>
      <c r="BA203" s="6" t="s">
        <v>104</v>
      </c>
      <c r="BB203" s="24" t="n">
        <v>4597</v>
      </c>
      <c r="BC203" s="26"/>
      <c r="BD203" s="26"/>
      <c r="BE203" s="26" t="s">
        <v>24533</v>
      </c>
      <c r="BF203" s="26" t="s">
        <v>24533</v>
      </c>
      <c r="BG203" s="26"/>
      <c r="BH203" s="26"/>
      <c r="BI203" s="26"/>
      <c r="BJ203" s="26"/>
      <c r="BK203" s="26" t="s">
        <v>24533</v>
      </c>
      <c r="BL203" s="26"/>
      <c r="BM203" s="26"/>
      <c r="BN203" s="26"/>
      <c r="BO203" s="26"/>
      <c r="BP203" s="16" t="n">
        <v>45736</v>
      </c>
      <c r="BQ203" s="28" t="str">
        <f>HYPERLINK("https://organic.ams.usda.gov/Integrity/Certificate.aspx?cid=62&amp;nopid=8150000672")</f>
        <v>https://organic.ams.usda.gov/Integrity/Certificate.aspx?cid=62&amp;nopid=8150000672</v>
      </c>
    </row>
    <row r="204">
      <c r="A204" t="s">
        <v>3</v>
      </c>
      <c r="B204" s="6" t="s">
        <v>19</v>
      </c>
      <c r="C204" s="6" t="s">
        <v>85</v>
      </c>
      <c r="D204" s="6" t="s">
        <v>150</v>
      </c>
      <c r="E204" s="10" t="s">
        <v>402</v>
      </c>
      <c r="F204" s="6" t="s">
        <v>2660</v>
      </c>
      <c r="G204" s="6" t="s">
        <v>104</v>
      </c>
      <c r="H204" s="6" t="s">
        <v>5073</v>
      </c>
      <c r="I204" s="6" t="s">
        <v>7069</v>
      </c>
      <c r="J204" s="6" t="s">
        <v>8290</v>
      </c>
      <c r="K204" s="6" t="s">
        <v>9714</v>
      </c>
      <c r="L204" s="16" t="n">
        <v>45461</v>
      </c>
      <c r="M204" s="16" t="n">
        <v>45717</v>
      </c>
      <c r="N204" s="6" t="s">
        <v>104</v>
      </c>
      <c r="O204" s="21" t="s">
        <v>104</v>
      </c>
      <c r="P204" s="6" t="s">
        <v>104</v>
      </c>
      <c r="Q204" s="6" t="s">
        <v>104</v>
      </c>
      <c r="R204" s="6" t="s">
        <v>104</v>
      </c>
      <c r="S204" s="6" t="s">
        <v>104</v>
      </c>
      <c r="T204" s="21" t="s">
        <v>104</v>
      </c>
      <c r="U204" s="6" t="s">
        <v>104</v>
      </c>
      <c r="V204" s="6" t="s">
        <v>104</v>
      </c>
      <c r="W204" s="6" t="s">
        <v>104</v>
      </c>
      <c r="X204" s="6" t="s">
        <v>104</v>
      </c>
      <c r="Y204" s="21" t="s">
        <v>104</v>
      </c>
      <c r="Z204" s="6" t="s">
        <v>104</v>
      </c>
      <c r="AA204" s="6" t="s">
        <v>104</v>
      </c>
      <c r="AB204" s="6" t="s">
        <v>104</v>
      </c>
      <c r="AC204" s="6" t="s">
        <v>9714</v>
      </c>
      <c r="AD204" s="16" t="n">
        <v>45461</v>
      </c>
      <c r="AE204" s="6" t="s">
        <v>10703</v>
      </c>
      <c r="AF204" s="6" t="s">
        <v>104</v>
      </c>
      <c r="AG204" s="6" t="s">
        <v>104</v>
      </c>
      <c r="AH204" s="6" t="s">
        <v>13344</v>
      </c>
      <c r="AI204" s="6" t="s">
        <v>104</v>
      </c>
      <c r="AJ204" s="6" t="s">
        <v>15506</v>
      </c>
      <c r="AK204" s="6" t="s">
        <v>16686</v>
      </c>
      <c r="AL204" s="6" t="s">
        <v>16931</v>
      </c>
      <c r="AM204" s="6" t="s">
        <v>17124</v>
      </c>
      <c r="AN204" s="6" t="s">
        <v>104</v>
      </c>
      <c r="AO204" s="6" t="s">
        <v>104</v>
      </c>
      <c r="AP204" s="6" t="s">
        <v>13344</v>
      </c>
      <c r="AQ204" s="6" t="s">
        <v>104</v>
      </c>
      <c r="AR204" s="6" t="s">
        <v>15506</v>
      </c>
      <c r="AS204" s="6" t="s">
        <v>16686</v>
      </c>
      <c r="AT204" s="6" t="s">
        <v>16931</v>
      </c>
      <c r="AU204" s="6" t="s">
        <v>17124</v>
      </c>
      <c r="AV204" s="6" t="s">
        <v>104</v>
      </c>
      <c r="AW204" s="6" t="s">
        <v>104</v>
      </c>
      <c r="AX204" s="6" t="s">
        <v>20275</v>
      </c>
      <c r="AY204" s="6" t="s">
        <v>22019</v>
      </c>
      <c r="AZ204" s="6" t="s">
        <v>104</v>
      </c>
      <c r="BA204" s="6" t="s">
        <v>104</v>
      </c>
      <c r="BB204" s="6" t="s">
        <v>104</v>
      </c>
      <c r="BC204" s="26"/>
      <c r="BD204" s="26"/>
      <c r="BE204" s="26"/>
      <c r="BF204" s="26"/>
      <c r="BG204" s="26"/>
      <c r="BH204" s="26"/>
      <c r="BI204" s="26"/>
      <c r="BJ204" s="26"/>
      <c r="BK204" s="26"/>
      <c r="BL204" s="26"/>
      <c r="BM204" s="26"/>
      <c r="BN204" s="26"/>
      <c r="BO204" s="26"/>
      <c r="BP204" s="16" t="n">
        <v>45684</v>
      </c>
      <c r="BQ204" s="28" t="str">
        <f>HYPERLINK("https://organic.ams.usda.gov/Integrity/Certificate.aspx?cid=68&amp;nopid=8210009223")</f>
        <v>https://organic.ams.usda.gov/Integrity/Certificate.aspx?cid=68&amp;nopid=8210009223</v>
      </c>
    </row>
    <row r="205">
      <c r="A205" t="s">
        <v>3</v>
      </c>
      <c r="B205" s="6" t="s">
        <v>26</v>
      </c>
      <c r="C205" s="6" t="s">
        <v>92</v>
      </c>
      <c r="D205" s="6" t="s">
        <v>157</v>
      </c>
      <c r="E205" s="10" t="s">
        <v>403</v>
      </c>
      <c r="F205" s="6" t="s">
        <v>2661</v>
      </c>
      <c r="G205" s="6" t="s">
        <v>104</v>
      </c>
      <c r="H205" s="6" t="s">
        <v>5074</v>
      </c>
      <c r="I205" s="6" t="s">
        <v>7070</v>
      </c>
      <c r="J205" s="6" t="s">
        <v>8291</v>
      </c>
      <c r="K205" s="6" t="s">
        <v>9714</v>
      </c>
      <c r="L205" s="16" t="n">
        <v>40885</v>
      </c>
      <c r="M205" s="16" t="n">
        <v>45823</v>
      </c>
      <c r="N205" s="6" t="s">
        <v>104</v>
      </c>
      <c r="O205" s="21" t="s">
        <v>104</v>
      </c>
      <c r="P205" s="6" t="s">
        <v>104</v>
      </c>
      <c r="Q205" s="6" t="s">
        <v>104</v>
      </c>
      <c r="R205" s="6" t="s">
        <v>104</v>
      </c>
      <c r="S205" s="6" t="s">
        <v>104</v>
      </c>
      <c r="T205" s="21" t="s">
        <v>104</v>
      </c>
      <c r="U205" s="6" t="s">
        <v>104</v>
      </c>
      <c r="V205" s="6" t="s">
        <v>104</v>
      </c>
      <c r="W205" s="6" t="s">
        <v>104</v>
      </c>
      <c r="X205" s="6" t="s">
        <v>104</v>
      </c>
      <c r="Y205" s="21" t="s">
        <v>104</v>
      </c>
      <c r="Z205" s="6" t="s">
        <v>104</v>
      </c>
      <c r="AA205" s="6" t="s">
        <v>104</v>
      </c>
      <c r="AB205" s="6" t="s">
        <v>104</v>
      </c>
      <c r="AC205" s="6" t="s">
        <v>9714</v>
      </c>
      <c r="AD205" s="16" t="n">
        <v>40885</v>
      </c>
      <c r="AE205" s="6" t="s">
        <v>10704</v>
      </c>
      <c r="AF205" s="6" t="s">
        <v>104</v>
      </c>
      <c r="AG205" s="6" t="s">
        <v>104</v>
      </c>
      <c r="AH205" s="6" t="s">
        <v>13345</v>
      </c>
      <c r="AI205" s="6" t="s">
        <v>104</v>
      </c>
      <c r="AJ205" s="6" t="s">
        <v>15507</v>
      </c>
      <c r="AK205" s="6" t="s">
        <v>16692</v>
      </c>
      <c r="AL205" s="6" t="s">
        <v>16931</v>
      </c>
      <c r="AM205" s="6" t="s">
        <v>17125</v>
      </c>
      <c r="AN205" s="6" t="s">
        <v>5640</v>
      </c>
      <c r="AO205" s="6" t="s">
        <v>18602</v>
      </c>
      <c r="AP205" s="6" t="s">
        <v>104</v>
      </c>
      <c r="AQ205" s="6" t="s">
        <v>104</v>
      </c>
      <c r="AR205" s="6" t="s">
        <v>104</v>
      </c>
      <c r="AS205" s="6" t="s">
        <v>104</v>
      </c>
      <c r="AT205" s="6" t="s">
        <v>104</v>
      </c>
      <c r="AU205" s="6" t="s">
        <v>104</v>
      </c>
      <c r="AV205" s="6" t="s">
        <v>104</v>
      </c>
      <c r="AW205" s="6" t="s">
        <v>104</v>
      </c>
      <c r="AX205" s="6" t="s">
        <v>20276</v>
      </c>
      <c r="AY205" s="6" t="s">
        <v>104</v>
      </c>
      <c r="AZ205" s="6" t="s">
        <v>23735</v>
      </c>
      <c r="BA205" s="6" t="s">
        <v>104</v>
      </c>
      <c r="BB205" s="24" t="n">
        <v>0</v>
      </c>
      <c r="BC205" s="26"/>
      <c r="BD205" s="26"/>
      <c r="BE205" s="26"/>
      <c r="BF205" s="26"/>
      <c r="BG205" s="26"/>
      <c r="BH205" s="26"/>
      <c r="BI205" s="26"/>
      <c r="BJ205" s="26"/>
      <c r="BK205" s="26"/>
      <c r="BL205" s="26"/>
      <c r="BM205" s="26"/>
      <c r="BN205" s="26"/>
      <c r="BO205" s="26"/>
      <c r="BP205" s="16" t="n">
        <v>45701</v>
      </c>
      <c r="BQ205" s="28" t="str">
        <f>HYPERLINK("https://organic.ams.usda.gov/Integrity/Certificate.aspx?cid=81&amp;nopid=4210011043")</f>
        <v>https://organic.ams.usda.gov/Integrity/Certificate.aspx?cid=81&amp;nopid=4210011043</v>
      </c>
    </row>
    <row r="206">
      <c r="A206" t="s">
        <v>3</v>
      </c>
      <c r="B206" s="6" t="s">
        <v>27</v>
      </c>
      <c r="C206" s="6" t="s">
        <v>93</v>
      </c>
      <c r="D206" s="6" t="s">
        <v>158</v>
      </c>
      <c r="E206" s="10" t="s">
        <v>404</v>
      </c>
      <c r="F206" s="6" t="s">
        <v>2662</v>
      </c>
      <c r="G206" s="6" t="s">
        <v>104</v>
      </c>
      <c r="H206" s="6" t="s">
        <v>5075</v>
      </c>
      <c r="I206" s="6" t="s">
        <v>6942</v>
      </c>
      <c r="J206" s="6" t="s">
        <v>8154</v>
      </c>
      <c r="K206" s="6" t="s">
        <v>9714</v>
      </c>
      <c r="L206" s="16" t="n">
        <v>45200</v>
      </c>
      <c r="M206" s="16" t="n">
        <v>45260</v>
      </c>
      <c r="N206" s="6" t="s">
        <v>9714</v>
      </c>
      <c r="O206" s="16" t="n">
        <v>45200</v>
      </c>
      <c r="P206" s="6" t="s">
        <v>9789</v>
      </c>
      <c r="Q206" s="6" t="s">
        <v>104</v>
      </c>
      <c r="R206" s="6" t="s">
        <v>10313</v>
      </c>
      <c r="S206" s="6" t="s">
        <v>104</v>
      </c>
      <c r="T206" s="21" t="s">
        <v>104</v>
      </c>
      <c r="U206" s="6" t="s">
        <v>104</v>
      </c>
      <c r="V206" s="6" t="s">
        <v>104</v>
      </c>
      <c r="W206" s="6" t="s">
        <v>104</v>
      </c>
      <c r="X206" s="6" t="s">
        <v>104</v>
      </c>
      <c r="Y206" s="21" t="s">
        <v>104</v>
      </c>
      <c r="Z206" s="6" t="s">
        <v>104</v>
      </c>
      <c r="AA206" s="6" t="s">
        <v>104</v>
      </c>
      <c r="AB206" s="6" t="s">
        <v>104</v>
      </c>
      <c r="AC206" s="6" t="s">
        <v>104</v>
      </c>
      <c r="AD206" s="21" t="s">
        <v>104</v>
      </c>
      <c r="AE206" s="6" t="s">
        <v>104</v>
      </c>
      <c r="AF206" s="6" t="s">
        <v>104</v>
      </c>
      <c r="AG206" s="6" t="s">
        <v>104</v>
      </c>
      <c r="AH206" s="6" t="s">
        <v>104</v>
      </c>
      <c r="AI206" s="6" t="s">
        <v>104</v>
      </c>
      <c r="AJ206" s="6" t="s">
        <v>104</v>
      </c>
      <c r="AK206" s="6" t="s">
        <v>104</v>
      </c>
      <c r="AL206" s="6" t="s">
        <v>104</v>
      </c>
      <c r="AM206" s="6" t="s">
        <v>104</v>
      </c>
      <c r="AN206" s="6" t="s">
        <v>104</v>
      </c>
      <c r="AO206" s="6" t="s">
        <v>104</v>
      </c>
      <c r="AP206" s="6" t="s">
        <v>19006</v>
      </c>
      <c r="AQ206" s="6" t="s">
        <v>104</v>
      </c>
      <c r="AR206" s="6" t="s">
        <v>16161</v>
      </c>
      <c r="AS206" s="6" t="s">
        <v>16270</v>
      </c>
      <c r="AT206" s="6" t="s">
        <v>16932</v>
      </c>
      <c r="AU206" s="6" t="s">
        <v>17733</v>
      </c>
      <c r="AV206" s="6" t="s">
        <v>104</v>
      </c>
      <c r="AW206" s="6" t="s">
        <v>104</v>
      </c>
      <c r="AX206" s="6" t="s">
        <v>104</v>
      </c>
      <c r="AY206" s="6" t="s">
        <v>104</v>
      </c>
      <c r="AZ206" s="6" t="s">
        <v>104</v>
      </c>
      <c r="BA206" s="6" t="s">
        <v>104</v>
      </c>
      <c r="BB206" s="24" t="n">
        <v>7137</v>
      </c>
      <c r="BC206" s="26"/>
      <c r="BD206" s="26"/>
      <c r="BE206" s="26"/>
      <c r="BF206" s="26"/>
      <c r="BG206" s="26"/>
      <c r="BH206" s="26"/>
      <c r="BI206" s="26"/>
      <c r="BJ206" s="26"/>
      <c r="BK206" s="26"/>
      <c r="BL206" s="26"/>
      <c r="BM206" s="26"/>
      <c r="BN206" s="26"/>
      <c r="BO206" s="26" t="s">
        <v>24533</v>
      </c>
      <c r="BP206" s="16" t="n">
        <v>45463</v>
      </c>
      <c r="BQ206" s="28" t="str">
        <f>HYPERLINK("https://organic.ams.usda.gov/Integrity/Certificate.aspx?cid=93&amp;nopid=6362932434")</f>
        <v>https://organic.ams.usda.gov/Integrity/Certificate.aspx?cid=93&amp;nopid=6362932434</v>
      </c>
    </row>
    <row r="207">
      <c r="A207" t="s">
        <v>3</v>
      </c>
      <c r="B207" s="6" t="s">
        <v>27</v>
      </c>
      <c r="C207" s="6" t="s">
        <v>93</v>
      </c>
      <c r="D207" s="6" t="s">
        <v>158</v>
      </c>
      <c r="E207" s="10" t="s">
        <v>405</v>
      </c>
      <c r="F207" s="6" t="s">
        <v>2663</v>
      </c>
      <c r="G207" s="6" t="s">
        <v>104</v>
      </c>
      <c r="H207" s="6" t="s">
        <v>5076</v>
      </c>
      <c r="I207" s="6" t="s">
        <v>6942</v>
      </c>
      <c r="J207" s="6" t="s">
        <v>8154</v>
      </c>
      <c r="K207" s="6" t="s">
        <v>9714</v>
      </c>
      <c r="L207" s="16" t="n">
        <v>45191</v>
      </c>
      <c r="M207" s="16" t="n">
        <v>45260</v>
      </c>
      <c r="N207" s="6" t="s">
        <v>9714</v>
      </c>
      <c r="O207" s="16" t="n">
        <v>45191</v>
      </c>
      <c r="P207" s="6" t="s">
        <v>9790</v>
      </c>
      <c r="Q207" s="6" t="s">
        <v>104</v>
      </c>
      <c r="R207" s="6" t="s">
        <v>10314</v>
      </c>
      <c r="S207" s="6" t="s">
        <v>104</v>
      </c>
      <c r="T207" s="21" t="s">
        <v>104</v>
      </c>
      <c r="U207" s="6" t="s">
        <v>104</v>
      </c>
      <c r="V207" s="6" t="s">
        <v>104</v>
      </c>
      <c r="W207" s="6" t="s">
        <v>104</v>
      </c>
      <c r="X207" s="6" t="s">
        <v>104</v>
      </c>
      <c r="Y207" s="21" t="s">
        <v>104</v>
      </c>
      <c r="Z207" s="6" t="s">
        <v>104</v>
      </c>
      <c r="AA207" s="6" t="s">
        <v>104</v>
      </c>
      <c r="AB207" s="6" t="s">
        <v>104</v>
      </c>
      <c r="AC207" s="6" t="s">
        <v>104</v>
      </c>
      <c r="AD207" s="21" t="s">
        <v>104</v>
      </c>
      <c r="AE207" s="6" t="s">
        <v>104</v>
      </c>
      <c r="AF207" s="6" t="s">
        <v>104</v>
      </c>
      <c r="AG207" s="6" t="s">
        <v>104</v>
      </c>
      <c r="AH207" s="6" t="s">
        <v>104</v>
      </c>
      <c r="AI207" s="6" t="s">
        <v>104</v>
      </c>
      <c r="AJ207" s="6" t="s">
        <v>104</v>
      </c>
      <c r="AK207" s="6" t="s">
        <v>104</v>
      </c>
      <c r="AL207" s="6" t="s">
        <v>104</v>
      </c>
      <c r="AM207" s="6" t="s">
        <v>104</v>
      </c>
      <c r="AN207" s="6" t="s">
        <v>104</v>
      </c>
      <c r="AO207" s="6" t="s">
        <v>104</v>
      </c>
      <c r="AP207" s="6" t="s">
        <v>19006</v>
      </c>
      <c r="AQ207" s="6" t="s">
        <v>104</v>
      </c>
      <c r="AR207" s="6" t="s">
        <v>16161</v>
      </c>
      <c r="AS207" s="6" t="s">
        <v>16270</v>
      </c>
      <c r="AT207" s="6" t="s">
        <v>16932</v>
      </c>
      <c r="AU207" s="6" t="s">
        <v>17733</v>
      </c>
      <c r="AV207" s="6" t="s">
        <v>104</v>
      </c>
      <c r="AW207" s="6" t="s">
        <v>104</v>
      </c>
      <c r="AX207" s="6" t="s">
        <v>104</v>
      </c>
      <c r="AY207" s="6" t="s">
        <v>104</v>
      </c>
      <c r="AZ207" s="6" t="s">
        <v>104</v>
      </c>
      <c r="BA207" s="6" t="s">
        <v>104</v>
      </c>
      <c r="BB207" s="24" t="n">
        <v>5561</v>
      </c>
      <c r="BC207" s="26"/>
      <c r="BD207" s="26"/>
      <c r="BE207" s="26"/>
      <c r="BF207" s="26"/>
      <c r="BG207" s="26"/>
      <c r="BH207" s="26"/>
      <c r="BI207" s="26"/>
      <c r="BJ207" s="26"/>
      <c r="BK207" s="26"/>
      <c r="BL207" s="26"/>
      <c r="BM207" s="26"/>
      <c r="BN207" s="26"/>
      <c r="BO207" s="26" t="s">
        <v>24533</v>
      </c>
      <c r="BP207" s="16" t="n">
        <v>45463</v>
      </c>
      <c r="BQ207" s="28" t="str">
        <f>HYPERLINK("https://organic.ams.usda.gov/Integrity/Certificate.aspx?cid=93&amp;nopid=6364987904")</f>
        <v>https://organic.ams.usda.gov/Integrity/Certificate.aspx?cid=93&amp;nopid=6364987904</v>
      </c>
    </row>
    <row r="208">
      <c r="A208" t="s">
        <v>3</v>
      </c>
      <c r="B208" s="6" t="s">
        <v>27</v>
      </c>
      <c r="C208" s="6" t="s">
        <v>93</v>
      </c>
      <c r="D208" s="6" t="s">
        <v>158</v>
      </c>
      <c r="E208" s="10" t="s">
        <v>406</v>
      </c>
      <c r="F208" s="6" t="s">
        <v>2664</v>
      </c>
      <c r="G208" s="6" t="s">
        <v>104</v>
      </c>
      <c r="H208" s="6" t="s">
        <v>5077</v>
      </c>
      <c r="I208" s="6" t="s">
        <v>6942</v>
      </c>
      <c r="J208" s="6" t="s">
        <v>8154</v>
      </c>
      <c r="K208" s="6" t="s">
        <v>9714</v>
      </c>
      <c r="L208" s="16" t="n">
        <v>45133</v>
      </c>
      <c r="M208" s="16" t="n">
        <v>45291</v>
      </c>
      <c r="N208" s="6" t="s">
        <v>9714</v>
      </c>
      <c r="O208" s="16" t="n">
        <v>45133</v>
      </c>
      <c r="P208" s="6" t="s">
        <v>9791</v>
      </c>
      <c r="Q208" s="6" t="s">
        <v>104</v>
      </c>
      <c r="R208" s="6" t="s">
        <v>10315</v>
      </c>
      <c r="S208" s="6" t="s">
        <v>104</v>
      </c>
      <c r="T208" s="21" t="s">
        <v>104</v>
      </c>
      <c r="U208" s="6" t="s">
        <v>104</v>
      </c>
      <c r="V208" s="6" t="s">
        <v>104</v>
      </c>
      <c r="W208" s="6" t="s">
        <v>104</v>
      </c>
      <c r="X208" s="6" t="s">
        <v>104</v>
      </c>
      <c r="Y208" s="21" t="s">
        <v>104</v>
      </c>
      <c r="Z208" s="6" t="s">
        <v>104</v>
      </c>
      <c r="AA208" s="6" t="s">
        <v>104</v>
      </c>
      <c r="AB208" s="6" t="s">
        <v>104</v>
      </c>
      <c r="AC208" s="6" t="s">
        <v>104</v>
      </c>
      <c r="AD208" s="21" t="s">
        <v>104</v>
      </c>
      <c r="AE208" s="6" t="s">
        <v>104</v>
      </c>
      <c r="AF208" s="6" t="s">
        <v>104</v>
      </c>
      <c r="AG208" s="6" t="s">
        <v>104</v>
      </c>
      <c r="AH208" s="6" t="s">
        <v>13346</v>
      </c>
      <c r="AI208" s="6" t="s">
        <v>104</v>
      </c>
      <c r="AJ208" s="6" t="s">
        <v>15239</v>
      </c>
      <c r="AK208" s="6" t="s">
        <v>16270</v>
      </c>
      <c r="AL208" s="6" t="s">
        <v>16932</v>
      </c>
      <c r="AM208" s="6" t="s">
        <v>104</v>
      </c>
      <c r="AN208" s="6" t="s">
        <v>104</v>
      </c>
      <c r="AO208" s="6" t="s">
        <v>104</v>
      </c>
      <c r="AP208" s="6" t="s">
        <v>19006</v>
      </c>
      <c r="AQ208" s="6" t="s">
        <v>104</v>
      </c>
      <c r="AR208" s="6" t="s">
        <v>16161</v>
      </c>
      <c r="AS208" s="6" t="s">
        <v>16270</v>
      </c>
      <c r="AT208" s="6" t="s">
        <v>16932</v>
      </c>
      <c r="AU208" s="6" t="s">
        <v>17733</v>
      </c>
      <c r="AV208" s="6" t="s">
        <v>104</v>
      </c>
      <c r="AW208" s="6" t="s">
        <v>104</v>
      </c>
      <c r="AX208" s="6" t="s">
        <v>104</v>
      </c>
      <c r="AY208" s="6" t="s">
        <v>104</v>
      </c>
      <c r="AZ208" s="6" t="s">
        <v>104</v>
      </c>
      <c r="BA208" s="6" t="s">
        <v>104</v>
      </c>
      <c r="BB208" s="24" t="n">
        <v>7320</v>
      </c>
      <c r="BC208" s="26"/>
      <c r="BD208" s="26"/>
      <c r="BE208" s="26"/>
      <c r="BF208" s="26"/>
      <c r="BG208" s="26"/>
      <c r="BH208" s="26"/>
      <c r="BI208" s="26"/>
      <c r="BJ208" s="26"/>
      <c r="BK208" s="26"/>
      <c r="BL208" s="26"/>
      <c r="BM208" s="26"/>
      <c r="BN208" s="26"/>
      <c r="BO208" s="26" t="s">
        <v>24533</v>
      </c>
      <c r="BP208" s="16" t="n">
        <v>45463</v>
      </c>
      <c r="BQ208" s="28" t="str">
        <f>HYPERLINK("https://organic.ams.usda.gov/Integrity/Certificate.aspx?cid=93&amp;nopid=6364494281")</f>
        <v>https://organic.ams.usda.gov/Integrity/Certificate.aspx?cid=93&amp;nopid=6364494281</v>
      </c>
    </row>
    <row r="209">
      <c r="A209" t="s">
        <v>3</v>
      </c>
      <c r="B209" s="6" t="s">
        <v>47</v>
      </c>
      <c r="C209" s="6" t="s">
        <v>113</v>
      </c>
      <c r="D209" s="6" t="s">
        <v>177</v>
      </c>
      <c r="E209" s="10" t="s">
        <v>407</v>
      </c>
      <c r="F209" s="6" t="s">
        <v>2665</v>
      </c>
      <c r="G209" s="6" t="s">
        <v>104</v>
      </c>
      <c r="H209" s="6" t="s">
        <v>5078</v>
      </c>
      <c r="I209" s="6" t="s">
        <v>7071</v>
      </c>
      <c r="J209" s="6" t="s">
        <v>8292</v>
      </c>
      <c r="K209" s="6" t="s">
        <v>9714</v>
      </c>
      <c r="L209" s="16" t="n">
        <v>42593</v>
      </c>
      <c r="M209" s="16" t="n">
        <v>45762</v>
      </c>
      <c r="N209" s="6" t="s">
        <v>9714</v>
      </c>
      <c r="O209" s="16" t="n">
        <v>42593</v>
      </c>
      <c r="P209" s="6" t="s">
        <v>9792</v>
      </c>
      <c r="Q209" s="6" t="s">
        <v>104</v>
      </c>
      <c r="R209" s="6" t="s">
        <v>10316</v>
      </c>
      <c r="S209" s="6" t="s">
        <v>104</v>
      </c>
      <c r="T209" s="21" t="s">
        <v>104</v>
      </c>
      <c r="U209" s="6" t="s">
        <v>104</v>
      </c>
      <c r="V209" s="6" t="s">
        <v>104</v>
      </c>
      <c r="W209" s="6" t="s">
        <v>104</v>
      </c>
      <c r="X209" s="6" t="s">
        <v>104</v>
      </c>
      <c r="Y209" s="21" t="s">
        <v>104</v>
      </c>
      <c r="Z209" s="6" t="s">
        <v>104</v>
      </c>
      <c r="AA209" s="6" t="s">
        <v>104</v>
      </c>
      <c r="AB209" s="6" t="s">
        <v>104</v>
      </c>
      <c r="AC209" s="6" t="s">
        <v>104</v>
      </c>
      <c r="AD209" s="21" t="s">
        <v>104</v>
      </c>
      <c r="AE209" s="6" t="s">
        <v>104</v>
      </c>
      <c r="AF209" s="6" t="s">
        <v>104</v>
      </c>
      <c r="AG209" s="6" t="s">
        <v>104</v>
      </c>
      <c r="AH209" s="6" t="s">
        <v>13347</v>
      </c>
      <c r="AI209" s="6" t="s">
        <v>104</v>
      </c>
      <c r="AJ209" s="6" t="s">
        <v>15508</v>
      </c>
      <c r="AK209" s="6" t="s">
        <v>16734</v>
      </c>
      <c r="AL209" s="6" t="s">
        <v>16931</v>
      </c>
      <c r="AM209" s="6" t="s">
        <v>17126</v>
      </c>
      <c r="AN209" s="6" t="s">
        <v>18468</v>
      </c>
      <c r="AO209" s="6" t="s">
        <v>18603</v>
      </c>
      <c r="AP209" s="6" t="s">
        <v>13347</v>
      </c>
      <c r="AQ209" s="6" t="s">
        <v>104</v>
      </c>
      <c r="AR209" s="6" t="s">
        <v>15508</v>
      </c>
      <c r="AS209" s="6" t="s">
        <v>16734</v>
      </c>
      <c r="AT209" s="6" t="s">
        <v>16931</v>
      </c>
      <c r="AU209" s="6" t="s">
        <v>17126</v>
      </c>
      <c r="AV209" s="6" t="s">
        <v>104</v>
      </c>
      <c r="AW209" s="6" t="s">
        <v>104</v>
      </c>
      <c r="AX209" s="6" t="s">
        <v>20277</v>
      </c>
      <c r="AY209" s="6" t="s">
        <v>22020</v>
      </c>
      <c r="AZ209" s="6" t="s">
        <v>23736</v>
      </c>
      <c r="BA209" s="6" t="s">
        <v>104</v>
      </c>
      <c r="BB209" s="24" t="n">
        <v>16</v>
      </c>
      <c r="BC209" s="26"/>
      <c r="BD209" s="26"/>
      <c r="BE209" s="26"/>
      <c r="BF209" s="26"/>
      <c r="BG209" s="26"/>
      <c r="BH209" s="26"/>
      <c r="BI209" s="26"/>
      <c r="BJ209" s="26"/>
      <c r="BK209" s="26"/>
      <c r="BL209" s="26"/>
      <c r="BM209" s="26"/>
      <c r="BN209" s="26"/>
      <c r="BO209" s="26"/>
      <c r="BP209" s="16" t="n">
        <v>45694</v>
      </c>
      <c r="BQ209" s="28" t="str">
        <f>HYPERLINK("https://organic.ams.usda.gov/Integrity/Certificate.aspx?cid=47&amp;nopid=7142074913")</f>
        <v>https://organic.ams.usda.gov/Integrity/Certificate.aspx?cid=47&amp;nopid=7142074913</v>
      </c>
    </row>
    <row r="210">
      <c r="A210" t="s">
        <v>3</v>
      </c>
      <c r="B210" s="6" t="s">
        <v>18</v>
      </c>
      <c r="C210" s="6" t="s">
        <v>84</v>
      </c>
      <c r="D210" s="6" t="s">
        <v>149</v>
      </c>
      <c r="E210" s="10" t="s">
        <v>408</v>
      </c>
      <c r="F210" s="6" t="s">
        <v>2666</v>
      </c>
      <c r="G210" s="6" t="s">
        <v>104</v>
      </c>
      <c r="H210" s="6" t="s">
        <v>5079</v>
      </c>
      <c r="I210" s="6" t="s">
        <v>7072</v>
      </c>
      <c r="J210" s="6" t="s">
        <v>8293</v>
      </c>
      <c r="K210" s="6" t="s">
        <v>9714</v>
      </c>
      <c r="L210" s="16" t="n">
        <v>41141</v>
      </c>
      <c r="M210" s="16" t="n">
        <v>45505</v>
      </c>
      <c r="N210" s="6" t="s">
        <v>9714</v>
      </c>
      <c r="O210" s="16" t="n">
        <v>41141</v>
      </c>
      <c r="P210" s="6" t="s">
        <v>9793</v>
      </c>
      <c r="Q210" s="6" t="s">
        <v>104</v>
      </c>
      <c r="R210" s="6" t="s">
        <v>10317</v>
      </c>
      <c r="S210" s="6" t="s">
        <v>9714</v>
      </c>
      <c r="T210" s="16" t="n">
        <v>41141</v>
      </c>
      <c r="U210" s="6" t="s">
        <v>10469</v>
      </c>
      <c r="V210" s="6" t="s">
        <v>104</v>
      </c>
      <c r="W210" s="6" t="s">
        <v>10317</v>
      </c>
      <c r="X210" s="6" t="s">
        <v>104</v>
      </c>
      <c r="Y210" s="21" t="s">
        <v>104</v>
      </c>
      <c r="Z210" s="6" t="s">
        <v>104</v>
      </c>
      <c r="AA210" s="6" t="s">
        <v>104</v>
      </c>
      <c r="AB210" s="6" t="s">
        <v>104</v>
      </c>
      <c r="AC210" s="6" t="s">
        <v>9714</v>
      </c>
      <c r="AD210" s="16" t="n">
        <v>43450</v>
      </c>
      <c r="AE210" s="6" t="s">
        <v>10705</v>
      </c>
      <c r="AF210" s="6" t="s">
        <v>104</v>
      </c>
      <c r="AG210" s="6" t="s">
        <v>12533</v>
      </c>
      <c r="AH210" s="6" t="s">
        <v>13348</v>
      </c>
      <c r="AI210" s="6" t="s">
        <v>104</v>
      </c>
      <c r="AJ210" s="6" t="s">
        <v>15509</v>
      </c>
      <c r="AK210" s="6" t="s">
        <v>16738</v>
      </c>
      <c r="AL210" s="6" t="s">
        <v>16931</v>
      </c>
      <c r="AM210" s="6" t="s">
        <v>17127</v>
      </c>
      <c r="AN210" s="6" t="s">
        <v>18487</v>
      </c>
      <c r="AO210" s="6" t="s">
        <v>18565</v>
      </c>
      <c r="AP210" s="6" t="s">
        <v>104</v>
      </c>
      <c r="AQ210" s="6" t="s">
        <v>104</v>
      </c>
      <c r="AR210" s="6" t="s">
        <v>104</v>
      </c>
      <c r="AS210" s="6" t="s">
        <v>104</v>
      </c>
      <c r="AT210" s="6" t="s">
        <v>104</v>
      </c>
      <c r="AU210" s="6" t="s">
        <v>104</v>
      </c>
      <c r="AV210" s="6" t="s">
        <v>104</v>
      </c>
      <c r="AW210" s="6" t="s">
        <v>104</v>
      </c>
      <c r="AX210" s="6" t="s">
        <v>20278</v>
      </c>
      <c r="AY210" s="6" t="s">
        <v>22021</v>
      </c>
      <c r="AZ210" s="6" t="s">
        <v>104</v>
      </c>
      <c r="BA210" s="6" t="s">
        <v>104</v>
      </c>
      <c r="BB210" s="24" t="n">
        <v>1650</v>
      </c>
      <c r="BC210" s="26"/>
      <c r="BD210" s="26"/>
      <c r="BE210" s="26" t="s">
        <v>24533</v>
      </c>
      <c r="BF210" s="26" t="s">
        <v>24533</v>
      </c>
      <c r="BG210" s="26"/>
      <c r="BH210" s="26"/>
      <c r="BI210" s="26"/>
      <c r="BJ210" s="26"/>
      <c r="BK210" s="26"/>
      <c r="BL210" s="26"/>
      <c r="BM210" s="26"/>
      <c r="BN210" s="26" t="s">
        <v>24533</v>
      </c>
      <c r="BO210" s="26"/>
      <c r="BP210" s="16" t="n">
        <v>45737</v>
      </c>
      <c r="BQ210" s="28" t="str">
        <f>HYPERLINK("https://organic.ams.usda.gov/Integrity/Certificate.aspx?cid=31&amp;nopid=3928971193")</f>
        <v>https://organic.ams.usda.gov/Integrity/Certificate.aspx?cid=31&amp;nopid=3928971193</v>
      </c>
    </row>
    <row r="211">
      <c r="A211" t="s">
        <v>3</v>
      </c>
      <c r="B211" s="6" t="s">
        <v>6</v>
      </c>
      <c r="C211" s="6" t="s">
        <v>72</v>
      </c>
      <c r="D211" s="6" t="s">
        <v>137</v>
      </c>
      <c r="E211" s="10" t="s">
        <v>409</v>
      </c>
      <c r="F211" s="6" t="s">
        <v>2667</v>
      </c>
      <c r="G211" s="6" t="s">
        <v>104</v>
      </c>
      <c r="H211" s="6" t="s">
        <v>5080</v>
      </c>
      <c r="I211" s="6" t="s">
        <v>7073</v>
      </c>
      <c r="J211" s="6" t="s">
        <v>104</v>
      </c>
      <c r="K211" s="6" t="s">
        <v>9714</v>
      </c>
      <c r="L211" s="16" t="n">
        <v>44393</v>
      </c>
      <c r="M211" s="16" t="n">
        <v>45983</v>
      </c>
      <c r="N211" s="6" t="s">
        <v>104</v>
      </c>
      <c r="O211" s="21" t="s">
        <v>104</v>
      </c>
      <c r="P211" s="6" t="s">
        <v>104</v>
      </c>
      <c r="Q211" s="6" t="s">
        <v>104</v>
      </c>
      <c r="R211" s="6" t="s">
        <v>104</v>
      </c>
      <c r="S211" s="6" t="s">
        <v>104</v>
      </c>
      <c r="T211" s="21" t="s">
        <v>104</v>
      </c>
      <c r="U211" s="6" t="s">
        <v>104</v>
      </c>
      <c r="V211" s="6" t="s">
        <v>104</v>
      </c>
      <c r="W211" s="6" t="s">
        <v>104</v>
      </c>
      <c r="X211" s="6" t="s">
        <v>104</v>
      </c>
      <c r="Y211" s="21" t="s">
        <v>104</v>
      </c>
      <c r="Z211" s="6" t="s">
        <v>104</v>
      </c>
      <c r="AA211" s="6" t="s">
        <v>104</v>
      </c>
      <c r="AB211" s="6" t="s">
        <v>104</v>
      </c>
      <c r="AC211" s="6" t="s">
        <v>9714</v>
      </c>
      <c r="AD211" s="16" t="n">
        <v>44393</v>
      </c>
      <c r="AE211" s="6" t="s">
        <v>10706</v>
      </c>
      <c r="AF211" s="6" t="s">
        <v>104</v>
      </c>
      <c r="AG211" s="6" t="s">
        <v>12534</v>
      </c>
      <c r="AH211" s="6" t="s">
        <v>13349</v>
      </c>
      <c r="AI211" s="6" t="s">
        <v>104</v>
      </c>
      <c r="AJ211" s="6" t="s">
        <v>15510</v>
      </c>
      <c r="AK211" s="6" t="s">
        <v>16739</v>
      </c>
      <c r="AL211" s="6" t="s">
        <v>16766</v>
      </c>
      <c r="AM211" s="6" t="s">
        <v>104</v>
      </c>
      <c r="AN211" s="6" t="s">
        <v>104</v>
      </c>
      <c r="AO211" s="6" t="s">
        <v>104</v>
      </c>
      <c r="AP211" s="6" t="s">
        <v>104</v>
      </c>
      <c r="AQ211" s="6" t="s">
        <v>104</v>
      </c>
      <c r="AR211" s="6" t="s">
        <v>104</v>
      </c>
      <c r="AS211" s="6" t="s">
        <v>104</v>
      </c>
      <c r="AT211" s="6" t="s">
        <v>104</v>
      </c>
      <c r="AU211" s="6" t="s">
        <v>104</v>
      </c>
      <c r="AV211" s="6" t="s">
        <v>104</v>
      </c>
      <c r="AW211" s="6" t="s">
        <v>104</v>
      </c>
      <c r="AX211" s="6" t="s">
        <v>20279</v>
      </c>
      <c r="AY211" s="6" t="s">
        <v>22022</v>
      </c>
      <c r="AZ211" s="6" t="s">
        <v>104</v>
      </c>
      <c r="BA211" s="6" t="s">
        <v>24290</v>
      </c>
      <c r="BB211" s="6" t="s">
        <v>104</v>
      </c>
      <c r="BC211" s="26"/>
      <c r="BD211" s="26"/>
      <c r="BE211" s="26"/>
      <c r="BF211" s="26"/>
      <c r="BG211" s="26"/>
      <c r="BH211" s="26"/>
      <c r="BI211" s="26"/>
      <c r="BJ211" s="26"/>
      <c r="BK211" s="26"/>
      <c r="BL211" s="26"/>
      <c r="BM211" s="26"/>
      <c r="BN211" s="26"/>
      <c r="BO211" s="26"/>
      <c r="BP211" s="16" t="n">
        <v>45737</v>
      </c>
      <c r="BQ211" s="28" t="str">
        <f>HYPERLINK("https://organic.ams.usda.gov/Integrity/Certificate.aspx?cid=32&amp;nopid=2230008046")</f>
        <v>https://organic.ams.usda.gov/Integrity/Certificate.aspx?cid=32&amp;nopid=2230008046</v>
      </c>
    </row>
    <row r="212">
      <c r="A212" t="s">
        <v>3</v>
      </c>
      <c r="B212" s="6" t="s">
        <v>6</v>
      </c>
      <c r="C212" s="6" t="s">
        <v>72</v>
      </c>
      <c r="D212" s="6" t="s">
        <v>137</v>
      </c>
      <c r="E212" s="10" t="s">
        <v>410</v>
      </c>
      <c r="F212" s="6" t="s">
        <v>2668</v>
      </c>
      <c r="G212" s="6" t="s">
        <v>104</v>
      </c>
      <c r="H212" s="6" t="s">
        <v>5081</v>
      </c>
      <c r="I212" s="6" t="s">
        <v>7074</v>
      </c>
      <c r="J212" s="6" t="s">
        <v>7094</v>
      </c>
      <c r="K212" s="6" t="s">
        <v>9714</v>
      </c>
      <c r="L212" s="16" t="n">
        <v>44119</v>
      </c>
      <c r="M212" s="16" t="n">
        <v>45957</v>
      </c>
      <c r="N212" s="6" t="s">
        <v>104</v>
      </c>
      <c r="O212" s="21" t="s">
        <v>104</v>
      </c>
      <c r="P212" s="6" t="s">
        <v>104</v>
      </c>
      <c r="Q212" s="6" t="s">
        <v>104</v>
      </c>
      <c r="R212" s="6" t="s">
        <v>104</v>
      </c>
      <c r="S212" s="6" t="s">
        <v>104</v>
      </c>
      <c r="T212" s="21" t="s">
        <v>104</v>
      </c>
      <c r="U212" s="6" t="s">
        <v>104</v>
      </c>
      <c r="V212" s="6" t="s">
        <v>104</v>
      </c>
      <c r="W212" s="6" t="s">
        <v>104</v>
      </c>
      <c r="X212" s="6" t="s">
        <v>104</v>
      </c>
      <c r="Y212" s="21" t="s">
        <v>104</v>
      </c>
      <c r="Z212" s="6" t="s">
        <v>104</v>
      </c>
      <c r="AA212" s="6" t="s">
        <v>104</v>
      </c>
      <c r="AB212" s="6" t="s">
        <v>104</v>
      </c>
      <c r="AC212" s="6" t="s">
        <v>9714</v>
      </c>
      <c r="AD212" s="16" t="n">
        <v>44119</v>
      </c>
      <c r="AE212" s="6" t="s">
        <v>10707</v>
      </c>
      <c r="AF212" s="6" t="s">
        <v>104</v>
      </c>
      <c r="AG212" s="6" t="s">
        <v>12535</v>
      </c>
      <c r="AH212" s="6" t="s">
        <v>13350</v>
      </c>
      <c r="AI212" s="6" t="s">
        <v>104</v>
      </c>
      <c r="AJ212" s="6" t="s">
        <v>15511</v>
      </c>
      <c r="AK212" s="6" t="s">
        <v>16740</v>
      </c>
      <c r="AL212" s="6" t="s">
        <v>16766</v>
      </c>
      <c r="AM212" s="6" t="s">
        <v>104</v>
      </c>
      <c r="AN212" s="6" t="s">
        <v>104</v>
      </c>
      <c r="AO212" s="6" t="s">
        <v>104</v>
      </c>
      <c r="AP212" s="6" t="s">
        <v>104</v>
      </c>
      <c r="AQ212" s="6" t="s">
        <v>104</v>
      </c>
      <c r="AR212" s="6" t="s">
        <v>104</v>
      </c>
      <c r="AS212" s="6" t="s">
        <v>104</v>
      </c>
      <c r="AT212" s="6" t="s">
        <v>104</v>
      </c>
      <c r="AU212" s="6" t="s">
        <v>104</v>
      </c>
      <c r="AV212" s="6" t="s">
        <v>104</v>
      </c>
      <c r="AW212" s="6" t="s">
        <v>104</v>
      </c>
      <c r="AX212" s="6" t="s">
        <v>20280</v>
      </c>
      <c r="AY212" s="6" t="s">
        <v>22023</v>
      </c>
      <c r="AZ212" s="6" t="s">
        <v>104</v>
      </c>
      <c r="BA212" s="6" t="s">
        <v>104</v>
      </c>
      <c r="BB212" s="6" t="s">
        <v>104</v>
      </c>
      <c r="BC212" s="26"/>
      <c r="BD212" s="26"/>
      <c r="BE212" s="26"/>
      <c r="BF212" s="26"/>
      <c r="BG212" s="26"/>
      <c r="BH212" s="26"/>
      <c r="BI212" s="26"/>
      <c r="BJ212" s="26"/>
      <c r="BK212" s="26"/>
      <c r="BL212" s="26"/>
      <c r="BM212" s="26"/>
      <c r="BN212" s="26"/>
      <c r="BO212" s="26"/>
      <c r="BP212" s="16" t="n">
        <v>45737</v>
      </c>
      <c r="BQ212" s="28" t="str">
        <f>HYPERLINK("https://organic.ams.usda.gov/Integrity/Certificate.aspx?cid=32&amp;nopid=2230007995")</f>
        <v>https://organic.ams.usda.gov/Integrity/Certificate.aspx?cid=32&amp;nopid=2230007995</v>
      </c>
    </row>
    <row r="213">
      <c r="A213" t="s">
        <v>3</v>
      </c>
      <c r="B213" s="6" t="s">
        <v>13</v>
      </c>
      <c r="C213" s="6" t="s">
        <v>79</v>
      </c>
      <c r="D213" s="6" t="s">
        <v>144</v>
      </c>
      <c r="E213" s="10" t="s">
        <v>411</v>
      </c>
      <c r="F213" s="6" t="s">
        <v>2669</v>
      </c>
      <c r="G213" s="6" t="s">
        <v>104</v>
      </c>
      <c r="H213" s="6" t="s">
        <v>5082</v>
      </c>
      <c r="I213" s="6" t="s">
        <v>7075</v>
      </c>
      <c r="J213" s="6" t="s">
        <v>8248</v>
      </c>
      <c r="K213" s="6" t="s">
        <v>9714</v>
      </c>
      <c r="L213" s="16" t="n">
        <v>45412</v>
      </c>
      <c r="M213" s="16" t="n">
        <v>46023</v>
      </c>
      <c r="N213" s="6" t="s">
        <v>104</v>
      </c>
      <c r="O213" s="21" t="s">
        <v>104</v>
      </c>
      <c r="P213" s="6" t="s">
        <v>104</v>
      </c>
      <c r="Q213" s="6" t="s">
        <v>104</v>
      </c>
      <c r="R213" s="6" t="s">
        <v>104</v>
      </c>
      <c r="S213" s="6" t="s">
        <v>104</v>
      </c>
      <c r="T213" s="21" t="s">
        <v>104</v>
      </c>
      <c r="U213" s="6" t="s">
        <v>104</v>
      </c>
      <c r="V213" s="6" t="s">
        <v>104</v>
      </c>
      <c r="W213" s="6" t="s">
        <v>104</v>
      </c>
      <c r="X213" s="6" t="s">
        <v>104</v>
      </c>
      <c r="Y213" s="21" t="s">
        <v>104</v>
      </c>
      <c r="Z213" s="6" t="s">
        <v>104</v>
      </c>
      <c r="AA213" s="6" t="s">
        <v>104</v>
      </c>
      <c r="AB213" s="6" t="s">
        <v>104</v>
      </c>
      <c r="AC213" s="6" t="s">
        <v>9714</v>
      </c>
      <c r="AD213" s="16" t="n">
        <v>45412</v>
      </c>
      <c r="AE213" s="6" t="s">
        <v>10708</v>
      </c>
      <c r="AF213" s="6" t="s">
        <v>104</v>
      </c>
      <c r="AG213" s="6" t="s">
        <v>104</v>
      </c>
      <c r="AH213" s="6" t="s">
        <v>104</v>
      </c>
      <c r="AI213" s="6" t="s">
        <v>104</v>
      </c>
      <c r="AJ213" s="6" t="s">
        <v>104</v>
      </c>
      <c r="AK213" s="6" t="s">
        <v>104</v>
      </c>
      <c r="AL213" s="6" t="s">
        <v>104</v>
      </c>
      <c r="AM213" s="6" t="s">
        <v>104</v>
      </c>
      <c r="AN213" s="6" t="s">
        <v>104</v>
      </c>
      <c r="AO213" s="6" t="s">
        <v>104</v>
      </c>
      <c r="AP213" s="6" t="s">
        <v>19007</v>
      </c>
      <c r="AQ213" s="6" t="s">
        <v>104</v>
      </c>
      <c r="AR213" s="6" t="s">
        <v>19606</v>
      </c>
      <c r="AS213" s="6" t="s">
        <v>16687</v>
      </c>
      <c r="AT213" s="6" t="s">
        <v>16931</v>
      </c>
      <c r="AU213" s="6" t="s">
        <v>19827</v>
      </c>
      <c r="AV213" s="6" t="s">
        <v>104</v>
      </c>
      <c r="AW213" s="6" t="s">
        <v>104</v>
      </c>
      <c r="AX213" s="6" t="s">
        <v>20281</v>
      </c>
      <c r="AY213" s="6" t="s">
        <v>22024</v>
      </c>
      <c r="AZ213" s="6" t="s">
        <v>104</v>
      </c>
      <c r="BA213" s="6" t="s">
        <v>104</v>
      </c>
      <c r="BB213" s="6" t="s">
        <v>104</v>
      </c>
      <c r="BC213" s="26" t="s">
        <v>24533</v>
      </c>
      <c r="BD213" s="26"/>
      <c r="BE213" s="26"/>
      <c r="BF213" s="26"/>
      <c r="BG213" s="26" t="s">
        <v>24533</v>
      </c>
      <c r="BH213" s="26"/>
      <c r="BI213" s="26"/>
      <c r="BJ213" s="26"/>
      <c r="BK213" s="26"/>
      <c r="BL213" s="26"/>
      <c r="BM213" s="26"/>
      <c r="BN213" s="26" t="s">
        <v>24533</v>
      </c>
      <c r="BO213" s="26"/>
      <c r="BP213" s="16" t="n">
        <v>45714</v>
      </c>
      <c r="BQ213" s="28" t="str">
        <f>HYPERLINK("https://organic.ams.usda.gov/Integrity/Certificate.aspx?cid=62&amp;nopid=8150024487")</f>
        <v>https://organic.ams.usda.gov/Integrity/Certificate.aspx?cid=62&amp;nopid=8150024487</v>
      </c>
    </row>
    <row r="214">
      <c r="A214" t="s">
        <v>3</v>
      </c>
      <c r="B214" s="6" t="s">
        <v>13</v>
      </c>
      <c r="C214" s="6" t="s">
        <v>79</v>
      </c>
      <c r="D214" s="6" t="s">
        <v>144</v>
      </c>
      <c r="E214" s="10" t="s">
        <v>412</v>
      </c>
      <c r="F214" s="6" t="s">
        <v>2670</v>
      </c>
      <c r="G214" s="6" t="s">
        <v>104</v>
      </c>
      <c r="H214" s="6" t="s">
        <v>5083</v>
      </c>
      <c r="I214" s="6" t="s">
        <v>7075</v>
      </c>
      <c r="J214" s="6" t="s">
        <v>8248</v>
      </c>
      <c r="K214" s="6" t="s">
        <v>9714</v>
      </c>
      <c r="L214" s="16" t="n">
        <v>45380</v>
      </c>
      <c r="M214" s="16" t="n">
        <v>46023</v>
      </c>
      <c r="N214" s="6" t="s">
        <v>104</v>
      </c>
      <c r="O214" s="21" t="s">
        <v>104</v>
      </c>
      <c r="P214" s="6" t="s">
        <v>104</v>
      </c>
      <c r="Q214" s="6" t="s">
        <v>104</v>
      </c>
      <c r="R214" s="6" t="s">
        <v>104</v>
      </c>
      <c r="S214" s="6" t="s">
        <v>104</v>
      </c>
      <c r="T214" s="21" t="s">
        <v>104</v>
      </c>
      <c r="U214" s="6" t="s">
        <v>104</v>
      </c>
      <c r="V214" s="6" t="s">
        <v>104</v>
      </c>
      <c r="W214" s="6" t="s">
        <v>104</v>
      </c>
      <c r="X214" s="6" t="s">
        <v>104</v>
      </c>
      <c r="Y214" s="21" t="s">
        <v>104</v>
      </c>
      <c r="Z214" s="6" t="s">
        <v>104</v>
      </c>
      <c r="AA214" s="6" t="s">
        <v>104</v>
      </c>
      <c r="AB214" s="6" t="s">
        <v>104</v>
      </c>
      <c r="AC214" s="6" t="s">
        <v>9714</v>
      </c>
      <c r="AD214" s="16" t="n">
        <v>45380</v>
      </c>
      <c r="AE214" s="6" t="s">
        <v>10709</v>
      </c>
      <c r="AF214" s="6" t="s">
        <v>104</v>
      </c>
      <c r="AG214" s="6" t="s">
        <v>104</v>
      </c>
      <c r="AH214" s="6" t="s">
        <v>104</v>
      </c>
      <c r="AI214" s="6" t="s">
        <v>104</v>
      </c>
      <c r="AJ214" s="6" t="s">
        <v>104</v>
      </c>
      <c r="AK214" s="6" t="s">
        <v>104</v>
      </c>
      <c r="AL214" s="6" t="s">
        <v>104</v>
      </c>
      <c r="AM214" s="6" t="s">
        <v>104</v>
      </c>
      <c r="AN214" s="6" t="s">
        <v>104</v>
      </c>
      <c r="AO214" s="6" t="s">
        <v>104</v>
      </c>
      <c r="AP214" s="6" t="s">
        <v>19007</v>
      </c>
      <c r="AQ214" s="6" t="s">
        <v>104</v>
      </c>
      <c r="AR214" s="6" t="s">
        <v>19606</v>
      </c>
      <c r="AS214" s="6" t="s">
        <v>16687</v>
      </c>
      <c r="AT214" s="6" t="s">
        <v>16931</v>
      </c>
      <c r="AU214" s="6" t="s">
        <v>19827</v>
      </c>
      <c r="AV214" s="6" t="s">
        <v>104</v>
      </c>
      <c r="AW214" s="6" t="s">
        <v>104</v>
      </c>
      <c r="AX214" s="6" t="s">
        <v>20282</v>
      </c>
      <c r="AY214" s="6" t="s">
        <v>22024</v>
      </c>
      <c r="AZ214" s="6" t="s">
        <v>104</v>
      </c>
      <c r="BA214" s="6" t="s">
        <v>104</v>
      </c>
      <c r="BB214" s="6" t="s">
        <v>104</v>
      </c>
      <c r="BC214" s="26" t="s">
        <v>24533</v>
      </c>
      <c r="BD214" s="26"/>
      <c r="BE214" s="26"/>
      <c r="BF214" s="26"/>
      <c r="BG214" s="26" t="s">
        <v>24533</v>
      </c>
      <c r="BH214" s="26"/>
      <c r="BI214" s="26"/>
      <c r="BJ214" s="26"/>
      <c r="BK214" s="26"/>
      <c r="BL214" s="26"/>
      <c r="BM214" s="26"/>
      <c r="BN214" s="26" t="s">
        <v>24533</v>
      </c>
      <c r="BO214" s="26"/>
      <c r="BP214" s="16" t="n">
        <v>45663</v>
      </c>
      <c r="BQ214" s="28" t="str">
        <f>HYPERLINK("https://organic.ams.usda.gov/Integrity/Certificate.aspx?cid=62&amp;nopid=8150024618")</f>
        <v>https://organic.ams.usda.gov/Integrity/Certificate.aspx?cid=62&amp;nopid=8150024618</v>
      </c>
    </row>
    <row r="215">
      <c r="A215" t="s">
        <v>3</v>
      </c>
      <c r="B215" s="6" t="s">
        <v>13</v>
      </c>
      <c r="C215" s="6" t="s">
        <v>79</v>
      </c>
      <c r="D215" s="6" t="s">
        <v>144</v>
      </c>
      <c r="E215" s="10" t="s">
        <v>413</v>
      </c>
      <c r="F215" s="6" t="s">
        <v>2671</v>
      </c>
      <c r="G215" s="6" t="s">
        <v>104</v>
      </c>
      <c r="H215" s="6" t="s">
        <v>5084</v>
      </c>
      <c r="I215" s="6" t="s">
        <v>7075</v>
      </c>
      <c r="J215" s="6" t="s">
        <v>8248</v>
      </c>
      <c r="K215" s="6" t="s">
        <v>9714</v>
      </c>
      <c r="L215" s="16" t="n">
        <v>45422</v>
      </c>
      <c r="M215" s="16" t="n">
        <v>46023</v>
      </c>
      <c r="N215" s="6" t="s">
        <v>104</v>
      </c>
      <c r="O215" s="21" t="s">
        <v>104</v>
      </c>
      <c r="P215" s="6" t="s">
        <v>104</v>
      </c>
      <c r="Q215" s="6" t="s">
        <v>104</v>
      </c>
      <c r="R215" s="6" t="s">
        <v>104</v>
      </c>
      <c r="S215" s="6" t="s">
        <v>104</v>
      </c>
      <c r="T215" s="21" t="s">
        <v>104</v>
      </c>
      <c r="U215" s="6" t="s">
        <v>104</v>
      </c>
      <c r="V215" s="6" t="s">
        <v>104</v>
      </c>
      <c r="W215" s="6" t="s">
        <v>104</v>
      </c>
      <c r="X215" s="6" t="s">
        <v>104</v>
      </c>
      <c r="Y215" s="21" t="s">
        <v>104</v>
      </c>
      <c r="Z215" s="6" t="s">
        <v>104</v>
      </c>
      <c r="AA215" s="6" t="s">
        <v>104</v>
      </c>
      <c r="AB215" s="6" t="s">
        <v>104</v>
      </c>
      <c r="AC215" s="6" t="s">
        <v>9714</v>
      </c>
      <c r="AD215" s="16" t="n">
        <v>45422</v>
      </c>
      <c r="AE215" s="6" t="s">
        <v>10710</v>
      </c>
      <c r="AF215" s="6" t="s">
        <v>104</v>
      </c>
      <c r="AG215" s="6" t="s">
        <v>104</v>
      </c>
      <c r="AH215" s="6" t="s">
        <v>104</v>
      </c>
      <c r="AI215" s="6" t="s">
        <v>104</v>
      </c>
      <c r="AJ215" s="6" t="s">
        <v>104</v>
      </c>
      <c r="AK215" s="6" t="s">
        <v>104</v>
      </c>
      <c r="AL215" s="6" t="s">
        <v>104</v>
      </c>
      <c r="AM215" s="6" t="s">
        <v>104</v>
      </c>
      <c r="AN215" s="6" t="s">
        <v>104</v>
      </c>
      <c r="AO215" s="6" t="s">
        <v>104</v>
      </c>
      <c r="AP215" s="6" t="s">
        <v>19008</v>
      </c>
      <c r="AQ215" s="6" t="s">
        <v>104</v>
      </c>
      <c r="AR215" s="6" t="s">
        <v>15415</v>
      </c>
      <c r="AS215" s="6" t="s">
        <v>16705</v>
      </c>
      <c r="AT215" s="6" t="s">
        <v>16931</v>
      </c>
      <c r="AU215" s="6" t="s">
        <v>18105</v>
      </c>
      <c r="AV215" s="6" t="s">
        <v>104</v>
      </c>
      <c r="AW215" s="6" t="s">
        <v>104</v>
      </c>
      <c r="AX215" s="6" t="s">
        <v>20283</v>
      </c>
      <c r="AY215" s="6" t="s">
        <v>22024</v>
      </c>
      <c r="AZ215" s="6" t="s">
        <v>104</v>
      </c>
      <c r="BA215" s="6" t="s">
        <v>104</v>
      </c>
      <c r="BB215" s="6" t="s">
        <v>104</v>
      </c>
      <c r="BC215" s="26" t="s">
        <v>24533</v>
      </c>
      <c r="BD215" s="26"/>
      <c r="BE215" s="26"/>
      <c r="BF215" s="26"/>
      <c r="BG215" s="26" t="s">
        <v>24533</v>
      </c>
      <c r="BH215" s="26"/>
      <c r="BI215" s="26"/>
      <c r="BJ215" s="26"/>
      <c r="BK215" s="26"/>
      <c r="BL215" s="26"/>
      <c r="BM215" s="26"/>
      <c r="BN215" s="26" t="s">
        <v>24533</v>
      </c>
      <c r="BO215" s="26"/>
      <c r="BP215" s="16" t="n">
        <v>45661</v>
      </c>
      <c r="BQ215" s="28" t="str">
        <f>HYPERLINK("https://organic.ams.usda.gov/Integrity/Certificate.aspx?cid=62&amp;nopid=8150024431")</f>
        <v>https://organic.ams.usda.gov/Integrity/Certificate.aspx?cid=62&amp;nopid=8150024431</v>
      </c>
    </row>
    <row r="216">
      <c r="A216" t="s">
        <v>3</v>
      </c>
      <c r="B216" s="6" t="s">
        <v>21</v>
      </c>
      <c r="C216" s="6" t="s">
        <v>87</v>
      </c>
      <c r="D216" s="6" t="s">
        <v>152</v>
      </c>
      <c r="E216" s="10" t="s">
        <v>414</v>
      </c>
      <c r="F216" s="6" t="s">
        <v>2672</v>
      </c>
      <c r="G216" s="6" t="s">
        <v>104</v>
      </c>
      <c r="H216" s="6" t="s">
        <v>5085</v>
      </c>
      <c r="I216" s="6" t="s">
        <v>7076</v>
      </c>
      <c r="J216" s="6" t="s">
        <v>8294</v>
      </c>
      <c r="K216" s="6" t="s">
        <v>9714</v>
      </c>
      <c r="L216" s="16" t="n">
        <v>44069</v>
      </c>
      <c r="M216" s="16" t="n">
        <v>46023</v>
      </c>
      <c r="N216" s="6" t="s">
        <v>104</v>
      </c>
      <c r="O216" s="21" t="s">
        <v>104</v>
      </c>
      <c r="P216" s="6" t="s">
        <v>104</v>
      </c>
      <c r="Q216" s="6" t="s">
        <v>104</v>
      </c>
      <c r="R216" s="6" t="s">
        <v>104</v>
      </c>
      <c r="S216" s="6" t="s">
        <v>104</v>
      </c>
      <c r="T216" s="21" t="s">
        <v>104</v>
      </c>
      <c r="U216" s="6" t="s">
        <v>104</v>
      </c>
      <c r="V216" s="6" t="s">
        <v>104</v>
      </c>
      <c r="W216" s="6" t="s">
        <v>104</v>
      </c>
      <c r="X216" s="6" t="s">
        <v>104</v>
      </c>
      <c r="Y216" s="21" t="s">
        <v>104</v>
      </c>
      <c r="Z216" s="6" t="s">
        <v>104</v>
      </c>
      <c r="AA216" s="6" t="s">
        <v>104</v>
      </c>
      <c r="AB216" s="6" t="s">
        <v>104</v>
      </c>
      <c r="AC216" s="6" t="s">
        <v>9714</v>
      </c>
      <c r="AD216" s="16" t="n">
        <v>44069</v>
      </c>
      <c r="AE216" s="6" t="s">
        <v>10711</v>
      </c>
      <c r="AF216" s="6" t="s">
        <v>104</v>
      </c>
      <c r="AG216" s="6" t="s">
        <v>104</v>
      </c>
      <c r="AH216" s="6" t="s">
        <v>13351</v>
      </c>
      <c r="AI216" s="6" t="s">
        <v>104</v>
      </c>
      <c r="AJ216" s="6" t="s">
        <v>15512</v>
      </c>
      <c r="AK216" s="6" t="s">
        <v>16687</v>
      </c>
      <c r="AL216" s="6" t="s">
        <v>16931</v>
      </c>
      <c r="AM216" s="6" t="s">
        <v>17128</v>
      </c>
      <c r="AN216" s="6" t="s">
        <v>18460</v>
      </c>
      <c r="AO216" s="6" t="s">
        <v>18604</v>
      </c>
      <c r="AP216" s="6" t="s">
        <v>13351</v>
      </c>
      <c r="AQ216" s="6" t="s">
        <v>104</v>
      </c>
      <c r="AR216" s="6" t="s">
        <v>15512</v>
      </c>
      <c r="AS216" s="6" t="s">
        <v>16687</v>
      </c>
      <c r="AT216" s="6" t="s">
        <v>16931</v>
      </c>
      <c r="AU216" s="6" t="s">
        <v>17128</v>
      </c>
      <c r="AV216" s="6" t="s">
        <v>104</v>
      </c>
      <c r="AW216" s="6" t="s">
        <v>104</v>
      </c>
      <c r="AX216" s="6" t="s">
        <v>20284</v>
      </c>
      <c r="AY216" s="6" t="s">
        <v>22025</v>
      </c>
      <c r="AZ216" s="6" t="s">
        <v>23737</v>
      </c>
      <c r="BA216" s="6" t="s">
        <v>24291</v>
      </c>
      <c r="BB216" s="6" t="s">
        <v>104</v>
      </c>
      <c r="BC216" s="26"/>
      <c r="BD216" s="26"/>
      <c r="BE216" s="26"/>
      <c r="BF216" s="26"/>
      <c r="BG216" s="26"/>
      <c r="BH216" s="26"/>
      <c r="BI216" s="26"/>
      <c r="BJ216" s="26"/>
      <c r="BK216" s="26"/>
      <c r="BL216" s="26"/>
      <c r="BM216" s="26"/>
      <c r="BN216" s="26"/>
      <c r="BO216" s="26"/>
      <c r="BP216" s="16" t="n">
        <v>45667</v>
      </c>
      <c r="BQ216" s="28" t="str">
        <f>HYPERLINK("https://organic.ams.usda.gov/Integrity/Certificate.aspx?cid=15&amp;nopid=5561006600")</f>
        <v>https://organic.ams.usda.gov/Integrity/Certificate.aspx?cid=15&amp;nopid=5561006600</v>
      </c>
    </row>
    <row r="217">
      <c r="A217" t="s">
        <v>3</v>
      </c>
      <c r="B217" s="6" t="s">
        <v>49</v>
      </c>
      <c r="C217" s="6" t="s">
        <v>115</v>
      </c>
      <c r="D217" s="6" t="s">
        <v>179</v>
      </c>
      <c r="E217" s="10" t="s">
        <v>415</v>
      </c>
      <c r="F217" s="6" t="s">
        <v>2673</v>
      </c>
      <c r="G217" s="6" t="s">
        <v>104</v>
      </c>
      <c r="H217" s="6" t="s">
        <v>5086</v>
      </c>
      <c r="I217" s="6" t="s">
        <v>104</v>
      </c>
      <c r="J217" s="6" t="s">
        <v>8295</v>
      </c>
      <c r="K217" s="6" t="s">
        <v>9714</v>
      </c>
      <c r="L217" s="16" t="n">
        <v>45432</v>
      </c>
      <c r="M217" s="16" t="n">
        <v>45681</v>
      </c>
      <c r="N217" s="6" t="s">
        <v>104</v>
      </c>
      <c r="O217" s="21" t="s">
        <v>104</v>
      </c>
      <c r="P217" s="6" t="s">
        <v>104</v>
      </c>
      <c r="Q217" s="6" t="s">
        <v>104</v>
      </c>
      <c r="R217" s="6" t="s">
        <v>104</v>
      </c>
      <c r="S217" s="6" t="s">
        <v>104</v>
      </c>
      <c r="T217" s="21" t="s">
        <v>104</v>
      </c>
      <c r="U217" s="6" t="s">
        <v>104</v>
      </c>
      <c r="V217" s="6" t="s">
        <v>104</v>
      </c>
      <c r="W217" s="6" t="s">
        <v>104</v>
      </c>
      <c r="X217" s="6" t="s">
        <v>104</v>
      </c>
      <c r="Y217" s="21" t="s">
        <v>104</v>
      </c>
      <c r="Z217" s="6" t="s">
        <v>104</v>
      </c>
      <c r="AA217" s="6" t="s">
        <v>104</v>
      </c>
      <c r="AB217" s="6" t="s">
        <v>104</v>
      </c>
      <c r="AC217" s="6" t="s">
        <v>9714</v>
      </c>
      <c r="AD217" s="16" t="n">
        <v>45432</v>
      </c>
      <c r="AE217" s="6" t="s">
        <v>10712</v>
      </c>
      <c r="AF217" s="6" t="s">
        <v>104</v>
      </c>
      <c r="AG217" s="6" t="s">
        <v>12536</v>
      </c>
      <c r="AH217" s="6" t="s">
        <v>13352</v>
      </c>
      <c r="AI217" s="6" t="s">
        <v>104</v>
      </c>
      <c r="AJ217" s="6" t="s">
        <v>15513</v>
      </c>
      <c r="AK217" s="6" t="s">
        <v>104</v>
      </c>
      <c r="AL217" s="6" t="s">
        <v>15513</v>
      </c>
      <c r="AM217" s="6" t="s">
        <v>17129</v>
      </c>
      <c r="AN217" s="6" t="s">
        <v>104</v>
      </c>
      <c r="AO217" s="6" t="s">
        <v>104</v>
      </c>
      <c r="AP217" s="6" t="s">
        <v>104</v>
      </c>
      <c r="AQ217" s="6" t="s">
        <v>104</v>
      </c>
      <c r="AR217" s="6" t="s">
        <v>104</v>
      </c>
      <c r="AS217" s="6" t="s">
        <v>104</v>
      </c>
      <c r="AT217" s="6" t="s">
        <v>104</v>
      </c>
      <c r="AU217" s="6" t="s">
        <v>104</v>
      </c>
      <c r="AV217" s="6" t="s">
        <v>104</v>
      </c>
      <c r="AW217" s="6" t="s">
        <v>104</v>
      </c>
      <c r="AX217" s="6" t="s">
        <v>20285</v>
      </c>
      <c r="AY217" s="6" t="s">
        <v>22026</v>
      </c>
      <c r="AZ217" s="6" t="s">
        <v>104</v>
      </c>
      <c r="BA217" s="6" t="s">
        <v>104</v>
      </c>
      <c r="BB217" s="24" t="n">
        <v>0</v>
      </c>
      <c r="BC217" s="26"/>
      <c r="BD217" s="26"/>
      <c r="BE217" s="26"/>
      <c r="BF217" s="26"/>
      <c r="BG217" s="26"/>
      <c r="BH217" s="26"/>
      <c r="BI217" s="26"/>
      <c r="BJ217" s="26"/>
      <c r="BK217" s="26"/>
      <c r="BL217" s="26"/>
      <c r="BM217" s="26"/>
      <c r="BN217" s="26"/>
      <c r="BO217" s="26"/>
      <c r="BP217" s="16" t="n">
        <v>45441</v>
      </c>
      <c r="BQ217" s="28" t="str">
        <f>HYPERLINK("https://organic.ams.usda.gov/Integrity/Certificate.aspx?cid=12&amp;nopid=8699694563")</f>
        <v>https://organic.ams.usda.gov/Integrity/Certificate.aspx?cid=12&amp;nopid=8699694563</v>
      </c>
    </row>
    <row r="218">
      <c r="A218" t="s">
        <v>3</v>
      </c>
      <c r="B218" s="6" t="s">
        <v>29</v>
      </c>
      <c r="C218" s="6" t="s">
        <v>95</v>
      </c>
      <c r="D218" s="6" t="s">
        <v>160</v>
      </c>
      <c r="E218" s="10" t="s">
        <v>416</v>
      </c>
      <c r="F218" s="6" t="s">
        <v>2674</v>
      </c>
      <c r="G218" s="6" t="s">
        <v>104</v>
      </c>
      <c r="H218" s="6" t="s">
        <v>5087</v>
      </c>
      <c r="I218" s="6" t="s">
        <v>104</v>
      </c>
      <c r="J218" s="6" t="s">
        <v>8296</v>
      </c>
      <c r="K218" s="6" t="s">
        <v>9714</v>
      </c>
      <c r="L218" s="16" t="n">
        <v>43101</v>
      </c>
      <c r="M218" s="16" t="n">
        <v>45870</v>
      </c>
      <c r="N218" s="6" t="s">
        <v>104</v>
      </c>
      <c r="O218" s="21" t="s">
        <v>104</v>
      </c>
      <c r="P218" s="6" t="s">
        <v>104</v>
      </c>
      <c r="Q218" s="6" t="s">
        <v>104</v>
      </c>
      <c r="R218" s="6" t="s">
        <v>104</v>
      </c>
      <c r="S218" s="6" t="s">
        <v>104</v>
      </c>
      <c r="T218" s="21" t="s">
        <v>104</v>
      </c>
      <c r="U218" s="6" t="s">
        <v>104</v>
      </c>
      <c r="V218" s="6" t="s">
        <v>104</v>
      </c>
      <c r="W218" s="6" t="s">
        <v>104</v>
      </c>
      <c r="X218" s="6" t="s">
        <v>9714</v>
      </c>
      <c r="Y218" s="16" t="n">
        <v>43101</v>
      </c>
      <c r="Z218" s="6" t="s">
        <v>10518</v>
      </c>
      <c r="AA218" s="6" t="s">
        <v>104</v>
      </c>
      <c r="AB218" s="6" t="s">
        <v>104</v>
      </c>
      <c r="AC218" s="6" t="s">
        <v>9714</v>
      </c>
      <c r="AD218" s="16" t="n">
        <v>43101</v>
      </c>
      <c r="AE218" s="6" t="s">
        <v>10713</v>
      </c>
      <c r="AF218" s="6" t="s">
        <v>104</v>
      </c>
      <c r="AG218" s="6" t="s">
        <v>104</v>
      </c>
      <c r="AH218" s="6" t="s">
        <v>13353</v>
      </c>
      <c r="AI218" s="6" t="s">
        <v>104</v>
      </c>
      <c r="AJ218" s="6" t="s">
        <v>15514</v>
      </c>
      <c r="AK218" s="6" t="s">
        <v>104</v>
      </c>
      <c r="AL218" s="6" t="s">
        <v>16953</v>
      </c>
      <c r="AM218" s="6" t="s">
        <v>17130</v>
      </c>
      <c r="AN218" s="6" t="s">
        <v>104</v>
      </c>
      <c r="AO218" s="6" t="s">
        <v>104</v>
      </c>
      <c r="AP218" s="6" t="s">
        <v>104</v>
      </c>
      <c r="AQ218" s="6" t="s">
        <v>104</v>
      </c>
      <c r="AR218" s="6" t="s">
        <v>104</v>
      </c>
      <c r="AS218" s="6" t="s">
        <v>104</v>
      </c>
      <c r="AT218" s="6" t="s">
        <v>104</v>
      </c>
      <c r="AU218" s="6" t="s">
        <v>104</v>
      </c>
      <c r="AV218" s="6" t="s">
        <v>104</v>
      </c>
      <c r="AW218" s="6" t="s">
        <v>104</v>
      </c>
      <c r="AX218" s="6" t="s">
        <v>20286</v>
      </c>
      <c r="AY218" s="6" t="s">
        <v>22027</v>
      </c>
      <c r="AZ218" s="6" t="s">
        <v>104</v>
      </c>
      <c r="BA218" s="6" t="s">
        <v>104</v>
      </c>
      <c r="BB218" s="24" t="n">
        <v>2360</v>
      </c>
      <c r="BC218" s="26"/>
      <c r="BD218" s="26"/>
      <c r="BE218" s="26"/>
      <c r="BF218" s="26"/>
      <c r="BG218" s="26"/>
      <c r="BH218" s="26"/>
      <c r="BI218" s="26"/>
      <c r="BJ218" s="26"/>
      <c r="BK218" s="26"/>
      <c r="BL218" s="26"/>
      <c r="BM218" s="26"/>
      <c r="BN218" s="26"/>
      <c r="BO218" s="26"/>
      <c r="BP218" s="16" t="n">
        <v>45671</v>
      </c>
      <c r="BQ218" s="28" t="str">
        <f>HYPERLINK("https://organic.ams.usda.gov/Integrity/Certificate.aspx?cid=24&amp;nopid=7881390590")</f>
        <v>https://organic.ams.usda.gov/Integrity/Certificate.aspx?cid=24&amp;nopid=7881390590</v>
      </c>
    </row>
    <row r="219">
      <c r="A219" t="s">
        <v>3</v>
      </c>
      <c r="B219" s="6" t="s">
        <v>6</v>
      </c>
      <c r="C219" s="6" t="s">
        <v>72</v>
      </c>
      <c r="D219" s="6" t="s">
        <v>137</v>
      </c>
      <c r="E219" s="10" t="s">
        <v>417</v>
      </c>
      <c r="F219" s="6" t="s">
        <v>2675</v>
      </c>
      <c r="G219" s="6" t="s">
        <v>104</v>
      </c>
      <c r="H219" s="6" t="s">
        <v>5088</v>
      </c>
      <c r="I219" s="6" t="s">
        <v>7077</v>
      </c>
      <c r="J219" s="6" t="s">
        <v>104</v>
      </c>
      <c r="K219" s="6" t="s">
        <v>9714</v>
      </c>
      <c r="L219" s="16" t="n">
        <v>44806</v>
      </c>
      <c r="M219" s="16" t="n">
        <v>45821</v>
      </c>
      <c r="N219" s="6" t="s">
        <v>104</v>
      </c>
      <c r="O219" s="21" t="s">
        <v>104</v>
      </c>
      <c r="P219" s="6" t="s">
        <v>104</v>
      </c>
      <c r="Q219" s="6" t="s">
        <v>104</v>
      </c>
      <c r="R219" s="6" t="s">
        <v>104</v>
      </c>
      <c r="S219" s="6" t="s">
        <v>104</v>
      </c>
      <c r="T219" s="21" t="s">
        <v>104</v>
      </c>
      <c r="U219" s="6" t="s">
        <v>104</v>
      </c>
      <c r="V219" s="6" t="s">
        <v>104</v>
      </c>
      <c r="W219" s="6" t="s">
        <v>104</v>
      </c>
      <c r="X219" s="6" t="s">
        <v>104</v>
      </c>
      <c r="Y219" s="21" t="s">
        <v>104</v>
      </c>
      <c r="Z219" s="6" t="s">
        <v>104</v>
      </c>
      <c r="AA219" s="6" t="s">
        <v>104</v>
      </c>
      <c r="AB219" s="6" t="s">
        <v>104</v>
      </c>
      <c r="AC219" s="6" t="s">
        <v>9714</v>
      </c>
      <c r="AD219" s="16" t="n">
        <v>44806</v>
      </c>
      <c r="AE219" s="6" t="s">
        <v>10714</v>
      </c>
      <c r="AF219" s="6" t="s">
        <v>104</v>
      </c>
      <c r="AG219" s="6" t="s">
        <v>12537</v>
      </c>
      <c r="AH219" s="6" t="s">
        <v>13354</v>
      </c>
      <c r="AI219" s="6" t="s">
        <v>104</v>
      </c>
      <c r="AJ219" s="6" t="s">
        <v>15515</v>
      </c>
      <c r="AK219" s="6" t="s">
        <v>16741</v>
      </c>
      <c r="AL219" s="6" t="s">
        <v>16766</v>
      </c>
      <c r="AM219" s="6" t="s">
        <v>17131</v>
      </c>
      <c r="AN219" s="6" t="s">
        <v>104</v>
      </c>
      <c r="AO219" s="6" t="s">
        <v>104</v>
      </c>
      <c r="AP219" s="6" t="s">
        <v>104</v>
      </c>
      <c r="AQ219" s="6" t="s">
        <v>104</v>
      </c>
      <c r="AR219" s="6" t="s">
        <v>104</v>
      </c>
      <c r="AS219" s="6" t="s">
        <v>104</v>
      </c>
      <c r="AT219" s="6" t="s">
        <v>104</v>
      </c>
      <c r="AU219" s="6" t="s">
        <v>104</v>
      </c>
      <c r="AV219" s="6" t="s">
        <v>104</v>
      </c>
      <c r="AW219" s="6" t="s">
        <v>104</v>
      </c>
      <c r="AX219" s="6" t="s">
        <v>20287</v>
      </c>
      <c r="AY219" s="6" t="s">
        <v>22028</v>
      </c>
      <c r="AZ219" s="6" t="s">
        <v>104</v>
      </c>
      <c r="BA219" s="6" t="s">
        <v>24258</v>
      </c>
      <c r="BB219" s="6" t="s">
        <v>104</v>
      </c>
      <c r="BC219" s="26"/>
      <c r="BD219" s="26"/>
      <c r="BE219" s="26"/>
      <c r="BF219" s="26"/>
      <c r="BG219" s="26"/>
      <c r="BH219" s="26"/>
      <c r="BI219" s="26"/>
      <c r="BJ219" s="26"/>
      <c r="BK219" s="26"/>
      <c r="BL219" s="26"/>
      <c r="BM219" s="26"/>
      <c r="BN219" s="26"/>
      <c r="BO219" s="26"/>
      <c r="BP219" s="16" t="n">
        <v>45737</v>
      </c>
      <c r="BQ219" s="28" t="str">
        <f>HYPERLINK("https://organic.ams.usda.gov/Integrity/Certificate.aspx?cid=32&amp;nopid=2230009660")</f>
        <v>https://organic.ams.usda.gov/Integrity/Certificate.aspx?cid=32&amp;nopid=2230009660</v>
      </c>
    </row>
    <row r="220">
      <c r="A220" t="s">
        <v>3</v>
      </c>
      <c r="B220" s="6" t="s">
        <v>21</v>
      </c>
      <c r="C220" s="6" t="s">
        <v>87</v>
      </c>
      <c r="D220" s="6" t="s">
        <v>152</v>
      </c>
      <c r="E220" s="10" t="s">
        <v>418</v>
      </c>
      <c r="F220" s="6" t="s">
        <v>2676</v>
      </c>
      <c r="G220" s="6" t="s">
        <v>4690</v>
      </c>
      <c r="H220" s="6" t="s">
        <v>5089</v>
      </c>
      <c r="I220" s="6" t="s">
        <v>7078</v>
      </c>
      <c r="J220" s="6" t="s">
        <v>8297</v>
      </c>
      <c r="K220" s="6" t="s">
        <v>9714</v>
      </c>
      <c r="L220" s="16" t="n">
        <v>41121</v>
      </c>
      <c r="M220" s="16" t="n">
        <v>46023</v>
      </c>
      <c r="N220" s="6" t="s">
        <v>104</v>
      </c>
      <c r="O220" s="21" t="s">
        <v>104</v>
      </c>
      <c r="P220" s="6" t="s">
        <v>104</v>
      </c>
      <c r="Q220" s="6" t="s">
        <v>104</v>
      </c>
      <c r="R220" s="6" t="s">
        <v>104</v>
      </c>
      <c r="S220" s="6" t="s">
        <v>104</v>
      </c>
      <c r="T220" s="21" t="s">
        <v>104</v>
      </c>
      <c r="U220" s="6" t="s">
        <v>104</v>
      </c>
      <c r="V220" s="6" t="s">
        <v>104</v>
      </c>
      <c r="W220" s="6" t="s">
        <v>104</v>
      </c>
      <c r="X220" s="6" t="s">
        <v>104</v>
      </c>
      <c r="Y220" s="21" t="s">
        <v>104</v>
      </c>
      <c r="Z220" s="6" t="s">
        <v>104</v>
      </c>
      <c r="AA220" s="6" t="s">
        <v>104</v>
      </c>
      <c r="AB220" s="6" t="s">
        <v>104</v>
      </c>
      <c r="AC220" s="6" t="s">
        <v>9714</v>
      </c>
      <c r="AD220" s="16" t="n">
        <v>41121</v>
      </c>
      <c r="AE220" s="6" t="s">
        <v>10715</v>
      </c>
      <c r="AF220" s="6" t="s">
        <v>104</v>
      </c>
      <c r="AG220" s="6" t="s">
        <v>104</v>
      </c>
      <c r="AH220" s="6" t="s">
        <v>13355</v>
      </c>
      <c r="AI220" s="6" t="s">
        <v>104</v>
      </c>
      <c r="AJ220" s="6" t="s">
        <v>8279</v>
      </c>
      <c r="AK220" s="6" t="s">
        <v>16687</v>
      </c>
      <c r="AL220" s="6" t="s">
        <v>16931</v>
      </c>
      <c r="AM220" s="6" t="s">
        <v>17001</v>
      </c>
      <c r="AN220" s="6" t="s">
        <v>18456</v>
      </c>
      <c r="AO220" s="6" t="s">
        <v>18561</v>
      </c>
      <c r="AP220" s="6" t="s">
        <v>19009</v>
      </c>
      <c r="AQ220" s="6" t="s">
        <v>104</v>
      </c>
      <c r="AR220" s="6" t="s">
        <v>8279</v>
      </c>
      <c r="AS220" s="6" t="s">
        <v>16687</v>
      </c>
      <c r="AT220" s="6" t="s">
        <v>16931</v>
      </c>
      <c r="AU220" s="6" t="s">
        <v>17001</v>
      </c>
      <c r="AV220" s="6" t="s">
        <v>104</v>
      </c>
      <c r="AW220" s="6" t="s">
        <v>104</v>
      </c>
      <c r="AX220" s="6" t="s">
        <v>20288</v>
      </c>
      <c r="AY220" s="6" t="s">
        <v>22029</v>
      </c>
      <c r="AZ220" s="6" t="s">
        <v>23738</v>
      </c>
      <c r="BA220" s="6" t="s">
        <v>24292</v>
      </c>
      <c r="BB220" s="6" t="s">
        <v>104</v>
      </c>
      <c r="BC220" s="26"/>
      <c r="BD220" s="26"/>
      <c r="BE220" s="26"/>
      <c r="BF220" s="26"/>
      <c r="BG220" s="26"/>
      <c r="BH220" s="26"/>
      <c r="BI220" s="26"/>
      <c r="BJ220" s="26"/>
      <c r="BK220" s="26"/>
      <c r="BL220" s="26"/>
      <c r="BM220" s="26"/>
      <c r="BN220" s="26"/>
      <c r="BO220" s="26"/>
      <c r="BP220" s="16" t="n">
        <v>45667</v>
      </c>
      <c r="BQ220" s="28" t="str">
        <f>HYPERLINK("https://organic.ams.usda.gov/Integrity/Certificate.aspx?cid=15&amp;nopid=5561001758")</f>
        <v>https://organic.ams.usda.gov/Integrity/Certificate.aspx?cid=15&amp;nopid=5561001758</v>
      </c>
    </row>
    <row r="221">
      <c r="A221" t="s">
        <v>3</v>
      </c>
      <c r="B221" s="6" t="s">
        <v>38</v>
      </c>
      <c r="C221" s="6" t="s">
        <v>104</v>
      </c>
      <c r="D221" s="6" t="s">
        <v>104</v>
      </c>
      <c r="E221" s="10" t="s">
        <v>419</v>
      </c>
      <c r="F221" s="6" t="s">
        <v>2677</v>
      </c>
      <c r="G221" s="6" t="s">
        <v>4691</v>
      </c>
      <c r="H221" s="6" t="s">
        <v>5090</v>
      </c>
      <c r="I221" s="6" t="s">
        <v>7079</v>
      </c>
      <c r="J221" s="6" t="s">
        <v>8298</v>
      </c>
      <c r="K221" s="6" t="s">
        <v>9714</v>
      </c>
      <c r="L221" s="16" t="n">
        <v>39986</v>
      </c>
      <c r="M221" s="16" t="n">
        <v>45830</v>
      </c>
      <c r="N221" s="6" t="s">
        <v>9714</v>
      </c>
      <c r="O221" s="16" t="n">
        <v>39986</v>
      </c>
      <c r="P221" s="6" t="s">
        <v>9794</v>
      </c>
      <c r="Q221" s="6" t="s">
        <v>104</v>
      </c>
      <c r="R221" s="6" t="s">
        <v>5090</v>
      </c>
      <c r="S221" s="6" t="s">
        <v>104</v>
      </c>
      <c r="T221" s="21" t="s">
        <v>104</v>
      </c>
      <c r="U221" s="6" t="s">
        <v>104</v>
      </c>
      <c r="V221" s="6" t="s">
        <v>104</v>
      </c>
      <c r="W221" s="6" t="s">
        <v>104</v>
      </c>
      <c r="X221" s="6" t="s">
        <v>104</v>
      </c>
      <c r="Y221" s="21" t="s">
        <v>104</v>
      </c>
      <c r="Z221" s="6" t="s">
        <v>104</v>
      </c>
      <c r="AA221" s="6" t="s">
        <v>104</v>
      </c>
      <c r="AB221" s="6" t="s">
        <v>104</v>
      </c>
      <c r="AC221" s="6" t="s">
        <v>104</v>
      </c>
      <c r="AD221" s="21" t="s">
        <v>104</v>
      </c>
      <c r="AE221" s="6" t="s">
        <v>104</v>
      </c>
      <c r="AF221" s="6" t="s">
        <v>104</v>
      </c>
      <c r="AG221" s="6" t="s">
        <v>104</v>
      </c>
      <c r="AH221" s="6" t="s">
        <v>13356</v>
      </c>
      <c r="AI221" s="6" t="s">
        <v>104</v>
      </c>
      <c r="AJ221" s="6" t="s">
        <v>15516</v>
      </c>
      <c r="AK221" s="6" t="s">
        <v>16705</v>
      </c>
      <c r="AL221" s="6" t="s">
        <v>16931</v>
      </c>
      <c r="AM221" s="6" t="s">
        <v>17132</v>
      </c>
      <c r="AN221" s="6" t="s">
        <v>104</v>
      </c>
      <c r="AO221" s="6" t="s">
        <v>104</v>
      </c>
      <c r="AP221" s="6" t="s">
        <v>19010</v>
      </c>
      <c r="AQ221" s="6" t="s">
        <v>104</v>
      </c>
      <c r="AR221" s="6" t="s">
        <v>15516</v>
      </c>
      <c r="AS221" s="6" t="s">
        <v>16705</v>
      </c>
      <c r="AT221" s="6" t="s">
        <v>16931</v>
      </c>
      <c r="AU221" s="6" t="s">
        <v>17132</v>
      </c>
      <c r="AV221" s="6" t="s">
        <v>104</v>
      </c>
      <c r="AW221" s="6" t="s">
        <v>104</v>
      </c>
      <c r="AX221" s="6" t="s">
        <v>20289</v>
      </c>
      <c r="AY221" s="6" t="s">
        <v>22030</v>
      </c>
      <c r="AZ221" s="6" t="s">
        <v>104</v>
      </c>
      <c r="BA221" s="6" t="s">
        <v>24285</v>
      </c>
      <c r="BB221" s="24" t="n">
        <v>232</v>
      </c>
      <c r="BC221" s="26"/>
      <c r="BD221" s="26"/>
      <c r="BE221" s="26"/>
      <c r="BF221" s="26"/>
      <c r="BG221" s="26"/>
      <c r="BH221" s="26"/>
      <c r="BI221" s="26"/>
      <c r="BJ221" s="26"/>
      <c r="BK221" s="26"/>
      <c r="BL221" s="26"/>
      <c r="BM221" s="26"/>
      <c r="BN221" s="26"/>
      <c r="BO221" s="26"/>
      <c r="BP221" s="16" t="n">
        <v>45733</v>
      </c>
      <c r="BQ221" s="28" t="str">
        <f>HYPERLINK("")</f>
      </c>
    </row>
    <row r="222">
      <c r="A222" t="s">
        <v>3</v>
      </c>
      <c r="B222" s="6" t="s">
        <v>13</v>
      </c>
      <c r="C222" s="6" t="s">
        <v>79</v>
      </c>
      <c r="D222" s="6" t="s">
        <v>144</v>
      </c>
      <c r="E222" s="10" t="s">
        <v>420</v>
      </c>
      <c r="F222" s="6" t="s">
        <v>2678</v>
      </c>
      <c r="G222" s="6" t="s">
        <v>104</v>
      </c>
      <c r="H222" s="6" t="s">
        <v>5091</v>
      </c>
      <c r="I222" s="6" t="s">
        <v>7080</v>
      </c>
      <c r="J222" s="6" t="s">
        <v>8299</v>
      </c>
      <c r="K222" s="6" t="s">
        <v>9714</v>
      </c>
      <c r="L222" s="16" t="n">
        <v>37991</v>
      </c>
      <c r="M222" s="16" t="n">
        <v>46023</v>
      </c>
      <c r="N222" s="6" t="s">
        <v>104</v>
      </c>
      <c r="O222" s="21" t="s">
        <v>104</v>
      </c>
      <c r="P222" s="6" t="s">
        <v>104</v>
      </c>
      <c r="Q222" s="6" t="s">
        <v>104</v>
      </c>
      <c r="R222" s="6" t="s">
        <v>104</v>
      </c>
      <c r="S222" s="6" t="s">
        <v>104</v>
      </c>
      <c r="T222" s="21" t="s">
        <v>104</v>
      </c>
      <c r="U222" s="6" t="s">
        <v>104</v>
      </c>
      <c r="V222" s="6" t="s">
        <v>104</v>
      </c>
      <c r="W222" s="6" t="s">
        <v>104</v>
      </c>
      <c r="X222" s="6" t="s">
        <v>104</v>
      </c>
      <c r="Y222" s="21" t="s">
        <v>104</v>
      </c>
      <c r="Z222" s="6" t="s">
        <v>104</v>
      </c>
      <c r="AA222" s="6" t="s">
        <v>104</v>
      </c>
      <c r="AB222" s="6" t="s">
        <v>104</v>
      </c>
      <c r="AC222" s="6" t="s">
        <v>9714</v>
      </c>
      <c r="AD222" s="16" t="n">
        <v>37991</v>
      </c>
      <c r="AE222" s="6" t="s">
        <v>10716</v>
      </c>
      <c r="AF222" s="6" t="s">
        <v>104</v>
      </c>
      <c r="AG222" s="6" t="s">
        <v>104</v>
      </c>
      <c r="AH222" s="6" t="s">
        <v>104</v>
      </c>
      <c r="AI222" s="6" t="s">
        <v>104</v>
      </c>
      <c r="AJ222" s="6" t="s">
        <v>104</v>
      </c>
      <c r="AK222" s="6" t="s">
        <v>104</v>
      </c>
      <c r="AL222" s="6" t="s">
        <v>104</v>
      </c>
      <c r="AM222" s="6" t="s">
        <v>104</v>
      </c>
      <c r="AN222" s="6" t="s">
        <v>104</v>
      </c>
      <c r="AO222" s="6" t="s">
        <v>104</v>
      </c>
      <c r="AP222" s="6" t="s">
        <v>19011</v>
      </c>
      <c r="AQ222" s="6" t="s">
        <v>104</v>
      </c>
      <c r="AR222" s="6" t="s">
        <v>19607</v>
      </c>
      <c r="AS222" s="6" t="s">
        <v>16705</v>
      </c>
      <c r="AT222" s="6" t="s">
        <v>16931</v>
      </c>
      <c r="AU222" s="6" t="s">
        <v>19828</v>
      </c>
      <c r="AV222" s="6" t="s">
        <v>18517</v>
      </c>
      <c r="AW222" s="6" t="s">
        <v>18676</v>
      </c>
      <c r="AX222" s="6" t="s">
        <v>20290</v>
      </c>
      <c r="AY222" s="6" t="s">
        <v>22031</v>
      </c>
      <c r="AZ222" s="6" t="s">
        <v>23739</v>
      </c>
      <c r="BA222" s="6" t="s">
        <v>104</v>
      </c>
      <c r="BB222" s="24" t="n">
        <v>80</v>
      </c>
      <c r="BC222" s="26"/>
      <c r="BD222" s="26"/>
      <c r="BE222" s="26"/>
      <c r="BF222" s="26"/>
      <c r="BG222" s="26"/>
      <c r="BH222" s="26"/>
      <c r="BI222" s="26"/>
      <c r="BJ222" s="26"/>
      <c r="BK222" s="26"/>
      <c r="BL222" s="26"/>
      <c r="BM222" s="26"/>
      <c r="BN222" s="26"/>
      <c r="BO222" s="26"/>
      <c r="BP222" s="16" t="n">
        <v>45684</v>
      </c>
      <c r="BQ222" s="28" t="str">
        <f>HYPERLINK("https://organic.ams.usda.gov/Integrity/Certificate.aspx?cid=62&amp;nopid=8150001898")</f>
        <v>https://organic.ams.usda.gov/Integrity/Certificate.aspx?cid=62&amp;nopid=8150001898</v>
      </c>
    </row>
    <row r="223">
      <c r="A223" t="s">
        <v>3</v>
      </c>
      <c r="B223" s="6" t="s">
        <v>38</v>
      </c>
      <c r="C223" s="6" t="s">
        <v>104</v>
      </c>
      <c r="D223" s="6" t="s">
        <v>104</v>
      </c>
      <c r="E223" s="10" t="s">
        <v>421</v>
      </c>
      <c r="F223" s="6" t="s">
        <v>2679</v>
      </c>
      <c r="G223" s="6" t="s">
        <v>4692</v>
      </c>
      <c r="H223" s="6" t="s">
        <v>5092</v>
      </c>
      <c r="I223" s="6" t="s">
        <v>7081</v>
      </c>
      <c r="J223" s="6" t="s">
        <v>8148</v>
      </c>
      <c r="K223" s="6" t="s">
        <v>9714</v>
      </c>
      <c r="L223" s="16" t="n">
        <v>39993</v>
      </c>
      <c r="M223" s="16" t="n">
        <v>45837</v>
      </c>
      <c r="N223" s="6" t="s">
        <v>9714</v>
      </c>
      <c r="O223" s="16" t="n">
        <v>39993</v>
      </c>
      <c r="P223" s="6" t="s">
        <v>9795</v>
      </c>
      <c r="Q223" s="6" t="s">
        <v>104</v>
      </c>
      <c r="R223" s="6" t="s">
        <v>5092</v>
      </c>
      <c r="S223" s="6" t="s">
        <v>104</v>
      </c>
      <c r="T223" s="21" t="s">
        <v>104</v>
      </c>
      <c r="U223" s="6" t="s">
        <v>104</v>
      </c>
      <c r="V223" s="6" t="s">
        <v>104</v>
      </c>
      <c r="W223" s="6" t="s">
        <v>104</v>
      </c>
      <c r="X223" s="6" t="s">
        <v>104</v>
      </c>
      <c r="Y223" s="21" t="s">
        <v>104</v>
      </c>
      <c r="Z223" s="6" t="s">
        <v>104</v>
      </c>
      <c r="AA223" s="6" t="s">
        <v>104</v>
      </c>
      <c r="AB223" s="6" t="s">
        <v>104</v>
      </c>
      <c r="AC223" s="6" t="s">
        <v>104</v>
      </c>
      <c r="AD223" s="21" t="s">
        <v>104</v>
      </c>
      <c r="AE223" s="6" t="s">
        <v>104</v>
      </c>
      <c r="AF223" s="6" t="s">
        <v>104</v>
      </c>
      <c r="AG223" s="6" t="s">
        <v>104</v>
      </c>
      <c r="AH223" s="6" t="s">
        <v>13357</v>
      </c>
      <c r="AI223" s="6" t="s">
        <v>104</v>
      </c>
      <c r="AJ223" s="6" t="s">
        <v>15517</v>
      </c>
      <c r="AK223" s="6" t="s">
        <v>16687</v>
      </c>
      <c r="AL223" s="6" t="s">
        <v>16931</v>
      </c>
      <c r="AM223" s="6" t="s">
        <v>17133</v>
      </c>
      <c r="AN223" s="6" t="s">
        <v>104</v>
      </c>
      <c r="AO223" s="6" t="s">
        <v>104</v>
      </c>
      <c r="AP223" s="6" t="s">
        <v>13357</v>
      </c>
      <c r="AQ223" s="6" t="s">
        <v>104</v>
      </c>
      <c r="AR223" s="6" t="s">
        <v>15517</v>
      </c>
      <c r="AS223" s="6" t="s">
        <v>16687</v>
      </c>
      <c r="AT223" s="6" t="s">
        <v>16931</v>
      </c>
      <c r="AU223" s="6" t="s">
        <v>17133</v>
      </c>
      <c r="AV223" s="6" t="s">
        <v>104</v>
      </c>
      <c r="AW223" s="6" t="s">
        <v>104</v>
      </c>
      <c r="AX223" s="6" t="s">
        <v>20291</v>
      </c>
      <c r="AY223" s="6" t="s">
        <v>22032</v>
      </c>
      <c r="AZ223" s="6" t="s">
        <v>104</v>
      </c>
      <c r="BA223" s="6" t="s">
        <v>24285</v>
      </c>
      <c r="BB223" s="24" t="n">
        <v>253</v>
      </c>
      <c r="BC223" s="26"/>
      <c r="BD223" s="26"/>
      <c r="BE223" s="26"/>
      <c r="BF223" s="26"/>
      <c r="BG223" s="26"/>
      <c r="BH223" s="26"/>
      <c r="BI223" s="26"/>
      <c r="BJ223" s="26"/>
      <c r="BK223" s="26"/>
      <c r="BL223" s="26"/>
      <c r="BM223" s="26"/>
      <c r="BN223" s="26"/>
      <c r="BO223" s="26"/>
      <c r="BP223" s="16" t="n">
        <v>45733</v>
      </c>
      <c r="BQ223" s="28" t="str">
        <f>HYPERLINK("")</f>
      </c>
    </row>
    <row r="224">
      <c r="A224" t="s">
        <v>3</v>
      </c>
      <c r="B224" s="6" t="s">
        <v>25</v>
      </c>
      <c r="C224" s="6" t="s">
        <v>91</v>
      </c>
      <c r="D224" s="6" t="s">
        <v>156</v>
      </c>
      <c r="E224" s="10" t="s">
        <v>422</v>
      </c>
      <c r="F224" s="6" t="s">
        <v>2680</v>
      </c>
      <c r="G224" s="6" t="s">
        <v>4693</v>
      </c>
      <c r="H224" s="6" t="s">
        <v>5093</v>
      </c>
      <c r="I224" s="6" t="s">
        <v>6939</v>
      </c>
      <c r="J224" s="6" t="s">
        <v>8151</v>
      </c>
      <c r="K224" s="6" t="s">
        <v>9714</v>
      </c>
      <c r="L224" s="16" t="n">
        <v>40433</v>
      </c>
      <c r="M224" s="16" t="n">
        <v>45901</v>
      </c>
      <c r="N224" s="6" t="s">
        <v>104</v>
      </c>
      <c r="O224" s="21" t="s">
        <v>104</v>
      </c>
      <c r="P224" s="6" t="s">
        <v>104</v>
      </c>
      <c r="Q224" s="6" t="s">
        <v>104</v>
      </c>
      <c r="R224" s="6" t="s">
        <v>104</v>
      </c>
      <c r="S224" s="6" t="s">
        <v>104</v>
      </c>
      <c r="T224" s="21" t="s">
        <v>104</v>
      </c>
      <c r="U224" s="6" t="s">
        <v>104</v>
      </c>
      <c r="V224" s="6" t="s">
        <v>104</v>
      </c>
      <c r="W224" s="6" t="s">
        <v>104</v>
      </c>
      <c r="X224" s="6" t="s">
        <v>104</v>
      </c>
      <c r="Y224" s="21" t="s">
        <v>104</v>
      </c>
      <c r="Z224" s="6" t="s">
        <v>104</v>
      </c>
      <c r="AA224" s="6" t="s">
        <v>104</v>
      </c>
      <c r="AB224" s="6" t="s">
        <v>104</v>
      </c>
      <c r="AC224" s="6" t="s">
        <v>9714</v>
      </c>
      <c r="AD224" s="16" t="n">
        <v>40433</v>
      </c>
      <c r="AE224" s="6" t="s">
        <v>10717</v>
      </c>
      <c r="AF224" s="6" t="s">
        <v>104</v>
      </c>
      <c r="AG224" s="6" t="s">
        <v>104</v>
      </c>
      <c r="AH224" s="6" t="s">
        <v>13358</v>
      </c>
      <c r="AI224" s="6" t="s">
        <v>104</v>
      </c>
      <c r="AJ224" s="6" t="s">
        <v>15518</v>
      </c>
      <c r="AK224" s="6" t="s">
        <v>15865</v>
      </c>
      <c r="AL224" s="6" t="s">
        <v>16954</v>
      </c>
      <c r="AM224" s="6" t="s">
        <v>17134</v>
      </c>
      <c r="AN224" s="6" t="s">
        <v>104</v>
      </c>
      <c r="AO224" s="6" t="s">
        <v>104</v>
      </c>
      <c r="AP224" s="6" t="s">
        <v>19012</v>
      </c>
      <c r="AQ224" s="6" t="s">
        <v>104</v>
      </c>
      <c r="AR224" s="6" t="s">
        <v>15518</v>
      </c>
      <c r="AS224" s="6" t="s">
        <v>15865</v>
      </c>
      <c r="AT224" s="6" t="s">
        <v>16954</v>
      </c>
      <c r="AU224" s="6" t="s">
        <v>17134</v>
      </c>
      <c r="AV224" s="6" t="s">
        <v>104</v>
      </c>
      <c r="AW224" s="6" t="s">
        <v>104</v>
      </c>
      <c r="AX224" s="6" t="s">
        <v>20292</v>
      </c>
      <c r="AY224" s="6" t="s">
        <v>21875</v>
      </c>
      <c r="AZ224" s="6" t="s">
        <v>104</v>
      </c>
      <c r="BA224" s="6" t="s">
        <v>24264</v>
      </c>
      <c r="BB224" s="6" t="s">
        <v>104</v>
      </c>
      <c r="BC224" s="26"/>
      <c r="BD224" s="26"/>
      <c r="BE224" s="26"/>
      <c r="BF224" s="26"/>
      <c r="BG224" s="26"/>
      <c r="BH224" s="26"/>
      <c r="BI224" s="26"/>
      <c r="BJ224" s="26"/>
      <c r="BK224" s="26"/>
      <c r="BL224" s="26"/>
      <c r="BM224" s="26"/>
      <c r="BN224" s="26"/>
      <c r="BO224" s="26"/>
      <c r="BP224" s="16" t="n">
        <v>45700</v>
      </c>
      <c r="BQ224" s="28" t="str">
        <f>HYPERLINK("https://organic.ams.usda.gov/Integrity/Certificate.aspx?cid=66&amp;nopid=5500001437")</f>
        <v>https://organic.ams.usda.gov/Integrity/Certificate.aspx?cid=66&amp;nopid=5500001437</v>
      </c>
    </row>
    <row r="225">
      <c r="A225" t="s">
        <v>3</v>
      </c>
      <c r="B225" s="6" t="s">
        <v>21</v>
      </c>
      <c r="C225" s="6" t="s">
        <v>87</v>
      </c>
      <c r="D225" s="6" t="s">
        <v>152</v>
      </c>
      <c r="E225" s="10" t="s">
        <v>423</v>
      </c>
      <c r="F225" s="6" t="s">
        <v>2681</v>
      </c>
      <c r="G225" s="6" t="s">
        <v>104</v>
      </c>
      <c r="H225" s="6" t="s">
        <v>5094</v>
      </c>
      <c r="I225" s="6" t="s">
        <v>7082</v>
      </c>
      <c r="J225" s="6" t="s">
        <v>8300</v>
      </c>
      <c r="K225" s="6" t="s">
        <v>9714</v>
      </c>
      <c r="L225" s="16" t="n">
        <v>44666</v>
      </c>
      <c r="M225" s="16" t="n">
        <v>46023</v>
      </c>
      <c r="N225" s="6" t="s">
        <v>104</v>
      </c>
      <c r="O225" s="21" t="s">
        <v>104</v>
      </c>
      <c r="P225" s="6" t="s">
        <v>104</v>
      </c>
      <c r="Q225" s="6" t="s">
        <v>104</v>
      </c>
      <c r="R225" s="6" t="s">
        <v>104</v>
      </c>
      <c r="S225" s="6" t="s">
        <v>104</v>
      </c>
      <c r="T225" s="21" t="s">
        <v>104</v>
      </c>
      <c r="U225" s="6" t="s">
        <v>104</v>
      </c>
      <c r="V225" s="6" t="s">
        <v>104</v>
      </c>
      <c r="W225" s="6" t="s">
        <v>104</v>
      </c>
      <c r="X225" s="6" t="s">
        <v>104</v>
      </c>
      <c r="Y225" s="21" t="s">
        <v>104</v>
      </c>
      <c r="Z225" s="6" t="s">
        <v>104</v>
      </c>
      <c r="AA225" s="6" t="s">
        <v>104</v>
      </c>
      <c r="AB225" s="6" t="s">
        <v>104</v>
      </c>
      <c r="AC225" s="6" t="s">
        <v>9714</v>
      </c>
      <c r="AD225" s="16" t="n">
        <v>44666</v>
      </c>
      <c r="AE225" s="6" t="s">
        <v>10718</v>
      </c>
      <c r="AF225" s="6" t="s">
        <v>104</v>
      </c>
      <c r="AG225" s="6" t="s">
        <v>104</v>
      </c>
      <c r="AH225" s="6" t="s">
        <v>13359</v>
      </c>
      <c r="AI225" s="6" t="s">
        <v>104</v>
      </c>
      <c r="AJ225" s="6" t="s">
        <v>15519</v>
      </c>
      <c r="AK225" s="6" t="s">
        <v>16684</v>
      </c>
      <c r="AL225" s="6" t="s">
        <v>16931</v>
      </c>
      <c r="AM225" s="6" t="s">
        <v>17135</v>
      </c>
      <c r="AN225" s="6" t="s">
        <v>18488</v>
      </c>
      <c r="AO225" s="6" t="s">
        <v>18605</v>
      </c>
      <c r="AP225" s="6" t="s">
        <v>13359</v>
      </c>
      <c r="AQ225" s="6" t="s">
        <v>104</v>
      </c>
      <c r="AR225" s="6" t="s">
        <v>15519</v>
      </c>
      <c r="AS225" s="6" t="s">
        <v>16684</v>
      </c>
      <c r="AT225" s="6" t="s">
        <v>16931</v>
      </c>
      <c r="AU225" s="6" t="s">
        <v>17135</v>
      </c>
      <c r="AV225" s="6" t="s">
        <v>104</v>
      </c>
      <c r="AW225" s="6" t="s">
        <v>104</v>
      </c>
      <c r="AX225" s="6" t="s">
        <v>20293</v>
      </c>
      <c r="AY225" s="6" t="s">
        <v>22033</v>
      </c>
      <c r="AZ225" s="6" t="s">
        <v>23740</v>
      </c>
      <c r="BA225" s="6" t="s">
        <v>104</v>
      </c>
      <c r="BB225" s="6" t="s">
        <v>104</v>
      </c>
      <c r="BC225" s="26"/>
      <c r="BD225" s="26"/>
      <c r="BE225" s="26"/>
      <c r="BF225" s="26"/>
      <c r="BG225" s="26"/>
      <c r="BH225" s="26"/>
      <c r="BI225" s="26"/>
      <c r="BJ225" s="26"/>
      <c r="BK225" s="26"/>
      <c r="BL225" s="26"/>
      <c r="BM225" s="26"/>
      <c r="BN225" s="26"/>
      <c r="BO225" s="26"/>
      <c r="BP225" s="16" t="n">
        <v>45667</v>
      </c>
      <c r="BQ225" s="28" t="str">
        <f>HYPERLINK("https://organic.ams.usda.gov/Integrity/Certificate.aspx?cid=15&amp;nopid=5561007247")</f>
        <v>https://organic.ams.usda.gov/Integrity/Certificate.aspx?cid=15&amp;nopid=5561007247</v>
      </c>
    </row>
    <row r="226">
      <c r="A226" t="s">
        <v>3</v>
      </c>
      <c r="B226" s="6" t="s">
        <v>28</v>
      </c>
      <c r="C226" s="6" t="s">
        <v>94</v>
      </c>
      <c r="D226" s="6" t="s">
        <v>159</v>
      </c>
      <c r="E226" s="10" t="s">
        <v>424</v>
      </c>
      <c r="F226" s="6" t="s">
        <v>2682</v>
      </c>
      <c r="G226" s="6" t="s">
        <v>104</v>
      </c>
      <c r="H226" s="6" t="s">
        <v>5095</v>
      </c>
      <c r="I226" s="6" t="s">
        <v>7083</v>
      </c>
      <c r="J226" s="6" t="s">
        <v>8301</v>
      </c>
      <c r="K226" s="6" t="s">
        <v>9714</v>
      </c>
      <c r="L226" s="16" t="n">
        <v>42026</v>
      </c>
      <c r="M226" s="16" t="n">
        <v>45748</v>
      </c>
      <c r="N226" s="6" t="s">
        <v>9714</v>
      </c>
      <c r="O226" s="16" t="n">
        <v>42026</v>
      </c>
      <c r="P226" s="6" t="s">
        <v>9796</v>
      </c>
      <c r="Q226" s="6" t="s">
        <v>104</v>
      </c>
      <c r="R226" s="6" t="s">
        <v>10318</v>
      </c>
      <c r="S226" s="6" t="s">
        <v>104</v>
      </c>
      <c r="T226" s="21" t="s">
        <v>104</v>
      </c>
      <c r="U226" s="6" t="s">
        <v>104</v>
      </c>
      <c r="V226" s="6" t="s">
        <v>104</v>
      </c>
      <c r="W226" s="6" t="s">
        <v>104</v>
      </c>
      <c r="X226" s="6" t="s">
        <v>104</v>
      </c>
      <c r="Y226" s="21" t="s">
        <v>104</v>
      </c>
      <c r="Z226" s="6" t="s">
        <v>104</v>
      </c>
      <c r="AA226" s="6" t="s">
        <v>104</v>
      </c>
      <c r="AB226" s="6" t="s">
        <v>104</v>
      </c>
      <c r="AC226" s="6" t="s">
        <v>9714</v>
      </c>
      <c r="AD226" s="16" t="n">
        <v>42026</v>
      </c>
      <c r="AE226" s="6" t="s">
        <v>10719</v>
      </c>
      <c r="AF226" s="6" t="s">
        <v>104</v>
      </c>
      <c r="AG226" s="6" t="s">
        <v>10318</v>
      </c>
      <c r="AH226" s="6" t="s">
        <v>13360</v>
      </c>
      <c r="AI226" s="6" t="s">
        <v>15238</v>
      </c>
      <c r="AJ226" s="6" t="s">
        <v>15520</v>
      </c>
      <c r="AK226" s="6" t="s">
        <v>104</v>
      </c>
      <c r="AL226" s="6" t="s">
        <v>16898</v>
      </c>
      <c r="AM226" s="6" t="s">
        <v>104</v>
      </c>
      <c r="AN226" s="6" t="s">
        <v>104</v>
      </c>
      <c r="AO226" s="6" t="s">
        <v>104</v>
      </c>
      <c r="AP226" s="6" t="s">
        <v>104</v>
      </c>
      <c r="AQ226" s="6" t="s">
        <v>104</v>
      </c>
      <c r="AR226" s="6" t="s">
        <v>104</v>
      </c>
      <c r="AS226" s="6" t="s">
        <v>104</v>
      </c>
      <c r="AT226" s="6" t="s">
        <v>104</v>
      </c>
      <c r="AU226" s="6" t="s">
        <v>104</v>
      </c>
      <c r="AV226" s="6" t="s">
        <v>104</v>
      </c>
      <c r="AW226" s="6" t="s">
        <v>104</v>
      </c>
      <c r="AX226" s="6" t="s">
        <v>20294</v>
      </c>
      <c r="AY226" s="6" t="s">
        <v>22034</v>
      </c>
      <c r="AZ226" s="6" t="s">
        <v>104</v>
      </c>
      <c r="BA226" s="6" t="s">
        <v>104</v>
      </c>
      <c r="BB226" s="24" t="n">
        <v>69</v>
      </c>
      <c r="BC226" s="26"/>
      <c r="BD226" s="26"/>
      <c r="BE226" s="26"/>
      <c r="BF226" s="26"/>
      <c r="BG226" s="26"/>
      <c r="BH226" s="26"/>
      <c r="BI226" s="26"/>
      <c r="BJ226" s="26"/>
      <c r="BK226" s="26"/>
      <c r="BL226" s="26"/>
      <c r="BM226" s="26"/>
      <c r="BN226" s="26"/>
      <c r="BO226" s="26"/>
      <c r="BP226" s="16" t="n">
        <v>45678</v>
      </c>
      <c r="BQ226" s="28" t="str">
        <f>HYPERLINK("https://organic.ams.usda.gov/Integrity/Certificate.aspx?cid=11&amp;nopid=4799058000")</f>
        <v>https://organic.ams.usda.gov/Integrity/Certificate.aspx?cid=11&amp;nopid=4799058000</v>
      </c>
    </row>
    <row r="227">
      <c r="A227" t="s">
        <v>3</v>
      </c>
      <c r="B227" s="6" t="s">
        <v>31</v>
      </c>
      <c r="C227" s="6" t="s">
        <v>97</v>
      </c>
      <c r="D227" s="6" t="s">
        <v>162</v>
      </c>
      <c r="E227" s="10" t="s">
        <v>425</v>
      </c>
      <c r="F227" s="6" t="s">
        <v>2683</v>
      </c>
      <c r="G227" s="6" t="s">
        <v>104</v>
      </c>
      <c r="H227" s="6" t="s">
        <v>5096</v>
      </c>
      <c r="I227" s="6" t="s">
        <v>7084</v>
      </c>
      <c r="J227" s="6" t="s">
        <v>8302</v>
      </c>
      <c r="K227" s="6" t="s">
        <v>9714</v>
      </c>
      <c r="L227" s="16" t="n">
        <v>45728</v>
      </c>
      <c r="M227" s="16" t="n">
        <v>46093</v>
      </c>
      <c r="N227" s="6" t="s">
        <v>9714</v>
      </c>
      <c r="O227" s="16" t="n">
        <v>45728</v>
      </c>
      <c r="P227" s="6" t="s">
        <v>9797</v>
      </c>
      <c r="Q227" s="6" t="s">
        <v>104</v>
      </c>
      <c r="R227" s="6" t="s">
        <v>10319</v>
      </c>
      <c r="S227" s="6" t="s">
        <v>104</v>
      </c>
      <c r="T227" s="21" t="s">
        <v>104</v>
      </c>
      <c r="U227" s="6" t="s">
        <v>104</v>
      </c>
      <c r="V227" s="6" t="s">
        <v>104</v>
      </c>
      <c r="W227" s="6" t="s">
        <v>104</v>
      </c>
      <c r="X227" s="6" t="s">
        <v>104</v>
      </c>
      <c r="Y227" s="21" t="s">
        <v>104</v>
      </c>
      <c r="Z227" s="6" t="s">
        <v>104</v>
      </c>
      <c r="AA227" s="6" t="s">
        <v>104</v>
      </c>
      <c r="AB227" s="6" t="s">
        <v>104</v>
      </c>
      <c r="AC227" s="6" t="s">
        <v>104</v>
      </c>
      <c r="AD227" s="21" t="s">
        <v>104</v>
      </c>
      <c r="AE227" s="6" t="s">
        <v>104</v>
      </c>
      <c r="AF227" s="6" t="s">
        <v>104</v>
      </c>
      <c r="AG227" s="6" t="s">
        <v>104</v>
      </c>
      <c r="AH227" s="6" t="s">
        <v>13361</v>
      </c>
      <c r="AI227" s="6" t="s">
        <v>104</v>
      </c>
      <c r="AJ227" s="6" t="s">
        <v>15521</v>
      </c>
      <c r="AK227" s="6" t="s">
        <v>16270</v>
      </c>
      <c r="AL227" s="6" t="s">
        <v>16932</v>
      </c>
      <c r="AM227" s="6" t="s">
        <v>17136</v>
      </c>
      <c r="AN227" s="6" t="s">
        <v>104</v>
      </c>
      <c r="AO227" s="6" t="s">
        <v>104</v>
      </c>
      <c r="AP227" s="6" t="s">
        <v>13361</v>
      </c>
      <c r="AQ227" s="6" t="s">
        <v>104</v>
      </c>
      <c r="AR227" s="6" t="s">
        <v>15521</v>
      </c>
      <c r="AS227" s="6" t="s">
        <v>16270</v>
      </c>
      <c r="AT227" s="6" t="s">
        <v>16932</v>
      </c>
      <c r="AU227" s="6" t="s">
        <v>17136</v>
      </c>
      <c r="AV227" s="6" t="s">
        <v>104</v>
      </c>
      <c r="AW227" s="6" t="s">
        <v>104</v>
      </c>
      <c r="AX227" s="6" t="s">
        <v>20295</v>
      </c>
      <c r="AY227" s="6" t="s">
        <v>22035</v>
      </c>
      <c r="AZ227" s="6" t="s">
        <v>104</v>
      </c>
      <c r="BA227" s="6" t="s">
        <v>104</v>
      </c>
      <c r="BB227" s="24" t="n">
        <v>2441</v>
      </c>
      <c r="BC227" s="26"/>
      <c r="BD227" s="26"/>
      <c r="BE227" s="26"/>
      <c r="BF227" s="26"/>
      <c r="BG227" s="26"/>
      <c r="BH227" s="26"/>
      <c r="BI227" s="26"/>
      <c r="BJ227" s="26"/>
      <c r="BK227" s="26"/>
      <c r="BL227" s="26"/>
      <c r="BM227" s="26"/>
      <c r="BN227" s="26"/>
      <c r="BO227" s="26" t="s">
        <v>24533</v>
      </c>
      <c r="BP227" s="16" t="n">
        <v>45728</v>
      </c>
      <c r="BQ227" s="28" t="str">
        <f>HYPERLINK("https://organic.ams.usda.gov/Integrity/Certificate.aspx?cid=43&amp;nopid=3539866217")</f>
        <v>https://organic.ams.usda.gov/Integrity/Certificate.aspx?cid=43&amp;nopid=3539866217</v>
      </c>
    </row>
    <row r="228">
      <c r="A228" t="s">
        <v>3</v>
      </c>
      <c r="B228" s="6" t="s">
        <v>34</v>
      </c>
      <c r="C228" s="6" t="s">
        <v>100</v>
      </c>
      <c r="D228" s="6" t="s">
        <v>165</v>
      </c>
      <c r="E228" s="10" t="s">
        <v>426</v>
      </c>
      <c r="F228" s="6" t="s">
        <v>2684</v>
      </c>
      <c r="G228" s="6" t="s">
        <v>104</v>
      </c>
      <c r="H228" s="6" t="s">
        <v>5097</v>
      </c>
      <c r="I228" s="6" t="s">
        <v>7085</v>
      </c>
      <c r="J228" s="6" t="s">
        <v>8303</v>
      </c>
      <c r="K228" s="6" t="s">
        <v>9714</v>
      </c>
      <c r="L228" s="16" t="n">
        <v>39112</v>
      </c>
      <c r="M228" s="16" t="n">
        <v>45986</v>
      </c>
      <c r="N228" s="6" t="s">
        <v>104</v>
      </c>
      <c r="O228" s="21" t="s">
        <v>104</v>
      </c>
      <c r="P228" s="6" t="s">
        <v>104</v>
      </c>
      <c r="Q228" s="6" t="s">
        <v>104</v>
      </c>
      <c r="R228" s="6" t="s">
        <v>104</v>
      </c>
      <c r="S228" s="6" t="s">
        <v>104</v>
      </c>
      <c r="T228" s="21" t="s">
        <v>104</v>
      </c>
      <c r="U228" s="6" t="s">
        <v>104</v>
      </c>
      <c r="V228" s="6" t="s">
        <v>104</v>
      </c>
      <c r="W228" s="6" t="s">
        <v>104</v>
      </c>
      <c r="X228" s="6" t="s">
        <v>104</v>
      </c>
      <c r="Y228" s="21" t="s">
        <v>104</v>
      </c>
      <c r="Z228" s="6" t="s">
        <v>104</v>
      </c>
      <c r="AA228" s="6" t="s">
        <v>104</v>
      </c>
      <c r="AB228" s="6" t="s">
        <v>104</v>
      </c>
      <c r="AC228" s="6" t="s">
        <v>9714</v>
      </c>
      <c r="AD228" s="16" t="n">
        <v>39112</v>
      </c>
      <c r="AE228" s="6" t="s">
        <v>10720</v>
      </c>
      <c r="AF228" s="6" t="s">
        <v>104</v>
      </c>
      <c r="AG228" s="6" t="s">
        <v>12538</v>
      </c>
      <c r="AH228" s="6" t="s">
        <v>13362</v>
      </c>
      <c r="AI228" s="6" t="s">
        <v>104</v>
      </c>
      <c r="AJ228" s="6" t="s">
        <v>15522</v>
      </c>
      <c r="AK228" s="6" t="s">
        <v>16706</v>
      </c>
      <c r="AL228" s="6" t="s">
        <v>16931</v>
      </c>
      <c r="AM228" s="6" t="s">
        <v>17137</v>
      </c>
      <c r="AN228" s="6" t="s">
        <v>5759</v>
      </c>
      <c r="AO228" s="6" t="s">
        <v>18606</v>
      </c>
      <c r="AP228" s="6" t="s">
        <v>13362</v>
      </c>
      <c r="AQ228" s="6" t="s">
        <v>104</v>
      </c>
      <c r="AR228" s="6" t="s">
        <v>15522</v>
      </c>
      <c r="AS228" s="6" t="s">
        <v>16706</v>
      </c>
      <c r="AT228" s="6" t="s">
        <v>16931</v>
      </c>
      <c r="AU228" s="6" t="s">
        <v>17137</v>
      </c>
      <c r="AV228" s="6" t="s">
        <v>104</v>
      </c>
      <c r="AW228" s="6" t="s">
        <v>104</v>
      </c>
      <c r="AX228" s="6" t="s">
        <v>20296</v>
      </c>
      <c r="AY228" s="6" t="s">
        <v>22036</v>
      </c>
      <c r="AZ228" s="6" t="s">
        <v>104</v>
      </c>
      <c r="BA228" s="6" t="s">
        <v>104</v>
      </c>
      <c r="BB228" s="6" t="s">
        <v>104</v>
      </c>
      <c r="BC228" s="26"/>
      <c r="BD228" s="26"/>
      <c r="BE228" s="26" t="s">
        <v>24533</v>
      </c>
      <c r="BF228" s="26"/>
      <c r="BG228" s="26"/>
      <c r="BH228" s="26"/>
      <c r="BI228" s="26"/>
      <c r="BJ228" s="26"/>
      <c r="BK228" s="26"/>
      <c r="BL228" s="26"/>
      <c r="BM228" s="26"/>
      <c r="BN228" s="26"/>
      <c r="BO228" s="26"/>
      <c r="BP228" s="16" t="n">
        <v>45737</v>
      </c>
      <c r="BQ228" s="28" t="str">
        <f>HYPERLINK("https://organic.ams.usda.gov/Integrity/Certificate.aspx?cid=71&amp;nopid=5520030327")</f>
        <v>https://organic.ams.usda.gov/Integrity/Certificate.aspx?cid=71&amp;nopid=5520030327</v>
      </c>
    </row>
    <row r="229">
      <c r="A229" t="s">
        <v>3</v>
      </c>
      <c r="B229" s="6" t="s">
        <v>23</v>
      </c>
      <c r="C229" s="6" t="s">
        <v>89</v>
      </c>
      <c r="D229" s="6" t="s">
        <v>154</v>
      </c>
      <c r="E229" s="10" t="s">
        <v>427</v>
      </c>
      <c r="F229" s="6" t="s">
        <v>2685</v>
      </c>
      <c r="G229" s="6" t="s">
        <v>104</v>
      </c>
      <c r="H229" s="6" t="s">
        <v>5098</v>
      </c>
      <c r="I229" s="6" t="s">
        <v>7086</v>
      </c>
      <c r="J229" s="6" t="s">
        <v>8304</v>
      </c>
      <c r="K229" s="6" t="s">
        <v>9714</v>
      </c>
      <c r="L229" s="16" t="n">
        <v>42606</v>
      </c>
      <c r="M229" s="16" t="n">
        <v>45689</v>
      </c>
      <c r="N229" s="6" t="s">
        <v>104</v>
      </c>
      <c r="O229" s="21" t="s">
        <v>104</v>
      </c>
      <c r="P229" s="6" t="s">
        <v>104</v>
      </c>
      <c r="Q229" s="6" t="s">
        <v>104</v>
      </c>
      <c r="R229" s="6" t="s">
        <v>104</v>
      </c>
      <c r="S229" s="6" t="s">
        <v>104</v>
      </c>
      <c r="T229" s="21" t="s">
        <v>104</v>
      </c>
      <c r="U229" s="6" t="s">
        <v>104</v>
      </c>
      <c r="V229" s="6" t="s">
        <v>104</v>
      </c>
      <c r="W229" s="6" t="s">
        <v>104</v>
      </c>
      <c r="X229" s="6" t="s">
        <v>104</v>
      </c>
      <c r="Y229" s="21" t="s">
        <v>104</v>
      </c>
      <c r="Z229" s="6" t="s">
        <v>104</v>
      </c>
      <c r="AA229" s="6" t="s">
        <v>104</v>
      </c>
      <c r="AB229" s="6" t="s">
        <v>104</v>
      </c>
      <c r="AC229" s="6" t="s">
        <v>9714</v>
      </c>
      <c r="AD229" s="16" t="n">
        <v>42606</v>
      </c>
      <c r="AE229" s="6" t="s">
        <v>10721</v>
      </c>
      <c r="AF229" s="6" t="s">
        <v>104</v>
      </c>
      <c r="AG229" s="6" t="s">
        <v>5098</v>
      </c>
      <c r="AH229" s="6" t="s">
        <v>13363</v>
      </c>
      <c r="AI229" s="6" t="s">
        <v>104</v>
      </c>
      <c r="AJ229" s="6" t="s">
        <v>15523</v>
      </c>
      <c r="AK229" s="6" t="s">
        <v>16710</v>
      </c>
      <c r="AL229" s="6" t="s">
        <v>16931</v>
      </c>
      <c r="AM229" s="6" t="s">
        <v>17138</v>
      </c>
      <c r="AN229" s="6" t="s">
        <v>18479</v>
      </c>
      <c r="AO229" s="6" t="s">
        <v>18607</v>
      </c>
      <c r="AP229" s="6" t="s">
        <v>104</v>
      </c>
      <c r="AQ229" s="6" t="s">
        <v>104</v>
      </c>
      <c r="AR229" s="6" t="s">
        <v>104</v>
      </c>
      <c r="AS229" s="6" t="s">
        <v>104</v>
      </c>
      <c r="AT229" s="6" t="s">
        <v>104</v>
      </c>
      <c r="AU229" s="6" t="s">
        <v>104</v>
      </c>
      <c r="AV229" s="6" t="s">
        <v>104</v>
      </c>
      <c r="AW229" s="6" t="s">
        <v>104</v>
      </c>
      <c r="AX229" s="6" t="s">
        <v>20297</v>
      </c>
      <c r="AY229" s="6" t="s">
        <v>22037</v>
      </c>
      <c r="AZ229" s="6" t="s">
        <v>23741</v>
      </c>
      <c r="BA229" s="6" t="s">
        <v>24261</v>
      </c>
      <c r="BB229" s="24" t="n">
        <v>0</v>
      </c>
      <c r="BC229" s="26"/>
      <c r="BD229" s="26"/>
      <c r="BE229" s="26"/>
      <c r="BF229" s="26"/>
      <c r="BG229" s="26" t="s">
        <v>24533</v>
      </c>
      <c r="BH229" s="26" t="s">
        <v>24533</v>
      </c>
      <c r="BI229" s="26"/>
      <c r="BJ229" s="26"/>
      <c r="BK229" s="26"/>
      <c r="BL229" s="26"/>
      <c r="BM229" s="26"/>
      <c r="BN229" s="26"/>
      <c r="BO229" s="26"/>
      <c r="BP229" s="16" t="n">
        <v>45737</v>
      </c>
      <c r="BQ229" s="28" t="str">
        <f>HYPERLINK("https://organic.ams.usda.gov/Integrity/Certificate.aspx?cid=45&amp;nopid=9950009745")</f>
        <v>https://organic.ams.usda.gov/Integrity/Certificate.aspx?cid=45&amp;nopid=9950009745</v>
      </c>
    </row>
    <row r="230">
      <c r="A230" t="s">
        <v>3</v>
      </c>
      <c r="B230" s="6" t="s">
        <v>13</v>
      </c>
      <c r="C230" s="6" t="s">
        <v>79</v>
      </c>
      <c r="D230" s="6" t="s">
        <v>144</v>
      </c>
      <c r="E230" s="10" t="s">
        <v>428</v>
      </c>
      <c r="F230" s="6" t="s">
        <v>2686</v>
      </c>
      <c r="G230" s="6" t="s">
        <v>104</v>
      </c>
      <c r="H230" s="6" t="s">
        <v>5099</v>
      </c>
      <c r="I230" s="6" t="s">
        <v>7087</v>
      </c>
      <c r="J230" s="6" t="s">
        <v>8305</v>
      </c>
      <c r="K230" s="6" t="s">
        <v>9714</v>
      </c>
      <c r="L230" s="16" t="n">
        <v>37375</v>
      </c>
      <c r="M230" s="16" t="n">
        <v>46113</v>
      </c>
      <c r="N230" s="6" t="s">
        <v>104</v>
      </c>
      <c r="O230" s="21" t="s">
        <v>104</v>
      </c>
      <c r="P230" s="6" t="s">
        <v>104</v>
      </c>
      <c r="Q230" s="6" t="s">
        <v>104</v>
      </c>
      <c r="R230" s="6" t="s">
        <v>104</v>
      </c>
      <c r="S230" s="6" t="s">
        <v>104</v>
      </c>
      <c r="T230" s="21" t="s">
        <v>104</v>
      </c>
      <c r="U230" s="6" t="s">
        <v>104</v>
      </c>
      <c r="V230" s="6" t="s">
        <v>104</v>
      </c>
      <c r="W230" s="6" t="s">
        <v>104</v>
      </c>
      <c r="X230" s="6" t="s">
        <v>104</v>
      </c>
      <c r="Y230" s="21" t="s">
        <v>104</v>
      </c>
      <c r="Z230" s="6" t="s">
        <v>104</v>
      </c>
      <c r="AA230" s="6" t="s">
        <v>104</v>
      </c>
      <c r="AB230" s="6" t="s">
        <v>104</v>
      </c>
      <c r="AC230" s="6" t="s">
        <v>9714</v>
      </c>
      <c r="AD230" s="16" t="n">
        <v>37375</v>
      </c>
      <c r="AE230" s="6" t="s">
        <v>10722</v>
      </c>
      <c r="AF230" s="6" t="s">
        <v>104</v>
      </c>
      <c r="AG230" s="6" t="s">
        <v>104</v>
      </c>
      <c r="AH230" s="6" t="s">
        <v>104</v>
      </c>
      <c r="AI230" s="6" t="s">
        <v>104</v>
      </c>
      <c r="AJ230" s="6" t="s">
        <v>104</v>
      </c>
      <c r="AK230" s="6" t="s">
        <v>104</v>
      </c>
      <c r="AL230" s="6" t="s">
        <v>104</v>
      </c>
      <c r="AM230" s="6" t="s">
        <v>104</v>
      </c>
      <c r="AN230" s="6" t="s">
        <v>104</v>
      </c>
      <c r="AO230" s="6" t="s">
        <v>104</v>
      </c>
      <c r="AP230" s="6" t="s">
        <v>19013</v>
      </c>
      <c r="AQ230" s="6" t="s">
        <v>104</v>
      </c>
      <c r="AR230" s="6" t="s">
        <v>15376</v>
      </c>
      <c r="AS230" s="6" t="s">
        <v>16705</v>
      </c>
      <c r="AT230" s="6" t="s">
        <v>16931</v>
      </c>
      <c r="AU230" s="6" t="s">
        <v>19829</v>
      </c>
      <c r="AV230" s="6" t="s">
        <v>18464</v>
      </c>
      <c r="AW230" s="6" t="s">
        <v>18756</v>
      </c>
      <c r="AX230" s="6" t="s">
        <v>20298</v>
      </c>
      <c r="AY230" s="6" t="s">
        <v>22038</v>
      </c>
      <c r="AZ230" s="6" t="s">
        <v>23742</v>
      </c>
      <c r="BA230" s="6" t="s">
        <v>104</v>
      </c>
      <c r="BB230" s="6" t="s">
        <v>104</v>
      </c>
      <c r="BC230" s="26"/>
      <c r="BD230" s="26"/>
      <c r="BE230" s="26" t="s">
        <v>24533</v>
      </c>
      <c r="BF230" s="26"/>
      <c r="BG230" s="26"/>
      <c r="BH230" s="26"/>
      <c r="BI230" s="26"/>
      <c r="BJ230" s="26"/>
      <c r="BK230" s="26"/>
      <c r="BL230" s="26"/>
      <c r="BM230" s="26"/>
      <c r="BN230" s="26"/>
      <c r="BO230" s="26"/>
      <c r="BP230" s="16" t="n">
        <v>45724</v>
      </c>
      <c r="BQ230" s="28" t="str">
        <f>HYPERLINK("https://organic.ams.usda.gov/Integrity/Certificate.aspx?cid=62&amp;nopid=8150000721")</f>
        <v>https://organic.ams.usda.gov/Integrity/Certificate.aspx?cid=62&amp;nopid=8150000721</v>
      </c>
    </row>
    <row r="231">
      <c r="A231" t="s">
        <v>3</v>
      </c>
      <c r="B231" s="6" t="s">
        <v>13</v>
      </c>
      <c r="C231" s="6" t="s">
        <v>79</v>
      </c>
      <c r="D231" s="6" t="s">
        <v>144</v>
      </c>
      <c r="E231" s="10" t="s">
        <v>429</v>
      </c>
      <c r="F231" s="6" t="s">
        <v>2687</v>
      </c>
      <c r="G231" s="6" t="s">
        <v>104</v>
      </c>
      <c r="H231" s="6" t="s">
        <v>5100</v>
      </c>
      <c r="I231" s="6" t="s">
        <v>7087</v>
      </c>
      <c r="J231" s="6" t="s">
        <v>8305</v>
      </c>
      <c r="K231" s="6" t="s">
        <v>9714</v>
      </c>
      <c r="L231" s="16" t="n">
        <v>42762</v>
      </c>
      <c r="M231" s="16" t="n">
        <v>46023</v>
      </c>
      <c r="N231" s="6" t="s">
        <v>104</v>
      </c>
      <c r="O231" s="21" t="s">
        <v>104</v>
      </c>
      <c r="P231" s="6" t="s">
        <v>104</v>
      </c>
      <c r="Q231" s="6" t="s">
        <v>104</v>
      </c>
      <c r="R231" s="6" t="s">
        <v>104</v>
      </c>
      <c r="S231" s="6" t="s">
        <v>104</v>
      </c>
      <c r="T231" s="21" t="s">
        <v>104</v>
      </c>
      <c r="U231" s="6" t="s">
        <v>104</v>
      </c>
      <c r="V231" s="6" t="s">
        <v>104</v>
      </c>
      <c r="W231" s="6" t="s">
        <v>104</v>
      </c>
      <c r="X231" s="6" t="s">
        <v>104</v>
      </c>
      <c r="Y231" s="21" t="s">
        <v>104</v>
      </c>
      <c r="Z231" s="6" t="s">
        <v>104</v>
      </c>
      <c r="AA231" s="6" t="s">
        <v>104</v>
      </c>
      <c r="AB231" s="6" t="s">
        <v>104</v>
      </c>
      <c r="AC231" s="6" t="s">
        <v>9714</v>
      </c>
      <c r="AD231" s="16" t="n">
        <v>42762</v>
      </c>
      <c r="AE231" s="6" t="s">
        <v>10723</v>
      </c>
      <c r="AF231" s="6" t="s">
        <v>104</v>
      </c>
      <c r="AG231" s="6" t="s">
        <v>104</v>
      </c>
      <c r="AH231" s="6" t="s">
        <v>104</v>
      </c>
      <c r="AI231" s="6" t="s">
        <v>104</v>
      </c>
      <c r="AJ231" s="6" t="s">
        <v>104</v>
      </c>
      <c r="AK231" s="6" t="s">
        <v>104</v>
      </c>
      <c r="AL231" s="6" t="s">
        <v>104</v>
      </c>
      <c r="AM231" s="6" t="s">
        <v>104</v>
      </c>
      <c r="AN231" s="6" t="s">
        <v>104</v>
      </c>
      <c r="AO231" s="6" t="s">
        <v>104</v>
      </c>
      <c r="AP231" s="6" t="s">
        <v>19014</v>
      </c>
      <c r="AQ231" s="6" t="s">
        <v>104</v>
      </c>
      <c r="AR231" s="6" t="s">
        <v>16563</v>
      </c>
      <c r="AS231" s="6" t="s">
        <v>16706</v>
      </c>
      <c r="AT231" s="6" t="s">
        <v>16931</v>
      </c>
      <c r="AU231" s="6" t="s">
        <v>19830</v>
      </c>
      <c r="AV231" s="6" t="s">
        <v>18511</v>
      </c>
      <c r="AW231" s="6" t="s">
        <v>18630</v>
      </c>
      <c r="AX231" s="6" t="s">
        <v>20298</v>
      </c>
      <c r="AY231" s="6" t="s">
        <v>22039</v>
      </c>
      <c r="AZ231" s="6" t="s">
        <v>104</v>
      </c>
      <c r="BA231" s="6" t="s">
        <v>104</v>
      </c>
      <c r="BB231" s="6" t="s">
        <v>104</v>
      </c>
      <c r="BC231" s="26"/>
      <c r="BD231" s="26"/>
      <c r="BE231" s="26" t="s">
        <v>24533</v>
      </c>
      <c r="BF231" s="26"/>
      <c r="BG231" s="26"/>
      <c r="BH231" s="26"/>
      <c r="BI231" s="26"/>
      <c r="BJ231" s="26"/>
      <c r="BK231" s="26"/>
      <c r="BL231" s="26"/>
      <c r="BM231" s="26"/>
      <c r="BN231" s="26"/>
      <c r="BO231" s="26"/>
      <c r="BP231" s="16" t="n">
        <v>45722</v>
      </c>
      <c r="BQ231" s="28" t="str">
        <f>HYPERLINK("https://organic.ams.usda.gov/Integrity/Certificate.aspx?cid=62&amp;nopid=8150003917")</f>
        <v>https://organic.ams.usda.gov/Integrity/Certificate.aspx?cid=62&amp;nopid=8150003917</v>
      </c>
    </row>
    <row r="232">
      <c r="A232" t="s">
        <v>3</v>
      </c>
      <c r="B232" s="6" t="s">
        <v>8</v>
      </c>
      <c r="C232" s="6" t="s">
        <v>74</v>
      </c>
      <c r="D232" s="6" t="s">
        <v>139</v>
      </c>
      <c r="E232" s="10" t="s">
        <v>430</v>
      </c>
      <c r="F232" s="6" t="s">
        <v>2688</v>
      </c>
      <c r="G232" s="6" t="s">
        <v>104</v>
      </c>
      <c r="H232" s="6" t="s">
        <v>430</v>
      </c>
      <c r="I232" s="6" t="s">
        <v>7088</v>
      </c>
      <c r="J232" s="6" t="s">
        <v>8306</v>
      </c>
      <c r="K232" s="6" t="s">
        <v>9714</v>
      </c>
      <c r="L232" s="16" t="n">
        <v>45457</v>
      </c>
      <c r="M232" s="16" t="n">
        <v>45915</v>
      </c>
      <c r="N232" s="6" t="s">
        <v>104</v>
      </c>
      <c r="O232" s="21" t="s">
        <v>104</v>
      </c>
      <c r="P232" s="6" t="s">
        <v>104</v>
      </c>
      <c r="Q232" s="6" t="s">
        <v>104</v>
      </c>
      <c r="R232" s="6" t="s">
        <v>104</v>
      </c>
      <c r="S232" s="6" t="s">
        <v>104</v>
      </c>
      <c r="T232" s="21" t="s">
        <v>104</v>
      </c>
      <c r="U232" s="6" t="s">
        <v>104</v>
      </c>
      <c r="V232" s="6" t="s">
        <v>104</v>
      </c>
      <c r="W232" s="6" t="s">
        <v>104</v>
      </c>
      <c r="X232" s="6" t="s">
        <v>104</v>
      </c>
      <c r="Y232" s="21" t="s">
        <v>104</v>
      </c>
      <c r="Z232" s="6" t="s">
        <v>104</v>
      </c>
      <c r="AA232" s="6" t="s">
        <v>104</v>
      </c>
      <c r="AB232" s="6" t="s">
        <v>104</v>
      </c>
      <c r="AC232" s="6" t="s">
        <v>9714</v>
      </c>
      <c r="AD232" s="16" t="n">
        <v>45457</v>
      </c>
      <c r="AE232" s="6" t="s">
        <v>10724</v>
      </c>
      <c r="AF232" s="6" t="s">
        <v>104</v>
      </c>
      <c r="AG232" s="6" t="s">
        <v>430</v>
      </c>
      <c r="AH232" s="6" t="s">
        <v>13364</v>
      </c>
      <c r="AI232" s="6" t="s">
        <v>104</v>
      </c>
      <c r="AJ232" s="6" t="s">
        <v>15524</v>
      </c>
      <c r="AK232" s="6" t="s">
        <v>16679</v>
      </c>
      <c r="AL232" s="6" t="s">
        <v>16931</v>
      </c>
      <c r="AM232" s="6" t="s">
        <v>17139</v>
      </c>
      <c r="AN232" s="6" t="s">
        <v>104</v>
      </c>
      <c r="AO232" s="6" t="s">
        <v>104</v>
      </c>
      <c r="AP232" s="6" t="s">
        <v>13364</v>
      </c>
      <c r="AQ232" s="6" t="s">
        <v>104</v>
      </c>
      <c r="AR232" s="6" t="s">
        <v>15524</v>
      </c>
      <c r="AS232" s="6" t="s">
        <v>16679</v>
      </c>
      <c r="AT232" s="6" t="s">
        <v>16931</v>
      </c>
      <c r="AU232" s="6" t="s">
        <v>17139</v>
      </c>
      <c r="AV232" s="6" t="s">
        <v>104</v>
      </c>
      <c r="AW232" s="6" t="s">
        <v>104</v>
      </c>
      <c r="AX232" s="6" t="s">
        <v>20299</v>
      </c>
      <c r="AY232" s="6" t="s">
        <v>22040</v>
      </c>
      <c r="AZ232" s="6" t="s">
        <v>23743</v>
      </c>
      <c r="BA232" s="6" t="s">
        <v>104</v>
      </c>
      <c r="BB232" s="6" t="s">
        <v>104</v>
      </c>
      <c r="BC232" s="26"/>
      <c r="BD232" s="26"/>
      <c r="BE232" s="26"/>
      <c r="BF232" s="26"/>
      <c r="BG232" s="26"/>
      <c r="BH232" s="26"/>
      <c r="BI232" s="26"/>
      <c r="BJ232" s="26"/>
      <c r="BK232" s="26"/>
      <c r="BL232" s="26"/>
      <c r="BM232" s="26"/>
      <c r="BN232" s="26"/>
      <c r="BO232" s="26"/>
      <c r="BP232" s="16" t="n">
        <v>45720</v>
      </c>
      <c r="BQ232" s="28" t="str">
        <f>HYPERLINK("https://organic.ams.usda.gov/Integrity/Certificate.aspx?cid=48&amp;nopid=1461843213")</f>
        <v>https://organic.ams.usda.gov/Integrity/Certificate.aspx?cid=48&amp;nopid=1461843213</v>
      </c>
    </row>
    <row r="233">
      <c r="A233" t="s">
        <v>3</v>
      </c>
      <c r="B233" s="6" t="s">
        <v>21</v>
      </c>
      <c r="C233" s="6" t="s">
        <v>87</v>
      </c>
      <c r="D233" s="6" t="s">
        <v>152</v>
      </c>
      <c r="E233" s="10" t="s">
        <v>431</v>
      </c>
      <c r="F233" s="6" t="s">
        <v>2689</v>
      </c>
      <c r="G233" s="6" t="s">
        <v>4694</v>
      </c>
      <c r="H233" s="6" t="s">
        <v>5101</v>
      </c>
      <c r="I233" s="6" t="s">
        <v>7089</v>
      </c>
      <c r="J233" s="6" t="s">
        <v>8307</v>
      </c>
      <c r="K233" s="6" t="s">
        <v>9714</v>
      </c>
      <c r="L233" s="16" t="n">
        <v>36896</v>
      </c>
      <c r="M233" s="16" t="n">
        <v>46023</v>
      </c>
      <c r="N233" s="6" t="s">
        <v>104</v>
      </c>
      <c r="O233" s="21" t="s">
        <v>104</v>
      </c>
      <c r="P233" s="6" t="s">
        <v>104</v>
      </c>
      <c r="Q233" s="6" t="s">
        <v>104</v>
      </c>
      <c r="R233" s="6" t="s">
        <v>104</v>
      </c>
      <c r="S233" s="6" t="s">
        <v>104</v>
      </c>
      <c r="T233" s="21" t="s">
        <v>104</v>
      </c>
      <c r="U233" s="6" t="s">
        <v>104</v>
      </c>
      <c r="V233" s="6" t="s">
        <v>104</v>
      </c>
      <c r="W233" s="6" t="s">
        <v>104</v>
      </c>
      <c r="X233" s="6" t="s">
        <v>104</v>
      </c>
      <c r="Y233" s="21" t="s">
        <v>104</v>
      </c>
      <c r="Z233" s="6" t="s">
        <v>104</v>
      </c>
      <c r="AA233" s="6" t="s">
        <v>104</v>
      </c>
      <c r="AB233" s="6" t="s">
        <v>104</v>
      </c>
      <c r="AC233" s="6" t="s">
        <v>9714</v>
      </c>
      <c r="AD233" s="16" t="n">
        <v>36896</v>
      </c>
      <c r="AE233" s="6" t="s">
        <v>10725</v>
      </c>
      <c r="AF233" s="6" t="s">
        <v>104</v>
      </c>
      <c r="AG233" s="6" t="s">
        <v>104</v>
      </c>
      <c r="AH233" s="6" t="s">
        <v>13365</v>
      </c>
      <c r="AI233" s="6" t="s">
        <v>104</v>
      </c>
      <c r="AJ233" s="6" t="s">
        <v>15378</v>
      </c>
      <c r="AK233" s="6" t="s">
        <v>16687</v>
      </c>
      <c r="AL233" s="6" t="s">
        <v>16931</v>
      </c>
      <c r="AM233" s="6" t="s">
        <v>17006</v>
      </c>
      <c r="AN233" s="6" t="s">
        <v>5771</v>
      </c>
      <c r="AO233" s="6" t="s">
        <v>18563</v>
      </c>
      <c r="AP233" s="6" t="s">
        <v>13365</v>
      </c>
      <c r="AQ233" s="6" t="s">
        <v>104</v>
      </c>
      <c r="AR233" s="6" t="s">
        <v>15378</v>
      </c>
      <c r="AS233" s="6" t="s">
        <v>16687</v>
      </c>
      <c r="AT233" s="6" t="s">
        <v>16931</v>
      </c>
      <c r="AU233" s="6" t="s">
        <v>17006</v>
      </c>
      <c r="AV233" s="6" t="s">
        <v>104</v>
      </c>
      <c r="AW233" s="6" t="s">
        <v>104</v>
      </c>
      <c r="AX233" s="6" t="s">
        <v>20300</v>
      </c>
      <c r="AY233" s="6" t="s">
        <v>22041</v>
      </c>
      <c r="AZ233" s="6" t="s">
        <v>23744</v>
      </c>
      <c r="BA233" s="6" t="s">
        <v>24293</v>
      </c>
      <c r="BB233" s="6" t="s">
        <v>104</v>
      </c>
      <c r="BC233" s="26"/>
      <c r="BD233" s="26"/>
      <c r="BE233" s="26"/>
      <c r="BF233" s="26"/>
      <c r="BG233" s="26" t="s">
        <v>24533</v>
      </c>
      <c r="BH233" s="26"/>
      <c r="BI233" s="26"/>
      <c r="BJ233" s="26"/>
      <c r="BK233" s="26"/>
      <c r="BL233" s="26"/>
      <c r="BM233" s="26"/>
      <c r="BN233" s="26"/>
      <c r="BO233" s="26"/>
      <c r="BP233" s="16" t="n">
        <v>45728</v>
      </c>
      <c r="BQ233" s="28" t="str">
        <f>HYPERLINK("https://organic.ams.usda.gov/Integrity/Certificate.aspx?cid=15&amp;nopid=5561002183")</f>
        <v>https://organic.ams.usda.gov/Integrity/Certificate.aspx?cid=15&amp;nopid=5561002183</v>
      </c>
    </row>
    <row r="234">
      <c r="A234" t="s">
        <v>3</v>
      </c>
      <c r="B234" s="6" t="s">
        <v>49</v>
      </c>
      <c r="C234" s="6" t="s">
        <v>115</v>
      </c>
      <c r="D234" s="6" t="s">
        <v>179</v>
      </c>
      <c r="E234" s="10" t="s">
        <v>432</v>
      </c>
      <c r="F234" s="6" t="s">
        <v>2690</v>
      </c>
      <c r="G234" s="6" t="s">
        <v>104</v>
      </c>
      <c r="H234" s="6" t="s">
        <v>5102</v>
      </c>
      <c r="I234" s="6" t="s">
        <v>104</v>
      </c>
      <c r="J234" s="6" t="s">
        <v>104</v>
      </c>
      <c r="K234" s="6" t="s">
        <v>9714</v>
      </c>
      <c r="L234" s="16" t="n">
        <v>44819</v>
      </c>
      <c r="M234" s="16" t="n">
        <v>45697</v>
      </c>
      <c r="N234" s="6" t="s">
        <v>104</v>
      </c>
      <c r="O234" s="21" t="s">
        <v>104</v>
      </c>
      <c r="P234" s="6" t="s">
        <v>104</v>
      </c>
      <c r="Q234" s="6" t="s">
        <v>104</v>
      </c>
      <c r="R234" s="6" t="s">
        <v>104</v>
      </c>
      <c r="S234" s="6" t="s">
        <v>104</v>
      </c>
      <c r="T234" s="21" t="s">
        <v>104</v>
      </c>
      <c r="U234" s="6" t="s">
        <v>104</v>
      </c>
      <c r="V234" s="6" t="s">
        <v>104</v>
      </c>
      <c r="W234" s="6" t="s">
        <v>104</v>
      </c>
      <c r="X234" s="6" t="s">
        <v>104</v>
      </c>
      <c r="Y234" s="21" t="s">
        <v>104</v>
      </c>
      <c r="Z234" s="6" t="s">
        <v>104</v>
      </c>
      <c r="AA234" s="6" t="s">
        <v>104</v>
      </c>
      <c r="AB234" s="6" t="s">
        <v>104</v>
      </c>
      <c r="AC234" s="6" t="s">
        <v>9714</v>
      </c>
      <c r="AD234" s="16" t="n">
        <v>44819</v>
      </c>
      <c r="AE234" s="6" t="s">
        <v>10726</v>
      </c>
      <c r="AF234" s="6" t="s">
        <v>104</v>
      </c>
      <c r="AG234" s="6" t="s">
        <v>12539</v>
      </c>
      <c r="AH234" s="6" t="s">
        <v>13366</v>
      </c>
      <c r="AI234" s="6" t="s">
        <v>104</v>
      </c>
      <c r="AJ234" s="6" t="s">
        <v>15525</v>
      </c>
      <c r="AK234" s="6" t="s">
        <v>16710</v>
      </c>
      <c r="AL234" s="6" t="s">
        <v>16931</v>
      </c>
      <c r="AM234" s="6" t="s">
        <v>17140</v>
      </c>
      <c r="AN234" s="6" t="s">
        <v>104</v>
      </c>
      <c r="AO234" s="6" t="s">
        <v>104</v>
      </c>
      <c r="AP234" s="6" t="s">
        <v>104</v>
      </c>
      <c r="AQ234" s="6" t="s">
        <v>104</v>
      </c>
      <c r="AR234" s="6" t="s">
        <v>104</v>
      </c>
      <c r="AS234" s="6" t="s">
        <v>104</v>
      </c>
      <c r="AT234" s="6" t="s">
        <v>104</v>
      </c>
      <c r="AU234" s="6" t="s">
        <v>104</v>
      </c>
      <c r="AV234" s="6" t="s">
        <v>104</v>
      </c>
      <c r="AW234" s="6" t="s">
        <v>104</v>
      </c>
      <c r="AX234" s="6" t="s">
        <v>104</v>
      </c>
      <c r="AY234" s="6" t="s">
        <v>104</v>
      </c>
      <c r="AZ234" s="6" t="s">
        <v>104</v>
      </c>
      <c r="BA234" s="6" t="s">
        <v>104</v>
      </c>
      <c r="BB234" s="24" t="n">
        <v>0</v>
      </c>
      <c r="BC234" s="26"/>
      <c r="BD234" s="26"/>
      <c r="BE234" s="26"/>
      <c r="BF234" s="26"/>
      <c r="BG234" s="26"/>
      <c r="BH234" s="26"/>
      <c r="BI234" s="26"/>
      <c r="BJ234" s="26"/>
      <c r="BK234" s="26"/>
      <c r="BL234" s="26"/>
      <c r="BM234" s="26"/>
      <c r="BN234" s="26"/>
      <c r="BO234" s="26"/>
      <c r="BP234" s="16" t="n">
        <v>45694</v>
      </c>
      <c r="BQ234" s="28" t="str">
        <f>HYPERLINK("https://organic.ams.usda.gov/Integrity/Certificate.aspx?cid=12&amp;nopid=8699694064")</f>
        <v>https://organic.ams.usda.gov/Integrity/Certificate.aspx?cid=12&amp;nopid=8699694064</v>
      </c>
    </row>
    <row r="235">
      <c r="A235" t="s">
        <v>3</v>
      </c>
      <c r="B235" s="6" t="s">
        <v>21</v>
      </c>
      <c r="C235" s="6" t="s">
        <v>87</v>
      </c>
      <c r="D235" s="6" t="s">
        <v>152</v>
      </c>
      <c r="E235" s="10" t="s">
        <v>433</v>
      </c>
      <c r="F235" s="6" t="s">
        <v>2691</v>
      </c>
      <c r="G235" s="6" t="s">
        <v>104</v>
      </c>
      <c r="H235" s="6" t="s">
        <v>5103</v>
      </c>
      <c r="I235" s="6" t="s">
        <v>7090</v>
      </c>
      <c r="J235" s="6" t="s">
        <v>8308</v>
      </c>
      <c r="K235" s="6" t="s">
        <v>9714</v>
      </c>
      <c r="L235" s="16" t="n">
        <v>37545</v>
      </c>
      <c r="M235" s="16" t="n">
        <v>46023</v>
      </c>
      <c r="N235" s="6" t="s">
        <v>104</v>
      </c>
      <c r="O235" s="21" t="s">
        <v>104</v>
      </c>
      <c r="P235" s="6" t="s">
        <v>104</v>
      </c>
      <c r="Q235" s="6" t="s">
        <v>104</v>
      </c>
      <c r="R235" s="6" t="s">
        <v>104</v>
      </c>
      <c r="S235" s="6" t="s">
        <v>104</v>
      </c>
      <c r="T235" s="21" t="s">
        <v>104</v>
      </c>
      <c r="U235" s="6" t="s">
        <v>104</v>
      </c>
      <c r="V235" s="6" t="s">
        <v>104</v>
      </c>
      <c r="W235" s="6" t="s">
        <v>104</v>
      </c>
      <c r="X235" s="6" t="s">
        <v>104</v>
      </c>
      <c r="Y235" s="21" t="s">
        <v>104</v>
      </c>
      <c r="Z235" s="6" t="s">
        <v>104</v>
      </c>
      <c r="AA235" s="6" t="s">
        <v>104</v>
      </c>
      <c r="AB235" s="6" t="s">
        <v>104</v>
      </c>
      <c r="AC235" s="6" t="s">
        <v>9714</v>
      </c>
      <c r="AD235" s="16" t="n">
        <v>37545</v>
      </c>
      <c r="AE235" s="6" t="s">
        <v>10727</v>
      </c>
      <c r="AF235" s="6" t="s">
        <v>104</v>
      </c>
      <c r="AG235" s="6" t="s">
        <v>104</v>
      </c>
      <c r="AH235" s="6" t="s">
        <v>13367</v>
      </c>
      <c r="AI235" s="6" t="s">
        <v>104</v>
      </c>
      <c r="AJ235" s="6" t="s">
        <v>15401</v>
      </c>
      <c r="AK235" s="6" t="s">
        <v>16687</v>
      </c>
      <c r="AL235" s="6" t="s">
        <v>16931</v>
      </c>
      <c r="AM235" s="6" t="s">
        <v>17141</v>
      </c>
      <c r="AN235" s="6" t="s">
        <v>18489</v>
      </c>
      <c r="AO235" s="6" t="s">
        <v>18608</v>
      </c>
      <c r="AP235" s="6" t="s">
        <v>13367</v>
      </c>
      <c r="AQ235" s="6" t="s">
        <v>104</v>
      </c>
      <c r="AR235" s="6" t="s">
        <v>15401</v>
      </c>
      <c r="AS235" s="6" t="s">
        <v>16687</v>
      </c>
      <c r="AT235" s="6" t="s">
        <v>16931</v>
      </c>
      <c r="AU235" s="6" t="s">
        <v>17141</v>
      </c>
      <c r="AV235" s="6" t="s">
        <v>104</v>
      </c>
      <c r="AW235" s="6" t="s">
        <v>104</v>
      </c>
      <c r="AX235" s="6" t="s">
        <v>20301</v>
      </c>
      <c r="AY235" s="6" t="s">
        <v>22042</v>
      </c>
      <c r="AZ235" s="6" t="s">
        <v>23745</v>
      </c>
      <c r="BA235" s="6" t="s">
        <v>24294</v>
      </c>
      <c r="BB235" s="6" t="s">
        <v>104</v>
      </c>
      <c r="BC235" s="26"/>
      <c r="BD235" s="26"/>
      <c r="BE235" s="26"/>
      <c r="BF235" s="26"/>
      <c r="BG235" s="26"/>
      <c r="BH235" s="26"/>
      <c r="BI235" s="26"/>
      <c r="BJ235" s="26"/>
      <c r="BK235" s="26"/>
      <c r="BL235" s="26"/>
      <c r="BM235" s="26"/>
      <c r="BN235" s="26"/>
      <c r="BO235" s="26"/>
      <c r="BP235" s="16" t="n">
        <v>45667</v>
      </c>
      <c r="BQ235" s="28" t="str">
        <f>HYPERLINK("https://organic.ams.usda.gov/Integrity/Certificate.aspx?cid=15&amp;nopid=5561002223")</f>
        <v>https://organic.ams.usda.gov/Integrity/Certificate.aspx?cid=15&amp;nopid=5561002223</v>
      </c>
    </row>
    <row r="236">
      <c r="A236" t="s">
        <v>3</v>
      </c>
      <c r="B236" s="6" t="s">
        <v>41</v>
      </c>
      <c r="C236" s="6" t="s">
        <v>107</v>
      </c>
      <c r="D236" s="6" t="s">
        <v>171</v>
      </c>
      <c r="E236" s="10" t="s">
        <v>434</v>
      </c>
      <c r="F236" s="6" t="s">
        <v>2692</v>
      </c>
      <c r="G236" s="6" t="s">
        <v>4695</v>
      </c>
      <c r="H236" s="6" t="s">
        <v>5104</v>
      </c>
      <c r="I236" s="6" t="s">
        <v>7091</v>
      </c>
      <c r="J236" s="6" t="s">
        <v>8309</v>
      </c>
      <c r="K236" s="6" t="s">
        <v>9714</v>
      </c>
      <c r="L236" s="16" t="n">
        <v>39087</v>
      </c>
      <c r="M236" s="16" t="n">
        <v>45901</v>
      </c>
      <c r="N236" s="6" t="s">
        <v>104</v>
      </c>
      <c r="O236" s="21" t="s">
        <v>104</v>
      </c>
      <c r="P236" s="6" t="s">
        <v>104</v>
      </c>
      <c r="Q236" s="6" t="s">
        <v>104</v>
      </c>
      <c r="R236" s="6" t="s">
        <v>104</v>
      </c>
      <c r="S236" s="6" t="s">
        <v>104</v>
      </c>
      <c r="T236" s="21" t="s">
        <v>104</v>
      </c>
      <c r="U236" s="6" t="s">
        <v>104</v>
      </c>
      <c r="V236" s="6" t="s">
        <v>104</v>
      </c>
      <c r="W236" s="6" t="s">
        <v>104</v>
      </c>
      <c r="X236" s="6" t="s">
        <v>104</v>
      </c>
      <c r="Y236" s="21" t="s">
        <v>104</v>
      </c>
      <c r="Z236" s="6" t="s">
        <v>104</v>
      </c>
      <c r="AA236" s="6" t="s">
        <v>104</v>
      </c>
      <c r="AB236" s="6" t="s">
        <v>104</v>
      </c>
      <c r="AC236" s="6" t="s">
        <v>9714</v>
      </c>
      <c r="AD236" s="16" t="n">
        <v>39087</v>
      </c>
      <c r="AE236" s="6" t="s">
        <v>10728</v>
      </c>
      <c r="AF236" s="6" t="s">
        <v>104</v>
      </c>
      <c r="AG236" s="6" t="s">
        <v>104</v>
      </c>
      <c r="AH236" s="6" t="s">
        <v>13368</v>
      </c>
      <c r="AI236" s="6" t="s">
        <v>104</v>
      </c>
      <c r="AJ236" s="6" t="s">
        <v>15526</v>
      </c>
      <c r="AK236" s="6" t="s">
        <v>15697</v>
      </c>
      <c r="AL236" s="6" t="s">
        <v>16931</v>
      </c>
      <c r="AM236" s="6" t="s">
        <v>17142</v>
      </c>
      <c r="AN236" s="6" t="s">
        <v>18490</v>
      </c>
      <c r="AO236" s="6" t="s">
        <v>18609</v>
      </c>
      <c r="AP236" s="6" t="s">
        <v>13368</v>
      </c>
      <c r="AQ236" s="6" t="s">
        <v>104</v>
      </c>
      <c r="AR236" s="6" t="s">
        <v>15526</v>
      </c>
      <c r="AS236" s="6" t="s">
        <v>15697</v>
      </c>
      <c r="AT236" s="6" t="s">
        <v>16931</v>
      </c>
      <c r="AU236" s="6" t="s">
        <v>17142</v>
      </c>
      <c r="AV236" s="6" t="s">
        <v>104</v>
      </c>
      <c r="AW236" s="6" t="s">
        <v>104</v>
      </c>
      <c r="AX236" s="6" t="s">
        <v>20302</v>
      </c>
      <c r="AY236" s="6" t="s">
        <v>22043</v>
      </c>
      <c r="AZ236" s="6" t="s">
        <v>104</v>
      </c>
      <c r="BA236" s="6" t="s">
        <v>104</v>
      </c>
      <c r="BB236" s="6" t="s">
        <v>104</v>
      </c>
      <c r="BC236" s="26" t="s">
        <v>24533</v>
      </c>
      <c r="BD236" s="26"/>
      <c r="BE236" s="26"/>
      <c r="BF236" s="26"/>
      <c r="BG236" s="26" t="s">
        <v>24533</v>
      </c>
      <c r="BH236" s="26" t="s">
        <v>24533</v>
      </c>
      <c r="BI236" s="26"/>
      <c r="BJ236" s="26"/>
      <c r="BK236" s="26"/>
      <c r="BL236" s="26"/>
      <c r="BM236" s="26"/>
      <c r="BN236" s="26"/>
      <c r="BO236" s="26"/>
      <c r="BP236" s="16" t="n">
        <v>45737</v>
      </c>
      <c r="BQ236" s="28" t="str">
        <f>HYPERLINK("https://organic.ams.usda.gov/Integrity/Certificate.aspx?cid=58&amp;nopid=1600001171")</f>
        <v>https://organic.ams.usda.gov/Integrity/Certificate.aspx?cid=58&amp;nopid=1600001171</v>
      </c>
    </row>
    <row r="237">
      <c r="A237" t="s">
        <v>3</v>
      </c>
      <c r="B237" s="6" t="s">
        <v>13</v>
      </c>
      <c r="C237" s="6" t="s">
        <v>79</v>
      </c>
      <c r="D237" s="6" t="s">
        <v>144</v>
      </c>
      <c r="E237" s="10" t="s">
        <v>435</v>
      </c>
      <c r="F237" s="6" t="s">
        <v>2693</v>
      </c>
      <c r="G237" s="6" t="s">
        <v>104</v>
      </c>
      <c r="H237" s="6" t="s">
        <v>5105</v>
      </c>
      <c r="I237" s="6" t="s">
        <v>7092</v>
      </c>
      <c r="J237" s="6" t="s">
        <v>8310</v>
      </c>
      <c r="K237" s="6" t="s">
        <v>9714</v>
      </c>
      <c r="L237" s="16" t="n">
        <v>37424</v>
      </c>
      <c r="M237" s="16" t="n">
        <v>46113</v>
      </c>
      <c r="N237" s="6" t="s">
        <v>104</v>
      </c>
      <c r="O237" s="21" t="s">
        <v>104</v>
      </c>
      <c r="P237" s="6" t="s">
        <v>104</v>
      </c>
      <c r="Q237" s="6" t="s">
        <v>104</v>
      </c>
      <c r="R237" s="6" t="s">
        <v>104</v>
      </c>
      <c r="S237" s="6" t="s">
        <v>104</v>
      </c>
      <c r="T237" s="21" t="s">
        <v>104</v>
      </c>
      <c r="U237" s="6" t="s">
        <v>104</v>
      </c>
      <c r="V237" s="6" t="s">
        <v>104</v>
      </c>
      <c r="W237" s="6" t="s">
        <v>104</v>
      </c>
      <c r="X237" s="6" t="s">
        <v>104</v>
      </c>
      <c r="Y237" s="21" t="s">
        <v>104</v>
      </c>
      <c r="Z237" s="6" t="s">
        <v>104</v>
      </c>
      <c r="AA237" s="6" t="s">
        <v>104</v>
      </c>
      <c r="AB237" s="6" t="s">
        <v>104</v>
      </c>
      <c r="AC237" s="6" t="s">
        <v>9714</v>
      </c>
      <c r="AD237" s="16" t="n">
        <v>37424</v>
      </c>
      <c r="AE237" s="6" t="s">
        <v>10729</v>
      </c>
      <c r="AF237" s="6" t="s">
        <v>104</v>
      </c>
      <c r="AG237" s="6" t="s">
        <v>104</v>
      </c>
      <c r="AH237" s="6" t="s">
        <v>104</v>
      </c>
      <c r="AI237" s="6" t="s">
        <v>104</v>
      </c>
      <c r="AJ237" s="6" t="s">
        <v>104</v>
      </c>
      <c r="AK237" s="6" t="s">
        <v>104</v>
      </c>
      <c r="AL237" s="6" t="s">
        <v>104</v>
      </c>
      <c r="AM237" s="6" t="s">
        <v>104</v>
      </c>
      <c r="AN237" s="6" t="s">
        <v>104</v>
      </c>
      <c r="AO237" s="6" t="s">
        <v>104</v>
      </c>
      <c r="AP237" s="6" t="s">
        <v>19015</v>
      </c>
      <c r="AQ237" s="6" t="s">
        <v>104</v>
      </c>
      <c r="AR237" s="6" t="s">
        <v>19608</v>
      </c>
      <c r="AS237" s="6" t="s">
        <v>15697</v>
      </c>
      <c r="AT237" s="6" t="s">
        <v>16931</v>
      </c>
      <c r="AU237" s="6" t="s">
        <v>19831</v>
      </c>
      <c r="AV237" s="6" t="s">
        <v>18538</v>
      </c>
      <c r="AW237" s="6" t="s">
        <v>18722</v>
      </c>
      <c r="AX237" s="6" t="s">
        <v>20303</v>
      </c>
      <c r="AY237" s="6" t="s">
        <v>22044</v>
      </c>
      <c r="AZ237" s="6" t="s">
        <v>23746</v>
      </c>
      <c r="BA237" s="6" t="s">
        <v>104</v>
      </c>
      <c r="BB237" s="6" t="s">
        <v>104</v>
      </c>
      <c r="BC237" s="26"/>
      <c r="BD237" s="26"/>
      <c r="BE237" s="26"/>
      <c r="BF237" s="26"/>
      <c r="BG237" s="26"/>
      <c r="BH237" s="26"/>
      <c r="BI237" s="26"/>
      <c r="BJ237" s="26"/>
      <c r="BK237" s="26"/>
      <c r="BL237" s="26"/>
      <c r="BM237" s="26"/>
      <c r="BN237" s="26"/>
      <c r="BO237" s="26"/>
      <c r="BP237" s="16" t="n">
        <v>45724</v>
      </c>
      <c r="BQ237" s="28" t="str">
        <f>HYPERLINK("https://organic.ams.usda.gov/Integrity/Certificate.aspx?cid=62&amp;nopid=8150000591")</f>
        <v>https://organic.ams.usda.gov/Integrity/Certificate.aspx?cid=62&amp;nopid=8150000591</v>
      </c>
    </row>
    <row r="238">
      <c r="A238" t="s">
        <v>3</v>
      </c>
      <c r="B238" s="6" t="s">
        <v>6</v>
      </c>
      <c r="C238" s="6" t="s">
        <v>72</v>
      </c>
      <c r="D238" s="6" t="s">
        <v>137</v>
      </c>
      <c r="E238" s="10" t="s">
        <v>436</v>
      </c>
      <c r="F238" s="6" t="s">
        <v>2694</v>
      </c>
      <c r="G238" s="6" t="s">
        <v>104</v>
      </c>
      <c r="H238" s="6" t="s">
        <v>5106</v>
      </c>
      <c r="I238" s="6" t="s">
        <v>7093</v>
      </c>
      <c r="J238" s="6" t="s">
        <v>8311</v>
      </c>
      <c r="K238" s="6" t="s">
        <v>9714</v>
      </c>
      <c r="L238" s="16" t="n">
        <v>45618</v>
      </c>
      <c r="M238" s="16" t="n">
        <v>45884</v>
      </c>
      <c r="N238" s="6" t="s">
        <v>104</v>
      </c>
      <c r="O238" s="21" t="s">
        <v>104</v>
      </c>
      <c r="P238" s="6" t="s">
        <v>104</v>
      </c>
      <c r="Q238" s="6" t="s">
        <v>104</v>
      </c>
      <c r="R238" s="6" t="s">
        <v>104</v>
      </c>
      <c r="S238" s="6" t="s">
        <v>104</v>
      </c>
      <c r="T238" s="21" t="s">
        <v>104</v>
      </c>
      <c r="U238" s="6" t="s">
        <v>104</v>
      </c>
      <c r="V238" s="6" t="s">
        <v>104</v>
      </c>
      <c r="W238" s="6" t="s">
        <v>104</v>
      </c>
      <c r="X238" s="6" t="s">
        <v>104</v>
      </c>
      <c r="Y238" s="21" t="s">
        <v>104</v>
      </c>
      <c r="Z238" s="6" t="s">
        <v>104</v>
      </c>
      <c r="AA238" s="6" t="s">
        <v>104</v>
      </c>
      <c r="AB238" s="6" t="s">
        <v>104</v>
      </c>
      <c r="AC238" s="6" t="s">
        <v>9714</v>
      </c>
      <c r="AD238" s="16" t="n">
        <v>45618</v>
      </c>
      <c r="AE238" s="6" t="s">
        <v>10730</v>
      </c>
      <c r="AF238" s="6" t="s">
        <v>104</v>
      </c>
      <c r="AG238" s="6" t="s">
        <v>12540</v>
      </c>
      <c r="AH238" s="6" t="s">
        <v>13369</v>
      </c>
      <c r="AI238" s="6" t="s">
        <v>104</v>
      </c>
      <c r="AJ238" s="6" t="s">
        <v>15527</v>
      </c>
      <c r="AK238" s="6" t="s">
        <v>16741</v>
      </c>
      <c r="AL238" s="6" t="s">
        <v>16766</v>
      </c>
      <c r="AM238" s="6" t="s">
        <v>17143</v>
      </c>
      <c r="AN238" s="6" t="s">
        <v>104</v>
      </c>
      <c r="AO238" s="6" t="s">
        <v>104</v>
      </c>
      <c r="AP238" s="6" t="s">
        <v>104</v>
      </c>
      <c r="AQ238" s="6" t="s">
        <v>104</v>
      </c>
      <c r="AR238" s="6" t="s">
        <v>104</v>
      </c>
      <c r="AS238" s="6" t="s">
        <v>104</v>
      </c>
      <c r="AT238" s="6" t="s">
        <v>104</v>
      </c>
      <c r="AU238" s="6" t="s">
        <v>104</v>
      </c>
      <c r="AV238" s="6" t="s">
        <v>104</v>
      </c>
      <c r="AW238" s="6" t="s">
        <v>104</v>
      </c>
      <c r="AX238" s="6" t="s">
        <v>20304</v>
      </c>
      <c r="AY238" s="6" t="s">
        <v>22045</v>
      </c>
      <c r="AZ238" s="6" t="s">
        <v>104</v>
      </c>
      <c r="BA238" s="6" t="s">
        <v>24258</v>
      </c>
      <c r="BB238" s="6" t="s">
        <v>104</v>
      </c>
      <c r="BC238" s="26"/>
      <c r="BD238" s="26"/>
      <c r="BE238" s="26"/>
      <c r="BF238" s="26"/>
      <c r="BG238" s="26"/>
      <c r="BH238" s="26"/>
      <c r="BI238" s="26"/>
      <c r="BJ238" s="26"/>
      <c r="BK238" s="26"/>
      <c r="BL238" s="26"/>
      <c r="BM238" s="26"/>
      <c r="BN238" s="26"/>
      <c r="BO238" s="26"/>
      <c r="BP238" s="16" t="n">
        <v>45737</v>
      </c>
      <c r="BQ238" s="28" t="str">
        <f>HYPERLINK("https://organic.ams.usda.gov/Integrity/Certificate.aspx?cid=32&amp;nopid=2230011535")</f>
        <v>https://organic.ams.usda.gov/Integrity/Certificate.aspx?cid=32&amp;nopid=2230011535</v>
      </c>
    </row>
    <row r="239">
      <c r="A239" t="s">
        <v>3</v>
      </c>
      <c r="B239" s="6" t="s">
        <v>6</v>
      </c>
      <c r="C239" s="6" t="s">
        <v>72</v>
      </c>
      <c r="D239" s="6" t="s">
        <v>137</v>
      </c>
      <c r="E239" s="10" t="s">
        <v>437</v>
      </c>
      <c r="F239" s="6" t="s">
        <v>2695</v>
      </c>
      <c r="G239" s="6" t="s">
        <v>104</v>
      </c>
      <c r="H239" s="6" t="s">
        <v>5107</v>
      </c>
      <c r="I239" s="6" t="s">
        <v>7093</v>
      </c>
      <c r="J239" s="6" t="s">
        <v>8311</v>
      </c>
      <c r="K239" s="6" t="s">
        <v>9714</v>
      </c>
      <c r="L239" s="16" t="n">
        <v>45643</v>
      </c>
      <c r="M239" s="16" t="n">
        <v>45914</v>
      </c>
      <c r="N239" s="6" t="s">
        <v>104</v>
      </c>
      <c r="O239" s="21" t="s">
        <v>104</v>
      </c>
      <c r="P239" s="6" t="s">
        <v>104</v>
      </c>
      <c r="Q239" s="6" t="s">
        <v>104</v>
      </c>
      <c r="R239" s="6" t="s">
        <v>104</v>
      </c>
      <c r="S239" s="6" t="s">
        <v>104</v>
      </c>
      <c r="T239" s="21" t="s">
        <v>104</v>
      </c>
      <c r="U239" s="6" t="s">
        <v>104</v>
      </c>
      <c r="V239" s="6" t="s">
        <v>104</v>
      </c>
      <c r="W239" s="6" t="s">
        <v>104</v>
      </c>
      <c r="X239" s="6" t="s">
        <v>104</v>
      </c>
      <c r="Y239" s="21" t="s">
        <v>104</v>
      </c>
      <c r="Z239" s="6" t="s">
        <v>104</v>
      </c>
      <c r="AA239" s="6" t="s">
        <v>104</v>
      </c>
      <c r="AB239" s="6" t="s">
        <v>104</v>
      </c>
      <c r="AC239" s="6" t="s">
        <v>9714</v>
      </c>
      <c r="AD239" s="16" t="n">
        <v>45643</v>
      </c>
      <c r="AE239" s="6" t="s">
        <v>10731</v>
      </c>
      <c r="AF239" s="6" t="s">
        <v>104</v>
      </c>
      <c r="AG239" s="6" t="s">
        <v>12541</v>
      </c>
      <c r="AH239" s="6" t="s">
        <v>13370</v>
      </c>
      <c r="AI239" s="6" t="s">
        <v>104</v>
      </c>
      <c r="AJ239" s="6" t="s">
        <v>15528</v>
      </c>
      <c r="AK239" s="6" t="s">
        <v>16740</v>
      </c>
      <c r="AL239" s="6" t="s">
        <v>16766</v>
      </c>
      <c r="AM239" s="6" t="s">
        <v>104</v>
      </c>
      <c r="AN239" s="6" t="s">
        <v>104</v>
      </c>
      <c r="AO239" s="6" t="s">
        <v>104</v>
      </c>
      <c r="AP239" s="6" t="s">
        <v>104</v>
      </c>
      <c r="AQ239" s="6" t="s">
        <v>104</v>
      </c>
      <c r="AR239" s="6" t="s">
        <v>104</v>
      </c>
      <c r="AS239" s="6" t="s">
        <v>104</v>
      </c>
      <c r="AT239" s="6" t="s">
        <v>104</v>
      </c>
      <c r="AU239" s="6" t="s">
        <v>104</v>
      </c>
      <c r="AV239" s="6" t="s">
        <v>104</v>
      </c>
      <c r="AW239" s="6" t="s">
        <v>104</v>
      </c>
      <c r="AX239" s="6" t="s">
        <v>20304</v>
      </c>
      <c r="AY239" s="6" t="s">
        <v>22045</v>
      </c>
      <c r="AZ239" s="6" t="s">
        <v>104</v>
      </c>
      <c r="BA239" s="6" t="s">
        <v>24295</v>
      </c>
      <c r="BB239" s="6" t="s">
        <v>104</v>
      </c>
      <c r="BC239" s="26"/>
      <c r="BD239" s="26"/>
      <c r="BE239" s="26"/>
      <c r="BF239" s="26"/>
      <c r="BG239" s="26"/>
      <c r="BH239" s="26"/>
      <c r="BI239" s="26"/>
      <c r="BJ239" s="26"/>
      <c r="BK239" s="26"/>
      <c r="BL239" s="26"/>
      <c r="BM239" s="26"/>
      <c r="BN239" s="26"/>
      <c r="BO239" s="26"/>
      <c r="BP239" s="16" t="n">
        <v>45737</v>
      </c>
      <c r="BQ239" s="28" t="str">
        <f>HYPERLINK("https://organic.ams.usda.gov/Integrity/Certificate.aspx?cid=32&amp;nopid=2230011534")</f>
        <v>https://organic.ams.usda.gov/Integrity/Certificate.aspx?cid=32&amp;nopid=2230011534</v>
      </c>
    </row>
    <row r="240">
      <c r="A240" t="s">
        <v>3</v>
      </c>
      <c r="B240" s="6" t="s">
        <v>29</v>
      </c>
      <c r="C240" s="6" t="s">
        <v>95</v>
      </c>
      <c r="D240" s="6" t="s">
        <v>160</v>
      </c>
      <c r="E240" s="10" t="s">
        <v>438</v>
      </c>
      <c r="F240" s="6" t="s">
        <v>2696</v>
      </c>
      <c r="G240" s="6" t="s">
        <v>104</v>
      </c>
      <c r="H240" s="6" t="s">
        <v>5108</v>
      </c>
      <c r="I240" s="6" t="s">
        <v>104</v>
      </c>
      <c r="J240" s="6" t="s">
        <v>8312</v>
      </c>
      <c r="K240" s="6" t="s">
        <v>9714</v>
      </c>
      <c r="L240" s="16" t="n">
        <v>40939</v>
      </c>
      <c r="M240" s="16" t="n">
        <v>45778</v>
      </c>
      <c r="N240" s="6" t="s">
        <v>9714</v>
      </c>
      <c r="O240" s="16" t="n">
        <v>40939</v>
      </c>
      <c r="P240" s="6" t="s">
        <v>9798</v>
      </c>
      <c r="Q240" s="6" t="s">
        <v>104</v>
      </c>
      <c r="R240" s="6" t="s">
        <v>104</v>
      </c>
      <c r="S240" s="6" t="s">
        <v>104</v>
      </c>
      <c r="T240" s="21" t="s">
        <v>104</v>
      </c>
      <c r="U240" s="6" t="s">
        <v>104</v>
      </c>
      <c r="V240" s="6" t="s">
        <v>104</v>
      </c>
      <c r="W240" s="6" t="s">
        <v>104</v>
      </c>
      <c r="X240" s="6" t="s">
        <v>104</v>
      </c>
      <c r="Y240" s="21" t="s">
        <v>104</v>
      </c>
      <c r="Z240" s="6" t="s">
        <v>104</v>
      </c>
      <c r="AA240" s="6" t="s">
        <v>104</v>
      </c>
      <c r="AB240" s="6" t="s">
        <v>104</v>
      </c>
      <c r="AC240" s="6" t="s">
        <v>9714</v>
      </c>
      <c r="AD240" s="16" t="n">
        <v>40939</v>
      </c>
      <c r="AE240" s="6" t="s">
        <v>10732</v>
      </c>
      <c r="AF240" s="6" t="s">
        <v>104</v>
      </c>
      <c r="AG240" s="6" t="s">
        <v>104</v>
      </c>
      <c r="AH240" s="6" t="s">
        <v>13371</v>
      </c>
      <c r="AI240" s="6" t="s">
        <v>104</v>
      </c>
      <c r="AJ240" s="6" t="s">
        <v>15529</v>
      </c>
      <c r="AK240" s="6" t="s">
        <v>16741</v>
      </c>
      <c r="AL240" s="6" t="s">
        <v>16766</v>
      </c>
      <c r="AM240" s="6" t="s">
        <v>17144</v>
      </c>
      <c r="AN240" s="6" t="s">
        <v>104</v>
      </c>
      <c r="AO240" s="6" t="s">
        <v>104</v>
      </c>
      <c r="AP240" s="6" t="s">
        <v>104</v>
      </c>
      <c r="AQ240" s="6" t="s">
        <v>104</v>
      </c>
      <c r="AR240" s="6" t="s">
        <v>104</v>
      </c>
      <c r="AS240" s="6" t="s">
        <v>104</v>
      </c>
      <c r="AT240" s="6" t="s">
        <v>104</v>
      </c>
      <c r="AU240" s="6" t="s">
        <v>104</v>
      </c>
      <c r="AV240" s="6" t="s">
        <v>104</v>
      </c>
      <c r="AW240" s="6" t="s">
        <v>104</v>
      </c>
      <c r="AX240" s="6" t="s">
        <v>20305</v>
      </c>
      <c r="AY240" s="6" t="s">
        <v>22046</v>
      </c>
      <c r="AZ240" s="6" t="s">
        <v>104</v>
      </c>
      <c r="BA240" s="6" t="s">
        <v>104</v>
      </c>
      <c r="BB240" s="24" t="n">
        <v>1383</v>
      </c>
      <c r="BC240" s="26"/>
      <c r="BD240" s="26"/>
      <c r="BE240" s="26"/>
      <c r="BF240" s="26"/>
      <c r="BG240" s="26"/>
      <c r="BH240" s="26"/>
      <c r="BI240" s="26"/>
      <c r="BJ240" s="26"/>
      <c r="BK240" s="26"/>
      <c r="BL240" s="26"/>
      <c r="BM240" s="26"/>
      <c r="BN240" s="26"/>
      <c r="BO240" s="26"/>
      <c r="BP240" s="16" t="n">
        <v>45581</v>
      </c>
      <c r="BQ240" s="28" t="str">
        <f>HYPERLINK("https://organic.ams.usda.gov/Integrity/Certificate.aspx?cid=24&amp;nopid=7881351000")</f>
        <v>https://organic.ams.usda.gov/Integrity/Certificate.aspx?cid=24&amp;nopid=7881351000</v>
      </c>
    </row>
    <row r="241">
      <c r="A241" t="s">
        <v>3</v>
      </c>
      <c r="B241" s="6" t="s">
        <v>20</v>
      </c>
      <c r="C241" s="6" t="s">
        <v>86</v>
      </c>
      <c r="D241" s="6" t="s">
        <v>151</v>
      </c>
      <c r="E241" s="10" t="s">
        <v>439</v>
      </c>
      <c r="F241" s="6" t="s">
        <v>2697</v>
      </c>
      <c r="G241" s="6" t="s">
        <v>104</v>
      </c>
      <c r="H241" s="6" t="s">
        <v>5109</v>
      </c>
      <c r="I241" s="6" t="s">
        <v>7094</v>
      </c>
      <c r="J241" s="6" t="s">
        <v>8313</v>
      </c>
      <c r="K241" s="6" t="s">
        <v>9714</v>
      </c>
      <c r="L241" s="16" t="n">
        <v>43379</v>
      </c>
      <c r="M241" s="16" t="n">
        <v>45838</v>
      </c>
      <c r="N241" s="6" t="s">
        <v>104</v>
      </c>
      <c r="O241" s="21" t="s">
        <v>104</v>
      </c>
      <c r="P241" s="6" t="s">
        <v>104</v>
      </c>
      <c r="Q241" s="6" t="s">
        <v>104</v>
      </c>
      <c r="R241" s="6" t="s">
        <v>104</v>
      </c>
      <c r="S241" s="6" t="s">
        <v>104</v>
      </c>
      <c r="T241" s="21" t="s">
        <v>104</v>
      </c>
      <c r="U241" s="6" t="s">
        <v>104</v>
      </c>
      <c r="V241" s="6" t="s">
        <v>104</v>
      </c>
      <c r="W241" s="6" t="s">
        <v>104</v>
      </c>
      <c r="X241" s="6" t="s">
        <v>104</v>
      </c>
      <c r="Y241" s="21" t="s">
        <v>104</v>
      </c>
      <c r="Z241" s="6" t="s">
        <v>104</v>
      </c>
      <c r="AA241" s="6" t="s">
        <v>104</v>
      </c>
      <c r="AB241" s="6" t="s">
        <v>104</v>
      </c>
      <c r="AC241" s="6" t="s">
        <v>9714</v>
      </c>
      <c r="AD241" s="16" t="n">
        <v>43379</v>
      </c>
      <c r="AE241" s="6" t="s">
        <v>10733</v>
      </c>
      <c r="AF241" s="6" t="s">
        <v>104</v>
      </c>
      <c r="AG241" s="6" t="s">
        <v>12542</v>
      </c>
      <c r="AH241" s="6" t="s">
        <v>13372</v>
      </c>
      <c r="AI241" s="6" t="s">
        <v>104</v>
      </c>
      <c r="AJ241" s="6" t="s">
        <v>15530</v>
      </c>
      <c r="AK241" s="6" t="s">
        <v>15530</v>
      </c>
      <c r="AL241" s="6" t="s">
        <v>16766</v>
      </c>
      <c r="AM241" s="6" t="s">
        <v>17145</v>
      </c>
      <c r="AN241" s="6" t="s">
        <v>104</v>
      </c>
      <c r="AO241" s="6" t="s">
        <v>104</v>
      </c>
      <c r="AP241" s="6" t="s">
        <v>104</v>
      </c>
      <c r="AQ241" s="6" t="s">
        <v>104</v>
      </c>
      <c r="AR241" s="6" t="s">
        <v>104</v>
      </c>
      <c r="AS241" s="6" t="s">
        <v>104</v>
      </c>
      <c r="AT241" s="6" t="s">
        <v>104</v>
      </c>
      <c r="AU241" s="6" t="s">
        <v>104</v>
      </c>
      <c r="AV241" s="6" t="s">
        <v>104</v>
      </c>
      <c r="AW241" s="6" t="s">
        <v>104</v>
      </c>
      <c r="AX241" s="6" t="s">
        <v>20306</v>
      </c>
      <c r="AY241" s="6" t="s">
        <v>22047</v>
      </c>
      <c r="AZ241" s="6" t="s">
        <v>104</v>
      </c>
      <c r="BA241" s="6" t="s">
        <v>104</v>
      </c>
      <c r="BB241" s="6" t="s">
        <v>104</v>
      </c>
      <c r="BC241" s="26"/>
      <c r="BD241" s="26"/>
      <c r="BE241" s="26"/>
      <c r="BF241" s="26"/>
      <c r="BG241" s="26"/>
      <c r="BH241" s="26"/>
      <c r="BI241" s="26"/>
      <c r="BJ241" s="26"/>
      <c r="BK241" s="26"/>
      <c r="BL241" s="26"/>
      <c r="BM241" s="26"/>
      <c r="BN241" s="26"/>
      <c r="BO241" s="26"/>
      <c r="BP241" s="16" t="n">
        <v>45530</v>
      </c>
      <c r="BQ241" s="28" t="str">
        <f>HYPERLINK("https://organic.ams.usda.gov/Integrity/Certificate.aspx?cid=17&amp;nopid=4087185340")</f>
        <v>https://organic.ams.usda.gov/Integrity/Certificate.aspx?cid=17&amp;nopid=4087185340</v>
      </c>
    </row>
    <row r="242">
      <c r="A242" t="s">
        <v>3</v>
      </c>
      <c r="B242" s="6" t="s">
        <v>20</v>
      </c>
      <c r="C242" s="6" t="s">
        <v>86</v>
      </c>
      <c r="D242" s="6" t="s">
        <v>151</v>
      </c>
      <c r="E242" s="10" t="s">
        <v>440</v>
      </c>
      <c r="F242" s="6" t="s">
        <v>2698</v>
      </c>
      <c r="G242" s="6" t="s">
        <v>104</v>
      </c>
      <c r="H242" s="6" t="s">
        <v>5110</v>
      </c>
      <c r="I242" s="6" t="s">
        <v>7094</v>
      </c>
      <c r="J242" s="6" t="s">
        <v>8313</v>
      </c>
      <c r="K242" s="6" t="s">
        <v>9714</v>
      </c>
      <c r="L242" s="16" t="n">
        <v>42792</v>
      </c>
      <c r="M242" s="16" t="n">
        <v>45777</v>
      </c>
      <c r="N242" s="6" t="s">
        <v>104</v>
      </c>
      <c r="O242" s="21" t="s">
        <v>104</v>
      </c>
      <c r="P242" s="6" t="s">
        <v>104</v>
      </c>
      <c r="Q242" s="6" t="s">
        <v>104</v>
      </c>
      <c r="R242" s="6" t="s">
        <v>104</v>
      </c>
      <c r="S242" s="6" t="s">
        <v>104</v>
      </c>
      <c r="T242" s="21" t="s">
        <v>104</v>
      </c>
      <c r="U242" s="6" t="s">
        <v>104</v>
      </c>
      <c r="V242" s="6" t="s">
        <v>104</v>
      </c>
      <c r="W242" s="6" t="s">
        <v>104</v>
      </c>
      <c r="X242" s="6" t="s">
        <v>104</v>
      </c>
      <c r="Y242" s="21" t="s">
        <v>104</v>
      </c>
      <c r="Z242" s="6" t="s">
        <v>104</v>
      </c>
      <c r="AA242" s="6" t="s">
        <v>104</v>
      </c>
      <c r="AB242" s="6" t="s">
        <v>104</v>
      </c>
      <c r="AC242" s="6" t="s">
        <v>9714</v>
      </c>
      <c r="AD242" s="16" t="n">
        <v>42792</v>
      </c>
      <c r="AE242" s="6" t="s">
        <v>10734</v>
      </c>
      <c r="AF242" s="6" t="s">
        <v>104</v>
      </c>
      <c r="AG242" s="6" t="s">
        <v>12543</v>
      </c>
      <c r="AH242" s="6" t="s">
        <v>13373</v>
      </c>
      <c r="AI242" s="6" t="s">
        <v>104</v>
      </c>
      <c r="AJ242" s="6" t="s">
        <v>15530</v>
      </c>
      <c r="AK242" s="6" t="s">
        <v>15530</v>
      </c>
      <c r="AL242" s="6" t="s">
        <v>16766</v>
      </c>
      <c r="AM242" s="6" t="s">
        <v>17146</v>
      </c>
      <c r="AN242" s="6" t="s">
        <v>104</v>
      </c>
      <c r="AO242" s="6" t="s">
        <v>104</v>
      </c>
      <c r="AP242" s="6" t="s">
        <v>104</v>
      </c>
      <c r="AQ242" s="6" t="s">
        <v>104</v>
      </c>
      <c r="AR242" s="6" t="s">
        <v>104</v>
      </c>
      <c r="AS242" s="6" t="s">
        <v>104</v>
      </c>
      <c r="AT242" s="6" t="s">
        <v>104</v>
      </c>
      <c r="AU242" s="6" t="s">
        <v>104</v>
      </c>
      <c r="AV242" s="6" t="s">
        <v>104</v>
      </c>
      <c r="AW242" s="6" t="s">
        <v>104</v>
      </c>
      <c r="AX242" s="6" t="s">
        <v>20307</v>
      </c>
      <c r="AY242" s="6" t="s">
        <v>22047</v>
      </c>
      <c r="AZ242" s="6" t="s">
        <v>104</v>
      </c>
      <c r="BA242" s="6" t="s">
        <v>104</v>
      </c>
      <c r="BB242" s="6" t="s">
        <v>104</v>
      </c>
      <c r="BC242" s="26"/>
      <c r="BD242" s="26"/>
      <c r="BE242" s="26"/>
      <c r="BF242" s="26"/>
      <c r="BG242" s="26"/>
      <c r="BH242" s="26"/>
      <c r="BI242" s="26"/>
      <c r="BJ242" s="26"/>
      <c r="BK242" s="26"/>
      <c r="BL242" s="26"/>
      <c r="BM242" s="26"/>
      <c r="BN242" s="26"/>
      <c r="BO242" s="26"/>
      <c r="BP242" s="16" t="n">
        <v>45433</v>
      </c>
      <c r="BQ242" s="28" t="str">
        <f>HYPERLINK("https://organic.ams.usda.gov/Integrity/Certificate.aspx?cid=17&amp;nopid=4087184945")</f>
        <v>https://organic.ams.usda.gov/Integrity/Certificate.aspx?cid=17&amp;nopid=4087184945</v>
      </c>
    </row>
    <row r="243">
      <c r="A243" t="s">
        <v>3</v>
      </c>
      <c r="B243" s="6" t="s">
        <v>20</v>
      </c>
      <c r="C243" s="6" t="s">
        <v>86</v>
      </c>
      <c r="D243" s="6" t="s">
        <v>151</v>
      </c>
      <c r="E243" s="10" t="s">
        <v>441</v>
      </c>
      <c r="F243" s="6" t="s">
        <v>2699</v>
      </c>
      <c r="G243" s="6" t="s">
        <v>104</v>
      </c>
      <c r="H243" s="6" t="s">
        <v>5111</v>
      </c>
      <c r="I243" s="6" t="s">
        <v>7094</v>
      </c>
      <c r="J243" s="6" t="s">
        <v>8313</v>
      </c>
      <c r="K243" s="6" t="s">
        <v>9714</v>
      </c>
      <c r="L243" s="16" t="n">
        <v>42661</v>
      </c>
      <c r="M243" s="16" t="n">
        <v>45838</v>
      </c>
      <c r="N243" s="6" t="s">
        <v>104</v>
      </c>
      <c r="O243" s="21" t="s">
        <v>104</v>
      </c>
      <c r="P243" s="6" t="s">
        <v>104</v>
      </c>
      <c r="Q243" s="6" t="s">
        <v>104</v>
      </c>
      <c r="R243" s="6" t="s">
        <v>104</v>
      </c>
      <c r="S243" s="6" t="s">
        <v>104</v>
      </c>
      <c r="T243" s="21" t="s">
        <v>104</v>
      </c>
      <c r="U243" s="6" t="s">
        <v>104</v>
      </c>
      <c r="V243" s="6" t="s">
        <v>104</v>
      </c>
      <c r="W243" s="6" t="s">
        <v>104</v>
      </c>
      <c r="X243" s="6" t="s">
        <v>104</v>
      </c>
      <c r="Y243" s="21" t="s">
        <v>104</v>
      </c>
      <c r="Z243" s="6" t="s">
        <v>104</v>
      </c>
      <c r="AA243" s="6" t="s">
        <v>104</v>
      </c>
      <c r="AB243" s="6" t="s">
        <v>104</v>
      </c>
      <c r="AC243" s="6" t="s">
        <v>9714</v>
      </c>
      <c r="AD243" s="16" t="n">
        <v>42661</v>
      </c>
      <c r="AE243" s="6" t="s">
        <v>10735</v>
      </c>
      <c r="AF243" s="6" t="s">
        <v>104</v>
      </c>
      <c r="AG243" s="6" t="s">
        <v>12544</v>
      </c>
      <c r="AH243" s="6" t="s">
        <v>13374</v>
      </c>
      <c r="AI243" s="6" t="s">
        <v>104</v>
      </c>
      <c r="AJ243" s="6" t="s">
        <v>15530</v>
      </c>
      <c r="AK243" s="6" t="s">
        <v>15530</v>
      </c>
      <c r="AL243" s="6" t="s">
        <v>16766</v>
      </c>
      <c r="AM243" s="6" t="s">
        <v>17147</v>
      </c>
      <c r="AN243" s="6" t="s">
        <v>104</v>
      </c>
      <c r="AO243" s="6" t="s">
        <v>104</v>
      </c>
      <c r="AP243" s="6" t="s">
        <v>104</v>
      </c>
      <c r="AQ243" s="6" t="s">
        <v>104</v>
      </c>
      <c r="AR243" s="6" t="s">
        <v>104</v>
      </c>
      <c r="AS243" s="6" t="s">
        <v>104</v>
      </c>
      <c r="AT243" s="6" t="s">
        <v>104</v>
      </c>
      <c r="AU243" s="6" t="s">
        <v>104</v>
      </c>
      <c r="AV243" s="6" t="s">
        <v>104</v>
      </c>
      <c r="AW243" s="6" t="s">
        <v>104</v>
      </c>
      <c r="AX243" s="6" t="s">
        <v>20308</v>
      </c>
      <c r="AY243" s="6" t="s">
        <v>22048</v>
      </c>
      <c r="AZ243" s="6" t="s">
        <v>104</v>
      </c>
      <c r="BA243" s="6" t="s">
        <v>104</v>
      </c>
      <c r="BB243" s="6" t="s">
        <v>104</v>
      </c>
      <c r="BC243" s="26"/>
      <c r="BD243" s="26"/>
      <c r="BE243" s="26"/>
      <c r="BF243" s="26"/>
      <c r="BG243" s="26"/>
      <c r="BH243" s="26"/>
      <c r="BI243" s="26"/>
      <c r="BJ243" s="26"/>
      <c r="BK243" s="26"/>
      <c r="BL243" s="26"/>
      <c r="BM243" s="26"/>
      <c r="BN243" s="26"/>
      <c r="BO243" s="26"/>
      <c r="BP243" s="16" t="n">
        <v>45525</v>
      </c>
      <c r="BQ243" s="28" t="str">
        <f>HYPERLINK("https://organic.ams.usda.gov/Integrity/Certificate.aspx?cid=17&amp;nopid=4080800202")</f>
        <v>https://organic.ams.usda.gov/Integrity/Certificate.aspx?cid=17&amp;nopid=4080800202</v>
      </c>
    </row>
    <row r="244">
      <c r="A244" t="s">
        <v>3</v>
      </c>
      <c r="B244" s="6" t="s">
        <v>20</v>
      </c>
      <c r="C244" s="6" t="s">
        <v>86</v>
      </c>
      <c r="D244" s="6" t="s">
        <v>151</v>
      </c>
      <c r="E244" s="10" t="s">
        <v>442</v>
      </c>
      <c r="F244" s="6" t="s">
        <v>2700</v>
      </c>
      <c r="G244" s="6" t="s">
        <v>104</v>
      </c>
      <c r="H244" s="6" t="s">
        <v>5112</v>
      </c>
      <c r="I244" s="6" t="s">
        <v>7095</v>
      </c>
      <c r="J244" s="6" t="s">
        <v>8314</v>
      </c>
      <c r="K244" s="6" t="s">
        <v>9714</v>
      </c>
      <c r="L244" s="16" t="n">
        <v>45700</v>
      </c>
      <c r="M244" s="16" t="n">
        <v>45991</v>
      </c>
      <c r="N244" s="6" t="s">
        <v>104</v>
      </c>
      <c r="O244" s="21" t="s">
        <v>104</v>
      </c>
      <c r="P244" s="6" t="s">
        <v>104</v>
      </c>
      <c r="Q244" s="6" t="s">
        <v>104</v>
      </c>
      <c r="R244" s="6" t="s">
        <v>104</v>
      </c>
      <c r="S244" s="6" t="s">
        <v>104</v>
      </c>
      <c r="T244" s="21" t="s">
        <v>104</v>
      </c>
      <c r="U244" s="6" t="s">
        <v>104</v>
      </c>
      <c r="V244" s="6" t="s">
        <v>104</v>
      </c>
      <c r="W244" s="6" t="s">
        <v>104</v>
      </c>
      <c r="X244" s="6" t="s">
        <v>104</v>
      </c>
      <c r="Y244" s="21" t="s">
        <v>104</v>
      </c>
      <c r="Z244" s="6" t="s">
        <v>104</v>
      </c>
      <c r="AA244" s="6" t="s">
        <v>104</v>
      </c>
      <c r="AB244" s="6" t="s">
        <v>104</v>
      </c>
      <c r="AC244" s="6" t="s">
        <v>9714</v>
      </c>
      <c r="AD244" s="16" t="n">
        <v>45700</v>
      </c>
      <c r="AE244" s="6" t="s">
        <v>10736</v>
      </c>
      <c r="AF244" s="6" t="s">
        <v>104</v>
      </c>
      <c r="AG244" s="6" t="s">
        <v>12545</v>
      </c>
      <c r="AH244" s="6" t="s">
        <v>13375</v>
      </c>
      <c r="AI244" s="6" t="s">
        <v>104</v>
      </c>
      <c r="AJ244" s="6" t="s">
        <v>104</v>
      </c>
      <c r="AK244" s="6" t="s">
        <v>15530</v>
      </c>
      <c r="AL244" s="6" t="s">
        <v>16766</v>
      </c>
      <c r="AM244" s="6" t="s">
        <v>17145</v>
      </c>
      <c r="AN244" s="6" t="s">
        <v>104</v>
      </c>
      <c r="AO244" s="6" t="s">
        <v>104</v>
      </c>
      <c r="AP244" s="6" t="s">
        <v>104</v>
      </c>
      <c r="AQ244" s="6" t="s">
        <v>104</v>
      </c>
      <c r="AR244" s="6" t="s">
        <v>104</v>
      </c>
      <c r="AS244" s="6" t="s">
        <v>104</v>
      </c>
      <c r="AT244" s="6" t="s">
        <v>104</v>
      </c>
      <c r="AU244" s="6" t="s">
        <v>104</v>
      </c>
      <c r="AV244" s="6" t="s">
        <v>104</v>
      </c>
      <c r="AW244" s="6" t="s">
        <v>104</v>
      </c>
      <c r="AX244" s="6" t="s">
        <v>20309</v>
      </c>
      <c r="AY244" s="6" t="s">
        <v>22049</v>
      </c>
      <c r="AZ244" s="6" t="s">
        <v>104</v>
      </c>
      <c r="BA244" s="6" t="s">
        <v>104</v>
      </c>
      <c r="BB244" s="6" t="s">
        <v>104</v>
      </c>
      <c r="BC244" s="26"/>
      <c r="BD244" s="26"/>
      <c r="BE244" s="26"/>
      <c r="BF244" s="26"/>
      <c r="BG244" s="26"/>
      <c r="BH244" s="26"/>
      <c r="BI244" s="26"/>
      <c r="BJ244" s="26"/>
      <c r="BK244" s="26"/>
      <c r="BL244" s="26"/>
      <c r="BM244" s="26"/>
      <c r="BN244" s="26"/>
      <c r="BO244" s="26"/>
      <c r="BP244" s="16" t="n">
        <v>45707</v>
      </c>
      <c r="BQ244" s="28" t="str">
        <f>HYPERLINK("https://organic.ams.usda.gov/Integrity/Certificate.aspx?cid=17&amp;nopid=4080208541")</f>
        <v>https://organic.ams.usda.gov/Integrity/Certificate.aspx?cid=17&amp;nopid=4080208541</v>
      </c>
    </row>
    <row r="245">
      <c r="A245" t="s">
        <v>3</v>
      </c>
      <c r="B245" s="6" t="s">
        <v>21</v>
      </c>
      <c r="C245" s="6" t="s">
        <v>87</v>
      </c>
      <c r="D245" s="6" t="s">
        <v>152</v>
      </c>
      <c r="E245" s="10" t="s">
        <v>443</v>
      </c>
      <c r="F245" s="6" t="s">
        <v>2701</v>
      </c>
      <c r="G245" s="6" t="s">
        <v>104</v>
      </c>
      <c r="H245" s="6" t="s">
        <v>5113</v>
      </c>
      <c r="I245" s="6" t="s">
        <v>7096</v>
      </c>
      <c r="J245" s="6" t="s">
        <v>8256</v>
      </c>
      <c r="K245" s="6" t="s">
        <v>9714</v>
      </c>
      <c r="L245" s="16" t="n">
        <v>41453</v>
      </c>
      <c r="M245" s="16" t="n">
        <v>46023</v>
      </c>
      <c r="N245" s="6" t="s">
        <v>104</v>
      </c>
      <c r="O245" s="21" t="s">
        <v>104</v>
      </c>
      <c r="P245" s="6" t="s">
        <v>104</v>
      </c>
      <c r="Q245" s="6" t="s">
        <v>104</v>
      </c>
      <c r="R245" s="6" t="s">
        <v>104</v>
      </c>
      <c r="S245" s="6" t="s">
        <v>104</v>
      </c>
      <c r="T245" s="21" t="s">
        <v>104</v>
      </c>
      <c r="U245" s="6" t="s">
        <v>104</v>
      </c>
      <c r="V245" s="6" t="s">
        <v>104</v>
      </c>
      <c r="W245" s="6" t="s">
        <v>104</v>
      </c>
      <c r="X245" s="6" t="s">
        <v>104</v>
      </c>
      <c r="Y245" s="21" t="s">
        <v>104</v>
      </c>
      <c r="Z245" s="6" t="s">
        <v>104</v>
      </c>
      <c r="AA245" s="6" t="s">
        <v>104</v>
      </c>
      <c r="AB245" s="6" t="s">
        <v>104</v>
      </c>
      <c r="AC245" s="6" t="s">
        <v>9714</v>
      </c>
      <c r="AD245" s="16" t="n">
        <v>41453</v>
      </c>
      <c r="AE245" s="6" t="s">
        <v>10737</v>
      </c>
      <c r="AF245" s="6" t="s">
        <v>104</v>
      </c>
      <c r="AG245" s="6" t="s">
        <v>104</v>
      </c>
      <c r="AH245" s="6" t="s">
        <v>13376</v>
      </c>
      <c r="AI245" s="6" t="s">
        <v>104</v>
      </c>
      <c r="AJ245" s="6" t="s">
        <v>15531</v>
      </c>
      <c r="AK245" s="6" t="s">
        <v>16687</v>
      </c>
      <c r="AL245" s="6" t="s">
        <v>16931</v>
      </c>
      <c r="AM245" s="6" t="s">
        <v>17148</v>
      </c>
      <c r="AN245" s="6" t="s">
        <v>18484</v>
      </c>
      <c r="AO245" s="6" t="s">
        <v>18597</v>
      </c>
      <c r="AP245" s="6" t="s">
        <v>13376</v>
      </c>
      <c r="AQ245" s="6" t="s">
        <v>104</v>
      </c>
      <c r="AR245" s="6" t="s">
        <v>15531</v>
      </c>
      <c r="AS245" s="6" t="s">
        <v>16687</v>
      </c>
      <c r="AT245" s="6" t="s">
        <v>16931</v>
      </c>
      <c r="AU245" s="6" t="s">
        <v>17148</v>
      </c>
      <c r="AV245" s="6" t="s">
        <v>104</v>
      </c>
      <c r="AW245" s="6" t="s">
        <v>104</v>
      </c>
      <c r="AX245" s="6" t="s">
        <v>20310</v>
      </c>
      <c r="AY245" s="6" t="s">
        <v>22050</v>
      </c>
      <c r="AZ245" s="6" t="s">
        <v>23747</v>
      </c>
      <c r="BA245" s="6" t="s">
        <v>24296</v>
      </c>
      <c r="BB245" s="6" t="s">
        <v>104</v>
      </c>
      <c r="BC245" s="26"/>
      <c r="BD245" s="26"/>
      <c r="BE245" s="26"/>
      <c r="BF245" s="26"/>
      <c r="BG245" s="26"/>
      <c r="BH245" s="26"/>
      <c r="BI245" s="26"/>
      <c r="BJ245" s="26"/>
      <c r="BK245" s="26"/>
      <c r="BL245" s="26"/>
      <c r="BM245" s="26"/>
      <c r="BN245" s="26"/>
      <c r="BO245" s="26"/>
      <c r="BP245" s="16" t="n">
        <v>45709</v>
      </c>
      <c r="BQ245" s="28" t="str">
        <f>HYPERLINK("https://organic.ams.usda.gov/Integrity/Certificate.aspx?cid=15&amp;nopid=5561001766")</f>
        <v>https://organic.ams.usda.gov/Integrity/Certificate.aspx?cid=15&amp;nopid=5561001766</v>
      </c>
    </row>
    <row r="246">
      <c r="A246" t="s">
        <v>3</v>
      </c>
      <c r="B246" s="6" t="s">
        <v>12</v>
      </c>
      <c r="C246" s="6" t="s">
        <v>78</v>
      </c>
      <c r="D246" s="6" t="s">
        <v>143</v>
      </c>
      <c r="E246" s="10" t="s">
        <v>444</v>
      </c>
      <c r="F246" s="6" t="s">
        <v>2702</v>
      </c>
      <c r="G246" s="6" t="s">
        <v>104</v>
      </c>
      <c r="H246" s="6" t="s">
        <v>104</v>
      </c>
      <c r="I246" s="6" t="s">
        <v>7097</v>
      </c>
      <c r="J246" s="6" t="s">
        <v>8315</v>
      </c>
      <c r="K246" s="6" t="s">
        <v>9714</v>
      </c>
      <c r="L246" s="16" t="n">
        <v>44533</v>
      </c>
      <c r="M246" s="16" t="n">
        <v>45748</v>
      </c>
      <c r="N246" s="6" t="s">
        <v>9714</v>
      </c>
      <c r="O246" s="16" t="n">
        <v>44533</v>
      </c>
      <c r="P246" s="6" t="s">
        <v>9799</v>
      </c>
      <c r="Q246" s="6" t="s">
        <v>104</v>
      </c>
      <c r="R246" s="6" t="s">
        <v>104</v>
      </c>
      <c r="S246" s="6" t="s">
        <v>104</v>
      </c>
      <c r="T246" s="21" t="s">
        <v>104</v>
      </c>
      <c r="U246" s="6" t="s">
        <v>104</v>
      </c>
      <c r="V246" s="6" t="s">
        <v>104</v>
      </c>
      <c r="W246" s="6" t="s">
        <v>104</v>
      </c>
      <c r="X246" s="6" t="s">
        <v>104</v>
      </c>
      <c r="Y246" s="21" t="s">
        <v>104</v>
      </c>
      <c r="Z246" s="6" t="s">
        <v>104</v>
      </c>
      <c r="AA246" s="6" t="s">
        <v>104</v>
      </c>
      <c r="AB246" s="6" t="s">
        <v>104</v>
      </c>
      <c r="AC246" s="6" t="s">
        <v>9714</v>
      </c>
      <c r="AD246" s="16" t="n">
        <v>44533</v>
      </c>
      <c r="AE246" s="6" t="s">
        <v>10738</v>
      </c>
      <c r="AF246" s="6" t="s">
        <v>104</v>
      </c>
      <c r="AG246" s="6" t="s">
        <v>104</v>
      </c>
      <c r="AH246" s="6" t="s">
        <v>13377</v>
      </c>
      <c r="AI246" s="6" t="s">
        <v>104</v>
      </c>
      <c r="AJ246" s="6" t="s">
        <v>8512</v>
      </c>
      <c r="AK246" s="6" t="s">
        <v>16742</v>
      </c>
      <c r="AL246" s="6" t="s">
        <v>16931</v>
      </c>
      <c r="AM246" s="6" t="s">
        <v>17149</v>
      </c>
      <c r="AN246" s="6" t="s">
        <v>18469</v>
      </c>
      <c r="AO246" s="6" t="s">
        <v>18610</v>
      </c>
      <c r="AP246" s="6" t="s">
        <v>13377</v>
      </c>
      <c r="AQ246" s="6" t="s">
        <v>104</v>
      </c>
      <c r="AR246" s="6" t="s">
        <v>8512</v>
      </c>
      <c r="AS246" s="6" t="s">
        <v>16742</v>
      </c>
      <c r="AT246" s="6" t="s">
        <v>16931</v>
      </c>
      <c r="AU246" s="6" t="s">
        <v>17149</v>
      </c>
      <c r="AV246" s="6" t="s">
        <v>104</v>
      </c>
      <c r="AW246" s="6" t="s">
        <v>104</v>
      </c>
      <c r="AX246" s="6" t="s">
        <v>104</v>
      </c>
      <c r="AY246" s="6" t="s">
        <v>22051</v>
      </c>
      <c r="AZ246" s="6" t="s">
        <v>104</v>
      </c>
      <c r="BA246" s="6" t="s">
        <v>104</v>
      </c>
      <c r="BB246" s="24" t="n">
        <v>166</v>
      </c>
      <c r="BC246" s="26"/>
      <c r="BD246" s="26"/>
      <c r="BE246" s="26"/>
      <c r="BF246" s="26"/>
      <c r="BG246" s="26"/>
      <c r="BH246" s="26"/>
      <c r="BI246" s="26"/>
      <c r="BJ246" s="26"/>
      <c r="BK246" s="26"/>
      <c r="BL246" s="26"/>
      <c r="BM246" s="26"/>
      <c r="BN246" s="26"/>
      <c r="BO246" s="26"/>
      <c r="BP246" s="16" t="n">
        <v>45616</v>
      </c>
      <c r="BQ246" s="28" t="str">
        <f>HYPERLINK("https://organic.ams.usda.gov/Integrity/Certificate.aspx?cid=1&amp;nopid=9092123806")</f>
        <v>https://organic.ams.usda.gov/Integrity/Certificate.aspx?cid=1&amp;nopid=9092123806</v>
      </c>
    </row>
    <row r="247">
      <c r="A247" t="s">
        <v>3</v>
      </c>
      <c r="B247" s="6" t="s">
        <v>22</v>
      </c>
      <c r="C247" s="6" t="s">
        <v>88</v>
      </c>
      <c r="D247" s="6" t="s">
        <v>153</v>
      </c>
      <c r="E247" s="10" t="s">
        <v>445</v>
      </c>
      <c r="F247" s="6" t="s">
        <v>2703</v>
      </c>
      <c r="G247" s="6" t="s">
        <v>104</v>
      </c>
      <c r="H247" s="6" t="s">
        <v>5114</v>
      </c>
      <c r="I247" s="6" t="s">
        <v>7098</v>
      </c>
      <c r="J247" s="6" t="s">
        <v>8316</v>
      </c>
      <c r="K247" s="6" t="s">
        <v>9714</v>
      </c>
      <c r="L247" s="16" t="n">
        <v>45405</v>
      </c>
      <c r="M247" s="16" t="n">
        <v>46024</v>
      </c>
      <c r="N247" s="6" t="s">
        <v>104</v>
      </c>
      <c r="O247" s="21" t="s">
        <v>104</v>
      </c>
      <c r="P247" s="6" t="s">
        <v>104</v>
      </c>
      <c r="Q247" s="6" t="s">
        <v>104</v>
      </c>
      <c r="R247" s="6" t="s">
        <v>104</v>
      </c>
      <c r="S247" s="6" t="s">
        <v>104</v>
      </c>
      <c r="T247" s="21" t="s">
        <v>104</v>
      </c>
      <c r="U247" s="6" t="s">
        <v>104</v>
      </c>
      <c r="V247" s="6" t="s">
        <v>104</v>
      </c>
      <c r="W247" s="6" t="s">
        <v>104</v>
      </c>
      <c r="X247" s="6" t="s">
        <v>104</v>
      </c>
      <c r="Y247" s="21" t="s">
        <v>104</v>
      </c>
      <c r="Z247" s="6" t="s">
        <v>104</v>
      </c>
      <c r="AA247" s="6" t="s">
        <v>104</v>
      </c>
      <c r="AB247" s="6" t="s">
        <v>104</v>
      </c>
      <c r="AC247" s="6" t="s">
        <v>9714</v>
      </c>
      <c r="AD247" s="16" t="n">
        <v>45405</v>
      </c>
      <c r="AE247" s="6" t="s">
        <v>10739</v>
      </c>
      <c r="AF247" s="6" t="s">
        <v>104</v>
      </c>
      <c r="AG247" s="6" t="s">
        <v>12546</v>
      </c>
      <c r="AH247" s="6" t="s">
        <v>13378</v>
      </c>
      <c r="AI247" s="6" t="s">
        <v>104</v>
      </c>
      <c r="AJ247" s="6" t="s">
        <v>15532</v>
      </c>
      <c r="AK247" s="6" t="s">
        <v>16743</v>
      </c>
      <c r="AL247" s="6" t="s">
        <v>16931</v>
      </c>
      <c r="AM247" s="6" t="s">
        <v>17150</v>
      </c>
      <c r="AN247" s="6" t="s">
        <v>104</v>
      </c>
      <c r="AO247" s="6" t="s">
        <v>104</v>
      </c>
      <c r="AP247" s="6" t="s">
        <v>19016</v>
      </c>
      <c r="AQ247" s="6" t="s">
        <v>104</v>
      </c>
      <c r="AR247" s="6" t="s">
        <v>16475</v>
      </c>
      <c r="AS247" s="6" t="s">
        <v>16686</v>
      </c>
      <c r="AT247" s="6" t="s">
        <v>16931</v>
      </c>
      <c r="AU247" s="6" t="s">
        <v>19832</v>
      </c>
      <c r="AV247" s="6" t="s">
        <v>104</v>
      </c>
      <c r="AW247" s="6" t="s">
        <v>104</v>
      </c>
      <c r="AX247" s="6" t="s">
        <v>20311</v>
      </c>
      <c r="AY247" s="6" t="s">
        <v>22052</v>
      </c>
      <c r="AZ247" s="6" t="s">
        <v>104</v>
      </c>
      <c r="BA247" s="6" t="s">
        <v>104</v>
      </c>
      <c r="BB247" s="6" t="s">
        <v>104</v>
      </c>
      <c r="BC247" s="26"/>
      <c r="BD247" s="26"/>
      <c r="BE247" s="26"/>
      <c r="BF247" s="26"/>
      <c r="BG247" s="26" t="s">
        <v>24533</v>
      </c>
      <c r="BH247" s="26"/>
      <c r="BI247" s="26"/>
      <c r="BJ247" s="26"/>
      <c r="BK247" s="26"/>
      <c r="BL247" s="26"/>
      <c r="BM247" s="26"/>
      <c r="BN247" s="26"/>
      <c r="BO247" s="26"/>
      <c r="BP247" s="16" t="n">
        <v>45663</v>
      </c>
      <c r="BQ247" s="28" t="str">
        <f>HYPERLINK("https://organic.ams.usda.gov/Integrity/Certificate.aspx?cid=72&amp;nopid=5870107057")</f>
        <v>https://organic.ams.usda.gov/Integrity/Certificate.aspx?cid=72&amp;nopid=5870107057</v>
      </c>
    </row>
    <row r="248">
      <c r="A248" t="s">
        <v>3</v>
      </c>
      <c r="B248" s="6" t="s">
        <v>23</v>
      </c>
      <c r="C248" s="6" t="s">
        <v>89</v>
      </c>
      <c r="D248" s="6" t="s">
        <v>154</v>
      </c>
      <c r="E248" s="10" t="s">
        <v>446</v>
      </c>
      <c r="F248" s="6" t="s">
        <v>2704</v>
      </c>
      <c r="G248" s="6" t="s">
        <v>4696</v>
      </c>
      <c r="H248" s="6" t="s">
        <v>5115</v>
      </c>
      <c r="I248" s="6" t="s">
        <v>7087</v>
      </c>
      <c r="J248" s="6" t="s">
        <v>8317</v>
      </c>
      <c r="K248" s="6" t="s">
        <v>9714</v>
      </c>
      <c r="L248" s="16" t="n">
        <v>40386</v>
      </c>
      <c r="M248" s="16" t="n">
        <v>45383</v>
      </c>
      <c r="N248" s="6" t="s">
        <v>9714</v>
      </c>
      <c r="O248" s="16" t="n">
        <v>40386</v>
      </c>
      <c r="P248" s="6" t="s">
        <v>9800</v>
      </c>
      <c r="Q248" s="6" t="s">
        <v>104</v>
      </c>
      <c r="R248" s="6" t="s">
        <v>5115</v>
      </c>
      <c r="S248" s="6" t="s">
        <v>104</v>
      </c>
      <c r="T248" s="21" t="s">
        <v>104</v>
      </c>
      <c r="U248" s="6" t="s">
        <v>104</v>
      </c>
      <c r="V248" s="6" t="s">
        <v>104</v>
      </c>
      <c r="W248" s="6" t="s">
        <v>104</v>
      </c>
      <c r="X248" s="6" t="s">
        <v>104</v>
      </c>
      <c r="Y248" s="21" t="s">
        <v>104</v>
      </c>
      <c r="Z248" s="6" t="s">
        <v>104</v>
      </c>
      <c r="AA248" s="6" t="s">
        <v>104</v>
      </c>
      <c r="AB248" s="6" t="s">
        <v>104</v>
      </c>
      <c r="AC248" s="6" t="s">
        <v>104</v>
      </c>
      <c r="AD248" s="21" t="s">
        <v>104</v>
      </c>
      <c r="AE248" s="6" t="s">
        <v>104</v>
      </c>
      <c r="AF248" s="6" t="s">
        <v>104</v>
      </c>
      <c r="AG248" s="6" t="s">
        <v>104</v>
      </c>
      <c r="AH248" s="6" t="s">
        <v>13379</v>
      </c>
      <c r="AI248" s="6" t="s">
        <v>104</v>
      </c>
      <c r="AJ248" s="6" t="s">
        <v>15533</v>
      </c>
      <c r="AK248" s="6" t="s">
        <v>16683</v>
      </c>
      <c r="AL248" s="6" t="s">
        <v>16931</v>
      </c>
      <c r="AM248" s="6" t="s">
        <v>17151</v>
      </c>
      <c r="AN248" s="6" t="s">
        <v>17970</v>
      </c>
      <c r="AO248" s="6" t="s">
        <v>18611</v>
      </c>
      <c r="AP248" s="6" t="s">
        <v>19017</v>
      </c>
      <c r="AQ248" s="6" t="s">
        <v>104</v>
      </c>
      <c r="AR248" s="6" t="s">
        <v>15533</v>
      </c>
      <c r="AS248" s="6" t="s">
        <v>16683</v>
      </c>
      <c r="AT248" s="6" t="s">
        <v>16931</v>
      </c>
      <c r="AU248" s="6" t="s">
        <v>17151</v>
      </c>
      <c r="AV248" s="6" t="s">
        <v>104</v>
      </c>
      <c r="AW248" s="6" t="s">
        <v>104</v>
      </c>
      <c r="AX248" s="6" t="s">
        <v>104</v>
      </c>
      <c r="AY248" s="6" t="s">
        <v>22053</v>
      </c>
      <c r="AZ248" s="6" t="s">
        <v>23748</v>
      </c>
      <c r="BA248" s="6" t="s">
        <v>24261</v>
      </c>
      <c r="BB248" s="24" t="n">
        <v>31</v>
      </c>
      <c r="BC248" s="26"/>
      <c r="BD248" s="26"/>
      <c r="BE248" s="26"/>
      <c r="BF248" s="26"/>
      <c r="BG248" s="26"/>
      <c r="BH248" s="26"/>
      <c r="BI248" s="26"/>
      <c r="BJ248" s="26"/>
      <c r="BK248" s="26"/>
      <c r="BL248" s="26"/>
      <c r="BM248" s="26"/>
      <c r="BN248" s="26"/>
      <c r="BO248" s="26"/>
      <c r="BP248" s="16" t="n">
        <v>45547</v>
      </c>
      <c r="BQ248" s="28" t="str">
        <f>HYPERLINK("https://organic.ams.usda.gov/Integrity/Certificate.aspx?cid=45&amp;nopid=9950004146")</f>
        <v>https://organic.ams.usda.gov/Integrity/Certificate.aspx?cid=45&amp;nopid=9950004146</v>
      </c>
    </row>
    <row r="249">
      <c r="A249" t="s">
        <v>3</v>
      </c>
      <c r="B249" s="6" t="s">
        <v>43</v>
      </c>
      <c r="C249" s="6" t="s">
        <v>109</v>
      </c>
      <c r="D249" s="6" t="s">
        <v>173</v>
      </c>
      <c r="E249" s="10" t="s">
        <v>447</v>
      </c>
      <c r="F249" s="6" t="s">
        <v>2705</v>
      </c>
      <c r="G249" s="6" t="s">
        <v>4697</v>
      </c>
      <c r="H249" s="6" t="s">
        <v>5116</v>
      </c>
      <c r="I249" s="6" t="s">
        <v>7099</v>
      </c>
      <c r="J249" s="6" t="s">
        <v>8318</v>
      </c>
      <c r="K249" s="6" t="s">
        <v>9714</v>
      </c>
      <c r="L249" s="16" t="n">
        <v>45538</v>
      </c>
      <c r="M249" s="16" t="n">
        <v>45797</v>
      </c>
      <c r="N249" s="6" t="s">
        <v>104</v>
      </c>
      <c r="O249" s="21" t="s">
        <v>104</v>
      </c>
      <c r="P249" s="6" t="s">
        <v>104</v>
      </c>
      <c r="Q249" s="6" t="s">
        <v>104</v>
      </c>
      <c r="R249" s="6" t="s">
        <v>104</v>
      </c>
      <c r="S249" s="6" t="s">
        <v>104</v>
      </c>
      <c r="T249" s="21" t="s">
        <v>104</v>
      </c>
      <c r="U249" s="6" t="s">
        <v>104</v>
      </c>
      <c r="V249" s="6" t="s">
        <v>104</v>
      </c>
      <c r="W249" s="6" t="s">
        <v>104</v>
      </c>
      <c r="X249" s="6" t="s">
        <v>104</v>
      </c>
      <c r="Y249" s="21" t="s">
        <v>104</v>
      </c>
      <c r="Z249" s="6" t="s">
        <v>104</v>
      </c>
      <c r="AA249" s="6" t="s">
        <v>104</v>
      </c>
      <c r="AB249" s="6" t="s">
        <v>104</v>
      </c>
      <c r="AC249" s="6" t="s">
        <v>9714</v>
      </c>
      <c r="AD249" s="16" t="n">
        <v>45538</v>
      </c>
      <c r="AE249" s="6" t="s">
        <v>10740</v>
      </c>
      <c r="AF249" s="6" t="s">
        <v>104</v>
      </c>
      <c r="AG249" s="6" t="s">
        <v>5116</v>
      </c>
      <c r="AH249" s="6" t="s">
        <v>13380</v>
      </c>
      <c r="AI249" s="6" t="s">
        <v>104</v>
      </c>
      <c r="AJ249" s="6" t="s">
        <v>15534</v>
      </c>
      <c r="AK249" s="6" t="s">
        <v>16744</v>
      </c>
      <c r="AL249" s="6" t="s">
        <v>16939</v>
      </c>
      <c r="AM249" s="6" t="s">
        <v>104</v>
      </c>
      <c r="AN249" s="6" t="s">
        <v>104</v>
      </c>
      <c r="AO249" s="6" t="s">
        <v>104</v>
      </c>
      <c r="AP249" s="6" t="s">
        <v>13380</v>
      </c>
      <c r="AQ249" s="6" t="s">
        <v>104</v>
      </c>
      <c r="AR249" s="6" t="s">
        <v>15534</v>
      </c>
      <c r="AS249" s="6" t="s">
        <v>16744</v>
      </c>
      <c r="AT249" s="6" t="s">
        <v>16939</v>
      </c>
      <c r="AU249" s="6" t="s">
        <v>104</v>
      </c>
      <c r="AV249" s="6" t="s">
        <v>104</v>
      </c>
      <c r="AW249" s="6" t="s">
        <v>104</v>
      </c>
      <c r="AX249" s="6" t="s">
        <v>20312</v>
      </c>
      <c r="AY249" s="6" t="s">
        <v>22054</v>
      </c>
      <c r="AZ249" s="6" t="s">
        <v>104</v>
      </c>
      <c r="BA249" s="6" t="s">
        <v>104</v>
      </c>
      <c r="BB249" s="6" t="s">
        <v>104</v>
      </c>
      <c r="BC249" s="26"/>
      <c r="BD249" s="26"/>
      <c r="BE249" s="26"/>
      <c r="BF249" s="26"/>
      <c r="BG249" s="26"/>
      <c r="BH249" s="26"/>
      <c r="BI249" s="26"/>
      <c r="BJ249" s="26"/>
      <c r="BK249" s="26"/>
      <c r="BL249" s="26"/>
      <c r="BM249" s="26"/>
      <c r="BN249" s="26"/>
      <c r="BO249" s="26"/>
      <c r="BP249" s="16" t="n">
        <v>45538</v>
      </c>
      <c r="BQ249" s="28" t="str">
        <f>HYPERLINK("https://organic.ams.usda.gov/Integrity/Certificate.aspx?cid=86&amp;nopid=6400010448")</f>
        <v>https://organic.ams.usda.gov/Integrity/Certificate.aspx?cid=86&amp;nopid=6400010448</v>
      </c>
    </row>
    <row r="250">
      <c r="A250" t="s">
        <v>3</v>
      </c>
      <c r="B250" s="6" t="s">
        <v>21</v>
      </c>
      <c r="C250" s="6" t="s">
        <v>87</v>
      </c>
      <c r="D250" s="6" t="s">
        <v>152</v>
      </c>
      <c r="E250" s="10" t="s">
        <v>448</v>
      </c>
      <c r="F250" s="6" t="s">
        <v>2706</v>
      </c>
      <c r="G250" s="6" t="s">
        <v>104</v>
      </c>
      <c r="H250" s="6" t="s">
        <v>5117</v>
      </c>
      <c r="I250" s="6" t="s">
        <v>6933</v>
      </c>
      <c r="J250" s="6" t="s">
        <v>8319</v>
      </c>
      <c r="K250" s="6" t="s">
        <v>9714</v>
      </c>
      <c r="L250" s="16" t="n">
        <v>40714</v>
      </c>
      <c r="M250" s="16" t="n">
        <v>46023</v>
      </c>
      <c r="N250" s="6" t="s">
        <v>9714</v>
      </c>
      <c r="O250" s="16" t="n">
        <v>40714</v>
      </c>
      <c r="P250" s="6" t="s">
        <v>9801</v>
      </c>
      <c r="Q250" s="6" t="s">
        <v>104</v>
      </c>
      <c r="R250" s="6" t="s">
        <v>104</v>
      </c>
      <c r="S250" s="6" t="s">
        <v>104</v>
      </c>
      <c r="T250" s="21" t="s">
        <v>104</v>
      </c>
      <c r="U250" s="6" t="s">
        <v>104</v>
      </c>
      <c r="V250" s="6" t="s">
        <v>104</v>
      </c>
      <c r="W250" s="6" t="s">
        <v>104</v>
      </c>
      <c r="X250" s="6" t="s">
        <v>104</v>
      </c>
      <c r="Y250" s="21" t="s">
        <v>104</v>
      </c>
      <c r="Z250" s="6" t="s">
        <v>104</v>
      </c>
      <c r="AA250" s="6" t="s">
        <v>104</v>
      </c>
      <c r="AB250" s="6" t="s">
        <v>104</v>
      </c>
      <c r="AC250" s="6" t="s">
        <v>104</v>
      </c>
      <c r="AD250" s="21" t="s">
        <v>104</v>
      </c>
      <c r="AE250" s="6" t="s">
        <v>104</v>
      </c>
      <c r="AF250" s="6" t="s">
        <v>104</v>
      </c>
      <c r="AG250" s="6" t="s">
        <v>104</v>
      </c>
      <c r="AH250" s="6" t="s">
        <v>13381</v>
      </c>
      <c r="AI250" s="6" t="s">
        <v>104</v>
      </c>
      <c r="AJ250" s="6" t="s">
        <v>15535</v>
      </c>
      <c r="AK250" s="6" t="s">
        <v>16687</v>
      </c>
      <c r="AL250" s="6" t="s">
        <v>16931</v>
      </c>
      <c r="AM250" s="6" t="s">
        <v>17152</v>
      </c>
      <c r="AN250" s="6" t="s">
        <v>18455</v>
      </c>
      <c r="AO250" s="6" t="s">
        <v>18612</v>
      </c>
      <c r="AP250" s="6" t="s">
        <v>19018</v>
      </c>
      <c r="AQ250" s="6" t="s">
        <v>104</v>
      </c>
      <c r="AR250" s="6" t="s">
        <v>15535</v>
      </c>
      <c r="AS250" s="6" t="s">
        <v>16687</v>
      </c>
      <c r="AT250" s="6" t="s">
        <v>16931</v>
      </c>
      <c r="AU250" s="6" t="s">
        <v>17152</v>
      </c>
      <c r="AV250" s="6" t="s">
        <v>104</v>
      </c>
      <c r="AW250" s="6" t="s">
        <v>104</v>
      </c>
      <c r="AX250" s="6" t="s">
        <v>20313</v>
      </c>
      <c r="AY250" s="6" t="s">
        <v>22055</v>
      </c>
      <c r="AZ250" s="6" t="s">
        <v>104</v>
      </c>
      <c r="BA250" s="6" t="s">
        <v>104</v>
      </c>
      <c r="BB250" s="24" t="n">
        <v>461</v>
      </c>
      <c r="BC250" s="26"/>
      <c r="BD250" s="26"/>
      <c r="BE250" s="26"/>
      <c r="BF250" s="26"/>
      <c r="BG250" s="26"/>
      <c r="BH250" s="26"/>
      <c r="BI250" s="26"/>
      <c r="BJ250" s="26"/>
      <c r="BK250" s="26"/>
      <c r="BL250" s="26"/>
      <c r="BM250" s="26"/>
      <c r="BN250" s="26"/>
      <c r="BO250" s="26"/>
      <c r="BP250" s="16" t="n">
        <v>45667</v>
      </c>
      <c r="BQ250" s="28" t="str">
        <f>HYPERLINK("https://organic.ams.usda.gov/Integrity/Certificate.aspx?cid=15&amp;nopid=5561001580")</f>
        <v>https://organic.ams.usda.gov/Integrity/Certificate.aspx?cid=15&amp;nopid=5561001580</v>
      </c>
    </row>
    <row r="251">
      <c r="A251" t="s">
        <v>3</v>
      </c>
      <c r="B251" s="6" t="s">
        <v>33</v>
      </c>
      <c r="C251" s="6" t="s">
        <v>99</v>
      </c>
      <c r="D251" s="6" t="s">
        <v>164</v>
      </c>
      <c r="E251" s="10" t="s">
        <v>449</v>
      </c>
      <c r="F251" s="6" t="s">
        <v>2707</v>
      </c>
      <c r="G251" s="6" t="s">
        <v>104</v>
      </c>
      <c r="H251" s="6" t="s">
        <v>104</v>
      </c>
      <c r="I251" s="6" t="s">
        <v>7041</v>
      </c>
      <c r="J251" s="6" t="s">
        <v>8320</v>
      </c>
      <c r="K251" s="6" t="s">
        <v>9714</v>
      </c>
      <c r="L251" s="16" t="n">
        <v>41500</v>
      </c>
      <c r="M251" s="16" t="n">
        <v>45536</v>
      </c>
      <c r="N251" s="6" t="s">
        <v>104</v>
      </c>
      <c r="O251" s="21" t="s">
        <v>104</v>
      </c>
      <c r="P251" s="6" t="s">
        <v>104</v>
      </c>
      <c r="Q251" s="6" t="s">
        <v>104</v>
      </c>
      <c r="R251" s="6" t="s">
        <v>104</v>
      </c>
      <c r="S251" s="6" t="s">
        <v>104</v>
      </c>
      <c r="T251" s="21" t="s">
        <v>104</v>
      </c>
      <c r="U251" s="6" t="s">
        <v>104</v>
      </c>
      <c r="V251" s="6" t="s">
        <v>104</v>
      </c>
      <c r="W251" s="6" t="s">
        <v>104</v>
      </c>
      <c r="X251" s="6" t="s">
        <v>104</v>
      </c>
      <c r="Y251" s="21" t="s">
        <v>104</v>
      </c>
      <c r="Z251" s="6" t="s">
        <v>104</v>
      </c>
      <c r="AA251" s="6" t="s">
        <v>104</v>
      </c>
      <c r="AB251" s="6" t="s">
        <v>104</v>
      </c>
      <c r="AC251" s="6" t="s">
        <v>9714</v>
      </c>
      <c r="AD251" s="16" t="n">
        <v>41500</v>
      </c>
      <c r="AE251" s="6" t="s">
        <v>10741</v>
      </c>
      <c r="AF251" s="6" t="s">
        <v>104</v>
      </c>
      <c r="AG251" s="6" t="s">
        <v>104</v>
      </c>
      <c r="AH251" s="6" t="s">
        <v>13382</v>
      </c>
      <c r="AI251" s="6" t="s">
        <v>104</v>
      </c>
      <c r="AJ251" s="6" t="s">
        <v>15536</v>
      </c>
      <c r="AK251" s="6" t="s">
        <v>16683</v>
      </c>
      <c r="AL251" s="6" t="s">
        <v>16931</v>
      </c>
      <c r="AM251" s="6" t="s">
        <v>17153</v>
      </c>
      <c r="AN251" s="6" t="s">
        <v>18491</v>
      </c>
      <c r="AO251" s="6" t="s">
        <v>18613</v>
      </c>
      <c r="AP251" s="6" t="s">
        <v>13382</v>
      </c>
      <c r="AQ251" s="6" t="s">
        <v>104</v>
      </c>
      <c r="AR251" s="6" t="s">
        <v>15536</v>
      </c>
      <c r="AS251" s="6" t="s">
        <v>16683</v>
      </c>
      <c r="AT251" s="6" t="s">
        <v>16931</v>
      </c>
      <c r="AU251" s="6" t="s">
        <v>17153</v>
      </c>
      <c r="AV251" s="6" t="s">
        <v>104</v>
      </c>
      <c r="AW251" s="6" t="s">
        <v>104</v>
      </c>
      <c r="AX251" s="6" t="s">
        <v>20314</v>
      </c>
      <c r="AY251" s="6" t="s">
        <v>22056</v>
      </c>
      <c r="AZ251" s="6" t="s">
        <v>23749</v>
      </c>
      <c r="BA251" s="6" t="s">
        <v>24297</v>
      </c>
      <c r="BB251" s="6" t="s">
        <v>104</v>
      </c>
      <c r="BC251" s="26"/>
      <c r="BD251" s="26"/>
      <c r="BE251" s="26"/>
      <c r="BF251" s="26"/>
      <c r="BG251" s="26"/>
      <c r="BH251" s="26"/>
      <c r="BI251" s="26"/>
      <c r="BJ251" s="26"/>
      <c r="BK251" s="26"/>
      <c r="BL251" s="26"/>
      <c r="BM251" s="26"/>
      <c r="BN251" s="26"/>
      <c r="BO251" s="26"/>
      <c r="BP251" s="16" t="n">
        <v>45328</v>
      </c>
      <c r="BQ251" s="28" t="str">
        <f>HYPERLINK("https://organic.ams.usda.gov/Integrity/Certificate.aspx?cid=46&amp;nopid=3671300010")</f>
        <v>https://organic.ams.usda.gov/Integrity/Certificate.aspx?cid=46&amp;nopid=3671300010</v>
      </c>
    </row>
    <row r="252">
      <c r="A252" t="s">
        <v>3</v>
      </c>
      <c r="B252" s="6" t="s">
        <v>13</v>
      </c>
      <c r="C252" s="6" t="s">
        <v>79</v>
      </c>
      <c r="D252" s="6" t="s">
        <v>144</v>
      </c>
      <c r="E252" s="10" t="s">
        <v>450</v>
      </c>
      <c r="F252" s="6" t="s">
        <v>2708</v>
      </c>
      <c r="G252" s="6" t="s">
        <v>104</v>
      </c>
      <c r="H252" s="6" t="s">
        <v>5118</v>
      </c>
      <c r="I252" s="6" t="s">
        <v>7003</v>
      </c>
      <c r="J252" s="6" t="s">
        <v>8321</v>
      </c>
      <c r="K252" s="6" t="s">
        <v>9714</v>
      </c>
      <c r="L252" s="16" t="n">
        <v>41969</v>
      </c>
      <c r="M252" s="16" t="n">
        <v>46023</v>
      </c>
      <c r="N252" s="6" t="s">
        <v>104</v>
      </c>
      <c r="O252" s="21" t="s">
        <v>104</v>
      </c>
      <c r="P252" s="6" t="s">
        <v>104</v>
      </c>
      <c r="Q252" s="6" t="s">
        <v>104</v>
      </c>
      <c r="R252" s="6" t="s">
        <v>104</v>
      </c>
      <c r="S252" s="6" t="s">
        <v>104</v>
      </c>
      <c r="T252" s="21" t="s">
        <v>104</v>
      </c>
      <c r="U252" s="6" t="s">
        <v>104</v>
      </c>
      <c r="V252" s="6" t="s">
        <v>104</v>
      </c>
      <c r="W252" s="6" t="s">
        <v>104</v>
      </c>
      <c r="X252" s="6" t="s">
        <v>104</v>
      </c>
      <c r="Y252" s="21" t="s">
        <v>104</v>
      </c>
      <c r="Z252" s="6" t="s">
        <v>104</v>
      </c>
      <c r="AA252" s="6" t="s">
        <v>104</v>
      </c>
      <c r="AB252" s="6" t="s">
        <v>104</v>
      </c>
      <c r="AC252" s="6" t="s">
        <v>9714</v>
      </c>
      <c r="AD252" s="16" t="n">
        <v>41969</v>
      </c>
      <c r="AE252" s="6" t="s">
        <v>10742</v>
      </c>
      <c r="AF252" s="6" t="s">
        <v>104</v>
      </c>
      <c r="AG252" s="6" t="s">
        <v>104</v>
      </c>
      <c r="AH252" s="6" t="s">
        <v>104</v>
      </c>
      <c r="AI252" s="6" t="s">
        <v>104</v>
      </c>
      <c r="AJ252" s="6" t="s">
        <v>104</v>
      </c>
      <c r="AK252" s="6" t="s">
        <v>104</v>
      </c>
      <c r="AL252" s="6" t="s">
        <v>104</v>
      </c>
      <c r="AM252" s="6" t="s">
        <v>104</v>
      </c>
      <c r="AN252" s="6" t="s">
        <v>104</v>
      </c>
      <c r="AO252" s="6" t="s">
        <v>104</v>
      </c>
      <c r="AP252" s="6" t="s">
        <v>19019</v>
      </c>
      <c r="AQ252" s="6" t="s">
        <v>104</v>
      </c>
      <c r="AR252" s="6" t="s">
        <v>15537</v>
      </c>
      <c r="AS252" s="6" t="s">
        <v>16687</v>
      </c>
      <c r="AT252" s="6" t="s">
        <v>16931</v>
      </c>
      <c r="AU252" s="6" t="s">
        <v>17154</v>
      </c>
      <c r="AV252" s="6" t="s">
        <v>18492</v>
      </c>
      <c r="AW252" s="6" t="s">
        <v>18614</v>
      </c>
      <c r="AX252" s="6" t="s">
        <v>20315</v>
      </c>
      <c r="AY252" s="6" t="s">
        <v>22057</v>
      </c>
      <c r="AZ252" s="6" t="s">
        <v>104</v>
      </c>
      <c r="BA252" s="6" t="s">
        <v>104</v>
      </c>
      <c r="BB252" s="6" t="s">
        <v>104</v>
      </c>
      <c r="BC252" s="26"/>
      <c r="BD252" s="26"/>
      <c r="BE252" s="26"/>
      <c r="BF252" s="26"/>
      <c r="BG252" s="26"/>
      <c r="BH252" s="26"/>
      <c r="BI252" s="26"/>
      <c r="BJ252" s="26"/>
      <c r="BK252" s="26"/>
      <c r="BL252" s="26"/>
      <c r="BM252" s="26"/>
      <c r="BN252" s="26"/>
      <c r="BO252" s="26"/>
      <c r="BP252" s="16" t="n">
        <v>45660</v>
      </c>
      <c r="BQ252" s="28" t="str">
        <f>HYPERLINK("https://organic.ams.usda.gov/Integrity/Certificate.aspx?cid=62&amp;nopid=8150001863")</f>
        <v>https://organic.ams.usda.gov/Integrity/Certificate.aspx?cid=62&amp;nopid=8150001863</v>
      </c>
    </row>
    <row r="253">
      <c r="A253" t="s">
        <v>3</v>
      </c>
      <c r="B253" s="6" t="s">
        <v>21</v>
      </c>
      <c r="C253" s="6" t="s">
        <v>87</v>
      </c>
      <c r="D253" s="6" t="s">
        <v>152</v>
      </c>
      <c r="E253" s="10" t="s">
        <v>451</v>
      </c>
      <c r="F253" s="6" t="s">
        <v>2709</v>
      </c>
      <c r="G253" s="6" t="s">
        <v>104</v>
      </c>
      <c r="H253" s="6" t="s">
        <v>5119</v>
      </c>
      <c r="I253" s="6" t="s">
        <v>7003</v>
      </c>
      <c r="J253" s="6" t="s">
        <v>8321</v>
      </c>
      <c r="K253" s="6" t="s">
        <v>9714</v>
      </c>
      <c r="L253" s="16" t="n">
        <v>40045</v>
      </c>
      <c r="M253" s="16" t="n">
        <v>46023</v>
      </c>
      <c r="N253" s="6" t="s">
        <v>104</v>
      </c>
      <c r="O253" s="21" t="s">
        <v>104</v>
      </c>
      <c r="P253" s="6" t="s">
        <v>104</v>
      </c>
      <c r="Q253" s="6" t="s">
        <v>104</v>
      </c>
      <c r="R253" s="6" t="s">
        <v>104</v>
      </c>
      <c r="S253" s="6" t="s">
        <v>104</v>
      </c>
      <c r="T253" s="21" t="s">
        <v>104</v>
      </c>
      <c r="U253" s="6" t="s">
        <v>104</v>
      </c>
      <c r="V253" s="6" t="s">
        <v>104</v>
      </c>
      <c r="W253" s="6" t="s">
        <v>104</v>
      </c>
      <c r="X253" s="6" t="s">
        <v>104</v>
      </c>
      <c r="Y253" s="21" t="s">
        <v>104</v>
      </c>
      <c r="Z253" s="6" t="s">
        <v>104</v>
      </c>
      <c r="AA253" s="6" t="s">
        <v>104</v>
      </c>
      <c r="AB253" s="6" t="s">
        <v>104</v>
      </c>
      <c r="AC253" s="6" t="s">
        <v>9714</v>
      </c>
      <c r="AD253" s="16" t="n">
        <v>40045</v>
      </c>
      <c r="AE253" s="6" t="s">
        <v>10743</v>
      </c>
      <c r="AF253" s="6" t="s">
        <v>104</v>
      </c>
      <c r="AG253" s="6" t="s">
        <v>104</v>
      </c>
      <c r="AH253" s="6" t="s">
        <v>13383</v>
      </c>
      <c r="AI253" s="6" t="s">
        <v>104</v>
      </c>
      <c r="AJ253" s="6" t="s">
        <v>15537</v>
      </c>
      <c r="AK253" s="6" t="s">
        <v>16687</v>
      </c>
      <c r="AL253" s="6" t="s">
        <v>16931</v>
      </c>
      <c r="AM253" s="6" t="s">
        <v>17154</v>
      </c>
      <c r="AN253" s="6" t="s">
        <v>18492</v>
      </c>
      <c r="AO253" s="6" t="s">
        <v>18614</v>
      </c>
      <c r="AP253" s="6" t="s">
        <v>13383</v>
      </c>
      <c r="AQ253" s="6" t="s">
        <v>104</v>
      </c>
      <c r="AR253" s="6" t="s">
        <v>15537</v>
      </c>
      <c r="AS253" s="6" t="s">
        <v>16687</v>
      </c>
      <c r="AT253" s="6" t="s">
        <v>16931</v>
      </c>
      <c r="AU253" s="6" t="s">
        <v>17154</v>
      </c>
      <c r="AV253" s="6" t="s">
        <v>104</v>
      </c>
      <c r="AW253" s="6" t="s">
        <v>104</v>
      </c>
      <c r="AX253" s="6" t="s">
        <v>20316</v>
      </c>
      <c r="AY253" s="6" t="s">
        <v>22057</v>
      </c>
      <c r="AZ253" s="6" t="s">
        <v>23750</v>
      </c>
      <c r="BA253" s="6" t="s">
        <v>24298</v>
      </c>
      <c r="BB253" s="6" t="s">
        <v>104</v>
      </c>
      <c r="BC253" s="26" t="s">
        <v>24533</v>
      </c>
      <c r="BD253" s="26"/>
      <c r="BE253" s="26" t="s">
        <v>24533</v>
      </c>
      <c r="BF253" s="26"/>
      <c r="BG253" s="26"/>
      <c r="BH253" s="26"/>
      <c r="BI253" s="26"/>
      <c r="BJ253" s="26"/>
      <c r="BK253" s="26"/>
      <c r="BL253" s="26"/>
      <c r="BM253" s="26"/>
      <c r="BN253" s="26"/>
      <c r="BO253" s="26"/>
      <c r="BP253" s="16" t="n">
        <v>45671</v>
      </c>
      <c r="BQ253" s="28" t="str">
        <f>HYPERLINK("https://organic.ams.usda.gov/Integrity/Certificate.aspx?cid=15&amp;nopid=5561002499")</f>
        <v>https://organic.ams.usda.gov/Integrity/Certificate.aspx?cid=15&amp;nopid=5561002499</v>
      </c>
    </row>
    <row r="254">
      <c r="A254" t="s">
        <v>3</v>
      </c>
      <c r="B254" s="6" t="s">
        <v>34</v>
      </c>
      <c r="C254" s="6" t="s">
        <v>100</v>
      </c>
      <c r="D254" s="6" t="s">
        <v>165</v>
      </c>
      <c r="E254" s="10" t="s">
        <v>452</v>
      </c>
      <c r="F254" s="6" t="s">
        <v>2710</v>
      </c>
      <c r="G254" s="6" t="s">
        <v>104</v>
      </c>
      <c r="H254" s="6" t="s">
        <v>5120</v>
      </c>
      <c r="I254" s="6" t="s">
        <v>7100</v>
      </c>
      <c r="J254" s="6" t="s">
        <v>8322</v>
      </c>
      <c r="K254" s="6" t="s">
        <v>9714</v>
      </c>
      <c r="L254" s="16" t="n">
        <v>37375</v>
      </c>
      <c r="M254" s="16" t="n">
        <v>45720</v>
      </c>
      <c r="N254" s="6" t="s">
        <v>9714</v>
      </c>
      <c r="O254" s="16" t="n">
        <v>37375</v>
      </c>
      <c r="P254" s="6" t="s">
        <v>9802</v>
      </c>
      <c r="Q254" s="6" t="s">
        <v>104</v>
      </c>
      <c r="R254" s="6" t="s">
        <v>10320</v>
      </c>
      <c r="S254" s="6" t="s">
        <v>104</v>
      </c>
      <c r="T254" s="21" t="s">
        <v>104</v>
      </c>
      <c r="U254" s="6" t="s">
        <v>104</v>
      </c>
      <c r="V254" s="6" t="s">
        <v>104</v>
      </c>
      <c r="W254" s="6" t="s">
        <v>104</v>
      </c>
      <c r="X254" s="6" t="s">
        <v>104</v>
      </c>
      <c r="Y254" s="21" t="s">
        <v>104</v>
      </c>
      <c r="Z254" s="6" t="s">
        <v>104</v>
      </c>
      <c r="AA254" s="6" t="s">
        <v>104</v>
      </c>
      <c r="AB254" s="6" t="s">
        <v>104</v>
      </c>
      <c r="AC254" s="6" t="s">
        <v>9714</v>
      </c>
      <c r="AD254" s="16" t="n">
        <v>37375</v>
      </c>
      <c r="AE254" s="6" t="s">
        <v>10744</v>
      </c>
      <c r="AF254" s="6" t="s">
        <v>104</v>
      </c>
      <c r="AG254" s="6" t="s">
        <v>12547</v>
      </c>
      <c r="AH254" s="6" t="s">
        <v>13384</v>
      </c>
      <c r="AI254" s="6" t="s">
        <v>104</v>
      </c>
      <c r="AJ254" s="6" t="s">
        <v>15538</v>
      </c>
      <c r="AK254" s="6" t="s">
        <v>16704</v>
      </c>
      <c r="AL254" s="6" t="s">
        <v>16931</v>
      </c>
      <c r="AM254" s="6" t="s">
        <v>17155</v>
      </c>
      <c r="AN254" s="6" t="s">
        <v>18493</v>
      </c>
      <c r="AO254" s="6" t="s">
        <v>18615</v>
      </c>
      <c r="AP254" s="6" t="s">
        <v>13384</v>
      </c>
      <c r="AQ254" s="6" t="s">
        <v>104</v>
      </c>
      <c r="AR254" s="6" t="s">
        <v>15538</v>
      </c>
      <c r="AS254" s="6" t="s">
        <v>16704</v>
      </c>
      <c r="AT254" s="6" t="s">
        <v>16931</v>
      </c>
      <c r="AU254" s="6" t="s">
        <v>17155</v>
      </c>
      <c r="AV254" s="6" t="s">
        <v>104</v>
      </c>
      <c r="AW254" s="6" t="s">
        <v>104</v>
      </c>
      <c r="AX254" s="6" t="s">
        <v>20317</v>
      </c>
      <c r="AY254" s="6" t="s">
        <v>22058</v>
      </c>
      <c r="AZ254" s="6" t="s">
        <v>104</v>
      </c>
      <c r="BA254" s="6" t="s">
        <v>104</v>
      </c>
      <c r="BB254" s="24" t="n">
        <v>2214</v>
      </c>
      <c r="BC254" s="26"/>
      <c r="BD254" s="26"/>
      <c r="BE254" s="26"/>
      <c r="BF254" s="26"/>
      <c r="BG254" s="26"/>
      <c r="BH254" s="26"/>
      <c r="BI254" s="26"/>
      <c r="BJ254" s="26"/>
      <c r="BK254" s="26"/>
      <c r="BL254" s="26"/>
      <c r="BM254" s="26"/>
      <c r="BN254" s="26"/>
      <c r="BO254" s="26"/>
      <c r="BP254" s="16" t="n">
        <v>45737</v>
      </c>
      <c r="BQ254" s="28" t="str">
        <f>HYPERLINK("https://organic.ams.usda.gov/Integrity/Certificate.aspx?cid=71&amp;nopid=5520031027")</f>
        <v>https://organic.ams.usda.gov/Integrity/Certificate.aspx?cid=71&amp;nopid=5520031027</v>
      </c>
    </row>
    <row r="255">
      <c r="A255" t="s">
        <v>3</v>
      </c>
      <c r="B255" s="6" t="s">
        <v>21</v>
      </c>
      <c r="C255" s="6" t="s">
        <v>87</v>
      </c>
      <c r="D255" s="6" t="s">
        <v>152</v>
      </c>
      <c r="E255" s="10" t="s">
        <v>453</v>
      </c>
      <c r="F255" s="6" t="s">
        <v>2711</v>
      </c>
      <c r="G255" s="6" t="s">
        <v>104</v>
      </c>
      <c r="H255" s="6" t="s">
        <v>5121</v>
      </c>
      <c r="I255" s="6" t="s">
        <v>7101</v>
      </c>
      <c r="J255" s="6" t="s">
        <v>8323</v>
      </c>
      <c r="K255" s="6" t="s">
        <v>9714</v>
      </c>
      <c r="L255" s="16" t="n">
        <v>41701</v>
      </c>
      <c r="M255" s="16" t="n">
        <v>46023</v>
      </c>
      <c r="N255" s="6" t="s">
        <v>104</v>
      </c>
      <c r="O255" s="21" t="s">
        <v>104</v>
      </c>
      <c r="P255" s="6" t="s">
        <v>104</v>
      </c>
      <c r="Q255" s="6" t="s">
        <v>104</v>
      </c>
      <c r="R255" s="6" t="s">
        <v>104</v>
      </c>
      <c r="S255" s="6" t="s">
        <v>104</v>
      </c>
      <c r="T255" s="21" t="s">
        <v>104</v>
      </c>
      <c r="U255" s="6" t="s">
        <v>104</v>
      </c>
      <c r="V255" s="6" t="s">
        <v>104</v>
      </c>
      <c r="W255" s="6" t="s">
        <v>104</v>
      </c>
      <c r="X255" s="6" t="s">
        <v>104</v>
      </c>
      <c r="Y255" s="21" t="s">
        <v>104</v>
      </c>
      <c r="Z255" s="6" t="s">
        <v>104</v>
      </c>
      <c r="AA255" s="6" t="s">
        <v>104</v>
      </c>
      <c r="AB255" s="6" t="s">
        <v>104</v>
      </c>
      <c r="AC255" s="6" t="s">
        <v>9714</v>
      </c>
      <c r="AD255" s="16" t="n">
        <v>41701</v>
      </c>
      <c r="AE255" s="6" t="s">
        <v>10745</v>
      </c>
      <c r="AF255" s="6" t="s">
        <v>104</v>
      </c>
      <c r="AG255" s="6" t="s">
        <v>104</v>
      </c>
      <c r="AH255" s="6" t="s">
        <v>13385</v>
      </c>
      <c r="AI255" s="6" t="s">
        <v>104</v>
      </c>
      <c r="AJ255" s="6" t="s">
        <v>15362</v>
      </c>
      <c r="AK255" s="6" t="s">
        <v>16687</v>
      </c>
      <c r="AL255" s="6" t="s">
        <v>16931</v>
      </c>
      <c r="AM255" s="6" t="s">
        <v>17156</v>
      </c>
      <c r="AN255" s="6" t="s">
        <v>18476</v>
      </c>
      <c r="AO255" s="6" t="s">
        <v>18585</v>
      </c>
      <c r="AP255" s="6" t="s">
        <v>13385</v>
      </c>
      <c r="AQ255" s="6" t="s">
        <v>104</v>
      </c>
      <c r="AR255" s="6" t="s">
        <v>15362</v>
      </c>
      <c r="AS255" s="6" t="s">
        <v>16687</v>
      </c>
      <c r="AT255" s="6" t="s">
        <v>16931</v>
      </c>
      <c r="AU255" s="6" t="s">
        <v>17156</v>
      </c>
      <c r="AV255" s="6" t="s">
        <v>104</v>
      </c>
      <c r="AW255" s="6" t="s">
        <v>104</v>
      </c>
      <c r="AX255" s="6" t="s">
        <v>20318</v>
      </c>
      <c r="AY255" s="6" t="s">
        <v>22059</v>
      </c>
      <c r="AZ255" s="6" t="s">
        <v>104</v>
      </c>
      <c r="BA255" s="6" t="s">
        <v>24299</v>
      </c>
      <c r="BB255" s="6" t="s">
        <v>104</v>
      </c>
      <c r="BC255" s="26"/>
      <c r="BD255" s="26"/>
      <c r="BE255" s="26"/>
      <c r="BF255" s="26"/>
      <c r="BG255" s="26"/>
      <c r="BH255" s="26"/>
      <c r="BI255" s="26"/>
      <c r="BJ255" s="26"/>
      <c r="BK255" s="26"/>
      <c r="BL255" s="26"/>
      <c r="BM255" s="26"/>
      <c r="BN255" s="26"/>
      <c r="BO255" s="26"/>
      <c r="BP255" s="16" t="n">
        <v>45667</v>
      </c>
      <c r="BQ255" s="28" t="str">
        <f>HYPERLINK("https://organic.ams.usda.gov/Integrity/Certificate.aspx?cid=15&amp;nopid=5561001876")</f>
        <v>https://organic.ams.usda.gov/Integrity/Certificate.aspx?cid=15&amp;nopid=5561001876</v>
      </c>
    </row>
    <row r="256">
      <c r="A256" t="s">
        <v>3</v>
      </c>
      <c r="B256" s="6" t="s">
        <v>50</v>
      </c>
      <c r="C256" s="6" t="s">
        <v>116</v>
      </c>
      <c r="D256" s="6" t="s">
        <v>180</v>
      </c>
      <c r="E256" s="10" t="s">
        <v>454</v>
      </c>
      <c r="F256" s="6" t="s">
        <v>2712</v>
      </c>
      <c r="G256" s="6" t="s">
        <v>104</v>
      </c>
      <c r="H256" s="6" t="s">
        <v>5122</v>
      </c>
      <c r="I256" s="6" t="s">
        <v>7102</v>
      </c>
      <c r="J256" s="6" t="s">
        <v>8324</v>
      </c>
      <c r="K256" s="6" t="s">
        <v>9714</v>
      </c>
      <c r="L256" s="16" t="n">
        <v>40765</v>
      </c>
      <c r="M256" s="16" t="n">
        <v>46054</v>
      </c>
      <c r="N256" s="6" t="s">
        <v>104</v>
      </c>
      <c r="O256" s="21" t="s">
        <v>104</v>
      </c>
      <c r="P256" s="6" t="s">
        <v>104</v>
      </c>
      <c r="Q256" s="6" t="s">
        <v>104</v>
      </c>
      <c r="R256" s="6" t="s">
        <v>104</v>
      </c>
      <c r="S256" s="6" t="s">
        <v>104</v>
      </c>
      <c r="T256" s="21" t="s">
        <v>104</v>
      </c>
      <c r="U256" s="6" t="s">
        <v>104</v>
      </c>
      <c r="V256" s="6" t="s">
        <v>104</v>
      </c>
      <c r="W256" s="6" t="s">
        <v>104</v>
      </c>
      <c r="X256" s="6" t="s">
        <v>104</v>
      </c>
      <c r="Y256" s="21" t="s">
        <v>104</v>
      </c>
      <c r="Z256" s="6" t="s">
        <v>104</v>
      </c>
      <c r="AA256" s="6" t="s">
        <v>104</v>
      </c>
      <c r="AB256" s="6" t="s">
        <v>104</v>
      </c>
      <c r="AC256" s="6" t="s">
        <v>9714</v>
      </c>
      <c r="AD256" s="16" t="n">
        <v>40765</v>
      </c>
      <c r="AE256" s="6" t="s">
        <v>10746</v>
      </c>
      <c r="AF256" s="6" t="s">
        <v>104</v>
      </c>
      <c r="AG256" s="6" t="s">
        <v>5122</v>
      </c>
      <c r="AH256" s="6" t="s">
        <v>13386</v>
      </c>
      <c r="AI256" s="6" t="s">
        <v>104</v>
      </c>
      <c r="AJ256" s="6" t="s">
        <v>15539</v>
      </c>
      <c r="AK256" s="6" t="s">
        <v>16745</v>
      </c>
      <c r="AL256" s="6" t="s">
        <v>16931</v>
      </c>
      <c r="AM256" s="6" t="s">
        <v>17157</v>
      </c>
      <c r="AN256" s="6" t="s">
        <v>18459</v>
      </c>
      <c r="AO256" s="6" t="s">
        <v>18616</v>
      </c>
      <c r="AP256" s="6" t="s">
        <v>13386</v>
      </c>
      <c r="AQ256" s="6" t="s">
        <v>104</v>
      </c>
      <c r="AR256" s="6" t="s">
        <v>15539</v>
      </c>
      <c r="AS256" s="6" t="s">
        <v>16745</v>
      </c>
      <c r="AT256" s="6" t="s">
        <v>16931</v>
      </c>
      <c r="AU256" s="6" t="s">
        <v>17157</v>
      </c>
      <c r="AV256" s="6" t="s">
        <v>104</v>
      </c>
      <c r="AW256" s="6" t="s">
        <v>104</v>
      </c>
      <c r="AX256" s="6" t="s">
        <v>20319</v>
      </c>
      <c r="AY256" s="6" t="s">
        <v>22060</v>
      </c>
      <c r="AZ256" s="6" t="s">
        <v>23751</v>
      </c>
      <c r="BA256" s="6" t="s">
        <v>104</v>
      </c>
      <c r="BB256" s="24" t="n">
        <v>0</v>
      </c>
      <c r="BC256" s="26"/>
      <c r="BD256" s="26"/>
      <c r="BE256" s="26" t="s">
        <v>24533</v>
      </c>
      <c r="BF256" s="26"/>
      <c r="BG256" s="26"/>
      <c r="BH256" s="26"/>
      <c r="BI256" s="26"/>
      <c r="BJ256" s="26"/>
      <c r="BK256" s="26"/>
      <c r="BL256" s="26" t="s">
        <v>24533</v>
      </c>
      <c r="BM256" s="26"/>
      <c r="BN256" s="26"/>
      <c r="BO256" s="26"/>
      <c r="BP256" s="16" t="n">
        <v>45699</v>
      </c>
      <c r="BQ256" s="28" t="str">
        <f>HYPERLINK("https://organic.ams.usda.gov/Integrity/Certificate.aspx?cid=80&amp;nopid=5090311501")</f>
        <v>https://organic.ams.usda.gov/Integrity/Certificate.aspx?cid=80&amp;nopid=5090311501</v>
      </c>
    </row>
    <row r="257">
      <c r="A257" t="s">
        <v>3</v>
      </c>
      <c r="B257" s="6" t="s">
        <v>20</v>
      </c>
      <c r="C257" s="6" t="s">
        <v>86</v>
      </c>
      <c r="D257" s="6" t="s">
        <v>151</v>
      </c>
      <c r="E257" s="10" t="s">
        <v>455</v>
      </c>
      <c r="F257" s="6" t="s">
        <v>2713</v>
      </c>
      <c r="G257" s="6" t="s">
        <v>104</v>
      </c>
      <c r="H257" s="6" t="s">
        <v>5123</v>
      </c>
      <c r="I257" s="6" t="s">
        <v>7103</v>
      </c>
      <c r="J257" s="6" t="s">
        <v>8325</v>
      </c>
      <c r="K257" s="6" t="s">
        <v>9714</v>
      </c>
      <c r="L257" s="16" t="n">
        <v>45344</v>
      </c>
      <c r="M257" s="16" t="n">
        <v>45688</v>
      </c>
      <c r="N257" s="6" t="s">
        <v>104</v>
      </c>
      <c r="O257" s="21" t="s">
        <v>104</v>
      </c>
      <c r="P257" s="6" t="s">
        <v>104</v>
      </c>
      <c r="Q257" s="6" t="s">
        <v>104</v>
      </c>
      <c r="R257" s="6" t="s">
        <v>104</v>
      </c>
      <c r="S257" s="6" t="s">
        <v>104</v>
      </c>
      <c r="T257" s="21" t="s">
        <v>104</v>
      </c>
      <c r="U257" s="6" t="s">
        <v>104</v>
      </c>
      <c r="V257" s="6" t="s">
        <v>104</v>
      </c>
      <c r="W257" s="6" t="s">
        <v>104</v>
      </c>
      <c r="X257" s="6" t="s">
        <v>104</v>
      </c>
      <c r="Y257" s="21" t="s">
        <v>104</v>
      </c>
      <c r="Z257" s="6" t="s">
        <v>104</v>
      </c>
      <c r="AA257" s="6" t="s">
        <v>104</v>
      </c>
      <c r="AB257" s="6" t="s">
        <v>104</v>
      </c>
      <c r="AC257" s="6" t="s">
        <v>9714</v>
      </c>
      <c r="AD257" s="16" t="n">
        <v>45344</v>
      </c>
      <c r="AE257" s="6" t="s">
        <v>10747</v>
      </c>
      <c r="AF257" s="6" t="s">
        <v>104</v>
      </c>
      <c r="AG257" s="6" t="s">
        <v>12548</v>
      </c>
      <c r="AH257" s="6" t="s">
        <v>13387</v>
      </c>
      <c r="AI257" s="6" t="s">
        <v>104</v>
      </c>
      <c r="AJ257" s="6" t="s">
        <v>15540</v>
      </c>
      <c r="AK257" s="6" t="s">
        <v>16684</v>
      </c>
      <c r="AL257" s="6" t="s">
        <v>16931</v>
      </c>
      <c r="AM257" s="6" t="s">
        <v>17158</v>
      </c>
      <c r="AN257" s="6" t="s">
        <v>104</v>
      </c>
      <c r="AO257" s="6" t="s">
        <v>104</v>
      </c>
      <c r="AP257" s="6" t="s">
        <v>104</v>
      </c>
      <c r="AQ257" s="6" t="s">
        <v>104</v>
      </c>
      <c r="AR257" s="6" t="s">
        <v>104</v>
      </c>
      <c r="AS257" s="6" t="s">
        <v>104</v>
      </c>
      <c r="AT257" s="6" t="s">
        <v>104</v>
      </c>
      <c r="AU257" s="6" t="s">
        <v>104</v>
      </c>
      <c r="AV257" s="6" t="s">
        <v>104</v>
      </c>
      <c r="AW257" s="6" t="s">
        <v>104</v>
      </c>
      <c r="AX257" s="6" t="s">
        <v>20320</v>
      </c>
      <c r="AY257" s="6" t="s">
        <v>22061</v>
      </c>
      <c r="AZ257" s="6" t="s">
        <v>23752</v>
      </c>
      <c r="BA257" s="6" t="s">
        <v>24300</v>
      </c>
      <c r="BB257" s="6" t="s">
        <v>104</v>
      </c>
      <c r="BC257" s="26"/>
      <c r="BD257" s="26"/>
      <c r="BE257" s="26"/>
      <c r="BF257" s="26"/>
      <c r="BG257" s="26"/>
      <c r="BH257" s="26"/>
      <c r="BI257" s="26"/>
      <c r="BJ257" s="26"/>
      <c r="BK257" s="26"/>
      <c r="BL257" s="26"/>
      <c r="BM257" s="26"/>
      <c r="BN257" s="26"/>
      <c r="BO257" s="26"/>
      <c r="BP257" s="16" t="n">
        <v>45617</v>
      </c>
      <c r="BQ257" s="28" t="str">
        <f>HYPERLINK("https://organic.ams.usda.gov/Integrity/Certificate.aspx?cid=17&amp;nopid=4080207444")</f>
        <v>https://organic.ams.usda.gov/Integrity/Certificate.aspx?cid=17&amp;nopid=4080207444</v>
      </c>
    </row>
    <row r="258">
      <c r="A258" t="s">
        <v>3</v>
      </c>
      <c r="B258" s="6" t="s">
        <v>6</v>
      </c>
      <c r="C258" s="6" t="s">
        <v>72</v>
      </c>
      <c r="D258" s="6" t="s">
        <v>137</v>
      </c>
      <c r="E258" s="10" t="s">
        <v>456</v>
      </c>
      <c r="F258" s="6" t="s">
        <v>2714</v>
      </c>
      <c r="G258" s="6" t="s">
        <v>104</v>
      </c>
      <c r="H258" s="6" t="s">
        <v>5124</v>
      </c>
      <c r="I258" s="6" t="s">
        <v>7104</v>
      </c>
      <c r="J258" s="6" t="s">
        <v>8141</v>
      </c>
      <c r="K258" s="6" t="s">
        <v>9714</v>
      </c>
      <c r="L258" s="16" t="n">
        <v>45434</v>
      </c>
      <c r="M258" s="16" t="n">
        <v>45696</v>
      </c>
      <c r="N258" s="6" t="s">
        <v>104</v>
      </c>
      <c r="O258" s="21" t="s">
        <v>104</v>
      </c>
      <c r="P258" s="6" t="s">
        <v>104</v>
      </c>
      <c r="Q258" s="6" t="s">
        <v>104</v>
      </c>
      <c r="R258" s="6" t="s">
        <v>104</v>
      </c>
      <c r="S258" s="6" t="s">
        <v>104</v>
      </c>
      <c r="T258" s="21" t="s">
        <v>104</v>
      </c>
      <c r="U258" s="6" t="s">
        <v>104</v>
      </c>
      <c r="V258" s="6" t="s">
        <v>104</v>
      </c>
      <c r="W258" s="6" t="s">
        <v>104</v>
      </c>
      <c r="X258" s="6" t="s">
        <v>104</v>
      </c>
      <c r="Y258" s="21" t="s">
        <v>104</v>
      </c>
      <c r="Z258" s="6" t="s">
        <v>104</v>
      </c>
      <c r="AA258" s="6" t="s">
        <v>104</v>
      </c>
      <c r="AB258" s="6" t="s">
        <v>104</v>
      </c>
      <c r="AC258" s="6" t="s">
        <v>9714</v>
      </c>
      <c r="AD258" s="16" t="n">
        <v>45434</v>
      </c>
      <c r="AE258" s="6" t="s">
        <v>10748</v>
      </c>
      <c r="AF258" s="6" t="s">
        <v>104</v>
      </c>
      <c r="AG258" s="6" t="s">
        <v>104</v>
      </c>
      <c r="AH258" s="6" t="s">
        <v>13388</v>
      </c>
      <c r="AI258" s="6" t="s">
        <v>104</v>
      </c>
      <c r="AJ258" s="6" t="s">
        <v>15369</v>
      </c>
      <c r="AK258" s="6" t="s">
        <v>16685</v>
      </c>
      <c r="AL258" s="6" t="s">
        <v>16932</v>
      </c>
      <c r="AM258" s="6" t="s">
        <v>16996</v>
      </c>
      <c r="AN258" s="6" t="s">
        <v>104</v>
      </c>
      <c r="AO258" s="6" t="s">
        <v>104</v>
      </c>
      <c r="AP258" s="6" t="s">
        <v>104</v>
      </c>
      <c r="AQ258" s="6" t="s">
        <v>104</v>
      </c>
      <c r="AR258" s="6" t="s">
        <v>104</v>
      </c>
      <c r="AS258" s="6" t="s">
        <v>104</v>
      </c>
      <c r="AT258" s="6" t="s">
        <v>104</v>
      </c>
      <c r="AU258" s="6" t="s">
        <v>104</v>
      </c>
      <c r="AV258" s="6" t="s">
        <v>104</v>
      </c>
      <c r="AW258" s="6" t="s">
        <v>104</v>
      </c>
      <c r="AX258" s="6" t="s">
        <v>20321</v>
      </c>
      <c r="AY258" s="6" t="s">
        <v>22062</v>
      </c>
      <c r="AZ258" s="6" t="s">
        <v>104</v>
      </c>
      <c r="BA258" s="6" t="s">
        <v>104</v>
      </c>
      <c r="BB258" s="6" t="s">
        <v>104</v>
      </c>
      <c r="BC258" s="26"/>
      <c r="BD258" s="26"/>
      <c r="BE258" s="26"/>
      <c r="BF258" s="26"/>
      <c r="BG258" s="26"/>
      <c r="BH258" s="26"/>
      <c r="BI258" s="26"/>
      <c r="BJ258" s="26"/>
      <c r="BK258" s="26"/>
      <c r="BL258" s="26"/>
      <c r="BM258" s="26"/>
      <c r="BN258" s="26"/>
      <c r="BO258" s="26"/>
      <c r="BP258" s="16" t="n">
        <v>45737</v>
      </c>
      <c r="BQ258" s="28" t="str">
        <f>HYPERLINK("https://organic.ams.usda.gov/Integrity/Certificate.aspx?cid=32&amp;nopid=2230010974")</f>
        <v>https://organic.ams.usda.gov/Integrity/Certificate.aspx?cid=32&amp;nopid=2230010974</v>
      </c>
    </row>
    <row r="259">
      <c r="A259" t="s">
        <v>3</v>
      </c>
      <c r="B259" s="6" t="s">
        <v>51</v>
      </c>
      <c r="C259" s="6" t="s">
        <v>117</v>
      </c>
      <c r="D259" s="6" t="s">
        <v>181</v>
      </c>
      <c r="E259" s="10" t="s">
        <v>457</v>
      </c>
      <c r="F259" s="6" t="s">
        <v>2715</v>
      </c>
      <c r="G259" s="6" t="s">
        <v>104</v>
      </c>
      <c r="H259" s="6" t="s">
        <v>5125</v>
      </c>
      <c r="I259" s="6" t="s">
        <v>7105</v>
      </c>
      <c r="J259" s="6" t="s">
        <v>104</v>
      </c>
      <c r="K259" s="6" t="s">
        <v>9714</v>
      </c>
      <c r="L259" s="16" t="n">
        <v>45533</v>
      </c>
      <c r="M259" s="16" t="n">
        <v>45848</v>
      </c>
      <c r="N259" s="6" t="s">
        <v>9714</v>
      </c>
      <c r="O259" s="16" t="n">
        <v>45533</v>
      </c>
      <c r="P259" s="6" t="s">
        <v>9803</v>
      </c>
      <c r="Q259" s="6" t="s">
        <v>104</v>
      </c>
      <c r="R259" s="6" t="s">
        <v>10321</v>
      </c>
      <c r="S259" s="6" t="s">
        <v>104</v>
      </c>
      <c r="T259" s="21" t="s">
        <v>104</v>
      </c>
      <c r="U259" s="6" t="s">
        <v>104</v>
      </c>
      <c r="V259" s="6" t="s">
        <v>104</v>
      </c>
      <c r="W259" s="6" t="s">
        <v>104</v>
      </c>
      <c r="X259" s="6" t="s">
        <v>104</v>
      </c>
      <c r="Y259" s="21" t="s">
        <v>104</v>
      </c>
      <c r="Z259" s="6" t="s">
        <v>104</v>
      </c>
      <c r="AA259" s="6" t="s">
        <v>104</v>
      </c>
      <c r="AB259" s="6" t="s">
        <v>104</v>
      </c>
      <c r="AC259" s="6" t="s">
        <v>9714</v>
      </c>
      <c r="AD259" s="16" t="n">
        <v>45533</v>
      </c>
      <c r="AE259" s="6" t="s">
        <v>10749</v>
      </c>
      <c r="AF259" s="6" t="s">
        <v>104</v>
      </c>
      <c r="AG259" s="6" t="s">
        <v>10321</v>
      </c>
      <c r="AH259" s="6" t="s">
        <v>13389</v>
      </c>
      <c r="AI259" s="6" t="s">
        <v>104</v>
      </c>
      <c r="AJ259" s="6" t="s">
        <v>104</v>
      </c>
      <c r="AK259" s="6" t="s">
        <v>16270</v>
      </c>
      <c r="AL259" s="6" t="s">
        <v>16932</v>
      </c>
      <c r="AM259" s="6" t="s">
        <v>17159</v>
      </c>
      <c r="AN259" s="6" t="s">
        <v>104</v>
      </c>
      <c r="AO259" s="6" t="s">
        <v>104</v>
      </c>
      <c r="AP259" s="6" t="s">
        <v>19020</v>
      </c>
      <c r="AQ259" s="6" t="s">
        <v>104</v>
      </c>
      <c r="AR259" s="6" t="s">
        <v>104</v>
      </c>
      <c r="AS259" s="6" t="s">
        <v>104</v>
      </c>
      <c r="AT259" s="6" t="s">
        <v>16932</v>
      </c>
      <c r="AU259" s="6" t="s">
        <v>104</v>
      </c>
      <c r="AV259" s="6" t="s">
        <v>104</v>
      </c>
      <c r="AW259" s="6" t="s">
        <v>104</v>
      </c>
      <c r="AX259" s="6" t="s">
        <v>20322</v>
      </c>
      <c r="AY259" s="6" t="s">
        <v>104</v>
      </c>
      <c r="AZ259" s="6" t="s">
        <v>104</v>
      </c>
      <c r="BA259" s="6" t="s">
        <v>24301</v>
      </c>
      <c r="BB259" s="24" t="n">
        <v>3221</v>
      </c>
      <c r="BC259" s="26"/>
      <c r="BD259" s="26"/>
      <c r="BE259" s="26"/>
      <c r="BF259" s="26"/>
      <c r="BG259" s="26"/>
      <c r="BH259" s="26"/>
      <c r="BI259" s="26"/>
      <c r="BJ259" s="26"/>
      <c r="BK259" s="26"/>
      <c r="BL259" s="26"/>
      <c r="BM259" s="26"/>
      <c r="BN259" s="26" t="s">
        <v>24533</v>
      </c>
      <c r="BO259" s="26" t="s">
        <v>24533</v>
      </c>
      <c r="BP259" s="16" t="n">
        <v>45538</v>
      </c>
      <c r="BQ259" s="28" t="str">
        <f>HYPERLINK("https://organic.ams.usda.gov/Integrity/Certificate.aspx?cid=40&amp;nopid=4490004535")</f>
        <v>https://organic.ams.usda.gov/Integrity/Certificate.aspx?cid=40&amp;nopid=4490004535</v>
      </c>
    </row>
    <row r="260">
      <c r="A260" t="s">
        <v>3</v>
      </c>
      <c r="B260" s="6" t="s">
        <v>27</v>
      </c>
      <c r="C260" s="6" t="s">
        <v>93</v>
      </c>
      <c r="D260" s="6" t="s">
        <v>158</v>
      </c>
      <c r="E260" s="10" t="s">
        <v>458</v>
      </c>
      <c r="F260" s="6" t="s">
        <v>2716</v>
      </c>
      <c r="G260" s="6" t="s">
        <v>104</v>
      </c>
      <c r="H260" s="6" t="s">
        <v>5126</v>
      </c>
      <c r="I260" s="6" t="s">
        <v>6942</v>
      </c>
      <c r="J260" s="6" t="s">
        <v>8154</v>
      </c>
      <c r="K260" s="6" t="s">
        <v>9714</v>
      </c>
      <c r="L260" s="16" t="n">
        <v>45146</v>
      </c>
      <c r="M260" s="16" t="n">
        <v>45291</v>
      </c>
      <c r="N260" s="6" t="s">
        <v>9714</v>
      </c>
      <c r="O260" s="16" t="n">
        <v>45146</v>
      </c>
      <c r="P260" s="6" t="s">
        <v>9804</v>
      </c>
      <c r="Q260" s="6" t="s">
        <v>104</v>
      </c>
      <c r="R260" s="6" t="s">
        <v>10322</v>
      </c>
      <c r="S260" s="6" t="s">
        <v>104</v>
      </c>
      <c r="T260" s="21" t="s">
        <v>104</v>
      </c>
      <c r="U260" s="6" t="s">
        <v>104</v>
      </c>
      <c r="V260" s="6" t="s">
        <v>104</v>
      </c>
      <c r="W260" s="6" t="s">
        <v>104</v>
      </c>
      <c r="X260" s="6" t="s">
        <v>104</v>
      </c>
      <c r="Y260" s="21" t="s">
        <v>104</v>
      </c>
      <c r="Z260" s="6" t="s">
        <v>104</v>
      </c>
      <c r="AA260" s="6" t="s">
        <v>104</v>
      </c>
      <c r="AB260" s="6" t="s">
        <v>104</v>
      </c>
      <c r="AC260" s="6" t="s">
        <v>104</v>
      </c>
      <c r="AD260" s="21" t="s">
        <v>104</v>
      </c>
      <c r="AE260" s="6" t="s">
        <v>104</v>
      </c>
      <c r="AF260" s="6" t="s">
        <v>104</v>
      </c>
      <c r="AG260" s="6" t="s">
        <v>104</v>
      </c>
      <c r="AH260" s="6" t="s">
        <v>13390</v>
      </c>
      <c r="AI260" s="6" t="s">
        <v>15239</v>
      </c>
      <c r="AJ260" s="6" t="s">
        <v>104</v>
      </c>
      <c r="AK260" s="6" t="s">
        <v>16270</v>
      </c>
      <c r="AL260" s="6" t="s">
        <v>16932</v>
      </c>
      <c r="AM260" s="6" t="s">
        <v>17010</v>
      </c>
      <c r="AN260" s="6" t="s">
        <v>104</v>
      </c>
      <c r="AO260" s="6" t="s">
        <v>104</v>
      </c>
      <c r="AP260" s="6" t="s">
        <v>13390</v>
      </c>
      <c r="AQ260" s="6" t="s">
        <v>15239</v>
      </c>
      <c r="AR260" s="6" t="s">
        <v>104</v>
      </c>
      <c r="AS260" s="6" t="s">
        <v>16270</v>
      </c>
      <c r="AT260" s="6" t="s">
        <v>16932</v>
      </c>
      <c r="AU260" s="6" t="s">
        <v>17010</v>
      </c>
      <c r="AV260" s="6" t="s">
        <v>104</v>
      </c>
      <c r="AW260" s="6" t="s">
        <v>104</v>
      </c>
      <c r="AX260" s="6" t="s">
        <v>104</v>
      </c>
      <c r="AY260" s="6" t="s">
        <v>104</v>
      </c>
      <c r="AZ260" s="6" t="s">
        <v>104</v>
      </c>
      <c r="BA260" s="6" t="s">
        <v>104</v>
      </c>
      <c r="BB260" s="24" t="n">
        <v>3143</v>
      </c>
      <c r="BC260" s="26"/>
      <c r="BD260" s="26"/>
      <c r="BE260" s="26"/>
      <c r="BF260" s="26"/>
      <c r="BG260" s="26"/>
      <c r="BH260" s="26"/>
      <c r="BI260" s="26"/>
      <c r="BJ260" s="26"/>
      <c r="BK260" s="26"/>
      <c r="BL260" s="26"/>
      <c r="BM260" s="26"/>
      <c r="BN260" s="26"/>
      <c r="BO260" s="26" t="s">
        <v>24533</v>
      </c>
      <c r="BP260" s="16" t="n">
        <v>45463</v>
      </c>
      <c r="BQ260" s="28" t="str">
        <f>HYPERLINK("https://organic.ams.usda.gov/Integrity/Certificate.aspx?cid=93&amp;nopid=6366916599")</f>
        <v>https://organic.ams.usda.gov/Integrity/Certificate.aspx?cid=93&amp;nopid=6366916599</v>
      </c>
    </row>
    <row r="261">
      <c r="A261" t="s">
        <v>3</v>
      </c>
      <c r="B261" s="6" t="s">
        <v>13</v>
      </c>
      <c r="C261" s="6" t="s">
        <v>79</v>
      </c>
      <c r="D261" s="6" t="s">
        <v>144</v>
      </c>
      <c r="E261" s="10" t="s">
        <v>459</v>
      </c>
      <c r="F261" s="6" t="s">
        <v>2717</v>
      </c>
      <c r="G261" s="6" t="s">
        <v>104</v>
      </c>
      <c r="H261" s="6" t="s">
        <v>5127</v>
      </c>
      <c r="I261" s="6" t="s">
        <v>7106</v>
      </c>
      <c r="J261" s="6" t="s">
        <v>8326</v>
      </c>
      <c r="K261" s="6" t="s">
        <v>9714</v>
      </c>
      <c r="L261" s="16" t="n">
        <v>37375</v>
      </c>
      <c r="M261" s="16" t="n">
        <v>46023</v>
      </c>
      <c r="N261" s="6" t="s">
        <v>104</v>
      </c>
      <c r="O261" s="21" t="s">
        <v>104</v>
      </c>
      <c r="P261" s="6" t="s">
        <v>104</v>
      </c>
      <c r="Q261" s="6" t="s">
        <v>104</v>
      </c>
      <c r="R261" s="6" t="s">
        <v>104</v>
      </c>
      <c r="S261" s="6" t="s">
        <v>104</v>
      </c>
      <c r="T261" s="21" t="s">
        <v>104</v>
      </c>
      <c r="U261" s="6" t="s">
        <v>104</v>
      </c>
      <c r="V261" s="6" t="s">
        <v>104</v>
      </c>
      <c r="W261" s="6" t="s">
        <v>104</v>
      </c>
      <c r="X261" s="6" t="s">
        <v>104</v>
      </c>
      <c r="Y261" s="21" t="s">
        <v>104</v>
      </c>
      <c r="Z261" s="6" t="s">
        <v>104</v>
      </c>
      <c r="AA261" s="6" t="s">
        <v>104</v>
      </c>
      <c r="AB261" s="6" t="s">
        <v>104</v>
      </c>
      <c r="AC261" s="6" t="s">
        <v>9714</v>
      </c>
      <c r="AD261" s="16" t="n">
        <v>37375</v>
      </c>
      <c r="AE261" s="6" t="s">
        <v>10750</v>
      </c>
      <c r="AF261" s="6" t="s">
        <v>104</v>
      </c>
      <c r="AG261" s="6" t="s">
        <v>104</v>
      </c>
      <c r="AH261" s="6" t="s">
        <v>104</v>
      </c>
      <c r="AI261" s="6" t="s">
        <v>104</v>
      </c>
      <c r="AJ261" s="6" t="s">
        <v>104</v>
      </c>
      <c r="AK261" s="6" t="s">
        <v>104</v>
      </c>
      <c r="AL261" s="6" t="s">
        <v>104</v>
      </c>
      <c r="AM261" s="6" t="s">
        <v>104</v>
      </c>
      <c r="AN261" s="6" t="s">
        <v>104</v>
      </c>
      <c r="AO261" s="6" t="s">
        <v>104</v>
      </c>
      <c r="AP261" s="6" t="s">
        <v>19021</v>
      </c>
      <c r="AQ261" s="6" t="s">
        <v>104</v>
      </c>
      <c r="AR261" s="6" t="s">
        <v>16415</v>
      </c>
      <c r="AS261" s="6" t="s">
        <v>16686</v>
      </c>
      <c r="AT261" s="6" t="s">
        <v>16931</v>
      </c>
      <c r="AU261" s="6" t="s">
        <v>19833</v>
      </c>
      <c r="AV261" s="6" t="s">
        <v>18495</v>
      </c>
      <c r="AW261" s="6" t="s">
        <v>18603</v>
      </c>
      <c r="AX261" s="6" t="s">
        <v>20323</v>
      </c>
      <c r="AY261" s="6" t="s">
        <v>22063</v>
      </c>
      <c r="AZ261" s="6" t="s">
        <v>104</v>
      </c>
      <c r="BA261" s="6" t="s">
        <v>104</v>
      </c>
      <c r="BB261" s="6" t="s">
        <v>104</v>
      </c>
      <c r="BC261" s="26"/>
      <c r="BD261" s="26"/>
      <c r="BE261" s="26"/>
      <c r="BF261" s="26"/>
      <c r="BG261" s="26"/>
      <c r="BH261" s="26"/>
      <c r="BI261" s="26"/>
      <c r="BJ261" s="26"/>
      <c r="BK261" s="26"/>
      <c r="BL261" s="26"/>
      <c r="BM261" s="26"/>
      <c r="BN261" s="26"/>
      <c r="BO261" s="26"/>
      <c r="BP261" s="16" t="n">
        <v>45657</v>
      </c>
      <c r="BQ261" s="28" t="str">
        <f>HYPERLINK("https://organic.ams.usda.gov/Integrity/Certificate.aspx?cid=62&amp;nopid=8150001368")</f>
        <v>https://organic.ams.usda.gov/Integrity/Certificate.aspx?cid=62&amp;nopid=8150001368</v>
      </c>
    </row>
    <row r="262">
      <c r="A262" t="s">
        <v>3</v>
      </c>
      <c r="B262" s="6" t="s">
        <v>15</v>
      </c>
      <c r="C262" s="6" t="s">
        <v>81</v>
      </c>
      <c r="D262" s="6" t="s">
        <v>146</v>
      </c>
      <c r="E262" s="10" t="s">
        <v>460</v>
      </c>
      <c r="F262" s="6" t="s">
        <v>2718</v>
      </c>
      <c r="G262" s="6" t="s">
        <v>104</v>
      </c>
      <c r="H262" s="6" t="s">
        <v>5128</v>
      </c>
      <c r="I262" s="6" t="s">
        <v>104</v>
      </c>
      <c r="J262" s="6" t="s">
        <v>104</v>
      </c>
      <c r="K262" s="6" t="s">
        <v>9714</v>
      </c>
      <c r="L262" s="16" t="n">
        <v>41206</v>
      </c>
      <c r="M262" s="16" t="n">
        <v>45748</v>
      </c>
      <c r="N262" s="6" t="s">
        <v>9714</v>
      </c>
      <c r="O262" s="16" t="n">
        <v>41206</v>
      </c>
      <c r="P262" s="6" t="s">
        <v>9805</v>
      </c>
      <c r="Q262" s="6" t="s">
        <v>104</v>
      </c>
      <c r="R262" s="6" t="s">
        <v>10323</v>
      </c>
      <c r="S262" s="6" t="s">
        <v>104</v>
      </c>
      <c r="T262" s="21" t="s">
        <v>104</v>
      </c>
      <c r="U262" s="6" t="s">
        <v>104</v>
      </c>
      <c r="V262" s="6" t="s">
        <v>104</v>
      </c>
      <c r="W262" s="6" t="s">
        <v>104</v>
      </c>
      <c r="X262" s="6" t="s">
        <v>104</v>
      </c>
      <c r="Y262" s="21" t="s">
        <v>104</v>
      </c>
      <c r="Z262" s="6" t="s">
        <v>104</v>
      </c>
      <c r="AA262" s="6" t="s">
        <v>104</v>
      </c>
      <c r="AB262" s="6" t="s">
        <v>104</v>
      </c>
      <c r="AC262" s="6" t="s">
        <v>9714</v>
      </c>
      <c r="AD262" s="16" t="n">
        <v>41206</v>
      </c>
      <c r="AE262" s="6" t="s">
        <v>10751</v>
      </c>
      <c r="AF262" s="6" t="s">
        <v>104</v>
      </c>
      <c r="AG262" s="6" t="s">
        <v>10323</v>
      </c>
      <c r="AH262" s="6" t="s">
        <v>13391</v>
      </c>
      <c r="AI262" s="6" t="s">
        <v>104</v>
      </c>
      <c r="AJ262" s="6" t="s">
        <v>15541</v>
      </c>
      <c r="AK262" s="6" t="s">
        <v>16714</v>
      </c>
      <c r="AL262" s="6" t="s">
        <v>16931</v>
      </c>
      <c r="AM262" s="6" t="s">
        <v>17160</v>
      </c>
      <c r="AN262" s="6" t="s">
        <v>18459</v>
      </c>
      <c r="AO262" s="6" t="s">
        <v>18617</v>
      </c>
      <c r="AP262" s="6" t="s">
        <v>104</v>
      </c>
      <c r="AQ262" s="6" t="s">
        <v>104</v>
      </c>
      <c r="AR262" s="6" t="s">
        <v>104</v>
      </c>
      <c r="AS262" s="6" t="s">
        <v>104</v>
      </c>
      <c r="AT262" s="6" t="s">
        <v>104</v>
      </c>
      <c r="AU262" s="6" t="s">
        <v>104</v>
      </c>
      <c r="AV262" s="6" t="s">
        <v>104</v>
      </c>
      <c r="AW262" s="6" t="s">
        <v>104</v>
      </c>
      <c r="AX262" s="6" t="s">
        <v>20324</v>
      </c>
      <c r="AY262" s="6" t="s">
        <v>22064</v>
      </c>
      <c r="AZ262" s="6" t="s">
        <v>23753</v>
      </c>
      <c r="BA262" s="6" t="s">
        <v>104</v>
      </c>
      <c r="BB262" s="24" t="n">
        <v>954</v>
      </c>
      <c r="BC262" s="26"/>
      <c r="BD262" s="26"/>
      <c r="BE262" s="26"/>
      <c r="BF262" s="26"/>
      <c r="BG262" s="26"/>
      <c r="BH262" s="26"/>
      <c r="BI262" s="26"/>
      <c r="BJ262" s="26"/>
      <c r="BK262" s="26"/>
      <c r="BL262" s="26"/>
      <c r="BM262" s="26"/>
      <c r="BN262" s="26"/>
      <c r="BO262" s="26"/>
      <c r="BP262" s="16" t="n">
        <v>45738</v>
      </c>
      <c r="BQ262" s="28" t="str">
        <f>HYPERLINK("https://organic.ams.usda.gov/Integrity/Certificate.aspx?cid=52&amp;nopid=8431200379")</f>
        <v>https://organic.ams.usda.gov/Integrity/Certificate.aspx?cid=52&amp;nopid=8431200379</v>
      </c>
    </row>
    <row r="263">
      <c r="A263" t="s">
        <v>3</v>
      </c>
      <c r="B263" s="6" t="s">
        <v>21</v>
      </c>
      <c r="C263" s="6" t="s">
        <v>87</v>
      </c>
      <c r="D263" s="6" t="s">
        <v>152</v>
      </c>
      <c r="E263" s="10" t="s">
        <v>461</v>
      </c>
      <c r="F263" s="6" t="s">
        <v>2719</v>
      </c>
      <c r="G263" s="6" t="s">
        <v>104</v>
      </c>
      <c r="H263" s="6" t="s">
        <v>5129</v>
      </c>
      <c r="I263" s="6" t="s">
        <v>7107</v>
      </c>
      <c r="J263" s="6" t="s">
        <v>8271</v>
      </c>
      <c r="K263" s="6" t="s">
        <v>9714</v>
      </c>
      <c r="L263" s="16" t="n">
        <v>45407</v>
      </c>
      <c r="M263" s="16" t="n">
        <v>46023</v>
      </c>
      <c r="N263" s="6" t="s">
        <v>104</v>
      </c>
      <c r="O263" s="21" t="s">
        <v>104</v>
      </c>
      <c r="P263" s="6" t="s">
        <v>104</v>
      </c>
      <c r="Q263" s="6" t="s">
        <v>104</v>
      </c>
      <c r="R263" s="6" t="s">
        <v>104</v>
      </c>
      <c r="S263" s="6" t="s">
        <v>104</v>
      </c>
      <c r="T263" s="21" t="s">
        <v>104</v>
      </c>
      <c r="U263" s="6" t="s">
        <v>104</v>
      </c>
      <c r="V263" s="6" t="s">
        <v>104</v>
      </c>
      <c r="W263" s="6" t="s">
        <v>104</v>
      </c>
      <c r="X263" s="6" t="s">
        <v>104</v>
      </c>
      <c r="Y263" s="21" t="s">
        <v>104</v>
      </c>
      <c r="Z263" s="6" t="s">
        <v>104</v>
      </c>
      <c r="AA263" s="6" t="s">
        <v>104</v>
      </c>
      <c r="AB263" s="6" t="s">
        <v>104</v>
      </c>
      <c r="AC263" s="6" t="s">
        <v>9714</v>
      </c>
      <c r="AD263" s="16" t="n">
        <v>45407</v>
      </c>
      <c r="AE263" s="6" t="s">
        <v>10752</v>
      </c>
      <c r="AF263" s="6" t="s">
        <v>104</v>
      </c>
      <c r="AG263" s="6" t="s">
        <v>104</v>
      </c>
      <c r="AH263" s="6" t="s">
        <v>13392</v>
      </c>
      <c r="AI263" s="6" t="s">
        <v>104</v>
      </c>
      <c r="AJ263" s="6" t="s">
        <v>15542</v>
      </c>
      <c r="AK263" s="6" t="s">
        <v>16687</v>
      </c>
      <c r="AL263" s="6" t="s">
        <v>16931</v>
      </c>
      <c r="AM263" s="6" t="s">
        <v>17161</v>
      </c>
      <c r="AN263" s="6" t="s">
        <v>104</v>
      </c>
      <c r="AO263" s="6" t="s">
        <v>104</v>
      </c>
      <c r="AP263" s="6" t="s">
        <v>19022</v>
      </c>
      <c r="AQ263" s="6" t="s">
        <v>104</v>
      </c>
      <c r="AR263" s="6" t="s">
        <v>19609</v>
      </c>
      <c r="AS263" s="6" t="s">
        <v>16687</v>
      </c>
      <c r="AT263" s="6" t="s">
        <v>16931</v>
      </c>
      <c r="AU263" s="6" t="s">
        <v>17161</v>
      </c>
      <c r="AV263" s="6" t="s">
        <v>104</v>
      </c>
      <c r="AW263" s="6" t="s">
        <v>104</v>
      </c>
      <c r="AX263" s="6" t="s">
        <v>20325</v>
      </c>
      <c r="AY263" s="6" t="s">
        <v>22065</v>
      </c>
      <c r="AZ263" s="6" t="s">
        <v>23754</v>
      </c>
      <c r="BA263" s="6" t="s">
        <v>104</v>
      </c>
      <c r="BB263" s="6" t="s">
        <v>104</v>
      </c>
      <c r="BC263" s="26"/>
      <c r="BD263" s="26"/>
      <c r="BE263" s="26"/>
      <c r="BF263" s="26"/>
      <c r="BG263" s="26"/>
      <c r="BH263" s="26"/>
      <c r="BI263" s="26"/>
      <c r="BJ263" s="26"/>
      <c r="BK263" s="26"/>
      <c r="BL263" s="26"/>
      <c r="BM263" s="26"/>
      <c r="BN263" s="26"/>
      <c r="BO263" s="26"/>
      <c r="BP263" s="16" t="n">
        <v>45667</v>
      </c>
      <c r="BQ263" s="28" t="str">
        <f>HYPERLINK("https://organic.ams.usda.gov/Integrity/Certificate.aspx?cid=15&amp;nopid=5561008338")</f>
        <v>https://organic.ams.usda.gov/Integrity/Certificate.aspx?cid=15&amp;nopid=5561008338</v>
      </c>
    </row>
    <row r="264">
      <c r="A264" t="s">
        <v>3</v>
      </c>
      <c r="B264" s="6" t="s">
        <v>34</v>
      </c>
      <c r="C264" s="6" t="s">
        <v>100</v>
      </c>
      <c r="D264" s="6" t="s">
        <v>165</v>
      </c>
      <c r="E264" s="10" t="s">
        <v>462</v>
      </c>
      <c r="F264" s="6" t="s">
        <v>2720</v>
      </c>
      <c r="G264" s="6" t="s">
        <v>104</v>
      </c>
      <c r="H264" s="6" t="s">
        <v>5130</v>
      </c>
      <c r="I264" s="6" t="s">
        <v>7108</v>
      </c>
      <c r="J264" s="6" t="s">
        <v>8327</v>
      </c>
      <c r="K264" s="6" t="s">
        <v>9714</v>
      </c>
      <c r="L264" s="16" t="n">
        <v>43066</v>
      </c>
      <c r="M264" s="16" t="n">
        <v>45847</v>
      </c>
      <c r="N264" s="6" t="s">
        <v>104</v>
      </c>
      <c r="O264" s="21" t="s">
        <v>104</v>
      </c>
      <c r="P264" s="6" t="s">
        <v>104</v>
      </c>
      <c r="Q264" s="6" t="s">
        <v>104</v>
      </c>
      <c r="R264" s="6" t="s">
        <v>104</v>
      </c>
      <c r="S264" s="6" t="s">
        <v>104</v>
      </c>
      <c r="T264" s="21" t="s">
        <v>104</v>
      </c>
      <c r="U264" s="6" t="s">
        <v>104</v>
      </c>
      <c r="V264" s="6" t="s">
        <v>104</v>
      </c>
      <c r="W264" s="6" t="s">
        <v>104</v>
      </c>
      <c r="X264" s="6" t="s">
        <v>104</v>
      </c>
      <c r="Y264" s="21" t="s">
        <v>104</v>
      </c>
      <c r="Z264" s="6" t="s">
        <v>104</v>
      </c>
      <c r="AA264" s="6" t="s">
        <v>104</v>
      </c>
      <c r="AB264" s="6" t="s">
        <v>104</v>
      </c>
      <c r="AC264" s="6" t="s">
        <v>9714</v>
      </c>
      <c r="AD264" s="16" t="n">
        <v>43066</v>
      </c>
      <c r="AE264" s="6" t="s">
        <v>10753</v>
      </c>
      <c r="AF264" s="6" t="s">
        <v>104</v>
      </c>
      <c r="AG264" s="6" t="s">
        <v>12549</v>
      </c>
      <c r="AH264" s="6" t="s">
        <v>13393</v>
      </c>
      <c r="AI264" s="6" t="s">
        <v>104</v>
      </c>
      <c r="AJ264" s="6" t="s">
        <v>15543</v>
      </c>
      <c r="AK264" s="6" t="s">
        <v>16687</v>
      </c>
      <c r="AL264" s="6" t="s">
        <v>16931</v>
      </c>
      <c r="AM264" s="6" t="s">
        <v>17162</v>
      </c>
      <c r="AN264" s="6" t="s">
        <v>18494</v>
      </c>
      <c r="AO264" s="6" t="s">
        <v>18618</v>
      </c>
      <c r="AP264" s="6" t="s">
        <v>19023</v>
      </c>
      <c r="AQ264" s="6" t="s">
        <v>104</v>
      </c>
      <c r="AR264" s="6" t="s">
        <v>19610</v>
      </c>
      <c r="AS264" s="6" t="s">
        <v>16686</v>
      </c>
      <c r="AT264" s="6" t="s">
        <v>16931</v>
      </c>
      <c r="AU264" s="6" t="s">
        <v>19834</v>
      </c>
      <c r="AV264" s="6" t="s">
        <v>104</v>
      </c>
      <c r="AW264" s="6" t="s">
        <v>104</v>
      </c>
      <c r="AX264" s="6" t="s">
        <v>20259</v>
      </c>
      <c r="AY264" s="6" t="s">
        <v>22066</v>
      </c>
      <c r="AZ264" s="6" t="s">
        <v>104</v>
      </c>
      <c r="BA264" s="6" t="s">
        <v>104</v>
      </c>
      <c r="BB264" s="6" t="s">
        <v>104</v>
      </c>
      <c r="BC264" s="26"/>
      <c r="BD264" s="26"/>
      <c r="BE264" s="26"/>
      <c r="BF264" s="26"/>
      <c r="BG264" s="26"/>
      <c r="BH264" s="26"/>
      <c r="BI264" s="26"/>
      <c r="BJ264" s="26"/>
      <c r="BK264" s="26"/>
      <c r="BL264" s="26"/>
      <c r="BM264" s="26"/>
      <c r="BN264" s="26"/>
      <c r="BO264" s="26"/>
      <c r="BP264" s="16" t="n">
        <v>45737</v>
      </c>
      <c r="BQ264" s="28" t="str">
        <f>HYPERLINK("https://organic.ams.usda.gov/Integrity/Certificate.aspx?cid=71&amp;nopid=5520472891")</f>
        <v>https://organic.ams.usda.gov/Integrity/Certificate.aspx?cid=71&amp;nopid=5520472891</v>
      </c>
    </row>
    <row r="265">
      <c r="A265" t="s">
        <v>3</v>
      </c>
      <c r="B265" s="6" t="s">
        <v>34</v>
      </c>
      <c r="C265" s="6" t="s">
        <v>100</v>
      </c>
      <c r="D265" s="6" t="s">
        <v>165</v>
      </c>
      <c r="E265" s="10" t="s">
        <v>463</v>
      </c>
      <c r="F265" s="6" t="s">
        <v>2721</v>
      </c>
      <c r="G265" s="6" t="s">
        <v>104</v>
      </c>
      <c r="H265" s="6" t="s">
        <v>5131</v>
      </c>
      <c r="I265" s="6" t="s">
        <v>7109</v>
      </c>
      <c r="J265" s="6" t="s">
        <v>8328</v>
      </c>
      <c r="K265" s="6" t="s">
        <v>9714</v>
      </c>
      <c r="L265" s="16" t="n">
        <v>42380</v>
      </c>
      <c r="M265" s="16" t="n">
        <v>45866</v>
      </c>
      <c r="N265" s="6" t="s">
        <v>104</v>
      </c>
      <c r="O265" s="21" t="s">
        <v>104</v>
      </c>
      <c r="P265" s="6" t="s">
        <v>104</v>
      </c>
      <c r="Q265" s="6" t="s">
        <v>104</v>
      </c>
      <c r="R265" s="6" t="s">
        <v>104</v>
      </c>
      <c r="S265" s="6" t="s">
        <v>104</v>
      </c>
      <c r="T265" s="21" t="s">
        <v>104</v>
      </c>
      <c r="U265" s="6" t="s">
        <v>104</v>
      </c>
      <c r="V265" s="6" t="s">
        <v>104</v>
      </c>
      <c r="W265" s="6" t="s">
        <v>104</v>
      </c>
      <c r="X265" s="6" t="s">
        <v>104</v>
      </c>
      <c r="Y265" s="21" t="s">
        <v>104</v>
      </c>
      <c r="Z265" s="6" t="s">
        <v>104</v>
      </c>
      <c r="AA265" s="6" t="s">
        <v>104</v>
      </c>
      <c r="AB265" s="6" t="s">
        <v>104</v>
      </c>
      <c r="AC265" s="6" t="s">
        <v>9714</v>
      </c>
      <c r="AD265" s="16" t="n">
        <v>42380</v>
      </c>
      <c r="AE265" s="6" t="s">
        <v>10754</v>
      </c>
      <c r="AF265" s="6" t="s">
        <v>104</v>
      </c>
      <c r="AG265" s="6" t="s">
        <v>12550</v>
      </c>
      <c r="AH265" s="6" t="s">
        <v>13394</v>
      </c>
      <c r="AI265" s="6" t="s">
        <v>104</v>
      </c>
      <c r="AJ265" s="6" t="s">
        <v>15544</v>
      </c>
      <c r="AK265" s="6" t="s">
        <v>16714</v>
      </c>
      <c r="AL265" s="6" t="s">
        <v>16931</v>
      </c>
      <c r="AM265" s="6" t="s">
        <v>17163</v>
      </c>
      <c r="AN265" s="6" t="s">
        <v>18495</v>
      </c>
      <c r="AO265" s="6" t="s">
        <v>18619</v>
      </c>
      <c r="AP265" s="6" t="s">
        <v>13394</v>
      </c>
      <c r="AQ265" s="6" t="s">
        <v>104</v>
      </c>
      <c r="AR265" s="6" t="s">
        <v>15544</v>
      </c>
      <c r="AS265" s="6" t="s">
        <v>16714</v>
      </c>
      <c r="AT265" s="6" t="s">
        <v>16931</v>
      </c>
      <c r="AU265" s="6" t="s">
        <v>17163</v>
      </c>
      <c r="AV265" s="6" t="s">
        <v>104</v>
      </c>
      <c r="AW265" s="6" t="s">
        <v>104</v>
      </c>
      <c r="AX265" s="6" t="s">
        <v>20259</v>
      </c>
      <c r="AY265" s="6" t="s">
        <v>22066</v>
      </c>
      <c r="AZ265" s="6" t="s">
        <v>104</v>
      </c>
      <c r="BA265" s="6" t="s">
        <v>104</v>
      </c>
      <c r="BB265" s="6" t="s">
        <v>104</v>
      </c>
      <c r="BC265" s="26"/>
      <c r="BD265" s="26"/>
      <c r="BE265" s="26"/>
      <c r="BF265" s="26"/>
      <c r="BG265" s="26"/>
      <c r="BH265" s="26"/>
      <c r="BI265" s="26"/>
      <c r="BJ265" s="26"/>
      <c r="BK265" s="26"/>
      <c r="BL265" s="26"/>
      <c r="BM265" s="26"/>
      <c r="BN265" s="26"/>
      <c r="BO265" s="26"/>
      <c r="BP265" s="16" t="n">
        <v>45737</v>
      </c>
      <c r="BQ265" s="28" t="str">
        <f>HYPERLINK("https://organic.ams.usda.gov/Integrity/Certificate.aspx?cid=71&amp;nopid=5520265702")</f>
        <v>https://organic.ams.usda.gov/Integrity/Certificate.aspx?cid=71&amp;nopid=5520265702</v>
      </c>
    </row>
    <row r="266">
      <c r="A266" t="s">
        <v>3</v>
      </c>
      <c r="B266" s="6" t="s">
        <v>34</v>
      </c>
      <c r="C266" s="6" t="s">
        <v>100</v>
      </c>
      <c r="D266" s="6" t="s">
        <v>165</v>
      </c>
      <c r="E266" s="10" t="s">
        <v>464</v>
      </c>
      <c r="F266" s="6" t="s">
        <v>2721</v>
      </c>
      <c r="G266" s="6" t="s">
        <v>104</v>
      </c>
      <c r="H266" s="6" t="s">
        <v>5132</v>
      </c>
      <c r="I266" s="6" t="s">
        <v>7108</v>
      </c>
      <c r="J266" s="6" t="s">
        <v>8327</v>
      </c>
      <c r="K266" s="6" t="s">
        <v>9714</v>
      </c>
      <c r="L266" s="16" t="n">
        <v>42936</v>
      </c>
      <c r="M266" s="16" t="n">
        <v>45791</v>
      </c>
      <c r="N266" s="6" t="s">
        <v>104</v>
      </c>
      <c r="O266" s="21" t="s">
        <v>104</v>
      </c>
      <c r="P266" s="6" t="s">
        <v>104</v>
      </c>
      <c r="Q266" s="6" t="s">
        <v>104</v>
      </c>
      <c r="R266" s="6" t="s">
        <v>104</v>
      </c>
      <c r="S266" s="6" t="s">
        <v>104</v>
      </c>
      <c r="T266" s="21" t="s">
        <v>104</v>
      </c>
      <c r="U266" s="6" t="s">
        <v>104</v>
      </c>
      <c r="V266" s="6" t="s">
        <v>104</v>
      </c>
      <c r="W266" s="6" t="s">
        <v>104</v>
      </c>
      <c r="X266" s="6" t="s">
        <v>104</v>
      </c>
      <c r="Y266" s="21" t="s">
        <v>104</v>
      </c>
      <c r="Z266" s="6" t="s">
        <v>104</v>
      </c>
      <c r="AA266" s="6" t="s">
        <v>104</v>
      </c>
      <c r="AB266" s="6" t="s">
        <v>104</v>
      </c>
      <c r="AC266" s="6" t="s">
        <v>9714</v>
      </c>
      <c r="AD266" s="16" t="n">
        <v>42936</v>
      </c>
      <c r="AE266" s="6" t="s">
        <v>10755</v>
      </c>
      <c r="AF266" s="6" t="s">
        <v>104</v>
      </c>
      <c r="AG266" s="6" t="s">
        <v>12551</v>
      </c>
      <c r="AH266" s="6" t="s">
        <v>13395</v>
      </c>
      <c r="AI266" s="6" t="s">
        <v>104</v>
      </c>
      <c r="AJ266" s="6" t="s">
        <v>15545</v>
      </c>
      <c r="AK266" s="6" t="s">
        <v>16725</v>
      </c>
      <c r="AL266" s="6" t="s">
        <v>16931</v>
      </c>
      <c r="AM266" s="6" t="s">
        <v>17164</v>
      </c>
      <c r="AN266" s="6" t="s">
        <v>18460</v>
      </c>
      <c r="AO266" s="6" t="s">
        <v>18620</v>
      </c>
      <c r="AP266" s="6" t="s">
        <v>19023</v>
      </c>
      <c r="AQ266" s="6" t="s">
        <v>104</v>
      </c>
      <c r="AR266" s="6" t="s">
        <v>19610</v>
      </c>
      <c r="AS266" s="6" t="s">
        <v>16686</v>
      </c>
      <c r="AT266" s="6" t="s">
        <v>16931</v>
      </c>
      <c r="AU266" s="6" t="s">
        <v>19834</v>
      </c>
      <c r="AV266" s="6" t="s">
        <v>104</v>
      </c>
      <c r="AW266" s="6" t="s">
        <v>104</v>
      </c>
      <c r="AX266" s="6" t="s">
        <v>20259</v>
      </c>
      <c r="AY266" s="6" t="s">
        <v>22066</v>
      </c>
      <c r="AZ266" s="6" t="s">
        <v>104</v>
      </c>
      <c r="BA266" s="6" t="s">
        <v>104</v>
      </c>
      <c r="BB266" s="6" t="s">
        <v>104</v>
      </c>
      <c r="BC266" s="26"/>
      <c r="BD266" s="26"/>
      <c r="BE266" s="26"/>
      <c r="BF266" s="26"/>
      <c r="BG266" s="26"/>
      <c r="BH266" s="26"/>
      <c r="BI266" s="26"/>
      <c r="BJ266" s="26"/>
      <c r="BK266" s="26"/>
      <c r="BL266" s="26"/>
      <c r="BM266" s="26"/>
      <c r="BN266" s="26"/>
      <c r="BO266" s="26"/>
      <c r="BP266" s="16" t="n">
        <v>45737</v>
      </c>
      <c r="BQ266" s="28" t="str">
        <f>HYPERLINK("https://organic.ams.usda.gov/Integrity/Certificate.aspx?cid=71&amp;nopid=5520349816")</f>
        <v>https://organic.ams.usda.gov/Integrity/Certificate.aspx?cid=71&amp;nopid=5520349816</v>
      </c>
    </row>
    <row r="267">
      <c r="A267" t="s">
        <v>3</v>
      </c>
      <c r="B267" s="6" t="s">
        <v>34</v>
      </c>
      <c r="C267" s="6" t="s">
        <v>100</v>
      </c>
      <c r="D267" s="6" t="s">
        <v>165</v>
      </c>
      <c r="E267" s="10" t="s">
        <v>465</v>
      </c>
      <c r="F267" s="6" t="s">
        <v>2721</v>
      </c>
      <c r="G267" s="6" t="s">
        <v>104</v>
      </c>
      <c r="H267" s="6" t="s">
        <v>5133</v>
      </c>
      <c r="I267" s="6" t="s">
        <v>7108</v>
      </c>
      <c r="J267" s="6" t="s">
        <v>8327</v>
      </c>
      <c r="K267" s="6" t="s">
        <v>9714</v>
      </c>
      <c r="L267" s="16" t="n">
        <v>42916</v>
      </c>
      <c r="M267" s="16" t="n">
        <v>45770</v>
      </c>
      <c r="N267" s="6" t="s">
        <v>104</v>
      </c>
      <c r="O267" s="21" t="s">
        <v>104</v>
      </c>
      <c r="P267" s="6" t="s">
        <v>104</v>
      </c>
      <c r="Q267" s="6" t="s">
        <v>104</v>
      </c>
      <c r="R267" s="6" t="s">
        <v>104</v>
      </c>
      <c r="S267" s="6" t="s">
        <v>104</v>
      </c>
      <c r="T267" s="21" t="s">
        <v>104</v>
      </c>
      <c r="U267" s="6" t="s">
        <v>104</v>
      </c>
      <c r="V267" s="6" t="s">
        <v>104</v>
      </c>
      <c r="W267" s="6" t="s">
        <v>104</v>
      </c>
      <c r="X267" s="6" t="s">
        <v>104</v>
      </c>
      <c r="Y267" s="21" t="s">
        <v>104</v>
      </c>
      <c r="Z267" s="6" t="s">
        <v>104</v>
      </c>
      <c r="AA267" s="6" t="s">
        <v>104</v>
      </c>
      <c r="AB267" s="6" t="s">
        <v>104</v>
      </c>
      <c r="AC267" s="6" t="s">
        <v>9714</v>
      </c>
      <c r="AD267" s="16" t="n">
        <v>42916</v>
      </c>
      <c r="AE267" s="6" t="s">
        <v>10756</v>
      </c>
      <c r="AF267" s="6" t="s">
        <v>104</v>
      </c>
      <c r="AG267" s="6" t="s">
        <v>12552</v>
      </c>
      <c r="AH267" s="6" t="s">
        <v>13396</v>
      </c>
      <c r="AI267" s="6" t="s">
        <v>104</v>
      </c>
      <c r="AJ267" s="6" t="s">
        <v>15546</v>
      </c>
      <c r="AK267" s="6" t="s">
        <v>16686</v>
      </c>
      <c r="AL267" s="6" t="s">
        <v>16931</v>
      </c>
      <c r="AM267" s="6" t="s">
        <v>17165</v>
      </c>
      <c r="AN267" s="6" t="s">
        <v>18462</v>
      </c>
      <c r="AO267" s="6" t="s">
        <v>18621</v>
      </c>
      <c r="AP267" s="6" t="s">
        <v>19023</v>
      </c>
      <c r="AQ267" s="6" t="s">
        <v>104</v>
      </c>
      <c r="AR267" s="6" t="s">
        <v>19610</v>
      </c>
      <c r="AS267" s="6" t="s">
        <v>16686</v>
      </c>
      <c r="AT267" s="6" t="s">
        <v>16931</v>
      </c>
      <c r="AU267" s="6" t="s">
        <v>19834</v>
      </c>
      <c r="AV267" s="6" t="s">
        <v>104</v>
      </c>
      <c r="AW267" s="6" t="s">
        <v>104</v>
      </c>
      <c r="AX267" s="6" t="s">
        <v>20259</v>
      </c>
      <c r="AY267" s="6" t="s">
        <v>22066</v>
      </c>
      <c r="AZ267" s="6" t="s">
        <v>104</v>
      </c>
      <c r="BA267" s="6" t="s">
        <v>104</v>
      </c>
      <c r="BB267" s="6" t="s">
        <v>104</v>
      </c>
      <c r="BC267" s="26"/>
      <c r="BD267" s="26"/>
      <c r="BE267" s="26"/>
      <c r="BF267" s="26"/>
      <c r="BG267" s="26"/>
      <c r="BH267" s="26"/>
      <c r="BI267" s="26"/>
      <c r="BJ267" s="26"/>
      <c r="BK267" s="26"/>
      <c r="BL267" s="26"/>
      <c r="BM267" s="26"/>
      <c r="BN267" s="26"/>
      <c r="BO267" s="26"/>
      <c r="BP267" s="16" t="n">
        <v>45737</v>
      </c>
      <c r="BQ267" s="28" t="str">
        <f>HYPERLINK("https://organic.ams.usda.gov/Integrity/Certificate.aspx?cid=71&amp;nopid=5520346706")</f>
        <v>https://organic.ams.usda.gov/Integrity/Certificate.aspx?cid=71&amp;nopid=5520346706</v>
      </c>
    </row>
    <row r="268">
      <c r="A268" t="s">
        <v>3</v>
      </c>
      <c r="B268" s="6" t="s">
        <v>34</v>
      </c>
      <c r="C268" s="6" t="s">
        <v>100</v>
      </c>
      <c r="D268" s="6" t="s">
        <v>165</v>
      </c>
      <c r="E268" s="10" t="s">
        <v>466</v>
      </c>
      <c r="F268" s="6" t="s">
        <v>2722</v>
      </c>
      <c r="G268" s="6" t="s">
        <v>104</v>
      </c>
      <c r="H268" s="6" t="s">
        <v>5134</v>
      </c>
      <c r="I268" s="6" t="s">
        <v>7108</v>
      </c>
      <c r="J268" s="6" t="s">
        <v>8327</v>
      </c>
      <c r="K268" s="6" t="s">
        <v>9714</v>
      </c>
      <c r="L268" s="16" t="n">
        <v>44866</v>
      </c>
      <c r="M268" s="16" t="n">
        <v>45947</v>
      </c>
      <c r="N268" s="6" t="s">
        <v>104</v>
      </c>
      <c r="O268" s="21" t="s">
        <v>104</v>
      </c>
      <c r="P268" s="6" t="s">
        <v>104</v>
      </c>
      <c r="Q268" s="6" t="s">
        <v>104</v>
      </c>
      <c r="R268" s="6" t="s">
        <v>104</v>
      </c>
      <c r="S268" s="6" t="s">
        <v>104</v>
      </c>
      <c r="T268" s="21" t="s">
        <v>104</v>
      </c>
      <c r="U268" s="6" t="s">
        <v>104</v>
      </c>
      <c r="V268" s="6" t="s">
        <v>104</v>
      </c>
      <c r="W268" s="6" t="s">
        <v>104</v>
      </c>
      <c r="X268" s="6" t="s">
        <v>104</v>
      </c>
      <c r="Y268" s="21" t="s">
        <v>104</v>
      </c>
      <c r="Z268" s="6" t="s">
        <v>104</v>
      </c>
      <c r="AA268" s="6" t="s">
        <v>104</v>
      </c>
      <c r="AB268" s="6" t="s">
        <v>104</v>
      </c>
      <c r="AC268" s="6" t="s">
        <v>9714</v>
      </c>
      <c r="AD268" s="16" t="n">
        <v>44866</v>
      </c>
      <c r="AE268" s="6" t="s">
        <v>10757</v>
      </c>
      <c r="AF268" s="6" t="s">
        <v>104</v>
      </c>
      <c r="AG268" s="6" t="s">
        <v>12553</v>
      </c>
      <c r="AH268" s="6" t="s">
        <v>13397</v>
      </c>
      <c r="AI268" s="6" t="s">
        <v>104</v>
      </c>
      <c r="AJ268" s="6" t="s">
        <v>15547</v>
      </c>
      <c r="AK268" s="6" t="s">
        <v>16684</v>
      </c>
      <c r="AL268" s="6" t="s">
        <v>16931</v>
      </c>
      <c r="AM268" s="6" t="s">
        <v>17166</v>
      </c>
      <c r="AN268" s="6" t="s">
        <v>18496</v>
      </c>
      <c r="AO268" s="6" t="s">
        <v>18622</v>
      </c>
      <c r="AP268" s="6" t="s">
        <v>19023</v>
      </c>
      <c r="AQ268" s="6" t="s">
        <v>104</v>
      </c>
      <c r="AR268" s="6" t="s">
        <v>19610</v>
      </c>
      <c r="AS268" s="6" t="s">
        <v>16686</v>
      </c>
      <c r="AT268" s="6" t="s">
        <v>16931</v>
      </c>
      <c r="AU268" s="6" t="s">
        <v>19834</v>
      </c>
      <c r="AV268" s="6" t="s">
        <v>104</v>
      </c>
      <c r="AW268" s="6" t="s">
        <v>104</v>
      </c>
      <c r="AX268" s="6" t="s">
        <v>20259</v>
      </c>
      <c r="AY268" s="6" t="s">
        <v>22066</v>
      </c>
      <c r="AZ268" s="6" t="s">
        <v>104</v>
      </c>
      <c r="BA268" s="6" t="s">
        <v>104</v>
      </c>
      <c r="BB268" s="6" t="s">
        <v>104</v>
      </c>
      <c r="BC268" s="26"/>
      <c r="BD268" s="26"/>
      <c r="BE268" s="26"/>
      <c r="BF268" s="26"/>
      <c r="BG268" s="26"/>
      <c r="BH268" s="26"/>
      <c r="BI268" s="26"/>
      <c r="BJ268" s="26"/>
      <c r="BK268" s="26"/>
      <c r="BL268" s="26"/>
      <c r="BM268" s="26"/>
      <c r="BN268" s="26"/>
      <c r="BO268" s="26"/>
      <c r="BP268" s="16" t="n">
        <v>45737</v>
      </c>
      <c r="BQ268" s="28" t="str">
        <f>HYPERLINK("https://organic.ams.usda.gov/Integrity/Certificate.aspx?cid=71&amp;nopid=5520686299")</f>
        <v>https://organic.ams.usda.gov/Integrity/Certificate.aspx?cid=71&amp;nopid=5520686299</v>
      </c>
    </row>
    <row r="269">
      <c r="A269" t="s">
        <v>3</v>
      </c>
      <c r="B269" s="6" t="s">
        <v>29</v>
      </c>
      <c r="C269" s="6" t="s">
        <v>95</v>
      </c>
      <c r="D269" s="6" t="s">
        <v>160</v>
      </c>
      <c r="E269" s="10" t="s">
        <v>467</v>
      </c>
      <c r="F269" s="6" t="s">
        <v>2723</v>
      </c>
      <c r="G269" s="6" t="s">
        <v>104</v>
      </c>
      <c r="H269" s="6" t="s">
        <v>5135</v>
      </c>
      <c r="I269" s="6" t="s">
        <v>104</v>
      </c>
      <c r="J269" s="6" t="s">
        <v>8329</v>
      </c>
      <c r="K269" s="6" t="s">
        <v>9714</v>
      </c>
      <c r="L269" s="16" t="n">
        <v>45419</v>
      </c>
      <c r="M269" s="16" t="n">
        <v>45962</v>
      </c>
      <c r="N269" s="6" t="s">
        <v>9714</v>
      </c>
      <c r="O269" s="16" t="n">
        <v>45419</v>
      </c>
      <c r="P269" s="6" t="s">
        <v>9806</v>
      </c>
      <c r="Q269" s="6" t="s">
        <v>104</v>
      </c>
      <c r="R269" s="6" t="s">
        <v>104</v>
      </c>
      <c r="S269" s="6" t="s">
        <v>104</v>
      </c>
      <c r="T269" s="21" t="s">
        <v>104</v>
      </c>
      <c r="U269" s="6" t="s">
        <v>104</v>
      </c>
      <c r="V269" s="6" t="s">
        <v>104</v>
      </c>
      <c r="W269" s="6" t="s">
        <v>104</v>
      </c>
      <c r="X269" s="6" t="s">
        <v>104</v>
      </c>
      <c r="Y269" s="21" t="s">
        <v>104</v>
      </c>
      <c r="Z269" s="6" t="s">
        <v>104</v>
      </c>
      <c r="AA269" s="6" t="s">
        <v>104</v>
      </c>
      <c r="AB269" s="6" t="s">
        <v>104</v>
      </c>
      <c r="AC269" s="6" t="s">
        <v>104</v>
      </c>
      <c r="AD269" s="21" t="s">
        <v>104</v>
      </c>
      <c r="AE269" s="6" t="s">
        <v>104</v>
      </c>
      <c r="AF269" s="6" t="s">
        <v>104</v>
      </c>
      <c r="AG269" s="6" t="s">
        <v>104</v>
      </c>
      <c r="AH269" s="6" t="s">
        <v>13398</v>
      </c>
      <c r="AI269" s="6" t="s">
        <v>104</v>
      </c>
      <c r="AJ269" s="6" t="s">
        <v>104</v>
      </c>
      <c r="AK269" s="6" t="s">
        <v>15885</v>
      </c>
      <c r="AL269" s="6" t="s">
        <v>16932</v>
      </c>
      <c r="AM269" s="6" t="s">
        <v>17167</v>
      </c>
      <c r="AN269" s="6" t="s">
        <v>104</v>
      </c>
      <c r="AO269" s="6" t="s">
        <v>104</v>
      </c>
      <c r="AP269" s="6" t="s">
        <v>104</v>
      </c>
      <c r="AQ269" s="6" t="s">
        <v>104</v>
      </c>
      <c r="AR269" s="6" t="s">
        <v>104</v>
      </c>
      <c r="AS269" s="6" t="s">
        <v>104</v>
      </c>
      <c r="AT269" s="6" t="s">
        <v>104</v>
      </c>
      <c r="AU269" s="6" t="s">
        <v>104</v>
      </c>
      <c r="AV269" s="6" t="s">
        <v>104</v>
      </c>
      <c r="AW269" s="6" t="s">
        <v>104</v>
      </c>
      <c r="AX269" s="6" t="s">
        <v>20326</v>
      </c>
      <c r="AY269" s="6" t="s">
        <v>22067</v>
      </c>
      <c r="AZ269" s="6" t="s">
        <v>104</v>
      </c>
      <c r="BA269" s="6" t="s">
        <v>104</v>
      </c>
      <c r="BB269" s="24" t="n">
        <v>5770</v>
      </c>
      <c r="BC269" s="26"/>
      <c r="BD269" s="26"/>
      <c r="BE269" s="26"/>
      <c r="BF269" s="26"/>
      <c r="BG269" s="26"/>
      <c r="BH269" s="26"/>
      <c r="BI269" s="26"/>
      <c r="BJ269" s="26"/>
      <c r="BK269" s="26"/>
      <c r="BL269" s="26"/>
      <c r="BM269" s="26"/>
      <c r="BN269" s="26"/>
      <c r="BO269" s="26" t="s">
        <v>24533</v>
      </c>
      <c r="BP269" s="16" t="n">
        <v>45601</v>
      </c>
      <c r="BQ269" s="28" t="str">
        <f>HYPERLINK("https://organic.ams.usda.gov/Integrity/Certificate.aspx?cid=24&amp;nopid=7880288021")</f>
        <v>https://organic.ams.usda.gov/Integrity/Certificate.aspx?cid=24&amp;nopid=7880288021</v>
      </c>
    </row>
    <row r="270">
      <c r="A270" t="s">
        <v>3</v>
      </c>
      <c r="B270" s="6" t="s">
        <v>11</v>
      </c>
      <c r="C270" s="6" t="s">
        <v>77</v>
      </c>
      <c r="D270" s="6" t="s">
        <v>142</v>
      </c>
      <c r="E270" s="10" t="s">
        <v>468</v>
      </c>
      <c r="F270" s="6" t="s">
        <v>2724</v>
      </c>
      <c r="G270" s="6" t="s">
        <v>104</v>
      </c>
      <c r="H270" s="6" t="s">
        <v>104</v>
      </c>
      <c r="I270" s="6" t="s">
        <v>7110</v>
      </c>
      <c r="J270" s="6" t="s">
        <v>8330</v>
      </c>
      <c r="K270" s="6" t="s">
        <v>9714</v>
      </c>
      <c r="L270" s="16" t="n">
        <v>45063</v>
      </c>
      <c r="M270" s="16" t="n">
        <v>45794</v>
      </c>
      <c r="N270" s="6" t="s">
        <v>104</v>
      </c>
      <c r="O270" s="21" t="s">
        <v>104</v>
      </c>
      <c r="P270" s="6" t="s">
        <v>104</v>
      </c>
      <c r="Q270" s="6" t="s">
        <v>104</v>
      </c>
      <c r="R270" s="6" t="s">
        <v>104</v>
      </c>
      <c r="S270" s="6" t="s">
        <v>104</v>
      </c>
      <c r="T270" s="21" t="s">
        <v>104</v>
      </c>
      <c r="U270" s="6" t="s">
        <v>104</v>
      </c>
      <c r="V270" s="6" t="s">
        <v>104</v>
      </c>
      <c r="W270" s="6" t="s">
        <v>104</v>
      </c>
      <c r="X270" s="6" t="s">
        <v>104</v>
      </c>
      <c r="Y270" s="21" t="s">
        <v>104</v>
      </c>
      <c r="Z270" s="6" t="s">
        <v>104</v>
      </c>
      <c r="AA270" s="6" t="s">
        <v>104</v>
      </c>
      <c r="AB270" s="6" t="s">
        <v>104</v>
      </c>
      <c r="AC270" s="6" t="s">
        <v>9714</v>
      </c>
      <c r="AD270" s="16" t="n">
        <v>45063</v>
      </c>
      <c r="AE270" s="6" t="s">
        <v>10758</v>
      </c>
      <c r="AF270" s="6" t="s">
        <v>104</v>
      </c>
      <c r="AG270" s="6" t="s">
        <v>104</v>
      </c>
      <c r="AH270" s="6" t="s">
        <v>13399</v>
      </c>
      <c r="AI270" s="6" t="s">
        <v>104</v>
      </c>
      <c r="AJ270" s="6" t="s">
        <v>104</v>
      </c>
      <c r="AK270" s="6" t="s">
        <v>104</v>
      </c>
      <c r="AL270" s="6" t="s">
        <v>16940</v>
      </c>
      <c r="AM270" s="6" t="s">
        <v>104</v>
      </c>
      <c r="AN270" s="6" t="s">
        <v>104</v>
      </c>
      <c r="AO270" s="6" t="s">
        <v>104</v>
      </c>
      <c r="AP270" s="6" t="s">
        <v>104</v>
      </c>
      <c r="AQ270" s="6" t="s">
        <v>104</v>
      </c>
      <c r="AR270" s="6" t="s">
        <v>104</v>
      </c>
      <c r="AS270" s="6" t="s">
        <v>104</v>
      </c>
      <c r="AT270" s="6" t="s">
        <v>104</v>
      </c>
      <c r="AU270" s="6" t="s">
        <v>104</v>
      </c>
      <c r="AV270" s="6" t="s">
        <v>104</v>
      </c>
      <c r="AW270" s="6" t="s">
        <v>104</v>
      </c>
      <c r="AX270" s="6" t="s">
        <v>20327</v>
      </c>
      <c r="AY270" s="6" t="s">
        <v>22068</v>
      </c>
      <c r="AZ270" s="6" t="s">
        <v>104</v>
      </c>
      <c r="BA270" s="6" t="s">
        <v>104</v>
      </c>
      <c r="BB270" s="6" t="s">
        <v>104</v>
      </c>
      <c r="BC270" s="26"/>
      <c r="BD270" s="26"/>
      <c r="BE270" s="26"/>
      <c r="BF270" s="26"/>
      <c r="BG270" s="26"/>
      <c r="BH270" s="26"/>
      <c r="BI270" s="26"/>
      <c r="BJ270" s="26"/>
      <c r="BK270" s="26"/>
      <c r="BL270" s="26"/>
      <c r="BM270" s="26"/>
      <c r="BN270" s="26"/>
      <c r="BO270" s="26"/>
      <c r="BP270" s="16" t="n">
        <v>45472</v>
      </c>
      <c r="BQ270" s="28" t="str">
        <f>HYPERLINK("https://organic.ams.usda.gov/Integrity/Certificate.aspx?cid=21&amp;nopid=1780869623")</f>
        <v>https://organic.ams.usda.gov/Integrity/Certificate.aspx?cid=21&amp;nopid=1780869623</v>
      </c>
    </row>
    <row r="271">
      <c r="A271" t="s">
        <v>3</v>
      </c>
      <c r="B271" s="6" t="s">
        <v>20</v>
      </c>
      <c r="C271" s="6" t="s">
        <v>86</v>
      </c>
      <c r="D271" s="6" t="s">
        <v>151</v>
      </c>
      <c r="E271" s="10" t="s">
        <v>469</v>
      </c>
      <c r="F271" s="6" t="s">
        <v>2725</v>
      </c>
      <c r="G271" s="6" t="s">
        <v>104</v>
      </c>
      <c r="H271" s="6" t="s">
        <v>5136</v>
      </c>
      <c r="I271" s="6" t="s">
        <v>7111</v>
      </c>
      <c r="J271" s="6" t="s">
        <v>8331</v>
      </c>
      <c r="K271" s="6" t="s">
        <v>9714</v>
      </c>
      <c r="L271" s="16" t="n">
        <v>43927</v>
      </c>
      <c r="M271" s="16" t="n">
        <v>45777</v>
      </c>
      <c r="N271" s="6" t="s">
        <v>104</v>
      </c>
      <c r="O271" s="21" t="s">
        <v>104</v>
      </c>
      <c r="P271" s="6" t="s">
        <v>104</v>
      </c>
      <c r="Q271" s="6" t="s">
        <v>104</v>
      </c>
      <c r="R271" s="6" t="s">
        <v>104</v>
      </c>
      <c r="S271" s="6" t="s">
        <v>104</v>
      </c>
      <c r="T271" s="21" t="s">
        <v>104</v>
      </c>
      <c r="U271" s="6" t="s">
        <v>104</v>
      </c>
      <c r="V271" s="6" t="s">
        <v>104</v>
      </c>
      <c r="W271" s="6" t="s">
        <v>104</v>
      </c>
      <c r="X271" s="6" t="s">
        <v>104</v>
      </c>
      <c r="Y271" s="21" t="s">
        <v>104</v>
      </c>
      <c r="Z271" s="6" t="s">
        <v>104</v>
      </c>
      <c r="AA271" s="6" t="s">
        <v>104</v>
      </c>
      <c r="AB271" s="6" t="s">
        <v>104</v>
      </c>
      <c r="AC271" s="6" t="s">
        <v>9714</v>
      </c>
      <c r="AD271" s="16" t="n">
        <v>43927</v>
      </c>
      <c r="AE271" s="6" t="s">
        <v>10759</v>
      </c>
      <c r="AF271" s="6" t="s">
        <v>104</v>
      </c>
      <c r="AG271" s="6" t="s">
        <v>12554</v>
      </c>
      <c r="AH271" s="6" t="s">
        <v>13400</v>
      </c>
      <c r="AI271" s="6" t="s">
        <v>104</v>
      </c>
      <c r="AJ271" s="6" t="s">
        <v>104</v>
      </c>
      <c r="AK271" s="6" t="s">
        <v>104</v>
      </c>
      <c r="AL271" s="6" t="s">
        <v>15513</v>
      </c>
      <c r="AM271" s="6" t="s">
        <v>17168</v>
      </c>
      <c r="AN271" s="6" t="s">
        <v>104</v>
      </c>
      <c r="AO271" s="6" t="s">
        <v>104</v>
      </c>
      <c r="AP271" s="6" t="s">
        <v>104</v>
      </c>
      <c r="AQ271" s="6" t="s">
        <v>104</v>
      </c>
      <c r="AR271" s="6" t="s">
        <v>104</v>
      </c>
      <c r="AS271" s="6" t="s">
        <v>104</v>
      </c>
      <c r="AT271" s="6" t="s">
        <v>104</v>
      </c>
      <c r="AU271" s="6" t="s">
        <v>104</v>
      </c>
      <c r="AV271" s="6" t="s">
        <v>104</v>
      </c>
      <c r="AW271" s="6" t="s">
        <v>104</v>
      </c>
      <c r="AX271" s="6" t="s">
        <v>20328</v>
      </c>
      <c r="AY271" s="6" t="s">
        <v>22069</v>
      </c>
      <c r="AZ271" s="6" t="s">
        <v>23755</v>
      </c>
      <c r="BA271" s="6" t="s">
        <v>104</v>
      </c>
      <c r="BB271" s="6" t="s">
        <v>104</v>
      </c>
      <c r="BC271" s="26"/>
      <c r="BD271" s="26"/>
      <c r="BE271" s="26"/>
      <c r="BF271" s="26"/>
      <c r="BG271" s="26"/>
      <c r="BH271" s="26"/>
      <c r="BI271" s="26"/>
      <c r="BJ271" s="26"/>
      <c r="BK271" s="26"/>
      <c r="BL271" s="26"/>
      <c r="BM271" s="26"/>
      <c r="BN271" s="26"/>
      <c r="BO271" s="26"/>
      <c r="BP271" s="16" t="n">
        <v>45485</v>
      </c>
      <c r="BQ271" s="28" t="str">
        <f>HYPERLINK("https://organic.ams.usda.gov/Integrity/Certificate.aspx?cid=17&amp;nopid=4087186114")</f>
        <v>https://organic.ams.usda.gov/Integrity/Certificate.aspx?cid=17&amp;nopid=4087186114</v>
      </c>
    </row>
    <row r="272">
      <c r="A272" t="s">
        <v>3</v>
      </c>
      <c r="B272" s="6" t="s">
        <v>43</v>
      </c>
      <c r="C272" s="6" t="s">
        <v>109</v>
      </c>
      <c r="D272" s="6" t="s">
        <v>173</v>
      </c>
      <c r="E272" s="10" t="s">
        <v>470</v>
      </c>
      <c r="F272" s="6" t="s">
        <v>2726</v>
      </c>
      <c r="G272" s="6" t="s">
        <v>104</v>
      </c>
      <c r="H272" s="6" t="s">
        <v>5137</v>
      </c>
      <c r="I272" s="6" t="s">
        <v>7112</v>
      </c>
      <c r="J272" s="6" t="s">
        <v>8332</v>
      </c>
      <c r="K272" s="6" t="s">
        <v>9714</v>
      </c>
      <c r="L272" s="16" t="n">
        <v>45377</v>
      </c>
      <c r="M272" s="16" t="n">
        <v>45721</v>
      </c>
      <c r="N272" s="6" t="s">
        <v>104</v>
      </c>
      <c r="O272" s="21" t="s">
        <v>104</v>
      </c>
      <c r="P272" s="6" t="s">
        <v>104</v>
      </c>
      <c r="Q272" s="6" t="s">
        <v>104</v>
      </c>
      <c r="R272" s="6" t="s">
        <v>104</v>
      </c>
      <c r="S272" s="6" t="s">
        <v>104</v>
      </c>
      <c r="T272" s="21" t="s">
        <v>104</v>
      </c>
      <c r="U272" s="6" t="s">
        <v>104</v>
      </c>
      <c r="V272" s="6" t="s">
        <v>104</v>
      </c>
      <c r="W272" s="6" t="s">
        <v>104</v>
      </c>
      <c r="X272" s="6" t="s">
        <v>104</v>
      </c>
      <c r="Y272" s="21" t="s">
        <v>104</v>
      </c>
      <c r="Z272" s="6" t="s">
        <v>104</v>
      </c>
      <c r="AA272" s="6" t="s">
        <v>104</v>
      </c>
      <c r="AB272" s="6" t="s">
        <v>104</v>
      </c>
      <c r="AC272" s="6" t="s">
        <v>9714</v>
      </c>
      <c r="AD272" s="16" t="n">
        <v>45377</v>
      </c>
      <c r="AE272" s="6" t="s">
        <v>10760</v>
      </c>
      <c r="AF272" s="6" t="s">
        <v>104</v>
      </c>
      <c r="AG272" s="6" t="s">
        <v>5137</v>
      </c>
      <c r="AH272" s="6" t="s">
        <v>13401</v>
      </c>
      <c r="AI272" s="6" t="s">
        <v>104</v>
      </c>
      <c r="AJ272" s="6" t="s">
        <v>15548</v>
      </c>
      <c r="AK272" s="6" t="s">
        <v>16370</v>
      </c>
      <c r="AL272" s="6" t="s">
        <v>16931</v>
      </c>
      <c r="AM272" s="6" t="s">
        <v>17169</v>
      </c>
      <c r="AN272" s="6" t="s">
        <v>104</v>
      </c>
      <c r="AO272" s="6" t="s">
        <v>104</v>
      </c>
      <c r="AP272" s="6" t="s">
        <v>13401</v>
      </c>
      <c r="AQ272" s="6" t="s">
        <v>104</v>
      </c>
      <c r="AR272" s="6" t="s">
        <v>15548</v>
      </c>
      <c r="AS272" s="6" t="s">
        <v>16370</v>
      </c>
      <c r="AT272" s="6" t="s">
        <v>16931</v>
      </c>
      <c r="AU272" s="6" t="s">
        <v>17169</v>
      </c>
      <c r="AV272" s="6" t="s">
        <v>104</v>
      </c>
      <c r="AW272" s="6" t="s">
        <v>104</v>
      </c>
      <c r="AX272" s="6" t="s">
        <v>20329</v>
      </c>
      <c r="AY272" s="6" t="s">
        <v>22070</v>
      </c>
      <c r="AZ272" s="6" t="s">
        <v>104</v>
      </c>
      <c r="BA272" s="6" t="s">
        <v>104</v>
      </c>
      <c r="BB272" s="6" t="s">
        <v>104</v>
      </c>
      <c r="BC272" s="26"/>
      <c r="BD272" s="26"/>
      <c r="BE272" s="26"/>
      <c r="BF272" s="26"/>
      <c r="BG272" s="26"/>
      <c r="BH272" s="26" t="s">
        <v>24533</v>
      </c>
      <c r="BI272" s="26"/>
      <c r="BJ272" s="26"/>
      <c r="BK272" s="26"/>
      <c r="BL272" s="26"/>
      <c r="BM272" s="26"/>
      <c r="BN272" s="26"/>
      <c r="BO272" s="26"/>
      <c r="BP272" s="16" t="n">
        <v>45378</v>
      </c>
      <c r="BQ272" s="28" t="str">
        <f>HYPERLINK("https://organic.ams.usda.gov/Integrity/Certificate.aspx?cid=86&amp;nopid=6400011874")</f>
        <v>https://organic.ams.usda.gov/Integrity/Certificate.aspx?cid=86&amp;nopid=6400011874</v>
      </c>
    </row>
    <row r="273">
      <c r="A273" t="s">
        <v>3</v>
      </c>
      <c r="B273" s="6" t="s">
        <v>35</v>
      </c>
      <c r="C273" s="6" t="s">
        <v>101</v>
      </c>
      <c r="D273" s="6" t="s">
        <v>166</v>
      </c>
      <c r="E273" s="10" t="s">
        <v>471</v>
      </c>
      <c r="F273" s="6" t="s">
        <v>2727</v>
      </c>
      <c r="G273" s="6" t="s">
        <v>104</v>
      </c>
      <c r="H273" s="6" t="s">
        <v>5138</v>
      </c>
      <c r="I273" s="6" t="s">
        <v>7113</v>
      </c>
      <c r="J273" s="6" t="s">
        <v>8333</v>
      </c>
      <c r="K273" s="6" t="s">
        <v>9714</v>
      </c>
      <c r="L273" s="16" t="n">
        <v>44665</v>
      </c>
      <c r="M273" s="16" t="n">
        <v>45716</v>
      </c>
      <c r="N273" s="6" t="s">
        <v>9714</v>
      </c>
      <c r="O273" s="16" t="n">
        <v>44817</v>
      </c>
      <c r="P273" s="6" t="s">
        <v>9807</v>
      </c>
      <c r="Q273" s="6" t="s">
        <v>104</v>
      </c>
      <c r="R273" s="6" t="s">
        <v>104</v>
      </c>
      <c r="S273" s="6" t="s">
        <v>104</v>
      </c>
      <c r="T273" s="21" t="s">
        <v>104</v>
      </c>
      <c r="U273" s="6" t="s">
        <v>104</v>
      </c>
      <c r="V273" s="6" t="s">
        <v>104</v>
      </c>
      <c r="W273" s="6" t="s">
        <v>104</v>
      </c>
      <c r="X273" s="6" t="s">
        <v>9714</v>
      </c>
      <c r="Y273" s="16" t="n">
        <v>45559</v>
      </c>
      <c r="Z273" s="6" t="s">
        <v>10519</v>
      </c>
      <c r="AA273" s="6" t="s">
        <v>104</v>
      </c>
      <c r="AB273" s="6" t="s">
        <v>104</v>
      </c>
      <c r="AC273" s="6" t="s">
        <v>9714</v>
      </c>
      <c r="AD273" s="16" t="n">
        <v>44665</v>
      </c>
      <c r="AE273" s="6" t="s">
        <v>10761</v>
      </c>
      <c r="AF273" s="6" t="s">
        <v>104</v>
      </c>
      <c r="AG273" s="6" t="s">
        <v>104</v>
      </c>
      <c r="AH273" s="6" t="s">
        <v>13402</v>
      </c>
      <c r="AI273" s="6" t="s">
        <v>104</v>
      </c>
      <c r="AJ273" s="6" t="s">
        <v>15549</v>
      </c>
      <c r="AK273" s="6" t="s">
        <v>104</v>
      </c>
      <c r="AL273" s="6" t="s">
        <v>16898</v>
      </c>
      <c r="AM273" s="6" t="s">
        <v>104</v>
      </c>
      <c r="AN273" s="6" t="s">
        <v>104</v>
      </c>
      <c r="AO273" s="6" t="s">
        <v>104</v>
      </c>
      <c r="AP273" s="6" t="s">
        <v>13402</v>
      </c>
      <c r="AQ273" s="6" t="s">
        <v>104</v>
      </c>
      <c r="AR273" s="6" t="s">
        <v>15549</v>
      </c>
      <c r="AS273" s="6" t="s">
        <v>104</v>
      </c>
      <c r="AT273" s="6" t="s">
        <v>16898</v>
      </c>
      <c r="AU273" s="6" t="s">
        <v>104</v>
      </c>
      <c r="AV273" s="6" t="s">
        <v>104</v>
      </c>
      <c r="AW273" s="6" t="s">
        <v>104</v>
      </c>
      <c r="AX273" s="6" t="s">
        <v>20330</v>
      </c>
      <c r="AY273" s="6" t="s">
        <v>22071</v>
      </c>
      <c r="AZ273" s="6" t="s">
        <v>23756</v>
      </c>
      <c r="BA273" s="6" t="s">
        <v>24302</v>
      </c>
      <c r="BB273" s="24" t="n">
        <v>10175</v>
      </c>
      <c r="BC273" s="26"/>
      <c r="BD273" s="26"/>
      <c r="BE273" s="26"/>
      <c r="BF273" s="26"/>
      <c r="BG273" s="26"/>
      <c r="BH273" s="26"/>
      <c r="BI273" s="26"/>
      <c r="BJ273" s="26"/>
      <c r="BK273" s="26"/>
      <c r="BL273" s="26"/>
      <c r="BM273" s="26"/>
      <c r="BN273" s="26"/>
      <c r="BO273" s="26"/>
      <c r="BP273" s="16" t="n">
        <v>45559</v>
      </c>
      <c r="BQ273" s="28" t="str">
        <f>HYPERLINK("https://organic.ams.usda.gov/Integrity/Certificate.aspx?cid=84&amp;nopid=5380000603")</f>
        <v>https://organic.ams.usda.gov/Integrity/Certificate.aspx?cid=84&amp;nopid=5380000603</v>
      </c>
    </row>
    <row r="274">
      <c r="A274" t="s">
        <v>3</v>
      </c>
      <c r="B274" s="6" t="s">
        <v>48</v>
      </c>
      <c r="C274" s="6" t="s">
        <v>114</v>
      </c>
      <c r="D274" s="6" t="s">
        <v>178</v>
      </c>
      <c r="E274" s="10" t="s">
        <v>472</v>
      </c>
      <c r="F274" s="6" t="s">
        <v>2728</v>
      </c>
      <c r="G274" s="6" t="s">
        <v>104</v>
      </c>
      <c r="H274" s="6" t="s">
        <v>5139</v>
      </c>
      <c r="I274" s="6" t="s">
        <v>7114</v>
      </c>
      <c r="J274" s="6" t="s">
        <v>8334</v>
      </c>
      <c r="K274" s="6" t="s">
        <v>9714</v>
      </c>
      <c r="L274" s="16" t="n">
        <v>40402</v>
      </c>
      <c r="M274" s="16" t="n">
        <v>45900</v>
      </c>
      <c r="N274" s="6" t="s">
        <v>9714</v>
      </c>
      <c r="O274" s="16" t="n">
        <v>40402</v>
      </c>
      <c r="P274" s="6" t="s">
        <v>9808</v>
      </c>
      <c r="Q274" s="6" t="s">
        <v>104</v>
      </c>
      <c r="R274" s="6" t="s">
        <v>104</v>
      </c>
      <c r="S274" s="6" t="s">
        <v>104</v>
      </c>
      <c r="T274" s="21" t="s">
        <v>104</v>
      </c>
      <c r="U274" s="6" t="s">
        <v>104</v>
      </c>
      <c r="V274" s="6" t="s">
        <v>104</v>
      </c>
      <c r="W274" s="6" t="s">
        <v>104</v>
      </c>
      <c r="X274" s="6" t="s">
        <v>104</v>
      </c>
      <c r="Y274" s="21" t="s">
        <v>104</v>
      </c>
      <c r="Z274" s="6" t="s">
        <v>104</v>
      </c>
      <c r="AA274" s="6" t="s">
        <v>104</v>
      </c>
      <c r="AB274" s="6" t="s">
        <v>104</v>
      </c>
      <c r="AC274" s="6" t="s">
        <v>9714</v>
      </c>
      <c r="AD274" s="16" t="n">
        <v>40402</v>
      </c>
      <c r="AE274" s="6" t="s">
        <v>10762</v>
      </c>
      <c r="AF274" s="6" t="s">
        <v>104</v>
      </c>
      <c r="AG274" s="6" t="s">
        <v>104</v>
      </c>
      <c r="AH274" s="6" t="s">
        <v>13403</v>
      </c>
      <c r="AI274" s="6" t="s">
        <v>104</v>
      </c>
      <c r="AJ274" s="6" t="s">
        <v>15550</v>
      </c>
      <c r="AK274" s="6" t="s">
        <v>104</v>
      </c>
      <c r="AL274" s="6" t="s">
        <v>16943</v>
      </c>
      <c r="AM274" s="6" t="s">
        <v>104</v>
      </c>
      <c r="AN274" s="6" t="s">
        <v>104</v>
      </c>
      <c r="AO274" s="6" t="s">
        <v>104</v>
      </c>
      <c r="AP274" s="6" t="s">
        <v>13403</v>
      </c>
      <c r="AQ274" s="6" t="s">
        <v>104</v>
      </c>
      <c r="AR274" s="6" t="s">
        <v>15550</v>
      </c>
      <c r="AS274" s="6" t="s">
        <v>104</v>
      </c>
      <c r="AT274" s="6" t="s">
        <v>16943</v>
      </c>
      <c r="AU274" s="6" t="s">
        <v>104</v>
      </c>
      <c r="AV274" s="6" t="s">
        <v>104</v>
      </c>
      <c r="AW274" s="6" t="s">
        <v>104</v>
      </c>
      <c r="AX274" s="6" t="s">
        <v>20331</v>
      </c>
      <c r="AY274" s="6" t="s">
        <v>22072</v>
      </c>
      <c r="AZ274" s="6" t="s">
        <v>23757</v>
      </c>
      <c r="BA274" s="6" t="s">
        <v>104</v>
      </c>
      <c r="BB274" s="24" t="n">
        <v>417</v>
      </c>
      <c r="BC274" s="26"/>
      <c r="BD274" s="26"/>
      <c r="BE274" s="26"/>
      <c r="BF274" s="26"/>
      <c r="BG274" s="26"/>
      <c r="BH274" s="26"/>
      <c r="BI274" s="26"/>
      <c r="BJ274" s="26"/>
      <c r="BK274" s="26"/>
      <c r="BL274" s="26"/>
      <c r="BM274" s="26"/>
      <c r="BN274" s="26"/>
      <c r="BO274" s="26"/>
      <c r="BP274" s="16" t="n">
        <v>45656</v>
      </c>
      <c r="BQ274" s="28" t="str">
        <f>HYPERLINK("https://organic.ams.usda.gov/Integrity/Certificate.aspx?cid=9&amp;nopid=1201977300")</f>
        <v>https://organic.ams.usda.gov/Integrity/Certificate.aspx?cid=9&amp;nopid=1201977300</v>
      </c>
    </row>
    <row r="275">
      <c r="A275" t="s">
        <v>3</v>
      </c>
      <c r="B275" s="6" t="s">
        <v>13</v>
      </c>
      <c r="C275" s="6" t="s">
        <v>79</v>
      </c>
      <c r="D275" s="6" t="s">
        <v>144</v>
      </c>
      <c r="E275" s="10" t="s">
        <v>473</v>
      </c>
      <c r="F275" s="6" t="s">
        <v>2729</v>
      </c>
      <c r="G275" s="6" t="s">
        <v>104</v>
      </c>
      <c r="H275" s="6" t="s">
        <v>5140</v>
      </c>
      <c r="I275" s="6" t="s">
        <v>7115</v>
      </c>
      <c r="J275" s="6" t="s">
        <v>8335</v>
      </c>
      <c r="K275" s="6" t="s">
        <v>9714</v>
      </c>
      <c r="L275" s="16" t="n">
        <v>43769</v>
      </c>
      <c r="M275" s="16" t="n">
        <v>46023</v>
      </c>
      <c r="N275" s="6" t="s">
        <v>104</v>
      </c>
      <c r="O275" s="21" t="s">
        <v>104</v>
      </c>
      <c r="P275" s="6" t="s">
        <v>104</v>
      </c>
      <c r="Q275" s="6" t="s">
        <v>104</v>
      </c>
      <c r="R275" s="6" t="s">
        <v>104</v>
      </c>
      <c r="S275" s="6" t="s">
        <v>104</v>
      </c>
      <c r="T275" s="21" t="s">
        <v>104</v>
      </c>
      <c r="U275" s="6" t="s">
        <v>104</v>
      </c>
      <c r="V275" s="6" t="s">
        <v>104</v>
      </c>
      <c r="W275" s="6" t="s">
        <v>104</v>
      </c>
      <c r="X275" s="6" t="s">
        <v>104</v>
      </c>
      <c r="Y275" s="21" t="s">
        <v>104</v>
      </c>
      <c r="Z275" s="6" t="s">
        <v>104</v>
      </c>
      <c r="AA275" s="6" t="s">
        <v>104</v>
      </c>
      <c r="AB275" s="6" t="s">
        <v>104</v>
      </c>
      <c r="AC275" s="6" t="s">
        <v>9714</v>
      </c>
      <c r="AD275" s="16" t="n">
        <v>43769</v>
      </c>
      <c r="AE275" s="6" t="s">
        <v>10763</v>
      </c>
      <c r="AF275" s="6" t="s">
        <v>104</v>
      </c>
      <c r="AG275" s="6" t="s">
        <v>104</v>
      </c>
      <c r="AH275" s="6" t="s">
        <v>104</v>
      </c>
      <c r="AI275" s="6" t="s">
        <v>104</v>
      </c>
      <c r="AJ275" s="6" t="s">
        <v>104</v>
      </c>
      <c r="AK275" s="6" t="s">
        <v>104</v>
      </c>
      <c r="AL275" s="6" t="s">
        <v>104</v>
      </c>
      <c r="AM275" s="6" t="s">
        <v>104</v>
      </c>
      <c r="AN275" s="6" t="s">
        <v>104</v>
      </c>
      <c r="AO275" s="6" t="s">
        <v>104</v>
      </c>
      <c r="AP275" s="6" t="s">
        <v>19024</v>
      </c>
      <c r="AQ275" s="6" t="s">
        <v>104</v>
      </c>
      <c r="AR275" s="6" t="s">
        <v>19611</v>
      </c>
      <c r="AS275" s="6" t="s">
        <v>16705</v>
      </c>
      <c r="AT275" s="6" t="s">
        <v>16931</v>
      </c>
      <c r="AU275" s="6" t="s">
        <v>19835</v>
      </c>
      <c r="AV275" s="6" t="s">
        <v>18502</v>
      </c>
      <c r="AW275" s="6" t="s">
        <v>18598</v>
      </c>
      <c r="AX275" s="6" t="s">
        <v>20332</v>
      </c>
      <c r="AY275" s="6" t="s">
        <v>22073</v>
      </c>
      <c r="AZ275" s="6" t="s">
        <v>104</v>
      </c>
      <c r="BA275" s="6" t="s">
        <v>104</v>
      </c>
      <c r="BB275" s="6" t="s">
        <v>104</v>
      </c>
      <c r="BC275" s="26"/>
      <c r="BD275" s="26"/>
      <c r="BE275" s="26" t="s">
        <v>24533</v>
      </c>
      <c r="BF275" s="26"/>
      <c r="BG275" s="26"/>
      <c r="BH275" s="26"/>
      <c r="BI275" s="26"/>
      <c r="BJ275" s="26"/>
      <c r="BK275" s="26"/>
      <c r="BL275" s="26"/>
      <c r="BM275" s="26"/>
      <c r="BN275" s="26"/>
      <c r="BO275" s="26"/>
      <c r="BP275" s="16" t="n">
        <v>45674</v>
      </c>
      <c r="BQ275" s="28" t="str">
        <f>HYPERLINK("https://organic.ams.usda.gov/Integrity/Certificate.aspx?cid=62&amp;nopid=8150011782")</f>
        <v>https://organic.ams.usda.gov/Integrity/Certificate.aspx?cid=62&amp;nopid=8150011782</v>
      </c>
    </row>
    <row r="276">
      <c r="A276" t="s">
        <v>3</v>
      </c>
      <c r="B276" s="6" t="s">
        <v>20</v>
      </c>
      <c r="C276" s="6" t="s">
        <v>86</v>
      </c>
      <c r="D276" s="6" t="s">
        <v>151</v>
      </c>
      <c r="E276" s="10" t="s">
        <v>474</v>
      </c>
      <c r="F276" s="6" t="s">
        <v>2730</v>
      </c>
      <c r="G276" s="6" t="s">
        <v>104</v>
      </c>
      <c r="H276" s="6" t="s">
        <v>5141</v>
      </c>
      <c r="I276" s="6" t="s">
        <v>7116</v>
      </c>
      <c r="J276" s="6" t="s">
        <v>8336</v>
      </c>
      <c r="K276" s="6" t="s">
        <v>9714</v>
      </c>
      <c r="L276" s="16" t="n">
        <v>45546</v>
      </c>
      <c r="M276" s="16" t="n">
        <v>45900</v>
      </c>
      <c r="N276" s="6" t="s">
        <v>104</v>
      </c>
      <c r="O276" s="21" t="s">
        <v>104</v>
      </c>
      <c r="P276" s="6" t="s">
        <v>104</v>
      </c>
      <c r="Q276" s="6" t="s">
        <v>104</v>
      </c>
      <c r="R276" s="6" t="s">
        <v>104</v>
      </c>
      <c r="S276" s="6" t="s">
        <v>104</v>
      </c>
      <c r="T276" s="21" t="s">
        <v>104</v>
      </c>
      <c r="U276" s="6" t="s">
        <v>104</v>
      </c>
      <c r="V276" s="6" t="s">
        <v>104</v>
      </c>
      <c r="W276" s="6" t="s">
        <v>104</v>
      </c>
      <c r="X276" s="6" t="s">
        <v>104</v>
      </c>
      <c r="Y276" s="21" t="s">
        <v>104</v>
      </c>
      <c r="Z276" s="6" t="s">
        <v>104</v>
      </c>
      <c r="AA276" s="6" t="s">
        <v>104</v>
      </c>
      <c r="AB276" s="6" t="s">
        <v>104</v>
      </c>
      <c r="AC276" s="6" t="s">
        <v>9714</v>
      </c>
      <c r="AD276" s="16" t="n">
        <v>45546</v>
      </c>
      <c r="AE276" s="6" t="s">
        <v>10764</v>
      </c>
      <c r="AF276" s="6" t="s">
        <v>104</v>
      </c>
      <c r="AG276" s="6" t="s">
        <v>12555</v>
      </c>
      <c r="AH276" s="6" t="s">
        <v>13404</v>
      </c>
      <c r="AI276" s="6" t="s">
        <v>104</v>
      </c>
      <c r="AJ276" s="6" t="s">
        <v>15551</v>
      </c>
      <c r="AK276" s="6" t="s">
        <v>15373</v>
      </c>
      <c r="AL276" s="6" t="s">
        <v>16933</v>
      </c>
      <c r="AM276" s="6" t="s">
        <v>17119</v>
      </c>
      <c r="AN276" s="6" t="s">
        <v>104</v>
      </c>
      <c r="AO276" s="6" t="s">
        <v>104</v>
      </c>
      <c r="AP276" s="6" t="s">
        <v>104</v>
      </c>
      <c r="AQ276" s="6" t="s">
        <v>104</v>
      </c>
      <c r="AR276" s="6" t="s">
        <v>104</v>
      </c>
      <c r="AS276" s="6" t="s">
        <v>104</v>
      </c>
      <c r="AT276" s="6" t="s">
        <v>104</v>
      </c>
      <c r="AU276" s="6" t="s">
        <v>104</v>
      </c>
      <c r="AV276" s="6" t="s">
        <v>104</v>
      </c>
      <c r="AW276" s="6" t="s">
        <v>104</v>
      </c>
      <c r="AX276" s="6" t="s">
        <v>104</v>
      </c>
      <c r="AY276" s="6" t="s">
        <v>22074</v>
      </c>
      <c r="AZ276" s="6" t="s">
        <v>104</v>
      </c>
      <c r="BA276" s="6" t="s">
        <v>104</v>
      </c>
      <c r="BB276" s="6" t="s">
        <v>104</v>
      </c>
      <c r="BC276" s="26"/>
      <c r="BD276" s="26"/>
      <c r="BE276" s="26"/>
      <c r="BF276" s="26"/>
      <c r="BG276" s="26"/>
      <c r="BH276" s="26"/>
      <c r="BI276" s="26"/>
      <c r="BJ276" s="26"/>
      <c r="BK276" s="26"/>
      <c r="BL276" s="26"/>
      <c r="BM276" s="26"/>
      <c r="BN276" s="26"/>
      <c r="BO276" s="26"/>
      <c r="BP276" s="16" t="n">
        <v>45572</v>
      </c>
      <c r="BQ276" s="28" t="str">
        <f>HYPERLINK("https://organic.ams.usda.gov/Integrity/Certificate.aspx?cid=17&amp;nopid=4080208261")</f>
        <v>https://organic.ams.usda.gov/Integrity/Certificate.aspx?cid=17&amp;nopid=4080208261</v>
      </c>
    </row>
    <row r="277">
      <c r="A277" t="s">
        <v>3</v>
      </c>
      <c r="B277" s="6" t="s">
        <v>20</v>
      </c>
      <c r="C277" s="6" t="s">
        <v>86</v>
      </c>
      <c r="D277" s="6" t="s">
        <v>151</v>
      </c>
      <c r="E277" s="10" t="s">
        <v>475</v>
      </c>
      <c r="F277" s="6" t="s">
        <v>2731</v>
      </c>
      <c r="G277" s="6" t="s">
        <v>104</v>
      </c>
      <c r="H277" s="6" t="s">
        <v>5142</v>
      </c>
      <c r="I277" s="6" t="s">
        <v>7117</v>
      </c>
      <c r="J277" s="6" t="s">
        <v>8337</v>
      </c>
      <c r="K277" s="6" t="s">
        <v>9714</v>
      </c>
      <c r="L277" s="16" t="n">
        <v>44864</v>
      </c>
      <c r="M277" s="16" t="n">
        <v>46021</v>
      </c>
      <c r="N277" s="6" t="s">
        <v>9714</v>
      </c>
      <c r="O277" s="16" t="n">
        <v>44864</v>
      </c>
      <c r="P277" s="6" t="s">
        <v>9809</v>
      </c>
      <c r="Q277" s="6" t="s">
        <v>104</v>
      </c>
      <c r="R277" s="6" t="s">
        <v>10324</v>
      </c>
      <c r="S277" s="6" t="s">
        <v>104</v>
      </c>
      <c r="T277" s="21" t="s">
        <v>104</v>
      </c>
      <c r="U277" s="6" t="s">
        <v>104</v>
      </c>
      <c r="V277" s="6" t="s">
        <v>104</v>
      </c>
      <c r="W277" s="6" t="s">
        <v>104</v>
      </c>
      <c r="X277" s="6" t="s">
        <v>104</v>
      </c>
      <c r="Y277" s="21" t="s">
        <v>104</v>
      </c>
      <c r="Z277" s="6" t="s">
        <v>104</v>
      </c>
      <c r="AA277" s="6" t="s">
        <v>104</v>
      </c>
      <c r="AB277" s="6" t="s">
        <v>104</v>
      </c>
      <c r="AC277" s="6" t="s">
        <v>9714</v>
      </c>
      <c r="AD277" s="16" t="n">
        <v>44864</v>
      </c>
      <c r="AE277" s="6" t="s">
        <v>10765</v>
      </c>
      <c r="AF277" s="6" t="s">
        <v>104</v>
      </c>
      <c r="AG277" s="6" t="s">
        <v>10324</v>
      </c>
      <c r="AH277" s="6" t="s">
        <v>13405</v>
      </c>
      <c r="AI277" s="6" t="s">
        <v>104</v>
      </c>
      <c r="AJ277" s="6" t="s">
        <v>15552</v>
      </c>
      <c r="AK277" s="6" t="s">
        <v>16746</v>
      </c>
      <c r="AL277" s="6" t="s">
        <v>16955</v>
      </c>
      <c r="AM277" s="6" t="s">
        <v>17170</v>
      </c>
      <c r="AN277" s="6" t="s">
        <v>104</v>
      </c>
      <c r="AO277" s="6" t="s">
        <v>104</v>
      </c>
      <c r="AP277" s="6" t="s">
        <v>104</v>
      </c>
      <c r="AQ277" s="6" t="s">
        <v>104</v>
      </c>
      <c r="AR277" s="6" t="s">
        <v>104</v>
      </c>
      <c r="AS277" s="6" t="s">
        <v>104</v>
      </c>
      <c r="AT277" s="6" t="s">
        <v>104</v>
      </c>
      <c r="AU277" s="6" t="s">
        <v>104</v>
      </c>
      <c r="AV277" s="6" t="s">
        <v>104</v>
      </c>
      <c r="AW277" s="6" t="s">
        <v>104</v>
      </c>
      <c r="AX277" s="6" t="s">
        <v>20333</v>
      </c>
      <c r="AY277" s="6" t="s">
        <v>22075</v>
      </c>
      <c r="AZ277" s="6" t="s">
        <v>104</v>
      </c>
      <c r="BA277" s="6" t="s">
        <v>104</v>
      </c>
      <c r="BB277" s="24" t="n">
        <v>1137</v>
      </c>
      <c r="BC277" s="26"/>
      <c r="BD277" s="26"/>
      <c r="BE277" s="26"/>
      <c r="BF277" s="26"/>
      <c r="BG277" s="26"/>
      <c r="BH277" s="26"/>
      <c r="BI277" s="26"/>
      <c r="BJ277" s="26"/>
      <c r="BK277" s="26"/>
      <c r="BL277" s="26"/>
      <c r="BM277" s="26"/>
      <c r="BN277" s="26"/>
      <c r="BO277" s="26"/>
      <c r="BP277" s="16" t="n">
        <v>45700</v>
      </c>
      <c r="BQ277" s="28" t="str">
        <f>HYPERLINK("https://organic.ams.usda.gov/Integrity/Certificate.aspx?cid=17&amp;nopid=4080204101")</f>
        <v>https://organic.ams.usda.gov/Integrity/Certificate.aspx?cid=17&amp;nopid=4080204101</v>
      </c>
    </row>
    <row r="278">
      <c r="A278" t="s">
        <v>3</v>
      </c>
      <c r="B278" s="6" t="s">
        <v>52</v>
      </c>
      <c r="C278" s="6" t="s">
        <v>118</v>
      </c>
      <c r="D278" s="6" t="s">
        <v>182</v>
      </c>
      <c r="E278" s="10" t="s">
        <v>476</v>
      </c>
      <c r="F278" s="6" t="s">
        <v>2732</v>
      </c>
      <c r="G278" s="6" t="s">
        <v>104</v>
      </c>
      <c r="H278" s="6" t="s">
        <v>5143</v>
      </c>
      <c r="I278" s="6" t="s">
        <v>7118</v>
      </c>
      <c r="J278" s="6" t="s">
        <v>8338</v>
      </c>
      <c r="K278" s="6" t="s">
        <v>9714</v>
      </c>
      <c r="L278" s="16" t="n">
        <v>39798</v>
      </c>
      <c r="M278" s="16" t="n">
        <v>46068</v>
      </c>
      <c r="N278" s="6" t="s">
        <v>104</v>
      </c>
      <c r="O278" s="21" t="s">
        <v>104</v>
      </c>
      <c r="P278" s="6" t="s">
        <v>104</v>
      </c>
      <c r="Q278" s="6" t="s">
        <v>104</v>
      </c>
      <c r="R278" s="6" t="s">
        <v>104</v>
      </c>
      <c r="S278" s="6" t="s">
        <v>104</v>
      </c>
      <c r="T278" s="21" t="s">
        <v>104</v>
      </c>
      <c r="U278" s="6" t="s">
        <v>104</v>
      </c>
      <c r="V278" s="6" t="s">
        <v>104</v>
      </c>
      <c r="W278" s="6" t="s">
        <v>104</v>
      </c>
      <c r="X278" s="6" t="s">
        <v>104</v>
      </c>
      <c r="Y278" s="21" t="s">
        <v>104</v>
      </c>
      <c r="Z278" s="6" t="s">
        <v>104</v>
      </c>
      <c r="AA278" s="6" t="s">
        <v>104</v>
      </c>
      <c r="AB278" s="6" t="s">
        <v>104</v>
      </c>
      <c r="AC278" s="6" t="s">
        <v>9714</v>
      </c>
      <c r="AD278" s="16" t="n">
        <v>39798</v>
      </c>
      <c r="AE278" s="6" t="s">
        <v>10766</v>
      </c>
      <c r="AF278" s="6" t="s">
        <v>104</v>
      </c>
      <c r="AG278" s="6" t="s">
        <v>5143</v>
      </c>
      <c r="AH278" s="6" t="s">
        <v>13406</v>
      </c>
      <c r="AI278" s="6" t="s">
        <v>104</v>
      </c>
      <c r="AJ278" s="6" t="s">
        <v>15553</v>
      </c>
      <c r="AK278" s="6" t="s">
        <v>16681</v>
      </c>
      <c r="AL278" s="6" t="s">
        <v>16931</v>
      </c>
      <c r="AM278" s="6" t="s">
        <v>17171</v>
      </c>
      <c r="AN278" s="6" t="s">
        <v>18497</v>
      </c>
      <c r="AO278" s="6" t="s">
        <v>18623</v>
      </c>
      <c r="AP278" s="6" t="s">
        <v>13406</v>
      </c>
      <c r="AQ278" s="6" t="s">
        <v>104</v>
      </c>
      <c r="AR278" s="6" t="s">
        <v>15553</v>
      </c>
      <c r="AS278" s="6" t="s">
        <v>16681</v>
      </c>
      <c r="AT278" s="6" t="s">
        <v>16931</v>
      </c>
      <c r="AU278" s="6" t="s">
        <v>17171</v>
      </c>
      <c r="AV278" s="6" t="s">
        <v>104</v>
      </c>
      <c r="AW278" s="6" t="s">
        <v>104</v>
      </c>
      <c r="AX278" s="6" t="s">
        <v>20334</v>
      </c>
      <c r="AY278" s="6" t="s">
        <v>22076</v>
      </c>
      <c r="AZ278" s="6" t="s">
        <v>104</v>
      </c>
      <c r="BA278" s="6" t="s">
        <v>24303</v>
      </c>
      <c r="BB278" s="6" t="s">
        <v>104</v>
      </c>
      <c r="BC278" s="26"/>
      <c r="BD278" s="26"/>
      <c r="BE278" s="26"/>
      <c r="BF278" s="26"/>
      <c r="BG278" s="26"/>
      <c r="BH278" s="26"/>
      <c r="BI278" s="26"/>
      <c r="BJ278" s="26"/>
      <c r="BK278" s="26"/>
      <c r="BL278" s="26"/>
      <c r="BM278" s="26"/>
      <c r="BN278" s="26"/>
      <c r="BO278" s="26"/>
      <c r="BP278" s="16" t="n">
        <v>45715</v>
      </c>
      <c r="BQ278" s="28" t="str">
        <f>HYPERLINK("https://organic.ams.usda.gov/Integrity/Certificate.aspx?cid=36&amp;nopid=5400000456")</f>
        <v>https://organic.ams.usda.gov/Integrity/Certificate.aspx?cid=36&amp;nopid=5400000456</v>
      </c>
    </row>
    <row r="279">
      <c r="A279" t="s">
        <v>3</v>
      </c>
      <c r="B279" s="6" t="s">
        <v>6</v>
      </c>
      <c r="C279" s="6" t="s">
        <v>72</v>
      </c>
      <c r="D279" s="6" t="s">
        <v>137</v>
      </c>
      <c r="E279" s="10" t="s">
        <v>477</v>
      </c>
      <c r="F279" s="6" t="s">
        <v>2733</v>
      </c>
      <c r="G279" s="6" t="s">
        <v>104</v>
      </c>
      <c r="H279" s="6" t="s">
        <v>5144</v>
      </c>
      <c r="I279" s="6" t="s">
        <v>7094</v>
      </c>
      <c r="J279" s="6" t="s">
        <v>8339</v>
      </c>
      <c r="K279" s="6" t="s">
        <v>9714</v>
      </c>
      <c r="L279" s="16" t="n">
        <v>43061</v>
      </c>
      <c r="M279" s="16" t="n">
        <v>45868</v>
      </c>
      <c r="N279" s="6" t="s">
        <v>104</v>
      </c>
      <c r="O279" s="21" t="s">
        <v>104</v>
      </c>
      <c r="P279" s="6" t="s">
        <v>104</v>
      </c>
      <c r="Q279" s="6" t="s">
        <v>104</v>
      </c>
      <c r="R279" s="6" t="s">
        <v>104</v>
      </c>
      <c r="S279" s="6" t="s">
        <v>104</v>
      </c>
      <c r="T279" s="21" t="s">
        <v>104</v>
      </c>
      <c r="U279" s="6" t="s">
        <v>104</v>
      </c>
      <c r="V279" s="6" t="s">
        <v>104</v>
      </c>
      <c r="W279" s="6" t="s">
        <v>104</v>
      </c>
      <c r="X279" s="6" t="s">
        <v>104</v>
      </c>
      <c r="Y279" s="21" t="s">
        <v>104</v>
      </c>
      <c r="Z279" s="6" t="s">
        <v>104</v>
      </c>
      <c r="AA279" s="6" t="s">
        <v>104</v>
      </c>
      <c r="AB279" s="6" t="s">
        <v>104</v>
      </c>
      <c r="AC279" s="6" t="s">
        <v>9714</v>
      </c>
      <c r="AD279" s="16" t="n">
        <v>43061</v>
      </c>
      <c r="AE279" s="6" t="s">
        <v>10767</v>
      </c>
      <c r="AF279" s="6" t="s">
        <v>104</v>
      </c>
      <c r="AG279" s="6" t="s">
        <v>12556</v>
      </c>
      <c r="AH279" s="6" t="s">
        <v>13407</v>
      </c>
      <c r="AI279" s="6" t="s">
        <v>104</v>
      </c>
      <c r="AJ279" s="6" t="s">
        <v>15554</v>
      </c>
      <c r="AK279" s="6" t="s">
        <v>15707</v>
      </c>
      <c r="AL279" s="6" t="s">
        <v>16766</v>
      </c>
      <c r="AM279" s="6" t="s">
        <v>104</v>
      </c>
      <c r="AN279" s="6" t="s">
        <v>104</v>
      </c>
      <c r="AO279" s="6" t="s">
        <v>104</v>
      </c>
      <c r="AP279" s="6" t="s">
        <v>104</v>
      </c>
      <c r="AQ279" s="6" t="s">
        <v>104</v>
      </c>
      <c r="AR279" s="6" t="s">
        <v>104</v>
      </c>
      <c r="AS279" s="6" t="s">
        <v>104</v>
      </c>
      <c r="AT279" s="6" t="s">
        <v>104</v>
      </c>
      <c r="AU279" s="6" t="s">
        <v>104</v>
      </c>
      <c r="AV279" s="6" t="s">
        <v>104</v>
      </c>
      <c r="AW279" s="6" t="s">
        <v>104</v>
      </c>
      <c r="AX279" s="6" t="s">
        <v>20335</v>
      </c>
      <c r="AY279" s="6" t="s">
        <v>22077</v>
      </c>
      <c r="AZ279" s="6" t="s">
        <v>104</v>
      </c>
      <c r="BA279" s="6" t="s">
        <v>24258</v>
      </c>
      <c r="BB279" s="6" t="s">
        <v>104</v>
      </c>
      <c r="BC279" s="26"/>
      <c r="BD279" s="26"/>
      <c r="BE279" s="26"/>
      <c r="BF279" s="26"/>
      <c r="BG279" s="26"/>
      <c r="BH279" s="26"/>
      <c r="BI279" s="26"/>
      <c r="BJ279" s="26"/>
      <c r="BK279" s="26"/>
      <c r="BL279" s="26"/>
      <c r="BM279" s="26"/>
      <c r="BN279" s="26"/>
      <c r="BO279" s="26"/>
      <c r="BP279" s="16" t="n">
        <v>45737</v>
      </c>
      <c r="BQ279" s="28" t="str">
        <f>HYPERLINK("https://organic.ams.usda.gov/Integrity/Certificate.aspx?cid=32&amp;nopid=2230006164")</f>
        <v>https://organic.ams.usda.gov/Integrity/Certificate.aspx?cid=32&amp;nopid=2230006164</v>
      </c>
    </row>
    <row r="280">
      <c r="A280" t="s">
        <v>3</v>
      </c>
      <c r="B280" s="6" t="s">
        <v>29</v>
      </c>
      <c r="C280" s="6" t="s">
        <v>95</v>
      </c>
      <c r="D280" s="6" t="s">
        <v>160</v>
      </c>
      <c r="E280" s="10" t="s">
        <v>478</v>
      </c>
      <c r="F280" s="6" t="s">
        <v>2734</v>
      </c>
      <c r="G280" s="6" t="s">
        <v>104</v>
      </c>
      <c r="H280" s="6" t="s">
        <v>5145</v>
      </c>
      <c r="I280" s="6" t="s">
        <v>104</v>
      </c>
      <c r="J280" s="6" t="s">
        <v>8340</v>
      </c>
      <c r="K280" s="6" t="s">
        <v>9714</v>
      </c>
      <c r="L280" s="16" t="n">
        <v>45114</v>
      </c>
      <c r="M280" s="16" t="n">
        <v>46054</v>
      </c>
      <c r="N280" s="6" t="s">
        <v>104</v>
      </c>
      <c r="O280" s="21" t="s">
        <v>104</v>
      </c>
      <c r="P280" s="6" t="s">
        <v>104</v>
      </c>
      <c r="Q280" s="6" t="s">
        <v>104</v>
      </c>
      <c r="R280" s="6" t="s">
        <v>104</v>
      </c>
      <c r="S280" s="6" t="s">
        <v>104</v>
      </c>
      <c r="T280" s="21" t="s">
        <v>104</v>
      </c>
      <c r="U280" s="6" t="s">
        <v>104</v>
      </c>
      <c r="V280" s="6" t="s">
        <v>104</v>
      </c>
      <c r="W280" s="6" t="s">
        <v>104</v>
      </c>
      <c r="X280" s="6" t="s">
        <v>104</v>
      </c>
      <c r="Y280" s="21" t="s">
        <v>104</v>
      </c>
      <c r="Z280" s="6" t="s">
        <v>104</v>
      </c>
      <c r="AA280" s="6" t="s">
        <v>104</v>
      </c>
      <c r="AB280" s="6" t="s">
        <v>104</v>
      </c>
      <c r="AC280" s="6" t="s">
        <v>9714</v>
      </c>
      <c r="AD280" s="16" t="n">
        <v>45114</v>
      </c>
      <c r="AE280" s="6" t="s">
        <v>10768</v>
      </c>
      <c r="AF280" s="6" t="s">
        <v>104</v>
      </c>
      <c r="AG280" s="6" t="s">
        <v>104</v>
      </c>
      <c r="AH280" s="6" t="s">
        <v>13408</v>
      </c>
      <c r="AI280" s="6" t="s">
        <v>104</v>
      </c>
      <c r="AJ280" s="6" t="s">
        <v>15555</v>
      </c>
      <c r="AK280" s="6" t="s">
        <v>16747</v>
      </c>
      <c r="AL280" s="6" t="s">
        <v>16956</v>
      </c>
      <c r="AM280" s="6" t="s">
        <v>17172</v>
      </c>
      <c r="AN280" s="6" t="s">
        <v>104</v>
      </c>
      <c r="AO280" s="6" t="s">
        <v>104</v>
      </c>
      <c r="AP280" s="6" t="s">
        <v>104</v>
      </c>
      <c r="AQ280" s="6" t="s">
        <v>104</v>
      </c>
      <c r="AR280" s="6" t="s">
        <v>104</v>
      </c>
      <c r="AS280" s="6" t="s">
        <v>104</v>
      </c>
      <c r="AT280" s="6" t="s">
        <v>104</v>
      </c>
      <c r="AU280" s="6" t="s">
        <v>104</v>
      </c>
      <c r="AV280" s="6" t="s">
        <v>104</v>
      </c>
      <c r="AW280" s="6" t="s">
        <v>104</v>
      </c>
      <c r="AX280" s="6" t="s">
        <v>20336</v>
      </c>
      <c r="AY280" s="6" t="s">
        <v>22078</v>
      </c>
      <c r="AZ280" s="6" t="s">
        <v>23758</v>
      </c>
      <c r="BA280" s="6" t="s">
        <v>104</v>
      </c>
      <c r="BB280" s="24" t="n">
        <v>0</v>
      </c>
      <c r="BC280" s="26"/>
      <c r="BD280" s="26"/>
      <c r="BE280" s="26"/>
      <c r="BF280" s="26"/>
      <c r="BG280" s="26"/>
      <c r="BH280" s="26"/>
      <c r="BI280" s="26"/>
      <c r="BJ280" s="26"/>
      <c r="BK280" s="26"/>
      <c r="BL280" s="26"/>
      <c r="BM280" s="26"/>
      <c r="BN280" s="26"/>
      <c r="BO280" s="26"/>
      <c r="BP280" s="16" t="n">
        <v>45691</v>
      </c>
      <c r="BQ280" s="28" t="str">
        <f>HYPERLINK("https://organic.ams.usda.gov/Integrity/Certificate.aspx?cid=24&amp;nopid=7880262869")</f>
        <v>https://organic.ams.usda.gov/Integrity/Certificate.aspx?cid=24&amp;nopid=7880262869</v>
      </c>
    </row>
    <row r="281">
      <c r="A281" t="s">
        <v>3</v>
      </c>
      <c r="B281" s="6" t="s">
        <v>35</v>
      </c>
      <c r="C281" s="6" t="s">
        <v>101</v>
      </c>
      <c r="D281" s="6" t="s">
        <v>166</v>
      </c>
      <c r="E281" s="10" t="s">
        <v>479</v>
      </c>
      <c r="F281" s="6" t="s">
        <v>2735</v>
      </c>
      <c r="G281" s="6" t="s">
        <v>104</v>
      </c>
      <c r="H281" s="6" t="s">
        <v>5146</v>
      </c>
      <c r="I281" s="6" t="s">
        <v>7119</v>
      </c>
      <c r="J281" s="6" t="s">
        <v>8341</v>
      </c>
      <c r="K281" s="6" t="s">
        <v>9714</v>
      </c>
      <c r="L281" s="16" t="n">
        <v>44806</v>
      </c>
      <c r="M281" s="16" t="n">
        <v>45716</v>
      </c>
      <c r="N281" s="6" t="s">
        <v>9714</v>
      </c>
      <c r="O281" s="16" t="n">
        <v>44806</v>
      </c>
      <c r="P281" s="6" t="s">
        <v>9810</v>
      </c>
      <c r="Q281" s="6" t="s">
        <v>104</v>
      </c>
      <c r="R281" s="6" t="s">
        <v>104</v>
      </c>
      <c r="S281" s="6" t="s">
        <v>104</v>
      </c>
      <c r="T281" s="21" t="s">
        <v>104</v>
      </c>
      <c r="U281" s="6" t="s">
        <v>104</v>
      </c>
      <c r="V281" s="6" t="s">
        <v>104</v>
      </c>
      <c r="W281" s="6" t="s">
        <v>104</v>
      </c>
      <c r="X281" s="6" t="s">
        <v>104</v>
      </c>
      <c r="Y281" s="21" t="s">
        <v>104</v>
      </c>
      <c r="Z281" s="6" t="s">
        <v>104</v>
      </c>
      <c r="AA281" s="6" t="s">
        <v>104</v>
      </c>
      <c r="AB281" s="6" t="s">
        <v>104</v>
      </c>
      <c r="AC281" s="6" t="s">
        <v>9714</v>
      </c>
      <c r="AD281" s="16" t="n">
        <v>44806</v>
      </c>
      <c r="AE281" s="6" t="s">
        <v>10769</v>
      </c>
      <c r="AF281" s="6" t="s">
        <v>104</v>
      </c>
      <c r="AG281" s="6" t="s">
        <v>104</v>
      </c>
      <c r="AH281" s="6" t="s">
        <v>13409</v>
      </c>
      <c r="AI281" s="6" t="s">
        <v>104</v>
      </c>
      <c r="AJ281" s="6" t="s">
        <v>15549</v>
      </c>
      <c r="AK281" s="6" t="s">
        <v>104</v>
      </c>
      <c r="AL281" s="6" t="s">
        <v>16898</v>
      </c>
      <c r="AM281" s="6" t="s">
        <v>104</v>
      </c>
      <c r="AN281" s="6" t="s">
        <v>104</v>
      </c>
      <c r="AO281" s="6" t="s">
        <v>104</v>
      </c>
      <c r="AP281" s="6" t="s">
        <v>13409</v>
      </c>
      <c r="AQ281" s="6" t="s">
        <v>104</v>
      </c>
      <c r="AR281" s="6" t="s">
        <v>15549</v>
      </c>
      <c r="AS281" s="6" t="s">
        <v>104</v>
      </c>
      <c r="AT281" s="6" t="s">
        <v>16898</v>
      </c>
      <c r="AU281" s="6" t="s">
        <v>104</v>
      </c>
      <c r="AV281" s="6" t="s">
        <v>104</v>
      </c>
      <c r="AW281" s="6" t="s">
        <v>104</v>
      </c>
      <c r="AX281" s="6" t="s">
        <v>20337</v>
      </c>
      <c r="AY281" s="6" t="s">
        <v>22079</v>
      </c>
      <c r="AZ281" s="6" t="s">
        <v>23759</v>
      </c>
      <c r="BA281" s="6" t="s">
        <v>24304</v>
      </c>
      <c r="BB281" s="24" t="n">
        <v>2164</v>
      </c>
      <c r="BC281" s="26"/>
      <c r="BD281" s="26"/>
      <c r="BE281" s="26"/>
      <c r="BF281" s="26"/>
      <c r="BG281" s="26"/>
      <c r="BH281" s="26"/>
      <c r="BI281" s="26"/>
      <c r="BJ281" s="26"/>
      <c r="BK281" s="26"/>
      <c r="BL281" s="26"/>
      <c r="BM281" s="26"/>
      <c r="BN281" s="26"/>
      <c r="BO281" s="26"/>
      <c r="BP281" s="16" t="n">
        <v>45671</v>
      </c>
      <c r="BQ281" s="28" t="str">
        <f>HYPERLINK("https://organic.ams.usda.gov/Integrity/Certificate.aspx?cid=84&amp;nopid=5380000149")</f>
        <v>https://organic.ams.usda.gov/Integrity/Certificate.aspx?cid=84&amp;nopid=5380000149</v>
      </c>
    </row>
    <row r="282">
      <c r="A282" t="s">
        <v>3</v>
      </c>
      <c r="B282" s="6" t="s">
        <v>6</v>
      </c>
      <c r="C282" s="6" t="s">
        <v>72</v>
      </c>
      <c r="D282" s="6" t="s">
        <v>137</v>
      </c>
      <c r="E282" s="10" t="s">
        <v>480</v>
      </c>
      <c r="F282" s="6" t="s">
        <v>2736</v>
      </c>
      <c r="G282" s="6" t="s">
        <v>104</v>
      </c>
      <c r="H282" s="6" t="s">
        <v>5147</v>
      </c>
      <c r="I282" s="6" t="s">
        <v>7120</v>
      </c>
      <c r="J282" s="6" t="s">
        <v>8342</v>
      </c>
      <c r="K282" s="6" t="s">
        <v>9714</v>
      </c>
      <c r="L282" s="16" t="n">
        <v>39742</v>
      </c>
      <c r="M282" s="16" t="n">
        <v>45814</v>
      </c>
      <c r="N282" s="6" t="s">
        <v>104</v>
      </c>
      <c r="O282" s="21" t="s">
        <v>104</v>
      </c>
      <c r="P282" s="6" t="s">
        <v>104</v>
      </c>
      <c r="Q282" s="6" t="s">
        <v>104</v>
      </c>
      <c r="R282" s="6" t="s">
        <v>104</v>
      </c>
      <c r="S282" s="6" t="s">
        <v>104</v>
      </c>
      <c r="T282" s="21" t="s">
        <v>104</v>
      </c>
      <c r="U282" s="6" t="s">
        <v>104</v>
      </c>
      <c r="V282" s="6" t="s">
        <v>104</v>
      </c>
      <c r="W282" s="6" t="s">
        <v>104</v>
      </c>
      <c r="X282" s="6" t="s">
        <v>104</v>
      </c>
      <c r="Y282" s="21" t="s">
        <v>104</v>
      </c>
      <c r="Z282" s="6" t="s">
        <v>104</v>
      </c>
      <c r="AA282" s="6" t="s">
        <v>104</v>
      </c>
      <c r="AB282" s="6" t="s">
        <v>104</v>
      </c>
      <c r="AC282" s="6" t="s">
        <v>9714</v>
      </c>
      <c r="AD282" s="16" t="n">
        <v>39742</v>
      </c>
      <c r="AE282" s="6" t="s">
        <v>10770</v>
      </c>
      <c r="AF282" s="6" t="s">
        <v>104</v>
      </c>
      <c r="AG282" s="6" t="s">
        <v>12557</v>
      </c>
      <c r="AH282" s="6" t="s">
        <v>13410</v>
      </c>
      <c r="AI282" s="6" t="s">
        <v>104</v>
      </c>
      <c r="AJ282" s="6" t="s">
        <v>15556</v>
      </c>
      <c r="AK282" s="6" t="s">
        <v>16748</v>
      </c>
      <c r="AL282" s="6" t="s">
        <v>16930</v>
      </c>
      <c r="AM282" s="6" t="s">
        <v>17173</v>
      </c>
      <c r="AN282" s="6" t="s">
        <v>104</v>
      </c>
      <c r="AO282" s="6" t="s">
        <v>104</v>
      </c>
      <c r="AP282" s="6" t="s">
        <v>104</v>
      </c>
      <c r="AQ282" s="6" t="s">
        <v>104</v>
      </c>
      <c r="AR282" s="6" t="s">
        <v>104</v>
      </c>
      <c r="AS282" s="6" t="s">
        <v>104</v>
      </c>
      <c r="AT282" s="6" t="s">
        <v>104</v>
      </c>
      <c r="AU282" s="6" t="s">
        <v>104</v>
      </c>
      <c r="AV282" s="6" t="s">
        <v>104</v>
      </c>
      <c r="AW282" s="6" t="s">
        <v>104</v>
      </c>
      <c r="AX282" s="6" t="s">
        <v>20338</v>
      </c>
      <c r="AY282" s="6" t="s">
        <v>22080</v>
      </c>
      <c r="AZ282" s="6" t="s">
        <v>104</v>
      </c>
      <c r="BA282" s="6" t="s">
        <v>24305</v>
      </c>
      <c r="BB282" s="6" t="s">
        <v>104</v>
      </c>
      <c r="BC282" s="26"/>
      <c r="BD282" s="26"/>
      <c r="BE282" s="26"/>
      <c r="BF282" s="26"/>
      <c r="BG282" s="26"/>
      <c r="BH282" s="26"/>
      <c r="BI282" s="26"/>
      <c r="BJ282" s="26"/>
      <c r="BK282" s="26"/>
      <c r="BL282" s="26"/>
      <c r="BM282" s="26"/>
      <c r="BN282" s="26"/>
      <c r="BO282" s="26"/>
      <c r="BP282" s="16" t="n">
        <v>45737</v>
      </c>
      <c r="BQ282" s="28" t="str">
        <f>HYPERLINK("https://organic.ams.usda.gov/Integrity/Certificate.aspx?cid=32&amp;nopid=2230001985")</f>
        <v>https://organic.ams.usda.gov/Integrity/Certificate.aspx?cid=32&amp;nopid=2230001985</v>
      </c>
    </row>
    <row r="283">
      <c r="A283" t="s">
        <v>3</v>
      </c>
      <c r="B283" s="6" t="s">
        <v>11</v>
      </c>
      <c r="C283" s="6" t="s">
        <v>77</v>
      </c>
      <c r="D283" s="6" t="s">
        <v>142</v>
      </c>
      <c r="E283" s="10" t="s">
        <v>481</v>
      </c>
      <c r="F283" s="6" t="s">
        <v>2737</v>
      </c>
      <c r="G283" s="6" t="s">
        <v>104</v>
      </c>
      <c r="H283" s="6" t="s">
        <v>5148</v>
      </c>
      <c r="I283" s="6" t="s">
        <v>7121</v>
      </c>
      <c r="J283" s="6" t="s">
        <v>8343</v>
      </c>
      <c r="K283" s="6" t="s">
        <v>9714</v>
      </c>
      <c r="L283" s="16" t="n">
        <v>44079</v>
      </c>
      <c r="M283" s="16" t="n">
        <v>45896</v>
      </c>
      <c r="N283" s="6" t="s">
        <v>104</v>
      </c>
      <c r="O283" s="21" t="s">
        <v>104</v>
      </c>
      <c r="P283" s="6" t="s">
        <v>104</v>
      </c>
      <c r="Q283" s="6" t="s">
        <v>104</v>
      </c>
      <c r="R283" s="6" t="s">
        <v>104</v>
      </c>
      <c r="S283" s="6" t="s">
        <v>104</v>
      </c>
      <c r="T283" s="21" t="s">
        <v>104</v>
      </c>
      <c r="U283" s="6" t="s">
        <v>104</v>
      </c>
      <c r="V283" s="6" t="s">
        <v>104</v>
      </c>
      <c r="W283" s="6" t="s">
        <v>104</v>
      </c>
      <c r="X283" s="6" t="s">
        <v>104</v>
      </c>
      <c r="Y283" s="21" t="s">
        <v>104</v>
      </c>
      <c r="Z283" s="6" t="s">
        <v>104</v>
      </c>
      <c r="AA283" s="6" t="s">
        <v>104</v>
      </c>
      <c r="AB283" s="6" t="s">
        <v>104</v>
      </c>
      <c r="AC283" s="6" t="s">
        <v>9714</v>
      </c>
      <c r="AD283" s="16" t="n">
        <v>44079</v>
      </c>
      <c r="AE283" s="6" t="s">
        <v>10771</v>
      </c>
      <c r="AF283" s="6" t="s">
        <v>104</v>
      </c>
      <c r="AG283" s="6" t="s">
        <v>104</v>
      </c>
      <c r="AH283" s="6" t="s">
        <v>13411</v>
      </c>
      <c r="AI283" s="6" t="s">
        <v>104</v>
      </c>
      <c r="AJ283" s="6" t="s">
        <v>15557</v>
      </c>
      <c r="AK283" s="6" t="s">
        <v>15557</v>
      </c>
      <c r="AL283" s="6" t="s">
        <v>16938</v>
      </c>
      <c r="AM283" s="6" t="s">
        <v>17174</v>
      </c>
      <c r="AN283" s="6" t="s">
        <v>104</v>
      </c>
      <c r="AO283" s="6" t="s">
        <v>104</v>
      </c>
      <c r="AP283" s="6" t="s">
        <v>104</v>
      </c>
      <c r="AQ283" s="6" t="s">
        <v>104</v>
      </c>
      <c r="AR283" s="6" t="s">
        <v>104</v>
      </c>
      <c r="AS283" s="6" t="s">
        <v>104</v>
      </c>
      <c r="AT283" s="6" t="s">
        <v>104</v>
      </c>
      <c r="AU283" s="6" t="s">
        <v>104</v>
      </c>
      <c r="AV283" s="6" t="s">
        <v>104</v>
      </c>
      <c r="AW283" s="6" t="s">
        <v>104</v>
      </c>
      <c r="AX283" s="6" t="s">
        <v>20339</v>
      </c>
      <c r="AY283" s="6" t="s">
        <v>22081</v>
      </c>
      <c r="AZ283" s="6" t="s">
        <v>104</v>
      </c>
      <c r="BA283" s="6" t="s">
        <v>24273</v>
      </c>
      <c r="BB283" s="6" t="s">
        <v>104</v>
      </c>
      <c r="BC283" s="26"/>
      <c r="BD283" s="26"/>
      <c r="BE283" s="26"/>
      <c r="BF283" s="26"/>
      <c r="BG283" s="26"/>
      <c r="BH283" s="26"/>
      <c r="BI283" s="26"/>
      <c r="BJ283" s="26"/>
      <c r="BK283" s="26"/>
      <c r="BL283" s="26"/>
      <c r="BM283" s="26"/>
      <c r="BN283" s="26"/>
      <c r="BO283" s="26"/>
      <c r="BP283" s="16" t="n">
        <v>45471</v>
      </c>
      <c r="BQ283" s="28" t="str">
        <f>HYPERLINK("https://organic.ams.usda.gov/Integrity/Certificate.aspx?cid=21&amp;nopid=1780874592")</f>
        <v>https://organic.ams.usda.gov/Integrity/Certificate.aspx?cid=21&amp;nopid=1780874592</v>
      </c>
    </row>
    <row r="284">
      <c r="A284" t="s">
        <v>3</v>
      </c>
      <c r="B284" s="6" t="s">
        <v>49</v>
      </c>
      <c r="C284" s="6" t="s">
        <v>115</v>
      </c>
      <c r="D284" s="6" t="s">
        <v>179</v>
      </c>
      <c r="E284" s="10" t="s">
        <v>482</v>
      </c>
      <c r="F284" s="6" t="s">
        <v>2738</v>
      </c>
      <c r="G284" s="6" t="s">
        <v>104</v>
      </c>
      <c r="H284" s="6" t="s">
        <v>5149</v>
      </c>
      <c r="I284" s="6" t="s">
        <v>104</v>
      </c>
      <c r="J284" s="6" t="s">
        <v>8344</v>
      </c>
      <c r="K284" s="6" t="s">
        <v>9714</v>
      </c>
      <c r="L284" s="16" t="n">
        <v>44879</v>
      </c>
      <c r="M284" s="16" t="n">
        <v>45880</v>
      </c>
      <c r="N284" s="6" t="s">
        <v>104</v>
      </c>
      <c r="O284" s="21" t="s">
        <v>104</v>
      </c>
      <c r="P284" s="6" t="s">
        <v>104</v>
      </c>
      <c r="Q284" s="6" t="s">
        <v>104</v>
      </c>
      <c r="R284" s="6" t="s">
        <v>104</v>
      </c>
      <c r="S284" s="6" t="s">
        <v>104</v>
      </c>
      <c r="T284" s="21" t="s">
        <v>104</v>
      </c>
      <c r="U284" s="6" t="s">
        <v>104</v>
      </c>
      <c r="V284" s="6" t="s">
        <v>104</v>
      </c>
      <c r="W284" s="6" t="s">
        <v>104</v>
      </c>
      <c r="X284" s="6" t="s">
        <v>104</v>
      </c>
      <c r="Y284" s="21" t="s">
        <v>104</v>
      </c>
      <c r="Z284" s="6" t="s">
        <v>104</v>
      </c>
      <c r="AA284" s="6" t="s">
        <v>104</v>
      </c>
      <c r="AB284" s="6" t="s">
        <v>104</v>
      </c>
      <c r="AC284" s="6" t="s">
        <v>9714</v>
      </c>
      <c r="AD284" s="16" t="n">
        <v>44879</v>
      </c>
      <c r="AE284" s="6" t="s">
        <v>10772</v>
      </c>
      <c r="AF284" s="6" t="s">
        <v>104</v>
      </c>
      <c r="AG284" s="6" t="s">
        <v>12558</v>
      </c>
      <c r="AH284" s="6" t="s">
        <v>13412</v>
      </c>
      <c r="AI284" s="6" t="s">
        <v>104</v>
      </c>
      <c r="AJ284" s="6" t="s">
        <v>15558</v>
      </c>
      <c r="AK284" s="6" t="s">
        <v>104</v>
      </c>
      <c r="AL284" s="6" t="s">
        <v>16957</v>
      </c>
      <c r="AM284" s="6" t="s">
        <v>17175</v>
      </c>
      <c r="AN284" s="6" t="s">
        <v>104</v>
      </c>
      <c r="AO284" s="6" t="s">
        <v>104</v>
      </c>
      <c r="AP284" s="6" t="s">
        <v>104</v>
      </c>
      <c r="AQ284" s="6" t="s">
        <v>104</v>
      </c>
      <c r="AR284" s="6" t="s">
        <v>104</v>
      </c>
      <c r="AS284" s="6" t="s">
        <v>104</v>
      </c>
      <c r="AT284" s="6" t="s">
        <v>104</v>
      </c>
      <c r="AU284" s="6" t="s">
        <v>104</v>
      </c>
      <c r="AV284" s="6" t="s">
        <v>104</v>
      </c>
      <c r="AW284" s="6" t="s">
        <v>104</v>
      </c>
      <c r="AX284" s="6" t="s">
        <v>20340</v>
      </c>
      <c r="AY284" s="6" t="s">
        <v>22082</v>
      </c>
      <c r="AZ284" s="6" t="s">
        <v>104</v>
      </c>
      <c r="BA284" s="6" t="s">
        <v>104</v>
      </c>
      <c r="BB284" s="24" t="n">
        <v>0</v>
      </c>
      <c r="BC284" s="26"/>
      <c r="BD284" s="26"/>
      <c r="BE284" s="26"/>
      <c r="BF284" s="26"/>
      <c r="BG284" s="26"/>
      <c r="BH284" s="26"/>
      <c r="BI284" s="26"/>
      <c r="BJ284" s="26"/>
      <c r="BK284" s="26"/>
      <c r="BL284" s="26"/>
      <c r="BM284" s="26"/>
      <c r="BN284" s="26"/>
      <c r="BO284" s="26"/>
      <c r="BP284" s="16" t="n">
        <v>45622</v>
      </c>
      <c r="BQ284" s="28" t="str">
        <f>HYPERLINK("https://organic.ams.usda.gov/Integrity/Certificate.aspx?cid=12&amp;nopid=8699694110")</f>
        <v>https://organic.ams.usda.gov/Integrity/Certificate.aspx?cid=12&amp;nopid=8699694110</v>
      </c>
    </row>
    <row r="285">
      <c r="A285" t="s">
        <v>3</v>
      </c>
      <c r="B285" s="6" t="s">
        <v>24</v>
      </c>
      <c r="C285" s="6" t="s">
        <v>90</v>
      </c>
      <c r="D285" s="6" t="s">
        <v>155</v>
      </c>
      <c r="E285" s="10" t="s">
        <v>483</v>
      </c>
      <c r="F285" s="6" t="s">
        <v>2739</v>
      </c>
      <c r="G285" s="6" t="s">
        <v>104</v>
      </c>
      <c r="H285" s="6" t="s">
        <v>5150</v>
      </c>
      <c r="I285" s="6" t="s">
        <v>7122</v>
      </c>
      <c r="J285" s="6" t="s">
        <v>8096</v>
      </c>
      <c r="K285" s="6" t="s">
        <v>9714</v>
      </c>
      <c r="L285" s="16" t="n">
        <v>45505</v>
      </c>
      <c r="M285" s="16" t="n">
        <v>45747</v>
      </c>
      <c r="N285" s="6" t="s">
        <v>104</v>
      </c>
      <c r="O285" s="21" t="s">
        <v>104</v>
      </c>
      <c r="P285" s="6" t="s">
        <v>104</v>
      </c>
      <c r="Q285" s="6" t="s">
        <v>104</v>
      </c>
      <c r="R285" s="6" t="s">
        <v>104</v>
      </c>
      <c r="S285" s="6" t="s">
        <v>104</v>
      </c>
      <c r="T285" s="21" t="s">
        <v>104</v>
      </c>
      <c r="U285" s="6" t="s">
        <v>104</v>
      </c>
      <c r="V285" s="6" t="s">
        <v>104</v>
      </c>
      <c r="W285" s="6" t="s">
        <v>104</v>
      </c>
      <c r="X285" s="6" t="s">
        <v>104</v>
      </c>
      <c r="Y285" s="21" t="s">
        <v>104</v>
      </c>
      <c r="Z285" s="6" t="s">
        <v>104</v>
      </c>
      <c r="AA285" s="6" t="s">
        <v>104</v>
      </c>
      <c r="AB285" s="6" t="s">
        <v>104</v>
      </c>
      <c r="AC285" s="6" t="s">
        <v>9714</v>
      </c>
      <c r="AD285" s="16" t="n">
        <v>45505</v>
      </c>
      <c r="AE285" s="6" t="s">
        <v>10773</v>
      </c>
      <c r="AF285" s="6" t="s">
        <v>104</v>
      </c>
      <c r="AG285" s="6" t="s">
        <v>5150</v>
      </c>
      <c r="AH285" s="6" t="s">
        <v>13413</v>
      </c>
      <c r="AI285" s="6" t="s">
        <v>104</v>
      </c>
      <c r="AJ285" s="6" t="s">
        <v>15559</v>
      </c>
      <c r="AK285" s="6" t="s">
        <v>16749</v>
      </c>
      <c r="AL285" s="6" t="s">
        <v>15390</v>
      </c>
      <c r="AM285" s="6" t="s">
        <v>17017</v>
      </c>
      <c r="AN285" s="6" t="s">
        <v>104</v>
      </c>
      <c r="AO285" s="6" t="s">
        <v>104</v>
      </c>
      <c r="AP285" s="6" t="s">
        <v>13413</v>
      </c>
      <c r="AQ285" s="6" t="s">
        <v>104</v>
      </c>
      <c r="AR285" s="6" t="s">
        <v>15559</v>
      </c>
      <c r="AS285" s="6" t="s">
        <v>16749</v>
      </c>
      <c r="AT285" s="6" t="s">
        <v>15390</v>
      </c>
      <c r="AU285" s="6" t="s">
        <v>17017</v>
      </c>
      <c r="AV285" s="6" t="s">
        <v>104</v>
      </c>
      <c r="AW285" s="6" t="s">
        <v>104</v>
      </c>
      <c r="AX285" s="6" t="s">
        <v>20341</v>
      </c>
      <c r="AY285" s="6" t="s">
        <v>22083</v>
      </c>
      <c r="AZ285" s="6" t="s">
        <v>104</v>
      </c>
      <c r="BA285" s="6" t="s">
        <v>24306</v>
      </c>
      <c r="BB285" s="6" t="s">
        <v>104</v>
      </c>
      <c r="BC285" s="26"/>
      <c r="BD285" s="26"/>
      <c r="BE285" s="26"/>
      <c r="BF285" s="26"/>
      <c r="BG285" s="26"/>
      <c r="BH285" s="26"/>
      <c r="BI285" s="26"/>
      <c r="BJ285" s="26"/>
      <c r="BK285" s="26"/>
      <c r="BL285" s="26"/>
      <c r="BM285" s="26"/>
      <c r="BN285" s="26"/>
      <c r="BO285" s="26"/>
      <c r="BP285" s="16" t="n">
        <v>45641</v>
      </c>
      <c r="BQ285" s="28" t="str">
        <f>HYPERLINK("https://organic.ams.usda.gov/Integrity/Certificate.aspx?cid=7&amp;nopid=3950001178")</f>
        <v>https://organic.ams.usda.gov/Integrity/Certificate.aspx?cid=7&amp;nopid=3950001178</v>
      </c>
    </row>
    <row r="286">
      <c r="A286" t="s">
        <v>3</v>
      </c>
      <c r="B286" s="6" t="s">
        <v>34</v>
      </c>
      <c r="C286" s="6" t="s">
        <v>100</v>
      </c>
      <c r="D286" s="6" t="s">
        <v>165</v>
      </c>
      <c r="E286" s="10" t="s">
        <v>484</v>
      </c>
      <c r="F286" s="6" t="s">
        <v>2740</v>
      </c>
      <c r="G286" s="6" t="s">
        <v>104</v>
      </c>
      <c r="H286" s="6" t="s">
        <v>5151</v>
      </c>
      <c r="I286" s="6" t="s">
        <v>7123</v>
      </c>
      <c r="J286" s="6" t="s">
        <v>8345</v>
      </c>
      <c r="K286" s="6" t="s">
        <v>9714</v>
      </c>
      <c r="L286" s="16" t="n">
        <v>45484</v>
      </c>
      <c r="M286" s="16" t="n">
        <v>45713</v>
      </c>
      <c r="N286" s="6" t="s">
        <v>104</v>
      </c>
      <c r="O286" s="21" t="s">
        <v>104</v>
      </c>
      <c r="P286" s="6" t="s">
        <v>104</v>
      </c>
      <c r="Q286" s="6" t="s">
        <v>104</v>
      </c>
      <c r="R286" s="6" t="s">
        <v>104</v>
      </c>
      <c r="S286" s="6" t="s">
        <v>104</v>
      </c>
      <c r="T286" s="21" t="s">
        <v>104</v>
      </c>
      <c r="U286" s="6" t="s">
        <v>104</v>
      </c>
      <c r="V286" s="6" t="s">
        <v>104</v>
      </c>
      <c r="W286" s="6" t="s">
        <v>104</v>
      </c>
      <c r="X286" s="6" t="s">
        <v>104</v>
      </c>
      <c r="Y286" s="21" t="s">
        <v>104</v>
      </c>
      <c r="Z286" s="6" t="s">
        <v>104</v>
      </c>
      <c r="AA286" s="6" t="s">
        <v>104</v>
      </c>
      <c r="AB286" s="6" t="s">
        <v>104</v>
      </c>
      <c r="AC286" s="6" t="s">
        <v>9714</v>
      </c>
      <c r="AD286" s="16" t="n">
        <v>45484</v>
      </c>
      <c r="AE286" s="6" t="s">
        <v>10774</v>
      </c>
      <c r="AF286" s="6" t="s">
        <v>104</v>
      </c>
      <c r="AG286" s="6" t="s">
        <v>12559</v>
      </c>
      <c r="AH286" s="6" t="s">
        <v>13414</v>
      </c>
      <c r="AI286" s="6" t="s">
        <v>104</v>
      </c>
      <c r="AJ286" s="6" t="s">
        <v>15560</v>
      </c>
      <c r="AK286" s="6" t="s">
        <v>16750</v>
      </c>
      <c r="AL286" s="6" t="s">
        <v>16958</v>
      </c>
      <c r="AM286" s="6" t="s">
        <v>17176</v>
      </c>
      <c r="AN286" s="6" t="s">
        <v>104</v>
      </c>
      <c r="AO286" s="6" t="s">
        <v>104</v>
      </c>
      <c r="AP286" s="6" t="s">
        <v>19025</v>
      </c>
      <c r="AQ286" s="6" t="s">
        <v>104</v>
      </c>
      <c r="AR286" s="6" t="s">
        <v>19612</v>
      </c>
      <c r="AS286" s="6" t="s">
        <v>16750</v>
      </c>
      <c r="AT286" s="6" t="s">
        <v>16958</v>
      </c>
      <c r="AU286" s="6" t="s">
        <v>19836</v>
      </c>
      <c r="AV286" s="6" t="s">
        <v>104</v>
      </c>
      <c r="AW286" s="6" t="s">
        <v>104</v>
      </c>
      <c r="AX286" s="6" t="s">
        <v>20259</v>
      </c>
      <c r="AY286" s="6" t="s">
        <v>22084</v>
      </c>
      <c r="AZ286" s="6" t="s">
        <v>104</v>
      </c>
      <c r="BA286" s="6" t="s">
        <v>104</v>
      </c>
      <c r="BB286" s="6" t="s">
        <v>104</v>
      </c>
      <c r="BC286" s="26"/>
      <c r="BD286" s="26"/>
      <c r="BE286" s="26"/>
      <c r="BF286" s="26"/>
      <c r="BG286" s="26"/>
      <c r="BH286" s="26" t="s">
        <v>24533</v>
      </c>
      <c r="BI286" s="26"/>
      <c r="BJ286" s="26"/>
      <c r="BK286" s="26"/>
      <c r="BL286" s="26"/>
      <c r="BM286" s="26"/>
      <c r="BN286" s="26"/>
      <c r="BO286" s="26"/>
      <c r="BP286" s="16" t="n">
        <v>45737</v>
      </c>
      <c r="BQ286" s="28" t="str">
        <f>HYPERLINK("https://organic.ams.usda.gov/Integrity/Certificate.aspx?cid=71&amp;nopid=5520809306")</f>
        <v>https://organic.ams.usda.gov/Integrity/Certificate.aspx?cid=71&amp;nopid=5520809306</v>
      </c>
    </row>
    <row r="287">
      <c r="A287" t="s">
        <v>3</v>
      </c>
      <c r="B287" s="6" t="s">
        <v>47</v>
      </c>
      <c r="C287" s="6" t="s">
        <v>113</v>
      </c>
      <c r="D287" s="6" t="s">
        <v>177</v>
      </c>
      <c r="E287" s="10" t="s">
        <v>485</v>
      </c>
      <c r="F287" s="6" t="s">
        <v>2741</v>
      </c>
      <c r="G287" s="6" t="s">
        <v>104</v>
      </c>
      <c r="H287" s="6" t="s">
        <v>5152</v>
      </c>
      <c r="I287" s="6" t="s">
        <v>7124</v>
      </c>
      <c r="J287" s="6" t="s">
        <v>8346</v>
      </c>
      <c r="K287" s="6" t="s">
        <v>9714</v>
      </c>
      <c r="L287" s="16" t="n">
        <v>42348</v>
      </c>
      <c r="M287" s="16" t="n">
        <v>46142</v>
      </c>
      <c r="N287" s="6" t="s">
        <v>104</v>
      </c>
      <c r="O287" s="21" t="s">
        <v>104</v>
      </c>
      <c r="P287" s="6" t="s">
        <v>104</v>
      </c>
      <c r="Q287" s="6" t="s">
        <v>104</v>
      </c>
      <c r="R287" s="6" t="s">
        <v>104</v>
      </c>
      <c r="S287" s="6" t="s">
        <v>104</v>
      </c>
      <c r="T287" s="21" t="s">
        <v>104</v>
      </c>
      <c r="U287" s="6" t="s">
        <v>104</v>
      </c>
      <c r="V287" s="6" t="s">
        <v>104</v>
      </c>
      <c r="W287" s="6" t="s">
        <v>104</v>
      </c>
      <c r="X287" s="6" t="s">
        <v>104</v>
      </c>
      <c r="Y287" s="21" t="s">
        <v>104</v>
      </c>
      <c r="Z287" s="6" t="s">
        <v>104</v>
      </c>
      <c r="AA287" s="6" t="s">
        <v>104</v>
      </c>
      <c r="AB287" s="6" t="s">
        <v>104</v>
      </c>
      <c r="AC287" s="6" t="s">
        <v>9714</v>
      </c>
      <c r="AD287" s="16" t="n">
        <v>42348</v>
      </c>
      <c r="AE287" s="6" t="s">
        <v>10775</v>
      </c>
      <c r="AF287" s="6" t="s">
        <v>104</v>
      </c>
      <c r="AG287" s="6" t="s">
        <v>12560</v>
      </c>
      <c r="AH287" s="6" t="s">
        <v>13415</v>
      </c>
      <c r="AI287" s="6" t="s">
        <v>104</v>
      </c>
      <c r="AJ287" s="6" t="s">
        <v>15561</v>
      </c>
      <c r="AK287" s="6" t="s">
        <v>16734</v>
      </c>
      <c r="AL287" s="6" t="s">
        <v>16931</v>
      </c>
      <c r="AM287" s="6" t="s">
        <v>17177</v>
      </c>
      <c r="AN287" s="6" t="s">
        <v>18463</v>
      </c>
      <c r="AO287" s="6" t="s">
        <v>18624</v>
      </c>
      <c r="AP287" s="6" t="s">
        <v>13415</v>
      </c>
      <c r="AQ287" s="6" t="s">
        <v>104</v>
      </c>
      <c r="AR287" s="6" t="s">
        <v>15561</v>
      </c>
      <c r="AS287" s="6" t="s">
        <v>16734</v>
      </c>
      <c r="AT287" s="6" t="s">
        <v>16931</v>
      </c>
      <c r="AU287" s="6" t="s">
        <v>17177</v>
      </c>
      <c r="AV287" s="6" t="s">
        <v>104</v>
      </c>
      <c r="AW287" s="6" t="s">
        <v>104</v>
      </c>
      <c r="AX287" s="6" t="s">
        <v>20342</v>
      </c>
      <c r="AY287" s="6" t="s">
        <v>22085</v>
      </c>
      <c r="AZ287" s="6" t="s">
        <v>23760</v>
      </c>
      <c r="BA287" s="6" t="s">
        <v>104</v>
      </c>
      <c r="BB287" s="24" t="n">
        <v>0</v>
      </c>
      <c r="BC287" s="26"/>
      <c r="BD287" s="26"/>
      <c r="BE287" s="26"/>
      <c r="BF287" s="26"/>
      <c r="BG287" s="26"/>
      <c r="BH287" s="26"/>
      <c r="BI287" s="26"/>
      <c r="BJ287" s="26"/>
      <c r="BK287" s="26"/>
      <c r="BL287" s="26"/>
      <c r="BM287" s="26"/>
      <c r="BN287" s="26"/>
      <c r="BO287" s="26"/>
      <c r="BP287" s="16" t="n">
        <v>45709</v>
      </c>
      <c r="BQ287" s="28" t="str">
        <f>HYPERLINK("https://organic.ams.usda.gov/Integrity/Certificate.aspx?cid=47&amp;nopid=7142074694")</f>
        <v>https://organic.ams.usda.gov/Integrity/Certificate.aspx?cid=47&amp;nopid=7142074694</v>
      </c>
    </row>
    <row r="288">
      <c r="A288" t="s">
        <v>3</v>
      </c>
      <c r="B288" s="6" t="s">
        <v>23</v>
      </c>
      <c r="C288" s="6" t="s">
        <v>89</v>
      </c>
      <c r="D288" s="6" t="s">
        <v>154</v>
      </c>
      <c r="E288" s="10" t="s">
        <v>486</v>
      </c>
      <c r="F288" s="6" t="s">
        <v>2742</v>
      </c>
      <c r="G288" s="6" t="s">
        <v>4698</v>
      </c>
      <c r="H288" s="6" t="s">
        <v>5153</v>
      </c>
      <c r="I288" s="6" t="s">
        <v>7125</v>
      </c>
      <c r="J288" s="6" t="s">
        <v>8347</v>
      </c>
      <c r="K288" s="6" t="s">
        <v>9714</v>
      </c>
      <c r="L288" s="16" t="n">
        <v>44180</v>
      </c>
      <c r="M288" s="16" t="n">
        <v>46054</v>
      </c>
      <c r="N288" s="6" t="s">
        <v>104</v>
      </c>
      <c r="O288" s="21" t="s">
        <v>104</v>
      </c>
      <c r="P288" s="6" t="s">
        <v>104</v>
      </c>
      <c r="Q288" s="6" t="s">
        <v>104</v>
      </c>
      <c r="R288" s="6" t="s">
        <v>104</v>
      </c>
      <c r="S288" s="6" t="s">
        <v>104</v>
      </c>
      <c r="T288" s="21" t="s">
        <v>104</v>
      </c>
      <c r="U288" s="6" t="s">
        <v>104</v>
      </c>
      <c r="V288" s="6" t="s">
        <v>104</v>
      </c>
      <c r="W288" s="6" t="s">
        <v>104</v>
      </c>
      <c r="X288" s="6" t="s">
        <v>104</v>
      </c>
      <c r="Y288" s="21" t="s">
        <v>104</v>
      </c>
      <c r="Z288" s="6" t="s">
        <v>104</v>
      </c>
      <c r="AA288" s="6" t="s">
        <v>104</v>
      </c>
      <c r="AB288" s="6" t="s">
        <v>104</v>
      </c>
      <c r="AC288" s="6" t="s">
        <v>9714</v>
      </c>
      <c r="AD288" s="16" t="n">
        <v>44180</v>
      </c>
      <c r="AE288" s="6" t="s">
        <v>10776</v>
      </c>
      <c r="AF288" s="6" t="s">
        <v>104</v>
      </c>
      <c r="AG288" s="6" t="s">
        <v>5153</v>
      </c>
      <c r="AH288" s="6" t="s">
        <v>13416</v>
      </c>
      <c r="AI288" s="6" t="s">
        <v>104</v>
      </c>
      <c r="AJ288" s="6" t="s">
        <v>15562</v>
      </c>
      <c r="AK288" s="6" t="s">
        <v>16710</v>
      </c>
      <c r="AL288" s="6" t="s">
        <v>16931</v>
      </c>
      <c r="AM288" s="6" t="s">
        <v>17178</v>
      </c>
      <c r="AN288" s="6" t="s">
        <v>18498</v>
      </c>
      <c r="AO288" s="6" t="s">
        <v>18625</v>
      </c>
      <c r="AP288" s="6" t="s">
        <v>104</v>
      </c>
      <c r="AQ288" s="6" t="s">
        <v>104</v>
      </c>
      <c r="AR288" s="6" t="s">
        <v>104</v>
      </c>
      <c r="AS288" s="6" t="s">
        <v>104</v>
      </c>
      <c r="AT288" s="6" t="s">
        <v>104</v>
      </c>
      <c r="AU288" s="6" t="s">
        <v>104</v>
      </c>
      <c r="AV288" s="6" t="s">
        <v>104</v>
      </c>
      <c r="AW288" s="6" t="s">
        <v>104</v>
      </c>
      <c r="AX288" s="6" t="s">
        <v>20343</v>
      </c>
      <c r="AY288" s="6" t="s">
        <v>22086</v>
      </c>
      <c r="AZ288" s="6" t="s">
        <v>23761</v>
      </c>
      <c r="BA288" s="6" t="s">
        <v>104</v>
      </c>
      <c r="BB288" s="24" t="n">
        <v>0</v>
      </c>
      <c r="BC288" s="26"/>
      <c r="BD288" s="26"/>
      <c r="BE288" s="26"/>
      <c r="BF288" s="26"/>
      <c r="BG288" s="26"/>
      <c r="BH288" s="26"/>
      <c r="BI288" s="26"/>
      <c r="BJ288" s="26"/>
      <c r="BK288" s="26"/>
      <c r="BL288" s="26" t="s">
        <v>24533</v>
      </c>
      <c r="BM288" s="26"/>
      <c r="BN288" s="26"/>
      <c r="BO288" s="26"/>
      <c r="BP288" s="16" t="n">
        <v>45708</v>
      </c>
      <c r="BQ288" s="28" t="str">
        <f>HYPERLINK("https://organic.ams.usda.gov/Integrity/Certificate.aspx?cid=45&amp;nopid=9950012335")</f>
        <v>https://organic.ams.usda.gov/Integrity/Certificate.aspx?cid=45&amp;nopid=9950012335</v>
      </c>
    </row>
    <row r="289">
      <c r="A289" t="s">
        <v>3</v>
      </c>
      <c r="B289" s="6" t="s">
        <v>21</v>
      </c>
      <c r="C289" s="6" t="s">
        <v>87</v>
      </c>
      <c r="D289" s="6" t="s">
        <v>152</v>
      </c>
      <c r="E289" s="10" t="s">
        <v>487</v>
      </c>
      <c r="F289" s="6" t="s">
        <v>2743</v>
      </c>
      <c r="G289" s="6" t="s">
        <v>104</v>
      </c>
      <c r="H289" s="6" t="s">
        <v>5154</v>
      </c>
      <c r="I289" s="6" t="s">
        <v>7003</v>
      </c>
      <c r="J289" s="6" t="s">
        <v>8348</v>
      </c>
      <c r="K289" s="6" t="s">
        <v>9714</v>
      </c>
      <c r="L289" s="16" t="n">
        <v>43410</v>
      </c>
      <c r="M289" s="16" t="n">
        <v>46023</v>
      </c>
      <c r="N289" s="6" t="s">
        <v>9714</v>
      </c>
      <c r="O289" s="16" t="n">
        <v>43410</v>
      </c>
      <c r="P289" s="6" t="s">
        <v>9811</v>
      </c>
      <c r="Q289" s="6" t="s">
        <v>104</v>
      </c>
      <c r="R289" s="6" t="s">
        <v>104</v>
      </c>
      <c r="S289" s="6" t="s">
        <v>104</v>
      </c>
      <c r="T289" s="21" t="s">
        <v>104</v>
      </c>
      <c r="U289" s="6" t="s">
        <v>104</v>
      </c>
      <c r="V289" s="6" t="s">
        <v>104</v>
      </c>
      <c r="W289" s="6" t="s">
        <v>104</v>
      </c>
      <c r="X289" s="6" t="s">
        <v>104</v>
      </c>
      <c r="Y289" s="21" t="s">
        <v>104</v>
      </c>
      <c r="Z289" s="6" t="s">
        <v>104</v>
      </c>
      <c r="AA289" s="6" t="s">
        <v>104</v>
      </c>
      <c r="AB289" s="6" t="s">
        <v>104</v>
      </c>
      <c r="AC289" s="6" t="s">
        <v>9714</v>
      </c>
      <c r="AD289" s="16" t="n">
        <v>44019</v>
      </c>
      <c r="AE289" s="6" t="s">
        <v>104</v>
      </c>
      <c r="AF289" s="6" t="s">
        <v>104</v>
      </c>
      <c r="AG289" s="6" t="s">
        <v>104</v>
      </c>
      <c r="AH289" s="6" t="s">
        <v>13417</v>
      </c>
      <c r="AI289" s="6" t="s">
        <v>104</v>
      </c>
      <c r="AJ289" s="6" t="s">
        <v>15563</v>
      </c>
      <c r="AK289" s="6" t="s">
        <v>16730</v>
      </c>
      <c r="AL289" s="6" t="s">
        <v>16931</v>
      </c>
      <c r="AM289" s="6" t="s">
        <v>17107</v>
      </c>
      <c r="AN289" s="6" t="s">
        <v>18463</v>
      </c>
      <c r="AO289" s="6" t="s">
        <v>18596</v>
      </c>
      <c r="AP289" s="6" t="s">
        <v>19026</v>
      </c>
      <c r="AQ289" s="6" t="s">
        <v>104</v>
      </c>
      <c r="AR289" s="6" t="s">
        <v>15490</v>
      </c>
      <c r="AS289" s="6" t="s">
        <v>16730</v>
      </c>
      <c r="AT289" s="6" t="s">
        <v>16931</v>
      </c>
      <c r="AU289" s="6" t="s">
        <v>17107</v>
      </c>
      <c r="AV289" s="6" t="s">
        <v>104</v>
      </c>
      <c r="AW289" s="6" t="s">
        <v>104</v>
      </c>
      <c r="AX289" s="6" t="s">
        <v>20344</v>
      </c>
      <c r="AY289" s="6" t="s">
        <v>22087</v>
      </c>
      <c r="AZ289" s="6" t="s">
        <v>23762</v>
      </c>
      <c r="BA289" s="6" t="s">
        <v>24263</v>
      </c>
      <c r="BB289" s="24" t="n">
        <v>122</v>
      </c>
      <c r="BC289" s="26"/>
      <c r="BD289" s="26"/>
      <c r="BE289" s="26"/>
      <c r="BF289" s="26"/>
      <c r="BG289" s="26"/>
      <c r="BH289" s="26"/>
      <c r="BI289" s="26"/>
      <c r="BJ289" s="26"/>
      <c r="BK289" s="26"/>
      <c r="BL289" s="26"/>
      <c r="BM289" s="26"/>
      <c r="BN289" s="26"/>
      <c r="BO289" s="26"/>
      <c r="BP289" s="16" t="n">
        <v>45684</v>
      </c>
      <c r="BQ289" s="28" t="str">
        <f>HYPERLINK("https://organic.ams.usda.gov/Integrity/Certificate.aspx?cid=15&amp;nopid=5561005617")</f>
        <v>https://organic.ams.usda.gov/Integrity/Certificate.aspx?cid=15&amp;nopid=5561005617</v>
      </c>
    </row>
    <row r="290">
      <c r="A290" t="s">
        <v>3</v>
      </c>
      <c r="B290" s="6" t="s">
        <v>47</v>
      </c>
      <c r="C290" s="6" t="s">
        <v>113</v>
      </c>
      <c r="D290" s="6" t="s">
        <v>177</v>
      </c>
      <c r="E290" s="10" t="s">
        <v>488</v>
      </c>
      <c r="F290" s="6" t="s">
        <v>2744</v>
      </c>
      <c r="G290" s="6" t="s">
        <v>104</v>
      </c>
      <c r="H290" s="6" t="s">
        <v>5155</v>
      </c>
      <c r="I290" s="6" t="s">
        <v>7126</v>
      </c>
      <c r="J290" s="6" t="s">
        <v>8349</v>
      </c>
      <c r="K290" s="6" t="s">
        <v>9714</v>
      </c>
      <c r="L290" s="16" t="n">
        <v>41481</v>
      </c>
      <c r="M290" s="16" t="n">
        <v>45762</v>
      </c>
      <c r="N290" s="6" t="s">
        <v>9714</v>
      </c>
      <c r="O290" s="16" t="n">
        <v>41481</v>
      </c>
      <c r="P290" s="6" t="s">
        <v>9812</v>
      </c>
      <c r="Q290" s="6" t="s">
        <v>104</v>
      </c>
      <c r="R290" s="6" t="s">
        <v>6194</v>
      </c>
      <c r="S290" s="6" t="s">
        <v>104</v>
      </c>
      <c r="T290" s="21" t="s">
        <v>104</v>
      </c>
      <c r="U290" s="6" t="s">
        <v>104</v>
      </c>
      <c r="V290" s="6" t="s">
        <v>104</v>
      </c>
      <c r="W290" s="6" t="s">
        <v>104</v>
      </c>
      <c r="X290" s="6" t="s">
        <v>104</v>
      </c>
      <c r="Y290" s="21" t="s">
        <v>104</v>
      </c>
      <c r="Z290" s="6" t="s">
        <v>104</v>
      </c>
      <c r="AA290" s="6" t="s">
        <v>104</v>
      </c>
      <c r="AB290" s="6" t="s">
        <v>104</v>
      </c>
      <c r="AC290" s="6" t="s">
        <v>9714</v>
      </c>
      <c r="AD290" s="16" t="n">
        <v>42211</v>
      </c>
      <c r="AE290" s="6" t="s">
        <v>10777</v>
      </c>
      <c r="AF290" s="6" t="s">
        <v>104</v>
      </c>
      <c r="AG290" s="6" t="s">
        <v>6194</v>
      </c>
      <c r="AH290" s="6" t="s">
        <v>13418</v>
      </c>
      <c r="AI290" s="6" t="s">
        <v>104</v>
      </c>
      <c r="AJ290" s="6" t="s">
        <v>15564</v>
      </c>
      <c r="AK290" s="6" t="s">
        <v>16734</v>
      </c>
      <c r="AL290" s="6" t="s">
        <v>16931</v>
      </c>
      <c r="AM290" s="6" t="s">
        <v>17179</v>
      </c>
      <c r="AN290" s="6" t="s">
        <v>18483</v>
      </c>
      <c r="AO290" s="6" t="s">
        <v>18626</v>
      </c>
      <c r="AP290" s="6" t="s">
        <v>13418</v>
      </c>
      <c r="AQ290" s="6" t="s">
        <v>104</v>
      </c>
      <c r="AR290" s="6" t="s">
        <v>15564</v>
      </c>
      <c r="AS290" s="6" t="s">
        <v>16734</v>
      </c>
      <c r="AT290" s="6" t="s">
        <v>16931</v>
      </c>
      <c r="AU290" s="6" t="s">
        <v>17179</v>
      </c>
      <c r="AV290" s="6" t="s">
        <v>104</v>
      </c>
      <c r="AW290" s="6" t="s">
        <v>104</v>
      </c>
      <c r="AX290" s="6" t="s">
        <v>20345</v>
      </c>
      <c r="AY290" s="6" t="s">
        <v>22088</v>
      </c>
      <c r="AZ290" s="6" t="s">
        <v>23763</v>
      </c>
      <c r="BA290" s="6" t="s">
        <v>104</v>
      </c>
      <c r="BB290" s="24" t="n">
        <v>13</v>
      </c>
      <c r="BC290" s="26"/>
      <c r="BD290" s="26"/>
      <c r="BE290" s="26"/>
      <c r="BF290" s="26"/>
      <c r="BG290" s="26"/>
      <c r="BH290" s="26"/>
      <c r="BI290" s="26"/>
      <c r="BJ290" s="26"/>
      <c r="BK290" s="26"/>
      <c r="BL290" s="26"/>
      <c r="BM290" s="26"/>
      <c r="BN290" s="26"/>
      <c r="BO290" s="26"/>
      <c r="BP290" s="16" t="n">
        <v>45712</v>
      </c>
      <c r="BQ290" s="28" t="str">
        <f>HYPERLINK("https://organic.ams.usda.gov/Integrity/Certificate.aspx?cid=47&amp;nopid=7142074353")</f>
        <v>https://organic.ams.usda.gov/Integrity/Certificate.aspx?cid=47&amp;nopid=7142074353</v>
      </c>
    </row>
    <row r="291">
      <c r="A291" t="s">
        <v>3</v>
      </c>
      <c r="B291" s="6" t="s">
        <v>34</v>
      </c>
      <c r="C291" s="6" t="s">
        <v>100</v>
      </c>
      <c r="D291" s="6" t="s">
        <v>165</v>
      </c>
      <c r="E291" s="10" t="s">
        <v>489</v>
      </c>
      <c r="F291" s="6" t="s">
        <v>2745</v>
      </c>
      <c r="G291" s="6" t="s">
        <v>104</v>
      </c>
      <c r="H291" s="6" t="s">
        <v>5156</v>
      </c>
      <c r="I291" s="6" t="s">
        <v>7127</v>
      </c>
      <c r="J291" s="6" t="s">
        <v>8350</v>
      </c>
      <c r="K291" s="6" t="s">
        <v>9714</v>
      </c>
      <c r="L291" s="16" t="n">
        <v>43879</v>
      </c>
      <c r="M291" s="16" t="n">
        <v>45923</v>
      </c>
      <c r="N291" s="6" t="s">
        <v>104</v>
      </c>
      <c r="O291" s="21" t="s">
        <v>104</v>
      </c>
      <c r="P291" s="6" t="s">
        <v>104</v>
      </c>
      <c r="Q291" s="6" t="s">
        <v>104</v>
      </c>
      <c r="R291" s="6" t="s">
        <v>104</v>
      </c>
      <c r="S291" s="6" t="s">
        <v>104</v>
      </c>
      <c r="T291" s="21" t="s">
        <v>104</v>
      </c>
      <c r="U291" s="6" t="s">
        <v>104</v>
      </c>
      <c r="V291" s="6" t="s">
        <v>104</v>
      </c>
      <c r="W291" s="6" t="s">
        <v>104</v>
      </c>
      <c r="X291" s="6" t="s">
        <v>104</v>
      </c>
      <c r="Y291" s="21" t="s">
        <v>104</v>
      </c>
      <c r="Z291" s="6" t="s">
        <v>104</v>
      </c>
      <c r="AA291" s="6" t="s">
        <v>104</v>
      </c>
      <c r="AB291" s="6" t="s">
        <v>104</v>
      </c>
      <c r="AC291" s="6" t="s">
        <v>9714</v>
      </c>
      <c r="AD291" s="16" t="n">
        <v>43879</v>
      </c>
      <c r="AE291" s="6" t="s">
        <v>10778</v>
      </c>
      <c r="AF291" s="6" t="s">
        <v>104</v>
      </c>
      <c r="AG291" s="6" t="s">
        <v>12561</v>
      </c>
      <c r="AH291" s="6" t="s">
        <v>13419</v>
      </c>
      <c r="AI291" s="6" t="s">
        <v>104</v>
      </c>
      <c r="AJ291" s="6" t="s">
        <v>15565</v>
      </c>
      <c r="AK291" s="6" t="s">
        <v>16689</v>
      </c>
      <c r="AL291" s="6" t="s">
        <v>16931</v>
      </c>
      <c r="AM291" s="6" t="s">
        <v>17180</v>
      </c>
      <c r="AN291" s="6" t="s">
        <v>18499</v>
      </c>
      <c r="AO291" s="6" t="s">
        <v>18627</v>
      </c>
      <c r="AP291" s="6" t="s">
        <v>13419</v>
      </c>
      <c r="AQ291" s="6" t="s">
        <v>104</v>
      </c>
      <c r="AR291" s="6" t="s">
        <v>15565</v>
      </c>
      <c r="AS291" s="6" t="s">
        <v>16689</v>
      </c>
      <c r="AT291" s="6" t="s">
        <v>16931</v>
      </c>
      <c r="AU291" s="6" t="s">
        <v>17180</v>
      </c>
      <c r="AV291" s="6" t="s">
        <v>104</v>
      </c>
      <c r="AW291" s="6" t="s">
        <v>104</v>
      </c>
      <c r="AX291" s="6" t="s">
        <v>20346</v>
      </c>
      <c r="AY291" s="6" t="s">
        <v>22089</v>
      </c>
      <c r="AZ291" s="6" t="s">
        <v>23764</v>
      </c>
      <c r="BA291" s="6" t="s">
        <v>104</v>
      </c>
      <c r="BB291" s="6" t="s">
        <v>104</v>
      </c>
      <c r="BC291" s="26"/>
      <c r="BD291" s="26"/>
      <c r="BE291" s="26"/>
      <c r="BF291" s="26"/>
      <c r="BG291" s="26"/>
      <c r="BH291" s="26"/>
      <c r="BI291" s="26"/>
      <c r="BJ291" s="26"/>
      <c r="BK291" s="26"/>
      <c r="BL291" s="26"/>
      <c r="BM291" s="26"/>
      <c r="BN291" s="26"/>
      <c r="BO291" s="26"/>
      <c r="BP291" s="16" t="n">
        <v>45737</v>
      </c>
      <c r="BQ291" s="28" t="str">
        <f>HYPERLINK("https://organic.ams.usda.gov/Integrity/Certificate.aspx?cid=71&amp;nopid=5520519046")</f>
        <v>https://organic.ams.usda.gov/Integrity/Certificate.aspx?cid=71&amp;nopid=5520519046</v>
      </c>
    </row>
    <row r="292">
      <c r="A292" t="s">
        <v>3</v>
      </c>
      <c r="B292" s="6" t="s">
        <v>13</v>
      </c>
      <c r="C292" s="6" t="s">
        <v>79</v>
      </c>
      <c r="D292" s="6" t="s">
        <v>144</v>
      </c>
      <c r="E292" s="10" t="s">
        <v>490</v>
      </c>
      <c r="F292" s="6" t="s">
        <v>2746</v>
      </c>
      <c r="G292" s="6" t="s">
        <v>104</v>
      </c>
      <c r="H292" s="6" t="s">
        <v>5157</v>
      </c>
      <c r="I292" s="6" t="s">
        <v>7128</v>
      </c>
      <c r="J292" s="6" t="s">
        <v>8351</v>
      </c>
      <c r="K292" s="6" t="s">
        <v>9714</v>
      </c>
      <c r="L292" s="16" t="n">
        <v>45194</v>
      </c>
      <c r="M292" s="16" t="n">
        <v>46023</v>
      </c>
      <c r="N292" s="6" t="s">
        <v>104</v>
      </c>
      <c r="O292" s="21" t="s">
        <v>104</v>
      </c>
      <c r="P292" s="6" t="s">
        <v>104</v>
      </c>
      <c r="Q292" s="6" t="s">
        <v>104</v>
      </c>
      <c r="R292" s="6" t="s">
        <v>104</v>
      </c>
      <c r="S292" s="6" t="s">
        <v>104</v>
      </c>
      <c r="T292" s="21" t="s">
        <v>104</v>
      </c>
      <c r="U292" s="6" t="s">
        <v>104</v>
      </c>
      <c r="V292" s="6" t="s">
        <v>104</v>
      </c>
      <c r="W292" s="6" t="s">
        <v>104</v>
      </c>
      <c r="X292" s="6" t="s">
        <v>104</v>
      </c>
      <c r="Y292" s="21" t="s">
        <v>104</v>
      </c>
      <c r="Z292" s="6" t="s">
        <v>104</v>
      </c>
      <c r="AA292" s="6" t="s">
        <v>104</v>
      </c>
      <c r="AB292" s="6" t="s">
        <v>104</v>
      </c>
      <c r="AC292" s="6" t="s">
        <v>9714</v>
      </c>
      <c r="AD292" s="16" t="n">
        <v>45194</v>
      </c>
      <c r="AE292" s="6" t="s">
        <v>10779</v>
      </c>
      <c r="AF292" s="6" t="s">
        <v>104</v>
      </c>
      <c r="AG292" s="6" t="s">
        <v>104</v>
      </c>
      <c r="AH292" s="6" t="s">
        <v>104</v>
      </c>
      <c r="AI292" s="6" t="s">
        <v>104</v>
      </c>
      <c r="AJ292" s="6" t="s">
        <v>104</v>
      </c>
      <c r="AK292" s="6" t="s">
        <v>104</v>
      </c>
      <c r="AL292" s="6" t="s">
        <v>104</v>
      </c>
      <c r="AM292" s="6" t="s">
        <v>104</v>
      </c>
      <c r="AN292" s="6" t="s">
        <v>104</v>
      </c>
      <c r="AO292" s="6" t="s">
        <v>104</v>
      </c>
      <c r="AP292" s="6" t="s">
        <v>19027</v>
      </c>
      <c r="AQ292" s="6" t="s">
        <v>104</v>
      </c>
      <c r="AR292" s="6" t="s">
        <v>19613</v>
      </c>
      <c r="AS292" s="6" t="s">
        <v>16686</v>
      </c>
      <c r="AT292" s="6" t="s">
        <v>16931</v>
      </c>
      <c r="AU292" s="6" t="s">
        <v>19837</v>
      </c>
      <c r="AV292" s="6" t="s">
        <v>18509</v>
      </c>
      <c r="AW292" s="6" t="s">
        <v>18779</v>
      </c>
      <c r="AX292" s="6" t="s">
        <v>20347</v>
      </c>
      <c r="AY292" s="6" t="s">
        <v>22090</v>
      </c>
      <c r="AZ292" s="6" t="s">
        <v>104</v>
      </c>
      <c r="BA292" s="6" t="s">
        <v>104</v>
      </c>
      <c r="BB292" s="6" t="s">
        <v>104</v>
      </c>
      <c r="BC292" s="26"/>
      <c r="BD292" s="26"/>
      <c r="BE292" s="26" t="s">
        <v>24533</v>
      </c>
      <c r="BF292" s="26"/>
      <c r="BG292" s="26"/>
      <c r="BH292" s="26"/>
      <c r="BI292" s="26"/>
      <c r="BJ292" s="26"/>
      <c r="BK292" s="26"/>
      <c r="BL292" s="26"/>
      <c r="BM292" s="26"/>
      <c r="BN292" s="26" t="s">
        <v>24533</v>
      </c>
      <c r="BO292" s="26"/>
      <c r="BP292" s="16" t="n">
        <v>45738</v>
      </c>
      <c r="BQ292" s="28" t="str">
        <f>HYPERLINK("https://organic.ams.usda.gov/Integrity/Certificate.aspx?cid=62&amp;nopid=8150022876")</f>
        <v>https://organic.ams.usda.gov/Integrity/Certificate.aspx?cid=62&amp;nopid=8150022876</v>
      </c>
    </row>
    <row r="293">
      <c r="A293" t="s">
        <v>3</v>
      </c>
      <c r="B293" s="6" t="s">
        <v>34</v>
      </c>
      <c r="C293" s="6" t="s">
        <v>100</v>
      </c>
      <c r="D293" s="6" t="s">
        <v>165</v>
      </c>
      <c r="E293" s="10" t="s">
        <v>491</v>
      </c>
      <c r="F293" s="6" t="s">
        <v>2747</v>
      </c>
      <c r="G293" s="6" t="s">
        <v>104</v>
      </c>
      <c r="H293" s="6" t="s">
        <v>5158</v>
      </c>
      <c r="I293" s="6" t="s">
        <v>7129</v>
      </c>
      <c r="J293" s="6" t="s">
        <v>7094</v>
      </c>
      <c r="K293" s="6" t="s">
        <v>9714</v>
      </c>
      <c r="L293" s="16" t="n">
        <v>39177</v>
      </c>
      <c r="M293" s="16" t="n">
        <v>45652</v>
      </c>
      <c r="N293" s="6" t="s">
        <v>104</v>
      </c>
      <c r="O293" s="21" t="s">
        <v>104</v>
      </c>
      <c r="P293" s="6" t="s">
        <v>104</v>
      </c>
      <c r="Q293" s="6" t="s">
        <v>104</v>
      </c>
      <c r="R293" s="6" t="s">
        <v>104</v>
      </c>
      <c r="S293" s="6" t="s">
        <v>104</v>
      </c>
      <c r="T293" s="21" t="s">
        <v>104</v>
      </c>
      <c r="U293" s="6" t="s">
        <v>104</v>
      </c>
      <c r="V293" s="6" t="s">
        <v>104</v>
      </c>
      <c r="W293" s="6" t="s">
        <v>104</v>
      </c>
      <c r="X293" s="6" t="s">
        <v>104</v>
      </c>
      <c r="Y293" s="21" t="s">
        <v>104</v>
      </c>
      <c r="Z293" s="6" t="s">
        <v>104</v>
      </c>
      <c r="AA293" s="6" t="s">
        <v>104</v>
      </c>
      <c r="AB293" s="6" t="s">
        <v>104</v>
      </c>
      <c r="AC293" s="6" t="s">
        <v>9714</v>
      </c>
      <c r="AD293" s="16" t="n">
        <v>39177</v>
      </c>
      <c r="AE293" s="6" t="s">
        <v>10780</v>
      </c>
      <c r="AF293" s="6" t="s">
        <v>104</v>
      </c>
      <c r="AG293" s="6" t="s">
        <v>12562</v>
      </c>
      <c r="AH293" s="6" t="s">
        <v>13420</v>
      </c>
      <c r="AI293" s="6" t="s">
        <v>104</v>
      </c>
      <c r="AJ293" s="6" t="s">
        <v>15566</v>
      </c>
      <c r="AK293" s="6" t="s">
        <v>16751</v>
      </c>
      <c r="AL293" s="6" t="s">
        <v>16931</v>
      </c>
      <c r="AM293" s="6" t="s">
        <v>17181</v>
      </c>
      <c r="AN293" s="6" t="s">
        <v>18500</v>
      </c>
      <c r="AO293" s="6" t="s">
        <v>18628</v>
      </c>
      <c r="AP293" s="6" t="s">
        <v>13420</v>
      </c>
      <c r="AQ293" s="6" t="s">
        <v>104</v>
      </c>
      <c r="AR293" s="6" t="s">
        <v>15566</v>
      </c>
      <c r="AS293" s="6" t="s">
        <v>16751</v>
      </c>
      <c r="AT293" s="6" t="s">
        <v>16931</v>
      </c>
      <c r="AU293" s="6" t="s">
        <v>17181</v>
      </c>
      <c r="AV293" s="6" t="s">
        <v>104</v>
      </c>
      <c r="AW293" s="6" t="s">
        <v>104</v>
      </c>
      <c r="AX293" s="6" t="s">
        <v>20259</v>
      </c>
      <c r="AY293" s="6" t="s">
        <v>22091</v>
      </c>
      <c r="AZ293" s="6" t="s">
        <v>23765</v>
      </c>
      <c r="BA293" s="6" t="s">
        <v>104</v>
      </c>
      <c r="BB293" s="6" t="s">
        <v>104</v>
      </c>
      <c r="BC293" s="26"/>
      <c r="BD293" s="26"/>
      <c r="BE293" s="26" t="s">
        <v>24533</v>
      </c>
      <c r="BF293" s="26"/>
      <c r="BG293" s="26"/>
      <c r="BH293" s="26"/>
      <c r="BI293" s="26"/>
      <c r="BJ293" s="26"/>
      <c r="BK293" s="26"/>
      <c r="BL293" s="26"/>
      <c r="BM293" s="26"/>
      <c r="BN293" s="26"/>
      <c r="BO293" s="26"/>
      <c r="BP293" s="16" t="n">
        <v>45737</v>
      </c>
      <c r="BQ293" s="28" t="str">
        <f>HYPERLINK("https://organic.ams.usda.gov/Integrity/Certificate.aspx?cid=71&amp;nopid=5520048501")</f>
        <v>https://organic.ams.usda.gov/Integrity/Certificate.aspx?cid=71&amp;nopid=5520048501</v>
      </c>
    </row>
    <row r="294">
      <c r="A294" t="s">
        <v>3</v>
      </c>
      <c r="B294" s="6" t="s">
        <v>24</v>
      </c>
      <c r="C294" s="6" t="s">
        <v>90</v>
      </c>
      <c r="D294" s="6" t="s">
        <v>155</v>
      </c>
      <c r="E294" s="10" t="s">
        <v>492</v>
      </c>
      <c r="F294" s="6" t="s">
        <v>2748</v>
      </c>
      <c r="G294" s="6" t="s">
        <v>104</v>
      </c>
      <c r="H294" s="6" t="s">
        <v>5159</v>
      </c>
      <c r="I294" s="6" t="s">
        <v>6949</v>
      </c>
      <c r="J294" s="6" t="s">
        <v>8352</v>
      </c>
      <c r="K294" s="6" t="s">
        <v>9714</v>
      </c>
      <c r="L294" s="16" t="n">
        <v>45253</v>
      </c>
      <c r="M294" s="16" t="n">
        <v>45838</v>
      </c>
      <c r="N294" s="6" t="s">
        <v>104</v>
      </c>
      <c r="O294" s="21" t="s">
        <v>104</v>
      </c>
      <c r="P294" s="6" t="s">
        <v>104</v>
      </c>
      <c r="Q294" s="6" t="s">
        <v>104</v>
      </c>
      <c r="R294" s="6" t="s">
        <v>104</v>
      </c>
      <c r="S294" s="6" t="s">
        <v>104</v>
      </c>
      <c r="T294" s="21" t="s">
        <v>104</v>
      </c>
      <c r="U294" s="6" t="s">
        <v>104</v>
      </c>
      <c r="V294" s="6" t="s">
        <v>104</v>
      </c>
      <c r="W294" s="6" t="s">
        <v>104</v>
      </c>
      <c r="X294" s="6" t="s">
        <v>104</v>
      </c>
      <c r="Y294" s="21" t="s">
        <v>104</v>
      </c>
      <c r="Z294" s="6" t="s">
        <v>104</v>
      </c>
      <c r="AA294" s="6" t="s">
        <v>104</v>
      </c>
      <c r="AB294" s="6" t="s">
        <v>104</v>
      </c>
      <c r="AC294" s="6" t="s">
        <v>9714</v>
      </c>
      <c r="AD294" s="16" t="n">
        <v>45253</v>
      </c>
      <c r="AE294" s="6" t="s">
        <v>10781</v>
      </c>
      <c r="AF294" s="6" t="s">
        <v>104</v>
      </c>
      <c r="AG294" s="6" t="s">
        <v>5159</v>
      </c>
      <c r="AH294" s="6" t="s">
        <v>13421</v>
      </c>
      <c r="AI294" s="6" t="s">
        <v>104</v>
      </c>
      <c r="AJ294" s="6" t="s">
        <v>15567</v>
      </c>
      <c r="AK294" s="6" t="s">
        <v>16752</v>
      </c>
      <c r="AL294" s="6" t="s">
        <v>16934</v>
      </c>
      <c r="AM294" s="6" t="s">
        <v>17182</v>
      </c>
      <c r="AN294" s="6" t="s">
        <v>104</v>
      </c>
      <c r="AO294" s="6" t="s">
        <v>104</v>
      </c>
      <c r="AP294" s="6" t="s">
        <v>13421</v>
      </c>
      <c r="AQ294" s="6" t="s">
        <v>104</v>
      </c>
      <c r="AR294" s="6" t="s">
        <v>15567</v>
      </c>
      <c r="AS294" s="6" t="s">
        <v>16752</v>
      </c>
      <c r="AT294" s="6" t="s">
        <v>16934</v>
      </c>
      <c r="AU294" s="6" t="s">
        <v>17182</v>
      </c>
      <c r="AV294" s="6" t="s">
        <v>104</v>
      </c>
      <c r="AW294" s="6" t="s">
        <v>104</v>
      </c>
      <c r="AX294" s="6" t="s">
        <v>20348</v>
      </c>
      <c r="AY294" s="6" t="s">
        <v>22092</v>
      </c>
      <c r="AZ294" s="6" t="s">
        <v>104</v>
      </c>
      <c r="BA294" s="6" t="s">
        <v>24306</v>
      </c>
      <c r="BB294" s="6" t="s">
        <v>104</v>
      </c>
      <c r="BC294" s="26"/>
      <c r="BD294" s="26"/>
      <c r="BE294" s="26"/>
      <c r="BF294" s="26"/>
      <c r="BG294" s="26"/>
      <c r="BH294" s="26"/>
      <c r="BI294" s="26"/>
      <c r="BJ294" s="26"/>
      <c r="BK294" s="26"/>
      <c r="BL294" s="26"/>
      <c r="BM294" s="26"/>
      <c r="BN294" s="26"/>
      <c r="BO294" s="26"/>
      <c r="BP294" s="16" t="n">
        <v>45579</v>
      </c>
      <c r="BQ294" s="28" t="str">
        <f>HYPERLINK("https://organic.ams.usda.gov/Integrity/Certificate.aspx?cid=7&amp;nopid=3950001229")</f>
        <v>https://organic.ams.usda.gov/Integrity/Certificate.aspx?cid=7&amp;nopid=3950001229</v>
      </c>
    </row>
    <row r="295">
      <c r="A295" t="s">
        <v>3</v>
      </c>
      <c r="B295" s="6" t="s">
        <v>38</v>
      </c>
      <c r="C295" s="6" t="s">
        <v>104</v>
      </c>
      <c r="D295" s="6" t="s">
        <v>104</v>
      </c>
      <c r="E295" s="10" t="s">
        <v>493</v>
      </c>
      <c r="F295" s="6" t="s">
        <v>2749</v>
      </c>
      <c r="G295" s="6" t="s">
        <v>4699</v>
      </c>
      <c r="H295" s="6" t="s">
        <v>5160</v>
      </c>
      <c r="I295" s="6" t="s">
        <v>104</v>
      </c>
      <c r="J295" s="6" t="s">
        <v>104</v>
      </c>
      <c r="K295" s="6" t="s">
        <v>9714</v>
      </c>
      <c r="L295" s="16" t="n">
        <v>41830</v>
      </c>
      <c r="M295" s="18" t="s">
        <v>104</v>
      </c>
      <c r="N295" s="6" t="s">
        <v>104</v>
      </c>
      <c r="O295" s="21" t="s">
        <v>104</v>
      </c>
      <c r="P295" s="6" t="s">
        <v>104</v>
      </c>
      <c r="Q295" s="6" t="s">
        <v>104</v>
      </c>
      <c r="R295" s="6" t="s">
        <v>104</v>
      </c>
      <c r="S295" s="6" t="s">
        <v>104</v>
      </c>
      <c r="T295" s="21" t="s">
        <v>104</v>
      </c>
      <c r="U295" s="6" t="s">
        <v>104</v>
      </c>
      <c r="V295" s="6" t="s">
        <v>104</v>
      </c>
      <c r="W295" s="6" t="s">
        <v>104</v>
      </c>
      <c r="X295" s="6" t="s">
        <v>104</v>
      </c>
      <c r="Y295" s="21" t="s">
        <v>104</v>
      </c>
      <c r="Z295" s="6" t="s">
        <v>104</v>
      </c>
      <c r="AA295" s="6" t="s">
        <v>104</v>
      </c>
      <c r="AB295" s="6" t="s">
        <v>104</v>
      </c>
      <c r="AC295" s="6" t="s">
        <v>9714</v>
      </c>
      <c r="AD295" s="16" t="n">
        <v>41830</v>
      </c>
      <c r="AE295" s="6" t="s">
        <v>10782</v>
      </c>
      <c r="AF295" s="6" t="s">
        <v>104</v>
      </c>
      <c r="AG295" s="6" t="s">
        <v>104</v>
      </c>
      <c r="AH295" s="6" t="s">
        <v>104</v>
      </c>
      <c r="AI295" s="6" t="s">
        <v>104</v>
      </c>
      <c r="AJ295" s="6" t="s">
        <v>104</v>
      </c>
      <c r="AK295" s="6" t="s">
        <v>104</v>
      </c>
      <c r="AL295" s="6" t="s">
        <v>104</v>
      </c>
      <c r="AM295" s="6" t="s">
        <v>104</v>
      </c>
      <c r="AN295" s="6" t="s">
        <v>104</v>
      </c>
      <c r="AO295" s="6" t="s">
        <v>104</v>
      </c>
      <c r="AP295" s="6" t="s">
        <v>19028</v>
      </c>
      <c r="AQ295" s="6" t="s">
        <v>104</v>
      </c>
      <c r="AR295" s="6" t="s">
        <v>19614</v>
      </c>
      <c r="AS295" s="6" t="s">
        <v>19791</v>
      </c>
      <c r="AT295" s="6" t="s">
        <v>16934</v>
      </c>
      <c r="AU295" s="6" t="s">
        <v>19838</v>
      </c>
      <c r="AV295" s="6" t="s">
        <v>104</v>
      </c>
      <c r="AW295" s="6" t="s">
        <v>104</v>
      </c>
      <c r="AX295" s="6" t="s">
        <v>20349</v>
      </c>
      <c r="AY295" s="6" t="s">
        <v>22093</v>
      </c>
      <c r="AZ295" s="6" t="s">
        <v>104</v>
      </c>
      <c r="BA295" s="6" t="s">
        <v>24307</v>
      </c>
      <c r="BB295" s="6" t="s">
        <v>104</v>
      </c>
      <c r="BC295" s="26"/>
      <c r="BD295" s="26"/>
      <c r="BE295" s="26"/>
      <c r="BF295" s="26"/>
      <c r="BG295" s="26"/>
      <c r="BH295" s="26"/>
      <c r="BI295" s="26"/>
      <c r="BJ295" s="26"/>
      <c r="BK295" s="26"/>
      <c r="BL295" s="26"/>
      <c r="BM295" s="26"/>
      <c r="BN295" s="26"/>
      <c r="BO295" s="26"/>
      <c r="BP295" s="16" t="n">
        <v>45484</v>
      </c>
      <c r="BQ295" s="28" t="str">
        <f>HYPERLINK("")</f>
      </c>
    </row>
    <row r="296">
      <c r="A296" t="s">
        <v>3</v>
      </c>
      <c r="B296" s="6" t="s">
        <v>38</v>
      </c>
      <c r="C296" s="6" t="s">
        <v>104</v>
      </c>
      <c r="D296" s="6" t="s">
        <v>104</v>
      </c>
      <c r="E296" s="10" t="s">
        <v>494</v>
      </c>
      <c r="F296" s="6" t="s">
        <v>2749</v>
      </c>
      <c r="G296" s="6" t="s">
        <v>4700</v>
      </c>
      <c r="H296" s="6" t="s">
        <v>5161</v>
      </c>
      <c r="I296" s="6" t="s">
        <v>104</v>
      </c>
      <c r="J296" s="6" t="s">
        <v>104</v>
      </c>
      <c r="K296" s="6" t="s">
        <v>9714</v>
      </c>
      <c r="L296" s="16" t="n">
        <v>41830</v>
      </c>
      <c r="M296" s="18" t="s">
        <v>104</v>
      </c>
      <c r="N296" s="6" t="s">
        <v>104</v>
      </c>
      <c r="O296" s="21" t="s">
        <v>104</v>
      </c>
      <c r="P296" s="6" t="s">
        <v>104</v>
      </c>
      <c r="Q296" s="6" t="s">
        <v>104</v>
      </c>
      <c r="R296" s="6" t="s">
        <v>104</v>
      </c>
      <c r="S296" s="6" t="s">
        <v>104</v>
      </c>
      <c r="T296" s="21" t="s">
        <v>104</v>
      </c>
      <c r="U296" s="6" t="s">
        <v>104</v>
      </c>
      <c r="V296" s="6" t="s">
        <v>104</v>
      </c>
      <c r="W296" s="6" t="s">
        <v>104</v>
      </c>
      <c r="X296" s="6" t="s">
        <v>104</v>
      </c>
      <c r="Y296" s="21" t="s">
        <v>104</v>
      </c>
      <c r="Z296" s="6" t="s">
        <v>104</v>
      </c>
      <c r="AA296" s="6" t="s">
        <v>104</v>
      </c>
      <c r="AB296" s="6" t="s">
        <v>104</v>
      </c>
      <c r="AC296" s="6" t="s">
        <v>9714</v>
      </c>
      <c r="AD296" s="16" t="n">
        <v>41830</v>
      </c>
      <c r="AE296" s="6" t="s">
        <v>10783</v>
      </c>
      <c r="AF296" s="6" t="s">
        <v>104</v>
      </c>
      <c r="AG296" s="6" t="s">
        <v>104</v>
      </c>
      <c r="AH296" s="6" t="s">
        <v>104</v>
      </c>
      <c r="AI296" s="6" t="s">
        <v>104</v>
      </c>
      <c r="AJ296" s="6" t="s">
        <v>104</v>
      </c>
      <c r="AK296" s="6" t="s">
        <v>104</v>
      </c>
      <c r="AL296" s="6" t="s">
        <v>104</v>
      </c>
      <c r="AM296" s="6" t="s">
        <v>104</v>
      </c>
      <c r="AN296" s="6" t="s">
        <v>104</v>
      </c>
      <c r="AO296" s="6" t="s">
        <v>104</v>
      </c>
      <c r="AP296" s="6" t="s">
        <v>19028</v>
      </c>
      <c r="AQ296" s="6" t="s">
        <v>104</v>
      </c>
      <c r="AR296" s="6" t="s">
        <v>19614</v>
      </c>
      <c r="AS296" s="6" t="s">
        <v>19791</v>
      </c>
      <c r="AT296" s="6" t="s">
        <v>16934</v>
      </c>
      <c r="AU296" s="6" t="s">
        <v>19838</v>
      </c>
      <c r="AV296" s="6" t="s">
        <v>104</v>
      </c>
      <c r="AW296" s="6" t="s">
        <v>104</v>
      </c>
      <c r="AX296" s="6" t="s">
        <v>20349</v>
      </c>
      <c r="AY296" s="6" t="s">
        <v>22093</v>
      </c>
      <c r="AZ296" s="6" t="s">
        <v>104</v>
      </c>
      <c r="BA296" s="6" t="s">
        <v>24307</v>
      </c>
      <c r="BB296" s="6" t="s">
        <v>104</v>
      </c>
      <c r="BC296" s="26"/>
      <c r="BD296" s="26"/>
      <c r="BE296" s="26"/>
      <c r="BF296" s="26"/>
      <c r="BG296" s="26"/>
      <c r="BH296" s="26"/>
      <c r="BI296" s="26"/>
      <c r="BJ296" s="26"/>
      <c r="BK296" s="26"/>
      <c r="BL296" s="26"/>
      <c r="BM296" s="26"/>
      <c r="BN296" s="26"/>
      <c r="BO296" s="26"/>
      <c r="BP296" s="16" t="n">
        <v>45484</v>
      </c>
      <c r="BQ296" s="28" t="str">
        <f>HYPERLINK("")</f>
      </c>
    </row>
    <row r="297">
      <c r="A297" t="s">
        <v>3</v>
      </c>
      <c r="B297" s="6" t="s">
        <v>11</v>
      </c>
      <c r="C297" s="6" t="s">
        <v>77</v>
      </c>
      <c r="D297" s="6" t="s">
        <v>142</v>
      </c>
      <c r="E297" s="10" t="s">
        <v>495</v>
      </c>
      <c r="F297" s="6" t="s">
        <v>2750</v>
      </c>
      <c r="G297" s="6" t="s">
        <v>104</v>
      </c>
      <c r="H297" s="6" t="s">
        <v>5162</v>
      </c>
      <c r="I297" s="6" t="s">
        <v>7130</v>
      </c>
      <c r="J297" s="6" t="s">
        <v>8353</v>
      </c>
      <c r="K297" s="6" t="s">
        <v>9714</v>
      </c>
      <c r="L297" s="16" t="n">
        <v>42864</v>
      </c>
      <c r="M297" s="16" t="n">
        <v>45616</v>
      </c>
      <c r="N297" s="6" t="s">
        <v>9714</v>
      </c>
      <c r="O297" s="16" t="n">
        <v>42864</v>
      </c>
      <c r="P297" s="6" t="s">
        <v>9813</v>
      </c>
      <c r="Q297" s="6" t="s">
        <v>104</v>
      </c>
      <c r="R297" s="6" t="s">
        <v>104</v>
      </c>
      <c r="S297" s="6" t="s">
        <v>104</v>
      </c>
      <c r="T297" s="21" t="s">
        <v>104</v>
      </c>
      <c r="U297" s="6" t="s">
        <v>104</v>
      </c>
      <c r="V297" s="6" t="s">
        <v>104</v>
      </c>
      <c r="W297" s="6" t="s">
        <v>104</v>
      </c>
      <c r="X297" s="6" t="s">
        <v>104</v>
      </c>
      <c r="Y297" s="21" t="s">
        <v>104</v>
      </c>
      <c r="Z297" s="6" t="s">
        <v>104</v>
      </c>
      <c r="AA297" s="6" t="s">
        <v>104</v>
      </c>
      <c r="AB297" s="6" t="s">
        <v>104</v>
      </c>
      <c r="AC297" s="6" t="s">
        <v>9714</v>
      </c>
      <c r="AD297" s="16" t="n">
        <v>42864</v>
      </c>
      <c r="AE297" s="6" t="s">
        <v>10784</v>
      </c>
      <c r="AF297" s="6" t="s">
        <v>104</v>
      </c>
      <c r="AG297" s="6" t="s">
        <v>104</v>
      </c>
      <c r="AH297" s="6" t="s">
        <v>13422</v>
      </c>
      <c r="AI297" s="6" t="s">
        <v>15240</v>
      </c>
      <c r="AJ297" s="6" t="s">
        <v>15568</v>
      </c>
      <c r="AK297" s="6" t="s">
        <v>104</v>
      </c>
      <c r="AL297" s="6" t="s">
        <v>16946</v>
      </c>
      <c r="AM297" s="6" t="s">
        <v>104</v>
      </c>
      <c r="AN297" s="6" t="s">
        <v>104</v>
      </c>
      <c r="AO297" s="6" t="s">
        <v>104</v>
      </c>
      <c r="AP297" s="6" t="s">
        <v>13422</v>
      </c>
      <c r="AQ297" s="6" t="s">
        <v>15240</v>
      </c>
      <c r="AR297" s="6" t="s">
        <v>15568</v>
      </c>
      <c r="AS297" s="6" t="s">
        <v>104</v>
      </c>
      <c r="AT297" s="6" t="s">
        <v>16946</v>
      </c>
      <c r="AU297" s="6" t="s">
        <v>104</v>
      </c>
      <c r="AV297" s="6" t="s">
        <v>104</v>
      </c>
      <c r="AW297" s="6" t="s">
        <v>104</v>
      </c>
      <c r="AX297" s="6" t="s">
        <v>20350</v>
      </c>
      <c r="AY297" s="6" t="s">
        <v>22094</v>
      </c>
      <c r="AZ297" s="6" t="s">
        <v>104</v>
      </c>
      <c r="BA297" s="6" t="s">
        <v>104</v>
      </c>
      <c r="BB297" s="24" t="n">
        <v>286</v>
      </c>
      <c r="BC297" s="26"/>
      <c r="BD297" s="26"/>
      <c r="BE297" s="26"/>
      <c r="BF297" s="26"/>
      <c r="BG297" s="26"/>
      <c r="BH297" s="26"/>
      <c r="BI297" s="26"/>
      <c r="BJ297" s="26"/>
      <c r="BK297" s="26"/>
      <c r="BL297" s="26"/>
      <c r="BM297" s="26"/>
      <c r="BN297" s="26"/>
      <c r="BO297" s="26" t="s">
        <v>24533</v>
      </c>
      <c r="BP297" s="16" t="n">
        <v>45478</v>
      </c>
      <c r="BQ297" s="28" t="str">
        <f>HYPERLINK("https://organic.ams.usda.gov/Integrity/Certificate.aspx?cid=21&amp;nopid=1780854341")</f>
        <v>https://organic.ams.usda.gov/Integrity/Certificate.aspx?cid=21&amp;nopid=1780854341</v>
      </c>
    </row>
    <row r="298">
      <c r="A298" t="s">
        <v>3</v>
      </c>
      <c r="B298" s="6" t="s">
        <v>30</v>
      </c>
      <c r="C298" s="6" t="s">
        <v>96</v>
      </c>
      <c r="D298" s="6" t="s">
        <v>161</v>
      </c>
      <c r="E298" s="10" t="s">
        <v>496</v>
      </c>
      <c r="F298" s="6" t="s">
        <v>2751</v>
      </c>
      <c r="G298" s="6" t="s">
        <v>104</v>
      </c>
      <c r="H298" s="6" t="s">
        <v>5163</v>
      </c>
      <c r="I298" s="6" t="s">
        <v>7131</v>
      </c>
      <c r="J298" s="6" t="s">
        <v>8354</v>
      </c>
      <c r="K298" s="6" t="s">
        <v>9714</v>
      </c>
      <c r="L298" s="16" t="n">
        <v>44396</v>
      </c>
      <c r="M298" s="16" t="n">
        <v>45816</v>
      </c>
      <c r="N298" s="6" t="s">
        <v>104</v>
      </c>
      <c r="O298" s="21" t="s">
        <v>104</v>
      </c>
      <c r="P298" s="6" t="s">
        <v>104</v>
      </c>
      <c r="Q298" s="6" t="s">
        <v>104</v>
      </c>
      <c r="R298" s="6" t="s">
        <v>104</v>
      </c>
      <c r="S298" s="6" t="s">
        <v>104</v>
      </c>
      <c r="T298" s="21" t="s">
        <v>104</v>
      </c>
      <c r="U298" s="6" t="s">
        <v>104</v>
      </c>
      <c r="V298" s="6" t="s">
        <v>104</v>
      </c>
      <c r="W298" s="6" t="s">
        <v>104</v>
      </c>
      <c r="X298" s="6" t="s">
        <v>104</v>
      </c>
      <c r="Y298" s="21" t="s">
        <v>104</v>
      </c>
      <c r="Z298" s="6" t="s">
        <v>104</v>
      </c>
      <c r="AA298" s="6" t="s">
        <v>104</v>
      </c>
      <c r="AB298" s="6" t="s">
        <v>104</v>
      </c>
      <c r="AC298" s="6" t="s">
        <v>9714</v>
      </c>
      <c r="AD298" s="16" t="n">
        <v>44396</v>
      </c>
      <c r="AE298" s="6" t="s">
        <v>10785</v>
      </c>
      <c r="AF298" s="6" t="s">
        <v>104</v>
      </c>
      <c r="AG298" s="6" t="s">
        <v>12563</v>
      </c>
      <c r="AH298" s="6" t="s">
        <v>13423</v>
      </c>
      <c r="AI298" s="6" t="s">
        <v>104</v>
      </c>
      <c r="AJ298" s="6" t="s">
        <v>15569</v>
      </c>
      <c r="AK298" s="6" t="s">
        <v>15383</v>
      </c>
      <c r="AL298" s="6" t="s">
        <v>16933</v>
      </c>
      <c r="AM298" s="6" t="s">
        <v>17183</v>
      </c>
      <c r="AN298" s="6" t="s">
        <v>104</v>
      </c>
      <c r="AO298" s="6" t="s">
        <v>104</v>
      </c>
      <c r="AP298" s="6" t="s">
        <v>13423</v>
      </c>
      <c r="AQ298" s="6" t="s">
        <v>104</v>
      </c>
      <c r="AR298" s="6" t="s">
        <v>15569</v>
      </c>
      <c r="AS298" s="6" t="s">
        <v>15383</v>
      </c>
      <c r="AT298" s="6" t="s">
        <v>16933</v>
      </c>
      <c r="AU298" s="6" t="s">
        <v>17183</v>
      </c>
      <c r="AV298" s="6" t="s">
        <v>104</v>
      </c>
      <c r="AW298" s="6" t="s">
        <v>104</v>
      </c>
      <c r="AX298" s="6" t="s">
        <v>20351</v>
      </c>
      <c r="AY298" s="6" t="s">
        <v>22095</v>
      </c>
      <c r="AZ298" s="6" t="s">
        <v>104</v>
      </c>
      <c r="BA298" s="6" t="s">
        <v>104</v>
      </c>
      <c r="BB298" s="6" t="s">
        <v>104</v>
      </c>
      <c r="BC298" s="26"/>
      <c r="BD298" s="26"/>
      <c r="BE298" s="26"/>
      <c r="BF298" s="26"/>
      <c r="BG298" s="26"/>
      <c r="BH298" s="26"/>
      <c r="BI298" s="26"/>
      <c r="BJ298" s="26"/>
      <c r="BK298" s="26"/>
      <c r="BL298" s="26"/>
      <c r="BM298" s="26"/>
      <c r="BN298" s="26"/>
      <c r="BO298" s="26"/>
      <c r="BP298" s="16" t="n">
        <v>45475</v>
      </c>
      <c r="BQ298" s="28" t="str">
        <f>HYPERLINK("https://organic.ams.usda.gov/Integrity/Certificate.aspx?cid=14&amp;nopid=6250035856")</f>
        <v>https://organic.ams.usda.gov/Integrity/Certificate.aspx?cid=14&amp;nopid=6250035856</v>
      </c>
    </row>
    <row r="299">
      <c r="A299" t="s">
        <v>3</v>
      </c>
      <c r="B299" s="6" t="s">
        <v>33</v>
      </c>
      <c r="C299" s="6" t="s">
        <v>99</v>
      </c>
      <c r="D299" s="6" t="s">
        <v>164</v>
      </c>
      <c r="E299" s="10" t="s">
        <v>497</v>
      </c>
      <c r="F299" s="6" t="s">
        <v>2752</v>
      </c>
      <c r="G299" s="6" t="s">
        <v>104</v>
      </c>
      <c r="H299" s="6" t="s">
        <v>104</v>
      </c>
      <c r="I299" s="6" t="s">
        <v>7132</v>
      </c>
      <c r="J299" s="6" t="s">
        <v>8355</v>
      </c>
      <c r="K299" s="6" t="s">
        <v>9714</v>
      </c>
      <c r="L299" s="16" t="n">
        <v>45574</v>
      </c>
      <c r="M299" s="16" t="n">
        <v>45672</v>
      </c>
      <c r="N299" s="6" t="s">
        <v>104</v>
      </c>
      <c r="O299" s="21" t="s">
        <v>104</v>
      </c>
      <c r="P299" s="6" t="s">
        <v>104</v>
      </c>
      <c r="Q299" s="6" t="s">
        <v>104</v>
      </c>
      <c r="R299" s="6" t="s">
        <v>104</v>
      </c>
      <c r="S299" s="6" t="s">
        <v>104</v>
      </c>
      <c r="T299" s="21" t="s">
        <v>104</v>
      </c>
      <c r="U299" s="6" t="s">
        <v>104</v>
      </c>
      <c r="V299" s="6" t="s">
        <v>104</v>
      </c>
      <c r="W299" s="6" t="s">
        <v>104</v>
      </c>
      <c r="X299" s="6" t="s">
        <v>104</v>
      </c>
      <c r="Y299" s="21" t="s">
        <v>104</v>
      </c>
      <c r="Z299" s="6" t="s">
        <v>104</v>
      </c>
      <c r="AA299" s="6" t="s">
        <v>104</v>
      </c>
      <c r="AB299" s="6" t="s">
        <v>104</v>
      </c>
      <c r="AC299" s="6" t="s">
        <v>9714</v>
      </c>
      <c r="AD299" s="16" t="n">
        <v>45574</v>
      </c>
      <c r="AE299" s="6" t="s">
        <v>10786</v>
      </c>
      <c r="AF299" s="6" t="s">
        <v>104</v>
      </c>
      <c r="AG299" s="6" t="s">
        <v>104</v>
      </c>
      <c r="AH299" s="6" t="s">
        <v>13424</v>
      </c>
      <c r="AI299" s="6" t="s">
        <v>104</v>
      </c>
      <c r="AJ299" s="6" t="s">
        <v>15570</v>
      </c>
      <c r="AK299" s="6" t="s">
        <v>16683</v>
      </c>
      <c r="AL299" s="6" t="s">
        <v>16931</v>
      </c>
      <c r="AM299" s="6" t="s">
        <v>17184</v>
      </c>
      <c r="AN299" s="6" t="s">
        <v>104</v>
      </c>
      <c r="AO299" s="6" t="s">
        <v>104</v>
      </c>
      <c r="AP299" s="6" t="s">
        <v>13424</v>
      </c>
      <c r="AQ299" s="6" t="s">
        <v>104</v>
      </c>
      <c r="AR299" s="6" t="s">
        <v>15570</v>
      </c>
      <c r="AS299" s="6" t="s">
        <v>16683</v>
      </c>
      <c r="AT299" s="6" t="s">
        <v>16931</v>
      </c>
      <c r="AU299" s="6" t="s">
        <v>17184</v>
      </c>
      <c r="AV299" s="6" t="s">
        <v>104</v>
      </c>
      <c r="AW299" s="6" t="s">
        <v>104</v>
      </c>
      <c r="AX299" s="6" t="s">
        <v>20352</v>
      </c>
      <c r="AY299" s="6" t="s">
        <v>22096</v>
      </c>
      <c r="AZ299" s="6" t="s">
        <v>23766</v>
      </c>
      <c r="BA299" s="6" t="s">
        <v>24308</v>
      </c>
      <c r="BB299" s="6" t="s">
        <v>104</v>
      </c>
      <c r="BC299" s="26"/>
      <c r="BD299" s="26"/>
      <c r="BE299" s="26"/>
      <c r="BF299" s="26"/>
      <c r="BG299" s="26"/>
      <c r="BH299" s="26"/>
      <c r="BI299" s="26"/>
      <c r="BJ299" s="26"/>
      <c r="BK299" s="26"/>
      <c r="BL299" s="26"/>
      <c r="BM299" s="26"/>
      <c r="BN299" s="26"/>
      <c r="BO299" s="26"/>
      <c r="BP299" s="16" t="n">
        <v>45728</v>
      </c>
      <c r="BQ299" s="28" t="str">
        <f>HYPERLINK("https://organic.ams.usda.gov/Integrity/Certificate.aspx?cid=46&amp;nopid=3672400058")</f>
        <v>https://organic.ams.usda.gov/Integrity/Certificate.aspx?cid=46&amp;nopid=3672400058</v>
      </c>
    </row>
    <row r="300">
      <c r="A300" t="s">
        <v>3</v>
      </c>
      <c r="B300" s="6" t="s">
        <v>45</v>
      </c>
      <c r="C300" s="6" t="s">
        <v>111</v>
      </c>
      <c r="D300" s="6" t="s">
        <v>175</v>
      </c>
      <c r="E300" s="10" t="s">
        <v>498</v>
      </c>
      <c r="F300" s="6" t="s">
        <v>2753</v>
      </c>
      <c r="G300" s="6" t="s">
        <v>104</v>
      </c>
      <c r="H300" s="6" t="s">
        <v>5164</v>
      </c>
      <c r="I300" s="6" t="s">
        <v>7133</v>
      </c>
      <c r="J300" s="6" t="s">
        <v>7253</v>
      </c>
      <c r="K300" s="6" t="s">
        <v>9714</v>
      </c>
      <c r="L300" s="16" t="n">
        <v>37375</v>
      </c>
      <c r="M300" s="16" t="n">
        <v>46082</v>
      </c>
      <c r="N300" s="6" t="s">
        <v>9714</v>
      </c>
      <c r="O300" s="16" t="n">
        <v>37375</v>
      </c>
      <c r="P300" s="6" t="s">
        <v>9814</v>
      </c>
      <c r="Q300" s="6" t="s">
        <v>104</v>
      </c>
      <c r="R300" s="6" t="s">
        <v>4667</v>
      </c>
      <c r="S300" s="6" t="s">
        <v>104</v>
      </c>
      <c r="T300" s="21" t="s">
        <v>104</v>
      </c>
      <c r="U300" s="6" t="s">
        <v>104</v>
      </c>
      <c r="V300" s="6" t="s">
        <v>104</v>
      </c>
      <c r="W300" s="6" t="s">
        <v>104</v>
      </c>
      <c r="X300" s="6" t="s">
        <v>104</v>
      </c>
      <c r="Y300" s="21" t="s">
        <v>104</v>
      </c>
      <c r="Z300" s="6" t="s">
        <v>104</v>
      </c>
      <c r="AA300" s="6" t="s">
        <v>104</v>
      </c>
      <c r="AB300" s="6" t="s">
        <v>104</v>
      </c>
      <c r="AC300" s="6" t="s">
        <v>9714</v>
      </c>
      <c r="AD300" s="16" t="n">
        <v>37375</v>
      </c>
      <c r="AE300" s="6" t="s">
        <v>10787</v>
      </c>
      <c r="AF300" s="6" t="s">
        <v>104</v>
      </c>
      <c r="AG300" s="6" t="s">
        <v>4667</v>
      </c>
      <c r="AH300" s="6" t="s">
        <v>13425</v>
      </c>
      <c r="AI300" s="6" t="s">
        <v>104</v>
      </c>
      <c r="AJ300" s="6" t="s">
        <v>15571</v>
      </c>
      <c r="AK300" s="6" t="s">
        <v>16382</v>
      </c>
      <c r="AL300" s="6" t="s">
        <v>16931</v>
      </c>
      <c r="AM300" s="6" t="s">
        <v>17185</v>
      </c>
      <c r="AN300" s="6" t="s">
        <v>104</v>
      </c>
      <c r="AO300" s="6" t="s">
        <v>104</v>
      </c>
      <c r="AP300" s="6" t="s">
        <v>13425</v>
      </c>
      <c r="AQ300" s="6" t="s">
        <v>104</v>
      </c>
      <c r="AR300" s="6" t="s">
        <v>15571</v>
      </c>
      <c r="AS300" s="6" t="s">
        <v>16382</v>
      </c>
      <c r="AT300" s="6" t="s">
        <v>16931</v>
      </c>
      <c r="AU300" s="6" t="s">
        <v>17185</v>
      </c>
      <c r="AV300" s="6" t="s">
        <v>18464</v>
      </c>
      <c r="AW300" s="6" t="s">
        <v>20079</v>
      </c>
      <c r="AX300" s="6" t="s">
        <v>20353</v>
      </c>
      <c r="AY300" s="6" t="s">
        <v>22097</v>
      </c>
      <c r="AZ300" s="6" t="s">
        <v>23767</v>
      </c>
      <c r="BA300" s="6" t="s">
        <v>104</v>
      </c>
      <c r="BB300" s="24" t="n">
        <v>30</v>
      </c>
      <c r="BC300" s="26"/>
      <c r="BD300" s="26"/>
      <c r="BE300" s="26"/>
      <c r="BF300" s="26"/>
      <c r="BG300" s="26"/>
      <c r="BH300" s="26"/>
      <c r="BI300" s="26"/>
      <c r="BJ300" s="26"/>
      <c r="BK300" s="26"/>
      <c r="BL300" s="26"/>
      <c r="BM300" s="26"/>
      <c r="BN300" s="26"/>
      <c r="BO300" s="26"/>
      <c r="BP300" s="16" t="n">
        <v>45739</v>
      </c>
      <c r="BQ300" s="28" t="str">
        <f>HYPERLINK("https://organic.ams.usda.gov/Integrity/Certificate.aspx?cid=82&amp;nopid=2780001061")</f>
        <v>https://organic.ams.usda.gov/Integrity/Certificate.aspx?cid=82&amp;nopid=2780001061</v>
      </c>
    </row>
    <row r="301">
      <c r="A301" t="s">
        <v>3</v>
      </c>
      <c r="B301" s="6" t="s">
        <v>18</v>
      </c>
      <c r="C301" s="6" t="s">
        <v>84</v>
      </c>
      <c r="D301" s="6" t="s">
        <v>149</v>
      </c>
      <c r="E301" s="10" t="s">
        <v>499</v>
      </c>
      <c r="F301" s="6" t="s">
        <v>2754</v>
      </c>
      <c r="G301" s="6" t="s">
        <v>104</v>
      </c>
      <c r="H301" s="6" t="s">
        <v>5165</v>
      </c>
      <c r="I301" s="6" t="s">
        <v>6940</v>
      </c>
      <c r="J301" s="6" t="s">
        <v>7449</v>
      </c>
      <c r="K301" s="6" t="s">
        <v>9714</v>
      </c>
      <c r="L301" s="16" t="n">
        <v>43148</v>
      </c>
      <c r="M301" s="16" t="n">
        <v>45870</v>
      </c>
      <c r="N301" s="6" t="s">
        <v>104</v>
      </c>
      <c r="O301" s="21" t="s">
        <v>104</v>
      </c>
      <c r="P301" s="6" t="s">
        <v>104</v>
      </c>
      <c r="Q301" s="6" t="s">
        <v>104</v>
      </c>
      <c r="R301" s="6" t="s">
        <v>104</v>
      </c>
      <c r="S301" s="6" t="s">
        <v>104</v>
      </c>
      <c r="T301" s="21" t="s">
        <v>104</v>
      </c>
      <c r="U301" s="6" t="s">
        <v>104</v>
      </c>
      <c r="V301" s="6" t="s">
        <v>104</v>
      </c>
      <c r="W301" s="6" t="s">
        <v>104</v>
      </c>
      <c r="X301" s="6" t="s">
        <v>104</v>
      </c>
      <c r="Y301" s="21" t="s">
        <v>104</v>
      </c>
      <c r="Z301" s="6" t="s">
        <v>104</v>
      </c>
      <c r="AA301" s="6" t="s">
        <v>104</v>
      </c>
      <c r="AB301" s="6" t="s">
        <v>104</v>
      </c>
      <c r="AC301" s="6" t="s">
        <v>9714</v>
      </c>
      <c r="AD301" s="16" t="n">
        <v>43148</v>
      </c>
      <c r="AE301" s="6" t="s">
        <v>10788</v>
      </c>
      <c r="AF301" s="6" t="s">
        <v>104</v>
      </c>
      <c r="AG301" s="6" t="s">
        <v>12564</v>
      </c>
      <c r="AH301" s="6" t="s">
        <v>13426</v>
      </c>
      <c r="AI301" s="6" t="s">
        <v>104</v>
      </c>
      <c r="AJ301" s="6" t="s">
        <v>15572</v>
      </c>
      <c r="AK301" s="6" t="s">
        <v>16706</v>
      </c>
      <c r="AL301" s="6" t="s">
        <v>16931</v>
      </c>
      <c r="AM301" s="6" t="s">
        <v>17186</v>
      </c>
      <c r="AN301" s="6" t="s">
        <v>18464</v>
      </c>
      <c r="AO301" s="6" t="s">
        <v>18629</v>
      </c>
      <c r="AP301" s="6" t="s">
        <v>19029</v>
      </c>
      <c r="AQ301" s="6" t="s">
        <v>104</v>
      </c>
      <c r="AR301" s="6" t="s">
        <v>15572</v>
      </c>
      <c r="AS301" s="6" t="s">
        <v>16706</v>
      </c>
      <c r="AT301" s="6" t="s">
        <v>16931</v>
      </c>
      <c r="AU301" s="6" t="s">
        <v>17186</v>
      </c>
      <c r="AV301" s="6" t="s">
        <v>104</v>
      </c>
      <c r="AW301" s="6" t="s">
        <v>104</v>
      </c>
      <c r="AX301" s="6" t="s">
        <v>20354</v>
      </c>
      <c r="AY301" s="6" t="s">
        <v>22098</v>
      </c>
      <c r="AZ301" s="6" t="s">
        <v>104</v>
      </c>
      <c r="BA301" s="6" t="s">
        <v>24309</v>
      </c>
      <c r="BB301" s="6" t="s">
        <v>104</v>
      </c>
      <c r="BC301" s="26"/>
      <c r="BD301" s="26"/>
      <c r="BE301" s="26"/>
      <c r="BF301" s="26"/>
      <c r="BG301" s="26"/>
      <c r="BH301" s="26"/>
      <c r="BI301" s="26"/>
      <c r="BJ301" s="26"/>
      <c r="BK301" s="26"/>
      <c r="BL301" s="26"/>
      <c r="BM301" s="26"/>
      <c r="BN301" s="26" t="s">
        <v>24533</v>
      </c>
      <c r="BO301" s="26"/>
      <c r="BP301" s="16" t="n">
        <v>45737</v>
      </c>
      <c r="BQ301" s="28" t="str">
        <f>HYPERLINK("https://organic.ams.usda.gov/Integrity/Certificate.aspx?cid=31&amp;nopid=3928971888")</f>
        <v>https://organic.ams.usda.gov/Integrity/Certificate.aspx?cid=31&amp;nopid=3928971888</v>
      </c>
    </row>
    <row r="302">
      <c r="A302" t="s">
        <v>3</v>
      </c>
      <c r="B302" s="6" t="s">
        <v>52</v>
      </c>
      <c r="C302" s="6" t="s">
        <v>118</v>
      </c>
      <c r="D302" s="6" t="s">
        <v>182</v>
      </c>
      <c r="E302" s="10" t="s">
        <v>500</v>
      </c>
      <c r="F302" s="6" t="s">
        <v>2755</v>
      </c>
      <c r="G302" s="6" t="s">
        <v>104</v>
      </c>
      <c r="H302" s="6" t="s">
        <v>5166</v>
      </c>
      <c r="I302" s="6" t="s">
        <v>7134</v>
      </c>
      <c r="J302" s="6" t="s">
        <v>8356</v>
      </c>
      <c r="K302" s="6" t="s">
        <v>9714</v>
      </c>
      <c r="L302" s="16" t="n">
        <v>37715</v>
      </c>
      <c r="M302" s="16" t="n">
        <v>46068</v>
      </c>
      <c r="N302" s="6" t="s">
        <v>9721</v>
      </c>
      <c r="O302" s="16" t="n">
        <v>43031</v>
      </c>
      <c r="P302" s="6" t="s">
        <v>104</v>
      </c>
      <c r="Q302" s="6" t="s">
        <v>104</v>
      </c>
      <c r="R302" s="6" t="s">
        <v>104</v>
      </c>
      <c r="S302" s="6" t="s">
        <v>104</v>
      </c>
      <c r="T302" s="21" t="s">
        <v>104</v>
      </c>
      <c r="U302" s="6" t="s">
        <v>104</v>
      </c>
      <c r="V302" s="6" t="s">
        <v>104</v>
      </c>
      <c r="W302" s="6" t="s">
        <v>104</v>
      </c>
      <c r="X302" s="6" t="s">
        <v>104</v>
      </c>
      <c r="Y302" s="21" t="s">
        <v>104</v>
      </c>
      <c r="Z302" s="6" t="s">
        <v>104</v>
      </c>
      <c r="AA302" s="6" t="s">
        <v>104</v>
      </c>
      <c r="AB302" s="6" t="s">
        <v>104</v>
      </c>
      <c r="AC302" s="6" t="s">
        <v>9714</v>
      </c>
      <c r="AD302" s="16" t="n">
        <v>37715</v>
      </c>
      <c r="AE302" s="6" t="s">
        <v>10789</v>
      </c>
      <c r="AF302" s="6" t="s">
        <v>104</v>
      </c>
      <c r="AG302" s="6" t="s">
        <v>5166</v>
      </c>
      <c r="AH302" s="6" t="s">
        <v>13427</v>
      </c>
      <c r="AI302" s="6" t="s">
        <v>104</v>
      </c>
      <c r="AJ302" s="6" t="s">
        <v>15573</v>
      </c>
      <c r="AK302" s="6" t="s">
        <v>16681</v>
      </c>
      <c r="AL302" s="6" t="s">
        <v>16931</v>
      </c>
      <c r="AM302" s="6" t="s">
        <v>17187</v>
      </c>
      <c r="AN302" s="6" t="s">
        <v>18474</v>
      </c>
      <c r="AO302" s="6" t="s">
        <v>18630</v>
      </c>
      <c r="AP302" s="6" t="s">
        <v>13427</v>
      </c>
      <c r="AQ302" s="6" t="s">
        <v>104</v>
      </c>
      <c r="AR302" s="6" t="s">
        <v>15573</v>
      </c>
      <c r="AS302" s="6" t="s">
        <v>16681</v>
      </c>
      <c r="AT302" s="6" t="s">
        <v>16931</v>
      </c>
      <c r="AU302" s="6" t="s">
        <v>17187</v>
      </c>
      <c r="AV302" s="6" t="s">
        <v>104</v>
      </c>
      <c r="AW302" s="6" t="s">
        <v>104</v>
      </c>
      <c r="AX302" s="6" t="s">
        <v>20355</v>
      </c>
      <c r="AY302" s="6" t="s">
        <v>104</v>
      </c>
      <c r="AZ302" s="6" t="s">
        <v>104</v>
      </c>
      <c r="BA302" s="6" t="s">
        <v>104</v>
      </c>
      <c r="BB302" s="6" t="s">
        <v>104</v>
      </c>
      <c r="BC302" s="26"/>
      <c r="BD302" s="26"/>
      <c r="BE302" s="26"/>
      <c r="BF302" s="26"/>
      <c r="BG302" s="26"/>
      <c r="BH302" s="26"/>
      <c r="BI302" s="26"/>
      <c r="BJ302" s="26"/>
      <c r="BK302" s="26"/>
      <c r="BL302" s="26"/>
      <c r="BM302" s="26"/>
      <c r="BN302" s="26"/>
      <c r="BO302" s="26"/>
      <c r="BP302" s="16" t="n">
        <v>45707</v>
      </c>
      <c r="BQ302" s="28" t="str">
        <f>HYPERLINK("https://organic.ams.usda.gov/Integrity/Certificate.aspx?cid=36&amp;nopid=5400000177")</f>
        <v>https://organic.ams.usda.gov/Integrity/Certificate.aspx?cid=36&amp;nopid=5400000177</v>
      </c>
    </row>
    <row r="303">
      <c r="A303" t="s">
        <v>3</v>
      </c>
      <c r="B303" s="6" t="s">
        <v>34</v>
      </c>
      <c r="C303" s="6" t="s">
        <v>100</v>
      </c>
      <c r="D303" s="6" t="s">
        <v>165</v>
      </c>
      <c r="E303" s="10" t="s">
        <v>501</v>
      </c>
      <c r="F303" s="6" t="s">
        <v>2756</v>
      </c>
      <c r="G303" s="6" t="s">
        <v>104</v>
      </c>
      <c r="H303" s="6" t="s">
        <v>5167</v>
      </c>
      <c r="I303" s="6" t="s">
        <v>7135</v>
      </c>
      <c r="J303" s="6" t="s">
        <v>8357</v>
      </c>
      <c r="K303" s="6" t="s">
        <v>9714</v>
      </c>
      <c r="L303" s="16" t="n">
        <v>37375</v>
      </c>
      <c r="M303" s="16" t="n">
        <v>45828</v>
      </c>
      <c r="N303" s="6" t="s">
        <v>104</v>
      </c>
      <c r="O303" s="21" t="s">
        <v>104</v>
      </c>
      <c r="P303" s="6" t="s">
        <v>104</v>
      </c>
      <c r="Q303" s="6" t="s">
        <v>104</v>
      </c>
      <c r="R303" s="6" t="s">
        <v>104</v>
      </c>
      <c r="S303" s="6" t="s">
        <v>104</v>
      </c>
      <c r="T303" s="21" t="s">
        <v>104</v>
      </c>
      <c r="U303" s="6" t="s">
        <v>104</v>
      </c>
      <c r="V303" s="6" t="s">
        <v>104</v>
      </c>
      <c r="W303" s="6" t="s">
        <v>104</v>
      </c>
      <c r="X303" s="6" t="s">
        <v>104</v>
      </c>
      <c r="Y303" s="21" t="s">
        <v>104</v>
      </c>
      <c r="Z303" s="6" t="s">
        <v>104</v>
      </c>
      <c r="AA303" s="6" t="s">
        <v>104</v>
      </c>
      <c r="AB303" s="6" t="s">
        <v>104</v>
      </c>
      <c r="AC303" s="6" t="s">
        <v>9714</v>
      </c>
      <c r="AD303" s="16" t="n">
        <v>37375</v>
      </c>
      <c r="AE303" s="6" t="s">
        <v>10790</v>
      </c>
      <c r="AF303" s="6" t="s">
        <v>104</v>
      </c>
      <c r="AG303" s="6" t="s">
        <v>12565</v>
      </c>
      <c r="AH303" s="6" t="s">
        <v>13428</v>
      </c>
      <c r="AI303" s="6" t="s">
        <v>104</v>
      </c>
      <c r="AJ303" s="6" t="s">
        <v>15574</v>
      </c>
      <c r="AK303" s="6" t="s">
        <v>16705</v>
      </c>
      <c r="AL303" s="6" t="s">
        <v>16931</v>
      </c>
      <c r="AM303" s="6" t="s">
        <v>17188</v>
      </c>
      <c r="AN303" s="6" t="s">
        <v>18500</v>
      </c>
      <c r="AO303" s="6" t="s">
        <v>18631</v>
      </c>
      <c r="AP303" s="6" t="s">
        <v>13428</v>
      </c>
      <c r="AQ303" s="6" t="s">
        <v>104</v>
      </c>
      <c r="AR303" s="6" t="s">
        <v>15574</v>
      </c>
      <c r="AS303" s="6" t="s">
        <v>16705</v>
      </c>
      <c r="AT303" s="6" t="s">
        <v>16931</v>
      </c>
      <c r="AU303" s="6" t="s">
        <v>17188</v>
      </c>
      <c r="AV303" s="6" t="s">
        <v>104</v>
      </c>
      <c r="AW303" s="6" t="s">
        <v>104</v>
      </c>
      <c r="AX303" s="6" t="s">
        <v>20356</v>
      </c>
      <c r="AY303" s="6" t="s">
        <v>22099</v>
      </c>
      <c r="AZ303" s="6" t="s">
        <v>23768</v>
      </c>
      <c r="BA303" s="6" t="s">
        <v>104</v>
      </c>
      <c r="BB303" s="6" t="s">
        <v>104</v>
      </c>
      <c r="BC303" s="26"/>
      <c r="BD303" s="26"/>
      <c r="BE303" s="26"/>
      <c r="BF303" s="26"/>
      <c r="BG303" s="26"/>
      <c r="BH303" s="26"/>
      <c r="BI303" s="26"/>
      <c r="BJ303" s="26"/>
      <c r="BK303" s="26"/>
      <c r="BL303" s="26"/>
      <c r="BM303" s="26"/>
      <c r="BN303" s="26"/>
      <c r="BO303" s="26"/>
      <c r="BP303" s="16" t="n">
        <v>45737</v>
      </c>
      <c r="BQ303" s="28" t="str">
        <f>HYPERLINK("https://organic.ams.usda.gov/Integrity/Certificate.aspx?cid=71&amp;nopid=5520030638")</f>
        <v>https://organic.ams.usda.gov/Integrity/Certificate.aspx?cid=71&amp;nopid=5520030638</v>
      </c>
    </row>
    <row r="304">
      <c r="A304" t="s">
        <v>3</v>
      </c>
      <c r="B304" s="6" t="s">
        <v>34</v>
      </c>
      <c r="C304" s="6" t="s">
        <v>100</v>
      </c>
      <c r="D304" s="6" t="s">
        <v>165</v>
      </c>
      <c r="E304" s="10" t="s">
        <v>502</v>
      </c>
      <c r="F304" s="6" t="s">
        <v>2757</v>
      </c>
      <c r="G304" s="6" t="s">
        <v>104</v>
      </c>
      <c r="H304" s="6" t="s">
        <v>5168</v>
      </c>
      <c r="I304" s="6" t="s">
        <v>7030</v>
      </c>
      <c r="J304" s="6" t="s">
        <v>7727</v>
      </c>
      <c r="K304" s="6" t="s">
        <v>9714</v>
      </c>
      <c r="L304" s="16" t="n">
        <v>43495</v>
      </c>
      <c r="M304" s="16" t="n">
        <v>45944</v>
      </c>
      <c r="N304" s="6" t="s">
        <v>104</v>
      </c>
      <c r="O304" s="21" t="s">
        <v>104</v>
      </c>
      <c r="P304" s="6" t="s">
        <v>104</v>
      </c>
      <c r="Q304" s="6" t="s">
        <v>104</v>
      </c>
      <c r="R304" s="6" t="s">
        <v>104</v>
      </c>
      <c r="S304" s="6" t="s">
        <v>104</v>
      </c>
      <c r="T304" s="21" t="s">
        <v>104</v>
      </c>
      <c r="U304" s="6" t="s">
        <v>104</v>
      </c>
      <c r="V304" s="6" t="s">
        <v>104</v>
      </c>
      <c r="W304" s="6" t="s">
        <v>104</v>
      </c>
      <c r="X304" s="6" t="s">
        <v>104</v>
      </c>
      <c r="Y304" s="21" t="s">
        <v>104</v>
      </c>
      <c r="Z304" s="6" t="s">
        <v>104</v>
      </c>
      <c r="AA304" s="6" t="s">
        <v>104</v>
      </c>
      <c r="AB304" s="6" t="s">
        <v>104</v>
      </c>
      <c r="AC304" s="6" t="s">
        <v>9714</v>
      </c>
      <c r="AD304" s="16" t="n">
        <v>43495</v>
      </c>
      <c r="AE304" s="6" t="s">
        <v>10791</v>
      </c>
      <c r="AF304" s="6" t="s">
        <v>104</v>
      </c>
      <c r="AG304" s="6" t="s">
        <v>12566</v>
      </c>
      <c r="AH304" s="6" t="s">
        <v>13429</v>
      </c>
      <c r="AI304" s="6" t="s">
        <v>104</v>
      </c>
      <c r="AJ304" s="6" t="s">
        <v>15575</v>
      </c>
      <c r="AK304" s="6" t="s">
        <v>16710</v>
      </c>
      <c r="AL304" s="6" t="s">
        <v>16931</v>
      </c>
      <c r="AM304" s="6" t="s">
        <v>17189</v>
      </c>
      <c r="AN304" s="6" t="s">
        <v>18471</v>
      </c>
      <c r="AO304" s="6" t="s">
        <v>18632</v>
      </c>
      <c r="AP304" s="6" t="s">
        <v>19030</v>
      </c>
      <c r="AQ304" s="6" t="s">
        <v>104</v>
      </c>
      <c r="AR304" s="6" t="s">
        <v>15575</v>
      </c>
      <c r="AS304" s="6" t="s">
        <v>16710</v>
      </c>
      <c r="AT304" s="6" t="s">
        <v>16931</v>
      </c>
      <c r="AU304" s="6" t="s">
        <v>17189</v>
      </c>
      <c r="AV304" s="6" t="s">
        <v>104</v>
      </c>
      <c r="AW304" s="6" t="s">
        <v>104</v>
      </c>
      <c r="AX304" s="6" t="s">
        <v>20357</v>
      </c>
      <c r="AY304" s="6" t="s">
        <v>22100</v>
      </c>
      <c r="AZ304" s="6" t="s">
        <v>23769</v>
      </c>
      <c r="BA304" s="6" t="s">
        <v>104</v>
      </c>
      <c r="BB304" s="6" t="s">
        <v>104</v>
      </c>
      <c r="BC304" s="26"/>
      <c r="BD304" s="26"/>
      <c r="BE304" s="26"/>
      <c r="BF304" s="26"/>
      <c r="BG304" s="26"/>
      <c r="BH304" s="26"/>
      <c r="BI304" s="26"/>
      <c r="BJ304" s="26"/>
      <c r="BK304" s="26"/>
      <c r="BL304" s="26"/>
      <c r="BM304" s="26"/>
      <c r="BN304" s="26"/>
      <c r="BO304" s="26"/>
      <c r="BP304" s="16" t="n">
        <v>45737</v>
      </c>
      <c r="BQ304" s="28" t="str">
        <f>HYPERLINK("https://organic.ams.usda.gov/Integrity/Certificate.aspx?cid=71&amp;nopid=5520450031")</f>
        <v>https://organic.ams.usda.gov/Integrity/Certificate.aspx?cid=71&amp;nopid=5520450031</v>
      </c>
    </row>
    <row r="305">
      <c r="A305" t="s">
        <v>3</v>
      </c>
      <c r="B305" s="6" t="s">
        <v>17</v>
      </c>
      <c r="C305" s="6" t="s">
        <v>83</v>
      </c>
      <c r="D305" s="6" t="s">
        <v>148</v>
      </c>
      <c r="E305" s="10" t="s">
        <v>503</v>
      </c>
      <c r="F305" s="6" t="s">
        <v>2758</v>
      </c>
      <c r="G305" s="6" t="s">
        <v>104</v>
      </c>
      <c r="H305" s="6" t="s">
        <v>5169</v>
      </c>
      <c r="I305" s="6" t="s">
        <v>7136</v>
      </c>
      <c r="J305" s="6" t="s">
        <v>8358</v>
      </c>
      <c r="K305" s="6" t="s">
        <v>9714</v>
      </c>
      <c r="L305" s="16" t="n">
        <v>45538</v>
      </c>
      <c r="M305" s="16" t="n">
        <v>45778</v>
      </c>
      <c r="N305" s="6" t="s">
        <v>104</v>
      </c>
      <c r="O305" s="21" t="s">
        <v>104</v>
      </c>
      <c r="P305" s="6" t="s">
        <v>104</v>
      </c>
      <c r="Q305" s="6" t="s">
        <v>104</v>
      </c>
      <c r="R305" s="6" t="s">
        <v>104</v>
      </c>
      <c r="S305" s="6" t="s">
        <v>104</v>
      </c>
      <c r="T305" s="21" t="s">
        <v>104</v>
      </c>
      <c r="U305" s="6" t="s">
        <v>104</v>
      </c>
      <c r="V305" s="6" t="s">
        <v>104</v>
      </c>
      <c r="W305" s="6" t="s">
        <v>104</v>
      </c>
      <c r="X305" s="6" t="s">
        <v>104</v>
      </c>
      <c r="Y305" s="21" t="s">
        <v>104</v>
      </c>
      <c r="Z305" s="6" t="s">
        <v>104</v>
      </c>
      <c r="AA305" s="6" t="s">
        <v>104</v>
      </c>
      <c r="AB305" s="6" t="s">
        <v>104</v>
      </c>
      <c r="AC305" s="6" t="s">
        <v>9714</v>
      </c>
      <c r="AD305" s="16" t="n">
        <v>45538</v>
      </c>
      <c r="AE305" s="6" t="s">
        <v>10792</v>
      </c>
      <c r="AF305" s="6" t="s">
        <v>104</v>
      </c>
      <c r="AG305" s="6" t="s">
        <v>104</v>
      </c>
      <c r="AH305" s="6" t="s">
        <v>13430</v>
      </c>
      <c r="AI305" s="6" t="s">
        <v>104</v>
      </c>
      <c r="AJ305" s="6" t="s">
        <v>15576</v>
      </c>
      <c r="AK305" s="6" t="s">
        <v>16680</v>
      </c>
      <c r="AL305" s="6" t="s">
        <v>16931</v>
      </c>
      <c r="AM305" s="6" t="s">
        <v>17190</v>
      </c>
      <c r="AN305" s="6" t="s">
        <v>104</v>
      </c>
      <c r="AO305" s="6" t="s">
        <v>104</v>
      </c>
      <c r="AP305" s="6" t="s">
        <v>13430</v>
      </c>
      <c r="AQ305" s="6" t="s">
        <v>104</v>
      </c>
      <c r="AR305" s="6" t="s">
        <v>15576</v>
      </c>
      <c r="AS305" s="6" t="s">
        <v>16680</v>
      </c>
      <c r="AT305" s="6" t="s">
        <v>16931</v>
      </c>
      <c r="AU305" s="6" t="s">
        <v>17190</v>
      </c>
      <c r="AV305" s="6" t="s">
        <v>104</v>
      </c>
      <c r="AW305" s="6" t="s">
        <v>104</v>
      </c>
      <c r="AX305" s="6" t="s">
        <v>20358</v>
      </c>
      <c r="AY305" s="6" t="s">
        <v>22101</v>
      </c>
      <c r="AZ305" s="6" t="s">
        <v>104</v>
      </c>
      <c r="BA305" s="6" t="s">
        <v>104</v>
      </c>
      <c r="BB305" s="24" t="n">
        <v>0</v>
      </c>
      <c r="BC305" s="26"/>
      <c r="BD305" s="26"/>
      <c r="BE305" s="26"/>
      <c r="BF305" s="26"/>
      <c r="BG305" s="26"/>
      <c r="BH305" s="26" t="s">
        <v>24533</v>
      </c>
      <c r="BI305" s="26"/>
      <c r="BJ305" s="26"/>
      <c r="BK305" s="26"/>
      <c r="BL305" s="26"/>
      <c r="BM305" s="26"/>
      <c r="BN305" s="26"/>
      <c r="BO305" s="26"/>
      <c r="BP305" s="16" t="n">
        <v>45664</v>
      </c>
      <c r="BQ305" s="28" t="str">
        <f>HYPERLINK("https://organic.ams.usda.gov/Integrity/Certificate.aspx?cid=51&amp;nopid=8241000107")</f>
        <v>https://organic.ams.usda.gov/Integrity/Certificate.aspx?cid=51&amp;nopid=8241000107</v>
      </c>
    </row>
    <row r="306">
      <c r="A306" t="s">
        <v>3</v>
      </c>
      <c r="B306" s="6" t="s">
        <v>29</v>
      </c>
      <c r="C306" s="6" t="s">
        <v>95</v>
      </c>
      <c r="D306" s="6" t="s">
        <v>160</v>
      </c>
      <c r="E306" s="10" t="s">
        <v>504</v>
      </c>
      <c r="F306" s="6" t="s">
        <v>2759</v>
      </c>
      <c r="G306" s="6" t="s">
        <v>104</v>
      </c>
      <c r="H306" s="6" t="s">
        <v>5170</v>
      </c>
      <c r="I306" s="6" t="s">
        <v>104</v>
      </c>
      <c r="J306" s="6" t="s">
        <v>8359</v>
      </c>
      <c r="K306" s="6" t="s">
        <v>9714</v>
      </c>
      <c r="L306" s="16" t="n">
        <v>38808</v>
      </c>
      <c r="M306" s="16" t="n">
        <v>45778</v>
      </c>
      <c r="N306" s="6" t="s">
        <v>104</v>
      </c>
      <c r="O306" s="21" t="s">
        <v>104</v>
      </c>
      <c r="P306" s="6" t="s">
        <v>104</v>
      </c>
      <c r="Q306" s="6" t="s">
        <v>104</v>
      </c>
      <c r="R306" s="6" t="s">
        <v>104</v>
      </c>
      <c r="S306" s="6" t="s">
        <v>104</v>
      </c>
      <c r="T306" s="21" t="s">
        <v>104</v>
      </c>
      <c r="U306" s="6" t="s">
        <v>104</v>
      </c>
      <c r="V306" s="6" t="s">
        <v>104</v>
      </c>
      <c r="W306" s="6" t="s">
        <v>104</v>
      </c>
      <c r="X306" s="6" t="s">
        <v>104</v>
      </c>
      <c r="Y306" s="21" t="s">
        <v>104</v>
      </c>
      <c r="Z306" s="6" t="s">
        <v>104</v>
      </c>
      <c r="AA306" s="6" t="s">
        <v>104</v>
      </c>
      <c r="AB306" s="6" t="s">
        <v>104</v>
      </c>
      <c r="AC306" s="6" t="s">
        <v>9714</v>
      </c>
      <c r="AD306" s="16" t="n">
        <v>38808</v>
      </c>
      <c r="AE306" s="6" t="s">
        <v>10793</v>
      </c>
      <c r="AF306" s="6" t="s">
        <v>104</v>
      </c>
      <c r="AG306" s="6" t="s">
        <v>104</v>
      </c>
      <c r="AH306" s="6" t="s">
        <v>13431</v>
      </c>
      <c r="AI306" s="6" t="s">
        <v>15241</v>
      </c>
      <c r="AJ306" s="6" t="s">
        <v>15577</v>
      </c>
      <c r="AK306" s="6" t="s">
        <v>16753</v>
      </c>
      <c r="AL306" s="6" t="s">
        <v>16956</v>
      </c>
      <c r="AM306" s="6" t="s">
        <v>17191</v>
      </c>
      <c r="AN306" s="6" t="s">
        <v>104</v>
      </c>
      <c r="AO306" s="6" t="s">
        <v>104</v>
      </c>
      <c r="AP306" s="6" t="s">
        <v>104</v>
      </c>
      <c r="AQ306" s="6" t="s">
        <v>104</v>
      </c>
      <c r="AR306" s="6" t="s">
        <v>104</v>
      </c>
      <c r="AS306" s="6" t="s">
        <v>104</v>
      </c>
      <c r="AT306" s="6" t="s">
        <v>104</v>
      </c>
      <c r="AU306" s="6" t="s">
        <v>104</v>
      </c>
      <c r="AV306" s="6" t="s">
        <v>104</v>
      </c>
      <c r="AW306" s="6" t="s">
        <v>104</v>
      </c>
      <c r="AX306" s="6" t="s">
        <v>20359</v>
      </c>
      <c r="AY306" s="6" t="s">
        <v>22102</v>
      </c>
      <c r="AZ306" s="6" t="s">
        <v>23770</v>
      </c>
      <c r="BA306" s="6" t="s">
        <v>104</v>
      </c>
      <c r="BB306" s="24" t="n">
        <v>0</v>
      </c>
      <c r="BC306" s="26"/>
      <c r="BD306" s="26"/>
      <c r="BE306" s="26"/>
      <c r="BF306" s="26"/>
      <c r="BG306" s="26"/>
      <c r="BH306" s="26"/>
      <c r="BI306" s="26"/>
      <c r="BJ306" s="26"/>
      <c r="BK306" s="26"/>
      <c r="BL306" s="26"/>
      <c r="BM306" s="26"/>
      <c r="BN306" s="26"/>
      <c r="BO306" s="26"/>
      <c r="BP306" s="16" t="n">
        <v>45725</v>
      </c>
      <c r="BQ306" s="28" t="str">
        <f>HYPERLINK("https://organic.ams.usda.gov/Integrity/Certificate.aspx?cid=24&amp;nopid=7885098800")</f>
        <v>https://organic.ams.usda.gov/Integrity/Certificate.aspx?cid=24&amp;nopid=7885098800</v>
      </c>
    </row>
    <row r="307">
      <c r="A307" t="s">
        <v>3</v>
      </c>
      <c r="B307" s="6" t="s">
        <v>17</v>
      </c>
      <c r="C307" s="6" t="s">
        <v>83</v>
      </c>
      <c r="D307" s="6" t="s">
        <v>148</v>
      </c>
      <c r="E307" s="10" t="s">
        <v>505</v>
      </c>
      <c r="F307" s="6" t="s">
        <v>2760</v>
      </c>
      <c r="G307" s="6" t="s">
        <v>104</v>
      </c>
      <c r="H307" s="6" t="s">
        <v>5171</v>
      </c>
      <c r="I307" s="6" t="s">
        <v>7137</v>
      </c>
      <c r="J307" s="6" t="s">
        <v>8360</v>
      </c>
      <c r="K307" s="6" t="s">
        <v>9714</v>
      </c>
      <c r="L307" s="16" t="n">
        <v>45538</v>
      </c>
      <c r="M307" s="16" t="n">
        <v>45778</v>
      </c>
      <c r="N307" s="6" t="s">
        <v>104</v>
      </c>
      <c r="O307" s="21" t="s">
        <v>104</v>
      </c>
      <c r="P307" s="6" t="s">
        <v>104</v>
      </c>
      <c r="Q307" s="6" t="s">
        <v>104</v>
      </c>
      <c r="R307" s="6" t="s">
        <v>104</v>
      </c>
      <c r="S307" s="6" t="s">
        <v>104</v>
      </c>
      <c r="T307" s="21" t="s">
        <v>104</v>
      </c>
      <c r="U307" s="6" t="s">
        <v>104</v>
      </c>
      <c r="V307" s="6" t="s">
        <v>104</v>
      </c>
      <c r="W307" s="6" t="s">
        <v>104</v>
      </c>
      <c r="X307" s="6" t="s">
        <v>104</v>
      </c>
      <c r="Y307" s="21" t="s">
        <v>104</v>
      </c>
      <c r="Z307" s="6" t="s">
        <v>104</v>
      </c>
      <c r="AA307" s="6" t="s">
        <v>104</v>
      </c>
      <c r="AB307" s="6" t="s">
        <v>104</v>
      </c>
      <c r="AC307" s="6" t="s">
        <v>9714</v>
      </c>
      <c r="AD307" s="16" t="n">
        <v>45538</v>
      </c>
      <c r="AE307" s="6" t="s">
        <v>10794</v>
      </c>
      <c r="AF307" s="6" t="s">
        <v>104</v>
      </c>
      <c r="AG307" s="6" t="s">
        <v>104</v>
      </c>
      <c r="AH307" s="6" t="s">
        <v>13432</v>
      </c>
      <c r="AI307" s="6" t="s">
        <v>104</v>
      </c>
      <c r="AJ307" s="6" t="s">
        <v>15578</v>
      </c>
      <c r="AK307" s="6" t="s">
        <v>15697</v>
      </c>
      <c r="AL307" s="6" t="s">
        <v>16931</v>
      </c>
      <c r="AM307" s="6" t="s">
        <v>17192</v>
      </c>
      <c r="AN307" s="6" t="s">
        <v>104</v>
      </c>
      <c r="AO307" s="6" t="s">
        <v>104</v>
      </c>
      <c r="AP307" s="6" t="s">
        <v>13432</v>
      </c>
      <c r="AQ307" s="6" t="s">
        <v>104</v>
      </c>
      <c r="AR307" s="6" t="s">
        <v>15578</v>
      </c>
      <c r="AS307" s="6" t="s">
        <v>15697</v>
      </c>
      <c r="AT307" s="6" t="s">
        <v>16931</v>
      </c>
      <c r="AU307" s="6" t="s">
        <v>17192</v>
      </c>
      <c r="AV307" s="6" t="s">
        <v>104</v>
      </c>
      <c r="AW307" s="6" t="s">
        <v>104</v>
      </c>
      <c r="AX307" s="6" t="s">
        <v>20360</v>
      </c>
      <c r="AY307" s="6" t="s">
        <v>22103</v>
      </c>
      <c r="AZ307" s="6" t="s">
        <v>104</v>
      </c>
      <c r="BA307" s="6" t="s">
        <v>104</v>
      </c>
      <c r="BB307" s="24" t="n">
        <v>0</v>
      </c>
      <c r="BC307" s="26"/>
      <c r="BD307" s="26"/>
      <c r="BE307" s="26"/>
      <c r="BF307" s="26"/>
      <c r="BG307" s="26"/>
      <c r="BH307" s="26" t="s">
        <v>24533</v>
      </c>
      <c r="BI307" s="26"/>
      <c r="BJ307" s="26"/>
      <c r="BK307" s="26"/>
      <c r="BL307" s="26"/>
      <c r="BM307" s="26"/>
      <c r="BN307" s="26"/>
      <c r="BO307" s="26"/>
      <c r="BP307" s="16" t="n">
        <v>45681</v>
      </c>
      <c r="BQ307" s="28" t="str">
        <f>HYPERLINK("https://organic.ams.usda.gov/Integrity/Certificate.aspx?cid=51&amp;nopid=8241000106")</f>
        <v>https://organic.ams.usda.gov/Integrity/Certificate.aspx?cid=51&amp;nopid=8241000106</v>
      </c>
    </row>
    <row r="308">
      <c r="A308" t="s">
        <v>3</v>
      </c>
      <c r="B308" s="6" t="s">
        <v>13</v>
      </c>
      <c r="C308" s="6" t="s">
        <v>79</v>
      </c>
      <c r="D308" s="6" t="s">
        <v>144</v>
      </c>
      <c r="E308" s="10" t="s">
        <v>506</v>
      </c>
      <c r="F308" s="6" t="s">
        <v>2761</v>
      </c>
      <c r="G308" s="6" t="s">
        <v>104</v>
      </c>
      <c r="H308" s="6" t="s">
        <v>5172</v>
      </c>
      <c r="I308" s="6" t="s">
        <v>7138</v>
      </c>
      <c r="J308" s="6" t="s">
        <v>8361</v>
      </c>
      <c r="K308" s="6" t="s">
        <v>9714</v>
      </c>
      <c r="L308" s="16" t="n">
        <v>45554</v>
      </c>
      <c r="M308" s="16" t="n">
        <v>46023</v>
      </c>
      <c r="N308" s="6" t="s">
        <v>104</v>
      </c>
      <c r="O308" s="21" t="s">
        <v>104</v>
      </c>
      <c r="P308" s="6" t="s">
        <v>104</v>
      </c>
      <c r="Q308" s="6" t="s">
        <v>104</v>
      </c>
      <c r="R308" s="6" t="s">
        <v>104</v>
      </c>
      <c r="S308" s="6" t="s">
        <v>104</v>
      </c>
      <c r="T308" s="21" t="s">
        <v>104</v>
      </c>
      <c r="U308" s="6" t="s">
        <v>104</v>
      </c>
      <c r="V308" s="6" t="s">
        <v>104</v>
      </c>
      <c r="W308" s="6" t="s">
        <v>104</v>
      </c>
      <c r="X308" s="6" t="s">
        <v>104</v>
      </c>
      <c r="Y308" s="21" t="s">
        <v>104</v>
      </c>
      <c r="Z308" s="6" t="s">
        <v>104</v>
      </c>
      <c r="AA308" s="6" t="s">
        <v>104</v>
      </c>
      <c r="AB308" s="6" t="s">
        <v>104</v>
      </c>
      <c r="AC308" s="6" t="s">
        <v>9714</v>
      </c>
      <c r="AD308" s="16" t="n">
        <v>45554</v>
      </c>
      <c r="AE308" s="6" t="s">
        <v>10795</v>
      </c>
      <c r="AF308" s="6" t="s">
        <v>104</v>
      </c>
      <c r="AG308" s="6" t="s">
        <v>104</v>
      </c>
      <c r="AH308" s="6" t="s">
        <v>104</v>
      </c>
      <c r="AI308" s="6" t="s">
        <v>104</v>
      </c>
      <c r="AJ308" s="6" t="s">
        <v>104</v>
      </c>
      <c r="AK308" s="6" t="s">
        <v>104</v>
      </c>
      <c r="AL308" s="6" t="s">
        <v>104</v>
      </c>
      <c r="AM308" s="6" t="s">
        <v>104</v>
      </c>
      <c r="AN308" s="6" t="s">
        <v>104</v>
      </c>
      <c r="AO308" s="6" t="s">
        <v>104</v>
      </c>
      <c r="AP308" s="6" t="s">
        <v>19031</v>
      </c>
      <c r="AQ308" s="6" t="s">
        <v>19549</v>
      </c>
      <c r="AR308" s="6" t="s">
        <v>19615</v>
      </c>
      <c r="AS308" s="6" t="s">
        <v>16680</v>
      </c>
      <c r="AT308" s="6" t="s">
        <v>16931</v>
      </c>
      <c r="AU308" s="6" t="s">
        <v>19839</v>
      </c>
      <c r="AV308" s="6" t="s">
        <v>104</v>
      </c>
      <c r="AW308" s="6" t="s">
        <v>104</v>
      </c>
      <c r="AX308" s="6" t="s">
        <v>20361</v>
      </c>
      <c r="AY308" s="6" t="s">
        <v>22104</v>
      </c>
      <c r="AZ308" s="6" t="s">
        <v>104</v>
      </c>
      <c r="BA308" s="6" t="s">
        <v>104</v>
      </c>
      <c r="BB308" s="6" t="s">
        <v>104</v>
      </c>
      <c r="BC308" s="26"/>
      <c r="BD308" s="26"/>
      <c r="BE308" s="26"/>
      <c r="BF308" s="26"/>
      <c r="BG308" s="26" t="s">
        <v>24533</v>
      </c>
      <c r="BH308" s="26" t="s">
        <v>24533</v>
      </c>
      <c r="BI308" s="26"/>
      <c r="BJ308" s="26"/>
      <c r="BK308" s="26"/>
      <c r="BL308" s="26" t="s">
        <v>24533</v>
      </c>
      <c r="BM308" s="26"/>
      <c r="BN308" s="26" t="s">
        <v>24533</v>
      </c>
      <c r="BO308" s="26"/>
      <c r="BP308" s="16" t="n">
        <v>45678</v>
      </c>
      <c r="BQ308" s="28" t="str">
        <f>HYPERLINK("https://organic.ams.usda.gov/Integrity/Certificate.aspx?cid=62&amp;nopid=8150025455")</f>
        <v>https://organic.ams.usda.gov/Integrity/Certificate.aspx?cid=62&amp;nopid=8150025455</v>
      </c>
    </row>
    <row r="309">
      <c r="A309" t="s">
        <v>3</v>
      </c>
      <c r="B309" s="6" t="s">
        <v>15</v>
      </c>
      <c r="C309" s="6" t="s">
        <v>81</v>
      </c>
      <c r="D309" s="6" t="s">
        <v>146</v>
      </c>
      <c r="E309" s="10" t="s">
        <v>507</v>
      </c>
      <c r="F309" s="6" t="s">
        <v>2762</v>
      </c>
      <c r="G309" s="6" t="s">
        <v>104</v>
      </c>
      <c r="H309" s="6" t="s">
        <v>5173</v>
      </c>
      <c r="I309" s="6" t="s">
        <v>104</v>
      </c>
      <c r="J309" s="6" t="s">
        <v>104</v>
      </c>
      <c r="K309" s="6" t="s">
        <v>9714</v>
      </c>
      <c r="L309" s="16" t="n">
        <v>43473</v>
      </c>
      <c r="M309" s="16" t="n">
        <v>45748</v>
      </c>
      <c r="N309" s="6" t="s">
        <v>9714</v>
      </c>
      <c r="O309" s="16" t="n">
        <v>43473</v>
      </c>
      <c r="P309" s="6" t="s">
        <v>9815</v>
      </c>
      <c r="Q309" s="6" t="s">
        <v>104</v>
      </c>
      <c r="R309" s="6" t="s">
        <v>10325</v>
      </c>
      <c r="S309" s="6" t="s">
        <v>104</v>
      </c>
      <c r="T309" s="21" t="s">
        <v>104</v>
      </c>
      <c r="U309" s="6" t="s">
        <v>104</v>
      </c>
      <c r="V309" s="6" t="s">
        <v>104</v>
      </c>
      <c r="W309" s="6" t="s">
        <v>104</v>
      </c>
      <c r="X309" s="6" t="s">
        <v>104</v>
      </c>
      <c r="Y309" s="21" t="s">
        <v>104</v>
      </c>
      <c r="Z309" s="6" t="s">
        <v>104</v>
      </c>
      <c r="AA309" s="6" t="s">
        <v>104</v>
      </c>
      <c r="AB309" s="6" t="s">
        <v>104</v>
      </c>
      <c r="AC309" s="6" t="s">
        <v>9714</v>
      </c>
      <c r="AD309" s="16" t="n">
        <v>43473</v>
      </c>
      <c r="AE309" s="6" t="s">
        <v>10796</v>
      </c>
      <c r="AF309" s="6" t="s">
        <v>104</v>
      </c>
      <c r="AG309" s="6" t="s">
        <v>10325</v>
      </c>
      <c r="AH309" s="6" t="s">
        <v>13433</v>
      </c>
      <c r="AI309" s="6" t="s">
        <v>104</v>
      </c>
      <c r="AJ309" s="6" t="s">
        <v>15579</v>
      </c>
      <c r="AK309" s="6" t="s">
        <v>16738</v>
      </c>
      <c r="AL309" s="6" t="s">
        <v>16931</v>
      </c>
      <c r="AM309" s="6" t="s">
        <v>17193</v>
      </c>
      <c r="AN309" s="6" t="s">
        <v>18501</v>
      </c>
      <c r="AO309" s="6" t="s">
        <v>18633</v>
      </c>
      <c r="AP309" s="6" t="s">
        <v>104</v>
      </c>
      <c r="AQ309" s="6" t="s">
        <v>104</v>
      </c>
      <c r="AR309" s="6" t="s">
        <v>104</v>
      </c>
      <c r="AS309" s="6" t="s">
        <v>104</v>
      </c>
      <c r="AT309" s="6" t="s">
        <v>104</v>
      </c>
      <c r="AU309" s="6" t="s">
        <v>104</v>
      </c>
      <c r="AV309" s="6" t="s">
        <v>104</v>
      </c>
      <c r="AW309" s="6" t="s">
        <v>104</v>
      </c>
      <c r="AX309" s="6" t="s">
        <v>20362</v>
      </c>
      <c r="AY309" s="6" t="s">
        <v>22105</v>
      </c>
      <c r="AZ309" s="6" t="s">
        <v>104</v>
      </c>
      <c r="BA309" s="6" t="s">
        <v>104</v>
      </c>
      <c r="BB309" s="24" t="n">
        <v>122</v>
      </c>
      <c r="BC309" s="26"/>
      <c r="BD309" s="26"/>
      <c r="BE309" s="26"/>
      <c r="BF309" s="26"/>
      <c r="BG309" s="26"/>
      <c r="BH309" s="26"/>
      <c r="BI309" s="26"/>
      <c r="BJ309" s="26"/>
      <c r="BK309" s="26"/>
      <c r="BL309" s="26"/>
      <c r="BM309" s="26"/>
      <c r="BN309" s="26"/>
      <c r="BO309" s="26"/>
      <c r="BP309" s="16" t="n">
        <v>45738</v>
      </c>
      <c r="BQ309" s="28" t="str">
        <f>HYPERLINK("https://organic.ams.usda.gov/Integrity/Certificate.aspx?cid=52&amp;nopid=8431801578")</f>
        <v>https://organic.ams.usda.gov/Integrity/Certificate.aspx?cid=52&amp;nopid=8431801578</v>
      </c>
    </row>
    <row r="310">
      <c r="A310" t="s">
        <v>3</v>
      </c>
      <c r="B310" s="6" t="s">
        <v>13</v>
      </c>
      <c r="C310" s="6" t="s">
        <v>79</v>
      </c>
      <c r="D310" s="6" t="s">
        <v>144</v>
      </c>
      <c r="E310" s="10" t="s">
        <v>508</v>
      </c>
      <c r="F310" s="6" t="s">
        <v>2763</v>
      </c>
      <c r="G310" s="6" t="s">
        <v>104</v>
      </c>
      <c r="H310" s="6" t="s">
        <v>5174</v>
      </c>
      <c r="I310" s="6" t="s">
        <v>7139</v>
      </c>
      <c r="J310" s="6" t="s">
        <v>8362</v>
      </c>
      <c r="K310" s="6" t="s">
        <v>9714</v>
      </c>
      <c r="L310" s="16" t="n">
        <v>42487</v>
      </c>
      <c r="M310" s="16" t="n">
        <v>45748</v>
      </c>
      <c r="N310" s="6" t="s">
        <v>9714</v>
      </c>
      <c r="O310" s="16" t="n">
        <v>42487</v>
      </c>
      <c r="P310" s="6" t="s">
        <v>9816</v>
      </c>
      <c r="Q310" s="6" t="s">
        <v>104</v>
      </c>
      <c r="R310" s="6" t="s">
        <v>104</v>
      </c>
      <c r="S310" s="6" t="s">
        <v>104</v>
      </c>
      <c r="T310" s="21" t="s">
        <v>104</v>
      </c>
      <c r="U310" s="6" t="s">
        <v>104</v>
      </c>
      <c r="V310" s="6" t="s">
        <v>104</v>
      </c>
      <c r="W310" s="6" t="s">
        <v>104</v>
      </c>
      <c r="X310" s="6" t="s">
        <v>104</v>
      </c>
      <c r="Y310" s="21" t="s">
        <v>104</v>
      </c>
      <c r="Z310" s="6" t="s">
        <v>104</v>
      </c>
      <c r="AA310" s="6" t="s">
        <v>104</v>
      </c>
      <c r="AB310" s="6" t="s">
        <v>104</v>
      </c>
      <c r="AC310" s="6" t="s">
        <v>104</v>
      </c>
      <c r="AD310" s="21" t="s">
        <v>104</v>
      </c>
      <c r="AE310" s="6" t="s">
        <v>104</v>
      </c>
      <c r="AF310" s="6" t="s">
        <v>104</v>
      </c>
      <c r="AG310" s="6" t="s">
        <v>104</v>
      </c>
      <c r="AH310" s="6" t="s">
        <v>104</v>
      </c>
      <c r="AI310" s="6" t="s">
        <v>104</v>
      </c>
      <c r="AJ310" s="6" t="s">
        <v>104</v>
      </c>
      <c r="AK310" s="6" t="s">
        <v>104</v>
      </c>
      <c r="AL310" s="6" t="s">
        <v>104</v>
      </c>
      <c r="AM310" s="6" t="s">
        <v>104</v>
      </c>
      <c r="AN310" s="6" t="s">
        <v>104</v>
      </c>
      <c r="AO310" s="6" t="s">
        <v>104</v>
      </c>
      <c r="AP310" s="6" t="s">
        <v>19032</v>
      </c>
      <c r="AQ310" s="6" t="s">
        <v>104</v>
      </c>
      <c r="AR310" s="6" t="s">
        <v>19616</v>
      </c>
      <c r="AS310" s="6" t="s">
        <v>16687</v>
      </c>
      <c r="AT310" s="6" t="s">
        <v>16931</v>
      </c>
      <c r="AU310" s="6" t="s">
        <v>19840</v>
      </c>
      <c r="AV310" s="6" t="s">
        <v>18455</v>
      </c>
      <c r="AW310" s="6" t="s">
        <v>18612</v>
      </c>
      <c r="AX310" s="6" t="s">
        <v>20363</v>
      </c>
      <c r="AY310" s="6" t="s">
        <v>22106</v>
      </c>
      <c r="AZ310" s="6" t="s">
        <v>104</v>
      </c>
      <c r="BA310" s="6" t="s">
        <v>104</v>
      </c>
      <c r="BB310" s="24" t="n">
        <v>360</v>
      </c>
      <c r="BC310" s="26"/>
      <c r="BD310" s="26"/>
      <c r="BE310" s="26"/>
      <c r="BF310" s="26"/>
      <c r="BG310" s="26"/>
      <c r="BH310" s="26"/>
      <c r="BI310" s="26"/>
      <c r="BJ310" s="26"/>
      <c r="BK310" s="26"/>
      <c r="BL310" s="26"/>
      <c r="BM310" s="26"/>
      <c r="BN310" s="26"/>
      <c r="BO310" s="26"/>
      <c r="BP310" s="16" t="n">
        <v>45735</v>
      </c>
      <c r="BQ310" s="28" t="str">
        <f>HYPERLINK("https://organic.ams.usda.gov/Integrity/Certificate.aspx?cid=62&amp;nopid=8150002077")</f>
        <v>https://organic.ams.usda.gov/Integrity/Certificate.aspx?cid=62&amp;nopid=8150002077</v>
      </c>
    </row>
    <row r="311">
      <c r="A311" t="s">
        <v>3</v>
      </c>
      <c r="B311" s="6" t="s">
        <v>23</v>
      </c>
      <c r="C311" s="6" t="s">
        <v>89</v>
      </c>
      <c r="D311" s="6" t="s">
        <v>154</v>
      </c>
      <c r="E311" s="10" t="s">
        <v>509</v>
      </c>
      <c r="F311" s="6" t="s">
        <v>2764</v>
      </c>
      <c r="G311" s="6" t="s">
        <v>4701</v>
      </c>
      <c r="H311" s="6" t="s">
        <v>5175</v>
      </c>
      <c r="I311" s="6" t="s">
        <v>7140</v>
      </c>
      <c r="J311" s="6" t="s">
        <v>8363</v>
      </c>
      <c r="K311" s="6" t="s">
        <v>9714</v>
      </c>
      <c r="L311" s="16" t="n">
        <v>45590</v>
      </c>
      <c r="M311" s="16" t="n">
        <v>45748</v>
      </c>
      <c r="N311" s="6" t="s">
        <v>104</v>
      </c>
      <c r="O311" s="21" t="s">
        <v>104</v>
      </c>
      <c r="P311" s="6" t="s">
        <v>104</v>
      </c>
      <c r="Q311" s="6" t="s">
        <v>104</v>
      </c>
      <c r="R311" s="6" t="s">
        <v>104</v>
      </c>
      <c r="S311" s="6" t="s">
        <v>104</v>
      </c>
      <c r="T311" s="21" t="s">
        <v>104</v>
      </c>
      <c r="U311" s="6" t="s">
        <v>104</v>
      </c>
      <c r="V311" s="6" t="s">
        <v>104</v>
      </c>
      <c r="W311" s="6" t="s">
        <v>104</v>
      </c>
      <c r="X311" s="6" t="s">
        <v>104</v>
      </c>
      <c r="Y311" s="21" t="s">
        <v>104</v>
      </c>
      <c r="Z311" s="6" t="s">
        <v>104</v>
      </c>
      <c r="AA311" s="6" t="s">
        <v>104</v>
      </c>
      <c r="AB311" s="6" t="s">
        <v>104</v>
      </c>
      <c r="AC311" s="6" t="s">
        <v>9714</v>
      </c>
      <c r="AD311" s="16" t="n">
        <v>45590</v>
      </c>
      <c r="AE311" s="6" t="s">
        <v>10797</v>
      </c>
      <c r="AF311" s="6" t="s">
        <v>104</v>
      </c>
      <c r="AG311" s="6" t="s">
        <v>5175</v>
      </c>
      <c r="AH311" s="6" t="s">
        <v>13434</v>
      </c>
      <c r="AI311" s="6" t="s">
        <v>104</v>
      </c>
      <c r="AJ311" s="6" t="s">
        <v>15580</v>
      </c>
      <c r="AK311" s="6" t="s">
        <v>16681</v>
      </c>
      <c r="AL311" s="6" t="s">
        <v>16931</v>
      </c>
      <c r="AM311" s="6" t="s">
        <v>17194</v>
      </c>
      <c r="AN311" s="6" t="s">
        <v>104</v>
      </c>
      <c r="AO311" s="6" t="s">
        <v>104</v>
      </c>
      <c r="AP311" s="6" t="s">
        <v>104</v>
      </c>
      <c r="AQ311" s="6" t="s">
        <v>104</v>
      </c>
      <c r="AR311" s="6" t="s">
        <v>104</v>
      </c>
      <c r="AS311" s="6" t="s">
        <v>104</v>
      </c>
      <c r="AT311" s="6" t="s">
        <v>104</v>
      </c>
      <c r="AU311" s="6" t="s">
        <v>104</v>
      </c>
      <c r="AV311" s="6" t="s">
        <v>104</v>
      </c>
      <c r="AW311" s="6" t="s">
        <v>104</v>
      </c>
      <c r="AX311" s="6" t="s">
        <v>104</v>
      </c>
      <c r="AY311" s="6" t="s">
        <v>22107</v>
      </c>
      <c r="AZ311" s="6" t="s">
        <v>104</v>
      </c>
      <c r="BA311" s="6" t="s">
        <v>104</v>
      </c>
      <c r="BB311" s="24" t="n">
        <v>0</v>
      </c>
      <c r="BC311" s="26"/>
      <c r="BD311" s="26"/>
      <c r="BE311" s="26"/>
      <c r="BF311" s="26"/>
      <c r="BG311" s="26" t="s">
        <v>24533</v>
      </c>
      <c r="BH311" s="26"/>
      <c r="BI311" s="26"/>
      <c r="BJ311" s="26"/>
      <c r="BK311" s="26"/>
      <c r="BL311" s="26"/>
      <c r="BM311" s="26"/>
      <c r="BN311" s="26"/>
      <c r="BO311" s="26"/>
      <c r="BP311" s="16" t="n">
        <v>45590</v>
      </c>
      <c r="BQ311" s="28" t="str">
        <f>HYPERLINK("https://organic.ams.usda.gov/Integrity/Certificate.aspx?cid=45&amp;nopid=9950013686")</f>
        <v>https://organic.ams.usda.gov/Integrity/Certificate.aspx?cid=45&amp;nopid=9950013686</v>
      </c>
    </row>
    <row r="312">
      <c r="A312" t="s">
        <v>3</v>
      </c>
      <c r="B312" s="6" t="s">
        <v>12</v>
      </c>
      <c r="C312" s="6" t="s">
        <v>78</v>
      </c>
      <c r="D312" s="6" t="s">
        <v>143</v>
      </c>
      <c r="E312" s="10" t="s">
        <v>510</v>
      </c>
      <c r="F312" s="6" t="s">
        <v>2765</v>
      </c>
      <c r="G312" s="6" t="s">
        <v>104</v>
      </c>
      <c r="H312" s="6" t="s">
        <v>104</v>
      </c>
      <c r="I312" s="6" t="s">
        <v>7141</v>
      </c>
      <c r="J312" s="6" t="s">
        <v>8364</v>
      </c>
      <c r="K312" s="6" t="s">
        <v>9714</v>
      </c>
      <c r="L312" s="16" t="n">
        <v>44621</v>
      </c>
      <c r="M312" s="16" t="n">
        <v>45901</v>
      </c>
      <c r="N312" s="6" t="s">
        <v>104</v>
      </c>
      <c r="O312" s="21" t="s">
        <v>104</v>
      </c>
      <c r="P312" s="6" t="s">
        <v>104</v>
      </c>
      <c r="Q312" s="6" t="s">
        <v>104</v>
      </c>
      <c r="R312" s="6" t="s">
        <v>104</v>
      </c>
      <c r="S312" s="6" t="s">
        <v>104</v>
      </c>
      <c r="T312" s="21" t="s">
        <v>104</v>
      </c>
      <c r="U312" s="6" t="s">
        <v>104</v>
      </c>
      <c r="V312" s="6" t="s">
        <v>104</v>
      </c>
      <c r="W312" s="6" t="s">
        <v>104</v>
      </c>
      <c r="X312" s="6" t="s">
        <v>104</v>
      </c>
      <c r="Y312" s="21" t="s">
        <v>104</v>
      </c>
      <c r="Z312" s="6" t="s">
        <v>104</v>
      </c>
      <c r="AA312" s="6" t="s">
        <v>104</v>
      </c>
      <c r="AB312" s="6" t="s">
        <v>104</v>
      </c>
      <c r="AC312" s="6" t="s">
        <v>9714</v>
      </c>
      <c r="AD312" s="16" t="n">
        <v>44621</v>
      </c>
      <c r="AE312" s="6" t="s">
        <v>10798</v>
      </c>
      <c r="AF312" s="6" t="s">
        <v>104</v>
      </c>
      <c r="AG312" s="6" t="s">
        <v>104</v>
      </c>
      <c r="AH312" s="6" t="s">
        <v>13435</v>
      </c>
      <c r="AI312" s="6" t="s">
        <v>104</v>
      </c>
      <c r="AJ312" s="6" t="s">
        <v>15581</v>
      </c>
      <c r="AK312" s="6" t="s">
        <v>16681</v>
      </c>
      <c r="AL312" s="6" t="s">
        <v>16931</v>
      </c>
      <c r="AM312" s="6" t="s">
        <v>17195</v>
      </c>
      <c r="AN312" s="6" t="s">
        <v>18483</v>
      </c>
      <c r="AO312" s="6" t="s">
        <v>18634</v>
      </c>
      <c r="AP312" s="6" t="s">
        <v>13435</v>
      </c>
      <c r="AQ312" s="6" t="s">
        <v>104</v>
      </c>
      <c r="AR312" s="6" t="s">
        <v>15581</v>
      </c>
      <c r="AS312" s="6" t="s">
        <v>16681</v>
      </c>
      <c r="AT312" s="6" t="s">
        <v>16931</v>
      </c>
      <c r="AU312" s="6" t="s">
        <v>17195</v>
      </c>
      <c r="AV312" s="6" t="s">
        <v>104</v>
      </c>
      <c r="AW312" s="6" t="s">
        <v>104</v>
      </c>
      <c r="AX312" s="6" t="s">
        <v>104</v>
      </c>
      <c r="AY312" s="6" t="s">
        <v>22108</v>
      </c>
      <c r="AZ312" s="6" t="s">
        <v>104</v>
      </c>
      <c r="BA312" s="6" t="s">
        <v>104</v>
      </c>
      <c r="BB312" s="6" t="s">
        <v>104</v>
      </c>
      <c r="BC312" s="26"/>
      <c r="BD312" s="26"/>
      <c r="BE312" s="26"/>
      <c r="BF312" s="26"/>
      <c r="BG312" s="26"/>
      <c r="BH312" s="26"/>
      <c r="BI312" s="26"/>
      <c r="BJ312" s="26"/>
      <c r="BK312" s="26"/>
      <c r="BL312" s="26"/>
      <c r="BM312" s="26"/>
      <c r="BN312" s="26"/>
      <c r="BO312" s="26"/>
      <c r="BP312" s="16" t="n">
        <v>45628</v>
      </c>
      <c r="BQ312" s="28" t="str">
        <f>HYPERLINK("https://organic.ams.usda.gov/Integrity/Certificate.aspx?cid=1&amp;nopid=9092135601")</f>
        <v>https://organic.ams.usda.gov/Integrity/Certificate.aspx?cid=1&amp;nopid=9092135601</v>
      </c>
    </row>
    <row r="313">
      <c r="A313" t="s">
        <v>3</v>
      </c>
      <c r="B313" s="6" t="s">
        <v>53</v>
      </c>
      <c r="C313" s="6" t="s">
        <v>119</v>
      </c>
      <c r="D313" s="6" t="s">
        <v>183</v>
      </c>
      <c r="E313" s="10" t="s">
        <v>511</v>
      </c>
      <c r="F313" s="6" t="s">
        <v>2766</v>
      </c>
      <c r="G313" s="6" t="s">
        <v>104</v>
      </c>
      <c r="H313" s="6" t="s">
        <v>104</v>
      </c>
      <c r="I313" s="6" t="s">
        <v>7142</v>
      </c>
      <c r="J313" s="6" t="s">
        <v>8300</v>
      </c>
      <c r="K313" s="6" t="s">
        <v>9714</v>
      </c>
      <c r="L313" s="16" t="n">
        <v>45531</v>
      </c>
      <c r="M313" s="16" t="n">
        <v>45896</v>
      </c>
      <c r="N313" s="6" t="s">
        <v>104</v>
      </c>
      <c r="O313" s="21" t="s">
        <v>104</v>
      </c>
      <c r="P313" s="6" t="s">
        <v>104</v>
      </c>
      <c r="Q313" s="6" t="s">
        <v>104</v>
      </c>
      <c r="R313" s="6" t="s">
        <v>104</v>
      </c>
      <c r="S313" s="6" t="s">
        <v>104</v>
      </c>
      <c r="T313" s="21" t="s">
        <v>104</v>
      </c>
      <c r="U313" s="6" t="s">
        <v>104</v>
      </c>
      <c r="V313" s="6" t="s">
        <v>104</v>
      </c>
      <c r="W313" s="6" t="s">
        <v>104</v>
      </c>
      <c r="X313" s="6" t="s">
        <v>104</v>
      </c>
      <c r="Y313" s="21" t="s">
        <v>104</v>
      </c>
      <c r="Z313" s="6" t="s">
        <v>104</v>
      </c>
      <c r="AA313" s="6" t="s">
        <v>104</v>
      </c>
      <c r="AB313" s="6" t="s">
        <v>104</v>
      </c>
      <c r="AC313" s="6" t="s">
        <v>9714</v>
      </c>
      <c r="AD313" s="16" t="n">
        <v>45531</v>
      </c>
      <c r="AE313" s="6" t="s">
        <v>10799</v>
      </c>
      <c r="AF313" s="6" t="s">
        <v>104</v>
      </c>
      <c r="AG313" s="6" t="s">
        <v>104</v>
      </c>
      <c r="AH313" s="6" t="s">
        <v>13436</v>
      </c>
      <c r="AI313" s="6" t="s">
        <v>104</v>
      </c>
      <c r="AJ313" s="6" t="s">
        <v>15582</v>
      </c>
      <c r="AK313" s="6" t="s">
        <v>16681</v>
      </c>
      <c r="AL313" s="6" t="s">
        <v>16931</v>
      </c>
      <c r="AM313" s="6" t="s">
        <v>17196</v>
      </c>
      <c r="AN313" s="6" t="s">
        <v>104</v>
      </c>
      <c r="AO313" s="6" t="s">
        <v>104</v>
      </c>
      <c r="AP313" s="6" t="s">
        <v>104</v>
      </c>
      <c r="AQ313" s="6" t="s">
        <v>104</v>
      </c>
      <c r="AR313" s="6" t="s">
        <v>104</v>
      </c>
      <c r="AS313" s="6" t="s">
        <v>104</v>
      </c>
      <c r="AT313" s="6" t="s">
        <v>104</v>
      </c>
      <c r="AU313" s="6" t="s">
        <v>104</v>
      </c>
      <c r="AV313" s="6" t="s">
        <v>104</v>
      </c>
      <c r="AW313" s="6" t="s">
        <v>104</v>
      </c>
      <c r="AX313" s="6" t="s">
        <v>104</v>
      </c>
      <c r="AY313" s="6" t="s">
        <v>22109</v>
      </c>
      <c r="AZ313" s="6" t="s">
        <v>104</v>
      </c>
      <c r="BA313" s="6" t="s">
        <v>104</v>
      </c>
      <c r="BB313" s="6" t="s">
        <v>104</v>
      </c>
      <c r="BC313" s="26"/>
      <c r="BD313" s="26"/>
      <c r="BE313" s="26"/>
      <c r="BF313" s="26"/>
      <c r="BG313" s="26"/>
      <c r="BH313" s="26"/>
      <c r="BI313" s="26"/>
      <c r="BJ313" s="26"/>
      <c r="BK313" s="26"/>
      <c r="BL313" s="26"/>
      <c r="BM313" s="26"/>
      <c r="BN313" s="26"/>
      <c r="BO313" s="26"/>
      <c r="BP313" s="16" t="n">
        <v>45723</v>
      </c>
      <c r="BQ313" s="28" t="str">
        <f>HYPERLINK("https://organic.ams.usda.gov/Integrity/Certificate.aspx?cid=74&amp;nopid=5350000348")</f>
        <v>https://organic.ams.usda.gov/Integrity/Certificate.aspx?cid=74&amp;nopid=5350000348</v>
      </c>
    </row>
    <row r="314">
      <c r="A314" t="s">
        <v>3</v>
      </c>
      <c r="B314" s="6" t="s">
        <v>23</v>
      </c>
      <c r="C314" s="6" t="s">
        <v>89</v>
      </c>
      <c r="D314" s="6" t="s">
        <v>154</v>
      </c>
      <c r="E314" s="10" t="s">
        <v>512</v>
      </c>
      <c r="F314" s="6" t="s">
        <v>2767</v>
      </c>
      <c r="G314" s="6" t="s">
        <v>104</v>
      </c>
      <c r="H314" s="6" t="s">
        <v>5176</v>
      </c>
      <c r="I314" s="6" t="s">
        <v>7143</v>
      </c>
      <c r="J314" s="6" t="s">
        <v>8365</v>
      </c>
      <c r="K314" s="6" t="s">
        <v>9714</v>
      </c>
      <c r="L314" s="16" t="n">
        <v>41125</v>
      </c>
      <c r="M314" s="16" t="n">
        <v>45383</v>
      </c>
      <c r="N314" s="6" t="s">
        <v>9714</v>
      </c>
      <c r="O314" s="16" t="n">
        <v>41125</v>
      </c>
      <c r="P314" s="6" t="s">
        <v>9817</v>
      </c>
      <c r="Q314" s="6" t="s">
        <v>104</v>
      </c>
      <c r="R314" s="6" t="s">
        <v>5176</v>
      </c>
      <c r="S314" s="6" t="s">
        <v>104</v>
      </c>
      <c r="T314" s="21" t="s">
        <v>104</v>
      </c>
      <c r="U314" s="6" t="s">
        <v>104</v>
      </c>
      <c r="V314" s="6" t="s">
        <v>104</v>
      </c>
      <c r="W314" s="6" t="s">
        <v>104</v>
      </c>
      <c r="X314" s="6" t="s">
        <v>104</v>
      </c>
      <c r="Y314" s="21" t="s">
        <v>104</v>
      </c>
      <c r="Z314" s="6" t="s">
        <v>104</v>
      </c>
      <c r="AA314" s="6" t="s">
        <v>104</v>
      </c>
      <c r="AB314" s="6" t="s">
        <v>104</v>
      </c>
      <c r="AC314" s="6" t="s">
        <v>9714</v>
      </c>
      <c r="AD314" s="16" t="n">
        <v>41125</v>
      </c>
      <c r="AE314" s="6" t="s">
        <v>10800</v>
      </c>
      <c r="AF314" s="6" t="s">
        <v>104</v>
      </c>
      <c r="AG314" s="6" t="s">
        <v>5176</v>
      </c>
      <c r="AH314" s="6" t="s">
        <v>13437</v>
      </c>
      <c r="AI314" s="6" t="s">
        <v>104</v>
      </c>
      <c r="AJ314" s="6" t="s">
        <v>15583</v>
      </c>
      <c r="AK314" s="6" t="s">
        <v>16710</v>
      </c>
      <c r="AL314" s="6" t="s">
        <v>16931</v>
      </c>
      <c r="AM314" s="6" t="s">
        <v>17197</v>
      </c>
      <c r="AN314" s="6" t="s">
        <v>18484</v>
      </c>
      <c r="AO314" s="6" t="s">
        <v>18635</v>
      </c>
      <c r="AP314" s="6" t="s">
        <v>19033</v>
      </c>
      <c r="AQ314" s="6" t="s">
        <v>104</v>
      </c>
      <c r="AR314" s="6" t="s">
        <v>15583</v>
      </c>
      <c r="AS314" s="6" t="s">
        <v>16710</v>
      </c>
      <c r="AT314" s="6" t="s">
        <v>16931</v>
      </c>
      <c r="AU314" s="6" t="s">
        <v>17197</v>
      </c>
      <c r="AV314" s="6" t="s">
        <v>104</v>
      </c>
      <c r="AW314" s="6" t="s">
        <v>104</v>
      </c>
      <c r="AX314" s="6" t="s">
        <v>104</v>
      </c>
      <c r="AY314" s="6" t="s">
        <v>22110</v>
      </c>
      <c r="AZ314" s="6" t="s">
        <v>23771</v>
      </c>
      <c r="BA314" s="6" t="s">
        <v>24261</v>
      </c>
      <c r="BB314" s="24" t="n">
        <v>1</v>
      </c>
      <c r="BC314" s="26"/>
      <c r="BD314" s="26"/>
      <c r="BE314" s="26"/>
      <c r="BF314" s="26"/>
      <c r="BG314" s="26"/>
      <c r="BH314" s="26"/>
      <c r="BI314" s="26"/>
      <c r="BJ314" s="26"/>
      <c r="BK314" s="26"/>
      <c r="BL314" s="26"/>
      <c r="BM314" s="26"/>
      <c r="BN314" s="26"/>
      <c r="BO314" s="26"/>
      <c r="BP314" s="16" t="n">
        <v>45504</v>
      </c>
      <c r="BQ314" s="28" t="str">
        <f>HYPERLINK("https://organic.ams.usda.gov/Integrity/Certificate.aspx?cid=45&amp;nopid=9950006090")</f>
        <v>https://organic.ams.usda.gov/Integrity/Certificate.aspx?cid=45&amp;nopid=9950006090</v>
      </c>
    </row>
    <row r="315">
      <c r="A315" t="s">
        <v>3</v>
      </c>
      <c r="B315" s="6" t="s">
        <v>13</v>
      </c>
      <c r="C315" s="6" t="s">
        <v>79</v>
      </c>
      <c r="D315" s="6" t="s">
        <v>144</v>
      </c>
      <c r="E315" s="10" t="s">
        <v>513</v>
      </c>
      <c r="F315" s="6" t="s">
        <v>2768</v>
      </c>
      <c r="G315" s="6" t="s">
        <v>104</v>
      </c>
      <c r="H315" s="6" t="s">
        <v>5177</v>
      </c>
      <c r="I315" s="6" t="s">
        <v>7097</v>
      </c>
      <c r="J315" s="6" t="s">
        <v>8366</v>
      </c>
      <c r="K315" s="6" t="s">
        <v>9714</v>
      </c>
      <c r="L315" s="16" t="n">
        <v>40351</v>
      </c>
      <c r="M315" s="16" t="n">
        <v>45748</v>
      </c>
      <c r="N315" s="6" t="s">
        <v>9714</v>
      </c>
      <c r="O315" s="16" t="n">
        <v>40351</v>
      </c>
      <c r="P315" s="6" t="s">
        <v>9818</v>
      </c>
      <c r="Q315" s="6" t="s">
        <v>104</v>
      </c>
      <c r="R315" s="6" t="s">
        <v>104</v>
      </c>
      <c r="S315" s="6" t="s">
        <v>9714</v>
      </c>
      <c r="T315" s="16" t="n">
        <v>44861</v>
      </c>
      <c r="U315" s="6" t="s">
        <v>10470</v>
      </c>
      <c r="V315" s="6" t="s">
        <v>104</v>
      </c>
      <c r="W315" s="6" t="s">
        <v>104</v>
      </c>
      <c r="X315" s="6" t="s">
        <v>104</v>
      </c>
      <c r="Y315" s="21" t="s">
        <v>104</v>
      </c>
      <c r="Z315" s="6" t="s">
        <v>104</v>
      </c>
      <c r="AA315" s="6" t="s">
        <v>104</v>
      </c>
      <c r="AB315" s="6" t="s">
        <v>104</v>
      </c>
      <c r="AC315" s="6" t="s">
        <v>9714</v>
      </c>
      <c r="AD315" s="16" t="n">
        <v>43838</v>
      </c>
      <c r="AE315" s="6" t="s">
        <v>10801</v>
      </c>
      <c r="AF315" s="6" t="s">
        <v>104</v>
      </c>
      <c r="AG315" s="6" t="s">
        <v>104</v>
      </c>
      <c r="AH315" s="6" t="s">
        <v>104</v>
      </c>
      <c r="AI315" s="6" t="s">
        <v>104</v>
      </c>
      <c r="AJ315" s="6" t="s">
        <v>104</v>
      </c>
      <c r="AK315" s="6" t="s">
        <v>104</v>
      </c>
      <c r="AL315" s="6" t="s">
        <v>104</v>
      </c>
      <c r="AM315" s="6" t="s">
        <v>104</v>
      </c>
      <c r="AN315" s="6" t="s">
        <v>104</v>
      </c>
      <c r="AO315" s="6" t="s">
        <v>104</v>
      </c>
      <c r="AP315" s="6" t="s">
        <v>19034</v>
      </c>
      <c r="AQ315" s="6" t="s">
        <v>104</v>
      </c>
      <c r="AR315" s="6" t="s">
        <v>19617</v>
      </c>
      <c r="AS315" s="6" t="s">
        <v>16710</v>
      </c>
      <c r="AT315" s="6" t="s">
        <v>16931</v>
      </c>
      <c r="AU315" s="6" t="s">
        <v>19841</v>
      </c>
      <c r="AV315" s="6" t="s">
        <v>18512</v>
      </c>
      <c r="AW315" s="6" t="s">
        <v>20080</v>
      </c>
      <c r="AX315" s="6" t="s">
        <v>20364</v>
      </c>
      <c r="AY315" s="6" t="s">
        <v>22111</v>
      </c>
      <c r="AZ315" s="6" t="s">
        <v>23772</v>
      </c>
      <c r="BA315" s="6" t="s">
        <v>104</v>
      </c>
      <c r="BB315" s="24" t="n">
        <v>463</v>
      </c>
      <c r="BC315" s="26"/>
      <c r="BD315" s="26"/>
      <c r="BE315" s="26"/>
      <c r="BF315" s="26"/>
      <c r="BG315" s="26" t="s">
        <v>24533</v>
      </c>
      <c r="BH315" s="26"/>
      <c r="BI315" s="26"/>
      <c r="BJ315" s="26"/>
      <c r="BK315" s="26" t="s">
        <v>24533</v>
      </c>
      <c r="BL315" s="26"/>
      <c r="BM315" s="26"/>
      <c r="BN315" s="26" t="s">
        <v>24533</v>
      </c>
      <c r="BO315" s="26"/>
      <c r="BP315" s="16" t="n">
        <v>45688</v>
      </c>
      <c r="BQ315" s="28" t="str">
        <f>HYPERLINK("https://organic.ams.usda.gov/Integrity/Certificate.aspx?cid=62&amp;nopid=8150000279")</f>
        <v>https://organic.ams.usda.gov/Integrity/Certificate.aspx?cid=62&amp;nopid=8150000279</v>
      </c>
    </row>
    <row r="316">
      <c r="A316" t="s">
        <v>3</v>
      </c>
      <c r="B316" s="6" t="s">
        <v>13</v>
      </c>
      <c r="C316" s="6" t="s">
        <v>79</v>
      </c>
      <c r="D316" s="6" t="s">
        <v>144</v>
      </c>
      <c r="E316" s="10" t="s">
        <v>514</v>
      </c>
      <c r="F316" s="6" t="s">
        <v>2769</v>
      </c>
      <c r="G316" s="6" t="s">
        <v>104</v>
      </c>
      <c r="H316" s="6" t="s">
        <v>5178</v>
      </c>
      <c r="I316" s="6" t="s">
        <v>7144</v>
      </c>
      <c r="J316" s="6" t="s">
        <v>8367</v>
      </c>
      <c r="K316" s="6" t="s">
        <v>9714</v>
      </c>
      <c r="L316" s="16" t="n">
        <v>39835</v>
      </c>
      <c r="M316" s="16" t="n">
        <v>46023</v>
      </c>
      <c r="N316" s="6" t="s">
        <v>104</v>
      </c>
      <c r="O316" s="21" t="s">
        <v>104</v>
      </c>
      <c r="P316" s="6" t="s">
        <v>104</v>
      </c>
      <c r="Q316" s="6" t="s">
        <v>104</v>
      </c>
      <c r="R316" s="6" t="s">
        <v>104</v>
      </c>
      <c r="S316" s="6" t="s">
        <v>104</v>
      </c>
      <c r="T316" s="21" t="s">
        <v>104</v>
      </c>
      <c r="U316" s="6" t="s">
        <v>104</v>
      </c>
      <c r="V316" s="6" t="s">
        <v>104</v>
      </c>
      <c r="W316" s="6" t="s">
        <v>104</v>
      </c>
      <c r="X316" s="6" t="s">
        <v>104</v>
      </c>
      <c r="Y316" s="21" t="s">
        <v>104</v>
      </c>
      <c r="Z316" s="6" t="s">
        <v>104</v>
      </c>
      <c r="AA316" s="6" t="s">
        <v>104</v>
      </c>
      <c r="AB316" s="6" t="s">
        <v>104</v>
      </c>
      <c r="AC316" s="6" t="s">
        <v>9714</v>
      </c>
      <c r="AD316" s="16" t="n">
        <v>39835</v>
      </c>
      <c r="AE316" s="6" t="s">
        <v>10802</v>
      </c>
      <c r="AF316" s="6" t="s">
        <v>104</v>
      </c>
      <c r="AG316" s="6" t="s">
        <v>104</v>
      </c>
      <c r="AH316" s="6" t="s">
        <v>104</v>
      </c>
      <c r="AI316" s="6" t="s">
        <v>104</v>
      </c>
      <c r="AJ316" s="6" t="s">
        <v>104</v>
      </c>
      <c r="AK316" s="6" t="s">
        <v>104</v>
      </c>
      <c r="AL316" s="6" t="s">
        <v>104</v>
      </c>
      <c r="AM316" s="6" t="s">
        <v>104</v>
      </c>
      <c r="AN316" s="6" t="s">
        <v>104</v>
      </c>
      <c r="AO316" s="6" t="s">
        <v>104</v>
      </c>
      <c r="AP316" s="6" t="s">
        <v>19035</v>
      </c>
      <c r="AQ316" s="6" t="s">
        <v>104</v>
      </c>
      <c r="AR316" s="6" t="s">
        <v>15415</v>
      </c>
      <c r="AS316" s="6" t="s">
        <v>16705</v>
      </c>
      <c r="AT316" s="6" t="s">
        <v>16931</v>
      </c>
      <c r="AU316" s="6" t="s">
        <v>19842</v>
      </c>
      <c r="AV316" s="6" t="s">
        <v>17550</v>
      </c>
      <c r="AW316" s="6" t="s">
        <v>18702</v>
      </c>
      <c r="AX316" s="6" t="s">
        <v>20365</v>
      </c>
      <c r="AY316" s="6" t="s">
        <v>22112</v>
      </c>
      <c r="AZ316" s="6" t="s">
        <v>104</v>
      </c>
      <c r="BA316" s="6" t="s">
        <v>104</v>
      </c>
      <c r="BB316" s="6" t="s">
        <v>104</v>
      </c>
      <c r="BC316" s="26"/>
      <c r="BD316" s="26"/>
      <c r="BE316" s="26" t="s">
        <v>24533</v>
      </c>
      <c r="BF316" s="26"/>
      <c r="BG316" s="26"/>
      <c r="BH316" s="26"/>
      <c r="BI316" s="26"/>
      <c r="BJ316" s="26"/>
      <c r="BK316" s="26"/>
      <c r="BL316" s="26"/>
      <c r="BM316" s="26"/>
      <c r="BN316" s="26"/>
      <c r="BO316" s="26"/>
      <c r="BP316" s="16" t="n">
        <v>45693</v>
      </c>
      <c r="BQ316" s="28" t="str">
        <f>HYPERLINK("https://organic.ams.usda.gov/Integrity/Certificate.aspx?cid=62&amp;nopid=8150001399")</f>
        <v>https://organic.ams.usda.gov/Integrity/Certificate.aspx?cid=62&amp;nopid=8150001399</v>
      </c>
    </row>
    <row r="317">
      <c r="A317" t="s">
        <v>3</v>
      </c>
      <c r="B317" s="6" t="s">
        <v>34</v>
      </c>
      <c r="C317" s="6" t="s">
        <v>100</v>
      </c>
      <c r="D317" s="6" t="s">
        <v>165</v>
      </c>
      <c r="E317" s="10" t="s">
        <v>515</v>
      </c>
      <c r="F317" s="6" t="s">
        <v>2770</v>
      </c>
      <c r="G317" s="6" t="s">
        <v>104</v>
      </c>
      <c r="H317" s="6" t="s">
        <v>5179</v>
      </c>
      <c r="I317" s="6" t="s">
        <v>7145</v>
      </c>
      <c r="J317" s="6" t="s">
        <v>8368</v>
      </c>
      <c r="K317" s="6" t="s">
        <v>9714</v>
      </c>
      <c r="L317" s="16" t="n">
        <v>37375</v>
      </c>
      <c r="M317" s="16" t="n">
        <v>45650</v>
      </c>
      <c r="N317" s="6" t="s">
        <v>104</v>
      </c>
      <c r="O317" s="21" t="s">
        <v>104</v>
      </c>
      <c r="P317" s="6" t="s">
        <v>104</v>
      </c>
      <c r="Q317" s="6" t="s">
        <v>104</v>
      </c>
      <c r="R317" s="6" t="s">
        <v>104</v>
      </c>
      <c r="S317" s="6" t="s">
        <v>104</v>
      </c>
      <c r="T317" s="21" t="s">
        <v>104</v>
      </c>
      <c r="U317" s="6" t="s">
        <v>104</v>
      </c>
      <c r="V317" s="6" t="s">
        <v>104</v>
      </c>
      <c r="W317" s="6" t="s">
        <v>104</v>
      </c>
      <c r="X317" s="6" t="s">
        <v>104</v>
      </c>
      <c r="Y317" s="21" t="s">
        <v>104</v>
      </c>
      <c r="Z317" s="6" t="s">
        <v>104</v>
      </c>
      <c r="AA317" s="6" t="s">
        <v>104</v>
      </c>
      <c r="AB317" s="6" t="s">
        <v>104</v>
      </c>
      <c r="AC317" s="6" t="s">
        <v>9714</v>
      </c>
      <c r="AD317" s="16" t="n">
        <v>37375</v>
      </c>
      <c r="AE317" s="6" t="s">
        <v>10803</v>
      </c>
      <c r="AF317" s="6" t="s">
        <v>104</v>
      </c>
      <c r="AG317" s="6" t="s">
        <v>12567</v>
      </c>
      <c r="AH317" s="6" t="s">
        <v>13438</v>
      </c>
      <c r="AI317" s="6" t="s">
        <v>104</v>
      </c>
      <c r="AJ317" s="6" t="s">
        <v>15584</v>
      </c>
      <c r="AK317" s="6" t="s">
        <v>16705</v>
      </c>
      <c r="AL317" s="6" t="s">
        <v>16931</v>
      </c>
      <c r="AM317" s="6" t="s">
        <v>17198</v>
      </c>
      <c r="AN317" s="6" t="s">
        <v>18500</v>
      </c>
      <c r="AO317" s="6" t="s">
        <v>18631</v>
      </c>
      <c r="AP317" s="6" t="s">
        <v>19036</v>
      </c>
      <c r="AQ317" s="6" t="s">
        <v>104</v>
      </c>
      <c r="AR317" s="6" t="s">
        <v>15584</v>
      </c>
      <c r="AS317" s="6" t="s">
        <v>16705</v>
      </c>
      <c r="AT317" s="6" t="s">
        <v>16931</v>
      </c>
      <c r="AU317" s="6" t="s">
        <v>19843</v>
      </c>
      <c r="AV317" s="6" t="s">
        <v>104</v>
      </c>
      <c r="AW317" s="6" t="s">
        <v>104</v>
      </c>
      <c r="AX317" s="6" t="s">
        <v>20366</v>
      </c>
      <c r="AY317" s="6" t="s">
        <v>22113</v>
      </c>
      <c r="AZ317" s="6" t="s">
        <v>23773</v>
      </c>
      <c r="BA317" s="6" t="s">
        <v>104</v>
      </c>
      <c r="BB317" s="6" t="s">
        <v>104</v>
      </c>
      <c r="BC317" s="26"/>
      <c r="BD317" s="26"/>
      <c r="BE317" s="26" t="s">
        <v>24533</v>
      </c>
      <c r="BF317" s="26"/>
      <c r="BG317" s="26" t="s">
        <v>24533</v>
      </c>
      <c r="BH317" s="26"/>
      <c r="BI317" s="26"/>
      <c r="BJ317" s="26"/>
      <c r="BK317" s="26"/>
      <c r="BL317" s="26"/>
      <c r="BM317" s="26"/>
      <c r="BN317" s="26"/>
      <c r="BO317" s="26"/>
      <c r="BP317" s="16" t="n">
        <v>45737</v>
      </c>
      <c r="BQ317" s="28" t="str">
        <f>HYPERLINK("https://organic.ams.usda.gov/Integrity/Certificate.aspx?cid=71&amp;nopid=5520030957")</f>
        <v>https://organic.ams.usda.gov/Integrity/Certificate.aspx?cid=71&amp;nopid=5520030957</v>
      </c>
    </row>
    <row r="318">
      <c r="A318" t="s">
        <v>3</v>
      </c>
      <c r="B318" s="6" t="s">
        <v>54</v>
      </c>
      <c r="C318" s="6" t="s">
        <v>120</v>
      </c>
      <c r="D318" s="6" t="s">
        <v>184</v>
      </c>
      <c r="E318" s="10" t="s">
        <v>516</v>
      </c>
      <c r="F318" s="6" t="s">
        <v>2771</v>
      </c>
      <c r="G318" s="6" t="s">
        <v>104</v>
      </c>
      <c r="H318" s="6" t="s">
        <v>5180</v>
      </c>
      <c r="I318" s="6" t="s">
        <v>7090</v>
      </c>
      <c r="J318" s="6" t="s">
        <v>8369</v>
      </c>
      <c r="K318" s="6" t="s">
        <v>9714</v>
      </c>
      <c r="L318" s="16" t="n">
        <v>44041</v>
      </c>
      <c r="M318" s="16" t="n">
        <v>45717</v>
      </c>
      <c r="N318" s="6" t="s">
        <v>9714</v>
      </c>
      <c r="O318" s="16" t="n">
        <v>44041</v>
      </c>
      <c r="P318" s="6" t="s">
        <v>9819</v>
      </c>
      <c r="Q318" s="6" t="s">
        <v>104</v>
      </c>
      <c r="R318" s="6" t="s">
        <v>104</v>
      </c>
      <c r="S318" s="6" t="s">
        <v>104</v>
      </c>
      <c r="T318" s="21" t="s">
        <v>104</v>
      </c>
      <c r="U318" s="6" t="s">
        <v>104</v>
      </c>
      <c r="V318" s="6" t="s">
        <v>104</v>
      </c>
      <c r="W318" s="6" t="s">
        <v>104</v>
      </c>
      <c r="X318" s="6" t="s">
        <v>104</v>
      </c>
      <c r="Y318" s="21" t="s">
        <v>104</v>
      </c>
      <c r="Z318" s="6" t="s">
        <v>104</v>
      </c>
      <c r="AA318" s="6" t="s">
        <v>104</v>
      </c>
      <c r="AB318" s="6" t="s">
        <v>104</v>
      </c>
      <c r="AC318" s="6" t="s">
        <v>104</v>
      </c>
      <c r="AD318" s="21" t="s">
        <v>104</v>
      </c>
      <c r="AE318" s="6" t="s">
        <v>104</v>
      </c>
      <c r="AF318" s="6" t="s">
        <v>104</v>
      </c>
      <c r="AG318" s="6" t="s">
        <v>104</v>
      </c>
      <c r="AH318" s="6" t="s">
        <v>13439</v>
      </c>
      <c r="AI318" s="6" t="s">
        <v>104</v>
      </c>
      <c r="AJ318" s="6" t="s">
        <v>15585</v>
      </c>
      <c r="AK318" s="6" t="s">
        <v>16730</v>
      </c>
      <c r="AL318" s="6" t="s">
        <v>16931</v>
      </c>
      <c r="AM318" s="6" t="s">
        <v>17199</v>
      </c>
      <c r="AN318" s="6" t="s">
        <v>18502</v>
      </c>
      <c r="AO318" s="6" t="s">
        <v>18636</v>
      </c>
      <c r="AP318" s="6" t="s">
        <v>104</v>
      </c>
      <c r="AQ318" s="6" t="s">
        <v>104</v>
      </c>
      <c r="AR318" s="6" t="s">
        <v>104</v>
      </c>
      <c r="AS318" s="6" t="s">
        <v>104</v>
      </c>
      <c r="AT318" s="6" t="s">
        <v>104</v>
      </c>
      <c r="AU318" s="6" t="s">
        <v>104</v>
      </c>
      <c r="AV318" s="6" t="s">
        <v>104</v>
      </c>
      <c r="AW318" s="6" t="s">
        <v>104</v>
      </c>
      <c r="AX318" s="6" t="s">
        <v>104</v>
      </c>
      <c r="AY318" s="6" t="s">
        <v>22114</v>
      </c>
      <c r="AZ318" s="6" t="s">
        <v>23774</v>
      </c>
      <c r="BA318" s="6" t="s">
        <v>24267</v>
      </c>
      <c r="BB318" s="24" t="n">
        <v>1</v>
      </c>
      <c r="BC318" s="26"/>
      <c r="BD318" s="26"/>
      <c r="BE318" s="26"/>
      <c r="BF318" s="26"/>
      <c r="BG318" s="26" t="s">
        <v>24533</v>
      </c>
      <c r="BH318" s="26"/>
      <c r="BI318" s="26"/>
      <c r="BJ318" s="26" t="s">
        <v>24533</v>
      </c>
      <c r="BK318" s="26"/>
      <c r="BL318" s="26"/>
      <c r="BM318" s="26"/>
      <c r="BN318" s="26"/>
      <c r="BO318" s="26"/>
      <c r="BP318" s="16" t="n">
        <v>45642</v>
      </c>
      <c r="BQ318" s="28" t="str">
        <f>HYPERLINK("https://organic.ams.usda.gov/Integrity/Certificate.aspx?cid=60&amp;nopid=2580003700")</f>
        <v>https://organic.ams.usda.gov/Integrity/Certificate.aspx?cid=60&amp;nopid=2580003700</v>
      </c>
    </row>
    <row r="319">
      <c r="A319" t="s">
        <v>3</v>
      </c>
      <c r="B319" s="6" t="s">
        <v>55</v>
      </c>
      <c r="C319" s="6" t="s">
        <v>121</v>
      </c>
      <c r="D319" s="6" t="s">
        <v>185</v>
      </c>
      <c r="E319" s="10" t="s">
        <v>517</v>
      </c>
      <c r="F319" s="6" t="s">
        <v>2772</v>
      </c>
      <c r="G319" s="6" t="s">
        <v>104</v>
      </c>
      <c r="H319" s="6" t="s">
        <v>5181</v>
      </c>
      <c r="I319" s="6" t="s">
        <v>7146</v>
      </c>
      <c r="J319" s="6" t="s">
        <v>8226</v>
      </c>
      <c r="K319" s="6" t="s">
        <v>9714</v>
      </c>
      <c r="L319" s="16" t="n">
        <v>41723</v>
      </c>
      <c r="M319" s="16" t="n">
        <v>45682</v>
      </c>
      <c r="N319" s="6" t="s">
        <v>104</v>
      </c>
      <c r="O319" s="21" t="s">
        <v>104</v>
      </c>
      <c r="P319" s="6" t="s">
        <v>104</v>
      </c>
      <c r="Q319" s="6" t="s">
        <v>104</v>
      </c>
      <c r="R319" s="6" t="s">
        <v>104</v>
      </c>
      <c r="S319" s="6" t="s">
        <v>104</v>
      </c>
      <c r="T319" s="21" t="s">
        <v>104</v>
      </c>
      <c r="U319" s="6" t="s">
        <v>104</v>
      </c>
      <c r="V319" s="6" t="s">
        <v>104</v>
      </c>
      <c r="W319" s="6" t="s">
        <v>104</v>
      </c>
      <c r="X319" s="6" t="s">
        <v>104</v>
      </c>
      <c r="Y319" s="21" t="s">
        <v>104</v>
      </c>
      <c r="Z319" s="6" t="s">
        <v>104</v>
      </c>
      <c r="AA319" s="6" t="s">
        <v>104</v>
      </c>
      <c r="AB319" s="6" t="s">
        <v>104</v>
      </c>
      <c r="AC319" s="6" t="s">
        <v>9714</v>
      </c>
      <c r="AD319" s="16" t="n">
        <v>41723</v>
      </c>
      <c r="AE319" s="6" t="s">
        <v>10804</v>
      </c>
      <c r="AF319" s="6" t="s">
        <v>104</v>
      </c>
      <c r="AG319" s="6" t="s">
        <v>517</v>
      </c>
      <c r="AH319" s="6" t="s">
        <v>13440</v>
      </c>
      <c r="AI319" s="6" t="s">
        <v>104</v>
      </c>
      <c r="AJ319" s="6" t="s">
        <v>15586</v>
      </c>
      <c r="AK319" s="6" t="s">
        <v>16206</v>
      </c>
      <c r="AL319" s="6" t="s">
        <v>16958</v>
      </c>
      <c r="AM319" s="6" t="s">
        <v>17200</v>
      </c>
      <c r="AN319" s="6" t="s">
        <v>104</v>
      </c>
      <c r="AO319" s="6" t="s">
        <v>104</v>
      </c>
      <c r="AP319" s="6" t="s">
        <v>13440</v>
      </c>
      <c r="AQ319" s="6" t="s">
        <v>104</v>
      </c>
      <c r="AR319" s="6" t="s">
        <v>15586</v>
      </c>
      <c r="AS319" s="6" t="s">
        <v>16206</v>
      </c>
      <c r="AT319" s="6" t="s">
        <v>16958</v>
      </c>
      <c r="AU319" s="6" t="s">
        <v>17200</v>
      </c>
      <c r="AV319" s="6" t="s">
        <v>104</v>
      </c>
      <c r="AW319" s="6" t="s">
        <v>104</v>
      </c>
      <c r="AX319" s="6" t="s">
        <v>20367</v>
      </c>
      <c r="AY319" s="6" t="s">
        <v>22115</v>
      </c>
      <c r="AZ319" s="6" t="s">
        <v>104</v>
      </c>
      <c r="BA319" s="6" t="s">
        <v>104</v>
      </c>
      <c r="BB319" s="6" t="s">
        <v>104</v>
      </c>
      <c r="BC319" s="26"/>
      <c r="BD319" s="26"/>
      <c r="BE319" s="26"/>
      <c r="BF319" s="26"/>
      <c r="BG319" s="26"/>
      <c r="BH319" s="26" t="s">
        <v>24533</v>
      </c>
      <c r="BI319" s="26"/>
      <c r="BJ319" s="26"/>
      <c r="BK319" s="26"/>
      <c r="BL319" s="26"/>
      <c r="BM319" s="26"/>
      <c r="BN319" s="26"/>
      <c r="BO319" s="26"/>
      <c r="BP319" s="16" t="n">
        <v>45664</v>
      </c>
      <c r="BQ319" s="28" t="str">
        <f>HYPERLINK("https://organic.ams.usda.gov/Integrity/Certificate.aspx?cid=70&amp;nopid=6431146100")</f>
        <v>https://organic.ams.usda.gov/Integrity/Certificate.aspx?cid=70&amp;nopid=6431146100</v>
      </c>
    </row>
    <row r="320">
      <c r="A320" t="s">
        <v>3</v>
      </c>
      <c r="B320" s="6" t="s">
        <v>16</v>
      </c>
      <c r="C320" s="6" t="s">
        <v>82</v>
      </c>
      <c r="D320" s="6" t="s">
        <v>147</v>
      </c>
      <c r="E320" s="10" t="s">
        <v>518</v>
      </c>
      <c r="F320" s="6" t="s">
        <v>2773</v>
      </c>
      <c r="G320" s="6" t="s">
        <v>4702</v>
      </c>
      <c r="H320" s="6" t="s">
        <v>5182</v>
      </c>
      <c r="I320" s="6" t="s">
        <v>7147</v>
      </c>
      <c r="J320" s="6" t="s">
        <v>8300</v>
      </c>
      <c r="K320" s="6" t="s">
        <v>9714</v>
      </c>
      <c r="L320" s="16" t="n">
        <v>40794</v>
      </c>
      <c r="M320" s="16" t="n">
        <v>45747</v>
      </c>
      <c r="N320" s="6" t="s">
        <v>9714</v>
      </c>
      <c r="O320" s="16" t="n">
        <v>40794</v>
      </c>
      <c r="P320" s="6" t="s">
        <v>9820</v>
      </c>
      <c r="Q320" s="6" t="s">
        <v>104</v>
      </c>
      <c r="R320" s="6" t="s">
        <v>5182</v>
      </c>
      <c r="S320" s="6" t="s">
        <v>104</v>
      </c>
      <c r="T320" s="21" t="s">
        <v>104</v>
      </c>
      <c r="U320" s="6" t="s">
        <v>104</v>
      </c>
      <c r="V320" s="6" t="s">
        <v>104</v>
      </c>
      <c r="W320" s="6" t="s">
        <v>104</v>
      </c>
      <c r="X320" s="6" t="s">
        <v>104</v>
      </c>
      <c r="Y320" s="21" t="s">
        <v>104</v>
      </c>
      <c r="Z320" s="6" t="s">
        <v>104</v>
      </c>
      <c r="AA320" s="6" t="s">
        <v>104</v>
      </c>
      <c r="AB320" s="6" t="s">
        <v>104</v>
      </c>
      <c r="AC320" s="6" t="s">
        <v>104</v>
      </c>
      <c r="AD320" s="21" t="s">
        <v>104</v>
      </c>
      <c r="AE320" s="6" t="s">
        <v>104</v>
      </c>
      <c r="AF320" s="6" t="s">
        <v>104</v>
      </c>
      <c r="AG320" s="6" t="s">
        <v>104</v>
      </c>
      <c r="AH320" s="6" t="s">
        <v>13441</v>
      </c>
      <c r="AI320" s="6" t="s">
        <v>104</v>
      </c>
      <c r="AJ320" s="6" t="s">
        <v>15587</v>
      </c>
      <c r="AK320" s="6" t="s">
        <v>16684</v>
      </c>
      <c r="AL320" s="6" t="s">
        <v>16931</v>
      </c>
      <c r="AM320" s="6" t="s">
        <v>16995</v>
      </c>
      <c r="AN320" s="6" t="s">
        <v>18453</v>
      </c>
      <c r="AO320" s="6" t="s">
        <v>18558</v>
      </c>
      <c r="AP320" s="6" t="s">
        <v>19037</v>
      </c>
      <c r="AQ320" s="6" t="s">
        <v>104</v>
      </c>
      <c r="AR320" s="6" t="s">
        <v>19618</v>
      </c>
      <c r="AS320" s="6" t="s">
        <v>16684</v>
      </c>
      <c r="AT320" s="6" t="s">
        <v>16931</v>
      </c>
      <c r="AU320" s="6" t="s">
        <v>19844</v>
      </c>
      <c r="AV320" s="6" t="s">
        <v>104</v>
      </c>
      <c r="AW320" s="6" t="s">
        <v>104</v>
      </c>
      <c r="AX320" s="6" t="s">
        <v>20368</v>
      </c>
      <c r="AY320" s="6" t="s">
        <v>22116</v>
      </c>
      <c r="AZ320" s="6" t="s">
        <v>104</v>
      </c>
      <c r="BA320" s="6" t="s">
        <v>104</v>
      </c>
      <c r="BB320" s="24" t="n">
        <v>3166</v>
      </c>
      <c r="BC320" s="26"/>
      <c r="BD320" s="26"/>
      <c r="BE320" s="26"/>
      <c r="BF320" s="26"/>
      <c r="BG320" s="26"/>
      <c r="BH320" s="26"/>
      <c r="BI320" s="26"/>
      <c r="BJ320" s="26"/>
      <c r="BK320" s="26"/>
      <c r="BL320" s="26"/>
      <c r="BM320" s="26"/>
      <c r="BN320" s="26"/>
      <c r="BO320" s="26"/>
      <c r="BP320" s="16" t="n">
        <v>45656</v>
      </c>
      <c r="BQ320" s="28" t="str">
        <f>HYPERLINK("https://organic.ams.usda.gov/Integrity/Certificate.aspx?cid=77&amp;nopid=3510604184")</f>
        <v>https://organic.ams.usda.gov/Integrity/Certificate.aspx?cid=77&amp;nopid=3510604184</v>
      </c>
    </row>
    <row r="321">
      <c r="A321" t="s">
        <v>3</v>
      </c>
      <c r="B321" s="6" t="s">
        <v>23</v>
      </c>
      <c r="C321" s="6" t="s">
        <v>89</v>
      </c>
      <c r="D321" s="6" t="s">
        <v>154</v>
      </c>
      <c r="E321" s="10" t="s">
        <v>519</v>
      </c>
      <c r="F321" s="6" t="s">
        <v>2774</v>
      </c>
      <c r="G321" s="6" t="s">
        <v>104</v>
      </c>
      <c r="H321" s="6" t="s">
        <v>5183</v>
      </c>
      <c r="I321" s="6" t="s">
        <v>7148</v>
      </c>
      <c r="J321" s="6" t="s">
        <v>8370</v>
      </c>
      <c r="K321" s="6" t="s">
        <v>9714</v>
      </c>
      <c r="L321" s="16" t="n">
        <v>37328</v>
      </c>
      <c r="M321" s="16" t="n">
        <v>45748</v>
      </c>
      <c r="N321" s="6" t="s">
        <v>104</v>
      </c>
      <c r="O321" s="21" t="s">
        <v>104</v>
      </c>
      <c r="P321" s="6" t="s">
        <v>104</v>
      </c>
      <c r="Q321" s="6" t="s">
        <v>104</v>
      </c>
      <c r="R321" s="6" t="s">
        <v>104</v>
      </c>
      <c r="S321" s="6" t="s">
        <v>104</v>
      </c>
      <c r="T321" s="21" t="s">
        <v>104</v>
      </c>
      <c r="U321" s="6" t="s">
        <v>104</v>
      </c>
      <c r="V321" s="6" t="s">
        <v>104</v>
      </c>
      <c r="W321" s="6" t="s">
        <v>104</v>
      </c>
      <c r="X321" s="6" t="s">
        <v>104</v>
      </c>
      <c r="Y321" s="21" t="s">
        <v>104</v>
      </c>
      <c r="Z321" s="6" t="s">
        <v>104</v>
      </c>
      <c r="AA321" s="6" t="s">
        <v>104</v>
      </c>
      <c r="AB321" s="6" t="s">
        <v>104</v>
      </c>
      <c r="AC321" s="6" t="s">
        <v>9714</v>
      </c>
      <c r="AD321" s="16" t="n">
        <v>37328</v>
      </c>
      <c r="AE321" s="6" t="s">
        <v>10805</v>
      </c>
      <c r="AF321" s="6" t="s">
        <v>104</v>
      </c>
      <c r="AG321" s="6" t="s">
        <v>5183</v>
      </c>
      <c r="AH321" s="6" t="s">
        <v>13442</v>
      </c>
      <c r="AI321" s="6" t="s">
        <v>104</v>
      </c>
      <c r="AJ321" s="6" t="s">
        <v>15588</v>
      </c>
      <c r="AK321" s="6" t="s">
        <v>16710</v>
      </c>
      <c r="AL321" s="6" t="s">
        <v>16931</v>
      </c>
      <c r="AM321" s="6" t="s">
        <v>17201</v>
      </c>
      <c r="AN321" s="6" t="s">
        <v>18468</v>
      </c>
      <c r="AO321" s="6" t="s">
        <v>18575</v>
      </c>
      <c r="AP321" s="6" t="s">
        <v>19038</v>
      </c>
      <c r="AQ321" s="6" t="s">
        <v>104</v>
      </c>
      <c r="AR321" s="6" t="s">
        <v>19619</v>
      </c>
      <c r="AS321" s="6" t="s">
        <v>16710</v>
      </c>
      <c r="AT321" s="6" t="s">
        <v>16931</v>
      </c>
      <c r="AU321" s="6" t="s">
        <v>19845</v>
      </c>
      <c r="AV321" s="6" t="s">
        <v>104</v>
      </c>
      <c r="AW321" s="6" t="s">
        <v>104</v>
      </c>
      <c r="AX321" s="6" t="s">
        <v>20369</v>
      </c>
      <c r="AY321" s="6" t="s">
        <v>22117</v>
      </c>
      <c r="AZ321" s="6" t="s">
        <v>23775</v>
      </c>
      <c r="BA321" s="6" t="s">
        <v>104</v>
      </c>
      <c r="BB321" s="24" t="n">
        <v>0</v>
      </c>
      <c r="BC321" s="26"/>
      <c r="BD321" s="26"/>
      <c r="BE321" s="26"/>
      <c r="BF321" s="26"/>
      <c r="BG321" s="26"/>
      <c r="BH321" s="26"/>
      <c r="BI321" s="26"/>
      <c r="BJ321" s="26"/>
      <c r="BK321" s="26"/>
      <c r="BL321" s="26"/>
      <c r="BM321" s="26"/>
      <c r="BN321" s="26"/>
      <c r="BO321" s="26"/>
      <c r="BP321" s="16" t="n">
        <v>45568</v>
      </c>
      <c r="BQ321" s="28" t="str">
        <f>HYPERLINK("https://organic.ams.usda.gov/Integrity/Certificate.aspx?cid=45&amp;nopid=9950000901")</f>
        <v>https://organic.ams.usda.gov/Integrity/Certificate.aspx?cid=45&amp;nopid=9950000901</v>
      </c>
    </row>
    <row r="322">
      <c r="A322" t="s">
        <v>3</v>
      </c>
      <c r="B322" s="6" t="s">
        <v>21</v>
      </c>
      <c r="C322" s="6" t="s">
        <v>87</v>
      </c>
      <c r="D322" s="6" t="s">
        <v>152</v>
      </c>
      <c r="E322" s="10" t="s">
        <v>520</v>
      </c>
      <c r="F322" s="6" t="s">
        <v>2775</v>
      </c>
      <c r="G322" s="6" t="s">
        <v>104</v>
      </c>
      <c r="H322" s="6" t="s">
        <v>5184</v>
      </c>
      <c r="I322" s="6" t="s">
        <v>7149</v>
      </c>
      <c r="J322" s="6" t="s">
        <v>8371</v>
      </c>
      <c r="K322" s="6" t="s">
        <v>9714</v>
      </c>
      <c r="L322" s="16" t="n">
        <v>42303</v>
      </c>
      <c r="M322" s="16" t="n">
        <v>46023</v>
      </c>
      <c r="N322" s="6" t="s">
        <v>104</v>
      </c>
      <c r="O322" s="21" t="s">
        <v>104</v>
      </c>
      <c r="P322" s="6" t="s">
        <v>104</v>
      </c>
      <c r="Q322" s="6" t="s">
        <v>104</v>
      </c>
      <c r="R322" s="6" t="s">
        <v>104</v>
      </c>
      <c r="S322" s="6" t="s">
        <v>104</v>
      </c>
      <c r="T322" s="21" t="s">
        <v>104</v>
      </c>
      <c r="U322" s="6" t="s">
        <v>104</v>
      </c>
      <c r="V322" s="6" t="s">
        <v>104</v>
      </c>
      <c r="W322" s="6" t="s">
        <v>104</v>
      </c>
      <c r="X322" s="6" t="s">
        <v>104</v>
      </c>
      <c r="Y322" s="21" t="s">
        <v>104</v>
      </c>
      <c r="Z322" s="6" t="s">
        <v>104</v>
      </c>
      <c r="AA322" s="6" t="s">
        <v>104</v>
      </c>
      <c r="AB322" s="6" t="s">
        <v>104</v>
      </c>
      <c r="AC322" s="6" t="s">
        <v>9714</v>
      </c>
      <c r="AD322" s="16" t="n">
        <v>42303</v>
      </c>
      <c r="AE322" s="6" t="s">
        <v>10806</v>
      </c>
      <c r="AF322" s="6" t="s">
        <v>104</v>
      </c>
      <c r="AG322" s="6" t="s">
        <v>104</v>
      </c>
      <c r="AH322" s="6" t="s">
        <v>13443</v>
      </c>
      <c r="AI322" s="6" t="s">
        <v>104</v>
      </c>
      <c r="AJ322" s="6" t="s">
        <v>7717</v>
      </c>
      <c r="AK322" s="6" t="s">
        <v>16693</v>
      </c>
      <c r="AL322" s="6" t="s">
        <v>16931</v>
      </c>
      <c r="AM322" s="6" t="s">
        <v>17202</v>
      </c>
      <c r="AN322" s="6" t="s">
        <v>18461</v>
      </c>
      <c r="AO322" s="6" t="s">
        <v>18632</v>
      </c>
      <c r="AP322" s="6" t="s">
        <v>13443</v>
      </c>
      <c r="AQ322" s="6" t="s">
        <v>104</v>
      </c>
      <c r="AR322" s="6" t="s">
        <v>7717</v>
      </c>
      <c r="AS322" s="6" t="s">
        <v>16693</v>
      </c>
      <c r="AT322" s="6" t="s">
        <v>16931</v>
      </c>
      <c r="AU322" s="6" t="s">
        <v>17202</v>
      </c>
      <c r="AV322" s="6" t="s">
        <v>104</v>
      </c>
      <c r="AW322" s="6" t="s">
        <v>104</v>
      </c>
      <c r="AX322" s="6" t="s">
        <v>20370</v>
      </c>
      <c r="AY322" s="6" t="s">
        <v>22118</v>
      </c>
      <c r="AZ322" s="6" t="s">
        <v>23776</v>
      </c>
      <c r="BA322" s="6" t="s">
        <v>24310</v>
      </c>
      <c r="BB322" s="6" t="s">
        <v>104</v>
      </c>
      <c r="BC322" s="26"/>
      <c r="BD322" s="26"/>
      <c r="BE322" s="26"/>
      <c r="BF322" s="26"/>
      <c r="BG322" s="26"/>
      <c r="BH322" s="26"/>
      <c r="BI322" s="26"/>
      <c r="BJ322" s="26"/>
      <c r="BK322" s="26"/>
      <c r="BL322" s="26"/>
      <c r="BM322" s="26"/>
      <c r="BN322" s="26"/>
      <c r="BO322" s="26"/>
      <c r="BP322" s="16" t="n">
        <v>45679</v>
      </c>
      <c r="BQ322" s="28" t="str">
        <f>HYPERLINK("https://organic.ams.usda.gov/Integrity/Certificate.aspx?cid=15&amp;nopid=5561001943")</f>
        <v>https://organic.ams.usda.gov/Integrity/Certificate.aspx?cid=15&amp;nopid=5561001943</v>
      </c>
    </row>
    <row r="323">
      <c r="A323" t="s">
        <v>3</v>
      </c>
      <c r="B323" s="6" t="s">
        <v>49</v>
      </c>
      <c r="C323" s="6" t="s">
        <v>115</v>
      </c>
      <c r="D323" s="6" t="s">
        <v>179</v>
      </c>
      <c r="E323" s="10" t="s">
        <v>521</v>
      </c>
      <c r="F323" s="6" t="s">
        <v>2776</v>
      </c>
      <c r="G323" s="6" t="s">
        <v>104</v>
      </c>
      <c r="H323" s="6" t="s">
        <v>5185</v>
      </c>
      <c r="I323" s="6" t="s">
        <v>104</v>
      </c>
      <c r="J323" s="6" t="s">
        <v>8372</v>
      </c>
      <c r="K323" s="6" t="s">
        <v>9714</v>
      </c>
      <c r="L323" s="16" t="n">
        <v>41422</v>
      </c>
      <c r="M323" s="16" t="n">
        <v>45772</v>
      </c>
      <c r="N323" s="6" t="s">
        <v>104</v>
      </c>
      <c r="O323" s="21" t="s">
        <v>104</v>
      </c>
      <c r="P323" s="6" t="s">
        <v>104</v>
      </c>
      <c r="Q323" s="6" t="s">
        <v>104</v>
      </c>
      <c r="R323" s="6" t="s">
        <v>104</v>
      </c>
      <c r="S323" s="6" t="s">
        <v>104</v>
      </c>
      <c r="T323" s="21" t="s">
        <v>104</v>
      </c>
      <c r="U323" s="6" t="s">
        <v>104</v>
      </c>
      <c r="V323" s="6" t="s">
        <v>104</v>
      </c>
      <c r="W323" s="6" t="s">
        <v>104</v>
      </c>
      <c r="X323" s="6" t="s">
        <v>104</v>
      </c>
      <c r="Y323" s="21" t="s">
        <v>104</v>
      </c>
      <c r="Z323" s="6" t="s">
        <v>104</v>
      </c>
      <c r="AA323" s="6" t="s">
        <v>104</v>
      </c>
      <c r="AB323" s="6" t="s">
        <v>104</v>
      </c>
      <c r="AC323" s="6" t="s">
        <v>9714</v>
      </c>
      <c r="AD323" s="16" t="n">
        <v>41422</v>
      </c>
      <c r="AE323" s="6" t="s">
        <v>10807</v>
      </c>
      <c r="AF323" s="6" t="s">
        <v>104</v>
      </c>
      <c r="AG323" s="6" t="s">
        <v>12568</v>
      </c>
      <c r="AH323" s="6" t="s">
        <v>13444</v>
      </c>
      <c r="AI323" s="6" t="s">
        <v>104</v>
      </c>
      <c r="AJ323" s="6" t="s">
        <v>15513</v>
      </c>
      <c r="AK323" s="6" t="s">
        <v>104</v>
      </c>
      <c r="AL323" s="6" t="s">
        <v>15513</v>
      </c>
      <c r="AM323" s="6" t="s">
        <v>17203</v>
      </c>
      <c r="AN323" s="6" t="s">
        <v>104</v>
      </c>
      <c r="AO323" s="6" t="s">
        <v>104</v>
      </c>
      <c r="AP323" s="6" t="s">
        <v>104</v>
      </c>
      <c r="AQ323" s="6" t="s">
        <v>104</v>
      </c>
      <c r="AR323" s="6" t="s">
        <v>104</v>
      </c>
      <c r="AS323" s="6" t="s">
        <v>104</v>
      </c>
      <c r="AT323" s="6" t="s">
        <v>104</v>
      </c>
      <c r="AU323" s="6" t="s">
        <v>104</v>
      </c>
      <c r="AV323" s="6" t="s">
        <v>104</v>
      </c>
      <c r="AW323" s="6" t="s">
        <v>104</v>
      </c>
      <c r="AX323" s="6" t="s">
        <v>104</v>
      </c>
      <c r="AY323" s="6" t="s">
        <v>22119</v>
      </c>
      <c r="AZ323" s="6" t="s">
        <v>104</v>
      </c>
      <c r="BA323" s="6" t="s">
        <v>104</v>
      </c>
      <c r="BB323" s="24" t="n">
        <v>0</v>
      </c>
      <c r="BC323" s="26"/>
      <c r="BD323" s="26"/>
      <c r="BE323" s="26"/>
      <c r="BF323" s="26"/>
      <c r="BG323" s="26"/>
      <c r="BH323" s="26"/>
      <c r="BI323" s="26"/>
      <c r="BJ323" s="26"/>
      <c r="BK323" s="26"/>
      <c r="BL323" s="26"/>
      <c r="BM323" s="26"/>
      <c r="BN323" s="26"/>
      <c r="BO323" s="26"/>
      <c r="BP323" s="16" t="n">
        <v>45630</v>
      </c>
      <c r="BQ323" s="28" t="str">
        <f>HYPERLINK("https://organic.ams.usda.gov/Integrity/Certificate.aspx?cid=12&amp;nopid=8690009380")</f>
        <v>https://organic.ams.usda.gov/Integrity/Certificate.aspx?cid=12&amp;nopid=8690009380</v>
      </c>
    </row>
    <row r="324">
      <c r="A324" t="s">
        <v>3</v>
      </c>
      <c r="B324" s="6" t="s">
        <v>25</v>
      </c>
      <c r="C324" s="6" t="s">
        <v>91</v>
      </c>
      <c r="D324" s="6" t="s">
        <v>156</v>
      </c>
      <c r="E324" s="10" t="s">
        <v>522</v>
      </c>
      <c r="F324" s="6" t="s">
        <v>2777</v>
      </c>
      <c r="G324" s="6" t="s">
        <v>104</v>
      </c>
      <c r="H324" s="6" t="s">
        <v>5186</v>
      </c>
      <c r="I324" s="6" t="s">
        <v>7150</v>
      </c>
      <c r="J324" s="6" t="s">
        <v>8373</v>
      </c>
      <c r="K324" s="6" t="s">
        <v>9714</v>
      </c>
      <c r="L324" s="16" t="n">
        <v>44154</v>
      </c>
      <c r="M324" s="16" t="n">
        <v>45884</v>
      </c>
      <c r="N324" s="6" t="s">
        <v>104</v>
      </c>
      <c r="O324" s="21" t="s">
        <v>104</v>
      </c>
      <c r="P324" s="6" t="s">
        <v>104</v>
      </c>
      <c r="Q324" s="6" t="s">
        <v>104</v>
      </c>
      <c r="R324" s="6" t="s">
        <v>104</v>
      </c>
      <c r="S324" s="6" t="s">
        <v>104</v>
      </c>
      <c r="T324" s="21" t="s">
        <v>104</v>
      </c>
      <c r="U324" s="6" t="s">
        <v>104</v>
      </c>
      <c r="V324" s="6" t="s">
        <v>104</v>
      </c>
      <c r="W324" s="6" t="s">
        <v>104</v>
      </c>
      <c r="X324" s="6" t="s">
        <v>104</v>
      </c>
      <c r="Y324" s="21" t="s">
        <v>104</v>
      </c>
      <c r="Z324" s="6" t="s">
        <v>104</v>
      </c>
      <c r="AA324" s="6" t="s">
        <v>104</v>
      </c>
      <c r="AB324" s="6" t="s">
        <v>104</v>
      </c>
      <c r="AC324" s="6" t="s">
        <v>9714</v>
      </c>
      <c r="AD324" s="16" t="n">
        <v>44154</v>
      </c>
      <c r="AE324" s="6" t="s">
        <v>10808</v>
      </c>
      <c r="AF324" s="6" t="s">
        <v>104</v>
      </c>
      <c r="AG324" s="6" t="s">
        <v>104</v>
      </c>
      <c r="AH324" s="6" t="s">
        <v>13445</v>
      </c>
      <c r="AI324" s="6" t="s">
        <v>104</v>
      </c>
      <c r="AJ324" s="6" t="s">
        <v>15589</v>
      </c>
      <c r="AK324" s="6" t="s">
        <v>16691</v>
      </c>
      <c r="AL324" s="6" t="s">
        <v>16935</v>
      </c>
      <c r="AM324" s="6" t="s">
        <v>17204</v>
      </c>
      <c r="AN324" s="6" t="s">
        <v>104</v>
      </c>
      <c r="AO324" s="6" t="s">
        <v>104</v>
      </c>
      <c r="AP324" s="6" t="s">
        <v>13445</v>
      </c>
      <c r="AQ324" s="6" t="s">
        <v>104</v>
      </c>
      <c r="AR324" s="6" t="s">
        <v>15589</v>
      </c>
      <c r="AS324" s="6" t="s">
        <v>16691</v>
      </c>
      <c r="AT324" s="6" t="s">
        <v>16935</v>
      </c>
      <c r="AU324" s="6" t="s">
        <v>17204</v>
      </c>
      <c r="AV324" s="6" t="s">
        <v>104</v>
      </c>
      <c r="AW324" s="6" t="s">
        <v>104</v>
      </c>
      <c r="AX324" s="6" t="s">
        <v>20371</v>
      </c>
      <c r="AY324" s="6" t="s">
        <v>22120</v>
      </c>
      <c r="AZ324" s="6" t="s">
        <v>104</v>
      </c>
      <c r="BA324" s="6" t="s">
        <v>24264</v>
      </c>
      <c r="BB324" s="6" t="s">
        <v>104</v>
      </c>
      <c r="BC324" s="26"/>
      <c r="BD324" s="26"/>
      <c r="BE324" s="26"/>
      <c r="BF324" s="26"/>
      <c r="BG324" s="26"/>
      <c r="BH324" s="26" t="s">
        <v>24533</v>
      </c>
      <c r="BI324" s="26"/>
      <c r="BJ324" s="26"/>
      <c r="BK324" s="26"/>
      <c r="BL324" s="26"/>
      <c r="BM324" s="26"/>
      <c r="BN324" s="26"/>
      <c r="BO324" s="26"/>
      <c r="BP324" s="16" t="n">
        <v>45665</v>
      </c>
      <c r="BQ324" s="28" t="str">
        <f>HYPERLINK("https://organic.ams.usda.gov/Integrity/Certificate.aspx?cid=66&amp;nopid=5500006371")</f>
        <v>https://organic.ams.usda.gov/Integrity/Certificate.aspx?cid=66&amp;nopid=5500006371</v>
      </c>
    </row>
    <row r="325">
      <c r="A325" t="s">
        <v>3</v>
      </c>
      <c r="B325" s="6" t="s">
        <v>18</v>
      </c>
      <c r="C325" s="6" t="s">
        <v>84</v>
      </c>
      <c r="D325" s="6" t="s">
        <v>149</v>
      </c>
      <c r="E325" s="10" t="s">
        <v>523</v>
      </c>
      <c r="F325" s="6" t="s">
        <v>2778</v>
      </c>
      <c r="G325" s="6" t="s">
        <v>104</v>
      </c>
      <c r="H325" s="6" t="s">
        <v>5187</v>
      </c>
      <c r="I325" s="6" t="s">
        <v>7151</v>
      </c>
      <c r="J325" s="6" t="s">
        <v>8374</v>
      </c>
      <c r="K325" s="6" t="s">
        <v>9714</v>
      </c>
      <c r="L325" s="16" t="n">
        <v>45694</v>
      </c>
      <c r="M325" s="16" t="n">
        <v>46059</v>
      </c>
      <c r="N325" s="6" t="s">
        <v>104</v>
      </c>
      <c r="O325" s="21" t="s">
        <v>104</v>
      </c>
      <c r="P325" s="6" t="s">
        <v>104</v>
      </c>
      <c r="Q325" s="6" t="s">
        <v>104</v>
      </c>
      <c r="R325" s="6" t="s">
        <v>104</v>
      </c>
      <c r="S325" s="6" t="s">
        <v>104</v>
      </c>
      <c r="T325" s="21" t="s">
        <v>104</v>
      </c>
      <c r="U325" s="6" t="s">
        <v>104</v>
      </c>
      <c r="V325" s="6" t="s">
        <v>104</v>
      </c>
      <c r="W325" s="6" t="s">
        <v>104</v>
      </c>
      <c r="X325" s="6" t="s">
        <v>104</v>
      </c>
      <c r="Y325" s="21" t="s">
        <v>104</v>
      </c>
      <c r="Z325" s="6" t="s">
        <v>104</v>
      </c>
      <c r="AA325" s="6" t="s">
        <v>104</v>
      </c>
      <c r="AB325" s="6" t="s">
        <v>104</v>
      </c>
      <c r="AC325" s="6" t="s">
        <v>9714</v>
      </c>
      <c r="AD325" s="16" t="n">
        <v>45694</v>
      </c>
      <c r="AE325" s="6" t="s">
        <v>10809</v>
      </c>
      <c r="AF325" s="6" t="s">
        <v>104</v>
      </c>
      <c r="AG325" s="6" t="s">
        <v>12569</v>
      </c>
      <c r="AH325" s="6" t="s">
        <v>13446</v>
      </c>
      <c r="AI325" s="6" t="s">
        <v>104</v>
      </c>
      <c r="AJ325" s="6" t="s">
        <v>15590</v>
      </c>
      <c r="AK325" s="6" t="s">
        <v>16706</v>
      </c>
      <c r="AL325" s="6" t="s">
        <v>16931</v>
      </c>
      <c r="AM325" s="6" t="s">
        <v>17205</v>
      </c>
      <c r="AN325" s="6" t="s">
        <v>104</v>
      </c>
      <c r="AO325" s="6" t="s">
        <v>104</v>
      </c>
      <c r="AP325" s="6" t="s">
        <v>104</v>
      </c>
      <c r="AQ325" s="6" t="s">
        <v>104</v>
      </c>
      <c r="AR325" s="6" t="s">
        <v>104</v>
      </c>
      <c r="AS325" s="6" t="s">
        <v>104</v>
      </c>
      <c r="AT325" s="6" t="s">
        <v>104</v>
      </c>
      <c r="AU325" s="6" t="s">
        <v>104</v>
      </c>
      <c r="AV325" s="6" t="s">
        <v>104</v>
      </c>
      <c r="AW325" s="6" t="s">
        <v>104</v>
      </c>
      <c r="AX325" s="6" t="s">
        <v>20372</v>
      </c>
      <c r="AY325" s="6" t="s">
        <v>22121</v>
      </c>
      <c r="AZ325" s="6" t="s">
        <v>104</v>
      </c>
      <c r="BA325" s="6" t="s">
        <v>104</v>
      </c>
      <c r="BB325" s="6" t="s">
        <v>104</v>
      </c>
      <c r="BC325" s="26"/>
      <c r="BD325" s="26"/>
      <c r="BE325" s="26"/>
      <c r="BF325" s="26"/>
      <c r="BG325" s="26"/>
      <c r="BH325" s="26"/>
      <c r="BI325" s="26"/>
      <c r="BJ325" s="26"/>
      <c r="BK325" s="26"/>
      <c r="BL325" s="26"/>
      <c r="BM325" s="26"/>
      <c r="BN325" s="26"/>
      <c r="BO325" s="26"/>
      <c r="BP325" s="16" t="n">
        <v>45737</v>
      </c>
      <c r="BQ325" s="28" t="str">
        <f>HYPERLINK("https://organic.ams.usda.gov/Integrity/Certificate.aspx?cid=31&amp;nopid=3928972492")</f>
        <v>https://organic.ams.usda.gov/Integrity/Certificate.aspx?cid=31&amp;nopid=3928972492</v>
      </c>
    </row>
    <row r="326">
      <c r="A326" t="s">
        <v>3</v>
      </c>
      <c r="B326" s="6" t="s">
        <v>29</v>
      </c>
      <c r="C326" s="6" t="s">
        <v>95</v>
      </c>
      <c r="D326" s="6" t="s">
        <v>160</v>
      </c>
      <c r="E326" s="10" t="s">
        <v>524</v>
      </c>
      <c r="F326" s="6" t="s">
        <v>2779</v>
      </c>
      <c r="G326" s="6" t="s">
        <v>104</v>
      </c>
      <c r="H326" s="6" t="s">
        <v>5188</v>
      </c>
      <c r="I326" s="6" t="s">
        <v>104</v>
      </c>
      <c r="J326" s="6" t="s">
        <v>8375</v>
      </c>
      <c r="K326" s="6" t="s">
        <v>9714</v>
      </c>
      <c r="L326" s="16" t="n">
        <v>44204</v>
      </c>
      <c r="M326" s="16" t="n">
        <v>46054</v>
      </c>
      <c r="N326" s="6" t="s">
        <v>104</v>
      </c>
      <c r="O326" s="21" t="s">
        <v>104</v>
      </c>
      <c r="P326" s="6" t="s">
        <v>104</v>
      </c>
      <c r="Q326" s="6" t="s">
        <v>104</v>
      </c>
      <c r="R326" s="6" t="s">
        <v>104</v>
      </c>
      <c r="S326" s="6" t="s">
        <v>104</v>
      </c>
      <c r="T326" s="21" t="s">
        <v>104</v>
      </c>
      <c r="U326" s="6" t="s">
        <v>104</v>
      </c>
      <c r="V326" s="6" t="s">
        <v>104</v>
      </c>
      <c r="W326" s="6" t="s">
        <v>104</v>
      </c>
      <c r="X326" s="6" t="s">
        <v>104</v>
      </c>
      <c r="Y326" s="21" t="s">
        <v>104</v>
      </c>
      <c r="Z326" s="6" t="s">
        <v>104</v>
      </c>
      <c r="AA326" s="6" t="s">
        <v>104</v>
      </c>
      <c r="AB326" s="6" t="s">
        <v>104</v>
      </c>
      <c r="AC326" s="6" t="s">
        <v>9714</v>
      </c>
      <c r="AD326" s="16" t="n">
        <v>44204</v>
      </c>
      <c r="AE326" s="6" t="s">
        <v>10810</v>
      </c>
      <c r="AF326" s="6" t="s">
        <v>104</v>
      </c>
      <c r="AG326" s="6" t="s">
        <v>104</v>
      </c>
      <c r="AH326" s="6" t="s">
        <v>13447</v>
      </c>
      <c r="AI326" s="6" t="s">
        <v>104</v>
      </c>
      <c r="AJ326" s="6" t="s">
        <v>15591</v>
      </c>
      <c r="AK326" s="6" t="s">
        <v>16689</v>
      </c>
      <c r="AL326" s="6" t="s">
        <v>16931</v>
      </c>
      <c r="AM326" s="6" t="s">
        <v>17206</v>
      </c>
      <c r="AN326" s="6" t="s">
        <v>18503</v>
      </c>
      <c r="AO326" s="6" t="s">
        <v>18637</v>
      </c>
      <c r="AP326" s="6" t="s">
        <v>104</v>
      </c>
      <c r="AQ326" s="6" t="s">
        <v>104</v>
      </c>
      <c r="AR326" s="6" t="s">
        <v>104</v>
      </c>
      <c r="AS326" s="6" t="s">
        <v>104</v>
      </c>
      <c r="AT326" s="6" t="s">
        <v>104</v>
      </c>
      <c r="AU326" s="6" t="s">
        <v>104</v>
      </c>
      <c r="AV326" s="6" t="s">
        <v>104</v>
      </c>
      <c r="AW326" s="6" t="s">
        <v>104</v>
      </c>
      <c r="AX326" s="6" t="s">
        <v>20373</v>
      </c>
      <c r="AY326" s="6" t="s">
        <v>22122</v>
      </c>
      <c r="AZ326" s="6" t="s">
        <v>104</v>
      </c>
      <c r="BA326" s="6" t="s">
        <v>104</v>
      </c>
      <c r="BB326" s="24" t="n">
        <v>0</v>
      </c>
      <c r="BC326" s="26"/>
      <c r="BD326" s="26"/>
      <c r="BE326" s="26"/>
      <c r="BF326" s="26"/>
      <c r="BG326" s="26"/>
      <c r="BH326" s="26"/>
      <c r="BI326" s="26"/>
      <c r="BJ326" s="26"/>
      <c r="BK326" s="26"/>
      <c r="BL326" s="26"/>
      <c r="BM326" s="26"/>
      <c r="BN326" s="26"/>
      <c r="BO326" s="26"/>
      <c r="BP326" s="16" t="n">
        <v>45691</v>
      </c>
      <c r="BQ326" s="28" t="str">
        <f>HYPERLINK("https://organic.ams.usda.gov/Integrity/Certificate.aspx?cid=24&amp;nopid=7889010100")</f>
        <v>https://organic.ams.usda.gov/Integrity/Certificate.aspx?cid=24&amp;nopid=7889010100</v>
      </c>
    </row>
    <row r="327">
      <c r="A327" t="s">
        <v>3</v>
      </c>
      <c r="B327" s="6" t="s">
        <v>25</v>
      </c>
      <c r="C327" s="6" t="s">
        <v>91</v>
      </c>
      <c r="D327" s="6" t="s">
        <v>156</v>
      </c>
      <c r="E327" s="10" t="s">
        <v>525</v>
      </c>
      <c r="F327" s="6" t="s">
        <v>2780</v>
      </c>
      <c r="G327" s="6" t="s">
        <v>104</v>
      </c>
      <c r="H327" s="6" t="s">
        <v>5189</v>
      </c>
      <c r="I327" s="6" t="s">
        <v>7152</v>
      </c>
      <c r="J327" s="6" t="s">
        <v>8376</v>
      </c>
      <c r="K327" s="6" t="s">
        <v>9714</v>
      </c>
      <c r="L327" s="16" t="n">
        <v>45677</v>
      </c>
      <c r="M327" s="16" t="n">
        <v>45901</v>
      </c>
      <c r="N327" s="6" t="s">
        <v>104</v>
      </c>
      <c r="O327" s="21" t="s">
        <v>104</v>
      </c>
      <c r="P327" s="6" t="s">
        <v>104</v>
      </c>
      <c r="Q327" s="6" t="s">
        <v>104</v>
      </c>
      <c r="R327" s="6" t="s">
        <v>104</v>
      </c>
      <c r="S327" s="6" t="s">
        <v>104</v>
      </c>
      <c r="T327" s="21" t="s">
        <v>104</v>
      </c>
      <c r="U327" s="6" t="s">
        <v>104</v>
      </c>
      <c r="V327" s="6" t="s">
        <v>104</v>
      </c>
      <c r="W327" s="6" t="s">
        <v>104</v>
      </c>
      <c r="X327" s="6" t="s">
        <v>104</v>
      </c>
      <c r="Y327" s="21" t="s">
        <v>104</v>
      </c>
      <c r="Z327" s="6" t="s">
        <v>104</v>
      </c>
      <c r="AA327" s="6" t="s">
        <v>104</v>
      </c>
      <c r="AB327" s="6" t="s">
        <v>104</v>
      </c>
      <c r="AC327" s="6" t="s">
        <v>9714</v>
      </c>
      <c r="AD327" s="16" t="n">
        <v>45677</v>
      </c>
      <c r="AE327" s="6" t="s">
        <v>10811</v>
      </c>
      <c r="AF327" s="6" t="s">
        <v>104</v>
      </c>
      <c r="AG327" s="6" t="s">
        <v>104</v>
      </c>
      <c r="AH327" s="6" t="s">
        <v>13448</v>
      </c>
      <c r="AI327" s="6" t="s">
        <v>104</v>
      </c>
      <c r="AJ327" s="6" t="s">
        <v>15592</v>
      </c>
      <c r="AK327" s="6" t="s">
        <v>16691</v>
      </c>
      <c r="AL327" s="6" t="s">
        <v>16935</v>
      </c>
      <c r="AM327" s="6" t="s">
        <v>17207</v>
      </c>
      <c r="AN327" s="6" t="s">
        <v>104</v>
      </c>
      <c r="AO327" s="6" t="s">
        <v>104</v>
      </c>
      <c r="AP327" s="6" t="s">
        <v>19039</v>
      </c>
      <c r="AQ327" s="6" t="s">
        <v>104</v>
      </c>
      <c r="AR327" s="6" t="s">
        <v>15592</v>
      </c>
      <c r="AS327" s="6" t="s">
        <v>16691</v>
      </c>
      <c r="AT327" s="6" t="s">
        <v>16935</v>
      </c>
      <c r="AU327" s="6" t="s">
        <v>17207</v>
      </c>
      <c r="AV327" s="6" t="s">
        <v>104</v>
      </c>
      <c r="AW327" s="6" t="s">
        <v>104</v>
      </c>
      <c r="AX327" s="6" t="s">
        <v>20374</v>
      </c>
      <c r="AY327" s="6" t="s">
        <v>22123</v>
      </c>
      <c r="AZ327" s="6" t="s">
        <v>104</v>
      </c>
      <c r="BA327" s="6" t="s">
        <v>24264</v>
      </c>
      <c r="BB327" s="6" t="s">
        <v>104</v>
      </c>
      <c r="BC327" s="26"/>
      <c r="BD327" s="26"/>
      <c r="BE327" s="26"/>
      <c r="BF327" s="26"/>
      <c r="BG327" s="26"/>
      <c r="BH327" s="26"/>
      <c r="BI327" s="26"/>
      <c r="BJ327" s="26"/>
      <c r="BK327" s="26"/>
      <c r="BL327" s="26"/>
      <c r="BM327" s="26"/>
      <c r="BN327" s="26"/>
      <c r="BO327" s="26"/>
      <c r="BP327" s="16" t="n">
        <v>45681</v>
      </c>
      <c r="BQ327" s="28" t="str">
        <f>HYPERLINK("https://organic.ams.usda.gov/Integrity/Certificate.aspx?cid=66&amp;nopid=5500007437")</f>
        <v>https://organic.ams.usda.gov/Integrity/Certificate.aspx?cid=66&amp;nopid=5500007437</v>
      </c>
    </row>
    <row r="328">
      <c r="A328" t="s">
        <v>3</v>
      </c>
      <c r="B328" s="6" t="s">
        <v>25</v>
      </c>
      <c r="C328" s="6" t="s">
        <v>91</v>
      </c>
      <c r="D328" s="6" t="s">
        <v>156</v>
      </c>
      <c r="E328" s="10" t="s">
        <v>526</v>
      </c>
      <c r="F328" s="6" t="s">
        <v>2781</v>
      </c>
      <c r="G328" s="6" t="s">
        <v>104</v>
      </c>
      <c r="H328" s="6" t="s">
        <v>5190</v>
      </c>
      <c r="I328" s="6" t="s">
        <v>7153</v>
      </c>
      <c r="J328" s="6" t="s">
        <v>8377</v>
      </c>
      <c r="K328" s="6" t="s">
        <v>9714</v>
      </c>
      <c r="L328" s="16" t="n">
        <v>43193</v>
      </c>
      <c r="M328" s="16" t="n">
        <v>45700</v>
      </c>
      <c r="N328" s="6" t="s">
        <v>104</v>
      </c>
      <c r="O328" s="21" t="s">
        <v>104</v>
      </c>
      <c r="P328" s="6" t="s">
        <v>104</v>
      </c>
      <c r="Q328" s="6" t="s">
        <v>104</v>
      </c>
      <c r="R328" s="6" t="s">
        <v>104</v>
      </c>
      <c r="S328" s="6" t="s">
        <v>104</v>
      </c>
      <c r="T328" s="21" t="s">
        <v>104</v>
      </c>
      <c r="U328" s="6" t="s">
        <v>104</v>
      </c>
      <c r="V328" s="6" t="s">
        <v>104</v>
      </c>
      <c r="W328" s="6" t="s">
        <v>104</v>
      </c>
      <c r="X328" s="6" t="s">
        <v>104</v>
      </c>
      <c r="Y328" s="21" t="s">
        <v>104</v>
      </c>
      <c r="Z328" s="6" t="s">
        <v>104</v>
      </c>
      <c r="AA328" s="6" t="s">
        <v>104</v>
      </c>
      <c r="AB328" s="6" t="s">
        <v>104</v>
      </c>
      <c r="AC328" s="6" t="s">
        <v>9714</v>
      </c>
      <c r="AD328" s="16" t="n">
        <v>43193</v>
      </c>
      <c r="AE328" s="6" t="s">
        <v>10812</v>
      </c>
      <c r="AF328" s="6" t="s">
        <v>104</v>
      </c>
      <c r="AG328" s="6" t="s">
        <v>104</v>
      </c>
      <c r="AH328" s="6" t="s">
        <v>104</v>
      </c>
      <c r="AI328" s="6" t="s">
        <v>104</v>
      </c>
      <c r="AJ328" s="6" t="s">
        <v>104</v>
      </c>
      <c r="AK328" s="6" t="s">
        <v>104</v>
      </c>
      <c r="AL328" s="6" t="s">
        <v>104</v>
      </c>
      <c r="AM328" s="6" t="s">
        <v>104</v>
      </c>
      <c r="AN328" s="6" t="s">
        <v>104</v>
      </c>
      <c r="AO328" s="6" t="s">
        <v>104</v>
      </c>
      <c r="AP328" s="6" t="s">
        <v>19040</v>
      </c>
      <c r="AQ328" s="6" t="s">
        <v>104</v>
      </c>
      <c r="AR328" s="6" t="s">
        <v>15802</v>
      </c>
      <c r="AS328" s="6" t="s">
        <v>16370</v>
      </c>
      <c r="AT328" s="6" t="s">
        <v>16931</v>
      </c>
      <c r="AU328" s="6" t="s">
        <v>19825</v>
      </c>
      <c r="AV328" s="6" t="s">
        <v>104</v>
      </c>
      <c r="AW328" s="6" t="s">
        <v>104</v>
      </c>
      <c r="AX328" s="6" t="s">
        <v>20375</v>
      </c>
      <c r="AY328" s="6" t="s">
        <v>22124</v>
      </c>
      <c r="AZ328" s="6" t="s">
        <v>104</v>
      </c>
      <c r="BA328" s="6" t="s">
        <v>24264</v>
      </c>
      <c r="BB328" s="6" t="s">
        <v>104</v>
      </c>
      <c r="BC328" s="26"/>
      <c r="BD328" s="26"/>
      <c r="BE328" s="26"/>
      <c r="BF328" s="26"/>
      <c r="BG328" s="26"/>
      <c r="BH328" s="26" t="s">
        <v>24533</v>
      </c>
      <c r="BI328" s="26"/>
      <c r="BJ328" s="26"/>
      <c r="BK328" s="26"/>
      <c r="BL328" s="26"/>
      <c r="BM328" s="26"/>
      <c r="BN328" s="26"/>
      <c r="BO328" s="26"/>
      <c r="BP328" s="16" t="n">
        <v>45476</v>
      </c>
      <c r="BQ328" s="28" t="str">
        <f>HYPERLINK("https://organic.ams.usda.gov/Integrity/Certificate.aspx?cid=66&amp;nopid=5500005606")</f>
        <v>https://organic.ams.usda.gov/Integrity/Certificate.aspx?cid=66&amp;nopid=5500005606</v>
      </c>
    </row>
    <row r="329">
      <c r="A329" t="s">
        <v>3</v>
      </c>
      <c r="B329" s="6" t="s">
        <v>20</v>
      </c>
      <c r="C329" s="6" t="s">
        <v>86</v>
      </c>
      <c r="D329" s="6" t="s">
        <v>151</v>
      </c>
      <c r="E329" s="10" t="s">
        <v>527</v>
      </c>
      <c r="F329" s="6" t="s">
        <v>2782</v>
      </c>
      <c r="G329" s="6" t="s">
        <v>104</v>
      </c>
      <c r="H329" s="6" t="s">
        <v>5191</v>
      </c>
      <c r="I329" s="6" t="s">
        <v>7154</v>
      </c>
      <c r="J329" s="6" t="s">
        <v>8378</v>
      </c>
      <c r="K329" s="6" t="s">
        <v>9714</v>
      </c>
      <c r="L329" s="16" t="n">
        <v>42401</v>
      </c>
      <c r="M329" s="16" t="n">
        <v>45747</v>
      </c>
      <c r="N329" s="6" t="s">
        <v>9714</v>
      </c>
      <c r="O329" s="16" t="n">
        <v>42401</v>
      </c>
      <c r="P329" s="6" t="s">
        <v>9821</v>
      </c>
      <c r="Q329" s="6" t="s">
        <v>104</v>
      </c>
      <c r="R329" s="6" t="s">
        <v>10326</v>
      </c>
      <c r="S329" s="6" t="s">
        <v>104</v>
      </c>
      <c r="T329" s="21" t="s">
        <v>104</v>
      </c>
      <c r="U329" s="6" t="s">
        <v>104</v>
      </c>
      <c r="V329" s="6" t="s">
        <v>104</v>
      </c>
      <c r="W329" s="6" t="s">
        <v>104</v>
      </c>
      <c r="X329" s="6" t="s">
        <v>104</v>
      </c>
      <c r="Y329" s="21" t="s">
        <v>104</v>
      </c>
      <c r="Z329" s="6" t="s">
        <v>104</v>
      </c>
      <c r="AA329" s="6" t="s">
        <v>104</v>
      </c>
      <c r="AB329" s="6" t="s">
        <v>104</v>
      </c>
      <c r="AC329" s="6" t="s">
        <v>9714</v>
      </c>
      <c r="AD329" s="16" t="n">
        <v>42401</v>
      </c>
      <c r="AE329" s="6" t="s">
        <v>10813</v>
      </c>
      <c r="AF329" s="6" t="s">
        <v>104</v>
      </c>
      <c r="AG329" s="6" t="s">
        <v>10326</v>
      </c>
      <c r="AH329" s="6" t="s">
        <v>13449</v>
      </c>
      <c r="AI329" s="6" t="s">
        <v>104</v>
      </c>
      <c r="AJ329" s="6" t="s">
        <v>15593</v>
      </c>
      <c r="AK329" s="6" t="s">
        <v>15593</v>
      </c>
      <c r="AL329" s="6" t="s">
        <v>15513</v>
      </c>
      <c r="AM329" s="6" t="s">
        <v>17208</v>
      </c>
      <c r="AN329" s="6" t="s">
        <v>104</v>
      </c>
      <c r="AO329" s="6" t="s">
        <v>104</v>
      </c>
      <c r="AP329" s="6" t="s">
        <v>104</v>
      </c>
      <c r="AQ329" s="6" t="s">
        <v>104</v>
      </c>
      <c r="AR329" s="6" t="s">
        <v>104</v>
      </c>
      <c r="AS329" s="6" t="s">
        <v>104</v>
      </c>
      <c r="AT329" s="6" t="s">
        <v>104</v>
      </c>
      <c r="AU329" s="6" t="s">
        <v>104</v>
      </c>
      <c r="AV329" s="6" t="s">
        <v>104</v>
      </c>
      <c r="AW329" s="6" t="s">
        <v>104</v>
      </c>
      <c r="AX329" s="6" t="s">
        <v>20376</v>
      </c>
      <c r="AY329" s="6" t="s">
        <v>22125</v>
      </c>
      <c r="AZ329" s="6" t="s">
        <v>104</v>
      </c>
      <c r="BA329" s="6" t="s">
        <v>24311</v>
      </c>
      <c r="BB329" s="24" t="n">
        <v>2742</v>
      </c>
      <c r="BC329" s="26"/>
      <c r="BD329" s="26"/>
      <c r="BE329" s="26"/>
      <c r="BF329" s="26"/>
      <c r="BG329" s="26"/>
      <c r="BH329" s="26"/>
      <c r="BI329" s="26"/>
      <c r="BJ329" s="26"/>
      <c r="BK329" s="26"/>
      <c r="BL329" s="26"/>
      <c r="BM329" s="26"/>
      <c r="BN329" s="26"/>
      <c r="BO329" s="26" t="s">
        <v>24533</v>
      </c>
      <c r="BP329" s="16" t="n">
        <v>45593</v>
      </c>
      <c r="BQ329" s="28" t="str">
        <f>HYPERLINK("https://organic.ams.usda.gov/Integrity/Certificate.aspx?cid=17&amp;nopid=4087184061")</f>
        <v>https://organic.ams.usda.gov/Integrity/Certificate.aspx?cid=17&amp;nopid=4087184061</v>
      </c>
    </row>
    <row r="330">
      <c r="A330" t="s">
        <v>3</v>
      </c>
      <c r="B330" s="6" t="s">
        <v>18</v>
      </c>
      <c r="C330" s="6" t="s">
        <v>84</v>
      </c>
      <c r="D330" s="6" t="s">
        <v>149</v>
      </c>
      <c r="E330" s="10" t="s">
        <v>528</v>
      </c>
      <c r="F330" s="6" t="s">
        <v>2783</v>
      </c>
      <c r="G330" s="6" t="s">
        <v>104</v>
      </c>
      <c r="H330" s="6" t="s">
        <v>5192</v>
      </c>
      <c r="I330" s="6" t="s">
        <v>7155</v>
      </c>
      <c r="J330" s="6" t="s">
        <v>8379</v>
      </c>
      <c r="K330" s="6" t="s">
        <v>9714</v>
      </c>
      <c r="L330" s="16" t="n">
        <v>43242</v>
      </c>
      <c r="M330" s="16" t="n">
        <v>45870</v>
      </c>
      <c r="N330" s="6" t="s">
        <v>9714</v>
      </c>
      <c r="O330" s="16" t="n">
        <v>43242</v>
      </c>
      <c r="P330" s="6" t="s">
        <v>9822</v>
      </c>
      <c r="Q330" s="6" t="s">
        <v>104</v>
      </c>
      <c r="R330" s="6" t="s">
        <v>10327</v>
      </c>
      <c r="S330" s="6" t="s">
        <v>104</v>
      </c>
      <c r="T330" s="21" t="s">
        <v>104</v>
      </c>
      <c r="U330" s="6" t="s">
        <v>104</v>
      </c>
      <c r="V330" s="6" t="s">
        <v>104</v>
      </c>
      <c r="W330" s="6" t="s">
        <v>104</v>
      </c>
      <c r="X330" s="6" t="s">
        <v>104</v>
      </c>
      <c r="Y330" s="21" t="s">
        <v>104</v>
      </c>
      <c r="Z330" s="6" t="s">
        <v>104</v>
      </c>
      <c r="AA330" s="6" t="s">
        <v>104</v>
      </c>
      <c r="AB330" s="6" t="s">
        <v>104</v>
      </c>
      <c r="AC330" s="6" t="s">
        <v>9714</v>
      </c>
      <c r="AD330" s="16" t="n">
        <v>43242</v>
      </c>
      <c r="AE330" s="6" t="s">
        <v>10814</v>
      </c>
      <c r="AF330" s="6" t="s">
        <v>104</v>
      </c>
      <c r="AG330" s="6" t="s">
        <v>12570</v>
      </c>
      <c r="AH330" s="6" t="s">
        <v>13450</v>
      </c>
      <c r="AI330" s="6" t="s">
        <v>104</v>
      </c>
      <c r="AJ330" s="6" t="s">
        <v>15594</v>
      </c>
      <c r="AK330" s="6" t="s">
        <v>16738</v>
      </c>
      <c r="AL330" s="6" t="s">
        <v>16931</v>
      </c>
      <c r="AM330" s="6" t="s">
        <v>17209</v>
      </c>
      <c r="AN330" s="6" t="s">
        <v>18501</v>
      </c>
      <c r="AO330" s="6" t="s">
        <v>18633</v>
      </c>
      <c r="AP330" s="6" t="s">
        <v>104</v>
      </c>
      <c r="AQ330" s="6" t="s">
        <v>104</v>
      </c>
      <c r="AR330" s="6" t="s">
        <v>104</v>
      </c>
      <c r="AS330" s="6" t="s">
        <v>104</v>
      </c>
      <c r="AT330" s="6" t="s">
        <v>104</v>
      </c>
      <c r="AU330" s="6" t="s">
        <v>104</v>
      </c>
      <c r="AV330" s="6" t="s">
        <v>104</v>
      </c>
      <c r="AW330" s="6" t="s">
        <v>104</v>
      </c>
      <c r="AX330" s="6" t="s">
        <v>20377</v>
      </c>
      <c r="AY330" s="6" t="s">
        <v>22126</v>
      </c>
      <c r="AZ330" s="6" t="s">
        <v>104</v>
      </c>
      <c r="BA330" s="6" t="s">
        <v>24265</v>
      </c>
      <c r="BB330" s="24" t="n">
        <v>1131</v>
      </c>
      <c r="BC330" s="26"/>
      <c r="BD330" s="26"/>
      <c r="BE330" s="26"/>
      <c r="BF330" s="26"/>
      <c r="BG330" s="26"/>
      <c r="BH330" s="26"/>
      <c r="BI330" s="26"/>
      <c r="BJ330" s="26"/>
      <c r="BK330" s="26"/>
      <c r="BL330" s="26"/>
      <c r="BM330" s="26"/>
      <c r="BN330" s="26" t="s">
        <v>24533</v>
      </c>
      <c r="BO330" s="26"/>
      <c r="BP330" s="16" t="n">
        <v>45737</v>
      </c>
      <c r="BQ330" s="28" t="str">
        <f>HYPERLINK("https://organic.ams.usda.gov/Integrity/Certificate.aspx?cid=31&amp;nopid=3928971898")</f>
        <v>https://organic.ams.usda.gov/Integrity/Certificate.aspx?cid=31&amp;nopid=3928971898</v>
      </c>
    </row>
    <row r="331">
      <c r="A331" t="s">
        <v>3</v>
      </c>
      <c r="B331" s="6" t="s">
        <v>13</v>
      </c>
      <c r="C331" s="6" t="s">
        <v>79</v>
      </c>
      <c r="D331" s="6" t="s">
        <v>144</v>
      </c>
      <c r="E331" s="10" t="s">
        <v>529</v>
      </c>
      <c r="F331" s="6" t="s">
        <v>2784</v>
      </c>
      <c r="G331" s="6" t="s">
        <v>104</v>
      </c>
      <c r="H331" s="6" t="s">
        <v>5193</v>
      </c>
      <c r="I331" s="6" t="s">
        <v>7156</v>
      </c>
      <c r="J331" s="6" t="s">
        <v>8380</v>
      </c>
      <c r="K331" s="6" t="s">
        <v>9714</v>
      </c>
      <c r="L331" s="16" t="n">
        <v>37813</v>
      </c>
      <c r="M331" s="16" t="n">
        <v>46113</v>
      </c>
      <c r="N331" s="6" t="s">
        <v>9721</v>
      </c>
      <c r="O331" s="16" t="n">
        <v>42277</v>
      </c>
      <c r="P331" s="6" t="s">
        <v>104</v>
      </c>
      <c r="Q331" s="6" t="s">
        <v>104</v>
      </c>
      <c r="R331" s="6" t="s">
        <v>104</v>
      </c>
      <c r="S331" s="6" t="s">
        <v>104</v>
      </c>
      <c r="T331" s="21" t="s">
        <v>104</v>
      </c>
      <c r="U331" s="6" t="s">
        <v>104</v>
      </c>
      <c r="V331" s="6" t="s">
        <v>104</v>
      </c>
      <c r="W331" s="6" t="s">
        <v>104</v>
      </c>
      <c r="X331" s="6" t="s">
        <v>104</v>
      </c>
      <c r="Y331" s="21" t="s">
        <v>104</v>
      </c>
      <c r="Z331" s="6" t="s">
        <v>104</v>
      </c>
      <c r="AA331" s="6" t="s">
        <v>104</v>
      </c>
      <c r="AB331" s="6" t="s">
        <v>104</v>
      </c>
      <c r="AC331" s="6" t="s">
        <v>9714</v>
      </c>
      <c r="AD331" s="16" t="n">
        <v>37813</v>
      </c>
      <c r="AE331" s="6" t="s">
        <v>10815</v>
      </c>
      <c r="AF331" s="6" t="s">
        <v>104</v>
      </c>
      <c r="AG331" s="6" t="s">
        <v>104</v>
      </c>
      <c r="AH331" s="6" t="s">
        <v>104</v>
      </c>
      <c r="AI331" s="6" t="s">
        <v>104</v>
      </c>
      <c r="AJ331" s="6" t="s">
        <v>104</v>
      </c>
      <c r="AK331" s="6" t="s">
        <v>104</v>
      </c>
      <c r="AL331" s="6" t="s">
        <v>104</v>
      </c>
      <c r="AM331" s="6" t="s">
        <v>104</v>
      </c>
      <c r="AN331" s="6" t="s">
        <v>104</v>
      </c>
      <c r="AO331" s="6" t="s">
        <v>104</v>
      </c>
      <c r="AP331" s="6" t="s">
        <v>19041</v>
      </c>
      <c r="AQ331" s="6" t="s">
        <v>104</v>
      </c>
      <c r="AR331" s="6" t="s">
        <v>19620</v>
      </c>
      <c r="AS331" s="6" t="s">
        <v>16686</v>
      </c>
      <c r="AT331" s="6" t="s">
        <v>16931</v>
      </c>
      <c r="AU331" s="6" t="s">
        <v>19846</v>
      </c>
      <c r="AV331" s="6" t="s">
        <v>18466</v>
      </c>
      <c r="AW331" s="6" t="s">
        <v>20081</v>
      </c>
      <c r="AX331" s="6" t="s">
        <v>20378</v>
      </c>
      <c r="AY331" s="6" t="s">
        <v>22127</v>
      </c>
      <c r="AZ331" s="6" t="s">
        <v>23777</v>
      </c>
      <c r="BA331" s="6" t="s">
        <v>104</v>
      </c>
      <c r="BB331" s="6" t="s">
        <v>104</v>
      </c>
      <c r="BC331" s="26"/>
      <c r="BD331" s="26"/>
      <c r="BE331" s="26"/>
      <c r="BF331" s="26"/>
      <c r="BG331" s="26"/>
      <c r="BH331" s="26"/>
      <c r="BI331" s="26"/>
      <c r="BJ331" s="26"/>
      <c r="BK331" s="26"/>
      <c r="BL331" s="26"/>
      <c r="BM331" s="26"/>
      <c r="BN331" s="26"/>
      <c r="BO331" s="26"/>
      <c r="BP331" s="16" t="n">
        <v>45737</v>
      </c>
      <c r="BQ331" s="28" t="str">
        <f>HYPERLINK("https://organic.ams.usda.gov/Integrity/Certificate.aspx?cid=62&amp;nopid=8150001736")</f>
        <v>https://organic.ams.usda.gov/Integrity/Certificate.aspx?cid=62&amp;nopid=8150001736</v>
      </c>
    </row>
    <row r="332">
      <c r="A332" t="s">
        <v>3</v>
      </c>
      <c r="B332" s="6" t="s">
        <v>41</v>
      </c>
      <c r="C332" s="6" t="s">
        <v>107</v>
      </c>
      <c r="D332" s="6" t="s">
        <v>171</v>
      </c>
      <c r="E332" s="10" t="s">
        <v>530</v>
      </c>
      <c r="F332" s="6" t="s">
        <v>2785</v>
      </c>
      <c r="G332" s="6" t="s">
        <v>4703</v>
      </c>
      <c r="H332" s="6" t="s">
        <v>5194</v>
      </c>
      <c r="I332" s="6" t="s">
        <v>7030</v>
      </c>
      <c r="J332" s="6" t="s">
        <v>8381</v>
      </c>
      <c r="K332" s="6" t="s">
        <v>9714</v>
      </c>
      <c r="L332" s="16" t="n">
        <v>40165</v>
      </c>
      <c r="M332" s="16" t="n">
        <v>46157</v>
      </c>
      <c r="N332" s="6" t="s">
        <v>9714</v>
      </c>
      <c r="O332" s="16" t="n">
        <v>40165</v>
      </c>
      <c r="P332" s="6" t="s">
        <v>9823</v>
      </c>
      <c r="Q332" s="6" t="s">
        <v>104</v>
      </c>
      <c r="R332" s="6" t="s">
        <v>104</v>
      </c>
      <c r="S332" s="6" t="s">
        <v>9714</v>
      </c>
      <c r="T332" s="16" t="n">
        <v>40165</v>
      </c>
      <c r="U332" s="6" t="s">
        <v>10471</v>
      </c>
      <c r="V332" s="6" t="s">
        <v>104</v>
      </c>
      <c r="W332" s="6" t="s">
        <v>104</v>
      </c>
      <c r="X332" s="6" t="s">
        <v>104</v>
      </c>
      <c r="Y332" s="21" t="s">
        <v>104</v>
      </c>
      <c r="Z332" s="6" t="s">
        <v>104</v>
      </c>
      <c r="AA332" s="6" t="s">
        <v>104</v>
      </c>
      <c r="AB332" s="6" t="s">
        <v>104</v>
      </c>
      <c r="AC332" s="6" t="s">
        <v>9714</v>
      </c>
      <c r="AD332" s="16" t="n">
        <v>40165</v>
      </c>
      <c r="AE332" s="6" t="s">
        <v>10816</v>
      </c>
      <c r="AF332" s="6" t="s">
        <v>104</v>
      </c>
      <c r="AG332" s="6" t="s">
        <v>104</v>
      </c>
      <c r="AH332" s="6" t="s">
        <v>13451</v>
      </c>
      <c r="AI332" s="6" t="s">
        <v>104</v>
      </c>
      <c r="AJ332" s="6" t="s">
        <v>15595</v>
      </c>
      <c r="AK332" s="6" t="s">
        <v>16686</v>
      </c>
      <c r="AL332" s="6" t="s">
        <v>16931</v>
      </c>
      <c r="AM332" s="6" t="s">
        <v>17210</v>
      </c>
      <c r="AN332" s="6" t="s">
        <v>18504</v>
      </c>
      <c r="AO332" s="6" t="s">
        <v>18637</v>
      </c>
      <c r="AP332" s="6" t="s">
        <v>13451</v>
      </c>
      <c r="AQ332" s="6" t="s">
        <v>104</v>
      </c>
      <c r="AR332" s="6" t="s">
        <v>15595</v>
      </c>
      <c r="AS332" s="6" t="s">
        <v>16686</v>
      </c>
      <c r="AT332" s="6" t="s">
        <v>16931</v>
      </c>
      <c r="AU332" s="6" t="s">
        <v>17210</v>
      </c>
      <c r="AV332" s="6" t="s">
        <v>104</v>
      </c>
      <c r="AW332" s="6" t="s">
        <v>104</v>
      </c>
      <c r="AX332" s="6" t="s">
        <v>20379</v>
      </c>
      <c r="AY332" s="6" t="s">
        <v>22128</v>
      </c>
      <c r="AZ332" s="6" t="s">
        <v>104</v>
      </c>
      <c r="BA332" s="6" t="s">
        <v>104</v>
      </c>
      <c r="BB332" s="24" t="n">
        <v>744</v>
      </c>
      <c r="BC332" s="26" t="s">
        <v>24533</v>
      </c>
      <c r="BD332" s="26"/>
      <c r="BE332" s="26"/>
      <c r="BF332" s="26" t="s">
        <v>24533</v>
      </c>
      <c r="BG332" s="26"/>
      <c r="BH332" s="26"/>
      <c r="BI332" s="26"/>
      <c r="BJ332" s="26"/>
      <c r="BK332" s="26"/>
      <c r="BL332" s="26"/>
      <c r="BM332" s="26"/>
      <c r="BN332" s="26"/>
      <c r="BO332" s="26"/>
      <c r="BP332" s="16" t="n">
        <v>45737</v>
      </c>
      <c r="BQ332" s="28" t="str">
        <f>HYPERLINK("https://organic.ams.usda.gov/Integrity/Certificate.aspx?cid=58&amp;nopid=1600001726")</f>
        <v>https://organic.ams.usda.gov/Integrity/Certificate.aspx?cid=58&amp;nopid=1600001726</v>
      </c>
    </row>
    <row r="333">
      <c r="A333" t="s">
        <v>3</v>
      </c>
      <c r="B333" s="6" t="s">
        <v>21</v>
      </c>
      <c r="C333" s="6" t="s">
        <v>87</v>
      </c>
      <c r="D333" s="6" t="s">
        <v>152</v>
      </c>
      <c r="E333" s="10" t="s">
        <v>531</v>
      </c>
      <c r="F333" s="6" t="s">
        <v>2786</v>
      </c>
      <c r="G333" s="6" t="s">
        <v>4704</v>
      </c>
      <c r="H333" s="6" t="s">
        <v>5195</v>
      </c>
      <c r="I333" s="6" t="s">
        <v>7157</v>
      </c>
      <c r="J333" s="6" t="s">
        <v>8382</v>
      </c>
      <c r="K333" s="6" t="s">
        <v>9714</v>
      </c>
      <c r="L333" s="16" t="n">
        <v>40481</v>
      </c>
      <c r="M333" s="16" t="n">
        <v>46023</v>
      </c>
      <c r="N333" s="6" t="s">
        <v>9714</v>
      </c>
      <c r="O333" s="16" t="n">
        <v>40481</v>
      </c>
      <c r="P333" s="6" t="s">
        <v>9824</v>
      </c>
      <c r="Q333" s="6" t="s">
        <v>104</v>
      </c>
      <c r="R333" s="6" t="s">
        <v>104</v>
      </c>
      <c r="S333" s="6" t="s">
        <v>9721</v>
      </c>
      <c r="T333" s="16" t="n">
        <v>43040</v>
      </c>
      <c r="U333" s="6" t="s">
        <v>104</v>
      </c>
      <c r="V333" s="6" t="s">
        <v>104</v>
      </c>
      <c r="W333" s="6" t="s">
        <v>104</v>
      </c>
      <c r="X333" s="6" t="s">
        <v>104</v>
      </c>
      <c r="Y333" s="21" t="s">
        <v>104</v>
      </c>
      <c r="Z333" s="6" t="s">
        <v>104</v>
      </c>
      <c r="AA333" s="6" t="s">
        <v>104</v>
      </c>
      <c r="AB333" s="6" t="s">
        <v>104</v>
      </c>
      <c r="AC333" s="6" t="s">
        <v>9714</v>
      </c>
      <c r="AD333" s="16" t="n">
        <v>40878</v>
      </c>
      <c r="AE333" s="6" t="s">
        <v>10817</v>
      </c>
      <c r="AF333" s="6" t="s">
        <v>104</v>
      </c>
      <c r="AG333" s="6" t="s">
        <v>104</v>
      </c>
      <c r="AH333" s="6" t="s">
        <v>13452</v>
      </c>
      <c r="AI333" s="6" t="s">
        <v>104</v>
      </c>
      <c r="AJ333" s="6" t="s">
        <v>15596</v>
      </c>
      <c r="AK333" s="6" t="s">
        <v>16694</v>
      </c>
      <c r="AL333" s="6" t="s">
        <v>16931</v>
      </c>
      <c r="AM333" s="6" t="s">
        <v>17211</v>
      </c>
      <c r="AN333" s="6" t="s">
        <v>18505</v>
      </c>
      <c r="AO333" s="6" t="s">
        <v>18638</v>
      </c>
      <c r="AP333" s="6" t="s">
        <v>19042</v>
      </c>
      <c r="AQ333" s="6" t="s">
        <v>104</v>
      </c>
      <c r="AR333" s="6" t="s">
        <v>19621</v>
      </c>
      <c r="AS333" s="6" t="s">
        <v>16694</v>
      </c>
      <c r="AT333" s="6" t="s">
        <v>16931</v>
      </c>
      <c r="AU333" s="6" t="s">
        <v>19847</v>
      </c>
      <c r="AV333" s="6" t="s">
        <v>104</v>
      </c>
      <c r="AW333" s="6" t="s">
        <v>104</v>
      </c>
      <c r="AX333" s="6" t="s">
        <v>20380</v>
      </c>
      <c r="AY333" s="6" t="s">
        <v>22129</v>
      </c>
      <c r="AZ333" s="6" t="s">
        <v>104</v>
      </c>
      <c r="BA333" s="6" t="s">
        <v>24263</v>
      </c>
      <c r="BB333" s="24" t="n">
        <v>3973</v>
      </c>
      <c r="BC333" s="26"/>
      <c r="BD333" s="26"/>
      <c r="BE333" s="26"/>
      <c r="BF333" s="26"/>
      <c r="BG333" s="26"/>
      <c r="BH333" s="26"/>
      <c r="BI333" s="26"/>
      <c r="BJ333" s="26"/>
      <c r="BK333" s="26"/>
      <c r="BL333" s="26"/>
      <c r="BM333" s="26"/>
      <c r="BN333" s="26"/>
      <c r="BO333" s="26"/>
      <c r="BP333" s="16" t="n">
        <v>45701</v>
      </c>
      <c r="BQ333" s="28" t="str">
        <f>HYPERLINK("https://organic.ams.usda.gov/Integrity/Certificate.aspx?cid=15&amp;nopid=5561000083")</f>
        <v>https://organic.ams.usda.gov/Integrity/Certificate.aspx?cid=15&amp;nopid=5561000083</v>
      </c>
    </row>
    <row r="334">
      <c r="A334" t="s">
        <v>3</v>
      </c>
      <c r="B334" s="6" t="s">
        <v>48</v>
      </c>
      <c r="C334" s="6" t="s">
        <v>114</v>
      </c>
      <c r="D334" s="6" t="s">
        <v>178</v>
      </c>
      <c r="E334" s="10" t="s">
        <v>532</v>
      </c>
      <c r="F334" s="6" t="s">
        <v>2787</v>
      </c>
      <c r="G334" s="6" t="s">
        <v>104</v>
      </c>
      <c r="H334" s="6" t="s">
        <v>5196</v>
      </c>
      <c r="I334" s="6" t="s">
        <v>7158</v>
      </c>
      <c r="J334" s="6" t="s">
        <v>8383</v>
      </c>
      <c r="K334" s="6" t="s">
        <v>9714</v>
      </c>
      <c r="L334" s="16" t="n">
        <v>43732</v>
      </c>
      <c r="M334" s="16" t="n">
        <v>45771</v>
      </c>
      <c r="N334" s="6" t="s">
        <v>104</v>
      </c>
      <c r="O334" s="21" t="s">
        <v>104</v>
      </c>
      <c r="P334" s="6" t="s">
        <v>104</v>
      </c>
      <c r="Q334" s="6" t="s">
        <v>104</v>
      </c>
      <c r="R334" s="6" t="s">
        <v>104</v>
      </c>
      <c r="S334" s="6" t="s">
        <v>104</v>
      </c>
      <c r="T334" s="21" t="s">
        <v>104</v>
      </c>
      <c r="U334" s="6" t="s">
        <v>104</v>
      </c>
      <c r="V334" s="6" t="s">
        <v>104</v>
      </c>
      <c r="W334" s="6" t="s">
        <v>104</v>
      </c>
      <c r="X334" s="6" t="s">
        <v>104</v>
      </c>
      <c r="Y334" s="21" t="s">
        <v>104</v>
      </c>
      <c r="Z334" s="6" t="s">
        <v>104</v>
      </c>
      <c r="AA334" s="6" t="s">
        <v>104</v>
      </c>
      <c r="AB334" s="6" t="s">
        <v>104</v>
      </c>
      <c r="AC334" s="6" t="s">
        <v>9714</v>
      </c>
      <c r="AD334" s="16" t="n">
        <v>43732</v>
      </c>
      <c r="AE334" s="6" t="s">
        <v>10818</v>
      </c>
      <c r="AF334" s="6" t="s">
        <v>104</v>
      </c>
      <c r="AG334" s="6" t="s">
        <v>104</v>
      </c>
      <c r="AH334" s="6" t="s">
        <v>13453</v>
      </c>
      <c r="AI334" s="6" t="s">
        <v>104</v>
      </c>
      <c r="AJ334" s="6" t="s">
        <v>15597</v>
      </c>
      <c r="AK334" s="6" t="s">
        <v>16754</v>
      </c>
      <c r="AL334" s="6" t="s">
        <v>16959</v>
      </c>
      <c r="AM334" s="6" t="s">
        <v>17212</v>
      </c>
      <c r="AN334" s="6" t="s">
        <v>104</v>
      </c>
      <c r="AO334" s="6" t="s">
        <v>104</v>
      </c>
      <c r="AP334" s="6" t="s">
        <v>13453</v>
      </c>
      <c r="AQ334" s="6" t="s">
        <v>104</v>
      </c>
      <c r="AR334" s="6" t="s">
        <v>15597</v>
      </c>
      <c r="AS334" s="6" t="s">
        <v>16754</v>
      </c>
      <c r="AT334" s="6" t="s">
        <v>16959</v>
      </c>
      <c r="AU334" s="6" t="s">
        <v>17212</v>
      </c>
      <c r="AV334" s="6" t="s">
        <v>104</v>
      </c>
      <c r="AW334" s="6" t="s">
        <v>104</v>
      </c>
      <c r="AX334" s="6" t="s">
        <v>20381</v>
      </c>
      <c r="AY334" s="6" t="s">
        <v>22130</v>
      </c>
      <c r="AZ334" s="6" t="s">
        <v>23778</v>
      </c>
      <c r="BA334" s="6" t="s">
        <v>104</v>
      </c>
      <c r="BB334" s="6" t="s">
        <v>104</v>
      </c>
      <c r="BC334" s="26"/>
      <c r="BD334" s="26"/>
      <c r="BE334" s="26"/>
      <c r="BF334" s="26"/>
      <c r="BG334" s="26"/>
      <c r="BH334" s="26"/>
      <c r="BI334" s="26"/>
      <c r="BJ334" s="26"/>
      <c r="BK334" s="26"/>
      <c r="BL334" s="26"/>
      <c r="BM334" s="26"/>
      <c r="BN334" s="26"/>
      <c r="BO334" s="26"/>
      <c r="BP334" s="16" t="n">
        <v>45700</v>
      </c>
      <c r="BQ334" s="28" t="str">
        <f>HYPERLINK("https://organic.ams.usda.gov/Integrity/Certificate.aspx?cid=9&amp;nopid=1202664300")</f>
        <v>https://organic.ams.usda.gov/Integrity/Certificate.aspx?cid=9&amp;nopid=1202664300</v>
      </c>
    </row>
    <row r="335">
      <c r="A335" t="s">
        <v>3</v>
      </c>
      <c r="B335" s="6" t="s">
        <v>34</v>
      </c>
      <c r="C335" s="6" t="s">
        <v>100</v>
      </c>
      <c r="D335" s="6" t="s">
        <v>165</v>
      </c>
      <c r="E335" s="10" t="s">
        <v>533</v>
      </c>
      <c r="F335" s="6" t="s">
        <v>2788</v>
      </c>
      <c r="G335" s="6" t="s">
        <v>104</v>
      </c>
      <c r="H335" s="6" t="s">
        <v>5197</v>
      </c>
      <c r="I335" s="6" t="s">
        <v>7159</v>
      </c>
      <c r="J335" s="6" t="s">
        <v>8384</v>
      </c>
      <c r="K335" s="6" t="s">
        <v>9714</v>
      </c>
      <c r="L335" s="16" t="n">
        <v>45560</v>
      </c>
      <c r="M335" s="16" t="n">
        <v>45840</v>
      </c>
      <c r="N335" s="6" t="s">
        <v>104</v>
      </c>
      <c r="O335" s="21" t="s">
        <v>104</v>
      </c>
      <c r="P335" s="6" t="s">
        <v>104</v>
      </c>
      <c r="Q335" s="6" t="s">
        <v>104</v>
      </c>
      <c r="R335" s="6" t="s">
        <v>104</v>
      </c>
      <c r="S335" s="6" t="s">
        <v>104</v>
      </c>
      <c r="T335" s="21" t="s">
        <v>104</v>
      </c>
      <c r="U335" s="6" t="s">
        <v>104</v>
      </c>
      <c r="V335" s="6" t="s">
        <v>104</v>
      </c>
      <c r="W335" s="6" t="s">
        <v>104</v>
      </c>
      <c r="X335" s="6" t="s">
        <v>104</v>
      </c>
      <c r="Y335" s="21" t="s">
        <v>104</v>
      </c>
      <c r="Z335" s="6" t="s">
        <v>104</v>
      </c>
      <c r="AA335" s="6" t="s">
        <v>104</v>
      </c>
      <c r="AB335" s="6" t="s">
        <v>104</v>
      </c>
      <c r="AC335" s="6" t="s">
        <v>9714</v>
      </c>
      <c r="AD335" s="16" t="n">
        <v>45560</v>
      </c>
      <c r="AE335" s="6" t="s">
        <v>10819</v>
      </c>
      <c r="AF335" s="6" t="s">
        <v>104</v>
      </c>
      <c r="AG335" s="6" t="s">
        <v>12571</v>
      </c>
      <c r="AH335" s="6" t="s">
        <v>13454</v>
      </c>
      <c r="AI335" s="6" t="s">
        <v>15242</v>
      </c>
      <c r="AJ335" s="6" t="s">
        <v>15598</v>
      </c>
      <c r="AK335" s="6" t="s">
        <v>16206</v>
      </c>
      <c r="AL335" s="6" t="s">
        <v>16958</v>
      </c>
      <c r="AM335" s="6" t="s">
        <v>17213</v>
      </c>
      <c r="AN335" s="6" t="s">
        <v>104</v>
      </c>
      <c r="AO335" s="6" t="s">
        <v>104</v>
      </c>
      <c r="AP335" s="6" t="s">
        <v>13454</v>
      </c>
      <c r="AQ335" s="6" t="s">
        <v>15242</v>
      </c>
      <c r="AR335" s="6" t="s">
        <v>15598</v>
      </c>
      <c r="AS335" s="6" t="s">
        <v>16206</v>
      </c>
      <c r="AT335" s="6" t="s">
        <v>16958</v>
      </c>
      <c r="AU335" s="6" t="s">
        <v>17213</v>
      </c>
      <c r="AV335" s="6" t="s">
        <v>104</v>
      </c>
      <c r="AW335" s="6" t="s">
        <v>104</v>
      </c>
      <c r="AX335" s="6" t="s">
        <v>20382</v>
      </c>
      <c r="AY335" s="6" t="s">
        <v>22131</v>
      </c>
      <c r="AZ335" s="6" t="s">
        <v>23779</v>
      </c>
      <c r="BA335" s="6" t="s">
        <v>104</v>
      </c>
      <c r="BB335" s="6" t="s">
        <v>104</v>
      </c>
      <c r="BC335" s="26"/>
      <c r="BD335" s="26"/>
      <c r="BE335" s="26"/>
      <c r="BF335" s="26"/>
      <c r="BG335" s="26"/>
      <c r="BH335" s="26" t="s">
        <v>24533</v>
      </c>
      <c r="BI335" s="26"/>
      <c r="BJ335" s="26"/>
      <c r="BK335" s="26"/>
      <c r="BL335" s="26"/>
      <c r="BM335" s="26"/>
      <c r="BN335" s="26"/>
      <c r="BO335" s="26"/>
      <c r="BP335" s="16" t="n">
        <v>45737</v>
      </c>
      <c r="BQ335" s="28" t="str">
        <f>HYPERLINK("https://organic.ams.usda.gov/Integrity/Certificate.aspx?cid=71&amp;nopid=5520815663")</f>
        <v>https://organic.ams.usda.gov/Integrity/Certificate.aspx?cid=71&amp;nopid=5520815663</v>
      </c>
    </row>
    <row r="336">
      <c r="A336" t="s">
        <v>3</v>
      </c>
      <c r="B336" s="6" t="s">
        <v>33</v>
      </c>
      <c r="C336" s="6" t="s">
        <v>99</v>
      </c>
      <c r="D336" s="6" t="s">
        <v>164</v>
      </c>
      <c r="E336" s="10" t="s">
        <v>534</v>
      </c>
      <c r="F336" s="6" t="s">
        <v>2789</v>
      </c>
      <c r="G336" s="6" t="s">
        <v>104</v>
      </c>
      <c r="H336" s="6" t="s">
        <v>104</v>
      </c>
      <c r="I336" s="6" t="s">
        <v>7160</v>
      </c>
      <c r="J336" s="6" t="s">
        <v>8385</v>
      </c>
      <c r="K336" s="6" t="s">
        <v>9714</v>
      </c>
      <c r="L336" s="16" t="n">
        <v>43160</v>
      </c>
      <c r="M336" s="16" t="n">
        <v>45536</v>
      </c>
      <c r="N336" s="6" t="s">
        <v>104</v>
      </c>
      <c r="O336" s="21" t="s">
        <v>104</v>
      </c>
      <c r="P336" s="6" t="s">
        <v>104</v>
      </c>
      <c r="Q336" s="6" t="s">
        <v>104</v>
      </c>
      <c r="R336" s="6" t="s">
        <v>104</v>
      </c>
      <c r="S336" s="6" t="s">
        <v>104</v>
      </c>
      <c r="T336" s="21" t="s">
        <v>104</v>
      </c>
      <c r="U336" s="6" t="s">
        <v>104</v>
      </c>
      <c r="V336" s="6" t="s">
        <v>104</v>
      </c>
      <c r="W336" s="6" t="s">
        <v>104</v>
      </c>
      <c r="X336" s="6" t="s">
        <v>104</v>
      </c>
      <c r="Y336" s="21" t="s">
        <v>104</v>
      </c>
      <c r="Z336" s="6" t="s">
        <v>104</v>
      </c>
      <c r="AA336" s="6" t="s">
        <v>104</v>
      </c>
      <c r="AB336" s="6" t="s">
        <v>104</v>
      </c>
      <c r="AC336" s="6" t="s">
        <v>9714</v>
      </c>
      <c r="AD336" s="16" t="n">
        <v>43160</v>
      </c>
      <c r="AE336" s="6" t="s">
        <v>10820</v>
      </c>
      <c r="AF336" s="6" t="s">
        <v>104</v>
      </c>
      <c r="AG336" s="6" t="s">
        <v>104</v>
      </c>
      <c r="AH336" s="6" t="s">
        <v>13455</v>
      </c>
      <c r="AI336" s="6" t="s">
        <v>104</v>
      </c>
      <c r="AJ336" s="6" t="s">
        <v>15599</v>
      </c>
      <c r="AK336" s="6" t="s">
        <v>16738</v>
      </c>
      <c r="AL336" s="6" t="s">
        <v>16931</v>
      </c>
      <c r="AM336" s="6" t="s">
        <v>17214</v>
      </c>
      <c r="AN336" s="6" t="s">
        <v>18492</v>
      </c>
      <c r="AO336" s="6" t="s">
        <v>18576</v>
      </c>
      <c r="AP336" s="6" t="s">
        <v>13455</v>
      </c>
      <c r="AQ336" s="6" t="s">
        <v>104</v>
      </c>
      <c r="AR336" s="6" t="s">
        <v>15599</v>
      </c>
      <c r="AS336" s="6" t="s">
        <v>16738</v>
      </c>
      <c r="AT336" s="6" t="s">
        <v>16931</v>
      </c>
      <c r="AU336" s="6" t="s">
        <v>17214</v>
      </c>
      <c r="AV336" s="6" t="s">
        <v>104</v>
      </c>
      <c r="AW336" s="6" t="s">
        <v>104</v>
      </c>
      <c r="AX336" s="6" t="s">
        <v>20383</v>
      </c>
      <c r="AY336" s="6" t="s">
        <v>22132</v>
      </c>
      <c r="AZ336" s="6" t="s">
        <v>23780</v>
      </c>
      <c r="BA336" s="6" t="s">
        <v>104</v>
      </c>
      <c r="BB336" s="6" t="s">
        <v>104</v>
      </c>
      <c r="BC336" s="26"/>
      <c r="BD336" s="26"/>
      <c r="BE336" s="26"/>
      <c r="BF336" s="26"/>
      <c r="BG336" s="26"/>
      <c r="BH336" s="26"/>
      <c r="BI336" s="26"/>
      <c r="BJ336" s="26"/>
      <c r="BK336" s="26"/>
      <c r="BL336" s="26"/>
      <c r="BM336" s="26"/>
      <c r="BN336" s="26"/>
      <c r="BO336" s="26"/>
      <c r="BP336" s="16" t="n">
        <v>45691</v>
      </c>
      <c r="BQ336" s="28" t="str">
        <f>HYPERLINK("https://organic.ams.usda.gov/Integrity/Certificate.aspx?cid=46&amp;nopid=3671800009")</f>
        <v>https://organic.ams.usda.gov/Integrity/Certificate.aspx?cid=46&amp;nopid=3671800009</v>
      </c>
    </row>
    <row r="337">
      <c r="A337" t="s">
        <v>3</v>
      </c>
      <c r="B337" s="6" t="s">
        <v>50</v>
      </c>
      <c r="C337" s="6" t="s">
        <v>116</v>
      </c>
      <c r="D337" s="6" t="s">
        <v>180</v>
      </c>
      <c r="E337" s="10" t="s">
        <v>535</v>
      </c>
      <c r="F337" s="6" t="s">
        <v>2790</v>
      </c>
      <c r="G337" s="6" t="s">
        <v>104</v>
      </c>
      <c r="H337" s="6" t="s">
        <v>5198</v>
      </c>
      <c r="I337" s="6" t="s">
        <v>7161</v>
      </c>
      <c r="J337" s="6" t="s">
        <v>8386</v>
      </c>
      <c r="K337" s="6" t="s">
        <v>9714</v>
      </c>
      <c r="L337" s="16" t="n">
        <v>44328</v>
      </c>
      <c r="M337" s="16" t="n">
        <v>46054</v>
      </c>
      <c r="N337" s="6" t="s">
        <v>104</v>
      </c>
      <c r="O337" s="21" t="s">
        <v>104</v>
      </c>
      <c r="P337" s="6" t="s">
        <v>104</v>
      </c>
      <c r="Q337" s="6" t="s">
        <v>104</v>
      </c>
      <c r="R337" s="6" t="s">
        <v>104</v>
      </c>
      <c r="S337" s="6" t="s">
        <v>104</v>
      </c>
      <c r="T337" s="21" t="s">
        <v>104</v>
      </c>
      <c r="U337" s="6" t="s">
        <v>104</v>
      </c>
      <c r="V337" s="6" t="s">
        <v>104</v>
      </c>
      <c r="W337" s="6" t="s">
        <v>104</v>
      </c>
      <c r="X337" s="6" t="s">
        <v>104</v>
      </c>
      <c r="Y337" s="21" t="s">
        <v>104</v>
      </c>
      <c r="Z337" s="6" t="s">
        <v>104</v>
      </c>
      <c r="AA337" s="6" t="s">
        <v>104</v>
      </c>
      <c r="AB337" s="6" t="s">
        <v>104</v>
      </c>
      <c r="AC337" s="6" t="s">
        <v>9714</v>
      </c>
      <c r="AD337" s="16" t="n">
        <v>44328</v>
      </c>
      <c r="AE337" s="6" t="s">
        <v>10821</v>
      </c>
      <c r="AF337" s="6" t="s">
        <v>104</v>
      </c>
      <c r="AG337" s="6" t="s">
        <v>5198</v>
      </c>
      <c r="AH337" s="6" t="s">
        <v>13456</v>
      </c>
      <c r="AI337" s="6" t="s">
        <v>104</v>
      </c>
      <c r="AJ337" s="6" t="s">
        <v>15600</v>
      </c>
      <c r="AK337" s="6" t="s">
        <v>16745</v>
      </c>
      <c r="AL337" s="6" t="s">
        <v>16931</v>
      </c>
      <c r="AM337" s="6" t="s">
        <v>17215</v>
      </c>
      <c r="AN337" s="6" t="s">
        <v>18500</v>
      </c>
      <c r="AO337" s="6" t="s">
        <v>18639</v>
      </c>
      <c r="AP337" s="6" t="s">
        <v>13456</v>
      </c>
      <c r="AQ337" s="6" t="s">
        <v>104</v>
      </c>
      <c r="AR337" s="6" t="s">
        <v>15600</v>
      </c>
      <c r="AS337" s="6" t="s">
        <v>16745</v>
      </c>
      <c r="AT337" s="6" t="s">
        <v>16931</v>
      </c>
      <c r="AU337" s="6" t="s">
        <v>17215</v>
      </c>
      <c r="AV337" s="6" t="s">
        <v>104</v>
      </c>
      <c r="AW337" s="6" t="s">
        <v>104</v>
      </c>
      <c r="AX337" s="6" t="s">
        <v>20384</v>
      </c>
      <c r="AY337" s="6" t="s">
        <v>22133</v>
      </c>
      <c r="AZ337" s="6" t="s">
        <v>104</v>
      </c>
      <c r="BA337" s="6" t="s">
        <v>104</v>
      </c>
      <c r="BB337" s="24" t="n">
        <v>0</v>
      </c>
      <c r="BC337" s="26"/>
      <c r="BD337" s="26"/>
      <c r="BE337" s="26"/>
      <c r="BF337" s="26"/>
      <c r="BG337" s="26"/>
      <c r="BH337" s="26"/>
      <c r="BI337" s="26"/>
      <c r="BJ337" s="26"/>
      <c r="BK337" s="26"/>
      <c r="BL337" s="26"/>
      <c r="BM337" s="26"/>
      <c r="BN337" s="26"/>
      <c r="BO337" s="26"/>
      <c r="BP337" s="16" t="n">
        <v>45699</v>
      </c>
      <c r="BQ337" s="28" t="str">
        <f>HYPERLINK("https://organic.ams.usda.gov/Integrity/Certificate.aspx?cid=80&amp;nopid=5090312401")</f>
        <v>https://organic.ams.usda.gov/Integrity/Certificate.aspx?cid=80&amp;nopid=5090312401</v>
      </c>
    </row>
    <row r="338">
      <c r="A338" t="s">
        <v>3</v>
      </c>
      <c r="B338" s="6" t="s">
        <v>54</v>
      </c>
      <c r="C338" s="6" t="s">
        <v>120</v>
      </c>
      <c r="D338" s="6" t="s">
        <v>184</v>
      </c>
      <c r="E338" s="10" t="s">
        <v>536</v>
      </c>
      <c r="F338" s="6" t="s">
        <v>2791</v>
      </c>
      <c r="G338" s="6" t="s">
        <v>4705</v>
      </c>
      <c r="H338" s="6" t="s">
        <v>5199</v>
      </c>
      <c r="I338" s="6" t="s">
        <v>7162</v>
      </c>
      <c r="J338" s="6" t="s">
        <v>8387</v>
      </c>
      <c r="K338" s="6" t="s">
        <v>9714</v>
      </c>
      <c r="L338" s="16" t="n">
        <v>37819</v>
      </c>
      <c r="M338" s="16" t="n">
        <v>45717</v>
      </c>
      <c r="N338" s="6" t="s">
        <v>9714</v>
      </c>
      <c r="O338" s="16" t="n">
        <v>37819</v>
      </c>
      <c r="P338" s="6" t="s">
        <v>9825</v>
      </c>
      <c r="Q338" s="6" t="s">
        <v>104</v>
      </c>
      <c r="R338" s="6" t="s">
        <v>104</v>
      </c>
      <c r="S338" s="6" t="s">
        <v>104</v>
      </c>
      <c r="T338" s="21" t="s">
        <v>104</v>
      </c>
      <c r="U338" s="6" t="s">
        <v>104</v>
      </c>
      <c r="V338" s="6" t="s">
        <v>104</v>
      </c>
      <c r="W338" s="6" t="s">
        <v>104</v>
      </c>
      <c r="X338" s="6" t="s">
        <v>104</v>
      </c>
      <c r="Y338" s="21" t="s">
        <v>104</v>
      </c>
      <c r="Z338" s="6" t="s">
        <v>104</v>
      </c>
      <c r="AA338" s="6" t="s">
        <v>104</v>
      </c>
      <c r="AB338" s="6" t="s">
        <v>104</v>
      </c>
      <c r="AC338" s="6" t="s">
        <v>104</v>
      </c>
      <c r="AD338" s="21" t="s">
        <v>104</v>
      </c>
      <c r="AE338" s="6" t="s">
        <v>104</v>
      </c>
      <c r="AF338" s="6" t="s">
        <v>104</v>
      </c>
      <c r="AG338" s="6" t="s">
        <v>104</v>
      </c>
      <c r="AH338" s="6" t="s">
        <v>13457</v>
      </c>
      <c r="AI338" s="6" t="s">
        <v>104</v>
      </c>
      <c r="AJ338" s="6" t="s">
        <v>15601</v>
      </c>
      <c r="AK338" s="6" t="s">
        <v>16743</v>
      </c>
      <c r="AL338" s="6" t="s">
        <v>16931</v>
      </c>
      <c r="AM338" s="6" t="s">
        <v>17216</v>
      </c>
      <c r="AN338" s="6" t="s">
        <v>18487</v>
      </c>
      <c r="AO338" s="6" t="s">
        <v>18640</v>
      </c>
      <c r="AP338" s="6" t="s">
        <v>104</v>
      </c>
      <c r="AQ338" s="6" t="s">
        <v>104</v>
      </c>
      <c r="AR338" s="6" t="s">
        <v>104</v>
      </c>
      <c r="AS338" s="6" t="s">
        <v>104</v>
      </c>
      <c r="AT338" s="6" t="s">
        <v>104</v>
      </c>
      <c r="AU338" s="6" t="s">
        <v>104</v>
      </c>
      <c r="AV338" s="6" t="s">
        <v>104</v>
      </c>
      <c r="AW338" s="6" t="s">
        <v>104</v>
      </c>
      <c r="AX338" s="6" t="s">
        <v>20385</v>
      </c>
      <c r="AY338" s="6" t="s">
        <v>22134</v>
      </c>
      <c r="AZ338" s="6" t="s">
        <v>104</v>
      </c>
      <c r="BA338" s="6" t="s">
        <v>24267</v>
      </c>
      <c r="BB338" s="24" t="n">
        <v>522</v>
      </c>
      <c r="BC338" s="26"/>
      <c r="BD338" s="26"/>
      <c r="BE338" s="26"/>
      <c r="BF338" s="26"/>
      <c r="BG338" s="26"/>
      <c r="BH338" s="26"/>
      <c r="BI338" s="26"/>
      <c r="BJ338" s="26"/>
      <c r="BK338" s="26"/>
      <c r="BL338" s="26"/>
      <c r="BM338" s="26"/>
      <c r="BN338" s="26"/>
      <c r="BO338" s="26"/>
      <c r="BP338" s="16" t="n">
        <v>45613</v>
      </c>
      <c r="BQ338" s="28" t="str">
        <f>HYPERLINK("https://organic.ams.usda.gov/Integrity/Certificate.aspx?cid=60&amp;nopid=2580000003")</f>
        <v>https://organic.ams.usda.gov/Integrity/Certificate.aspx?cid=60&amp;nopid=2580000003</v>
      </c>
    </row>
    <row r="339">
      <c r="A339" t="s">
        <v>3</v>
      </c>
      <c r="B339" s="6" t="s">
        <v>56</v>
      </c>
      <c r="C339" s="6" t="s">
        <v>122</v>
      </c>
      <c r="D339" s="6" t="s">
        <v>186</v>
      </c>
      <c r="E339" s="10" t="s">
        <v>537</v>
      </c>
      <c r="F339" s="6" t="s">
        <v>2792</v>
      </c>
      <c r="G339" s="6" t="s">
        <v>104</v>
      </c>
      <c r="H339" s="6" t="s">
        <v>5200</v>
      </c>
      <c r="I339" s="6" t="s">
        <v>7163</v>
      </c>
      <c r="J339" s="6" t="s">
        <v>8388</v>
      </c>
      <c r="K339" s="6" t="s">
        <v>9714</v>
      </c>
      <c r="L339" s="16" t="n">
        <v>43873</v>
      </c>
      <c r="M339" s="16" t="n">
        <v>45700</v>
      </c>
      <c r="N339" s="6" t="s">
        <v>104</v>
      </c>
      <c r="O339" s="21" t="s">
        <v>104</v>
      </c>
      <c r="P339" s="6" t="s">
        <v>104</v>
      </c>
      <c r="Q339" s="6" t="s">
        <v>104</v>
      </c>
      <c r="R339" s="6" t="s">
        <v>104</v>
      </c>
      <c r="S339" s="6" t="s">
        <v>104</v>
      </c>
      <c r="T339" s="21" t="s">
        <v>104</v>
      </c>
      <c r="U339" s="6" t="s">
        <v>104</v>
      </c>
      <c r="V339" s="6" t="s">
        <v>104</v>
      </c>
      <c r="W339" s="6" t="s">
        <v>104</v>
      </c>
      <c r="X339" s="6" t="s">
        <v>104</v>
      </c>
      <c r="Y339" s="21" t="s">
        <v>104</v>
      </c>
      <c r="Z339" s="6" t="s">
        <v>104</v>
      </c>
      <c r="AA339" s="6" t="s">
        <v>104</v>
      </c>
      <c r="AB339" s="6" t="s">
        <v>104</v>
      </c>
      <c r="AC339" s="6" t="s">
        <v>9714</v>
      </c>
      <c r="AD339" s="16" t="n">
        <v>43873</v>
      </c>
      <c r="AE339" s="6" t="s">
        <v>10822</v>
      </c>
      <c r="AF339" s="6" t="s">
        <v>104</v>
      </c>
      <c r="AG339" s="6" t="s">
        <v>12572</v>
      </c>
      <c r="AH339" s="6" t="s">
        <v>13458</v>
      </c>
      <c r="AI339" s="6" t="s">
        <v>104</v>
      </c>
      <c r="AJ339" s="6" t="s">
        <v>104</v>
      </c>
      <c r="AK339" s="6" t="s">
        <v>16755</v>
      </c>
      <c r="AL339" s="6" t="s">
        <v>16949</v>
      </c>
      <c r="AM339" s="6" t="s">
        <v>104</v>
      </c>
      <c r="AN339" s="6" t="s">
        <v>104</v>
      </c>
      <c r="AO339" s="6" t="s">
        <v>104</v>
      </c>
      <c r="AP339" s="6" t="s">
        <v>104</v>
      </c>
      <c r="AQ339" s="6" t="s">
        <v>104</v>
      </c>
      <c r="AR339" s="6" t="s">
        <v>104</v>
      </c>
      <c r="AS339" s="6" t="s">
        <v>104</v>
      </c>
      <c r="AT339" s="6" t="s">
        <v>104</v>
      </c>
      <c r="AU339" s="6" t="s">
        <v>104</v>
      </c>
      <c r="AV339" s="6" t="s">
        <v>104</v>
      </c>
      <c r="AW339" s="6" t="s">
        <v>104</v>
      </c>
      <c r="AX339" s="6" t="s">
        <v>20386</v>
      </c>
      <c r="AY339" s="6" t="s">
        <v>22135</v>
      </c>
      <c r="AZ339" s="6" t="s">
        <v>104</v>
      </c>
      <c r="BA339" s="6" t="s">
        <v>104</v>
      </c>
      <c r="BB339" s="24" t="n">
        <v>0</v>
      </c>
      <c r="BC339" s="26"/>
      <c r="BD339" s="26"/>
      <c r="BE339" s="26"/>
      <c r="BF339" s="26"/>
      <c r="BG339" s="26"/>
      <c r="BH339" s="26"/>
      <c r="BI339" s="26"/>
      <c r="BJ339" s="26"/>
      <c r="BK339" s="26"/>
      <c r="BL339" s="26"/>
      <c r="BM339" s="26"/>
      <c r="BN339" s="26"/>
      <c r="BO339" s="26"/>
      <c r="BP339" s="16" t="n">
        <v>45576</v>
      </c>
      <c r="BQ339" s="28" t="str">
        <f>HYPERLINK("https://organic.ams.usda.gov/Integrity/Certificate.aspx?cid=26&amp;nopid=5151075796")</f>
        <v>https://organic.ams.usda.gov/Integrity/Certificate.aspx?cid=26&amp;nopid=5151075796</v>
      </c>
    </row>
    <row r="340">
      <c r="A340" t="s">
        <v>3</v>
      </c>
      <c r="B340" s="6" t="s">
        <v>6</v>
      </c>
      <c r="C340" s="6" t="s">
        <v>72</v>
      </c>
      <c r="D340" s="6" t="s">
        <v>137</v>
      </c>
      <c r="E340" s="10" t="s">
        <v>538</v>
      </c>
      <c r="F340" s="6" t="s">
        <v>2793</v>
      </c>
      <c r="G340" s="6" t="s">
        <v>104</v>
      </c>
      <c r="H340" s="6" t="s">
        <v>5201</v>
      </c>
      <c r="I340" s="6" t="s">
        <v>6963</v>
      </c>
      <c r="J340" s="6" t="s">
        <v>8389</v>
      </c>
      <c r="K340" s="6" t="s">
        <v>9714</v>
      </c>
      <c r="L340" s="16" t="n">
        <v>43138</v>
      </c>
      <c r="M340" s="16" t="n">
        <v>46036</v>
      </c>
      <c r="N340" s="6" t="s">
        <v>104</v>
      </c>
      <c r="O340" s="21" t="s">
        <v>104</v>
      </c>
      <c r="P340" s="6" t="s">
        <v>104</v>
      </c>
      <c r="Q340" s="6" t="s">
        <v>104</v>
      </c>
      <c r="R340" s="6" t="s">
        <v>104</v>
      </c>
      <c r="S340" s="6" t="s">
        <v>104</v>
      </c>
      <c r="T340" s="21" t="s">
        <v>104</v>
      </c>
      <c r="U340" s="6" t="s">
        <v>104</v>
      </c>
      <c r="V340" s="6" t="s">
        <v>104</v>
      </c>
      <c r="W340" s="6" t="s">
        <v>104</v>
      </c>
      <c r="X340" s="6" t="s">
        <v>104</v>
      </c>
      <c r="Y340" s="21" t="s">
        <v>104</v>
      </c>
      <c r="Z340" s="6" t="s">
        <v>104</v>
      </c>
      <c r="AA340" s="6" t="s">
        <v>104</v>
      </c>
      <c r="AB340" s="6" t="s">
        <v>104</v>
      </c>
      <c r="AC340" s="6" t="s">
        <v>9714</v>
      </c>
      <c r="AD340" s="16" t="n">
        <v>43138</v>
      </c>
      <c r="AE340" s="6" t="s">
        <v>10823</v>
      </c>
      <c r="AF340" s="6" t="s">
        <v>104</v>
      </c>
      <c r="AG340" s="6" t="s">
        <v>12573</v>
      </c>
      <c r="AH340" s="6" t="s">
        <v>13459</v>
      </c>
      <c r="AI340" s="6" t="s">
        <v>104</v>
      </c>
      <c r="AJ340" s="6" t="s">
        <v>15602</v>
      </c>
      <c r="AK340" s="6" t="s">
        <v>16756</v>
      </c>
      <c r="AL340" s="6" t="s">
        <v>16930</v>
      </c>
      <c r="AM340" s="6" t="s">
        <v>17217</v>
      </c>
      <c r="AN340" s="6" t="s">
        <v>104</v>
      </c>
      <c r="AO340" s="6" t="s">
        <v>104</v>
      </c>
      <c r="AP340" s="6" t="s">
        <v>104</v>
      </c>
      <c r="AQ340" s="6" t="s">
        <v>104</v>
      </c>
      <c r="AR340" s="6" t="s">
        <v>104</v>
      </c>
      <c r="AS340" s="6" t="s">
        <v>104</v>
      </c>
      <c r="AT340" s="6" t="s">
        <v>104</v>
      </c>
      <c r="AU340" s="6" t="s">
        <v>104</v>
      </c>
      <c r="AV340" s="6" t="s">
        <v>104</v>
      </c>
      <c r="AW340" s="6" t="s">
        <v>104</v>
      </c>
      <c r="AX340" s="6" t="s">
        <v>20387</v>
      </c>
      <c r="AY340" s="6" t="s">
        <v>22136</v>
      </c>
      <c r="AZ340" s="6" t="s">
        <v>104</v>
      </c>
      <c r="BA340" s="6" t="s">
        <v>104</v>
      </c>
      <c r="BB340" s="6" t="s">
        <v>104</v>
      </c>
      <c r="BC340" s="26"/>
      <c r="BD340" s="26"/>
      <c r="BE340" s="26"/>
      <c r="BF340" s="26"/>
      <c r="BG340" s="26"/>
      <c r="BH340" s="26"/>
      <c r="BI340" s="26"/>
      <c r="BJ340" s="26"/>
      <c r="BK340" s="26"/>
      <c r="BL340" s="26"/>
      <c r="BM340" s="26"/>
      <c r="BN340" s="26"/>
      <c r="BO340" s="26"/>
      <c r="BP340" s="16" t="n">
        <v>45737</v>
      </c>
      <c r="BQ340" s="28" t="str">
        <f>HYPERLINK("https://organic.ams.usda.gov/Integrity/Certificate.aspx?cid=32&amp;nopid=2230006338")</f>
        <v>https://organic.ams.usda.gov/Integrity/Certificate.aspx?cid=32&amp;nopid=2230006338</v>
      </c>
    </row>
    <row r="341">
      <c r="A341" t="s">
        <v>3</v>
      </c>
      <c r="B341" s="6" t="s">
        <v>6</v>
      </c>
      <c r="C341" s="6" t="s">
        <v>72</v>
      </c>
      <c r="D341" s="6" t="s">
        <v>137</v>
      </c>
      <c r="E341" s="10" t="s">
        <v>539</v>
      </c>
      <c r="F341" s="6" t="s">
        <v>2794</v>
      </c>
      <c r="G341" s="6" t="s">
        <v>104</v>
      </c>
      <c r="H341" s="6" t="s">
        <v>5202</v>
      </c>
      <c r="I341" s="6" t="s">
        <v>6963</v>
      </c>
      <c r="J341" s="6" t="s">
        <v>8389</v>
      </c>
      <c r="K341" s="6" t="s">
        <v>9714</v>
      </c>
      <c r="L341" s="16" t="n">
        <v>43138</v>
      </c>
      <c r="M341" s="16" t="n">
        <v>46037</v>
      </c>
      <c r="N341" s="6" t="s">
        <v>104</v>
      </c>
      <c r="O341" s="21" t="s">
        <v>104</v>
      </c>
      <c r="P341" s="6" t="s">
        <v>104</v>
      </c>
      <c r="Q341" s="6" t="s">
        <v>104</v>
      </c>
      <c r="R341" s="6" t="s">
        <v>104</v>
      </c>
      <c r="S341" s="6" t="s">
        <v>104</v>
      </c>
      <c r="T341" s="21" t="s">
        <v>104</v>
      </c>
      <c r="U341" s="6" t="s">
        <v>104</v>
      </c>
      <c r="V341" s="6" t="s">
        <v>104</v>
      </c>
      <c r="W341" s="6" t="s">
        <v>104</v>
      </c>
      <c r="X341" s="6" t="s">
        <v>104</v>
      </c>
      <c r="Y341" s="21" t="s">
        <v>104</v>
      </c>
      <c r="Z341" s="6" t="s">
        <v>104</v>
      </c>
      <c r="AA341" s="6" t="s">
        <v>104</v>
      </c>
      <c r="AB341" s="6" t="s">
        <v>104</v>
      </c>
      <c r="AC341" s="6" t="s">
        <v>9714</v>
      </c>
      <c r="AD341" s="16" t="n">
        <v>43138</v>
      </c>
      <c r="AE341" s="6" t="s">
        <v>10824</v>
      </c>
      <c r="AF341" s="6" t="s">
        <v>104</v>
      </c>
      <c r="AG341" s="6" t="s">
        <v>12574</v>
      </c>
      <c r="AH341" s="6" t="s">
        <v>13460</v>
      </c>
      <c r="AI341" s="6" t="s">
        <v>104</v>
      </c>
      <c r="AJ341" s="6" t="s">
        <v>15602</v>
      </c>
      <c r="AK341" s="6" t="s">
        <v>16756</v>
      </c>
      <c r="AL341" s="6" t="s">
        <v>16930</v>
      </c>
      <c r="AM341" s="6" t="s">
        <v>17218</v>
      </c>
      <c r="AN341" s="6" t="s">
        <v>104</v>
      </c>
      <c r="AO341" s="6" t="s">
        <v>104</v>
      </c>
      <c r="AP341" s="6" t="s">
        <v>104</v>
      </c>
      <c r="AQ341" s="6" t="s">
        <v>104</v>
      </c>
      <c r="AR341" s="6" t="s">
        <v>104</v>
      </c>
      <c r="AS341" s="6" t="s">
        <v>104</v>
      </c>
      <c r="AT341" s="6" t="s">
        <v>104</v>
      </c>
      <c r="AU341" s="6" t="s">
        <v>104</v>
      </c>
      <c r="AV341" s="6" t="s">
        <v>104</v>
      </c>
      <c r="AW341" s="6" t="s">
        <v>104</v>
      </c>
      <c r="AX341" s="6" t="s">
        <v>20387</v>
      </c>
      <c r="AY341" s="6" t="s">
        <v>22136</v>
      </c>
      <c r="AZ341" s="6" t="s">
        <v>104</v>
      </c>
      <c r="BA341" s="6" t="s">
        <v>104</v>
      </c>
      <c r="BB341" s="6" t="s">
        <v>104</v>
      </c>
      <c r="BC341" s="26"/>
      <c r="BD341" s="26"/>
      <c r="BE341" s="26"/>
      <c r="BF341" s="26"/>
      <c r="BG341" s="26"/>
      <c r="BH341" s="26"/>
      <c r="BI341" s="26"/>
      <c r="BJ341" s="26"/>
      <c r="BK341" s="26"/>
      <c r="BL341" s="26"/>
      <c r="BM341" s="26"/>
      <c r="BN341" s="26"/>
      <c r="BO341" s="26"/>
      <c r="BP341" s="16" t="n">
        <v>45737</v>
      </c>
      <c r="BQ341" s="28" t="str">
        <f>HYPERLINK("https://organic.ams.usda.gov/Integrity/Certificate.aspx?cid=32&amp;nopid=2230004003")</f>
        <v>https://organic.ams.usda.gov/Integrity/Certificate.aspx?cid=32&amp;nopid=2230004003</v>
      </c>
    </row>
    <row r="342">
      <c r="A342" t="s">
        <v>3</v>
      </c>
      <c r="B342" s="6" t="s">
        <v>34</v>
      </c>
      <c r="C342" s="6" t="s">
        <v>100</v>
      </c>
      <c r="D342" s="6" t="s">
        <v>165</v>
      </c>
      <c r="E342" s="10" t="s">
        <v>540</v>
      </c>
      <c r="F342" s="6" t="s">
        <v>2795</v>
      </c>
      <c r="G342" s="6" t="s">
        <v>104</v>
      </c>
      <c r="H342" s="6" t="s">
        <v>5203</v>
      </c>
      <c r="I342" s="6" t="s">
        <v>7164</v>
      </c>
      <c r="J342" s="6" t="s">
        <v>8390</v>
      </c>
      <c r="K342" s="6" t="s">
        <v>9714</v>
      </c>
      <c r="L342" s="16" t="n">
        <v>37515</v>
      </c>
      <c r="M342" s="16" t="n">
        <v>45961</v>
      </c>
      <c r="N342" s="6" t="s">
        <v>104</v>
      </c>
      <c r="O342" s="21" t="s">
        <v>104</v>
      </c>
      <c r="P342" s="6" t="s">
        <v>104</v>
      </c>
      <c r="Q342" s="6" t="s">
        <v>104</v>
      </c>
      <c r="R342" s="6" t="s">
        <v>104</v>
      </c>
      <c r="S342" s="6" t="s">
        <v>104</v>
      </c>
      <c r="T342" s="21" t="s">
        <v>104</v>
      </c>
      <c r="U342" s="6" t="s">
        <v>104</v>
      </c>
      <c r="V342" s="6" t="s">
        <v>104</v>
      </c>
      <c r="W342" s="6" t="s">
        <v>104</v>
      </c>
      <c r="X342" s="6" t="s">
        <v>104</v>
      </c>
      <c r="Y342" s="21" t="s">
        <v>104</v>
      </c>
      <c r="Z342" s="6" t="s">
        <v>104</v>
      </c>
      <c r="AA342" s="6" t="s">
        <v>104</v>
      </c>
      <c r="AB342" s="6" t="s">
        <v>104</v>
      </c>
      <c r="AC342" s="6" t="s">
        <v>9714</v>
      </c>
      <c r="AD342" s="16" t="n">
        <v>37515</v>
      </c>
      <c r="AE342" s="6" t="s">
        <v>10825</v>
      </c>
      <c r="AF342" s="6" t="s">
        <v>104</v>
      </c>
      <c r="AG342" s="6" t="s">
        <v>12575</v>
      </c>
      <c r="AH342" s="6" t="s">
        <v>13461</v>
      </c>
      <c r="AI342" s="6" t="s">
        <v>104</v>
      </c>
      <c r="AJ342" s="6" t="s">
        <v>15603</v>
      </c>
      <c r="AK342" s="6" t="s">
        <v>16687</v>
      </c>
      <c r="AL342" s="6" t="s">
        <v>16931</v>
      </c>
      <c r="AM342" s="6" t="s">
        <v>17219</v>
      </c>
      <c r="AN342" s="6" t="s">
        <v>18486</v>
      </c>
      <c r="AO342" s="6" t="s">
        <v>18641</v>
      </c>
      <c r="AP342" s="6" t="s">
        <v>13461</v>
      </c>
      <c r="AQ342" s="6" t="s">
        <v>104</v>
      </c>
      <c r="AR342" s="6" t="s">
        <v>15603</v>
      </c>
      <c r="AS342" s="6" t="s">
        <v>16687</v>
      </c>
      <c r="AT342" s="6" t="s">
        <v>16931</v>
      </c>
      <c r="AU342" s="6" t="s">
        <v>17219</v>
      </c>
      <c r="AV342" s="6" t="s">
        <v>104</v>
      </c>
      <c r="AW342" s="6" t="s">
        <v>104</v>
      </c>
      <c r="AX342" s="6" t="s">
        <v>20388</v>
      </c>
      <c r="AY342" s="6" t="s">
        <v>22137</v>
      </c>
      <c r="AZ342" s="6" t="s">
        <v>104</v>
      </c>
      <c r="BA342" s="6" t="s">
        <v>104</v>
      </c>
      <c r="BB342" s="6" t="s">
        <v>104</v>
      </c>
      <c r="BC342" s="26"/>
      <c r="BD342" s="26"/>
      <c r="BE342" s="26"/>
      <c r="BF342" s="26"/>
      <c r="BG342" s="26"/>
      <c r="BH342" s="26"/>
      <c r="BI342" s="26"/>
      <c r="BJ342" s="26"/>
      <c r="BK342" s="26"/>
      <c r="BL342" s="26"/>
      <c r="BM342" s="26"/>
      <c r="BN342" s="26"/>
      <c r="BO342" s="26"/>
      <c r="BP342" s="16" t="n">
        <v>45737</v>
      </c>
      <c r="BQ342" s="28" t="str">
        <f>HYPERLINK("https://organic.ams.usda.gov/Integrity/Certificate.aspx?cid=71&amp;nopid=5520031590")</f>
        <v>https://organic.ams.usda.gov/Integrity/Certificate.aspx?cid=71&amp;nopid=5520031590</v>
      </c>
    </row>
    <row r="343">
      <c r="A343" t="s">
        <v>3</v>
      </c>
      <c r="B343" s="6" t="s">
        <v>54</v>
      </c>
      <c r="C343" s="6" t="s">
        <v>120</v>
      </c>
      <c r="D343" s="6" t="s">
        <v>184</v>
      </c>
      <c r="E343" s="10" t="s">
        <v>541</v>
      </c>
      <c r="F343" s="6" t="s">
        <v>2796</v>
      </c>
      <c r="G343" s="6" t="s">
        <v>104</v>
      </c>
      <c r="H343" s="6" t="s">
        <v>5204</v>
      </c>
      <c r="I343" s="6" t="s">
        <v>7165</v>
      </c>
      <c r="J343" s="6" t="s">
        <v>8391</v>
      </c>
      <c r="K343" s="6" t="s">
        <v>9714</v>
      </c>
      <c r="L343" s="16" t="n">
        <v>45530</v>
      </c>
      <c r="M343" s="16" t="n">
        <v>46082</v>
      </c>
      <c r="N343" s="6" t="s">
        <v>9714</v>
      </c>
      <c r="O343" s="16" t="n">
        <v>45530</v>
      </c>
      <c r="P343" s="6" t="s">
        <v>9826</v>
      </c>
      <c r="Q343" s="6" t="s">
        <v>104</v>
      </c>
      <c r="R343" s="6" t="s">
        <v>104</v>
      </c>
      <c r="S343" s="6" t="s">
        <v>104</v>
      </c>
      <c r="T343" s="21" t="s">
        <v>104</v>
      </c>
      <c r="U343" s="6" t="s">
        <v>104</v>
      </c>
      <c r="V343" s="6" t="s">
        <v>104</v>
      </c>
      <c r="W343" s="6" t="s">
        <v>104</v>
      </c>
      <c r="X343" s="6" t="s">
        <v>104</v>
      </c>
      <c r="Y343" s="21" t="s">
        <v>104</v>
      </c>
      <c r="Z343" s="6" t="s">
        <v>104</v>
      </c>
      <c r="AA343" s="6" t="s">
        <v>104</v>
      </c>
      <c r="AB343" s="6" t="s">
        <v>104</v>
      </c>
      <c r="AC343" s="6" t="s">
        <v>104</v>
      </c>
      <c r="AD343" s="21" t="s">
        <v>104</v>
      </c>
      <c r="AE343" s="6" t="s">
        <v>104</v>
      </c>
      <c r="AF343" s="6" t="s">
        <v>104</v>
      </c>
      <c r="AG343" s="6" t="s">
        <v>104</v>
      </c>
      <c r="AH343" s="6" t="s">
        <v>13462</v>
      </c>
      <c r="AI343" s="6" t="s">
        <v>104</v>
      </c>
      <c r="AJ343" s="6" t="s">
        <v>9434</v>
      </c>
      <c r="AK343" s="6" t="s">
        <v>16743</v>
      </c>
      <c r="AL343" s="6" t="s">
        <v>16931</v>
      </c>
      <c r="AM343" s="6" t="s">
        <v>17220</v>
      </c>
      <c r="AN343" s="6" t="s">
        <v>104</v>
      </c>
      <c r="AO343" s="6" t="s">
        <v>104</v>
      </c>
      <c r="AP343" s="6" t="s">
        <v>104</v>
      </c>
      <c r="AQ343" s="6" t="s">
        <v>104</v>
      </c>
      <c r="AR343" s="6" t="s">
        <v>104</v>
      </c>
      <c r="AS343" s="6" t="s">
        <v>104</v>
      </c>
      <c r="AT343" s="6" t="s">
        <v>104</v>
      </c>
      <c r="AU343" s="6" t="s">
        <v>104</v>
      </c>
      <c r="AV343" s="6" t="s">
        <v>104</v>
      </c>
      <c r="AW343" s="6" t="s">
        <v>104</v>
      </c>
      <c r="AX343" s="6" t="s">
        <v>104</v>
      </c>
      <c r="AY343" s="6" t="s">
        <v>22138</v>
      </c>
      <c r="AZ343" s="6" t="s">
        <v>104</v>
      </c>
      <c r="BA343" s="6" t="s">
        <v>24267</v>
      </c>
      <c r="BB343" s="24" t="n">
        <v>383</v>
      </c>
      <c r="BC343" s="26"/>
      <c r="BD343" s="26"/>
      <c r="BE343" s="26"/>
      <c r="BF343" s="26"/>
      <c r="BG343" s="26"/>
      <c r="BH343" s="26"/>
      <c r="BI343" s="26"/>
      <c r="BJ343" s="26"/>
      <c r="BK343" s="26"/>
      <c r="BL343" s="26"/>
      <c r="BM343" s="26"/>
      <c r="BN343" s="26"/>
      <c r="BO343" s="26"/>
      <c r="BP343" s="16" t="n">
        <v>45721</v>
      </c>
      <c r="BQ343" s="28" t="str">
        <f>HYPERLINK("https://organic.ams.usda.gov/Integrity/Certificate.aspx?cid=60&amp;nopid=2580006816")</f>
        <v>https://organic.ams.usda.gov/Integrity/Certificate.aspx?cid=60&amp;nopid=2580006816</v>
      </c>
    </row>
    <row r="344">
      <c r="A344" t="s">
        <v>3</v>
      </c>
      <c r="B344" s="6" t="s">
        <v>21</v>
      </c>
      <c r="C344" s="6" t="s">
        <v>87</v>
      </c>
      <c r="D344" s="6" t="s">
        <v>152</v>
      </c>
      <c r="E344" s="10" t="s">
        <v>542</v>
      </c>
      <c r="F344" s="6" t="s">
        <v>2797</v>
      </c>
      <c r="G344" s="6" t="s">
        <v>104</v>
      </c>
      <c r="H344" s="6" t="s">
        <v>5205</v>
      </c>
      <c r="I344" s="6" t="s">
        <v>7166</v>
      </c>
      <c r="J344" s="6" t="s">
        <v>8392</v>
      </c>
      <c r="K344" s="6" t="s">
        <v>9714</v>
      </c>
      <c r="L344" s="16" t="n">
        <v>45406</v>
      </c>
      <c r="M344" s="16" t="n">
        <v>46023</v>
      </c>
      <c r="N344" s="6" t="s">
        <v>104</v>
      </c>
      <c r="O344" s="21" t="s">
        <v>104</v>
      </c>
      <c r="P344" s="6" t="s">
        <v>104</v>
      </c>
      <c r="Q344" s="6" t="s">
        <v>104</v>
      </c>
      <c r="R344" s="6" t="s">
        <v>104</v>
      </c>
      <c r="S344" s="6" t="s">
        <v>104</v>
      </c>
      <c r="T344" s="21" t="s">
        <v>104</v>
      </c>
      <c r="U344" s="6" t="s">
        <v>104</v>
      </c>
      <c r="V344" s="6" t="s">
        <v>104</v>
      </c>
      <c r="W344" s="6" t="s">
        <v>104</v>
      </c>
      <c r="X344" s="6" t="s">
        <v>104</v>
      </c>
      <c r="Y344" s="21" t="s">
        <v>104</v>
      </c>
      <c r="Z344" s="6" t="s">
        <v>104</v>
      </c>
      <c r="AA344" s="6" t="s">
        <v>104</v>
      </c>
      <c r="AB344" s="6" t="s">
        <v>104</v>
      </c>
      <c r="AC344" s="6" t="s">
        <v>9714</v>
      </c>
      <c r="AD344" s="16" t="n">
        <v>45406</v>
      </c>
      <c r="AE344" s="6" t="s">
        <v>10826</v>
      </c>
      <c r="AF344" s="6" t="s">
        <v>104</v>
      </c>
      <c r="AG344" s="6" t="s">
        <v>104</v>
      </c>
      <c r="AH344" s="6" t="s">
        <v>13463</v>
      </c>
      <c r="AI344" s="6" t="s">
        <v>104</v>
      </c>
      <c r="AJ344" s="6" t="s">
        <v>15417</v>
      </c>
      <c r="AK344" s="6" t="s">
        <v>16687</v>
      </c>
      <c r="AL344" s="6" t="s">
        <v>16931</v>
      </c>
      <c r="AM344" s="6" t="s">
        <v>17221</v>
      </c>
      <c r="AN344" s="6" t="s">
        <v>104</v>
      </c>
      <c r="AO344" s="6" t="s">
        <v>104</v>
      </c>
      <c r="AP344" s="6" t="s">
        <v>19043</v>
      </c>
      <c r="AQ344" s="6" t="s">
        <v>19550</v>
      </c>
      <c r="AR344" s="6" t="s">
        <v>19622</v>
      </c>
      <c r="AS344" s="6" t="s">
        <v>16687</v>
      </c>
      <c r="AT344" s="6" t="s">
        <v>16931</v>
      </c>
      <c r="AU344" s="6" t="s">
        <v>19848</v>
      </c>
      <c r="AV344" s="6" t="s">
        <v>104</v>
      </c>
      <c r="AW344" s="6" t="s">
        <v>104</v>
      </c>
      <c r="AX344" s="6" t="s">
        <v>20389</v>
      </c>
      <c r="AY344" s="6" t="s">
        <v>22139</v>
      </c>
      <c r="AZ344" s="6" t="s">
        <v>23781</v>
      </c>
      <c r="BA344" s="6" t="s">
        <v>24312</v>
      </c>
      <c r="BB344" s="6" t="s">
        <v>104</v>
      </c>
      <c r="BC344" s="26"/>
      <c r="BD344" s="26"/>
      <c r="BE344" s="26"/>
      <c r="BF344" s="26"/>
      <c r="BG344" s="26"/>
      <c r="BH344" s="26"/>
      <c r="BI344" s="26"/>
      <c r="BJ344" s="26"/>
      <c r="BK344" s="26"/>
      <c r="BL344" s="26"/>
      <c r="BM344" s="26"/>
      <c r="BN344" s="26"/>
      <c r="BO344" s="26"/>
      <c r="BP344" s="16" t="n">
        <v>45724</v>
      </c>
      <c r="BQ344" s="28" t="str">
        <f>HYPERLINK("https://organic.ams.usda.gov/Integrity/Certificate.aspx?cid=15&amp;nopid=5561008452")</f>
        <v>https://organic.ams.usda.gov/Integrity/Certificate.aspx?cid=15&amp;nopid=5561008452</v>
      </c>
    </row>
    <row r="345">
      <c r="A345" t="s">
        <v>3</v>
      </c>
      <c r="B345" s="6" t="s">
        <v>21</v>
      </c>
      <c r="C345" s="6" t="s">
        <v>87</v>
      </c>
      <c r="D345" s="6" t="s">
        <v>152</v>
      </c>
      <c r="E345" s="10" t="s">
        <v>543</v>
      </c>
      <c r="F345" s="6" t="s">
        <v>2798</v>
      </c>
      <c r="G345" s="6" t="s">
        <v>104</v>
      </c>
      <c r="H345" s="6" t="s">
        <v>5206</v>
      </c>
      <c r="I345" s="6" t="s">
        <v>7041</v>
      </c>
      <c r="J345" s="6" t="s">
        <v>7308</v>
      </c>
      <c r="K345" s="6" t="s">
        <v>9714</v>
      </c>
      <c r="L345" s="16" t="n">
        <v>38105</v>
      </c>
      <c r="M345" s="16" t="n">
        <v>46023</v>
      </c>
      <c r="N345" s="6" t="s">
        <v>104</v>
      </c>
      <c r="O345" s="21" t="s">
        <v>104</v>
      </c>
      <c r="P345" s="6" t="s">
        <v>104</v>
      </c>
      <c r="Q345" s="6" t="s">
        <v>104</v>
      </c>
      <c r="R345" s="6" t="s">
        <v>104</v>
      </c>
      <c r="S345" s="6" t="s">
        <v>104</v>
      </c>
      <c r="T345" s="21" t="s">
        <v>104</v>
      </c>
      <c r="U345" s="6" t="s">
        <v>104</v>
      </c>
      <c r="V345" s="6" t="s">
        <v>104</v>
      </c>
      <c r="W345" s="6" t="s">
        <v>104</v>
      </c>
      <c r="X345" s="6" t="s">
        <v>104</v>
      </c>
      <c r="Y345" s="21" t="s">
        <v>104</v>
      </c>
      <c r="Z345" s="6" t="s">
        <v>104</v>
      </c>
      <c r="AA345" s="6" t="s">
        <v>104</v>
      </c>
      <c r="AB345" s="6" t="s">
        <v>104</v>
      </c>
      <c r="AC345" s="6" t="s">
        <v>9714</v>
      </c>
      <c r="AD345" s="16" t="n">
        <v>38105</v>
      </c>
      <c r="AE345" s="6" t="s">
        <v>10827</v>
      </c>
      <c r="AF345" s="6" t="s">
        <v>104</v>
      </c>
      <c r="AG345" s="6" t="s">
        <v>104</v>
      </c>
      <c r="AH345" s="6" t="s">
        <v>13464</v>
      </c>
      <c r="AI345" s="6" t="s">
        <v>104</v>
      </c>
      <c r="AJ345" s="6" t="s">
        <v>15604</v>
      </c>
      <c r="AK345" s="6" t="s">
        <v>16687</v>
      </c>
      <c r="AL345" s="6" t="s">
        <v>16931</v>
      </c>
      <c r="AM345" s="6" t="s">
        <v>17222</v>
      </c>
      <c r="AN345" s="6" t="s">
        <v>18465</v>
      </c>
      <c r="AO345" s="6" t="s">
        <v>18572</v>
      </c>
      <c r="AP345" s="6" t="s">
        <v>13464</v>
      </c>
      <c r="AQ345" s="6" t="s">
        <v>104</v>
      </c>
      <c r="AR345" s="6" t="s">
        <v>15604</v>
      </c>
      <c r="AS345" s="6" t="s">
        <v>16687</v>
      </c>
      <c r="AT345" s="6" t="s">
        <v>16931</v>
      </c>
      <c r="AU345" s="6" t="s">
        <v>17222</v>
      </c>
      <c r="AV345" s="6" t="s">
        <v>104</v>
      </c>
      <c r="AW345" s="6" t="s">
        <v>104</v>
      </c>
      <c r="AX345" s="6" t="s">
        <v>20390</v>
      </c>
      <c r="AY345" s="6" t="s">
        <v>22140</v>
      </c>
      <c r="AZ345" s="6" t="s">
        <v>23782</v>
      </c>
      <c r="BA345" s="6" t="s">
        <v>24313</v>
      </c>
      <c r="BB345" s="6" t="s">
        <v>104</v>
      </c>
      <c r="BC345" s="26"/>
      <c r="BD345" s="26"/>
      <c r="BE345" s="26"/>
      <c r="BF345" s="26"/>
      <c r="BG345" s="26"/>
      <c r="BH345" s="26"/>
      <c r="BI345" s="26"/>
      <c r="BJ345" s="26"/>
      <c r="BK345" s="26"/>
      <c r="BL345" s="26"/>
      <c r="BM345" s="26"/>
      <c r="BN345" s="26"/>
      <c r="BO345" s="26"/>
      <c r="BP345" s="16" t="n">
        <v>45667</v>
      </c>
      <c r="BQ345" s="28" t="str">
        <f>HYPERLINK("https://organic.ams.usda.gov/Integrity/Certificate.aspx?cid=15&amp;nopid=5561002280")</f>
        <v>https://organic.ams.usda.gov/Integrity/Certificate.aspx?cid=15&amp;nopid=5561002280</v>
      </c>
    </row>
    <row r="346">
      <c r="A346" t="s">
        <v>3</v>
      </c>
      <c r="B346" s="6" t="s">
        <v>21</v>
      </c>
      <c r="C346" s="6" t="s">
        <v>87</v>
      </c>
      <c r="D346" s="6" t="s">
        <v>152</v>
      </c>
      <c r="E346" s="10" t="s">
        <v>544</v>
      </c>
      <c r="F346" s="6" t="s">
        <v>2799</v>
      </c>
      <c r="G346" s="6" t="s">
        <v>104</v>
      </c>
      <c r="H346" s="6" t="s">
        <v>5207</v>
      </c>
      <c r="I346" s="6" t="s">
        <v>7167</v>
      </c>
      <c r="J346" s="6" t="s">
        <v>8393</v>
      </c>
      <c r="K346" s="6" t="s">
        <v>9714</v>
      </c>
      <c r="L346" s="16" t="n">
        <v>42888</v>
      </c>
      <c r="M346" s="16" t="n">
        <v>46023</v>
      </c>
      <c r="N346" s="6" t="s">
        <v>104</v>
      </c>
      <c r="O346" s="21" t="s">
        <v>104</v>
      </c>
      <c r="P346" s="6" t="s">
        <v>104</v>
      </c>
      <c r="Q346" s="6" t="s">
        <v>104</v>
      </c>
      <c r="R346" s="6" t="s">
        <v>104</v>
      </c>
      <c r="S346" s="6" t="s">
        <v>104</v>
      </c>
      <c r="T346" s="21" t="s">
        <v>104</v>
      </c>
      <c r="U346" s="6" t="s">
        <v>104</v>
      </c>
      <c r="V346" s="6" t="s">
        <v>104</v>
      </c>
      <c r="W346" s="6" t="s">
        <v>104</v>
      </c>
      <c r="X346" s="6" t="s">
        <v>104</v>
      </c>
      <c r="Y346" s="21" t="s">
        <v>104</v>
      </c>
      <c r="Z346" s="6" t="s">
        <v>104</v>
      </c>
      <c r="AA346" s="6" t="s">
        <v>104</v>
      </c>
      <c r="AB346" s="6" t="s">
        <v>104</v>
      </c>
      <c r="AC346" s="6" t="s">
        <v>9714</v>
      </c>
      <c r="AD346" s="16" t="n">
        <v>42888</v>
      </c>
      <c r="AE346" s="6" t="s">
        <v>10828</v>
      </c>
      <c r="AF346" s="6" t="s">
        <v>104</v>
      </c>
      <c r="AG346" s="6" t="s">
        <v>104</v>
      </c>
      <c r="AH346" s="6" t="s">
        <v>13465</v>
      </c>
      <c r="AI346" s="6" t="s">
        <v>104</v>
      </c>
      <c r="AJ346" s="6" t="s">
        <v>15605</v>
      </c>
      <c r="AK346" s="6" t="s">
        <v>16687</v>
      </c>
      <c r="AL346" s="6" t="s">
        <v>16931</v>
      </c>
      <c r="AM346" s="6" t="s">
        <v>17223</v>
      </c>
      <c r="AN346" s="6" t="s">
        <v>18465</v>
      </c>
      <c r="AO346" s="6" t="s">
        <v>18572</v>
      </c>
      <c r="AP346" s="6" t="s">
        <v>13465</v>
      </c>
      <c r="AQ346" s="6" t="s">
        <v>104</v>
      </c>
      <c r="AR346" s="6" t="s">
        <v>15605</v>
      </c>
      <c r="AS346" s="6" t="s">
        <v>16687</v>
      </c>
      <c r="AT346" s="6" t="s">
        <v>16931</v>
      </c>
      <c r="AU346" s="6" t="s">
        <v>17223</v>
      </c>
      <c r="AV346" s="6" t="s">
        <v>104</v>
      </c>
      <c r="AW346" s="6" t="s">
        <v>104</v>
      </c>
      <c r="AX346" s="6" t="s">
        <v>20391</v>
      </c>
      <c r="AY346" s="6" t="s">
        <v>22141</v>
      </c>
      <c r="AZ346" s="6" t="s">
        <v>23783</v>
      </c>
      <c r="BA346" s="6" t="s">
        <v>24314</v>
      </c>
      <c r="BB346" s="6" t="s">
        <v>104</v>
      </c>
      <c r="BC346" s="26"/>
      <c r="BD346" s="26"/>
      <c r="BE346" s="26"/>
      <c r="BF346" s="26"/>
      <c r="BG346" s="26"/>
      <c r="BH346" s="26"/>
      <c r="BI346" s="26"/>
      <c r="BJ346" s="26"/>
      <c r="BK346" s="26"/>
      <c r="BL346" s="26"/>
      <c r="BM346" s="26"/>
      <c r="BN346" s="26"/>
      <c r="BO346" s="26"/>
      <c r="BP346" s="16" t="n">
        <v>45667</v>
      </c>
      <c r="BQ346" s="28" t="str">
        <f>HYPERLINK("https://organic.ams.usda.gov/Integrity/Certificate.aspx?cid=15&amp;nopid=5561004812")</f>
        <v>https://organic.ams.usda.gov/Integrity/Certificate.aspx?cid=15&amp;nopid=5561004812</v>
      </c>
    </row>
    <row r="347">
      <c r="A347" t="s">
        <v>3</v>
      </c>
      <c r="B347" s="6" t="s">
        <v>22</v>
      </c>
      <c r="C347" s="6" t="s">
        <v>88</v>
      </c>
      <c r="D347" s="6" t="s">
        <v>153</v>
      </c>
      <c r="E347" s="10" t="s">
        <v>545</v>
      </c>
      <c r="F347" s="6" t="s">
        <v>2800</v>
      </c>
      <c r="G347" s="6" t="s">
        <v>104</v>
      </c>
      <c r="H347" s="6" t="s">
        <v>5208</v>
      </c>
      <c r="I347" s="6" t="s">
        <v>6933</v>
      </c>
      <c r="J347" s="6" t="s">
        <v>8394</v>
      </c>
      <c r="K347" s="6" t="s">
        <v>9714</v>
      </c>
      <c r="L347" s="16" t="n">
        <v>44980</v>
      </c>
      <c r="M347" s="16" t="n">
        <v>46024</v>
      </c>
      <c r="N347" s="6" t="s">
        <v>104</v>
      </c>
      <c r="O347" s="21" t="s">
        <v>104</v>
      </c>
      <c r="P347" s="6" t="s">
        <v>104</v>
      </c>
      <c r="Q347" s="6" t="s">
        <v>104</v>
      </c>
      <c r="R347" s="6" t="s">
        <v>104</v>
      </c>
      <c r="S347" s="6" t="s">
        <v>104</v>
      </c>
      <c r="T347" s="21" t="s">
        <v>104</v>
      </c>
      <c r="U347" s="6" t="s">
        <v>104</v>
      </c>
      <c r="V347" s="6" t="s">
        <v>104</v>
      </c>
      <c r="W347" s="6" t="s">
        <v>104</v>
      </c>
      <c r="X347" s="6" t="s">
        <v>104</v>
      </c>
      <c r="Y347" s="21" t="s">
        <v>104</v>
      </c>
      <c r="Z347" s="6" t="s">
        <v>104</v>
      </c>
      <c r="AA347" s="6" t="s">
        <v>104</v>
      </c>
      <c r="AB347" s="6" t="s">
        <v>104</v>
      </c>
      <c r="AC347" s="6" t="s">
        <v>9714</v>
      </c>
      <c r="AD347" s="16" t="n">
        <v>44980</v>
      </c>
      <c r="AE347" s="6" t="s">
        <v>10829</v>
      </c>
      <c r="AF347" s="6" t="s">
        <v>104</v>
      </c>
      <c r="AG347" s="6" t="s">
        <v>12576</v>
      </c>
      <c r="AH347" s="6" t="s">
        <v>13466</v>
      </c>
      <c r="AI347" s="6" t="s">
        <v>104</v>
      </c>
      <c r="AJ347" s="6" t="s">
        <v>15606</v>
      </c>
      <c r="AK347" s="6" t="s">
        <v>16687</v>
      </c>
      <c r="AL347" s="6" t="s">
        <v>16931</v>
      </c>
      <c r="AM347" s="6" t="s">
        <v>17224</v>
      </c>
      <c r="AN347" s="6" t="s">
        <v>18506</v>
      </c>
      <c r="AO347" s="6" t="s">
        <v>18642</v>
      </c>
      <c r="AP347" s="6" t="s">
        <v>13466</v>
      </c>
      <c r="AQ347" s="6" t="s">
        <v>104</v>
      </c>
      <c r="AR347" s="6" t="s">
        <v>15606</v>
      </c>
      <c r="AS347" s="6" t="s">
        <v>16687</v>
      </c>
      <c r="AT347" s="6" t="s">
        <v>16931</v>
      </c>
      <c r="AU347" s="6" t="s">
        <v>17224</v>
      </c>
      <c r="AV347" s="6" t="s">
        <v>104</v>
      </c>
      <c r="AW347" s="6" t="s">
        <v>104</v>
      </c>
      <c r="AX347" s="6" t="s">
        <v>20392</v>
      </c>
      <c r="AY347" s="6" t="s">
        <v>22142</v>
      </c>
      <c r="AZ347" s="6" t="s">
        <v>104</v>
      </c>
      <c r="BA347" s="6" t="s">
        <v>104</v>
      </c>
      <c r="BB347" s="6" t="s">
        <v>104</v>
      </c>
      <c r="BC347" s="26"/>
      <c r="BD347" s="26"/>
      <c r="BE347" s="26"/>
      <c r="BF347" s="26"/>
      <c r="BG347" s="26"/>
      <c r="BH347" s="26"/>
      <c r="BI347" s="26"/>
      <c r="BJ347" s="26"/>
      <c r="BK347" s="26"/>
      <c r="BL347" s="26"/>
      <c r="BM347" s="26"/>
      <c r="BN347" s="26"/>
      <c r="BO347" s="26"/>
      <c r="BP347" s="16" t="n">
        <v>45730</v>
      </c>
      <c r="BQ347" s="28" t="str">
        <f>HYPERLINK("https://organic.ams.usda.gov/Integrity/Certificate.aspx?cid=72&amp;nopid=5870106672")</f>
        <v>https://organic.ams.usda.gov/Integrity/Certificate.aspx?cid=72&amp;nopid=5870106672</v>
      </c>
    </row>
    <row r="348">
      <c r="A348" t="s">
        <v>3</v>
      </c>
      <c r="B348" s="6" t="s">
        <v>25</v>
      </c>
      <c r="C348" s="6" t="s">
        <v>91</v>
      </c>
      <c r="D348" s="6" t="s">
        <v>156</v>
      </c>
      <c r="E348" s="10" t="s">
        <v>546</v>
      </c>
      <c r="F348" s="6" t="s">
        <v>2801</v>
      </c>
      <c r="G348" s="6" t="s">
        <v>104</v>
      </c>
      <c r="H348" s="6" t="s">
        <v>5209</v>
      </c>
      <c r="I348" s="6" t="s">
        <v>104</v>
      </c>
      <c r="J348" s="6" t="s">
        <v>104</v>
      </c>
      <c r="K348" s="6" t="s">
        <v>9714</v>
      </c>
      <c r="L348" s="16" t="n">
        <v>39881</v>
      </c>
      <c r="M348" s="16" t="n">
        <v>45661</v>
      </c>
      <c r="N348" s="6" t="s">
        <v>104</v>
      </c>
      <c r="O348" s="21" t="s">
        <v>104</v>
      </c>
      <c r="P348" s="6" t="s">
        <v>104</v>
      </c>
      <c r="Q348" s="6" t="s">
        <v>104</v>
      </c>
      <c r="R348" s="6" t="s">
        <v>104</v>
      </c>
      <c r="S348" s="6" t="s">
        <v>104</v>
      </c>
      <c r="T348" s="21" t="s">
        <v>104</v>
      </c>
      <c r="U348" s="6" t="s">
        <v>104</v>
      </c>
      <c r="V348" s="6" t="s">
        <v>104</v>
      </c>
      <c r="W348" s="6" t="s">
        <v>104</v>
      </c>
      <c r="X348" s="6" t="s">
        <v>104</v>
      </c>
      <c r="Y348" s="21" t="s">
        <v>104</v>
      </c>
      <c r="Z348" s="6" t="s">
        <v>104</v>
      </c>
      <c r="AA348" s="6" t="s">
        <v>104</v>
      </c>
      <c r="AB348" s="6" t="s">
        <v>104</v>
      </c>
      <c r="AC348" s="6" t="s">
        <v>9714</v>
      </c>
      <c r="AD348" s="16" t="n">
        <v>39881</v>
      </c>
      <c r="AE348" s="6" t="s">
        <v>10830</v>
      </c>
      <c r="AF348" s="6" t="s">
        <v>104</v>
      </c>
      <c r="AG348" s="6" t="s">
        <v>104</v>
      </c>
      <c r="AH348" s="6" t="s">
        <v>13467</v>
      </c>
      <c r="AI348" s="6" t="s">
        <v>104</v>
      </c>
      <c r="AJ348" s="6" t="s">
        <v>15518</v>
      </c>
      <c r="AK348" s="6" t="s">
        <v>15865</v>
      </c>
      <c r="AL348" s="6" t="s">
        <v>16954</v>
      </c>
      <c r="AM348" s="6" t="s">
        <v>17134</v>
      </c>
      <c r="AN348" s="6" t="s">
        <v>104</v>
      </c>
      <c r="AO348" s="6" t="s">
        <v>104</v>
      </c>
      <c r="AP348" s="6" t="s">
        <v>19044</v>
      </c>
      <c r="AQ348" s="6" t="s">
        <v>104</v>
      </c>
      <c r="AR348" s="6" t="s">
        <v>15518</v>
      </c>
      <c r="AS348" s="6" t="s">
        <v>15865</v>
      </c>
      <c r="AT348" s="6" t="s">
        <v>16954</v>
      </c>
      <c r="AU348" s="6" t="s">
        <v>18013</v>
      </c>
      <c r="AV348" s="6" t="s">
        <v>104</v>
      </c>
      <c r="AW348" s="6" t="s">
        <v>104</v>
      </c>
      <c r="AX348" s="6" t="s">
        <v>104</v>
      </c>
      <c r="AY348" s="6" t="s">
        <v>104</v>
      </c>
      <c r="AZ348" s="6" t="s">
        <v>104</v>
      </c>
      <c r="BA348" s="6" t="s">
        <v>104</v>
      </c>
      <c r="BB348" s="6" t="s">
        <v>104</v>
      </c>
      <c r="BC348" s="26"/>
      <c r="BD348" s="26"/>
      <c r="BE348" s="26"/>
      <c r="BF348" s="26"/>
      <c r="BG348" s="26"/>
      <c r="BH348" s="26" t="s">
        <v>24533</v>
      </c>
      <c r="BI348" s="26"/>
      <c r="BJ348" s="26"/>
      <c r="BK348" s="26"/>
      <c r="BL348" s="26"/>
      <c r="BM348" s="26"/>
      <c r="BN348" s="26"/>
      <c r="BO348" s="26"/>
      <c r="BP348" s="16" t="n">
        <v>45386</v>
      </c>
      <c r="BQ348" s="28" t="str">
        <f>HYPERLINK("https://organic.ams.usda.gov/Integrity/Certificate.aspx?cid=66&amp;nopid=5500002030")</f>
        <v>https://organic.ams.usda.gov/Integrity/Certificate.aspx?cid=66&amp;nopid=5500002030</v>
      </c>
    </row>
    <row r="349">
      <c r="A349" t="s">
        <v>3</v>
      </c>
      <c r="B349" s="6" t="s">
        <v>13</v>
      </c>
      <c r="C349" s="6" t="s">
        <v>79</v>
      </c>
      <c r="D349" s="6" t="s">
        <v>144</v>
      </c>
      <c r="E349" s="10" t="s">
        <v>547</v>
      </c>
      <c r="F349" s="6" t="s">
        <v>2802</v>
      </c>
      <c r="G349" s="6" t="s">
        <v>104</v>
      </c>
      <c r="H349" s="6" t="s">
        <v>5210</v>
      </c>
      <c r="I349" s="6" t="s">
        <v>7168</v>
      </c>
      <c r="J349" s="6" t="s">
        <v>8395</v>
      </c>
      <c r="K349" s="6" t="s">
        <v>9714</v>
      </c>
      <c r="L349" s="16" t="n">
        <v>40618</v>
      </c>
      <c r="M349" s="16" t="n">
        <v>46023</v>
      </c>
      <c r="N349" s="6" t="s">
        <v>104</v>
      </c>
      <c r="O349" s="21" t="s">
        <v>104</v>
      </c>
      <c r="P349" s="6" t="s">
        <v>104</v>
      </c>
      <c r="Q349" s="6" t="s">
        <v>104</v>
      </c>
      <c r="R349" s="6" t="s">
        <v>104</v>
      </c>
      <c r="S349" s="6" t="s">
        <v>104</v>
      </c>
      <c r="T349" s="21" t="s">
        <v>104</v>
      </c>
      <c r="U349" s="6" t="s">
        <v>104</v>
      </c>
      <c r="V349" s="6" t="s">
        <v>104</v>
      </c>
      <c r="W349" s="6" t="s">
        <v>104</v>
      </c>
      <c r="X349" s="6" t="s">
        <v>104</v>
      </c>
      <c r="Y349" s="21" t="s">
        <v>104</v>
      </c>
      <c r="Z349" s="6" t="s">
        <v>104</v>
      </c>
      <c r="AA349" s="6" t="s">
        <v>104</v>
      </c>
      <c r="AB349" s="6" t="s">
        <v>104</v>
      </c>
      <c r="AC349" s="6" t="s">
        <v>9714</v>
      </c>
      <c r="AD349" s="16" t="n">
        <v>40618</v>
      </c>
      <c r="AE349" s="6" t="s">
        <v>10831</v>
      </c>
      <c r="AF349" s="6" t="s">
        <v>104</v>
      </c>
      <c r="AG349" s="6" t="s">
        <v>104</v>
      </c>
      <c r="AH349" s="6" t="s">
        <v>104</v>
      </c>
      <c r="AI349" s="6" t="s">
        <v>104</v>
      </c>
      <c r="AJ349" s="6" t="s">
        <v>104</v>
      </c>
      <c r="AK349" s="6" t="s">
        <v>104</v>
      </c>
      <c r="AL349" s="6" t="s">
        <v>104</v>
      </c>
      <c r="AM349" s="6" t="s">
        <v>104</v>
      </c>
      <c r="AN349" s="6" t="s">
        <v>104</v>
      </c>
      <c r="AO349" s="6" t="s">
        <v>104</v>
      </c>
      <c r="AP349" s="6" t="s">
        <v>18942</v>
      </c>
      <c r="AQ349" s="6" t="s">
        <v>104</v>
      </c>
      <c r="AR349" s="6" t="s">
        <v>19623</v>
      </c>
      <c r="AS349" s="6" t="s">
        <v>16705</v>
      </c>
      <c r="AT349" s="6" t="s">
        <v>16931</v>
      </c>
      <c r="AU349" s="6" t="s">
        <v>19849</v>
      </c>
      <c r="AV349" s="6" t="s">
        <v>18486</v>
      </c>
      <c r="AW349" s="6" t="s">
        <v>18599</v>
      </c>
      <c r="AX349" s="6" t="s">
        <v>20393</v>
      </c>
      <c r="AY349" s="6" t="s">
        <v>22143</v>
      </c>
      <c r="AZ349" s="6" t="s">
        <v>104</v>
      </c>
      <c r="BA349" s="6" t="s">
        <v>104</v>
      </c>
      <c r="BB349" s="6" t="s">
        <v>104</v>
      </c>
      <c r="BC349" s="26"/>
      <c r="BD349" s="26"/>
      <c r="BE349" s="26"/>
      <c r="BF349" s="26"/>
      <c r="BG349" s="26"/>
      <c r="BH349" s="26"/>
      <c r="BI349" s="26"/>
      <c r="BJ349" s="26"/>
      <c r="BK349" s="26"/>
      <c r="BL349" s="26"/>
      <c r="BM349" s="26"/>
      <c r="BN349" s="26"/>
      <c r="BO349" s="26"/>
      <c r="BP349" s="16" t="n">
        <v>45671</v>
      </c>
      <c r="BQ349" s="28" t="str">
        <f>HYPERLINK("https://organic.ams.usda.gov/Integrity/Certificate.aspx?cid=62&amp;nopid=8150000160")</f>
        <v>https://organic.ams.usda.gov/Integrity/Certificate.aspx?cid=62&amp;nopid=8150000160</v>
      </c>
    </row>
    <row r="350">
      <c r="A350" t="s">
        <v>3</v>
      </c>
      <c r="B350" s="6" t="s">
        <v>11</v>
      </c>
      <c r="C350" s="6" t="s">
        <v>77</v>
      </c>
      <c r="D350" s="6" t="s">
        <v>142</v>
      </c>
      <c r="E350" s="10" t="s">
        <v>548</v>
      </c>
      <c r="F350" s="6" t="s">
        <v>2803</v>
      </c>
      <c r="G350" s="6" t="s">
        <v>104</v>
      </c>
      <c r="H350" s="6" t="s">
        <v>5211</v>
      </c>
      <c r="I350" s="6" t="s">
        <v>7169</v>
      </c>
      <c r="J350" s="6" t="s">
        <v>8396</v>
      </c>
      <c r="K350" s="6" t="s">
        <v>9714</v>
      </c>
      <c r="L350" s="16" t="n">
        <v>44752</v>
      </c>
      <c r="M350" s="16" t="n">
        <v>45813</v>
      </c>
      <c r="N350" s="6" t="s">
        <v>9714</v>
      </c>
      <c r="O350" s="16" t="n">
        <v>45516</v>
      </c>
      <c r="P350" s="6" t="s">
        <v>104</v>
      </c>
      <c r="Q350" s="6" t="s">
        <v>104</v>
      </c>
      <c r="R350" s="6" t="s">
        <v>104</v>
      </c>
      <c r="S350" s="6" t="s">
        <v>104</v>
      </c>
      <c r="T350" s="21" t="s">
        <v>104</v>
      </c>
      <c r="U350" s="6" t="s">
        <v>104</v>
      </c>
      <c r="V350" s="6" t="s">
        <v>104</v>
      </c>
      <c r="W350" s="6" t="s">
        <v>104</v>
      </c>
      <c r="X350" s="6" t="s">
        <v>104</v>
      </c>
      <c r="Y350" s="21" t="s">
        <v>104</v>
      </c>
      <c r="Z350" s="6" t="s">
        <v>104</v>
      </c>
      <c r="AA350" s="6" t="s">
        <v>104</v>
      </c>
      <c r="AB350" s="6" t="s">
        <v>104</v>
      </c>
      <c r="AC350" s="6" t="s">
        <v>9714</v>
      </c>
      <c r="AD350" s="16" t="n">
        <v>45516</v>
      </c>
      <c r="AE350" s="6" t="s">
        <v>10832</v>
      </c>
      <c r="AF350" s="6" t="s">
        <v>104</v>
      </c>
      <c r="AG350" s="6" t="s">
        <v>104</v>
      </c>
      <c r="AH350" s="6" t="s">
        <v>13468</v>
      </c>
      <c r="AI350" s="6" t="s">
        <v>104</v>
      </c>
      <c r="AJ350" s="6" t="s">
        <v>15383</v>
      </c>
      <c r="AK350" s="6" t="s">
        <v>15383</v>
      </c>
      <c r="AL350" s="6" t="s">
        <v>16933</v>
      </c>
      <c r="AM350" s="6" t="s">
        <v>15662</v>
      </c>
      <c r="AN350" s="6" t="s">
        <v>104</v>
      </c>
      <c r="AO350" s="6" t="s">
        <v>104</v>
      </c>
      <c r="AP350" s="6" t="s">
        <v>104</v>
      </c>
      <c r="AQ350" s="6" t="s">
        <v>104</v>
      </c>
      <c r="AR350" s="6" t="s">
        <v>104</v>
      </c>
      <c r="AS350" s="6" t="s">
        <v>104</v>
      </c>
      <c r="AT350" s="6" t="s">
        <v>104</v>
      </c>
      <c r="AU350" s="6" t="s">
        <v>104</v>
      </c>
      <c r="AV350" s="6" t="s">
        <v>104</v>
      </c>
      <c r="AW350" s="6" t="s">
        <v>104</v>
      </c>
      <c r="AX350" s="6" t="s">
        <v>104</v>
      </c>
      <c r="AY350" s="6" t="s">
        <v>22144</v>
      </c>
      <c r="AZ350" s="6" t="s">
        <v>104</v>
      </c>
      <c r="BA350" s="6" t="s">
        <v>24315</v>
      </c>
      <c r="BB350" s="24" t="n">
        <v>170</v>
      </c>
      <c r="BC350" s="26"/>
      <c r="BD350" s="26"/>
      <c r="BE350" s="26"/>
      <c r="BF350" s="26"/>
      <c r="BG350" s="26"/>
      <c r="BH350" s="26"/>
      <c r="BI350" s="26"/>
      <c r="BJ350" s="26"/>
      <c r="BK350" s="26"/>
      <c r="BL350" s="26"/>
      <c r="BM350" s="26"/>
      <c r="BN350" s="26"/>
      <c r="BO350" s="26" t="s">
        <v>24533</v>
      </c>
      <c r="BP350" s="16" t="n">
        <v>45636</v>
      </c>
      <c r="BQ350" s="28" t="str">
        <f>HYPERLINK("https://organic.ams.usda.gov/Integrity/Certificate.aspx?cid=21&amp;nopid=1780888500")</f>
        <v>https://organic.ams.usda.gov/Integrity/Certificate.aspx?cid=21&amp;nopid=1780888500</v>
      </c>
    </row>
    <row r="351">
      <c r="A351" t="s">
        <v>3</v>
      </c>
      <c r="B351" s="6" t="s">
        <v>21</v>
      </c>
      <c r="C351" s="6" t="s">
        <v>87</v>
      </c>
      <c r="D351" s="6" t="s">
        <v>152</v>
      </c>
      <c r="E351" s="10" t="s">
        <v>549</v>
      </c>
      <c r="F351" s="6" t="s">
        <v>2804</v>
      </c>
      <c r="G351" s="6" t="s">
        <v>104</v>
      </c>
      <c r="H351" s="6" t="s">
        <v>5212</v>
      </c>
      <c r="I351" s="6" t="s">
        <v>7170</v>
      </c>
      <c r="J351" s="6" t="s">
        <v>8397</v>
      </c>
      <c r="K351" s="6" t="s">
        <v>9714</v>
      </c>
      <c r="L351" s="16" t="n">
        <v>44624</v>
      </c>
      <c r="M351" s="16" t="n">
        <v>46023</v>
      </c>
      <c r="N351" s="6" t="s">
        <v>9714</v>
      </c>
      <c r="O351" s="16" t="n">
        <v>44624</v>
      </c>
      <c r="P351" s="6" t="s">
        <v>9827</v>
      </c>
      <c r="Q351" s="6" t="s">
        <v>104</v>
      </c>
      <c r="R351" s="6" t="s">
        <v>104</v>
      </c>
      <c r="S351" s="6" t="s">
        <v>9714</v>
      </c>
      <c r="T351" s="16" t="n">
        <v>44624</v>
      </c>
      <c r="U351" s="6" t="s">
        <v>10472</v>
      </c>
      <c r="V351" s="6" t="s">
        <v>104</v>
      </c>
      <c r="W351" s="6" t="s">
        <v>104</v>
      </c>
      <c r="X351" s="6" t="s">
        <v>104</v>
      </c>
      <c r="Y351" s="21" t="s">
        <v>104</v>
      </c>
      <c r="Z351" s="6" t="s">
        <v>104</v>
      </c>
      <c r="AA351" s="6" t="s">
        <v>104</v>
      </c>
      <c r="AB351" s="6" t="s">
        <v>104</v>
      </c>
      <c r="AC351" s="6" t="s">
        <v>9714</v>
      </c>
      <c r="AD351" s="16" t="n">
        <v>44624</v>
      </c>
      <c r="AE351" s="6" t="s">
        <v>10833</v>
      </c>
      <c r="AF351" s="6" t="s">
        <v>104</v>
      </c>
      <c r="AG351" s="6" t="s">
        <v>104</v>
      </c>
      <c r="AH351" s="6" t="s">
        <v>13469</v>
      </c>
      <c r="AI351" s="6" t="s">
        <v>104</v>
      </c>
      <c r="AJ351" s="6" t="s">
        <v>15401</v>
      </c>
      <c r="AK351" s="6" t="s">
        <v>16757</v>
      </c>
      <c r="AL351" s="6" t="s">
        <v>16931</v>
      </c>
      <c r="AM351" s="6" t="s">
        <v>17225</v>
      </c>
      <c r="AN351" s="6" t="s">
        <v>18459</v>
      </c>
      <c r="AO351" s="6" t="s">
        <v>18643</v>
      </c>
      <c r="AP351" s="6" t="s">
        <v>19045</v>
      </c>
      <c r="AQ351" s="6" t="s">
        <v>104</v>
      </c>
      <c r="AR351" s="6" t="s">
        <v>15401</v>
      </c>
      <c r="AS351" s="6" t="s">
        <v>16757</v>
      </c>
      <c r="AT351" s="6" t="s">
        <v>16931</v>
      </c>
      <c r="AU351" s="6" t="s">
        <v>17225</v>
      </c>
      <c r="AV351" s="6" t="s">
        <v>104</v>
      </c>
      <c r="AW351" s="6" t="s">
        <v>104</v>
      </c>
      <c r="AX351" s="6" t="s">
        <v>20394</v>
      </c>
      <c r="AY351" s="6" t="s">
        <v>22145</v>
      </c>
      <c r="AZ351" s="6" t="s">
        <v>23784</v>
      </c>
      <c r="BA351" s="6" t="s">
        <v>24316</v>
      </c>
      <c r="BB351" s="24" t="n">
        <v>10</v>
      </c>
      <c r="BC351" s="26"/>
      <c r="BD351" s="26"/>
      <c r="BE351" s="26"/>
      <c r="BF351" s="26" t="s">
        <v>24533</v>
      </c>
      <c r="BG351" s="26"/>
      <c r="BH351" s="26"/>
      <c r="BI351" s="26"/>
      <c r="BJ351" s="26"/>
      <c r="BK351" s="26"/>
      <c r="BL351" s="26"/>
      <c r="BM351" s="26"/>
      <c r="BN351" s="26" t="s">
        <v>24533</v>
      </c>
      <c r="BO351" s="26"/>
      <c r="BP351" s="16" t="n">
        <v>45722</v>
      </c>
      <c r="BQ351" s="28" t="str">
        <f>HYPERLINK("https://organic.ams.usda.gov/Integrity/Certificate.aspx?cid=15&amp;nopid=5561006833")</f>
        <v>https://organic.ams.usda.gov/Integrity/Certificate.aspx?cid=15&amp;nopid=5561006833</v>
      </c>
    </row>
    <row r="352">
      <c r="A352" t="s">
        <v>3</v>
      </c>
      <c r="B352" s="6" t="s">
        <v>33</v>
      </c>
      <c r="C352" s="6" t="s">
        <v>99</v>
      </c>
      <c r="D352" s="6" t="s">
        <v>164</v>
      </c>
      <c r="E352" s="10" t="s">
        <v>550</v>
      </c>
      <c r="F352" s="6" t="s">
        <v>2805</v>
      </c>
      <c r="G352" s="6" t="s">
        <v>104</v>
      </c>
      <c r="H352" s="6" t="s">
        <v>104</v>
      </c>
      <c r="I352" s="6" t="s">
        <v>7171</v>
      </c>
      <c r="J352" s="6" t="s">
        <v>8398</v>
      </c>
      <c r="K352" s="6" t="s">
        <v>9714</v>
      </c>
      <c r="L352" s="16" t="n">
        <v>37662</v>
      </c>
      <c r="M352" s="16" t="n">
        <v>45337</v>
      </c>
      <c r="N352" s="6" t="s">
        <v>104</v>
      </c>
      <c r="O352" s="21" t="s">
        <v>104</v>
      </c>
      <c r="P352" s="6" t="s">
        <v>104</v>
      </c>
      <c r="Q352" s="6" t="s">
        <v>104</v>
      </c>
      <c r="R352" s="6" t="s">
        <v>104</v>
      </c>
      <c r="S352" s="6" t="s">
        <v>104</v>
      </c>
      <c r="T352" s="21" t="s">
        <v>104</v>
      </c>
      <c r="U352" s="6" t="s">
        <v>104</v>
      </c>
      <c r="V352" s="6" t="s">
        <v>104</v>
      </c>
      <c r="W352" s="6" t="s">
        <v>104</v>
      </c>
      <c r="X352" s="6" t="s">
        <v>104</v>
      </c>
      <c r="Y352" s="21" t="s">
        <v>104</v>
      </c>
      <c r="Z352" s="6" t="s">
        <v>104</v>
      </c>
      <c r="AA352" s="6" t="s">
        <v>104</v>
      </c>
      <c r="AB352" s="6" t="s">
        <v>104</v>
      </c>
      <c r="AC352" s="6" t="s">
        <v>9714</v>
      </c>
      <c r="AD352" s="16" t="n">
        <v>37662</v>
      </c>
      <c r="AE352" s="6" t="s">
        <v>10834</v>
      </c>
      <c r="AF352" s="6" t="s">
        <v>104</v>
      </c>
      <c r="AG352" s="6" t="s">
        <v>104</v>
      </c>
      <c r="AH352" s="6" t="s">
        <v>13470</v>
      </c>
      <c r="AI352" s="6" t="s">
        <v>104</v>
      </c>
      <c r="AJ352" s="6" t="s">
        <v>15607</v>
      </c>
      <c r="AK352" s="6" t="s">
        <v>16683</v>
      </c>
      <c r="AL352" s="6" t="s">
        <v>16931</v>
      </c>
      <c r="AM352" s="6" t="s">
        <v>17226</v>
      </c>
      <c r="AN352" s="6" t="s">
        <v>18490</v>
      </c>
      <c r="AO352" s="6" t="s">
        <v>18556</v>
      </c>
      <c r="AP352" s="6" t="s">
        <v>13470</v>
      </c>
      <c r="AQ352" s="6" t="s">
        <v>104</v>
      </c>
      <c r="AR352" s="6" t="s">
        <v>15607</v>
      </c>
      <c r="AS352" s="6" t="s">
        <v>16683</v>
      </c>
      <c r="AT352" s="6" t="s">
        <v>16931</v>
      </c>
      <c r="AU352" s="6" t="s">
        <v>17226</v>
      </c>
      <c r="AV352" s="6" t="s">
        <v>104</v>
      </c>
      <c r="AW352" s="6" t="s">
        <v>104</v>
      </c>
      <c r="AX352" s="6" t="s">
        <v>20395</v>
      </c>
      <c r="AY352" s="6" t="s">
        <v>22146</v>
      </c>
      <c r="AZ352" s="6" t="s">
        <v>104</v>
      </c>
      <c r="BA352" s="6" t="s">
        <v>24264</v>
      </c>
      <c r="BB352" s="6" t="s">
        <v>104</v>
      </c>
      <c r="BC352" s="26"/>
      <c r="BD352" s="26"/>
      <c r="BE352" s="26"/>
      <c r="BF352" s="26"/>
      <c r="BG352" s="26"/>
      <c r="BH352" s="26"/>
      <c r="BI352" s="26"/>
      <c r="BJ352" s="26"/>
      <c r="BK352" s="26"/>
      <c r="BL352" s="26"/>
      <c r="BM352" s="26"/>
      <c r="BN352" s="26"/>
      <c r="BO352" s="26"/>
      <c r="BP352" s="16" t="n">
        <v>45448</v>
      </c>
      <c r="BQ352" s="28" t="str">
        <f>HYPERLINK("https://organic.ams.usda.gov/Integrity/Certificate.aspx?cid=46&amp;nopid=3670300001")</f>
        <v>https://organic.ams.usda.gov/Integrity/Certificate.aspx?cid=46&amp;nopid=3670300001</v>
      </c>
    </row>
    <row r="353">
      <c r="A353" t="s">
        <v>3</v>
      </c>
      <c r="B353" s="6" t="s">
        <v>34</v>
      </c>
      <c r="C353" s="6" t="s">
        <v>100</v>
      </c>
      <c r="D353" s="6" t="s">
        <v>165</v>
      </c>
      <c r="E353" s="10" t="s">
        <v>551</v>
      </c>
      <c r="F353" s="6" t="s">
        <v>2806</v>
      </c>
      <c r="G353" s="6" t="s">
        <v>104</v>
      </c>
      <c r="H353" s="6" t="s">
        <v>5213</v>
      </c>
      <c r="I353" s="6" t="s">
        <v>7172</v>
      </c>
      <c r="J353" s="6" t="s">
        <v>8399</v>
      </c>
      <c r="K353" s="6" t="s">
        <v>9714</v>
      </c>
      <c r="L353" s="16" t="n">
        <v>42378</v>
      </c>
      <c r="M353" s="16" t="n">
        <v>45859</v>
      </c>
      <c r="N353" s="6" t="s">
        <v>104</v>
      </c>
      <c r="O353" s="21" t="s">
        <v>104</v>
      </c>
      <c r="P353" s="6" t="s">
        <v>104</v>
      </c>
      <c r="Q353" s="6" t="s">
        <v>104</v>
      </c>
      <c r="R353" s="6" t="s">
        <v>104</v>
      </c>
      <c r="S353" s="6" t="s">
        <v>104</v>
      </c>
      <c r="T353" s="21" t="s">
        <v>104</v>
      </c>
      <c r="U353" s="6" t="s">
        <v>104</v>
      </c>
      <c r="V353" s="6" t="s">
        <v>104</v>
      </c>
      <c r="W353" s="6" t="s">
        <v>104</v>
      </c>
      <c r="X353" s="6" t="s">
        <v>104</v>
      </c>
      <c r="Y353" s="21" t="s">
        <v>104</v>
      </c>
      <c r="Z353" s="6" t="s">
        <v>104</v>
      </c>
      <c r="AA353" s="6" t="s">
        <v>104</v>
      </c>
      <c r="AB353" s="6" t="s">
        <v>104</v>
      </c>
      <c r="AC353" s="6" t="s">
        <v>9714</v>
      </c>
      <c r="AD353" s="16" t="n">
        <v>42378</v>
      </c>
      <c r="AE353" s="6" t="s">
        <v>10835</v>
      </c>
      <c r="AF353" s="6" t="s">
        <v>104</v>
      </c>
      <c r="AG353" s="6" t="s">
        <v>12577</v>
      </c>
      <c r="AH353" s="6" t="s">
        <v>13471</v>
      </c>
      <c r="AI353" s="6" t="s">
        <v>104</v>
      </c>
      <c r="AJ353" s="6" t="s">
        <v>15608</v>
      </c>
      <c r="AK353" s="6" t="s">
        <v>16687</v>
      </c>
      <c r="AL353" s="6" t="s">
        <v>16931</v>
      </c>
      <c r="AM353" s="6" t="s">
        <v>17227</v>
      </c>
      <c r="AN353" s="6" t="s">
        <v>18487</v>
      </c>
      <c r="AO353" s="6" t="s">
        <v>18601</v>
      </c>
      <c r="AP353" s="6" t="s">
        <v>19046</v>
      </c>
      <c r="AQ353" s="6" t="s">
        <v>104</v>
      </c>
      <c r="AR353" s="6" t="s">
        <v>15933</v>
      </c>
      <c r="AS353" s="6" t="s">
        <v>16687</v>
      </c>
      <c r="AT353" s="6" t="s">
        <v>16931</v>
      </c>
      <c r="AU353" s="6" t="s">
        <v>17568</v>
      </c>
      <c r="AV353" s="6" t="s">
        <v>104</v>
      </c>
      <c r="AW353" s="6" t="s">
        <v>104</v>
      </c>
      <c r="AX353" s="6" t="s">
        <v>20396</v>
      </c>
      <c r="AY353" s="6" t="s">
        <v>22147</v>
      </c>
      <c r="AZ353" s="6" t="s">
        <v>104</v>
      </c>
      <c r="BA353" s="6" t="s">
        <v>104</v>
      </c>
      <c r="BB353" s="6" t="s">
        <v>104</v>
      </c>
      <c r="BC353" s="26"/>
      <c r="BD353" s="26"/>
      <c r="BE353" s="26"/>
      <c r="BF353" s="26"/>
      <c r="BG353" s="26" t="s">
        <v>24533</v>
      </c>
      <c r="BH353" s="26"/>
      <c r="BI353" s="26"/>
      <c r="BJ353" s="26"/>
      <c r="BK353" s="26"/>
      <c r="BL353" s="26"/>
      <c r="BM353" s="26"/>
      <c r="BN353" s="26"/>
      <c r="BO353" s="26"/>
      <c r="BP353" s="16" t="n">
        <v>45737</v>
      </c>
      <c r="BQ353" s="28" t="str">
        <f>HYPERLINK("https://organic.ams.usda.gov/Integrity/Certificate.aspx?cid=71&amp;nopid=5520257820")</f>
        <v>https://organic.ams.usda.gov/Integrity/Certificate.aspx?cid=71&amp;nopid=5520257820</v>
      </c>
    </row>
    <row r="354">
      <c r="A354" t="s">
        <v>3</v>
      </c>
      <c r="B354" s="6" t="s">
        <v>13</v>
      </c>
      <c r="C354" s="6" t="s">
        <v>79</v>
      </c>
      <c r="D354" s="6" t="s">
        <v>144</v>
      </c>
      <c r="E354" s="10" t="s">
        <v>552</v>
      </c>
      <c r="F354" s="6" t="s">
        <v>2807</v>
      </c>
      <c r="G354" s="6" t="s">
        <v>104</v>
      </c>
      <c r="H354" s="6" t="s">
        <v>5214</v>
      </c>
      <c r="I354" s="6" t="s">
        <v>6938</v>
      </c>
      <c r="J354" s="6" t="s">
        <v>8400</v>
      </c>
      <c r="K354" s="6" t="s">
        <v>9714</v>
      </c>
      <c r="L354" s="16" t="n">
        <v>44909</v>
      </c>
      <c r="M354" s="16" t="n">
        <v>46023</v>
      </c>
      <c r="N354" s="6" t="s">
        <v>104</v>
      </c>
      <c r="O354" s="21" t="s">
        <v>104</v>
      </c>
      <c r="P354" s="6" t="s">
        <v>104</v>
      </c>
      <c r="Q354" s="6" t="s">
        <v>104</v>
      </c>
      <c r="R354" s="6" t="s">
        <v>104</v>
      </c>
      <c r="S354" s="6" t="s">
        <v>104</v>
      </c>
      <c r="T354" s="21" t="s">
        <v>104</v>
      </c>
      <c r="U354" s="6" t="s">
        <v>104</v>
      </c>
      <c r="V354" s="6" t="s">
        <v>104</v>
      </c>
      <c r="W354" s="6" t="s">
        <v>104</v>
      </c>
      <c r="X354" s="6" t="s">
        <v>104</v>
      </c>
      <c r="Y354" s="21" t="s">
        <v>104</v>
      </c>
      <c r="Z354" s="6" t="s">
        <v>104</v>
      </c>
      <c r="AA354" s="6" t="s">
        <v>104</v>
      </c>
      <c r="AB354" s="6" t="s">
        <v>104</v>
      </c>
      <c r="AC354" s="6" t="s">
        <v>9714</v>
      </c>
      <c r="AD354" s="16" t="n">
        <v>44909</v>
      </c>
      <c r="AE354" s="6" t="s">
        <v>10836</v>
      </c>
      <c r="AF354" s="6" t="s">
        <v>104</v>
      </c>
      <c r="AG354" s="6" t="s">
        <v>104</v>
      </c>
      <c r="AH354" s="6" t="s">
        <v>104</v>
      </c>
      <c r="AI354" s="6" t="s">
        <v>104</v>
      </c>
      <c r="AJ354" s="6" t="s">
        <v>104</v>
      </c>
      <c r="AK354" s="6" t="s">
        <v>104</v>
      </c>
      <c r="AL354" s="6" t="s">
        <v>104</v>
      </c>
      <c r="AM354" s="6" t="s">
        <v>104</v>
      </c>
      <c r="AN354" s="6" t="s">
        <v>104</v>
      </c>
      <c r="AO354" s="6" t="s">
        <v>104</v>
      </c>
      <c r="AP354" s="6" t="s">
        <v>19047</v>
      </c>
      <c r="AQ354" s="6" t="s">
        <v>104</v>
      </c>
      <c r="AR354" s="6" t="s">
        <v>15663</v>
      </c>
      <c r="AS354" s="6" t="s">
        <v>16680</v>
      </c>
      <c r="AT354" s="6" t="s">
        <v>16931</v>
      </c>
      <c r="AU354" s="6" t="s">
        <v>17280</v>
      </c>
      <c r="AV354" s="6" t="s">
        <v>18468</v>
      </c>
      <c r="AW354" s="6" t="s">
        <v>18708</v>
      </c>
      <c r="AX354" s="6" t="s">
        <v>20397</v>
      </c>
      <c r="AY354" s="6" t="s">
        <v>22148</v>
      </c>
      <c r="AZ354" s="6" t="s">
        <v>104</v>
      </c>
      <c r="BA354" s="6" t="s">
        <v>104</v>
      </c>
      <c r="BB354" s="6" t="s">
        <v>104</v>
      </c>
      <c r="BC354" s="26"/>
      <c r="BD354" s="26"/>
      <c r="BE354" s="26"/>
      <c r="BF354" s="26"/>
      <c r="BG354" s="26"/>
      <c r="BH354" s="26"/>
      <c r="BI354" s="26"/>
      <c r="BJ354" s="26"/>
      <c r="BK354" s="26"/>
      <c r="BL354" s="26"/>
      <c r="BM354" s="26"/>
      <c r="BN354" s="26" t="s">
        <v>24533</v>
      </c>
      <c r="BO354" s="26"/>
      <c r="BP354" s="16" t="n">
        <v>45637</v>
      </c>
      <c r="BQ354" s="28" t="str">
        <f>HYPERLINK("https://organic.ams.usda.gov/Integrity/Certificate.aspx?cid=62&amp;nopid=8150020651")</f>
        <v>https://organic.ams.usda.gov/Integrity/Certificate.aspx?cid=62&amp;nopid=8150020651</v>
      </c>
    </row>
    <row r="355">
      <c r="A355" t="s">
        <v>3</v>
      </c>
      <c r="B355" s="6" t="s">
        <v>34</v>
      </c>
      <c r="C355" s="6" t="s">
        <v>100</v>
      </c>
      <c r="D355" s="6" t="s">
        <v>165</v>
      </c>
      <c r="E355" s="10" t="s">
        <v>553</v>
      </c>
      <c r="F355" s="6" t="s">
        <v>2808</v>
      </c>
      <c r="G355" s="6" t="s">
        <v>104</v>
      </c>
      <c r="H355" s="6" t="s">
        <v>5215</v>
      </c>
      <c r="I355" s="6" t="s">
        <v>7173</v>
      </c>
      <c r="J355" s="6" t="s">
        <v>8401</v>
      </c>
      <c r="K355" s="6" t="s">
        <v>9714</v>
      </c>
      <c r="L355" s="16" t="n">
        <v>42923</v>
      </c>
      <c r="M355" s="16" t="n">
        <v>45685</v>
      </c>
      <c r="N355" s="6" t="s">
        <v>104</v>
      </c>
      <c r="O355" s="21" t="s">
        <v>104</v>
      </c>
      <c r="P355" s="6" t="s">
        <v>104</v>
      </c>
      <c r="Q355" s="6" t="s">
        <v>104</v>
      </c>
      <c r="R355" s="6" t="s">
        <v>104</v>
      </c>
      <c r="S355" s="6" t="s">
        <v>104</v>
      </c>
      <c r="T355" s="21" t="s">
        <v>104</v>
      </c>
      <c r="U355" s="6" t="s">
        <v>104</v>
      </c>
      <c r="V355" s="6" t="s">
        <v>104</v>
      </c>
      <c r="W355" s="6" t="s">
        <v>104</v>
      </c>
      <c r="X355" s="6" t="s">
        <v>104</v>
      </c>
      <c r="Y355" s="21" t="s">
        <v>104</v>
      </c>
      <c r="Z355" s="6" t="s">
        <v>104</v>
      </c>
      <c r="AA355" s="6" t="s">
        <v>104</v>
      </c>
      <c r="AB355" s="6" t="s">
        <v>104</v>
      </c>
      <c r="AC355" s="6" t="s">
        <v>9714</v>
      </c>
      <c r="AD355" s="16" t="n">
        <v>42923</v>
      </c>
      <c r="AE355" s="6" t="s">
        <v>10837</v>
      </c>
      <c r="AF355" s="6" t="s">
        <v>104</v>
      </c>
      <c r="AG355" s="6" t="s">
        <v>12578</v>
      </c>
      <c r="AH355" s="6" t="s">
        <v>13472</v>
      </c>
      <c r="AI355" s="6" t="s">
        <v>104</v>
      </c>
      <c r="AJ355" s="6" t="s">
        <v>15609</v>
      </c>
      <c r="AK355" s="6" t="s">
        <v>16686</v>
      </c>
      <c r="AL355" s="6" t="s">
        <v>16931</v>
      </c>
      <c r="AM355" s="6" t="s">
        <v>17228</v>
      </c>
      <c r="AN355" s="6" t="s">
        <v>18490</v>
      </c>
      <c r="AO355" s="6" t="s">
        <v>18644</v>
      </c>
      <c r="AP355" s="6" t="s">
        <v>19048</v>
      </c>
      <c r="AQ355" s="6" t="s">
        <v>104</v>
      </c>
      <c r="AR355" s="6" t="s">
        <v>19624</v>
      </c>
      <c r="AS355" s="6" t="s">
        <v>16683</v>
      </c>
      <c r="AT355" s="6" t="s">
        <v>16931</v>
      </c>
      <c r="AU355" s="6" t="s">
        <v>19850</v>
      </c>
      <c r="AV355" s="6" t="s">
        <v>104</v>
      </c>
      <c r="AW355" s="6" t="s">
        <v>104</v>
      </c>
      <c r="AX355" s="6" t="s">
        <v>20398</v>
      </c>
      <c r="AY355" s="6" t="s">
        <v>22149</v>
      </c>
      <c r="AZ355" s="6" t="s">
        <v>23785</v>
      </c>
      <c r="BA355" s="6" t="s">
        <v>104</v>
      </c>
      <c r="BB355" s="6" t="s">
        <v>104</v>
      </c>
      <c r="BC355" s="26"/>
      <c r="BD355" s="26"/>
      <c r="BE355" s="26"/>
      <c r="BF355" s="26"/>
      <c r="BG355" s="26"/>
      <c r="BH355" s="26"/>
      <c r="BI355" s="26"/>
      <c r="BJ355" s="26"/>
      <c r="BK355" s="26"/>
      <c r="BL355" s="26"/>
      <c r="BM355" s="26"/>
      <c r="BN355" s="26"/>
      <c r="BO355" s="26"/>
      <c r="BP355" s="16" t="n">
        <v>45737</v>
      </c>
      <c r="BQ355" s="28" t="str">
        <f>HYPERLINK("https://organic.ams.usda.gov/Integrity/Certificate.aspx?cid=71&amp;nopid=5520318712")</f>
        <v>https://organic.ams.usda.gov/Integrity/Certificate.aspx?cid=71&amp;nopid=5520318712</v>
      </c>
    </row>
    <row r="356">
      <c r="A356" t="s">
        <v>3</v>
      </c>
      <c r="B356" s="6" t="s">
        <v>45</v>
      </c>
      <c r="C356" s="6" t="s">
        <v>111</v>
      </c>
      <c r="D356" s="6" t="s">
        <v>175</v>
      </c>
      <c r="E356" s="10" t="s">
        <v>554</v>
      </c>
      <c r="F356" s="6" t="s">
        <v>2809</v>
      </c>
      <c r="G356" s="6" t="s">
        <v>104</v>
      </c>
      <c r="H356" s="6" t="s">
        <v>5216</v>
      </c>
      <c r="I356" s="6" t="s">
        <v>7174</v>
      </c>
      <c r="J356" s="6" t="s">
        <v>8402</v>
      </c>
      <c r="K356" s="6" t="s">
        <v>9714</v>
      </c>
      <c r="L356" s="16" t="n">
        <v>43320</v>
      </c>
      <c r="M356" s="16" t="n">
        <v>46082</v>
      </c>
      <c r="N356" s="6" t="s">
        <v>104</v>
      </c>
      <c r="O356" s="21" t="s">
        <v>104</v>
      </c>
      <c r="P356" s="6" t="s">
        <v>104</v>
      </c>
      <c r="Q356" s="6" t="s">
        <v>104</v>
      </c>
      <c r="R356" s="6" t="s">
        <v>104</v>
      </c>
      <c r="S356" s="6" t="s">
        <v>104</v>
      </c>
      <c r="T356" s="21" t="s">
        <v>104</v>
      </c>
      <c r="U356" s="6" t="s">
        <v>104</v>
      </c>
      <c r="V356" s="6" t="s">
        <v>104</v>
      </c>
      <c r="W356" s="6" t="s">
        <v>104</v>
      </c>
      <c r="X356" s="6" t="s">
        <v>104</v>
      </c>
      <c r="Y356" s="21" t="s">
        <v>104</v>
      </c>
      <c r="Z356" s="6" t="s">
        <v>104</v>
      </c>
      <c r="AA356" s="6" t="s">
        <v>104</v>
      </c>
      <c r="AB356" s="6" t="s">
        <v>104</v>
      </c>
      <c r="AC356" s="6" t="s">
        <v>9714</v>
      </c>
      <c r="AD356" s="16" t="n">
        <v>43320</v>
      </c>
      <c r="AE356" s="6" t="s">
        <v>10838</v>
      </c>
      <c r="AF356" s="6" t="s">
        <v>104</v>
      </c>
      <c r="AG356" s="6" t="s">
        <v>4667</v>
      </c>
      <c r="AH356" s="6" t="s">
        <v>13473</v>
      </c>
      <c r="AI356" s="6" t="s">
        <v>104</v>
      </c>
      <c r="AJ356" s="6" t="s">
        <v>15362</v>
      </c>
      <c r="AK356" s="6" t="s">
        <v>16687</v>
      </c>
      <c r="AL356" s="6" t="s">
        <v>16931</v>
      </c>
      <c r="AM356" s="6" t="s">
        <v>17156</v>
      </c>
      <c r="AN356" s="6" t="s">
        <v>104</v>
      </c>
      <c r="AO356" s="6" t="s">
        <v>104</v>
      </c>
      <c r="AP356" s="6" t="s">
        <v>19049</v>
      </c>
      <c r="AQ356" s="6" t="s">
        <v>104</v>
      </c>
      <c r="AR356" s="6" t="s">
        <v>15362</v>
      </c>
      <c r="AS356" s="6" t="s">
        <v>16687</v>
      </c>
      <c r="AT356" s="6" t="s">
        <v>16931</v>
      </c>
      <c r="AU356" s="6" t="s">
        <v>17156</v>
      </c>
      <c r="AV356" s="6" t="s">
        <v>18476</v>
      </c>
      <c r="AW356" s="6" t="s">
        <v>18585</v>
      </c>
      <c r="AX356" s="6" t="s">
        <v>20399</v>
      </c>
      <c r="AY356" s="6" t="s">
        <v>22150</v>
      </c>
      <c r="AZ356" s="6" t="s">
        <v>104</v>
      </c>
      <c r="BA356" s="6" t="s">
        <v>104</v>
      </c>
      <c r="BB356" s="6" t="s">
        <v>104</v>
      </c>
      <c r="BC356" s="26"/>
      <c r="BD356" s="26"/>
      <c r="BE356" s="26" t="s">
        <v>24533</v>
      </c>
      <c r="BF356" s="26"/>
      <c r="BG356" s="26"/>
      <c r="BH356" s="26"/>
      <c r="BI356" s="26"/>
      <c r="BJ356" s="26"/>
      <c r="BK356" s="26"/>
      <c r="BL356" s="26"/>
      <c r="BM356" s="26"/>
      <c r="BN356" s="26"/>
      <c r="BO356" s="26"/>
      <c r="BP356" s="16" t="n">
        <v>45739</v>
      </c>
      <c r="BQ356" s="28" t="str">
        <f>HYPERLINK("https://organic.ams.usda.gov/Integrity/Certificate.aspx?cid=82&amp;nopid=2780003438")</f>
        <v>https://organic.ams.usda.gov/Integrity/Certificate.aspx?cid=82&amp;nopid=2780003438</v>
      </c>
    </row>
    <row r="357">
      <c r="A357" t="s">
        <v>3</v>
      </c>
      <c r="B357" s="6" t="s">
        <v>54</v>
      </c>
      <c r="C357" s="6" t="s">
        <v>120</v>
      </c>
      <c r="D357" s="6" t="s">
        <v>184</v>
      </c>
      <c r="E357" s="10" t="s">
        <v>555</v>
      </c>
      <c r="F357" s="6" t="s">
        <v>2810</v>
      </c>
      <c r="G357" s="6" t="s">
        <v>104</v>
      </c>
      <c r="H357" s="6" t="s">
        <v>5217</v>
      </c>
      <c r="I357" s="6" t="s">
        <v>7175</v>
      </c>
      <c r="J357" s="6" t="s">
        <v>8403</v>
      </c>
      <c r="K357" s="6" t="s">
        <v>9714</v>
      </c>
      <c r="L357" s="16" t="n">
        <v>40126</v>
      </c>
      <c r="M357" s="16" t="n">
        <v>45717</v>
      </c>
      <c r="N357" s="6" t="s">
        <v>9714</v>
      </c>
      <c r="O357" s="16" t="n">
        <v>40126</v>
      </c>
      <c r="P357" s="6" t="s">
        <v>9828</v>
      </c>
      <c r="Q357" s="6" t="s">
        <v>104</v>
      </c>
      <c r="R357" s="6" t="s">
        <v>104</v>
      </c>
      <c r="S357" s="6" t="s">
        <v>104</v>
      </c>
      <c r="T357" s="21" t="s">
        <v>104</v>
      </c>
      <c r="U357" s="6" t="s">
        <v>104</v>
      </c>
      <c r="V357" s="6" t="s">
        <v>104</v>
      </c>
      <c r="W357" s="6" t="s">
        <v>104</v>
      </c>
      <c r="X357" s="6" t="s">
        <v>104</v>
      </c>
      <c r="Y357" s="21" t="s">
        <v>104</v>
      </c>
      <c r="Z357" s="6" t="s">
        <v>104</v>
      </c>
      <c r="AA357" s="6" t="s">
        <v>104</v>
      </c>
      <c r="AB357" s="6" t="s">
        <v>104</v>
      </c>
      <c r="AC357" s="6" t="s">
        <v>104</v>
      </c>
      <c r="AD357" s="21" t="s">
        <v>104</v>
      </c>
      <c r="AE357" s="6" t="s">
        <v>104</v>
      </c>
      <c r="AF357" s="6" t="s">
        <v>104</v>
      </c>
      <c r="AG357" s="6" t="s">
        <v>104</v>
      </c>
      <c r="AH357" s="6" t="s">
        <v>13474</v>
      </c>
      <c r="AI357" s="6" t="s">
        <v>104</v>
      </c>
      <c r="AJ357" s="6" t="s">
        <v>15610</v>
      </c>
      <c r="AK357" s="6" t="s">
        <v>16743</v>
      </c>
      <c r="AL357" s="6" t="s">
        <v>16931</v>
      </c>
      <c r="AM357" s="6" t="s">
        <v>17229</v>
      </c>
      <c r="AN357" s="6" t="s">
        <v>17469</v>
      </c>
      <c r="AO357" s="6" t="s">
        <v>18645</v>
      </c>
      <c r="AP357" s="6" t="s">
        <v>19050</v>
      </c>
      <c r="AQ357" s="6" t="s">
        <v>104</v>
      </c>
      <c r="AR357" s="6" t="s">
        <v>15971</v>
      </c>
      <c r="AS357" s="6" t="s">
        <v>16743</v>
      </c>
      <c r="AT357" s="6" t="s">
        <v>16931</v>
      </c>
      <c r="AU357" s="6" t="s">
        <v>19851</v>
      </c>
      <c r="AV357" s="6" t="s">
        <v>104</v>
      </c>
      <c r="AW357" s="6" t="s">
        <v>104</v>
      </c>
      <c r="AX357" s="6" t="s">
        <v>104</v>
      </c>
      <c r="AY357" s="6" t="s">
        <v>22151</v>
      </c>
      <c r="AZ357" s="6" t="s">
        <v>104</v>
      </c>
      <c r="BA357" s="6" t="s">
        <v>24267</v>
      </c>
      <c r="BB357" s="24" t="n">
        <v>569</v>
      </c>
      <c r="BC357" s="26"/>
      <c r="BD357" s="26"/>
      <c r="BE357" s="26"/>
      <c r="BF357" s="26"/>
      <c r="BG357" s="26"/>
      <c r="BH357" s="26"/>
      <c r="BI357" s="26"/>
      <c r="BJ357" s="26"/>
      <c r="BK357" s="26"/>
      <c r="BL357" s="26"/>
      <c r="BM357" s="26"/>
      <c r="BN357" s="26" t="s">
        <v>24533</v>
      </c>
      <c r="BO357" s="26"/>
      <c r="BP357" s="16" t="n">
        <v>45616</v>
      </c>
      <c r="BQ357" s="28" t="str">
        <f>HYPERLINK("https://organic.ams.usda.gov/Integrity/Certificate.aspx?cid=60&amp;nopid=2580000283")</f>
        <v>https://organic.ams.usda.gov/Integrity/Certificate.aspx?cid=60&amp;nopid=2580000283</v>
      </c>
    </row>
    <row r="358">
      <c r="A358" t="s">
        <v>3</v>
      </c>
      <c r="B358" s="6" t="s">
        <v>19</v>
      </c>
      <c r="C358" s="6" t="s">
        <v>85</v>
      </c>
      <c r="D358" s="6" t="s">
        <v>150</v>
      </c>
      <c r="E358" s="10" t="s">
        <v>556</v>
      </c>
      <c r="F358" s="6" t="s">
        <v>2811</v>
      </c>
      <c r="G358" s="6" t="s">
        <v>104</v>
      </c>
      <c r="H358" s="6" t="s">
        <v>5218</v>
      </c>
      <c r="I358" s="6" t="s">
        <v>7176</v>
      </c>
      <c r="J358" s="6" t="s">
        <v>8404</v>
      </c>
      <c r="K358" s="6" t="s">
        <v>9714</v>
      </c>
      <c r="L358" s="16" t="n">
        <v>45555</v>
      </c>
      <c r="M358" s="16" t="n">
        <v>45717</v>
      </c>
      <c r="N358" s="6" t="s">
        <v>104</v>
      </c>
      <c r="O358" s="21" t="s">
        <v>104</v>
      </c>
      <c r="P358" s="6" t="s">
        <v>104</v>
      </c>
      <c r="Q358" s="6" t="s">
        <v>104</v>
      </c>
      <c r="R358" s="6" t="s">
        <v>104</v>
      </c>
      <c r="S358" s="6" t="s">
        <v>104</v>
      </c>
      <c r="T358" s="21" t="s">
        <v>104</v>
      </c>
      <c r="U358" s="6" t="s">
        <v>104</v>
      </c>
      <c r="V358" s="6" t="s">
        <v>104</v>
      </c>
      <c r="W358" s="6" t="s">
        <v>104</v>
      </c>
      <c r="X358" s="6" t="s">
        <v>104</v>
      </c>
      <c r="Y358" s="21" t="s">
        <v>104</v>
      </c>
      <c r="Z358" s="6" t="s">
        <v>104</v>
      </c>
      <c r="AA358" s="6" t="s">
        <v>104</v>
      </c>
      <c r="AB358" s="6" t="s">
        <v>104</v>
      </c>
      <c r="AC358" s="6" t="s">
        <v>9714</v>
      </c>
      <c r="AD358" s="16" t="n">
        <v>45555</v>
      </c>
      <c r="AE358" s="6" t="s">
        <v>10839</v>
      </c>
      <c r="AF358" s="6" t="s">
        <v>104</v>
      </c>
      <c r="AG358" s="6" t="s">
        <v>104</v>
      </c>
      <c r="AH358" s="6" t="s">
        <v>13475</v>
      </c>
      <c r="AI358" s="6" t="s">
        <v>104</v>
      </c>
      <c r="AJ358" s="6" t="s">
        <v>15580</v>
      </c>
      <c r="AK358" s="6" t="s">
        <v>16735</v>
      </c>
      <c r="AL358" s="6" t="s">
        <v>16931</v>
      </c>
      <c r="AM358" s="6" t="s">
        <v>17230</v>
      </c>
      <c r="AN358" s="6" t="s">
        <v>104</v>
      </c>
      <c r="AO358" s="6" t="s">
        <v>104</v>
      </c>
      <c r="AP358" s="6" t="s">
        <v>13475</v>
      </c>
      <c r="AQ358" s="6" t="s">
        <v>104</v>
      </c>
      <c r="AR358" s="6" t="s">
        <v>15580</v>
      </c>
      <c r="AS358" s="6" t="s">
        <v>16735</v>
      </c>
      <c r="AT358" s="6" t="s">
        <v>16931</v>
      </c>
      <c r="AU358" s="6" t="s">
        <v>17230</v>
      </c>
      <c r="AV358" s="6" t="s">
        <v>104</v>
      </c>
      <c r="AW358" s="6" t="s">
        <v>104</v>
      </c>
      <c r="AX358" s="6" t="s">
        <v>20400</v>
      </c>
      <c r="AY358" s="6" t="s">
        <v>22152</v>
      </c>
      <c r="AZ358" s="6" t="s">
        <v>23786</v>
      </c>
      <c r="BA358" s="6" t="s">
        <v>104</v>
      </c>
      <c r="BB358" s="6" t="s">
        <v>104</v>
      </c>
      <c r="BC358" s="26"/>
      <c r="BD358" s="26"/>
      <c r="BE358" s="26"/>
      <c r="BF358" s="26"/>
      <c r="BG358" s="26"/>
      <c r="BH358" s="26"/>
      <c r="BI358" s="26"/>
      <c r="BJ358" s="26"/>
      <c r="BK358" s="26"/>
      <c r="BL358" s="26"/>
      <c r="BM358" s="26"/>
      <c r="BN358" s="26"/>
      <c r="BO358" s="26"/>
      <c r="BP358" s="16" t="n">
        <v>45684</v>
      </c>
      <c r="BQ358" s="28" t="str">
        <f>HYPERLINK("https://organic.ams.usda.gov/Integrity/Certificate.aspx?cid=68&amp;nopid=8210009251")</f>
        <v>https://organic.ams.usda.gov/Integrity/Certificate.aspx?cid=68&amp;nopid=8210009251</v>
      </c>
    </row>
    <row r="359">
      <c r="A359" t="s">
        <v>3</v>
      </c>
      <c r="B359" s="6" t="s">
        <v>25</v>
      </c>
      <c r="C359" s="6" t="s">
        <v>91</v>
      </c>
      <c r="D359" s="6" t="s">
        <v>156</v>
      </c>
      <c r="E359" s="10" t="s">
        <v>557</v>
      </c>
      <c r="F359" s="6" t="s">
        <v>2812</v>
      </c>
      <c r="G359" s="6" t="s">
        <v>104</v>
      </c>
      <c r="H359" s="6" t="s">
        <v>5219</v>
      </c>
      <c r="I359" s="6" t="s">
        <v>7177</v>
      </c>
      <c r="J359" s="6" t="s">
        <v>8405</v>
      </c>
      <c r="K359" s="6" t="s">
        <v>9714</v>
      </c>
      <c r="L359" s="16" t="n">
        <v>42790</v>
      </c>
      <c r="M359" s="16" t="n">
        <v>45662</v>
      </c>
      <c r="N359" s="6" t="s">
        <v>104</v>
      </c>
      <c r="O359" s="21" t="s">
        <v>104</v>
      </c>
      <c r="P359" s="6" t="s">
        <v>104</v>
      </c>
      <c r="Q359" s="6" t="s">
        <v>104</v>
      </c>
      <c r="R359" s="6" t="s">
        <v>104</v>
      </c>
      <c r="S359" s="6" t="s">
        <v>104</v>
      </c>
      <c r="T359" s="21" t="s">
        <v>104</v>
      </c>
      <c r="U359" s="6" t="s">
        <v>104</v>
      </c>
      <c r="V359" s="6" t="s">
        <v>104</v>
      </c>
      <c r="W359" s="6" t="s">
        <v>104</v>
      </c>
      <c r="X359" s="6" t="s">
        <v>104</v>
      </c>
      <c r="Y359" s="21" t="s">
        <v>104</v>
      </c>
      <c r="Z359" s="6" t="s">
        <v>104</v>
      </c>
      <c r="AA359" s="6" t="s">
        <v>104</v>
      </c>
      <c r="AB359" s="6" t="s">
        <v>104</v>
      </c>
      <c r="AC359" s="6" t="s">
        <v>9714</v>
      </c>
      <c r="AD359" s="16" t="n">
        <v>42790</v>
      </c>
      <c r="AE359" s="6" t="s">
        <v>10840</v>
      </c>
      <c r="AF359" s="6" t="s">
        <v>104</v>
      </c>
      <c r="AG359" s="6" t="s">
        <v>104</v>
      </c>
      <c r="AH359" s="6" t="s">
        <v>13476</v>
      </c>
      <c r="AI359" s="6" t="s">
        <v>104</v>
      </c>
      <c r="AJ359" s="6" t="s">
        <v>15611</v>
      </c>
      <c r="AK359" s="6" t="s">
        <v>16758</v>
      </c>
      <c r="AL359" s="6" t="s">
        <v>16935</v>
      </c>
      <c r="AM359" s="6" t="s">
        <v>17231</v>
      </c>
      <c r="AN359" s="6" t="s">
        <v>104</v>
      </c>
      <c r="AO359" s="6" t="s">
        <v>104</v>
      </c>
      <c r="AP359" s="6" t="s">
        <v>19051</v>
      </c>
      <c r="AQ359" s="6" t="s">
        <v>104</v>
      </c>
      <c r="AR359" s="6" t="s">
        <v>15611</v>
      </c>
      <c r="AS359" s="6" t="s">
        <v>16758</v>
      </c>
      <c r="AT359" s="6" t="s">
        <v>16935</v>
      </c>
      <c r="AU359" s="6" t="s">
        <v>17231</v>
      </c>
      <c r="AV359" s="6" t="s">
        <v>104</v>
      </c>
      <c r="AW359" s="6" t="s">
        <v>104</v>
      </c>
      <c r="AX359" s="6" t="s">
        <v>20401</v>
      </c>
      <c r="AY359" s="6" t="s">
        <v>22153</v>
      </c>
      <c r="AZ359" s="6" t="s">
        <v>104</v>
      </c>
      <c r="BA359" s="6" t="s">
        <v>24264</v>
      </c>
      <c r="BB359" s="6" t="s">
        <v>104</v>
      </c>
      <c r="BC359" s="26"/>
      <c r="BD359" s="26"/>
      <c r="BE359" s="26"/>
      <c r="BF359" s="26"/>
      <c r="BG359" s="26"/>
      <c r="BH359" s="26"/>
      <c r="BI359" s="26"/>
      <c r="BJ359" s="26"/>
      <c r="BK359" s="26"/>
      <c r="BL359" s="26"/>
      <c r="BM359" s="26"/>
      <c r="BN359" s="26"/>
      <c r="BO359" s="26"/>
      <c r="BP359" s="16" t="n">
        <v>45539</v>
      </c>
      <c r="BQ359" s="28" t="str">
        <f>HYPERLINK("https://organic.ams.usda.gov/Integrity/Certificate.aspx?cid=66&amp;nopid=5500005332")</f>
        <v>https://organic.ams.usda.gov/Integrity/Certificate.aspx?cid=66&amp;nopid=5500005332</v>
      </c>
    </row>
    <row r="360">
      <c r="A360" t="s">
        <v>3</v>
      </c>
      <c r="B360" s="6" t="s">
        <v>12</v>
      </c>
      <c r="C360" s="6" t="s">
        <v>78</v>
      </c>
      <c r="D360" s="6" t="s">
        <v>143</v>
      </c>
      <c r="E360" s="10" t="s">
        <v>558</v>
      </c>
      <c r="F360" s="6" t="s">
        <v>2813</v>
      </c>
      <c r="G360" s="6" t="s">
        <v>104</v>
      </c>
      <c r="H360" s="6" t="s">
        <v>104</v>
      </c>
      <c r="I360" s="6" t="s">
        <v>7178</v>
      </c>
      <c r="J360" s="6" t="s">
        <v>8406</v>
      </c>
      <c r="K360" s="6" t="s">
        <v>9714</v>
      </c>
      <c r="L360" s="16" t="n">
        <v>44664</v>
      </c>
      <c r="M360" s="16" t="n">
        <v>45901</v>
      </c>
      <c r="N360" s="6" t="s">
        <v>104</v>
      </c>
      <c r="O360" s="21" t="s">
        <v>104</v>
      </c>
      <c r="P360" s="6" t="s">
        <v>104</v>
      </c>
      <c r="Q360" s="6" t="s">
        <v>104</v>
      </c>
      <c r="R360" s="6" t="s">
        <v>104</v>
      </c>
      <c r="S360" s="6" t="s">
        <v>104</v>
      </c>
      <c r="T360" s="21" t="s">
        <v>104</v>
      </c>
      <c r="U360" s="6" t="s">
        <v>104</v>
      </c>
      <c r="V360" s="6" t="s">
        <v>104</v>
      </c>
      <c r="W360" s="6" t="s">
        <v>104</v>
      </c>
      <c r="X360" s="6" t="s">
        <v>104</v>
      </c>
      <c r="Y360" s="21" t="s">
        <v>104</v>
      </c>
      <c r="Z360" s="6" t="s">
        <v>104</v>
      </c>
      <c r="AA360" s="6" t="s">
        <v>104</v>
      </c>
      <c r="AB360" s="6" t="s">
        <v>104</v>
      </c>
      <c r="AC360" s="6" t="s">
        <v>9714</v>
      </c>
      <c r="AD360" s="16" t="n">
        <v>44664</v>
      </c>
      <c r="AE360" s="6" t="s">
        <v>10841</v>
      </c>
      <c r="AF360" s="6" t="s">
        <v>104</v>
      </c>
      <c r="AG360" s="6" t="s">
        <v>12579</v>
      </c>
      <c r="AH360" s="6" t="s">
        <v>13477</v>
      </c>
      <c r="AI360" s="6" t="s">
        <v>104</v>
      </c>
      <c r="AJ360" s="6" t="s">
        <v>15612</v>
      </c>
      <c r="AK360" s="6" t="s">
        <v>16759</v>
      </c>
      <c r="AL360" s="6" t="s">
        <v>16931</v>
      </c>
      <c r="AM360" s="6" t="s">
        <v>17232</v>
      </c>
      <c r="AN360" s="6" t="s">
        <v>18505</v>
      </c>
      <c r="AO360" s="6" t="s">
        <v>18603</v>
      </c>
      <c r="AP360" s="6" t="s">
        <v>13477</v>
      </c>
      <c r="AQ360" s="6" t="s">
        <v>104</v>
      </c>
      <c r="AR360" s="6" t="s">
        <v>15612</v>
      </c>
      <c r="AS360" s="6" t="s">
        <v>16759</v>
      </c>
      <c r="AT360" s="6" t="s">
        <v>16931</v>
      </c>
      <c r="AU360" s="6" t="s">
        <v>17232</v>
      </c>
      <c r="AV360" s="6" t="s">
        <v>104</v>
      </c>
      <c r="AW360" s="6" t="s">
        <v>104</v>
      </c>
      <c r="AX360" s="6" t="s">
        <v>104</v>
      </c>
      <c r="AY360" s="6" t="s">
        <v>22154</v>
      </c>
      <c r="AZ360" s="6" t="s">
        <v>104</v>
      </c>
      <c r="BA360" s="6" t="s">
        <v>104</v>
      </c>
      <c r="BB360" s="6" t="s">
        <v>104</v>
      </c>
      <c r="BC360" s="26"/>
      <c r="BD360" s="26"/>
      <c r="BE360" s="26"/>
      <c r="BF360" s="26"/>
      <c r="BG360" s="26"/>
      <c r="BH360" s="26"/>
      <c r="BI360" s="26"/>
      <c r="BJ360" s="26"/>
      <c r="BK360" s="26"/>
      <c r="BL360" s="26"/>
      <c r="BM360" s="26"/>
      <c r="BN360" s="26"/>
      <c r="BO360" s="26"/>
      <c r="BP360" s="16" t="n">
        <v>45628</v>
      </c>
      <c r="BQ360" s="28" t="str">
        <f>HYPERLINK("https://organic.ams.usda.gov/Integrity/Certificate.aspx?cid=1&amp;nopid=9092201906")</f>
        <v>https://organic.ams.usda.gov/Integrity/Certificate.aspx?cid=1&amp;nopid=9092201906</v>
      </c>
    </row>
    <row r="361">
      <c r="A361" t="s">
        <v>3</v>
      </c>
      <c r="B361" s="6" t="s">
        <v>29</v>
      </c>
      <c r="C361" s="6" t="s">
        <v>95</v>
      </c>
      <c r="D361" s="6" t="s">
        <v>160</v>
      </c>
      <c r="E361" s="10" t="s">
        <v>559</v>
      </c>
      <c r="F361" s="6" t="s">
        <v>2814</v>
      </c>
      <c r="G361" s="6" t="s">
        <v>104</v>
      </c>
      <c r="H361" s="6" t="s">
        <v>5220</v>
      </c>
      <c r="I361" s="6" t="s">
        <v>104</v>
      </c>
      <c r="J361" s="6" t="s">
        <v>8407</v>
      </c>
      <c r="K361" s="6" t="s">
        <v>9714</v>
      </c>
      <c r="L361" s="16" t="n">
        <v>44846</v>
      </c>
      <c r="M361" s="16" t="n">
        <v>45778</v>
      </c>
      <c r="N361" s="6" t="s">
        <v>9714</v>
      </c>
      <c r="O361" s="16" t="n">
        <v>44846</v>
      </c>
      <c r="P361" s="6" t="s">
        <v>9829</v>
      </c>
      <c r="Q361" s="6" t="s">
        <v>104</v>
      </c>
      <c r="R361" s="6" t="s">
        <v>104</v>
      </c>
      <c r="S361" s="6" t="s">
        <v>104</v>
      </c>
      <c r="T361" s="21" t="s">
        <v>104</v>
      </c>
      <c r="U361" s="6" t="s">
        <v>104</v>
      </c>
      <c r="V361" s="6" t="s">
        <v>104</v>
      </c>
      <c r="W361" s="6" t="s">
        <v>104</v>
      </c>
      <c r="X361" s="6" t="s">
        <v>104</v>
      </c>
      <c r="Y361" s="21" t="s">
        <v>104</v>
      </c>
      <c r="Z361" s="6" t="s">
        <v>104</v>
      </c>
      <c r="AA361" s="6" t="s">
        <v>104</v>
      </c>
      <c r="AB361" s="6" t="s">
        <v>104</v>
      </c>
      <c r="AC361" s="6" t="s">
        <v>9714</v>
      </c>
      <c r="AD361" s="16" t="n">
        <v>44846</v>
      </c>
      <c r="AE361" s="6" t="s">
        <v>10842</v>
      </c>
      <c r="AF361" s="6" t="s">
        <v>104</v>
      </c>
      <c r="AG361" s="6" t="s">
        <v>104</v>
      </c>
      <c r="AH361" s="6" t="s">
        <v>13478</v>
      </c>
      <c r="AI361" s="6" t="s">
        <v>15243</v>
      </c>
      <c r="AJ361" s="6" t="s">
        <v>15613</v>
      </c>
      <c r="AK361" s="6" t="s">
        <v>16760</v>
      </c>
      <c r="AL361" s="6" t="s">
        <v>16960</v>
      </c>
      <c r="AM361" s="6" t="s">
        <v>17233</v>
      </c>
      <c r="AN361" s="6" t="s">
        <v>104</v>
      </c>
      <c r="AO361" s="6" t="s">
        <v>104</v>
      </c>
      <c r="AP361" s="6" t="s">
        <v>104</v>
      </c>
      <c r="AQ361" s="6" t="s">
        <v>104</v>
      </c>
      <c r="AR361" s="6" t="s">
        <v>104</v>
      </c>
      <c r="AS361" s="6" t="s">
        <v>104</v>
      </c>
      <c r="AT361" s="6" t="s">
        <v>104</v>
      </c>
      <c r="AU361" s="6" t="s">
        <v>104</v>
      </c>
      <c r="AV361" s="6" t="s">
        <v>104</v>
      </c>
      <c r="AW361" s="6" t="s">
        <v>104</v>
      </c>
      <c r="AX361" s="6" t="s">
        <v>20402</v>
      </c>
      <c r="AY361" s="6" t="s">
        <v>22155</v>
      </c>
      <c r="AZ361" s="6" t="s">
        <v>23787</v>
      </c>
      <c r="BA361" s="6" t="s">
        <v>24269</v>
      </c>
      <c r="BB361" s="24" t="n">
        <v>578</v>
      </c>
      <c r="BC361" s="26"/>
      <c r="BD361" s="26"/>
      <c r="BE361" s="26"/>
      <c r="BF361" s="26"/>
      <c r="BG361" s="26"/>
      <c r="BH361" s="26"/>
      <c r="BI361" s="26"/>
      <c r="BJ361" s="26"/>
      <c r="BK361" s="26"/>
      <c r="BL361" s="26"/>
      <c r="BM361" s="26"/>
      <c r="BN361" s="26"/>
      <c r="BO361" s="26"/>
      <c r="BP361" s="16" t="n">
        <v>45680</v>
      </c>
      <c r="BQ361" s="28" t="str">
        <f>HYPERLINK("https://organic.ams.usda.gov/Integrity/Certificate.aspx?cid=24&amp;nopid=7880266980")</f>
        <v>https://organic.ams.usda.gov/Integrity/Certificate.aspx?cid=24&amp;nopid=7880266980</v>
      </c>
    </row>
    <row r="362">
      <c r="A362" t="s">
        <v>3</v>
      </c>
      <c r="B362" s="6" t="s">
        <v>13</v>
      </c>
      <c r="C362" s="6" t="s">
        <v>79</v>
      </c>
      <c r="D362" s="6" t="s">
        <v>144</v>
      </c>
      <c r="E362" s="10" t="s">
        <v>560</v>
      </c>
      <c r="F362" s="6" t="s">
        <v>2815</v>
      </c>
      <c r="G362" s="6" t="s">
        <v>104</v>
      </c>
      <c r="H362" s="6" t="s">
        <v>5221</v>
      </c>
      <c r="I362" s="6" t="s">
        <v>7179</v>
      </c>
      <c r="J362" s="6" t="s">
        <v>8408</v>
      </c>
      <c r="K362" s="6" t="s">
        <v>9714</v>
      </c>
      <c r="L362" s="16" t="n">
        <v>43810</v>
      </c>
      <c r="M362" s="16" t="n">
        <v>46023</v>
      </c>
      <c r="N362" s="6" t="s">
        <v>104</v>
      </c>
      <c r="O362" s="21" t="s">
        <v>104</v>
      </c>
      <c r="P362" s="6" t="s">
        <v>104</v>
      </c>
      <c r="Q362" s="6" t="s">
        <v>104</v>
      </c>
      <c r="R362" s="6" t="s">
        <v>104</v>
      </c>
      <c r="S362" s="6" t="s">
        <v>104</v>
      </c>
      <c r="T362" s="21" t="s">
        <v>104</v>
      </c>
      <c r="U362" s="6" t="s">
        <v>104</v>
      </c>
      <c r="V362" s="6" t="s">
        <v>104</v>
      </c>
      <c r="W362" s="6" t="s">
        <v>104</v>
      </c>
      <c r="X362" s="6" t="s">
        <v>104</v>
      </c>
      <c r="Y362" s="21" t="s">
        <v>104</v>
      </c>
      <c r="Z362" s="6" t="s">
        <v>104</v>
      </c>
      <c r="AA362" s="6" t="s">
        <v>104</v>
      </c>
      <c r="AB362" s="6" t="s">
        <v>104</v>
      </c>
      <c r="AC362" s="6" t="s">
        <v>9714</v>
      </c>
      <c r="AD362" s="16" t="n">
        <v>43810</v>
      </c>
      <c r="AE362" s="6" t="s">
        <v>10843</v>
      </c>
      <c r="AF362" s="6" t="s">
        <v>104</v>
      </c>
      <c r="AG362" s="6" t="s">
        <v>104</v>
      </c>
      <c r="AH362" s="6" t="s">
        <v>104</v>
      </c>
      <c r="AI362" s="6" t="s">
        <v>104</v>
      </c>
      <c r="AJ362" s="6" t="s">
        <v>104</v>
      </c>
      <c r="AK362" s="6" t="s">
        <v>104</v>
      </c>
      <c r="AL362" s="6" t="s">
        <v>104</v>
      </c>
      <c r="AM362" s="6" t="s">
        <v>104</v>
      </c>
      <c r="AN362" s="6" t="s">
        <v>104</v>
      </c>
      <c r="AO362" s="6" t="s">
        <v>104</v>
      </c>
      <c r="AP362" s="6" t="s">
        <v>19052</v>
      </c>
      <c r="AQ362" s="6" t="s">
        <v>104</v>
      </c>
      <c r="AR362" s="6" t="s">
        <v>16653</v>
      </c>
      <c r="AS362" s="6" t="s">
        <v>16687</v>
      </c>
      <c r="AT362" s="6" t="s">
        <v>16931</v>
      </c>
      <c r="AU362" s="6" t="s">
        <v>19852</v>
      </c>
      <c r="AV362" s="6" t="s">
        <v>5429</v>
      </c>
      <c r="AW362" s="6" t="s">
        <v>18632</v>
      </c>
      <c r="AX362" s="6" t="s">
        <v>20403</v>
      </c>
      <c r="AY362" s="6" t="s">
        <v>22156</v>
      </c>
      <c r="AZ362" s="6" t="s">
        <v>104</v>
      </c>
      <c r="BA362" s="6" t="s">
        <v>104</v>
      </c>
      <c r="BB362" s="6" t="s">
        <v>104</v>
      </c>
      <c r="BC362" s="26" t="s">
        <v>24533</v>
      </c>
      <c r="BD362" s="26"/>
      <c r="BE362" s="26"/>
      <c r="BF362" s="26"/>
      <c r="BG362" s="26"/>
      <c r="BH362" s="26" t="s">
        <v>24533</v>
      </c>
      <c r="BI362" s="26"/>
      <c r="BJ362" s="26"/>
      <c r="BK362" s="26"/>
      <c r="BL362" s="26" t="s">
        <v>24533</v>
      </c>
      <c r="BM362" s="26"/>
      <c r="BN362" s="26" t="s">
        <v>24533</v>
      </c>
      <c r="BO362" s="26"/>
      <c r="BP362" s="16" t="n">
        <v>45737</v>
      </c>
      <c r="BQ362" s="28" t="str">
        <f>HYPERLINK("https://organic.ams.usda.gov/Integrity/Certificate.aspx?cid=62&amp;nopid=8150000733")</f>
        <v>https://organic.ams.usda.gov/Integrity/Certificate.aspx?cid=62&amp;nopid=8150000733</v>
      </c>
    </row>
    <row r="363">
      <c r="A363" t="s">
        <v>3</v>
      </c>
      <c r="B363" s="6" t="s">
        <v>13</v>
      </c>
      <c r="C363" s="6" t="s">
        <v>79</v>
      </c>
      <c r="D363" s="6" t="s">
        <v>144</v>
      </c>
      <c r="E363" s="10" t="s">
        <v>561</v>
      </c>
      <c r="F363" s="6" t="s">
        <v>2816</v>
      </c>
      <c r="G363" s="6" t="s">
        <v>104</v>
      </c>
      <c r="H363" s="6" t="s">
        <v>5222</v>
      </c>
      <c r="I363" s="6" t="s">
        <v>7180</v>
      </c>
      <c r="J363" s="6" t="s">
        <v>8409</v>
      </c>
      <c r="K363" s="6" t="s">
        <v>9714</v>
      </c>
      <c r="L363" s="16" t="n">
        <v>42303</v>
      </c>
      <c r="M363" s="16" t="n">
        <v>45748</v>
      </c>
      <c r="N363" s="6" t="s">
        <v>104</v>
      </c>
      <c r="O363" s="21" t="s">
        <v>104</v>
      </c>
      <c r="P363" s="6" t="s">
        <v>104</v>
      </c>
      <c r="Q363" s="6" t="s">
        <v>104</v>
      </c>
      <c r="R363" s="6" t="s">
        <v>104</v>
      </c>
      <c r="S363" s="6" t="s">
        <v>104</v>
      </c>
      <c r="T363" s="21" t="s">
        <v>104</v>
      </c>
      <c r="U363" s="6" t="s">
        <v>104</v>
      </c>
      <c r="V363" s="6" t="s">
        <v>104</v>
      </c>
      <c r="W363" s="6" t="s">
        <v>104</v>
      </c>
      <c r="X363" s="6" t="s">
        <v>104</v>
      </c>
      <c r="Y363" s="21" t="s">
        <v>104</v>
      </c>
      <c r="Z363" s="6" t="s">
        <v>104</v>
      </c>
      <c r="AA363" s="6" t="s">
        <v>104</v>
      </c>
      <c r="AB363" s="6" t="s">
        <v>104</v>
      </c>
      <c r="AC363" s="6" t="s">
        <v>9714</v>
      </c>
      <c r="AD363" s="16" t="n">
        <v>42303</v>
      </c>
      <c r="AE363" s="6" t="s">
        <v>10844</v>
      </c>
      <c r="AF363" s="6" t="s">
        <v>104</v>
      </c>
      <c r="AG363" s="6" t="s">
        <v>104</v>
      </c>
      <c r="AH363" s="6" t="s">
        <v>104</v>
      </c>
      <c r="AI363" s="6" t="s">
        <v>104</v>
      </c>
      <c r="AJ363" s="6" t="s">
        <v>104</v>
      </c>
      <c r="AK363" s="6" t="s">
        <v>104</v>
      </c>
      <c r="AL363" s="6" t="s">
        <v>104</v>
      </c>
      <c r="AM363" s="6" t="s">
        <v>104</v>
      </c>
      <c r="AN363" s="6" t="s">
        <v>104</v>
      </c>
      <c r="AO363" s="6" t="s">
        <v>104</v>
      </c>
      <c r="AP363" s="6" t="s">
        <v>19053</v>
      </c>
      <c r="AQ363" s="6" t="s">
        <v>104</v>
      </c>
      <c r="AR363" s="6" t="s">
        <v>19625</v>
      </c>
      <c r="AS363" s="6" t="s">
        <v>16382</v>
      </c>
      <c r="AT363" s="6" t="s">
        <v>16931</v>
      </c>
      <c r="AU363" s="6" t="s">
        <v>19853</v>
      </c>
      <c r="AV363" s="6" t="s">
        <v>5640</v>
      </c>
      <c r="AW363" s="6" t="s">
        <v>18901</v>
      </c>
      <c r="AX363" s="6" t="s">
        <v>20404</v>
      </c>
      <c r="AY363" s="6" t="s">
        <v>22157</v>
      </c>
      <c r="AZ363" s="6" t="s">
        <v>104</v>
      </c>
      <c r="BA363" s="6" t="s">
        <v>104</v>
      </c>
      <c r="BB363" s="6" t="s">
        <v>104</v>
      </c>
      <c r="BC363" s="26"/>
      <c r="BD363" s="26"/>
      <c r="BE363" s="26"/>
      <c r="BF363" s="26"/>
      <c r="BG363" s="26"/>
      <c r="BH363" s="26"/>
      <c r="BI363" s="26"/>
      <c r="BJ363" s="26"/>
      <c r="BK363" s="26"/>
      <c r="BL363" s="26"/>
      <c r="BM363" s="26"/>
      <c r="BN363" s="26"/>
      <c r="BO363" s="26"/>
      <c r="BP363" s="16" t="n">
        <v>45686</v>
      </c>
      <c r="BQ363" s="28" t="str">
        <f>HYPERLINK("https://organic.ams.usda.gov/Integrity/Certificate.aspx?cid=62&amp;nopid=8150001179")</f>
        <v>https://organic.ams.usda.gov/Integrity/Certificate.aspx?cid=62&amp;nopid=8150001179</v>
      </c>
    </row>
    <row r="364">
      <c r="A364" t="s">
        <v>3</v>
      </c>
      <c r="B364" s="6" t="s">
        <v>23</v>
      </c>
      <c r="C364" s="6" t="s">
        <v>89</v>
      </c>
      <c r="D364" s="6" t="s">
        <v>154</v>
      </c>
      <c r="E364" s="10" t="s">
        <v>562</v>
      </c>
      <c r="F364" s="6" t="s">
        <v>2817</v>
      </c>
      <c r="G364" s="6" t="s">
        <v>104</v>
      </c>
      <c r="H364" s="6" t="s">
        <v>5223</v>
      </c>
      <c r="I364" s="6" t="s">
        <v>7181</v>
      </c>
      <c r="J364" s="6" t="s">
        <v>8355</v>
      </c>
      <c r="K364" s="6" t="s">
        <v>9714</v>
      </c>
      <c r="L364" s="16" t="n">
        <v>37194</v>
      </c>
      <c r="M364" s="16" t="n">
        <v>45748</v>
      </c>
      <c r="N364" s="6" t="s">
        <v>104</v>
      </c>
      <c r="O364" s="21" t="s">
        <v>104</v>
      </c>
      <c r="P364" s="6" t="s">
        <v>104</v>
      </c>
      <c r="Q364" s="6" t="s">
        <v>104</v>
      </c>
      <c r="R364" s="6" t="s">
        <v>104</v>
      </c>
      <c r="S364" s="6" t="s">
        <v>104</v>
      </c>
      <c r="T364" s="21" t="s">
        <v>104</v>
      </c>
      <c r="U364" s="6" t="s">
        <v>104</v>
      </c>
      <c r="V364" s="6" t="s">
        <v>104</v>
      </c>
      <c r="W364" s="6" t="s">
        <v>104</v>
      </c>
      <c r="X364" s="6" t="s">
        <v>104</v>
      </c>
      <c r="Y364" s="21" t="s">
        <v>104</v>
      </c>
      <c r="Z364" s="6" t="s">
        <v>104</v>
      </c>
      <c r="AA364" s="6" t="s">
        <v>104</v>
      </c>
      <c r="AB364" s="6" t="s">
        <v>104</v>
      </c>
      <c r="AC364" s="6" t="s">
        <v>9714</v>
      </c>
      <c r="AD364" s="16" t="n">
        <v>37194</v>
      </c>
      <c r="AE364" s="6" t="s">
        <v>10845</v>
      </c>
      <c r="AF364" s="6" t="s">
        <v>104</v>
      </c>
      <c r="AG364" s="6" t="s">
        <v>5223</v>
      </c>
      <c r="AH364" s="6" t="s">
        <v>13479</v>
      </c>
      <c r="AI364" s="6" t="s">
        <v>104</v>
      </c>
      <c r="AJ364" s="6" t="s">
        <v>15614</v>
      </c>
      <c r="AK364" s="6" t="s">
        <v>16714</v>
      </c>
      <c r="AL364" s="6" t="s">
        <v>16931</v>
      </c>
      <c r="AM364" s="6" t="s">
        <v>17234</v>
      </c>
      <c r="AN364" s="6" t="s">
        <v>18507</v>
      </c>
      <c r="AO364" s="6" t="s">
        <v>18646</v>
      </c>
      <c r="AP364" s="6" t="s">
        <v>104</v>
      </c>
      <c r="AQ364" s="6" t="s">
        <v>104</v>
      </c>
      <c r="AR364" s="6" t="s">
        <v>104</v>
      </c>
      <c r="AS364" s="6" t="s">
        <v>104</v>
      </c>
      <c r="AT364" s="6" t="s">
        <v>104</v>
      </c>
      <c r="AU364" s="6" t="s">
        <v>104</v>
      </c>
      <c r="AV364" s="6" t="s">
        <v>104</v>
      </c>
      <c r="AW364" s="6" t="s">
        <v>104</v>
      </c>
      <c r="AX364" s="6" t="s">
        <v>20405</v>
      </c>
      <c r="AY364" s="6" t="s">
        <v>22158</v>
      </c>
      <c r="AZ364" s="6" t="s">
        <v>23788</v>
      </c>
      <c r="BA364" s="6" t="s">
        <v>24261</v>
      </c>
      <c r="BB364" s="24" t="n">
        <v>0</v>
      </c>
      <c r="BC364" s="26"/>
      <c r="BD364" s="26"/>
      <c r="BE364" s="26"/>
      <c r="BF364" s="26"/>
      <c r="BG364" s="26"/>
      <c r="BH364" s="26"/>
      <c r="BI364" s="26"/>
      <c r="BJ364" s="26"/>
      <c r="BK364" s="26"/>
      <c r="BL364" s="26" t="s">
        <v>24533</v>
      </c>
      <c r="BM364" s="26"/>
      <c r="BN364" s="26" t="s">
        <v>24533</v>
      </c>
      <c r="BO364" s="26"/>
      <c r="BP364" s="16" t="n">
        <v>45645</v>
      </c>
      <c r="BQ364" s="28" t="str">
        <f>HYPERLINK("https://organic.ams.usda.gov/Integrity/Certificate.aspx?cid=45&amp;nopid=9950000812")</f>
        <v>https://organic.ams.usda.gov/Integrity/Certificate.aspx?cid=45&amp;nopid=9950000812</v>
      </c>
    </row>
    <row r="365">
      <c r="A365" t="s">
        <v>3</v>
      </c>
      <c r="B365" s="6" t="s">
        <v>36</v>
      </c>
      <c r="C365" s="6" t="s">
        <v>102</v>
      </c>
      <c r="D365" s="6" t="s">
        <v>167</v>
      </c>
      <c r="E365" s="10" t="s">
        <v>563</v>
      </c>
      <c r="F365" s="6" t="s">
        <v>2818</v>
      </c>
      <c r="G365" s="6" t="s">
        <v>4706</v>
      </c>
      <c r="H365" s="6" t="s">
        <v>5224</v>
      </c>
      <c r="I365" s="6" t="s">
        <v>7029</v>
      </c>
      <c r="J365" s="6" t="s">
        <v>8410</v>
      </c>
      <c r="K365" s="6" t="s">
        <v>9714</v>
      </c>
      <c r="L365" s="16" t="n">
        <v>42102</v>
      </c>
      <c r="M365" s="16" t="n">
        <v>45808</v>
      </c>
      <c r="N365" s="6" t="s">
        <v>9714</v>
      </c>
      <c r="O365" s="16" t="n">
        <v>42102</v>
      </c>
      <c r="P365" s="6" t="s">
        <v>9830</v>
      </c>
      <c r="Q365" s="6" t="s">
        <v>104</v>
      </c>
      <c r="R365" s="6" t="s">
        <v>104</v>
      </c>
      <c r="S365" s="6" t="s">
        <v>104</v>
      </c>
      <c r="T365" s="21" t="s">
        <v>104</v>
      </c>
      <c r="U365" s="6" t="s">
        <v>104</v>
      </c>
      <c r="V365" s="6" t="s">
        <v>104</v>
      </c>
      <c r="W365" s="6" t="s">
        <v>104</v>
      </c>
      <c r="X365" s="6" t="s">
        <v>104</v>
      </c>
      <c r="Y365" s="21" t="s">
        <v>104</v>
      </c>
      <c r="Z365" s="6" t="s">
        <v>104</v>
      </c>
      <c r="AA365" s="6" t="s">
        <v>104</v>
      </c>
      <c r="AB365" s="6" t="s">
        <v>104</v>
      </c>
      <c r="AC365" s="6" t="s">
        <v>104</v>
      </c>
      <c r="AD365" s="21" t="s">
        <v>104</v>
      </c>
      <c r="AE365" s="6" t="s">
        <v>104</v>
      </c>
      <c r="AF365" s="6" t="s">
        <v>104</v>
      </c>
      <c r="AG365" s="6" t="s">
        <v>104</v>
      </c>
      <c r="AH365" s="6" t="s">
        <v>13480</v>
      </c>
      <c r="AI365" s="6" t="s">
        <v>104</v>
      </c>
      <c r="AJ365" s="6" t="s">
        <v>15615</v>
      </c>
      <c r="AK365" s="6" t="s">
        <v>16705</v>
      </c>
      <c r="AL365" s="6" t="s">
        <v>16931</v>
      </c>
      <c r="AM365" s="6" t="s">
        <v>17235</v>
      </c>
      <c r="AN365" s="6" t="s">
        <v>18459</v>
      </c>
      <c r="AO365" s="6" t="s">
        <v>18647</v>
      </c>
      <c r="AP365" s="6" t="s">
        <v>13480</v>
      </c>
      <c r="AQ365" s="6" t="s">
        <v>104</v>
      </c>
      <c r="AR365" s="6" t="s">
        <v>15615</v>
      </c>
      <c r="AS365" s="6" t="s">
        <v>16705</v>
      </c>
      <c r="AT365" s="6" t="s">
        <v>16931</v>
      </c>
      <c r="AU365" s="6" t="s">
        <v>17235</v>
      </c>
      <c r="AV365" s="6" t="s">
        <v>104</v>
      </c>
      <c r="AW365" s="6" t="s">
        <v>104</v>
      </c>
      <c r="AX365" s="6" t="s">
        <v>20406</v>
      </c>
      <c r="AY365" s="6" t="s">
        <v>22159</v>
      </c>
      <c r="AZ365" s="6" t="s">
        <v>104</v>
      </c>
      <c r="BA365" s="6" t="s">
        <v>24317</v>
      </c>
      <c r="BB365" s="24" t="n">
        <v>1234</v>
      </c>
      <c r="BC365" s="26"/>
      <c r="BD365" s="26"/>
      <c r="BE365" s="26"/>
      <c r="BF365" s="26"/>
      <c r="BG365" s="26"/>
      <c r="BH365" s="26"/>
      <c r="BI365" s="26"/>
      <c r="BJ365" s="26"/>
      <c r="BK365" s="26"/>
      <c r="BL365" s="26"/>
      <c r="BM365" s="26"/>
      <c r="BN365" s="26"/>
      <c r="BO365" s="26"/>
      <c r="BP365" s="16" t="n">
        <v>45729</v>
      </c>
      <c r="BQ365" s="28" t="str">
        <f>HYPERLINK("https://organic.ams.usda.gov/Integrity/Certificate.aspx?cid=61&amp;nopid=7270000943")</f>
        <v>https://organic.ams.usda.gov/Integrity/Certificate.aspx?cid=61&amp;nopid=7270000943</v>
      </c>
    </row>
    <row r="366">
      <c r="A366" t="s">
        <v>3</v>
      </c>
      <c r="B366" s="6" t="s">
        <v>25</v>
      </c>
      <c r="C366" s="6" t="s">
        <v>91</v>
      </c>
      <c r="D366" s="6" t="s">
        <v>156</v>
      </c>
      <c r="E366" s="10" t="s">
        <v>564</v>
      </c>
      <c r="F366" s="6" t="s">
        <v>2819</v>
      </c>
      <c r="G366" s="6" t="s">
        <v>104</v>
      </c>
      <c r="H366" s="6" t="s">
        <v>5225</v>
      </c>
      <c r="I366" s="6" t="s">
        <v>7182</v>
      </c>
      <c r="J366" s="6" t="s">
        <v>7458</v>
      </c>
      <c r="K366" s="6" t="s">
        <v>9714</v>
      </c>
      <c r="L366" s="16" t="n">
        <v>43216</v>
      </c>
      <c r="M366" s="16" t="n">
        <v>45706</v>
      </c>
      <c r="N366" s="6" t="s">
        <v>104</v>
      </c>
      <c r="O366" s="21" t="s">
        <v>104</v>
      </c>
      <c r="P366" s="6" t="s">
        <v>104</v>
      </c>
      <c r="Q366" s="6" t="s">
        <v>104</v>
      </c>
      <c r="R366" s="6" t="s">
        <v>104</v>
      </c>
      <c r="S366" s="6" t="s">
        <v>104</v>
      </c>
      <c r="T366" s="21" t="s">
        <v>104</v>
      </c>
      <c r="U366" s="6" t="s">
        <v>104</v>
      </c>
      <c r="V366" s="6" t="s">
        <v>104</v>
      </c>
      <c r="W366" s="6" t="s">
        <v>104</v>
      </c>
      <c r="X366" s="6" t="s">
        <v>104</v>
      </c>
      <c r="Y366" s="21" t="s">
        <v>104</v>
      </c>
      <c r="Z366" s="6" t="s">
        <v>104</v>
      </c>
      <c r="AA366" s="6" t="s">
        <v>104</v>
      </c>
      <c r="AB366" s="6" t="s">
        <v>104</v>
      </c>
      <c r="AC366" s="6" t="s">
        <v>9714</v>
      </c>
      <c r="AD366" s="16" t="n">
        <v>43216</v>
      </c>
      <c r="AE366" s="6" t="s">
        <v>10846</v>
      </c>
      <c r="AF366" s="6" t="s">
        <v>104</v>
      </c>
      <c r="AG366" s="6" t="s">
        <v>104</v>
      </c>
      <c r="AH366" s="6" t="s">
        <v>13481</v>
      </c>
      <c r="AI366" s="6" t="s">
        <v>104</v>
      </c>
      <c r="AJ366" s="6" t="s">
        <v>15611</v>
      </c>
      <c r="AK366" s="6" t="s">
        <v>16758</v>
      </c>
      <c r="AL366" s="6" t="s">
        <v>16935</v>
      </c>
      <c r="AM366" s="6" t="s">
        <v>17231</v>
      </c>
      <c r="AN366" s="6" t="s">
        <v>104</v>
      </c>
      <c r="AO366" s="6" t="s">
        <v>104</v>
      </c>
      <c r="AP366" s="6" t="s">
        <v>19054</v>
      </c>
      <c r="AQ366" s="6" t="s">
        <v>104</v>
      </c>
      <c r="AR366" s="6" t="s">
        <v>19626</v>
      </c>
      <c r="AS366" s="6" t="s">
        <v>16857</v>
      </c>
      <c r="AT366" s="6" t="s">
        <v>16935</v>
      </c>
      <c r="AU366" s="6" t="s">
        <v>5414</v>
      </c>
      <c r="AV366" s="6" t="s">
        <v>104</v>
      </c>
      <c r="AW366" s="6" t="s">
        <v>104</v>
      </c>
      <c r="AX366" s="6" t="s">
        <v>104</v>
      </c>
      <c r="AY366" s="6" t="s">
        <v>22160</v>
      </c>
      <c r="AZ366" s="6" t="s">
        <v>104</v>
      </c>
      <c r="BA366" s="6" t="s">
        <v>24264</v>
      </c>
      <c r="BB366" s="6" t="s">
        <v>104</v>
      </c>
      <c r="BC366" s="26"/>
      <c r="BD366" s="26"/>
      <c r="BE366" s="26"/>
      <c r="BF366" s="26"/>
      <c r="BG366" s="26"/>
      <c r="BH366" s="26"/>
      <c r="BI366" s="26"/>
      <c r="BJ366" s="26"/>
      <c r="BK366" s="26"/>
      <c r="BL366" s="26"/>
      <c r="BM366" s="26"/>
      <c r="BN366" s="26"/>
      <c r="BO366" s="26"/>
      <c r="BP366" s="16" t="n">
        <v>45420</v>
      </c>
      <c r="BQ366" s="28" t="str">
        <f>HYPERLINK("https://organic.ams.usda.gov/Integrity/Certificate.aspx?cid=66&amp;nopid=5500005729")</f>
        <v>https://organic.ams.usda.gov/Integrity/Certificate.aspx?cid=66&amp;nopid=5500005729</v>
      </c>
    </row>
    <row r="367">
      <c r="A367" t="s">
        <v>3</v>
      </c>
      <c r="B367" s="6" t="s">
        <v>29</v>
      </c>
      <c r="C367" s="6" t="s">
        <v>95</v>
      </c>
      <c r="D367" s="6" t="s">
        <v>160</v>
      </c>
      <c r="E367" s="10" t="s">
        <v>565</v>
      </c>
      <c r="F367" s="6" t="s">
        <v>2820</v>
      </c>
      <c r="G367" s="6" t="s">
        <v>104</v>
      </c>
      <c r="H367" s="6" t="s">
        <v>5226</v>
      </c>
      <c r="I367" s="6" t="s">
        <v>104</v>
      </c>
      <c r="J367" s="6" t="s">
        <v>8411</v>
      </c>
      <c r="K367" s="6" t="s">
        <v>9714</v>
      </c>
      <c r="L367" s="16" t="n">
        <v>44518</v>
      </c>
      <c r="M367" s="16" t="n">
        <v>45778</v>
      </c>
      <c r="N367" s="6" t="s">
        <v>9714</v>
      </c>
      <c r="O367" s="16" t="n">
        <v>44518</v>
      </c>
      <c r="P367" s="6" t="s">
        <v>9831</v>
      </c>
      <c r="Q367" s="6" t="s">
        <v>104</v>
      </c>
      <c r="R367" s="6" t="s">
        <v>104</v>
      </c>
      <c r="S367" s="6" t="s">
        <v>104</v>
      </c>
      <c r="T367" s="21" t="s">
        <v>104</v>
      </c>
      <c r="U367" s="6" t="s">
        <v>104</v>
      </c>
      <c r="V367" s="6" t="s">
        <v>104</v>
      </c>
      <c r="W367" s="6" t="s">
        <v>104</v>
      </c>
      <c r="X367" s="6" t="s">
        <v>104</v>
      </c>
      <c r="Y367" s="21" t="s">
        <v>104</v>
      </c>
      <c r="Z367" s="6" t="s">
        <v>104</v>
      </c>
      <c r="AA367" s="6" t="s">
        <v>104</v>
      </c>
      <c r="AB367" s="6" t="s">
        <v>104</v>
      </c>
      <c r="AC367" s="6" t="s">
        <v>9714</v>
      </c>
      <c r="AD367" s="16" t="n">
        <v>44518</v>
      </c>
      <c r="AE367" s="6" t="s">
        <v>10847</v>
      </c>
      <c r="AF367" s="6" t="s">
        <v>104</v>
      </c>
      <c r="AG367" s="6" t="s">
        <v>104</v>
      </c>
      <c r="AH367" s="6" t="s">
        <v>13482</v>
      </c>
      <c r="AI367" s="6" t="s">
        <v>104</v>
      </c>
      <c r="AJ367" s="6" t="s">
        <v>15616</v>
      </c>
      <c r="AK367" s="6" t="s">
        <v>16761</v>
      </c>
      <c r="AL367" s="6" t="s">
        <v>16937</v>
      </c>
      <c r="AM367" s="6" t="s">
        <v>17016</v>
      </c>
      <c r="AN367" s="6" t="s">
        <v>104</v>
      </c>
      <c r="AO367" s="6" t="s">
        <v>104</v>
      </c>
      <c r="AP367" s="6" t="s">
        <v>104</v>
      </c>
      <c r="AQ367" s="6" t="s">
        <v>104</v>
      </c>
      <c r="AR367" s="6" t="s">
        <v>104</v>
      </c>
      <c r="AS367" s="6" t="s">
        <v>104</v>
      </c>
      <c r="AT367" s="6" t="s">
        <v>104</v>
      </c>
      <c r="AU367" s="6" t="s">
        <v>104</v>
      </c>
      <c r="AV367" s="6" t="s">
        <v>104</v>
      </c>
      <c r="AW367" s="6" t="s">
        <v>104</v>
      </c>
      <c r="AX367" s="6" t="s">
        <v>17082</v>
      </c>
      <c r="AY367" s="6" t="s">
        <v>22161</v>
      </c>
      <c r="AZ367" s="6" t="s">
        <v>23789</v>
      </c>
      <c r="BA367" s="6" t="s">
        <v>104</v>
      </c>
      <c r="BB367" s="24" t="n">
        <v>17</v>
      </c>
      <c r="BC367" s="26"/>
      <c r="BD367" s="26"/>
      <c r="BE367" s="26"/>
      <c r="BF367" s="26"/>
      <c r="BG367" s="26"/>
      <c r="BH367" s="26"/>
      <c r="BI367" s="26"/>
      <c r="BJ367" s="26"/>
      <c r="BK367" s="26"/>
      <c r="BL367" s="26"/>
      <c r="BM367" s="26"/>
      <c r="BN367" s="26"/>
      <c r="BO367" s="26"/>
      <c r="BP367" s="16" t="n">
        <v>45712</v>
      </c>
      <c r="BQ367" s="28" t="str">
        <f>HYPERLINK("https://organic.ams.usda.gov/Integrity/Certificate.aspx?cid=24&amp;nopid=7880176345")</f>
        <v>https://organic.ams.usda.gov/Integrity/Certificate.aspx?cid=24&amp;nopid=7880176345</v>
      </c>
    </row>
    <row r="368">
      <c r="A368" t="s">
        <v>3</v>
      </c>
      <c r="B368" s="6" t="s">
        <v>44</v>
      </c>
      <c r="C368" s="6" t="s">
        <v>110</v>
      </c>
      <c r="D368" s="6" t="s">
        <v>174</v>
      </c>
      <c r="E368" s="10" t="s">
        <v>566</v>
      </c>
      <c r="F368" s="6" t="s">
        <v>2821</v>
      </c>
      <c r="G368" s="6" t="s">
        <v>104</v>
      </c>
      <c r="H368" s="6" t="s">
        <v>5227</v>
      </c>
      <c r="I368" s="6" t="s">
        <v>7183</v>
      </c>
      <c r="J368" s="6" t="s">
        <v>8412</v>
      </c>
      <c r="K368" s="6" t="s">
        <v>9714</v>
      </c>
      <c r="L368" s="16" t="n">
        <v>39335</v>
      </c>
      <c r="M368" s="16" t="n">
        <v>45716</v>
      </c>
      <c r="N368" s="6" t="s">
        <v>9714</v>
      </c>
      <c r="O368" s="16" t="n">
        <v>39335</v>
      </c>
      <c r="P368" s="6" t="s">
        <v>9832</v>
      </c>
      <c r="Q368" s="6" t="s">
        <v>104</v>
      </c>
      <c r="R368" s="6" t="s">
        <v>104</v>
      </c>
      <c r="S368" s="6" t="s">
        <v>104</v>
      </c>
      <c r="T368" s="21" t="s">
        <v>104</v>
      </c>
      <c r="U368" s="6" t="s">
        <v>104</v>
      </c>
      <c r="V368" s="6" t="s">
        <v>104</v>
      </c>
      <c r="W368" s="6" t="s">
        <v>104</v>
      </c>
      <c r="X368" s="6" t="s">
        <v>104</v>
      </c>
      <c r="Y368" s="21" t="s">
        <v>104</v>
      </c>
      <c r="Z368" s="6" t="s">
        <v>104</v>
      </c>
      <c r="AA368" s="6" t="s">
        <v>104</v>
      </c>
      <c r="AB368" s="6" t="s">
        <v>104</v>
      </c>
      <c r="AC368" s="6" t="s">
        <v>9714</v>
      </c>
      <c r="AD368" s="16" t="n">
        <v>45665</v>
      </c>
      <c r="AE368" s="6" t="s">
        <v>10848</v>
      </c>
      <c r="AF368" s="6" t="s">
        <v>104</v>
      </c>
      <c r="AG368" s="6" t="s">
        <v>104</v>
      </c>
      <c r="AH368" s="6" t="s">
        <v>13483</v>
      </c>
      <c r="AI368" s="6" t="s">
        <v>104</v>
      </c>
      <c r="AJ368" s="6" t="s">
        <v>15617</v>
      </c>
      <c r="AK368" s="6" t="s">
        <v>15697</v>
      </c>
      <c r="AL368" s="6" t="s">
        <v>16931</v>
      </c>
      <c r="AM368" s="6" t="s">
        <v>17236</v>
      </c>
      <c r="AN368" s="6" t="s">
        <v>18484</v>
      </c>
      <c r="AO368" s="6" t="s">
        <v>18578</v>
      </c>
      <c r="AP368" s="6" t="s">
        <v>19055</v>
      </c>
      <c r="AQ368" s="6" t="s">
        <v>104</v>
      </c>
      <c r="AR368" s="6" t="s">
        <v>15617</v>
      </c>
      <c r="AS368" s="6" t="s">
        <v>15697</v>
      </c>
      <c r="AT368" s="6" t="s">
        <v>16931</v>
      </c>
      <c r="AU368" s="6" t="s">
        <v>17236</v>
      </c>
      <c r="AV368" s="6" t="s">
        <v>104</v>
      </c>
      <c r="AW368" s="6" t="s">
        <v>104</v>
      </c>
      <c r="AX368" s="6" t="s">
        <v>20407</v>
      </c>
      <c r="AY368" s="6" t="s">
        <v>104</v>
      </c>
      <c r="AZ368" s="6" t="s">
        <v>104</v>
      </c>
      <c r="BA368" s="6" t="s">
        <v>104</v>
      </c>
      <c r="BB368" s="24" t="n">
        <v>716</v>
      </c>
      <c r="BC368" s="26"/>
      <c r="BD368" s="26"/>
      <c r="BE368" s="26"/>
      <c r="BF368" s="26"/>
      <c r="BG368" s="26"/>
      <c r="BH368" s="26"/>
      <c r="BI368" s="26"/>
      <c r="BJ368" s="26"/>
      <c r="BK368" s="26"/>
      <c r="BL368" s="26"/>
      <c r="BM368" s="26"/>
      <c r="BN368" s="26"/>
      <c r="BO368" s="26"/>
      <c r="BP368" s="16" t="n">
        <v>45667</v>
      </c>
      <c r="BQ368" s="28" t="str">
        <f>HYPERLINK("https://organic.ams.usda.gov/Integrity/Certificate.aspx?cid=57&amp;nopid=3252007042")</f>
        <v>https://organic.ams.usda.gov/Integrity/Certificate.aspx?cid=57&amp;nopid=3252007042</v>
      </c>
    </row>
    <row r="369">
      <c r="A369" t="s">
        <v>3</v>
      </c>
      <c r="B369" s="6" t="s">
        <v>52</v>
      </c>
      <c r="C369" s="6" t="s">
        <v>118</v>
      </c>
      <c r="D369" s="6" t="s">
        <v>182</v>
      </c>
      <c r="E369" s="10" t="s">
        <v>567</v>
      </c>
      <c r="F369" s="6" t="s">
        <v>2822</v>
      </c>
      <c r="G369" s="6" t="s">
        <v>104</v>
      </c>
      <c r="H369" s="6" t="s">
        <v>5228</v>
      </c>
      <c r="I369" s="6" t="s">
        <v>7184</v>
      </c>
      <c r="J369" s="6" t="s">
        <v>8413</v>
      </c>
      <c r="K369" s="6" t="s">
        <v>9714</v>
      </c>
      <c r="L369" s="16" t="n">
        <v>43929</v>
      </c>
      <c r="M369" s="16" t="n">
        <v>46068</v>
      </c>
      <c r="N369" s="6" t="s">
        <v>104</v>
      </c>
      <c r="O369" s="21" t="s">
        <v>104</v>
      </c>
      <c r="P369" s="6" t="s">
        <v>104</v>
      </c>
      <c r="Q369" s="6" t="s">
        <v>104</v>
      </c>
      <c r="R369" s="6" t="s">
        <v>104</v>
      </c>
      <c r="S369" s="6" t="s">
        <v>104</v>
      </c>
      <c r="T369" s="21" t="s">
        <v>104</v>
      </c>
      <c r="U369" s="6" t="s">
        <v>104</v>
      </c>
      <c r="V369" s="6" t="s">
        <v>104</v>
      </c>
      <c r="W369" s="6" t="s">
        <v>104</v>
      </c>
      <c r="X369" s="6" t="s">
        <v>104</v>
      </c>
      <c r="Y369" s="21" t="s">
        <v>104</v>
      </c>
      <c r="Z369" s="6" t="s">
        <v>104</v>
      </c>
      <c r="AA369" s="6" t="s">
        <v>104</v>
      </c>
      <c r="AB369" s="6" t="s">
        <v>104</v>
      </c>
      <c r="AC369" s="6" t="s">
        <v>9714</v>
      </c>
      <c r="AD369" s="16" t="n">
        <v>43929</v>
      </c>
      <c r="AE369" s="6" t="s">
        <v>10849</v>
      </c>
      <c r="AF369" s="6" t="s">
        <v>104</v>
      </c>
      <c r="AG369" s="6" t="s">
        <v>5228</v>
      </c>
      <c r="AH369" s="6" t="s">
        <v>13484</v>
      </c>
      <c r="AI369" s="6" t="s">
        <v>104</v>
      </c>
      <c r="AJ369" s="6" t="s">
        <v>7644</v>
      </c>
      <c r="AK369" s="6" t="s">
        <v>16681</v>
      </c>
      <c r="AL369" s="6" t="s">
        <v>16931</v>
      </c>
      <c r="AM369" s="6" t="s">
        <v>17237</v>
      </c>
      <c r="AN369" s="6" t="s">
        <v>18456</v>
      </c>
      <c r="AO369" s="6" t="s">
        <v>18648</v>
      </c>
      <c r="AP369" s="6" t="s">
        <v>13484</v>
      </c>
      <c r="AQ369" s="6" t="s">
        <v>104</v>
      </c>
      <c r="AR369" s="6" t="s">
        <v>7644</v>
      </c>
      <c r="AS369" s="6" t="s">
        <v>16681</v>
      </c>
      <c r="AT369" s="6" t="s">
        <v>16931</v>
      </c>
      <c r="AU369" s="6" t="s">
        <v>17237</v>
      </c>
      <c r="AV369" s="6" t="s">
        <v>104</v>
      </c>
      <c r="AW369" s="6" t="s">
        <v>104</v>
      </c>
      <c r="AX369" s="6" t="s">
        <v>20408</v>
      </c>
      <c r="AY369" s="6" t="s">
        <v>22162</v>
      </c>
      <c r="AZ369" s="6" t="s">
        <v>104</v>
      </c>
      <c r="BA369" s="6" t="s">
        <v>104</v>
      </c>
      <c r="BB369" s="6" t="s">
        <v>104</v>
      </c>
      <c r="BC369" s="26"/>
      <c r="BD369" s="26"/>
      <c r="BE369" s="26"/>
      <c r="BF369" s="26"/>
      <c r="BG369" s="26"/>
      <c r="BH369" s="26"/>
      <c r="BI369" s="26"/>
      <c r="BJ369" s="26"/>
      <c r="BK369" s="26"/>
      <c r="BL369" s="26"/>
      <c r="BM369" s="26"/>
      <c r="BN369" s="26"/>
      <c r="BO369" s="26"/>
      <c r="BP369" s="16" t="n">
        <v>45707</v>
      </c>
      <c r="BQ369" s="28" t="str">
        <f>HYPERLINK("https://organic.ams.usda.gov/Integrity/Certificate.aspx?cid=36&amp;nopid=5400015058")</f>
        <v>https://organic.ams.usda.gov/Integrity/Certificate.aspx?cid=36&amp;nopid=5400015058</v>
      </c>
    </row>
    <row r="370">
      <c r="A370" t="s">
        <v>3</v>
      </c>
      <c r="B370" s="6" t="s">
        <v>34</v>
      </c>
      <c r="C370" s="6" t="s">
        <v>100</v>
      </c>
      <c r="D370" s="6" t="s">
        <v>165</v>
      </c>
      <c r="E370" s="10" t="s">
        <v>568</v>
      </c>
      <c r="F370" s="6" t="s">
        <v>2823</v>
      </c>
      <c r="G370" s="6" t="s">
        <v>104</v>
      </c>
      <c r="H370" s="6" t="s">
        <v>5229</v>
      </c>
      <c r="I370" s="6" t="s">
        <v>7185</v>
      </c>
      <c r="J370" s="6" t="s">
        <v>8414</v>
      </c>
      <c r="K370" s="6" t="s">
        <v>9714</v>
      </c>
      <c r="L370" s="16" t="n">
        <v>38778</v>
      </c>
      <c r="M370" s="16" t="n">
        <v>45896</v>
      </c>
      <c r="N370" s="6" t="s">
        <v>104</v>
      </c>
      <c r="O370" s="21" t="s">
        <v>104</v>
      </c>
      <c r="P370" s="6" t="s">
        <v>104</v>
      </c>
      <c r="Q370" s="6" t="s">
        <v>104</v>
      </c>
      <c r="R370" s="6" t="s">
        <v>104</v>
      </c>
      <c r="S370" s="6" t="s">
        <v>104</v>
      </c>
      <c r="T370" s="21" t="s">
        <v>104</v>
      </c>
      <c r="U370" s="6" t="s">
        <v>104</v>
      </c>
      <c r="V370" s="6" t="s">
        <v>104</v>
      </c>
      <c r="W370" s="6" t="s">
        <v>104</v>
      </c>
      <c r="X370" s="6" t="s">
        <v>104</v>
      </c>
      <c r="Y370" s="21" t="s">
        <v>104</v>
      </c>
      <c r="Z370" s="6" t="s">
        <v>104</v>
      </c>
      <c r="AA370" s="6" t="s">
        <v>104</v>
      </c>
      <c r="AB370" s="6" t="s">
        <v>104</v>
      </c>
      <c r="AC370" s="6" t="s">
        <v>9714</v>
      </c>
      <c r="AD370" s="16" t="n">
        <v>38778</v>
      </c>
      <c r="AE370" s="6" t="s">
        <v>10850</v>
      </c>
      <c r="AF370" s="6" t="s">
        <v>104</v>
      </c>
      <c r="AG370" s="6" t="s">
        <v>12580</v>
      </c>
      <c r="AH370" s="6" t="s">
        <v>13485</v>
      </c>
      <c r="AI370" s="6" t="s">
        <v>104</v>
      </c>
      <c r="AJ370" s="6" t="s">
        <v>15618</v>
      </c>
      <c r="AK370" s="6" t="s">
        <v>16751</v>
      </c>
      <c r="AL370" s="6" t="s">
        <v>16931</v>
      </c>
      <c r="AM370" s="6" t="s">
        <v>17238</v>
      </c>
      <c r="AN370" s="6" t="s">
        <v>18508</v>
      </c>
      <c r="AO370" s="6" t="s">
        <v>18649</v>
      </c>
      <c r="AP370" s="6" t="s">
        <v>13485</v>
      </c>
      <c r="AQ370" s="6" t="s">
        <v>104</v>
      </c>
      <c r="AR370" s="6" t="s">
        <v>15618</v>
      </c>
      <c r="AS370" s="6" t="s">
        <v>16751</v>
      </c>
      <c r="AT370" s="6" t="s">
        <v>16931</v>
      </c>
      <c r="AU370" s="6" t="s">
        <v>17238</v>
      </c>
      <c r="AV370" s="6" t="s">
        <v>104</v>
      </c>
      <c r="AW370" s="6" t="s">
        <v>104</v>
      </c>
      <c r="AX370" s="6" t="s">
        <v>20409</v>
      </c>
      <c r="AY370" s="6" t="s">
        <v>104</v>
      </c>
      <c r="AZ370" s="6" t="s">
        <v>104</v>
      </c>
      <c r="BA370" s="6" t="s">
        <v>104</v>
      </c>
      <c r="BB370" s="6" t="s">
        <v>104</v>
      </c>
      <c r="BC370" s="26"/>
      <c r="BD370" s="26"/>
      <c r="BE370" s="26"/>
      <c r="BF370" s="26"/>
      <c r="BG370" s="26"/>
      <c r="BH370" s="26"/>
      <c r="BI370" s="26"/>
      <c r="BJ370" s="26"/>
      <c r="BK370" s="26"/>
      <c r="BL370" s="26"/>
      <c r="BM370" s="26"/>
      <c r="BN370" s="26"/>
      <c r="BO370" s="26"/>
      <c r="BP370" s="16" t="n">
        <v>45737</v>
      </c>
      <c r="BQ370" s="28" t="str">
        <f>HYPERLINK("https://organic.ams.usda.gov/Integrity/Certificate.aspx?cid=71&amp;nopid=5520030416")</f>
        <v>https://organic.ams.usda.gov/Integrity/Certificate.aspx?cid=71&amp;nopid=5520030416</v>
      </c>
    </row>
    <row r="371">
      <c r="A371" t="s">
        <v>3</v>
      </c>
      <c r="B371" s="6" t="s">
        <v>29</v>
      </c>
      <c r="C371" s="6" t="s">
        <v>95</v>
      </c>
      <c r="D371" s="6" t="s">
        <v>160</v>
      </c>
      <c r="E371" s="10" t="s">
        <v>569</v>
      </c>
      <c r="F371" s="6" t="s">
        <v>2824</v>
      </c>
      <c r="G371" s="6" t="s">
        <v>104</v>
      </c>
      <c r="H371" s="6" t="s">
        <v>5230</v>
      </c>
      <c r="I371" s="6" t="s">
        <v>104</v>
      </c>
      <c r="J371" s="6" t="s">
        <v>8415</v>
      </c>
      <c r="K371" s="6" t="s">
        <v>9714</v>
      </c>
      <c r="L371" s="16" t="n">
        <v>45308</v>
      </c>
      <c r="M371" s="16" t="n">
        <v>45870</v>
      </c>
      <c r="N371" s="6" t="s">
        <v>9714</v>
      </c>
      <c r="O371" s="16" t="n">
        <v>45308</v>
      </c>
      <c r="P371" s="6" t="s">
        <v>9833</v>
      </c>
      <c r="Q371" s="6" t="s">
        <v>104</v>
      </c>
      <c r="R371" s="6" t="s">
        <v>104</v>
      </c>
      <c r="S371" s="6" t="s">
        <v>104</v>
      </c>
      <c r="T371" s="21" t="s">
        <v>104</v>
      </c>
      <c r="U371" s="6" t="s">
        <v>104</v>
      </c>
      <c r="V371" s="6" t="s">
        <v>104</v>
      </c>
      <c r="W371" s="6" t="s">
        <v>104</v>
      </c>
      <c r="X371" s="6" t="s">
        <v>104</v>
      </c>
      <c r="Y371" s="21" t="s">
        <v>104</v>
      </c>
      <c r="Z371" s="6" t="s">
        <v>104</v>
      </c>
      <c r="AA371" s="6" t="s">
        <v>104</v>
      </c>
      <c r="AB371" s="6" t="s">
        <v>104</v>
      </c>
      <c r="AC371" s="6" t="s">
        <v>9714</v>
      </c>
      <c r="AD371" s="16" t="n">
        <v>45308</v>
      </c>
      <c r="AE371" s="6" t="s">
        <v>10851</v>
      </c>
      <c r="AF371" s="6" t="s">
        <v>104</v>
      </c>
      <c r="AG371" s="6" t="s">
        <v>104</v>
      </c>
      <c r="AH371" s="6" t="s">
        <v>13486</v>
      </c>
      <c r="AI371" s="6" t="s">
        <v>15244</v>
      </c>
      <c r="AJ371" s="6" t="s">
        <v>15619</v>
      </c>
      <c r="AK371" s="6" t="s">
        <v>16762</v>
      </c>
      <c r="AL371" s="6" t="s">
        <v>16960</v>
      </c>
      <c r="AM371" s="6" t="s">
        <v>17239</v>
      </c>
      <c r="AN371" s="6" t="s">
        <v>104</v>
      </c>
      <c r="AO371" s="6" t="s">
        <v>104</v>
      </c>
      <c r="AP371" s="6" t="s">
        <v>104</v>
      </c>
      <c r="AQ371" s="6" t="s">
        <v>104</v>
      </c>
      <c r="AR371" s="6" t="s">
        <v>104</v>
      </c>
      <c r="AS371" s="6" t="s">
        <v>104</v>
      </c>
      <c r="AT371" s="6" t="s">
        <v>104</v>
      </c>
      <c r="AU371" s="6" t="s">
        <v>104</v>
      </c>
      <c r="AV371" s="6" t="s">
        <v>104</v>
      </c>
      <c r="AW371" s="6" t="s">
        <v>104</v>
      </c>
      <c r="AX371" s="6" t="s">
        <v>20410</v>
      </c>
      <c r="AY371" s="6" t="s">
        <v>22163</v>
      </c>
      <c r="AZ371" s="6" t="s">
        <v>23790</v>
      </c>
      <c r="BA371" s="6" t="s">
        <v>104</v>
      </c>
      <c r="BB371" s="24" t="n">
        <v>3883</v>
      </c>
      <c r="BC371" s="26"/>
      <c r="BD371" s="26"/>
      <c r="BE371" s="26"/>
      <c r="BF371" s="26"/>
      <c r="BG371" s="26"/>
      <c r="BH371" s="26"/>
      <c r="BI371" s="26"/>
      <c r="BJ371" s="26"/>
      <c r="BK371" s="26"/>
      <c r="BL371" s="26"/>
      <c r="BM371" s="26"/>
      <c r="BN371" s="26"/>
      <c r="BO371" s="26"/>
      <c r="BP371" s="16" t="n">
        <v>45642</v>
      </c>
      <c r="BQ371" s="28" t="str">
        <f>HYPERLINK("https://organic.ams.usda.gov/Integrity/Certificate.aspx?cid=24&amp;nopid=7880287761")</f>
        <v>https://organic.ams.usda.gov/Integrity/Certificate.aspx?cid=24&amp;nopid=7880287761</v>
      </c>
    </row>
    <row r="372">
      <c r="A372" t="s">
        <v>3</v>
      </c>
      <c r="B372" s="6" t="s">
        <v>11</v>
      </c>
      <c r="C372" s="6" t="s">
        <v>77</v>
      </c>
      <c r="D372" s="6" t="s">
        <v>142</v>
      </c>
      <c r="E372" s="10" t="s">
        <v>570</v>
      </c>
      <c r="F372" s="6" t="s">
        <v>2825</v>
      </c>
      <c r="G372" s="6" t="s">
        <v>104</v>
      </c>
      <c r="H372" s="6" t="s">
        <v>5231</v>
      </c>
      <c r="I372" s="6" t="s">
        <v>7186</v>
      </c>
      <c r="J372" s="6" t="s">
        <v>8075</v>
      </c>
      <c r="K372" s="6" t="s">
        <v>9714</v>
      </c>
      <c r="L372" s="16" t="n">
        <v>43817</v>
      </c>
      <c r="M372" s="16" t="n">
        <v>45777</v>
      </c>
      <c r="N372" s="6" t="s">
        <v>104</v>
      </c>
      <c r="O372" s="21" t="s">
        <v>104</v>
      </c>
      <c r="P372" s="6" t="s">
        <v>104</v>
      </c>
      <c r="Q372" s="6" t="s">
        <v>104</v>
      </c>
      <c r="R372" s="6" t="s">
        <v>104</v>
      </c>
      <c r="S372" s="6" t="s">
        <v>104</v>
      </c>
      <c r="T372" s="21" t="s">
        <v>104</v>
      </c>
      <c r="U372" s="6" t="s">
        <v>104</v>
      </c>
      <c r="V372" s="6" t="s">
        <v>104</v>
      </c>
      <c r="W372" s="6" t="s">
        <v>104</v>
      </c>
      <c r="X372" s="6" t="s">
        <v>104</v>
      </c>
      <c r="Y372" s="21" t="s">
        <v>104</v>
      </c>
      <c r="Z372" s="6" t="s">
        <v>104</v>
      </c>
      <c r="AA372" s="6" t="s">
        <v>104</v>
      </c>
      <c r="AB372" s="6" t="s">
        <v>104</v>
      </c>
      <c r="AC372" s="6" t="s">
        <v>9714</v>
      </c>
      <c r="AD372" s="16" t="n">
        <v>43817</v>
      </c>
      <c r="AE372" s="6" t="s">
        <v>10852</v>
      </c>
      <c r="AF372" s="6" t="s">
        <v>104</v>
      </c>
      <c r="AG372" s="6" t="s">
        <v>104</v>
      </c>
      <c r="AH372" s="6" t="s">
        <v>13487</v>
      </c>
      <c r="AI372" s="6" t="s">
        <v>104</v>
      </c>
      <c r="AJ372" s="6" t="s">
        <v>104</v>
      </c>
      <c r="AK372" s="6" t="s">
        <v>104</v>
      </c>
      <c r="AL372" s="6" t="s">
        <v>16961</v>
      </c>
      <c r="AM372" s="6" t="s">
        <v>104</v>
      </c>
      <c r="AN372" s="6" t="s">
        <v>104</v>
      </c>
      <c r="AO372" s="6" t="s">
        <v>104</v>
      </c>
      <c r="AP372" s="6" t="s">
        <v>104</v>
      </c>
      <c r="AQ372" s="6" t="s">
        <v>104</v>
      </c>
      <c r="AR372" s="6" t="s">
        <v>104</v>
      </c>
      <c r="AS372" s="6" t="s">
        <v>104</v>
      </c>
      <c r="AT372" s="6" t="s">
        <v>104</v>
      </c>
      <c r="AU372" s="6" t="s">
        <v>104</v>
      </c>
      <c r="AV372" s="6" t="s">
        <v>104</v>
      </c>
      <c r="AW372" s="6" t="s">
        <v>104</v>
      </c>
      <c r="AX372" s="6" t="s">
        <v>20411</v>
      </c>
      <c r="AY372" s="6" t="s">
        <v>22164</v>
      </c>
      <c r="AZ372" s="6" t="s">
        <v>104</v>
      </c>
      <c r="BA372" s="6" t="s">
        <v>104</v>
      </c>
      <c r="BB372" s="6" t="s">
        <v>104</v>
      </c>
      <c r="BC372" s="26"/>
      <c r="BD372" s="26"/>
      <c r="BE372" s="26"/>
      <c r="BF372" s="26"/>
      <c r="BG372" s="26"/>
      <c r="BH372" s="26"/>
      <c r="BI372" s="26"/>
      <c r="BJ372" s="26"/>
      <c r="BK372" s="26"/>
      <c r="BL372" s="26"/>
      <c r="BM372" s="26"/>
      <c r="BN372" s="26"/>
      <c r="BO372" s="26"/>
      <c r="BP372" s="16" t="n">
        <v>45506</v>
      </c>
      <c r="BQ372" s="28" t="str">
        <f>HYPERLINK("https://organic.ams.usda.gov/Integrity/Certificate.aspx?cid=21&amp;nopid=1780853200")</f>
        <v>https://organic.ams.usda.gov/Integrity/Certificate.aspx?cid=21&amp;nopid=1780853200</v>
      </c>
    </row>
    <row r="373">
      <c r="A373" t="s">
        <v>3</v>
      </c>
      <c r="B373" s="6" t="s">
        <v>20</v>
      </c>
      <c r="C373" s="6" t="s">
        <v>86</v>
      </c>
      <c r="D373" s="6" t="s">
        <v>151</v>
      </c>
      <c r="E373" s="10" t="s">
        <v>571</v>
      </c>
      <c r="F373" s="6" t="s">
        <v>2826</v>
      </c>
      <c r="G373" s="6" t="s">
        <v>104</v>
      </c>
      <c r="H373" s="6" t="s">
        <v>5232</v>
      </c>
      <c r="I373" s="6" t="s">
        <v>7187</v>
      </c>
      <c r="J373" s="6" t="s">
        <v>8416</v>
      </c>
      <c r="K373" s="6" t="s">
        <v>9714</v>
      </c>
      <c r="L373" s="16" t="n">
        <v>43350</v>
      </c>
      <c r="M373" s="16" t="n">
        <v>45869</v>
      </c>
      <c r="N373" s="6" t="s">
        <v>104</v>
      </c>
      <c r="O373" s="21" t="s">
        <v>104</v>
      </c>
      <c r="P373" s="6" t="s">
        <v>104</v>
      </c>
      <c r="Q373" s="6" t="s">
        <v>104</v>
      </c>
      <c r="R373" s="6" t="s">
        <v>104</v>
      </c>
      <c r="S373" s="6" t="s">
        <v>104</v>
      </c>
      <c r="T373" s="21" t="s">
        <v>104</v>
      </c>
      <c r="U373" s="6" t="s">
        <v>104</v>
      </c>
      <c r="V373" s="6" t="s">
        <v>104</v>
      </c>
      <c r="W373" s="6" t="s">
        <v>104</v>
      </c>
      <c r="X373" s="6" t="s">
        <v>104</v>
      </c>
      <c r="Y373" s="21" t="s">
        <v>104</v>
      </c>
      <c r="Z373" s="6" t="s">
        <v>104</v>
      </c>
      <c r="AA373" s="6" t="s">
        <v>104</v>
      </c>
      <c r="AB373" s="6" t="s">
        <v>104</v>
      </c>
      <c r="AC373" s="6" t="s">
        <v>9714</v>
      </c>
      <c r="AD373" s="16" t="n">
        <v>43350</v>
      </c>
      <c r="AE373" s="6" t="s">
        <v>10853</v>
      </c>
      <c r="AF373" s="6" t="s">
        <v>104</v>
      </c>
      <c r="AG373" s="6" t="s">
        <v>12581</v>
      </c>
      <c r="AH373" s="6" t="s">
        <v>13488</v>
      </c>
      <c r="AI373" s="6" t="s">
        <v>104</v>
      </c>
      <c r="AJ373" s="6" t="s">
        <v>15620</v>
      </c>
      <c r="AK373" s="6" t="s">
        <v>16737</v>
      </c>
      <c r="AL373" s="6" t="s">
        <v>16898</v>
      </c>
      <c r="AM373" s="6" t="s">
        <v>17240</v>
      </c>
      <c r="AN373" s="6" t="s">
        <v>104</v>
      </c>
      <c r="AO373" s="6" t="s">
        <v>104</v>
      </c>
      <c r="AP373" s="6" t="s">
        <v>104</v>
      </c>
      <c r="AQ373" s="6" t="s">
        <v>104</v>
      </c>
      <c r="AR373" s="6" t="s">
        <v>104</v>
      </c>
      <c r="AS373" s="6" t="s">
        <v>104</v>
      </c>
      <c r="AT373" s="6" t="s">
        <v>104</v>
      </c>
      <c r="AU373" s="6" t="s">
        <v>104</v>
      </c>
      <c r="AV373" s="6" t="s">
        <v>104</v>
      </c>
      <c r="AW373" s="6" t="s">
        <v>104</v>
      </c>
      <c r="AX373" s="6" t="s">
        <v>20412</v>
      </c>
      <c r="AY373" s="6" t="s">
        <v>22165</v>
      </c>
      <c r="AZ373" s="6" t="s">
        <v>23791</v>
      </c>
      <c r="BA373" s="6" t="s">
        <v>104</v>
      </c>
      <c r="BB373" s="6" t="s">
        <v>104</v>
      </c>
      <c r="BC373" s="26"/>
      <c r="BD373" s="26"/>
      <c r="BE373" s="26"/>
      <c r="BF373" s="26"/>
      <c r="BG373" s="26"/>
      <c r="BH373" s="26"/>
      <c r="BI373" s="26"/>
      <c r="BJ373" s="26"/>
      <c r="BK373" s="26"/>
      <c r="BL373" s="26"/>
      <c r="BM373" s="26"/>
      <c r="BN373" s="26"/>
      <c r="BO373" s="26"/>
      <c r="BP373" s="16" t="n">
        <v>45504</v>
      </c>
      <c r="BQ373" s="28" t="str">
        <f>HYPERLINK("https://organic.ams.usda.gov/Integrity/Certificate.aspx?cid=17&amp;nopid=4087185594")</f>
        <v>https://organic.ams.usda.gov/Integrity/Certificate.aspx?cid=17&amp;nopid=4087185594</v>
      </c>
    </row>
    <row r="374">
      <c r="A374" t="s">
        <v>3</v>
      </c>
      <c r="B374" s="6" t="s">
        <v>12</v>
      </c>
      <c r="C374" s="6" t="s">
        <v>78</v>
      </c>
      <c r="D374" s="6" t="s">
        <v>143</v>
      </c>
      <c r="E374" s="10" t="s">
        <v>572</v>
      </c>
      <c r="F374" s="6" t="s">
        <v>2827</v>
      </c>
      <c r="G374" s="6" t="s">
        <v>104</v>
      </c>
      <c r="H374" s="6" t="s">
        <v>104</v>
      </c>
      <c r="I374" s="6" t="s">
        <v>7097</v>
      </c>
      <c r="J374" s="6" t="s">
        <v>7686</v>
      </c>
      <c r="K374" s="6" t="s">
        <v>9714</v>
      </c>
      <c r="L374" s="16" t="n">
        <v>45422</v>
      </c>
      <c r="M374" s="16" t="n">
        <v>45731</v>
      </c>
      <c r="N374" s="6" t="s">
        <v>104</v>
      </c>
      <c r="O374" s="21" t="s">
        <v>104</v>
      </c>
      <c r="P374" s="6" t="s">
        <v>104</v>
      </c>
      <c r="Q374" s="6" t="s">
        <v>104</v>
      </c>
      <c r="R374" s="6" t="s">
        <v>104</v>
      </c>
      <c r="S374" s="6" t="s">
        <v>104</v>
      </c>
      <c r="T374" s="21" t="s">
        <v>104</v>
      </c>
      <c r="U374" s="6" t="s">
        <v>104</v>
      </c>
      <c r="V374" s="6" t="s">
        <v>104</v>
      </c>
      <c r="W374" s="6" t="s">
        <v>104</v>
      </c>
      <c r="X374" s="6" t="s">
        <v>104</v>
      </c>
      <c r="Y374" s="21" t="s">
        <v>104</v>
      </c>
      <c r="Z374" s="6" t="s">
        <v>104</v>
      </c>
      <c r="AA374" s="6" t="s">
        <v>104</v>
      </c>
      <c r="AB374" s="6" t="s">
        <v>104</v>
      </c>
      <c r="AC374" s="6" t="s">
        <v>9714</v>
      </c>
      <c r="AD374" s="16" t="n">
        <v>45414</v>
      </c>
      <c r="AE374" s="6" t="s">
        <v>10854</v>
      </c>
      <c r="AF374" s="6" t="s">
        <v>104</v>
      </c>
      <c r="AG374" s="6" t="s">
        <v>12582</v>
      </c>
      <c r="AH374" s="6" t="s">
        <v>13489</v>
      </c>
      <c r="AI374" s="6" t="s">
        <v>104</v>
      </c>
      <c r="AJ374" s="6" t="s">
        <v>15621</v>
      </c>
      <c r="AK374" s="6" t="s">
        <v>16710</v>
      </c>
      <c r="AL374" s="6" t="s">
        <v>16931</v>
      </c>
      <c r="AM374" s="6" t="s">
        <v>17241</v>
      </c>
      <c r="AN374" s="6" t="s">
        <v>104</v>
      </c>
      <c r="AO374" s="6" t="s">
        <v>104</v>
      </c>
      <c r="AP374" s="6" t="s">
        <v>13489</v>
      </c>
      <c r="AQ374" s="6" t="s">
        <v>104</v>
      </c>
      <c r="AR374" s="6" t="s">
        <v>15621</v>
      </c>
      <c r="AS374" s="6" t="s">
        <v>16710</v>
      </c>
      <c r="AT374" s="6" t="s">
        <v>16931</v>
      </c>
      <c r="AU374" s="6" t="s">
        <v>17241</v>
      </c>
      <c r="AV374" s="6" t="s">
        <v>104</v>
      </c>
      <c r="AW374" s="6" t="s">
        <v>104</v>
      </c>
      <c r="AX374" s="6" t="s">
        <v>104</v>
      </c>
      <c r="AY374" s="6" t="s">
        <v>22166</v>
      </c>
      <c r="AZ374" s="6" t="s">
        <v>104</v>
      </c>
      <c r="BA374" s="6" t="s">
        <v>104</v>
      </c>
      <c r="BB374" s="6" t="s">
        <v>104</v>
      </c>
      <c r="BC374" s="26"/>
      <c r="BD374" s="26"/>
      <c r="BE374" s="26"/>
      <c r="BF374" s="26"/>
      <c r="BG374" s="26"/>
      <c r="BH374" s="26"/>
      <c r="BI374" s="26"/>
      <c r="BJ374" s="26"/>
      <c r="BK374" s="26"/>
      <c r="BL374" s="26"/>
      <c r="BM374" s="26"/>
      <c r="BN374" s="26"/>
      <c r="BO374" s="26"/>
      <c r="BP374" s="16" t="n">
        <v>45616</v>
      </c>
      <c r="BQ374" s="28" t="str">
        <f>HYPERLINK("https://organic.ams.usda.gov/Integrity/Certificate.aspx?cid=1&amp;nopid=9092412301")</f>
        <v>https://organic.ams.usda.gov/Integrity/Certificate.aspx?cid=1&amp;nopid=9092412301</v>
      </c>
    </row>
    <row r="375">
      <c r="A375" t="s">
        <v>3</v>
      </c>
      <c r="B375" s="6" t="s">
        <v>50</v>
      </c>
      <c r="C375" s="6" t="s">
        <v>116</v>
      </c>
      <c r="D375" s="6" t="s">
        <v>180</v>
      </c>
      <c r="E375" s="10" t="s">
        <v>573</v>
      </c>
      <c r="F375" s="6" t="s">
        <v>2828</v>
      </c>
      <c r="G375" s="6" t="s">
        <v>4707</v>
      </c>
      <c r="H375" s="6" t="s">
        <v>5233</v>
      </c>
      <c r="I375" s="6" t="s">
        <v>7188</v>
      </c>
      <c r="J375" s="6" t="s">
        <v>8417</v>
      </c>
      <c r="K375" s="6" t="s">
        <v>9714</v>
      </c>
      <c r="L375" s="16" t="n">
        <v>38004</v>
      </c>
      <c r="M375" s="16" t="n">
        <v>46054</v>
      </c>
      <c r="N375" s="6" t="s">
        <v>104</v>
      </c>
      <c r="O375" s="21" t="s">
        <v>104</v>
      </c>
      <c r="P375" s="6" t="s">
        <v>104</v>
      </c>
      <c r="Q375" s="6" t="s">
        <v>104</v>
      </c>
      <c r="R375" s="6" t="s">
        <v>104</v>
      </c>
      <c r="S375" s="6" t="s">
        <v>104</v>
      </c>
      <c r="T375" s="21" t="s">
        <v>104</v>
      </c>
      <c r="U375" s="6" t="s">
        <v>104</v>
      </c>
      <c r="V375" s="6" t="s">
        <v>104</v>
      </c>
      <c r="W375" s="6" t="s">
        <v>104</v>
      </c>
      <c r="X375" s="6" t="s">
        <v>104</v>
      </c>
      <c r="Y375" s="21" t="s">
        <v>104</v>
      </c>
      <c r="Z375" s="6" t="s">
        <v>104</v>
      </c>
      <c r="AA375" s="6" t="s">
        <v>104</v>
      </c>
      <c r="AB375" s="6" t="s">
        <v>104</v>
      </c>
      <c r="AC375" s="6" t="s">
        <v>9714</v>
      </c>
      <c r="AD375" s="16" t="n">
        <v>38004</v>
      </c>
      <c r="AE375" s="6" t="s">
        <v>10855</v>
      </c>
      <c r="AF375" s="6" t="s">
        <v>104</v>
      </c>
      <c r="AG375" s="6" t="s">
        <v>5233</v>
      </c>
      <c r="AH375" s="6" t="s">
        <v>13490</v>
      </c>
      <c r="AI375" s="6" t="s">
        <v>104</v>
      </c>
      <c r="AJ375" s="6" t="s">
        <v>15622</v>
      </c>
      <c r="AK375" s="6" t="s">
        <v>16745</v>
      </c>
      <c r="AL375" s="6" t="s">
        <v>16931</v>
      </c>
      <c r="AM375" s="6" t="s">
        <v>17242</v>
      </c>
      <c r="AN375" s="6" t="s">
        <v>18472</v>
      </c>
      <c r="AO375" s="6" t="s">
        <v>18650</v>
      </c>
      <c r="AP375" s="6" t="s">
        <v>13490</v>
      </c>
      <c r="AQ375" s="6" t="s">
        <v>104</v>
      </c>
      <c r="AR375" s="6" t="s">
        <v>15622</v>
      </c>
      <c r="AS375" s="6" t="s">
        <v>16745</v>
      </c>
      <c r="AT375" s="6" t="s">
        <v>16931</v>
      </c>
      <c r="AU375" s="6" t="s">
        <v>17242</v>
      </c>
      <c r="AV375" s="6" t="s">
        <v>104</v>
      </c>
      <c r="AW375" s="6" t="s">
        <v>104</v>
      </c>
      <c r="AX375" s="6" t="s">
        <v>20413</v>
      </c>
      <c r="AY375" s="6" t="s">
        <v>22167</v>
      </c>
      <c r="AZ375" s="6" t="s">
        <v>23792</v>
      </c>
      <c r="BA375" s="6" t="s">
        <v>104</v>
      </c>
      <c r="BB375" s="24" t="n">
        <v>0</v>
      </c>
      <c r="BC375" s="26"/>
      <c r="BD375" s="26"/>
      <c r="BE375" s="26"/>
      <c r="BF375" s="26"/>
      <c r="BG375" s="26"/>
      <c r="BH375" s="26"/>
      <c r="BI375" s="26"/>
      <c r="BJ375" s="26"/>
      <c r="BK375" s="26"/>
      <c r="BL375" s="26"/>
      <c r="BM375" s="26"/>
      <c r="BN375" s="26"/>
      <c r="BO375" s="26"/>
      <c r="BP375" s="16" t="n">
        <v>45699</v>
      </c>
      <c r="BQ375" s="28" t="str">
        <f>HYPERLINK("https://organic.ams.usda.gov/Integrity/Certificate.aspx?cid=80&amp;nopid=5090310121")</f>
        <v>https://organic.ams.usda.gov/Integrity/Certificate.aspx?cid=80&amp;nopid=5090310121</v>
      </c>
    </row>
    <row r="376">
      <c r="A376" t="s">
        <v>3</v>
      </c>
      <c r="B376" s="6" t="s">
        <v>50</v>
      </c>
      <c r="C376" s="6" t="s">
        <v>116</v>
      </c>
      <c r="D376" s="6" t="s">
        <v>180</v>
      </c>
      <c r="E376" s="10" t="s">
        <v>574</v>
      </c>
      <c r="F376" s="6" t="s">
        <v>2829</v>
      </c>
      <c r="G376" s="6" t="s">
        <v>104</v>
      </c>
      <c r="H376" s="6" t="s">
        <v>5234</v>
      </c>
      <c r="I376" s="6" t="s">
        <v>7189</v>
      </c>
      <c r="J376" s="6" t="s">
        <v>8418</v>
      </c>
      <c r="K376" s="6" t="s">
        <v>9714</v>
      </c>
      <c r="L376" s="16" t="n">
        <v>38014</v>
      </c>
      <c r="M376" s="16" t="n">
        <v>46054</v>
      </c>
      <c r="N376" s="6" t="s">
        <v>104</v>
      </c>
      <c r="O376" s="21" t="s">
        <v>104</v>
      </c>
      <c r="P376" s="6" t="s">
        <v>104</v>
      </c>
      <c r="Q376" s="6" t="s">
        <v>104</v>
      </c>
      <c r="R376" s="6" t="s">
        <v>104</v>
      </c>
      <c r="S376" s="6" t="s">
        <v>104</v>
      </c>
      <c r="T376" s="21" t="s">
        <v>104</v>
      </c>
      <c r="U376" s="6" t="s">
        <v>104</v>
      </c>
      <c r="V376" s="6" t="s">
        <v>104</v>
      </c>
      <c r="W376" s="6" t="s">
        <v>104</v>
      </c>
      <c r="X376" s="6" t="s">
        <v>104</v>
      </c>
      <c r="Y376" s="21" t="s">
        <v>104</v>
      </c>
      <c r="Z376" s="6" t="s">
        <v>104</v>
      </c>
      <c r="AA376" s="6" t="s">
        <v>104</v>
      </c>
      <c r="AB376" s="6" t="s">
        <v>104</v>
      </c>
      <c r="AC376" s="6" t="s">
        <v>9714</v>
      </c>
      <c r="AD376" s="16" t="n">
        <v>38014</v>
      </c>
      <c r="AE376" s="6" t="s">
        <v>10856</v>
      </c>
      <c r="AF376" s="6" t="s">
        <v>104</v>
      </c>
      <c r="AG376" s="6" t="s">
        <v>5234</v>
      </c>
      <c r="AH376" s="6" t="s">
        <v>13491</v>
      </c>
      <c r="AI376" s="6" t="s">
        <v>104</v>
      </c>
      <c r="AJ376" s="6" t="s">
        <v>15623</v>
      </c>
      <c r="AK376" s="6" t="s">
        <v>16745</v>
      </c>
      <c r="AL376" s="6" t="s">
        <v>16931</v>
      </c>
      <c r="AM376" s="6" t="s">
        <v>17243</v>
      </c>
      <c r="AN376" s="6" t="s">
        <v>18500</v>
      </c>
      <c r="AO376" s="6" t="s">
        <v>18639</v>
      </c>
      <c r="AP376" s="6" t="s">
        <v>13491</v>
      </c>
      <c r="AQ376" s="6" t="s">
        <v>104</v>
      </c>
      <c r="AR376" s="6" t="s">
        <v>15623</v>
      </c>
      <c r="AS376" s="6" t="s">
        <v>16745</v>
      </c>
      <c r="AT376" s="6" t="s">
        <v>16931</v>
      </c>
      <c r="AU376" s="6" t="s">
        <v>17243</v>
      </c>
      <c r="AV376" s="6" t="s">
        <v>104</v>
      </c>
      <c r="AW376" s="6" t="s">
        <v>104</v>
      </c>
      <c r="AX376" s="6" t="s">
        <v>20414</v>
      </c>
      <c r="AY376" s="6" t="s">
        <v>22168</v>
      </c>
      <c r="AZ376" s="6" t="s">
        <v>23792</v>
      </c>
      <c r="BA376" s="6" t="s">
        <v>104</v>
      </c>
      <c r="BB376" s="24" t="n">
        <v>0</v>
      </c>
      <c r="BC376" s="26"/>
      <c r="BD376" s="26"/>
      <c r="BE376" s="26"/>
      <c r="BF376" s="26"/>
      <c r="BG376" s="26"/>
      <c r="BH376" s="26"/>
      <c r="BI376" s="26"/>
      <c r="BJ376" s="26"/>
      <c r="BK376" s="26"/>
      <c r="BL376" s="26"/>
      <c r="BM376" s="26"/>
      <c r="BN376" s="26"/>
      <c r="BO376" s="26"/>
      <c r="BP376" s="16" t="n">
        <v>45699</v>
      </c>
      <c r="BQ376" s="28" t="str">
        <f>HYPERLINK("https://organic.ams.usda.gov/Integrity/Certificate.aspx?cid=80&amp;nopid=5090310431")</f>
        <v>https://organic.ams.usda.gov/Integrity/Certificate.aspx?cid=80&amp;nopid=5090310431</v>
      </c>
    </row>
    <row r="377">
      <c r="A377" t="s">
        <v>3</v>
      </c>
      <c r="B377" s="6" t="s">
        <v>50</v>
      </c>
      <c r="C377" s="6" t="s">
        <v>116</v>
      </c>
      <c r="D377" s="6" t="s">
        <v>180</v>
      </c>
      <c r="E377" s="10" t="s">
        <v>575</v>
      </c>
      <c r="F377" s="6" t="s">
        <v>2830</v>
      </c>
      <c r="G377" s="6" t="s">
        <v>4708</v>
      </c>
      <c r="H377" s="6" t="s">
        <v>5235</v>
      </c>
      <c r="I377" s="6" t="s">
        <v>7190</v>
      </c>
      <c r="J377" s="6" t="s">
        <v>8419</v>
      </c>
      <c r="K377" s="6" t="s">
        <v>9714</v>
      </c>
      <c r="L377" s="16" t="n">
        <v>37649</v>
      </c>
      <c r="M377" s="16" t="n">
        <v>46054</v>
      </c>
      <c r="N377" s="6" t="s">
        <v>104</v>
      </c>
      <c r="O377" s="21" t="s">
        <v>104</v>
      </c>
      <c r="P377" s="6" t="s">
        <v>104</v>
      </c>
      <c r="Q377" s="6" t="s">
        <v>104</v>
      </c>
      <c r="R377" s="6" t="s">
        <v>104</v>
      </c>
      <c r="S377" s="6" t="s">
        <v>104</v>
      </c>
      <c r="T377" s="21" t="s">
        <v>104</v>
      </c>
      <c r="U377" s="6" t="s">
        <v>104</v>
      </c>
      <c r="V377" s="6" t="s">
        <v>104</v>
      </c>
      <c r="W377" s="6" t="s">
        <v>104</v>
      </c>
      <c r="X377" s="6" t="s">
        <v>104</v>
      </c>
      <c r="Y377" s="21" t="s">
        <v>104</v>
      </c>
      <c r="Z377" s="6" t="s">
        <v>104</v>
      </c>
      <c r="AA377" s="6" t="s">
        <v>104</v>
      </c>
      <c r="AB377" s="6" t="s">
        <v>104</v>
      </c>
      <c r="AC377" s="6" t="s">
        <v>9714</v>
      </c>
      <c r="AD377" s="16" t="n">
        <v>37649</v>
      </c>
      <c r="AE377" s="6" t="s">
        <v>10857</v>
      </c>
      <c r="AF377" s="6" t="s">
        <v>104</v>
      </c>
      <c r="AG377" s="6" t="s">
        <v>5235</v>
      </c>
      <c r="AH377" s="6" t="s">
        <v>13492</v>
      </c>
      <c r="AI377" s="6" t="s">
        <v>104</v>
      </c>
      <c r="AJ377" s="6" t="s">
        <v>15624</v>
      </c>
      <c r="AK377" s="6" t="s">
        <v>16745</v>
      </c>
      <c r="AL377" s="6" t="s">
        <v>16931</v>
      </c>
      <c r="AM377" s="6" t="s">
        <v>17244</v>
      </c>
      <c r="AN377" s="6" t="s">
        <v>18500</v>
      </c>
      <c r="AO377" s="6" t="s">
        <v>18639</v>
      </c>
      <c r="AP377" s="6" t="s">
        <v>19056</v>
      </c>
      <c r="AQ377" s="6" t="s">
        <v>104</v>
      </c>
      <c r="AR377" s="6" t="s">
        <v>15624</v>
      </c>
      <c r="AS377" s="6" t="s">
        <v>16745</v>
      </c>
      <c r="AT377" s="6" t="s">
        <v>16931</v>
      </c>
      <c r="AU377" s="6" t="s">
        <v>17244</v>
      </c>
      <c r="AV377" s="6" t="s">
        <v>104</v>
      </c>
      <c r="AW377" s="6" t="s">
        <v>104</v>
      </c>
      <c r="AX377" s="6" t="s">
        <v>20415</v>
      </c>
      <c r="AY377" s="6" t="s">
        <v>22169</v>
      </c>
      <c r="AZ377" s="6" t="s">
        <v>23792</v>
      </c>
      <c r="BA377" s="6" t="s">
        <v>104</v>
      </c>
      <c r="BB377" s="24" t="n">
        <v>0</v>
      </c>
      <c r="BC377" s="26"/>
      <c r="BD377" s="26"/>
      <c r="BE377" s="26"/>
      <c r="BF377" s="26"/>
      <c r="BG377" s="26"/>
      <c r="BH377" s="26"/>
      <c r="BI377" s="26"/>
      <c r="BJ377" s="26"/>
      <c r="BK377" s="26"/>
      <c r="BL377" s="26"/>
      <c r="BM377" s="26"/>
      <c r="BN377" s="26"/>
      <c r="BO377" s="26"/>
      <c r="BP377" s="16" t="n">
        <v>45699</v>
      </c>
      <c r="BQ377" s="28" t="str">
        <f>HYPERLINK("https://organic.ams.usda.gov/Integrity/Certificate.aspx?cid=80&amp;nopid=5090310311")</f>
        <v>https://organic.ams.usda.gov/Integrity/Certificate.aspx?cid=80&amp;nopid=5090310311</v>
      </c>
    </row>
    <row r="378">
      <c r="A378" t="s">
        <v>3</v>
      </c>
      <c r="B378" s="6" t="s">
        <v>21</v>
      </c>
      <c r="C378" s="6" t="s">
        <v>87</v>
      </c>
      <c r="D378" s="6" t="s">
        <v>152</v>
      </c>
      <c r="E378" s="10" t="s">
        <v>576</v>
      </c>
      <c r="F378" s="6" t="s">
        <v>2831</v>
      </c>
      <c r="G378" s="6" t="s">
        <v>104</v>
      </c>
      <c r="H378" s="6" t="s">
        <v>5236</v>
      </c>
      <c r="I378" s="6" t="s">
        <v>7191</v>
      </c>
      <c r="J378" s="6" t="s">
        <v>8420</v>
      </c>
      <c r="K378" s="6" t="s">
        <v>9714</v>
      </c>
      <c r="L378" s="16" t="n">
        <v>42151</v>
      </c>
      <c r="M378" s="16" t="n">
        <v>46023</v>
      </c>
      <c r="N378" s="6" t="s">
        <v>104</v>
      </c>
      <c r="O378" s="21" t="s">
        <v>104</v>
      </c>
      <c r="P378" s="6" t="s">
        <v>104</v>
      </c>
      <c r="Q378" s="6" t="s">
        <v>104</v>
      </c>
      <c r="R378" s="6" t="s">
        <v>104</v>
      </c>
      <c r="S378" s="6" t="s">
        <v>104</v>
      </c>
      <c r="T378" s="21" t="s">
        <v>104</v>
      </c>
      <c r="U378" s="6" t="s">
        <v>104</v>
      </c>
      <c r="V378" s="6" t="s">
        <v>104</v>
      </c>
      <c r="W378" s="6" t="s">
        <v>104</v>
      </c>
      <c r="X378" s="6" t="s">
        <v>104</v>
      </c>
      <c r="Y378" s="21" t="s">
        <v>104</v>
      </c>
      <c r="Z378" s="6" t="s">
        <v>104</v>
      </c>
      <c r="AA378" s="6" t="s">
        <v>104</v>
      </c>
      <c r="AB378" s="6" t="s">
        <v>104</v>
      </c>
      <c r="AC378" s="6" t="s">
        <v>9714</v>
      </c>
      <c r="AD378" s="16" t="n">
        <v>41171</v>
      </c>
      <c r="AE378" s="6" t="s">
        <v>10858</v>
      </c>
      <c r="AF378" s="6" t="s">
        <v>104</v>
      </c>
      <c r="AG378" s="6" t="s">
        <v>104</v>
      </c>
      <c r="AH378" s="6" t="s">
        <v>13493</v>
      </c>
      <c r="AI378" s="6" t="s">
        <v>104</v>
      </c>
      <c r="AJ378" s="6" t="s">
        <v>15428</v>
      </c>
      <c r="AK378" s="6" t="s">
        <v>16687</v>
      </c>
      <c r="AL378" s="6" t="s">
        <v>16931</v>
      </c>
      <c r="AM378" s="6" t="s">
        <v>17056</v>
      </c>
      <c r="AN378" s="6" t="s">
        <v>18471</v>
      </c>
      <c r="AO378" s="6" t="s">
        <v>18579</v>
      </c>
      <c r="AP378" s="6" t="s">
        <v>13493</v>
      </c>
      <c r="AQ378" s="6" t="s">
        <v>104</v>
      </c>
      <c r="AR378" s="6" t="s">
        <v>15428</v>
      </c>
      <c r="AS378" s="6" t="s">
        <v>16687</v>
      </c>
      <c r="AT378" s="6" t="s">
        <v>16931</v>
      </c>
      <c r="AU378" s="6" t="s">
        <v>17056</v>
      </c>
      <c r="AV378" s="6" t="s">
        <v>104</v>
      </c>
      <c r="AW378" s="6" t="s">
        <v>104</v>
      </c>
      <c r="AX378" s="6" t="s">
        <v>20416</v>
      </c>
      <c r="AY378" s="6" t="s">
        <v>22170</v>
      </c>
      <c r="AZ378" s="6" t="s">
        <v>23793</v>
      </c>
      <c r="BA378" s="6" t="s">
        <v>24318</v>
      </c>
      <c r="BB378" s="6" t="s">
        <v>104</v>
      </c>
      <c r="BC378" s="26"/>
      <c r="BD378" s="26"/>
      <c r="BE378" s="26"/>
      <c r="BF378" s="26"/>
      <c r="BG378" s="26"/>
      <c r="BH378" s="26"/>
      <c r="BI378" s="26"/>
      <c r="BJ378" s="26"/>
      <c r="BK378" s="26"/>
      <c r="BL378" s="26"/>
      <c r="BM378" s="26"/>
      <c r="BN378" s="26"/>
      <c r="BO378" s="26"/>
      <c r="BP378" s="16" t="n">
        <v>45691</v>
      </c>
      <c r="BQ378" s="28" t="str">
        <f>HYPERLINK("https://organic.ams.usda.gov/Integrity/Certificate.aspx?cid=15&amp;nopid=5561001760")</f>
        <v>https://organic.ams.usda.gov/Integrity/Certificate.aspx?cid=15&amp;nopid=5561001760</v>
      </c>
    </row>
    <row r="379">
      <c r="A379" t="s">
        <v>3</v>
      </c>
      <c r="B379" s="6" t="s">
        <v>29</v>
      </c>
      <c r="C379" s="6" t="s">
        <v>95</v>
      </c>
      <c r="D379" s="6" t="s">
        <v>160</v>
      </c>
      <c r="E379" s="10" t="s">
        <v>577</v>
      </c>
      <c r="F379" s="6" t="s">
        <v>2832</v>
      </c>
      <c r="G379" s="6" t="s">
        <v>104</v>
      </c>
      <c r="H379" s="6" t="s">
        <v>5237</v>
      </c>
      <c r="I379" s="6" t="s">
        <v>104</v>
      </c>
      <c r="J379" s="6" t="s">
        <v>8421</v>
      </c>
      <c r="K379" s="6" t="s">
        <v>9714</v>
      </c>
      <c r="L379" s="16" t="n">
        <v>43184</v>
      </c>
      <c r="M379" s="16" t="n">
        <v>45778</v>
      </c>
      <c r="N379" s="6" t="s">
        <v>9714</v>
      </c>
      <c r="O379" s="16" t="n">
        <v>43184</v>
      </c>
      <c r="P379" s="6" t="s">
        <v>9834</v>
      </c>
      <c r="Q379" s="6" t="s">
        <v>104</v>
      </c>
      <c r="R379" s="6" t="s">
        <v>104</v>
      </c>
      <c r="S379" s="6" t="s">
        <v>104</v>
      </c>
      <c r="T379" s="21" t="s">
        <v>104</v>
      </c>
      <c r="U379" s="6" t="s">
        <v>104</v>
      </c>
      <c r="V379" s="6" t="s">
        <v>104</v>
      </c>
      <c r="W379" s="6" t="s">
        <v>104</v>
      </c>
      <c r="X379" s="6" t="s">
        <v>104</v>
      </c>
      <c r="Y379" s="21" t="s">
        <v>104</v>
      </c>
      <c r="Z379" s="6" t="s">
        <v>104</v>
      </c>
      <c r="AA379" s="6" t="s">
        <v>104</v>
      </c>
      <c r="AB379" s="6" t="s">
        <v>104</v>
      </c>
      <c r="AC379" s="6" t="s">
        <v>9714</v>
      </c>
      <c r="AD379" s="16" t="n">
        <v>43184</v>
      </c>
      <c r="AE379" s="6" t="s">
        <v>10859</v>
      </c>
      <c r="AF379" s="6" t="s">
        <v>104</v>
      </c>
      <c r="AG379" s="6" t="s">
        <v>104</v>
      </c>
      <c r="AH379" s="6" t="s">
        <v>13494</v>
      </c>
      <c r="AI379" s="6" t="s">
        <v>104</v>
      </c>
      <c r="AJ379" s="6" t="s">
        <v>15625</v>
      </c>
      <c r="AK379" s="6" t="s">
        <v>16763</v>
      </c>
      <c r="AL379" s="6" t="s">
        <v>16960</v>
      </c>
      <c r="AM379" s="6" t="s">
        <v>17245</v>
      </c>
      <c r="AN379" s="6" t="s">
        <v>104</v>
      </c>
      <c r="AO379" s="6" t="s">
        <v>104</v>
      </c>
      <c r="AP379" s="6" t="s">
        <v>104</v>
      </c>
      <c r="AQ379" s="6" t="s">
        <v>104</v>
      </c>
      <c r="AR379" s="6" t="s">
        <v>104</v>
      </c>
      <c r="AS379" s="6" t="s">
        <v>104</v>
      </c>
      <c r="AT379" s="6" t="s">
        <v>104</v>
      </c>
      <c r="AU379" s="6" t="s">
        <v>104</v>
      </c>
      <c r="AV379" s="6" t="s">
        <v>104</v>
      </c>
      <c r="AW379" s="6" t="s">
        <v>104</v>
      </c>
      <c r="AX379" s="6" t="s">
        <v>20417</v>
      </c>
      <c r="AY379" s="6" t="s">
        <v>22171</v>
      </c>
      <c r="AZ379" s="6" t="s">
        <v>104</v>
      </c>
      <c r="BA379" s="6" t="s">
        <v>104</v>
      </c>
      <c r="BB379" s="24" t="n">
        <v>1356</v>
      </c>
      <c r="BC379" s="26"/>
      <c r="BD379" s="26"/>
      <c r="BE379" s="26"/>
      <c r="BF379" s="26"/>
      <c r="BG379" s="26"/>
      <c r="BH379" s="26"/>
      <c r="BI379" s="26"/>
      <c r="BJ379" s="26"/>
      <c r="BK379" s="26"/>
      <c r="BL379" s="26"/>
      <c r="BM379" s="26"/>
      <c r="BN379" s="26"/>
      <c r="BO379" s="26"/>
      <c r="BP379" s="16" t="n">
        <v>45727</v>
      </c>
      <c r="BQ379" s="28" t="str">
        <f>HYPERLINK("https://organic.ams.usda.gov/Integrity/Certificate.aspx?cid=24&amp;nopid=7880179918")</f>
        <v>https://organic.ams.usda.gov/Integrity/Certificate.aspx?cid=24&amp;nopid=7880179918</v>
      </c>
    </row>
    <row r="380">
      <c r="A380" t="s">
        <v>3</v>
      </c>
      <c r="B380" s="6" t="s">
        <v>54</v>
      </c>
      <c r="C380" s="6" t="s">
        <v>120</v>
      </c>
      <c r="D380" s="6" t="s">
        <v>184</v>
      </c>
      <c r="E380" s="10" t="s">
        <v>578</v>
      </c>
      <c r="F380" s="6" t="s">
        <v>2833</v>
      </c>
      <c r="G380" s="6" t="s">
        <v>104</v>
      </c>
      <c r="H380" s="6" t="s">
        <v>5238</v>
      </c>
      <c r="I380" s="6" t="s">
        <v>6966</v>
      </c>
      <c r="J380" s="6" t="s">
        <v>8422</v>
      </c>
      <c r="K380" s="6" t="s">
        <v>9714</v>
      </c>
      <c r="L380" s="16" t="n">
        <v>45274</v>
      </c>
      <c r="M380" s="16" t="n">
        <v>45809</v>
      </c>
      <c r="N380" s="6" t="s">
        <v>104</v>
      </c>
      <c r="O380" s="21" t="s">
        <v>104</v>
      </c>
      <c r="P380" s="6" t="s">
        <v>104</v>
      </c>
      <c r="Q380" s="6" t="s">
        <v>104</v>
      </c>
      <c r="R380" s="6" t="s">
        <v>104</v>
      </c>
      <c r="S380" s="6" t="s">
        <v>104</v>
      </c>
      <c r="T380" s="21" t="s">
        <v>104</v>
      </c>
      <c r="U380" s="6" t="s">
        <v>104</v>
      </c>
      <c r="V380" s="6" t="s">
        <v>104</v>
      </c>
      <c r="W380" s="6" t="s">
        <v>104</v>
      </c>
      <c r="X380" s="6" t="s">
        <v>104</v>
      </c>
      <c r="Y380" s="21" t="s">
        <v>104</v>
      </c>
      <c r="Z380" s="6" t="s">
        <v>104</v>
      </c>
      <c r="AA380" s="6" t="s">
        <v>104</v>
      </c>
      <c r="AB380" s="6" t="s">
        <v>104</v>
      </c>
      <c r="AC380" s="6" t="s">
        <v>9714</v>
      </c>
      <c r="AD380" s="16" t="n">
        <v>45274</v>
      </c>
      <c r="AE380" s="6" t="s">
        <v>10860</v>
      </c>
      <c r="AF380" s="6" t="s">
        <v>104</v>
      </c>
      <c r="AG380" s="6" t="s">
        <v>104</v>
      </c>
      <c r="AH380" s="6" t="s">
        <v>13495</v>
      </c>
      <c r="AI380" s="6" t="s">
        <v>104</v>
      </c>
      <c r="AJ380" s="6" t="s">
        <v>15626</v>
      </c>
      <c r="AK380" s="6" t="s">
        <v>16743</v>
      </c>
      <c r="AL380" s="6" t="s">
        <v>16931</v>
      </c>
      <c r="AM380" s="6" t="s">
        <v>17246</v>
      </c>
      <c r="AN380" s="6" t="s">
        <v>104</v>
      </c>
      <c r="AO380" s="6" t="s">
        <v>104</v>
      </c>
      <c r="AP380" s="6" t="s">
        <v>104</v>
      </c>
      <c r="AQ380" s="6" t="s">
        <v>104</v>
      </c>
      <c r="AR380" s="6" t="s">
        <v>104</v>
      </c>
      <c r="AS380" s="6" t="s">
        <v>104</v>
      </c>
      <c r="AT380" s="6" t="s">
        <v>104</v>
      </c>
      <c r="AU380" s="6" t="s">
        <v>104</v>
      </c>
      <c r="AV380" s="6" t="s">
        <v>104</v>
      </c>
      <c r="AW380" s="6" t="s">
        <v>104</v>
      </c>
      <c r="AX380" s="6" t="s">
        <v>104</v>
      </c>
      <c r="AY380" s="6" t="s">
        <v>22172</v>
      </c>
      <c r="AZ380" s="6" t="s">
        <v>23794</v>
      </c>
      <c r="BA380" s="6" t="s">
        <v>104</v>
      </c>
      <c r="BB380" s="6" t="s">
        <v>104</v>
      </c>
      <c r="BC380" s="26" t="s">
        <v>24533</v>
      </c>
      <c r="BD380" s="26"/>
      <c r="BE380" s="26"/>
      <c r="BF380" s="26"/>
      <c r="BG380" s="26"/>
      <c r="BH380" s="26" t="s">
        <v>24533</v>
      </c>
      <c r="BI380" s="26"/>
      <c r="BJ380" s="26"/>
      <c r="BK380" s="26"/>
      <c r="BL380" s="26"/>
      <c r="BM380" s="26"/>
      <c r="BN380" s="26"/>
      <c r="BO380" s="26"/>
      <c r="BP380" s="16" t="n">
        <v>45639</v>
      </c>
      <c r="BQ380" s="28" t="str">
        <f>HYPERLINK("https://organic.ams.usda.gov/Integrity/Certificate.aspx?cid=60&amp;nopid=2580006635")</f>
        <v>https://organic.ams.usda.gov/Integrity/Certificate.aspx?cid=60&amp;nopid=2580006635</v>
      </c>
    </row>
    <row r="381">
      <c r="A381" t="s">
        <v>3</v>
      </c>
      <c r="B381" s="6" t="s">
        <v>54</v>
      </c>
      <c r="C381" s="6" t="s">
        <v>120</v>
      </c>
      <c r="D381" s="6" t="s">
        <v>184</v>
      </c>
      <c r="E381" s="10" t="s">
        <v>579</v>
      </c>
      <c r="F381" s="6" t="s">
        <v>2833</v>
      </c>
      <c r="G381" s="6" t="s">
        <v>104</v>
      </c>
      <c r="H381" s="6" t="s">
        <v>5239</v>
      </c>
      <c r="I381" s="6" t="s">
        <v>7192</v>
      </c>
      <c r="J381" s="6" t="s">
        <v>8423</v>
      </c>
      <c r="K381" s="6" t="s">
        <v>9714</v>
      </c>
      <c r="L381" s="16" t="n">
        <v>45250</v>
      </c>
      <c r="M381" s="16" t="n">
        <v>45809</v>
      </c>
      <c r="N381" s="6" t="s">
        <v>104</v>
      </c>
      <c r="O381" s="21" t="s">
        <v>104</v>
      </c>
      <c r="P381" s="6" t="s">
        <v>104</v>
      </c>
      <c r="Q381" s="6" t="s">
        <v>104</v>
      </c>
      <c r="R381" s="6" t="s">
        <v>104</v>
      </c>
      <c r="S381" s="6" t="s">
        <v>104</v>
      </c>
      <c r="T381" s="21" t="s">
        <v>104</v>
      </c>
      <c r="U381" s="6" t="s">
        <v>104</v>
      </c>
      <c r="V381" s="6" t="s">
        <v>104</v>
      </c>
      <c r="W381" s="6" t="s">
        <v>104</v>
      </c>
      <c r="X381" s="6" t="s">
        <v>104</v>
      </c>
      <c r="Y381" s="21" t="s">
        <v>104</v>
      </c>
      <c r="Z381" s="6" t="s">
        <v>104</v>
      </c>
      <c r="AA381" s="6" t="s">
        <v>104</v>
      </c>
      <c r="AB381" s="6" t="s">
        <v>104</v>
      </c>
      <c r="AC381" s="6" t="s">
        <v>9714</v>
      </c>
      <c r="AD381" s="16" t="n">
        <v>45250</v>
      </c>
      <c r="AE381" s="6" t="s">
        <v>10861</v>
      </c>
      <c r="AF381" s="6" t="s">
        <v>104</v>
      </c>
      <c r="AG381" s="6" t="s">
        <v>104</v>
      </c>
      <c r="AH381" s="6" t="s">
        <v>13496</v>
      </c>
      <c r="AI381" s="6" t="s">
        <v>104</v>
      </c>
      <c r="AJ381" s="6" t="s">
        <v>7715</v>
      </c>
      <c r="AK381" s="6" t="s">
        <v>16743</v>
      </c>
      <c r="AL381" s="6" t="s">
        <v>16931</v>
      </c>
      <c r="AM381" s="6" t="s">
        <v>17247</v>
      </c>
      <c r="AN381" s="6" t="s">
        <v>104</v>
      </c>
      <c r="AO381" s="6" t="s">
        <v>104</v>
      </c>
      <c r="AP381" s="6" t="s">
        <v>19057</v>
      </c>
      <c r="AQ381" s="6" t="s">
        <v>104</v>
      </c>
      <c r="AR381" s="6" t="s">
        <v>19627</v>
      </c>
      <c r="AS381" s="6" t="s">
        <v>16743</v>
      </c>
      <c r="AT381" s="6" t="s">
        <v>16931</v>
      </c>
      <c r="AU381" s="6" t="s">
        <v>19854</v>
      </c>
      <c r="AV381" s="6" t="s">
        <v>104</v>
      </c>
      <c r="AW381" s="6" t="s">
        <v>104</v>
      </c>
      <c r="AX381" s="6" t="s">
        <v>104</v>
      </c>
      <c r="AY381" s="6" t="s">
        <v>22173</v>
      </c>
      <c r="AZ381" s="6" t="s">
        <v>104</v>
      </c>
      <c r="BA381" s="6" t="s">
        <v>24272</v>
      </c>
      <c r="BB381" s="6" t="s">
        <v>104</v>
      </c>
      <c r="BC381" s="26"/>
      <c r="BD381" s="26"/>
      <c r="BE381" s="26"/>
      <c r="BF381" s="26"/>
      <c r="BG381" s="26" t="s">
        <v>24533</v>
      </c>
      <c r="BH381" s="26"/>
      <c r="BI381" s="26"/>
      <c r="BJ381" s="26"/>
      <c r="BK381" s="26"/>
      <c r="BL381" s="26"/>
      <c r="BM381" s="26"/>
      <c r="BN381" s="26" t="s">
        <v>24533</v>
      </c>
      <c r="BO381" s="26"/>
      <c r="BP381" s="16" t="n">
        <v>45646</v>
      </c>
      <c r="BQ381" s="28" t="str">
        <f>HYPERLINK("https://organic.ams.usda.gov/Integrity/Certificate.aspx?cid=60&amp;nopid=2580006475")</f>
        <v>https://organic.ams.usda.gov/Integrity/Certificate.aspx?cid=60&amp;nopid=2580006475</v>
      </c>
    </row>
    <row r="382">
      <c r="A382" t="s">
        <v>3</v>
      </c>
      <c r="B382" s="6" t="s">
        <v>54</v>
      </c>
      <c r="C382" s="6" t="s">
        <v>120</v>
      </c>
      <c r="D382" s="6" t="s">
        <v>184</v>
      </c>
      <c r="E382" s="10" t="s">
        <v>580</v>
      </c>
      <c r="F382" s="6" t="s">
        <v>2834</v>
      </c>
      <c r="G382" s="6" t="s">
        <v>104</v>
      </c>
      <c r="H382" s="6" t="s">
        <v>5240</v>
      </c>
      <c r="I382" s="6" t="s">
        <v>7193</v>
      </c>
      <c r="J382" s="6" t="s">
        <v>8424</v>
      </c>
      <c r="K382" s="6" t="s">
        <v>9714</v>
      </c>
      <c r="L382" s="16" t="n">
        <v>44146</v>
      </c>
      <c r="M382" s="16" t="n">
        <v>45444</v>
      </c>
      <c r="N382" s="6" t="s">
        <v>104</v>
      </c>
      <c r="O382" s="21" t="s">
        <v>104</v>
      </c>
      <c r="P382" s="6" t="s">
        <v>104</v>
      </c>
      <c r="Q382" s="6" t="s">
        <v>104</v>
      </c>
      <c r="R382" s="6" t="s">
        <v>104</v>
      </c>
      <c r="S382" s="6" t="s">
        <v>104</v>
      </c>
      <c r="T382" s="21" t="s">
        <v>104</v>
      </c>
      <c r="U382" s="6" t="s">
        <v>104</v>
      </c>
      <c r="V382" s="6" t="s">
        <v>104</v>
      </c>
      <c r="W382" s="6" t="s">
        <v>104</v>
      </c>
      <c r="X382" s="6" t="s">
        <v>104</v>
      </c>
      <c r="Y382" s="21" t="s">
        <v>104</v>
      </c>
      <c r="Z382" s="6" t="s">
        <v>104</v>
      </c>
      <c r="AA382" s="6" t="s">
        <v>104</v>
      </c>
      <c r="AB382" s="6" t="s">
        <v>104</v>
      </c>
      <c r="AC382" s="6" t="s">
        <v>9714</v>
      </c>
      <c r="AD382" s="16" t="n">
        <v>44146</v>
      </c>
      <c r="AE382" s="6" t="s">
        <v>10862</v>
      </c>
      <c r="AF382" s="6" t="s">
        <v>104</v>
      </c>
      <c r="AG382" s="6" t="s">
        <v>104</v>
      </c>
      <c r="AH382" s="6" t="s">
        <v>13497</v>
      </c>
      <c r="AI382" s="6" t="s">
        <v>104</v>
      </c>
      <c r="AJ382" s="6" t="s">
        <v>15627</v>
      </c>
      <c r="AK382" s="6" t="s">
        <v>16743</v>
      </c>
      <c r="AL382" s="6" t="s">
        <v>16931</v>
      </c>
      <c r="AM382" s="6" t="s">
        <v>17248</v>
      </c>
      <c r="AN382" s="6" t="s">
        <v>18507</v>
      </c>
      <c r="AO382" s="6" t="s">
        <v>18630</v>
      </c>
      <c r="AP382" s="6" t="s">
        <v>19057</v>
      </c>
      <c r="AQ382" s="6" t="s">
        <v>104</v>
      </c>
      <c r="AR382" s="6" t="s">
        <v>19627</v>
      </c>
      <c r="AS382" s="6" t="s">
        <v>16743</v>
      </c>
      <c r="AT382" s="6" t="s">
        <v>16931</v>
      </c>
      <c r="AU382" s="6" t="s">
        <v>19854</v>
      </c>
      <c r="AV382" s="6" t="s">
        <v>104</v>
      </c>
      <c r="AW382" s="6" t="s">
        <v>104</v>
      </c>
      <c r="AX382" s="6" t="s">
        <v>20418</v>
      </c>
      <c r="AY382" s="6" t="s">
        <v>22174</v>
      </c>
      <c r="AZ382" s="6" t="s">
        <v>104</v>
      </c>
      <c r="BA382" s="6" t="s">
        <v>24319</v>
      </c>
      <c r="BB382" s="6" t="s">
        <v>104</v>
      </c>
      <c r="BC382" s="26"/>
      <c r="BD382" s="26"/>
      <c r="BE382" s="26"/>
      <c r="BF382" s="26"/>
      <c r="BG382" s="26"/>
      <c r="BH382" s="26"/>
      <c r="BI382" s="26"/>
      <c r="BJ382" s="26"/>
      <c r="BK382" s="26"/>
      <c r="BL382" s="26"/>
      <c r="BM382" s="26"/>
      <c r="BN382" s="26"/>
      <c r="BO382" s="26"/>
      <c r="BP382" s="16" t="n">
        <v>45370</v>
      </c>
      <c r="BQ382" s="28" t="str">
        <f>HYPERLINK("https://organic.ams.usda.gov/Integrity/Certificate.aspx?cid=60&amp;nopid=2580003958")</f>
        <v>https://organic.ams.usda.gov/Integrity/Certificate.aspx?cid=60&amp;nopid=2580003958</v>
      </c>
    </row>
    <row r="383">
      <c r="A383" t="s">
        <v>3</v>
      </c>
      <c r="B383" s="6" t="s">
        <v>21</v>
      </c>
      <c r="C383" s="6" t="s">
        <v>87</v>
      </c>
      <c r="D383" s="6" t="s">
        <v>152</v>
      </c>
      <c r="E383" s="10" t="s">
        <v>581</v>
      </c>
      <c r="F383" s="6" t="s">
        <v>2835</v>
      </c>
      <c r="G383" s="6" t="s">
        <v>4709</v>
      </c>
      <c r="H383" s="6" t="s">
        <v>5241</v>
      </c>
      <c r="I383" s="6" t="s">
        <v>7189</v>
      </c>
      <c r="J383" s="6" t="s">
        <v>8425</v>
      </c>
      <c r="K383" s="6" t="s">
        <v>9714</v>
      </c>
      <c r="L383" s="16" t="n">
        <v>44440</v>
      </c>
      <c r="M383" s="16" t="n">
        <v>46023</v>
      </c>
      <c r="N383" s="6" t="s">
        <v>104</v>
      </c>
      <c r="O383" s="21" t="s">
        <v>104</v>
      </c>
      <c r="P383" s="6" t="s">
        <v>104</v>
      </c>
      <c r="Q383" s="6" t="s">
        <v>104</v>
      </c>
      <c r="R383" s="6" t="s">
        <v>104</v>
      </c>
      <c r="S383" s="6" t="s">
        <v>104</v>
      </c>
      <c r="T383" s="21" t="s">
        <v>104</v>
      </c>
      <c r="U383" s="6" t="s">
        <v>104</v>
      </c>
      <c r="V383" s="6" t="s">
        <v>104</v>
      </c>
      <c r="W383" s="6" t="s">
        <v>104</v>
      </c>
      <c r="X383" s="6" t="s">
        <v>104</v>
      </c>
      <c r="Y383" s="21" t="s">
        <v>104</v>
      </c>
      <c r="Z383" s="6" t="s">
        <v>104</v>
      </c>
      <c r="AA383" s="6" t="s">
        <v>104</v>
      </c>
      <c r="AB383" s="6" t="s">
        <v>104</v>
      </c>
      <c r="AC383" s="6" t="s">
        <v>9714</v>
      </c>
      <c r="AD383" s="16" t="n">
        <v>44440</v>
      </c>
      <c r="AE383" s="6" t="s">
        <v>10863</v>
      </c>
      <c r="AF383" s="6" t="s">
        <v>104</v>
      </c>
      <c r="AG383" s="6" t="s">
        <v>104</v>
      </c>
      <c r="AH383" s="6" t="s">
        <v>13498</v>
      </c>
      <c r="AI383" s="6" t="s">
        <v>104</v>
      </c>
      <c r="AJ383" s="6" t="s">
        <v>15628</v>
      </c>
      <c r="AK383" s="6" t="s">
        <v>16687</v>
      </c>
      <c r="AL383" s="6" t="s">
        <v>16931</v>
      </c>
      <c r="AM383" s="6" t="s">
        <v>17249</v>
      </c>
      <c r="AN383" s="6" t="s">
        <v>18476</v>
      </c>
      <c r="AO383" s="6" t="s">
        <v>18585</v>
      </c>
      <c r="AP383" s="6" t="s">
        <v>19058</v>
      </c>
      <c r="AQ383" s="6" t="s">
        <v>104</v>
      </c>
      <c r="AR383" s="6" t="s">
        <v>15628</v>
      </c>
      <c r="AS383" s="6" t="s">
        <v>16687</v>
      </c>
      <c r="AT383" s="6" t="s">
        <v>16931</v>
      </c>
      <c r="AU383" s="6" t="s">
        <v>17249</v>
      </c>
      <c r="AV383" s="6" t="s">
        <v>104</v>
      </c>
      <c r="AW383" s="6" t="s">
        <v>104</v>
      </c>
      <c r="AX383" s="6" t="s">
        <v>20419</v>
      </c>
      <c r="AY383" s="6" t="s">
        <v>22175</v>
      </c>
      <c r="AZ383" s="6" t="s">
        <v>23795</v>
      </c>
      <c r="BA383" s="6" t="s">
        <v>24263</v>
      </c>
      <c r="BB383" s="6" t="s">
        <v>104</v>
      </c>
      <c r="BC383" s="26"/>
      <c r="BD383" s="26"/>
      <c r="BE383" s="26"/>
      <c r="BF383" s="26"/>
      <c r="BG383" s="26"/>
      <c r="BH383" s="26"/>
      <c r="BI383" s="26"/>
      <c r="BJ383" s="26"/>
      <c r="BK383" s="26"/>
      <c r="BL383" s="26"/>
      <c r="BM383" s="26"/>
      <c r="BN383" s="26"/>
      <c r="BO383" s="26"/>
      <c r="BP383" s="16" t="n">
        <v>45667</v>
      </c>
      <c r="BQ383" s="28" t="str">
        <f>HYPERLINK("https://organic.ams.usda.gov/Integrity/Certificate.aspx?cid=15&amp;nopid=5561002152")</f>
        <v>https://organic.ams.usda.gov/Integrity/Certificate.aspx?cid=15&amp;nopid=5561002152</v>
      </c>
    </row>
    <row r="384">
      <c r="A384" t="s">
        <v>3</v>
      </c>
      <c r="B384" s="6" t="s">
        <v>21</v>
      </c>
      <c r="C384" s="6" t="s">
        <v>87</v>
      </c>
      <c r="D384" s="6" t="s">
        <v>152</v>
      </c>
      <c r="E384" s="10" t="s">
        <v>582</v>
      </c>
      <c r="F384" s="6" t="s">
        <v>2836</v>
      </c>
      <c r="G384" s="6" t="s">
        <v>4710</v>
      </c>
      <c r="H384" s="6" t="s">
        <v>5242</v>
      </c>
      <c r="I384" s="6" t="s">
        <v>7194</v>
      </c>
      <c r="J384" s="6" t="s">
        <v>8426</v>
      </c>
      <c r="K384" s="6" t="s">
        <v>9714</v>
      </c>
      <c r="L384" s="16" t="n">
        <v>41141</v>
      </c>
      <c r="M384" s="16" t="n">
        <v>46023</v>
      </c>
      <c r="N384" s="6" t="s">
        <v>9714</v>
      </c>
      <c r="O384" s="16" t="n">
        <v>41141</v>
      </c>
      <c r="P384" s="6" t="s">
        <v>9835</v>
      </c>
      <c r="Q384" s="6" t="s">
        <v>104</v>
      </c>
      <c r="R384" s="6" t="s">
        <v>104</v>
      </c>
      <c r="S384" s="6" t="s">
        <v>104</v>
      </c>
      <c r="T384" s="21" t="s">
        <v>104</v>
      </c>
      <c r="U384" s="6" t="s">
        <v>104</v>
      </c>
      <c r="V384" s="6" t="s">
        <v>104</v>
      </c>
      <c r="W384" s="6" t="s">
        <v>104</v>
      </c>
      <c r="X384" s="6" t="s">
        <v>104</v>
      </c>
      <c r="Y384" s="21" t="s">
        <v>104</v>
      </c>
      <c r="Z384" s="6" t="s">
        <v>104</v>
      </c>
      <c r="AA384" s="6" t="s">
        <v>104</v>
      </c>
      <c r="AB384" s="6" t="s">
        <v>104</v>
      </c>
      <c r="AC384" s="6" t="s">
        <v>9714</v>
      </c>
      <c r="AD384" s="16" t="n">
        <v>41837</v>
      </c>
      <c r="AE384" s="6" t="s">
        <v>10864</v>
      </c>
      <c r="AF384" s="6" t="s">
        <v>104</v>
      </c>
      <c r="AG384" s="6" t="s">
        <v>104</v>
      </c>
      <c r="AH384" s="6" t="s">
        <v>13499</v>
      </c>
      <c r="AI384" s="6" t="s">
        <v>104</v>
      </c>
      <c r="AJ384" s="6" t="s">
        <v>15629</v>
      </c>
      <c r="AK384" s="6" t="s">
        <v>16687</v>
      </c>
      <c r="AL384" s="6" t="s">
        <v>16931</v>
      </c>
      <c r="AM384" s="6" t="s">
        <v>17250</v>
      </c>
      <c r="AN384" s="6" t="s">
        <v>104</v>
      </c>
      <c r="AO384" s="6" t="s">
        <v>104</v>
      </c>
      <c r="AP384" s="6" t="s">
        <v>19059</v>
      </c>
      <c r="AQ384" s="6" t="s">
        <v>104</v>
      </c>
      <c r="AR384" s="6" t="s">
        <v>15629</v>
      </c>
      <c r="AS384" s="6" t="s">
        <v>16687</v>
      </c>
      <c r="AT384" s="6" t="s">
        <v>16931</v>
      </c>
      <c r="AU384" s="6" t="s">
        <v>17250</v>
      </c>
      <c r="AV384" s="6" t="s">
        <v>18474</v>
      </c>
      <c r="AW384" s="6" t="s">
        <v>20082</v>
      </c>
      <c r="AX384" s="6" t="s">
        <v>20420</v>
      </c>
      <c r="AY384" s="6" t="s">
        <v>22176</v>
      </c>
      <c r="AZ384" s="6" t="s">
        <v>23796</v>
      </c>
      <c r="BA384" s="6" t="s">
        <v>24320</v>
      </c>
      <c r="BB384" s="24" t="n">
        <v>57</v>
      </c>
      <c r="BC384" s="26"/>
      <c r="BD384" s="26"/>
      <c r="BE384" s="26" t="s">
        <v>24533</v>
      </c>
      <c r="BF384" s="26"/>
      <c r="BG384" s="26"/>
      <c r="BH384" s="26"/>
      <c r="BI384" s="26"/>
      <c r="BJ384" s="26"/>
      <c r="BK384" s="26"/>
      <c r="BL384" s="26"/>
      <c r="BM384" s="26"/>
      <c r="BN384" s="26"/>
      <c r="BO384" s="26"/>
      <c r="BP384" s="16" t="n">
        <v>45699</v>
      </c>
      <c r="BQ384" s="28" t="str">
        <f>HYPERLINK("https://organic.ams.usda.gov/Integrity/Certificate.aspx?cid=15&amp;nopid=5561003037")</f>
        <v>https://organic.ams.usda.gov/Integrity/Certificate.aspx?cid=15&amp;nopid=5561003037</v>
      </c>
    </row>
    <row r="385">
      <c r="A385" t="s">
        <v>3</v>
      </c>
      <c r="B385" s="6" t="s">
        <v>31</v>
      </c>
      <c r="C385" s="6" t="s">
        <v>97</v>
      </c>
      <c r="D385" s="6" t="s">
        <v>162</v>
      </c>
      <c r="E385" s="10" t="s">
        <v>583</v>
      </c>
      <c r="F385" s="6" t="s">
        <v>2837</v>
      </c>
      <c r="G385" s="6" t="s">
        <v>104</v>
      </c>
      <c r="H385" s="6" t="s">
        <v>5243</v>
      </c>
      <c r="I385" s="6" t="s">
        <v>7195</v>
      </c>
      <c r="J385" s="6" t="s">
        <v>8427</v>
      </c>
      <c r="K385" s="6" t="s">
        <v>9714</v>
      </c>
      <c r="L385" s="16" t="n">
        <v>42447</v>
      </c>
      <c r="M385" s="16" t="n">
        <v>45734</v>
      </c>
      <c r="N385" s="6" t="s">
        <v>9714</v>
      </c>
      <c r="O385" s="16" t="n">
        <v>42447</v>
      </c>
      <c r="P385" s="6" t="s">
        <v>9836</v>
      </c>
      <c r="Q385" s="6" t="s">
        <v>104</v>
      </c>
      <c r="R385" s="6" t="s">
        <v>10328</v>
      </c>
      <c r="S385" s="6" t="s">
        <v>104</v>
      </c>
      <c r="T385" s="21" t="s">
        <v>104</v>
      </c>
      <c r="U385" s="6" t="s">
        <v>104</v>
      </c>
      <c r="V385" s="6" t="s">
        <v>104</v>
      </c>
      <c r="W385" s="6" t="s">
        <v>104</v>
      </c>
      <c r="X385" s="6" t="s">
        <v>104</v>
      </c>
      <c r="Y385" s="21" t="s">
        <v>104</v>
      </c>
      <c r="Z385" s="6" t="s">
        <v>104</v>
      </c>
      <c r="AA385" s="6" t="s">
        <v>104</v>
      </c>
      <c r="AB385" s="6" t="s">
        <v>104</v>
      </c>
      <c r="AC385" s="6" t="s">
        <v>9714</v>
      </c>
      <c r="AD385" s="16" t="n">
        <v>42447</v>
      </c>
      <c r="AE385" s="6" t="s">
        <v>10865</v>
      </c>
      <c r="AF385" s="6" t="s">
        <v>104</v>
      </c>
      <c r="AG385" s="6" t="s">
        <v>10328</v>
      </c>
      <c r="AH385" s="6" t="s">
        <v>13500</v>
      </c>
      <c r="AI385" s="6" t="s">
        <v>104</v>
      </c>
      <c r="AJ385" s="6" t="s">
        <v>15630</v>
      </c>
      <c r="AK385" s="6" t="s">
        <v>16764</v>
      </c>
      <c r="AL385" s="6" t="s">
        <v>16943</v>
      </c>
      <c r="AM385" s="6" t="s">
        <v>104</v>
      </c>
      <c r="AN385" s="6" t="s">
        <v>104</v>
      </c>
      <c r="AO385" s="6" t="s">
        <v>104</v>
      </c>
      <c r="AP385" s="6" t="s">
        <v>19060</v>
      </c>
      <c r="AQ385" s="6" t="s">
        <v>104</v>
      </c>
      <c r="AR385" s="6" t="s">
        <v>15630</v>
      </c>
      <c r="AS385" s="6" t="s">
        <v>16764</v>
      </c>
      <c r="AT385" s="6" t="s">
        <v>16943</v>
      </c>
      <c r="AU385" s="6" t="s">
        <v>19855</v>
      </c>
      <c r="AV385" s="6" t="s">
        <v>104</v>
      </c>
      <c r="AW385" s="6" t="s">
        <v>104</v>
      </c>
      <c r="AX385" s="6" t="s">
        <v>20421</v>
      </c>
      <c r="AY385" s="6" t="s">
        <v>22177</v>
      </c>
      <c r="AZ385" s="6" t="s">
        <v>104</v>
      </c>
      <c r="BA385" s="6" t="s">
        <v>104</v>
      </c>
      <c r="BB385" s="24" t="n">
        <v>1085</v>
      </c>
      <c r="BC385" s="26"/>
      <c r="BD385" s="26"/>
      <c r="BE385" s="26"/>
      <c r="BF385" s="26"/>
      <c r="BG385" s="26"/>
      <c r="BH385" s="26"/>
      <c r="BI385" s="26"/>
      <c r="BJ385" s="26"/>
      <c r="BK385" s="26"/>
      <c r="BL385" s="26"/>
      <c r="BM385" s="26"/>
      <c r="BN385" s="26"/>
      <c r="BO385" s="26" t="s">
        <v>24533</v>
      </c>
      <c r="BP385" s="16" t="n">
        <v>45428</v>
      </c>
      <c r="BQ385" s="28" t="str">
        <f>HYPERLINK("https://organic.ams.usda.gov/Integrity/Certificate.aspx?cid=43&amp;nopid=3532016204")</f>
        <v>https://organic.ams.usda.gov/Integrity/Certificate.aspx?cid=43&amp;nopid=3532016204</v>
      </c>
    </row>
    <row r="386">
      <c r="A386" t="s">
        <v>3</v>
      </c>
      <c r="B386" s="6" t="s">
        <v>20</v>
      </c>
      <c r="C386" s="6" t="s">
        <v>86</v>
      </c>
      <c r="D386" s="6" t="s">
        <v>151</v>
      </c>
      <c r="E386" s="10" t="s">
        <v>584</v>
      </c>
      <c r="F386" s="6" t="s">
        <v>2838</v>
      </c>
      <c r="G386" s="6" t="s">
        <v>104</v>
      </c>
      <c r="H386" s="6" t="s">
        <v>5244</v>
      </c>
      <c r="I386" s="6" t="s">
        <v>7111</v>
      </c>
      <c r="J386" s="6" t="s">
        <v>8331</v>
      </c>
      <c r="K386" s="6" t="s">
        <v>9714</v>
      </c>
      <c r="L386" s="16" t="n">
        <v>43927</v>
      </c>
      <c r="M386" s="16" t="n">
        <v>45777</v>
      </c>
      <c r="N386" s="6" t="s">
        <v>104</v>
      </c>
      <c r="O386" s="21" t="s">
        <v>104</v>
      </c>
      <c r="P386" s="6" t="s">
        <v>104</v>
      </c>
      <c r="Q386" s="6" t="s">
        <v>104</v>
      </c>
      <c r="R386" s="6" t="s">
        <v>104</v>
      </c>
      <c r="S386" s="6" t="s">
        <v>104</v>
      </c>
      <c r="T386" s="21" t="s">
        <v>104</v>
      </c>
      <c r="U386" s="6" t="s">
        <v>104</v>
      </c>
      <c r="V386" s="6" t="s">
        <v>104</v>
      </c>
      <c r="W386" s="6" t="s">
        <v>104</v>
      </c>
      <c r="X386" s="6" t="s">
        <v>104</v>
      </c>
      <c r="Y386" s="21" t="s">
        <v>104</v>
      </c>
      <c r="Z386" s="6" t="s">
        <v>104</v>
      </c>
      <c r="AA386" s="6" t="s">
        <v>104</v>
      </c>
      <c r="AB386" s="6" t="s">
        <v>104</v>
      </c>
      <c r="AC386" s="6" t="s">
        <v>9714</v>
      </c>
      <c r="AD386" s="16" t="n">
        <v>43927</v>
      </c>
      <c r="AE386" s="6" t="s">
        <v>10866</v>
      </c>
      <c r="AF386" s="6" t="s">
        <v>104</v>
      </c>
      <c r="AG386" s="6" t="s">
        <v>12583</v>
      </c>
      <c r="AH386" s="6" t="s">
        <v>13501</v>
      </c>
      <c r="AI386" s="6" t="s">
        <v>104</v>
      </c>
      <c r="AJ386" s="6" t="s">
        <v>15363</v>
      </c>
      <c r="AK386" s="6" t="s">
        <v>104</v>
      </c>
      <c r="AL386" s="6" t="s">
        <v>15513</v>
      </c>
      <c r="AM386" s="6" t="s">
        <v>17168</v>
      </c>
      <c r="AN386" s="6" t="s">
        <v>104</v>
      </c>
      <c r="AO386" s="6" t="s">
        <v>104</v>
      </c>
      <c r="AP386" s="6" t="s">
        <v>104</v>
      </c>
      <c r="AQ386" s="6" t="s">
        <v>104</v>
      </c>
      <c r="AR386" s="6" t="s">
        <v>104</v>
      </c>
      <c r="AS386" s="6" t="s">
        <v>104</v>
      </c>
      <c r="AT386" s="6" t="s">
        <v>104</v>
      </c>
      <c r="AU386" s="6" t="s">
        <v>104</v>
      </c>
      <c r="AV386" s="6" t="s">
        <v>104</v>
      </c>
      <c r="AW386" s="6" t="s">
        <v>104</v>
      </c>
      <c r="AX386" s="6" t="s">
        <v>20328</v>
      </c>
      <c r="AY386" s="6" t="s">
        <v>22069</v>
      </c>
      <c r="AZ386" s="6" t="s">
        <v>104</v>
      </c>
      <c r="BA386" s="6" t="s">
        <v>104</v>
      </c>
      <c r="BB386" s="6" t="s">
        <v>104</v>
      </c>
      <c r="BC386" s="26"/>
      <c r="BD386" s="26"/>
      <c r="BE386" s="26"/>
      <c r="BF386" s="26"/>
      <c r="BG386" s="26"/>
      <c r="BH386" s="26"/>
      <c r="BI386" s="26"/>
      <c r="BJ386" s="26"/>
      <c r="BK386" s="26"/>
      <c r="BL386" s="26"/>
      <c r="BM386" s="26"/>
      <c r="BN386" s="26"/>
      <c r="BO386" s="26"/>
      <c r="BP386" s="16" t="n">
        <v>45485</v>
      </c>
      <c r="BQ386" s="28" t="str">
        <f>HYPERLINK("https://organic.ams.usda.gov/Integrity/Certificate.aspx?cid=17&amp;nopid=4087186150")</f>
        <v>https://organic.ams.usda.gov/Integrity/Certificate.aspx?cid=17&amp;nopid=4087186150</v>
      </c>
    </row>
    <row r="387">
      <c r="A387" t="s">
        <v>3</v>
      </c>
      <c r="B387" s="6" t="s">
        <v>13</v>
      </c>
      <c r="C387" s="6" t="s">
        <v>79</v>
      </c>
      <c r="D387" s="6" t="s">
        <v>144</v>
      </c>
      <c r="E387" s="10" t="s">
        <v>585</v>
      </c>
      <c r="F387" s="6" t="s">
        <v>2839</v>
      </c>
      <c r="G387" s="6" t="s">
        <v>104</v>
      </c>
      <c r="H387" s="6" t="s">
        <v>5245</v>
      </c>
      <c r="I387" s="6" t="s">
        <v>7196</v>
      </c>
      <c r="J387" s="6" t="s">
        <v>8428</v>
      </c>
      <c r="K387" s="6" t="s">
        <v>9714</v>
      </c>
      <c r="L387" s="16" t="n">
        <v>44543</v>
      </c>
      <c r="M387" s="16" t="n">
        <v>46023</v>
      </c>
      <c r="N387" s="6" t="s">
        <v>104</v>
      </c>
      <c r="O387" s="21" t="s">
        <v>104</v>
      </c>
      <c r="P387" s="6" t="s">
        <v>104</v>
      </c>
      <c r="Q387" s="6" t="s">
        <v>104</v>
      </c>
      <c r="R387" s="6" t="s">
        <v>104</v>
      </c>
      <c r="S387" s="6" t="s">
        <v>104</v>
      </c>
      <c r="T387" s="21" t="s">
        <v>104</v>
      </c>
      <c r="U387" s="6" t="s">
        <v>104</v>
      </c>
      <c r="V387" s="6" t="s">
        <v>104</v>
      </c>
      <c r="W387" s="6" t="s">
        <v>104</v>
      </c>
      <c r="X387" s="6" t="s">
        <v>104</v>
      </c>
      <c r="Y387" s="21" t="s">
        <v>104</v>
      </c>
      <c r="Z387" s="6" t="s">
        <v>104</v>
      </c>
      <c r="AA387" s="6" t="s">
        <v>104</v>
      </c>
      <c r="AB387" s="6" t="s">
        <v>104</v>
      </c>
      <c r="AC387" s="6" t="s">
        <v>9714</v>
      </c>
      <c r="AD387" s="16" t="n">
        <v>44543</v>
      </c>
      <c r="AE387" s="6" t="s">
        <v>10867</v>
      </c>
      <c r="AF387" s="6" t="s">
        <v>104</v>
      </c>
      <c r="AG387" s="6" t="s">
        <v>104</v>
      </c>
      <c r="AH387" s="6" t="s">
        <v>104</v>
      </c>
      <c r="AI387" s="6" t="s">
        <v>104</v>
      </c>
      <c r="AJ387" s="6" t="s">
        <v>104</v>
      </c>
      <c r="AK387" s="6" t="s">
        <v>104</v>
      </c>
      <c r="AL387" s="6" t="s">
        <v>104</v>
      </c>
      <c r="AM387" s="6" t="s">
        <v>104</v>
      </c>
      <c r="AN387" s="6" t="s">
        <v>104</v>
      </c>
      <c r="AO387" s="6" t="s">
        <v>104</v>
      </c>
      <c r="AP387" s="6" t="s">
        <v>19061</v>
      </c>
      <c r="AQ387" s="6" t="s">
        <v>104</v>
      </c>
      <c r="AR387" s="6" t="s">
        <v>19628</v>
      </c>
      <c r="AS387" s="6" t="s">
        <v>16710</v>
      </c>
      <c r="AT387" s="6" t="s">
        <v>16931</v>
      </c>
      <c r="AU387" s="6" t="s">
        <v>19856</v>
      </c>
      <c r="AV387" s="6" t="s">
        <v>18468</v>
      </c>
      <c r="AW387" s="6" t="s">
        <v>18575</v>
      </c>
      <c r="AX387" s="6" t="s">
        <v>20422</v>
      </c>
      <c r="AY387" s="6" t="s">
        <v>22178</v>
      </c>
      <c r="AZ387" s="6" t="s">
        <v>104</v>
      </c>
      <c r="BA387" s="6" t="s">
        <v>104</v>
      </c>
      <c r="BB387" s="6" t="s">
        <v>104</v>
      </c>
      <c r="BC387" s="26" t="s">
        <v>24533</v>
      </c>
      <c r="BD387" s="26"/>
      <c r="BE387" s="26"/>
      <c r="BF387" s="26"/>
      <c r="BG387" s="26"/>
      <c r="BH387" s="26"/>
      <c r="BI387" s="26"/>
      <c r="BJ387" s="26"/>
      <c r="BK387" s="26"/>
      <c r="BL387" s="26"/>
      <c r="BM387" s="26"/>
      <c r="BN387" s="26"/>
      <c r="BO387" s="26"/>
      <c r="BP387" s="16" t="n">
        <v>45720</v>
      </c>
      <c r="BQ387" s="28" t="str">
        <f>HYPERLINK("https://organic.ams.usda.gov/Integrity/Certificate.aspx?cid=62&amp;nopid=8150017069")</f>
        <v>https://organic.ams.usda.gov/Integrity/Certificate.aspx?cid=62&amp;nopid=8150017069</v>
      </c>
    </row>
    <row r="388">
      <c r="A388" t="s">
        <v>3</v>
      </c>
      <c r="B388" s="6" t="s">
        <v>11</v>
      </c>
      <c r="C388" s="6" t="s">
        <v>77</v>
      </c>
      <c r="D388" s="6" t="s">
        <v>142</v>
      </c>
      <c r="E388" s="10" t="s">
        <v>586</v>
      </c>
      <c r="F388" s="6" t="s">
        <v>2840</v>
      </c>
      <c r="G388" s="6" t="s">
        <v>104</v>
      </c>
      <c r="H388" s="6" t="s">
        <v>5246</v>
      </c>
      <c r="I388" s="6" t="s">
        <v>7197</v>
      </c>
      <c r="J388" s="6" t="s">
        <v>8429</v>
      </c>
      <c r="K388" s="6" t="s">
        <v>9714</v>
      </c>
      <c r="L388" s="16" t="n">
        <v>42818</v>
      </c>
      <c r="M388" s="16" t="n">
        <v>45740</v>
      </c>
      <c r="N388" s="6" t="s">
        <v>104</v>
      </c>
      <c r="O388" s="21" t="s">
        <v>104</v>
      </c>
      <c r="P388" s="6" t="s">
        <v>104</v>
      </c>
      <c r="Q388" s="6" t="s">
        <v>104</v>
      </c>
      <c r="R388" s="6" t="s">
        <v>104</v>
      </c>
      <c r="S388" s="6" t="s">
        <v>104</v>
      </c>
      <c r="T388" s="21" t="s">
        <v>104</v>
      </c>
      <c r="U388" s="6" t="s">
        <v>104</v>
      </c>
      <c r="V388" s="6" t="s">
        <v>104</v>
      </c>
      <c r="W388" s="6" t="s">
        <v>104</v>
      </c>
      <c r="X388" s="6" t="s">
        <v>104</v>
      </c>
      <c r="Y388" s="21" t="s">
        <v>104</v>
      </c>
      <c r="Z388" s="6" t="s">
        <v>104</v>
      </c>
      <c r="AA388" s="6" t="s">
        <v>104</v>
      </c>
      <c r="AB388" s="6" t="s">
        <v>104</v>
      </c>
      <c r="AC388" s="6" t="s">
        <v>9714</v>
      </c>
      <c r="AD388" s="16" t="n">
        <v>42818</v>
      </c>
      <c r="AE388" s="6" t="s">
        <v>10868</v>
      </c>
      <c r="AF388" s="6" t="s">
        <v>104</v>
      </c>
      <c r="AG388" s="6" t="s">
        <v>104</v>
      </c>
      <c r="AH388" s="6" t="s">
        <v>13502</v>
      </c>
      <c r="AI388" s="6" t="s">
        <v>104</v>
      </c>
      <c r="AJ388" s="6" t="s">
        <v>15631</v>
      </c>
      <c r="AK388" s="6" t="s">
        <v>16765</v>
      </c>
      <c r="AL388" s="6" t="s">
        <v>15513</v>
      </c>
      <c r="AM388" s="6" t="s">
        <v>17251</v>
      </c>
      <c r="AN388" s="6" t="s">
        <v>104</v>
      </c>
      <c r="AO388" s="6" t="s">
        <v>104</v>
      </c>
      <c r="AP388" s="6" t="s">
        <v>13502</v>
      </c>
      <c r="AQ388" s="6" t="s">
        <v>104</v>
      </c>
      <c r="AR388" s="6" t="s">
        <v>15631</v>
      </c>
      <c r="AS388" s="6" t="s">
        <v>16765</v>
      </c>
      <c r="AT388" s="6" t="s">
        <v>15513</v>
      </c>
      <c r="AU388" s="6" t="s">
        <v>17251</v>
      </c>
      <c r="AV388" s="6" t="s">
        <v>104</v>
      </c>
      <c r="AW388" s="6" t="s">
        <v>104</v>
      </c>
      <c r="AX388" s="6" t="s">
        <v>20423</v>
      </c>
      <c r="AY388" s="6" t="s">
        <v>22179</v>
      </c>
      <c r="AZ388" s="6" t="s">
        <v>104</v>
      </c>
      <c r="BA388" s="6" t="s">
        <v>104</v>
      </c>
      <c r="BB388" s="6" t="s">
        <v>104</v>
      </c>
      <c r="BC388" s="26"/>
      <c r="BD388" s="26"/>
      <c r="BE388" s="26"/>
      <c r="BF388" s="26"/>
      <c r="BG388" s="26"/>
      <c r="BH388" s="26"/>
      <c r="BI388" s="26"/>
      <c r="BJ388" s="26"/>
      <c r="BK388" s="26"/>
      <c r="BL388" s="26"/>
      <c r="BM388" s="26"/>
      <c r="BN388" s="26"/>
      <c r="BO388" s="26"/>
      <c r="BP388" s="16" t="n">
        <v>45481</v>
      </c>
      <c r="BQ388" s="28" t="str">
        <f>HYPERLINK("https://organic.ams.usda.gov/Integrity/Certificate.aspx?cid=21&amp;nopid=1780848358")</f>
        <v>https://organic.ams.usda.gov/Integrity/Certificate.aspx?cid=21&amp;nopid=1780848358</v>
      </c>
    </row>
    <row r="389">
      <c r="A389" t="s">
        <v>3</v>
      </c>
      <c r="B389" s="6" t="s">
        <v>11</v>
      </c>
      <c r="C389" s="6" t="s">
        <v>77</v>
      </c>
      <c r="D389" s="6" t="s">
        <v>142</v>
      </c>
      <c r="E389" s="10" t="s">
        <v>587</v>
      </c>
      <c r="F389" s="6" t="s">
        <v>2841</v>
      </c>
      <c r="G389" s="6" t="s">
        <v>104</v>
      </c>
      <c r="H389" s="6" t="s">
        <v>104</v>
      </c>
      <c r="I389" s="6" t="s">
        <v>7198</v>
      </c>
      <c r="J389" s="6" t="s">
        <v>8430</v>
      </c>
      <c r="K389" s="6" t="s">
        <v>9714</v>
      </c>
      <c r="L389" s="16" t="n">
        <v>43544</v>
      </c>
      <c r="M389" s="16" t="n">
        <v>45711</v>
      </c>
      <c r="N389" s="6" t="s">
        <v>104</v>
      </c>
      <c r="O389" s="21" t="s">
        <v>104</v>
      </c>
      <c r="P389" s="6" t="s">
        <v>104</v>
      </c>
      <c r="Q389" s="6" t="s">
        <v>104</v>
      </c>
      <c r="R389" s="6" t="s">
        <v>104</v>
      </c>
      <c r="S389" s="6" t="s">
        <v>104</v>
      </c>
      <c r="T389" s="21" t="s">
        <v>104</v>
      </c>
      <c r="U389" s="6" t="s">
        <v>104</v>
      </c>
      <c r="V389" s="6" t="s">
        <v>104</v>
      </c>
      <c r="W389" s="6" t="s">
        <v>104</v>
      </c>
      <c r="X389" s="6" t="s">
        <v>104</v>
      </c>
      <c r="Y389" s="21" t="s">
        <v>104</v>
      </c>
      <c r="Z389" s="6" t="s">
        <v>104</v>
      </c>
      <c r="AA389" s="6" t="s">
        <v>104</v>
      </c>
      <c r="AB389" s="6" t="s">
        <v>104</v>
      </c>
      <c r="AC389" s="6" t="s">
        <v>9714</v>
      </c>
      <c r="AD389" s="16" t="n">
        <v>43544</v>
      </c>
      <c r="AE389" s="6" t="s">
        <v>10869</v>
      </c>
      <c r="AF389" s="6" t="s">
        <v>104</v>
      </c>
      <c r="AG389" s="6" t="s">
        <v>104</v>
      </c>
      <c r="AH389" s="6" t="s">
        <v>13503</v>
      </c>
      <c r="AI389" s="6" t="s">
        <v>104</v>
      </c>
      <c r="AJ389" s="6" t="s">
        <v>15632</v>
      </c>
      <c r="AK389" s="6" t="s">
        <v>15632</v>
      </c>
      <c r="AL389" s="6" t="s">
        <v>16955</v>
      </c>
      <c r="AM389" s="6" t="s">
        <v>17252</v>
      </c>
      <c r="AN389" s="6" t="s">
        <v>104</v>
      </c>
      <c r="AO389" s="6" t="s">
        <v>104</v>
      </c>
      <c r="AP389" s="6" t="s">
        <v>104</v>
      </c>
      <c r="AQ389" s="6" t="s">
        <v>104</v>
      </c>
      <c r="AR389" s="6" t="s">
        <v>104</v>
      </c>
      <c r="AS389" s="6" t="s">
        <v>104</v>
      </c>
      <c r="AT389" s="6" t="s">
        <v>104</v>
      </c>
      <c r="AU389" s="6" t="s">
        <v>104</v>
      </c>
      <c r="AV389" s="6" t="s">
        <v>104</v>
      </c>
      <c r="AW389" s="6" t="s">
        <v>104</v>
      </c>
      <c r="AX389" s="6" t="s">
        <v>20424</v>
      </c>
      <c r="AY389" s="6" t="s">
        <v>22180</v>
      </c>
      <c r="AZ389" s="6" t="s">
        <v>104</v>
      </c>
      <c r="BA389" s="6" t="s">
        <v>104</v>
      </c>
      <c r="BB389" s="6" t="s">
        <v>104</v>
      </c>
      <c r="BC389" s="26"/>
      <c r="BD389" s="26"/>
      <c r="BE389" s="26"/>
      <c r="BF389" s="26"/>
      <c r="BG389" s="26"/>
      <c r="BH389" s="26"/>
      <c r="BI389" s="26"/>
      <c r="BJ389" s="26"/>
      <c r="BK389" s="26"/>
      <c r="BL389" s="26"/>
      <c r="BM389" s="26"/>
      <c r="BN389" s="26"/>
      <c r="BO389" s="26"/>
      <c r="BP389" s="16" t="n">
        <v>45443</v>
      </c>
      <c r="BQ389" s="28" t="str">
        <f>HYPERLINK("https://organic.ams.usda.gov/Integrity/Certificate.aspx?cid=21&amp;nopid=1780864627")</f>
        <v>https://organic.ams.usda.gov/Integrity/Certificate.aspx?cid=21&amp;nopid=1780864627</v>
      </c>
    </row>
    <row r="390">
      <c r="A390" t="s">
        <v>3</v>
      </c>
      <c r="B390" s="6" t="s">
        <v>22</v>
      </c>
      <c r="C390" s="6" t="s">
        <v>88</v>
      </c>
      <c r="D390" s="6" t="s">
        <v>153</v>
      </c>
      <c r="E390" s="10" t="s">
        <v>588</v>
      </c>
      <c r="F390" s="6" t="s">
        <v>2842</v>
      </c>
      <c r="G390" s="6" t="s">
        <v>104</v>
      </c>
      <c r="H390" s="6" t="s">
        <v>5247</v>
      </c>
      <c r="I390" s="6" t="s">
        <v>7199</v>
      </c>
      <c r="J390" s="6" t="s">
        <v>8431</v>
      </c>
      <c r="K390" s="6" t="s">
        <v>9714</v>
      </c>
      <c r="L390" s="16" t="n">
        <v>45546</v>
      </c>
      <c r="M390" s="16" t="n">
        <v>45839</v>
      </c>
      <c r="N390" s="6" t="s">
        <v>104</v>
      </c>
      <c r="O390" s="21" t="s">
        <v>104</v>
      </c>
      <c r="P390" s="6" t="s">
        <v>104</v>
      </c>
      <c r="Q390" s="6" t="s">
        <v>104</v>
      </c>
      <c r="R390" s="6" t="s">
        <v>104</v>
      </c>
      <c r="S390" s="6" t="s">
        <v>104</v>
      </c>
      <c r="T390" s="21" t="s">
        <v>104</v>
      </c>
      <c r="U390" s="6" t="s">
        <v>104</v>
      </c>
      <c r="V390" s="6" t="s">
        <v>104</v>
      </c>
      <c r="W390" s="6" t="s">
        <v>104</v>
      </c>
      <c r="X390" s="6" t="s">
        <v>104</v>
      </c>
      <c r="Y390" s="21" t="s">
        <v>104</v>
      </c>
      <c r="Z390" s="6" t="s">
        <v>104</v>
      </c>
      <c r="AA390" s="6" t="s">
        <v>104</v>
      </c>
      <c r="AB390" s="6" t="s">
        <v>104</v>
      </c>
      <c r="AC390" s="6" t="s">
        <v>9714</v>
      </c>
      <c r="AD390" s="16" t="n">
        <v>45546</v>
      </c>
      <c r="AE390" s="6" t="s">
        <v>10870</v>
      </c>
      <c r="AF390" s="6" t="s">
        <v>104</v>
      </c>
      <c r="AG390" s="6" t="s">
        <v>12584</v>
      </c>
      <c r="AH390" s="6" t="s">
        <v>13504</v>
      </c>
      <c r="AI390" s="6" t="s">
        <v>104</v>
      </c>
      <c r="AJ390" s="6" t="s">
        <v>15633</v>
      </c>
      <c r="AK390" s="6" t="s">
        <v>16684</v>
      </c>
      <c r="AL390" s="6" t="s">
        <v>16931</v>
      </c>
      <c r="AM390" s="6" t="s">
        <v>17253</v>
      </c>
      <c r="AN390" s="6" t="s">
        <v>104</v>
      </c>
      <c r="AO390" s="6" t="s">
        <v>104</v>
      </c>
      <c r="AP390" s="6" t="s">
        <v>13504</v>
      </c>
      <c r="AQ390" s="6" t="s">
        <v>104</v>
      </c>
      <c r="AR390" s="6" t="s">
        <v>15633</v>
      </c>
      <c r="AS390" s="6" t="s">
        <v>16684</v>
      </c>
      <c r="AT390" s="6" t="s">
        <v>16931</v>
      </c>
      <c r="AU390" s="6" t="s">
        <v>17253</v>
      </c>
      <c r="AV390" s="6" t="s">
        <v>104</v>
      </c>
      <c r="AW390" s="6" t="s">
        <v>104</v>
      </c>
      <c r="AX390" s="6" t="s">
        <v>20425</v>
      </c>
      <c r="AY390" s="6" t="s">
        <v>22181</v>
      </c>
      <c r="AZ390" s="6" t="s">
        <v>104</v>
      </c>
      <c r="BA390" s="6" t="s">
        <v>104</v>
      </c>
      <c r="BB390" s="6" t="s">
        <v>104</v>
      </c>
      <c r="BC390" s="26"/>
      <c r="BD390" s="26"/>
      <c r="BE390" s="26"/>
      <c r="BF390" s="26"/>
      <c r="BG390" s="26" t="s">
        <v>24533</v>
      </c>
      <c r="BH390" s="26"/>
      <c r="BI390" s="26"/>
      <c r="BJ390" s="26"/>
      <c r="BK390" s="26"/>
      <c r="BL390" s="26"/>
      <c r="BM390" s="26"/>
      <c r="BN390" s="26"/>
      <c r="BO390" s="26"/>
      <c r="BP390" s="16" t="n">
        <v>45663</v>
      </c>
      <c r="BQ390" s="28" t="str">
        <f>HYPERLINK("https://organic.ams.usda.gov/Integrity/Certificate.aspx?cid=72&amp;nopid=5870107396")</f>
        <v>https://organic.ams.usda.gov/Integrity/Certificate.aspx?cid=72&amp;nopid=5870107396</v>
      </c>
    </row>
    <row r="391">
      <c r="A391" t="s">
        <v>3</v>
      </c>
      <c r="B391" s="6" t="s">
        <v>18</v>
      </c>
      <c r="C391" s="6" t="s">
        <v>84</v>
      </c>
      <c r="D391" s="6" t="s">
        <v>149</v>
      </c>
      <c r="E391" s="10" t="s">
        <v>589</v>
      </c>
      <c r="F391" s="6" t="s">
        <v>2843</v>
      </c>
      <c r="G391" s="6" t="s">
        <v>104</v>
      </c>
      <c r="H391" s="6" t="s">
        <v>5248</v>
      </c>
      <c r="I391" s="6" t="s">
        <v>7194</v>
      </c>
      <c r="J391" s="6" t="s">
        <v>8432</v>
      </c>
      <c r="K391" s="6" t="s">
        <v>9714</v>
      </c>
      <c r="L391" s="16" t="n">
        <v>45357</v>
      </c>
      <c r="M391" s="16" t="n">
        <v>46087</v>
      </c>
      <c r="N391" s="6" t="s">
        <v>104</v>
      </c>
      <c r="O391" s="21" t="s">
        <v>104</v>
      </c>
      <c r="P391" s="6" t="s">
        <v>104</v>
      </c>
      <c r="Q391" s="6" t="s">
        <v>104</v>
      </c>
      <c r="R391" s="6" t="s">
        <v>104</v>
      </c>
      <c r="S391" s="6" t="s">
        <v>104</v>
      </c>
      <c r="T391" s="21" t="s">
        <v>104</v>
      </c>
      <c r="U391" s="6" t="s">
        <v>104</v>
      </c>
      <c r="V391" s="6" t="s">
        <v>104</v>
      </c>
      <c r="W391" s="6" t="s">
        <v>104</v>
      </c>
      <c r="X391" s="6" t="s">
        <v>104</v>
      </c>
      <c r="Y391" s="21" t="s">
        <v>104</v>
      </c>
      <c r="Z391" s="6" t="s">
        <v>104</v>
      </c>
      <c r="AA391" s="6" t="s">
        <v>104</v>
      </c>
      <c r="AB391" s="6" t="s">
        <v>104</v>
      </c>
      <c r="AC391" s="6" t="s">
        <v>9714</v>
      </c>
      <c r="AD391" s="16" t="n">
        <v>45357</v>
      </c>
      <c r="AE391" s="6" t="s">
        <v>10871</v>
      </c>
      <c r="AF391" s="6" t="s">
        <v>104</v>
      </c>
      <c r="AG391" s="6" t="s">
        <v>12585</v>
      </c>
      <c r="AH391" s="6" t="s">
        <v>13505</v>
      </c>
      <c r="AI391" s="6" t="s">
        <v>104</v>
      </c>
      <c r="AJ391" s="6" t="s">
        <v>15634</v>
      </c>
      <c r="AK391" s="6" t="s">
        <v>16689</v>
      </c>
      <c r="AL391" s="6" t="s">
        <v>16931</v>
      </c>
      <c r="AM391" s="6" t="s">
        <v>17254</v>
      </c>
      <c r="AN391" s="6" t="s">
        <v>104</v>
      </c>
      <c r="AO391" s="6" t="s">
        <v>104</v>
      </c>
      <c r="AP391" s="6" t="s">
        <v>104</v>
      </c>
      <c r="AQ391" s="6" t="s">
        <v>104</v>
      </c>
      <c r="AR391" s="6" t="s">
        <v>104</v>
      </c>
      <c r="AS391" s="6" t="s">
        <v>104</v>
      </c>
      <c r="AT391" s="6" t="s">
        <v>104</v>
      </c>
      <c r="AU391" s="6" t="s">
        <v>104</v>
      </c>
      <c r="AV391" s="6" t="s">
        <v>104</v>
      </c>
      <c r="AW391" s="6" t="s">
        <v>104</v>
      </c>
      <c r="AX391" s="6" t="s">
        <v>20426</v>
      </c>
      <c r="AY391" s="6" t="s">
        <v>22182</v>
      </c>
      <c r="AZ391" s="6" t="s">
        <v>104</v>
      </c>
      <c r="BA391" s="6" t="s">
        <v>24321</v>
      </c>
      <c r="BB391" s="6" t="s">
        <v>104</v>
      </c>
      <c r="BC391" s="26" t="s">
        <v>24533</v>
      </c>
      <c r="BD391" s="26"/>
      <c r="BE391" s="26"/>
      <c r="BF391" s="26"/>
      <c r="BG391" s="26"/>
      <c r="BH391" s="26"/>
      <c r="BI391" s="26"/>
      <c r="BJ391" s="26"/>
      <c r="BK391" s="26"/>
      <c r="BL391" s="26"/>
      <c r="BM391" s="26"/>
      <c r="BN391" s="26"/>
      <c r="BO391" s="26"/>
      <c r="BP391" s="16" t="n">
        <v>45737</v>
      </c>
      <c r="BQ391" s="28" t="str">
        <f>HYPERLINK("https://organic.ams.usda.gov/Integrity/Certificate.aspx?cid=31&amp;nopid=3928972398")</f>
        <v>https://organic.ams.usda.gov/Integrity/Certificate.aspx?cid=31&amp;nopid=3928972398</v>
      </c>
    </row>
    <row r="392">
      <c r="A392" t="s">
        <v>3</v>
      </c>
      <c r="B392" s="6" t="s">
        <v>11</v>
      </c>
      <c r="C392" s="6" t="s">
        <v>77</v>
      </c>
      <c r="D392" s="6" t="s">
        <v>142</v>
      </c>
      <c r="E392" s="10" t="s">
        <v>590</v>
      </c>
      <c r="F392" s="6" t="s">
        <v>2844</v>
      </c>
      <c r="G392" s="6" t="s">
        <v>104</v>
      </c>
      <c r="H392" s="6" t="s">
        <v>104</v>
      </c>
      <c r="I392" s="6" t="s">
        <v>7200</v>
      </c>
      <c r="J392" s="6" t="s">
        <v>8433</v>
      </c>
      <c r="K392" s="6" t="s">
        <v>9714</v>
      </c>
      <c r="L392" s="16" t="n">
        <v>44680</v>
      </c>
      <c r="M392" s="16" t="n">
        <v>45721</v>
      </c>
      <c r="N392" s="6" t="s">
        <v>104</v>
      </c>
      <c r="O392" s="21" t="s">
        <v>104</v>
      </c>
      <c r="P392" s="6" t="s">
        <v>104</v>
      </c>
      <c r="Q392" s="6" t="s">
        <v>104</v>
      </c>
      <c r="R392" s="6" t="s">
        <v>104</v>
      </c>
      <c r="S392" s="6" t="s">
        <v>104</v>
      </c>
      <c r="T392" s="21" t="s">
        <v>104</v>
      </c>
      <c r="U392" s="6" t="s">
        <v>104</v>
      </c>
      <c r="V392" s="6" t="s">
        <v>104</v>
      </c>
      <c r="W392" s="6" t="s">
        <v>104</v>
      </c>
      <c r="X392" s="6" t="s">
        <v>104</v>
      </c>
      <c r="Y392" s="21" t="s">
        <v>104</v>
      </c>
      <c r="Z392" s="6" t="s">
        <v>104</v>
      </c>
      <c r="AA392" s="6" t="s">
        <v>104</v>
      </c>
      <c r="AB392" s="6" t="s">
        <v>104</v>
      </c>
      <c r="AC392" s="6" t="s">
        <v>9714</v>
      </c>
      <c r="AD392" s="16" t="n">
        <v>44680</v>
      </c>
      <c r="AE392" s="6" t="s">
        <v>10872</v>
      </c>
      <c r="AF392" s="6" t="s">
        <v>104</v>
      </c>
      <c r="AG392" s="6" t="s">
        <v>104</v>
      </c>
      <c r="AH392" s="6" t="s">
        <v>13506</v>
      </c>
      <c r="AI392" s="6" t="s">
        <v>15245</v>
      </c>
      <c r="AJ392" s="6" t="s">
        <v>15635</v>
      </c>
      <c r="AK392" s="6" t="s">
        <v>104</v>
      </c>
      <c r="AL392" s="6" t="s">
        <v>16961</v>
      </c>
      <c r="AM392" s="6" t="s">
        <v>104</v>
      </c>
      <c r="AN392" s="6" t="s">
        <v>104</v>
      </c>
      <c r="AO392" s="6" t="s">
        <v>104</v>
      </c>
      <c r="AP392" s="6" t="s">
        <v>104</v>
      </c>
      <c r="AQ392" s="6" t="s">
        <v>104</v>
      </c>
      <c r="AR392" s="6" t="s">
        <v>104</v>
      </c>
      <c r="AS392" s="6" t="s">
        <v>104</v>
      </c>
      <c r="AT392" s="6" t="s">
        <v>104</v>
      </c>
      <c r="AU392" s="6" t="s">
        <v>104</v>
      </c>
      <c r="AV392" s="6" t="s">
        <v>104</v>
      </c>
      <c r="AW392" s="6" t="s">
        <v>104</v>
      </c>
      <c r="AX392" s="6" t="s">
        <v>20427</v>
      </c>
      <c r="AY392" s="6" t="s">
        <v>22183</v>
      </c>
      <c r="AZ392" s="6" t="s">
        <v>104</v>
      </c>
      <c r="BA392" s="6" t="s">
        <v>104</v>
      </c>
      <c r="BB392" s="6" t="s">
        <v>104</v>
      </c>
      <c r="BC392" s="26"/>
      <c r="BD392" s="26"/>
      <c r="BE392" s="26"/>
      <c r="BF392" s="26"/>
      <c r="BG392" s="26"/>
      <c r="BH392" s="26"/>
      <c r="BI392" s="26"/>
      <c r="BJ392" s="26"/>
      <c r="BK392" s="26"/>
      <c r="BL392" s="26"/>
      <c r="BM392" s="26"/>
      <c r="BN392" s="26"/>
      <c r="BO392" s="26"/>
      <c r="BP392" s="16" t="n">
        <v>45471</v>
      </c>
      <c r="BQ392" s="28" t="str">
        <f>HYPERLINK("https://organic.ams.usda.gov/Integrity/Certificate.aspx?cid=21&amp;nopid=1780886194")</f>
        <v>https://organic.ams.usda.gov/Integrity/Certificate.aspx?cid=21&amp;nopid=1780886194</v>
      </c>
    </row>
    <row r="393">
      <c r="A393" t="s">
        <v>3</v>
      </c>
      <c r="B393" s="6" t="s">
        <v>23</v>
      </c>
      <c r="C393" s="6" t="s">
        <v>89</v>
      </c>
      <c r="D393" s="6" t="s">
        <v>154</v>
      </c>
      <c r="E393" s="10" t="s">
        <v>591</v>
      </c>
      <c r="F393" s="6" t="s">
        <v>2845</v>
      </c>
      <c r="G393" s="6" t="s">
        <v>104</v>
      </c>
      <c r="H393" s="6" t="s">
        <v>5249</v>
      </c>
      <c r="I393" s="6" t="s">
        <v>104</v>
      </c>
      <c r="J393" s="6" t="s">
        <v>104</v>
      </c>
      <c r="K393" s="6" t="s">
        <v>9714</v>
      </c>
      <c r="L393" s="16" t="n">
        <v>42864</v>
      </c>
      <c r="M393" s="18" t="s">
        <v>104</v>
      </c>
      <c r="N393" s="6" t="s">
        <v>104</v>
      </c>
      <c r="O393" s="21" t="s">
        <v>104</v>
      </c>
      <c r="P393" s="6" t="s">
        <v>104</v>
      </c>
      <c r="Q393" s="6" t="s">
        <v>104</v>
      </c>
      <c r="R393" s="6" t="s">
        <v>104</v>
      </c>
      <c r="S393" s="6" t="s">
        <v>104</v>
      </c>
      <c r="T393" s="21" t="s">
        <v>104</v>
      </c>
      <c r="U393" s="6" t="s">
        <v>104</v>
      </c>
      <c r="V393" s="6" t="s">
        <v>104</v>
      </c>
      <c r="W393" s="6" t="s">
        <v>104</v>
      </c>
      <c r="X393" s="6" t="s">
        <v>104</v>
      </c>
      <c r="Y393" s="21" t="s">
        <v>104</v>
      </c>
      <c r="Z393" s="6" t="s">
        <v>104</v>
      </c>
      <c r="AA393" s="6" t="s">
        <v>104</v>
      </c>
      <c r="AB393" s="6" t="s">
        <v>104</v>
      </c>
      <c r="AC393" s="6" t="s">
        <v>9714</v>
      </c>
      <c r="AD393" s="16" t="n">
        <v>42864</v>
      </c>
      <c r="AE393" s="6" t="s">
        <v>10873</v>
      </c>
      <c r="AF393" s="6" t="s">
        <v>104</v>
      </c>
      <c r="AG393" s="6" t="s">
        <v>104</v>
      </c>
      <c r="AH393" s="6" t="s">
        <v>13479</v>
      </c>
      <c r="AI393" s="6" t="s">
        <v>104</v>
      </c>
      <c r="AJ393" s="6" t="s">
        <v>15614</v>
      </c>
      <c r="AK393" s="6" t="s">
        <v>16714</v>
      </c>
      <c r="AL393" s="6" t="s">
        <v>16931</v>
      </c>
      <c r="AM393" s="6" t="s">
        <v>17234</v>
      </c>
      <c r="AN393" s="6" t="s">
        <v>18507</v>
      </c>
      <c r="AO393" s="6" t="s">
        <v>18646</v>
      </c>
      <c r="AP393" s="6" t="s">
        <v>104</v>
      </c>
      <c r="AQ393" s="6" t="s">
        <v>104</v>
      </c>
      <c r="AR393" s="6" t="s">
        <v>104</v>
      </c>
      <c r="AS393" s="6" t="s">
        <v>104</v>
      </c>
      <c r="AT393" s="6" t="s">
        <v>104</v>
      </c>
      <c r="AU393" s="6" t="s">
        <v>104</v>
      </c>
      <c r="AV393" s="6" t="s">
        <v>104</v>
      </c>
      <c r="AW393" s="6" t="s">
        <v>104</v>
      </c>
      <c r="AX393" s="6" t="s">
        <v>104</v>
      </c>
      <c r="AY393" s="6" t="s">
        <v>104</v>
      </c>
      <c r="AZ393" s="6" t="s">
        <v>104</v>
      </c>
      <c r="BA393" s="6" t="s">
        <v>104</v>
      </c>
      <c r="BB393" s="6" t="s">
        <v>104</v>
      </c>
      <c r="BC393" s="26"/>
      <c r="BD393" s="26"/>
      <c r="BE393" s="26"/>
      <c r="BF393" s="26"/>
      <c r="BG393" s="26"/>
      <c r="BH393" s="26"/>
      <c r="BI393" s="26"/>
      <c r="BJ393" s="26"/>
      <c r="BK393" s="26"/>
      <c r="BL393" s="26"/>
      <c r="BM393" s="26"/>
      <c r="BN393" s="26"/>
      <c r="BO393" s="26"/>
      <c r="BP393" s="16" t="n">
        <v>44778</v>
      </c>
      <c r="BQ393" s="28" t="str">
        <f>HYPERLINK("https://organic.ams.usda.gov/Integrity/Certificate.aspx?cid=45&amp;nopid=9954100812")</f>
        <v>https://organic.ams.usda.gov/Integrity/Certificate.aspx?cid=45&amp;nopid=9954100812</v>
      </c>
    </row>
    <row r="394">
      <c r="A394" t="s">
        <v>3</v>
      </c>
      <c r="B394" s="6" t="s">
        <v>21</v>
      </c>
      <c r="C394" s="6" t="s">
        <v>87</v>
      </c>
      <c r="D394" s="6" t="s">
        <v>152</v>
      </c>
      <c r="E394" s="10" t="s">
        <v>592</v>
      </c>
      <c r="F394" s="6" t="s">
        <v>2846</v>
      </c>
      <c r="G394" s="6" t="s">
        <v>4711</v>
      </c>
      <c r="H394" s="6" t="s">
        <v>5250</v>
      </c>
      <c r="I394" s="6" t="s">
        <v>7170</v>
      </c>
      <c r="J394" s="6" t="s">
        <v>8434</v>
      </c>
      <c r="K394" s="6" t="s">
        <v>9714</v>
      </c>
      <c r="L394" s="16" t="n">
        <v>37432</v>
      </c>
      <c r="M394" s="16" t="n">
        <v>46023</v>
      </c>
      <c r="N394" s="6" t="s">
        <v>9714</v>
      </c>
      <c r="O394" s="16" t="n">
        <v>37432</v>
      </c>
      <c r="P394" s="6" t="s">
        <v>9837</v>
      </c>
      <c r="Q394" s="6" t="s">
        <v>104</v>
      </c>
      <c r="R394" s="6" t="s">
        <v>104</v>
      </c>
      <c r="S394" s="6" t="s">
        <v>104</v>
      </c>
      <c r="T394" s="21" t="s">
        <v>104</v>
      </c>
      <c r="U394" s="6" t="s">
        <v>104</v>
      </c>
      <c r="V394" s="6" t="s">
        <v>104</v>
      </c>
      <c r="W394" s="6" t="s">
        <v>104</v>
      </c>
      <c r="X394" s="6" t="s">
        <v>104</v>
      </c>
      <c r="Y394" s="21" t="s">
        <v>104</v>
      </c>
      <c r="Z394" s="6" t="s">
        <v>104</v>
      </c>
      <c r="AA394" s="6" t="s">
        <v>104</v>
      </c>
      <c r="AB394" s="6" t="s">
        <v>104</v>
      </c>
      <c r="AC394" s="6" t="s">
        <v>9714</v>
      </c>
      <c r="AD394" s="16" t="n">
        <v>44756</v>
      </c>
      <c r="AE394" s="6" t="s">
        <v>104</v>
      </c>
      <c r="AF394" s="6" t="s">
        <v>104</v>
      </c>
      <c r="AG394" s="6" t="s">
        <v>104</v>
      </c>
      <c r="AH394" s="6" t="s">
        <v>13507</v>
      </c>
      <c r="AI394" s="6" t="s">
        <v>104</v>
      </c>
      <c r="AJ394" s="6" t="s">
        <v>15636</v>
      </c>
      <c r="AK394" s="6" t="s">
        <v>16687</v>
      </c>
      <c r="AL394" s="6" t="s">
        <v>16931</v>
      </c>
      <c r="AM394" s="6" t="s">
        <v>17255</v>
      </c>
      <c r="AN394" s="6" t="s">
        <v>18492</v>
      </c>
      <c r="AO394" s="6" t="s">
        <v>18614</v>
      </c>
      <c r="AP394" s="6" t="s">
        <v>19062</v>
      </c>
      <c r="AQ394" s="6" t="s">
        <v>104</v>
      </c>
      <c r="AR394" s="6" t="s">
        <v>15636</v>
      </c>
      <c r="AS394" s="6" t="s">
        <v>16687</v>
      </c>
      <c r="AT394" s="6" t="s">
        <v>16931</v>
      </c>
      <c r="AU394" s="6" t="s">
        <v>17255</v>
      </c>
      <c r="AV394" s="6" t="s">
        <v>104</v>
      </c>
      <c r="AW394" s="6" t="s">
        <v>104</v>
      </c>
      <c r="AX394" s="6" t="s">
        <v>20428</v>
      </c>
      <c r="AY394" s="6" t="s">
        <v>22184</v>
      </c>
      <c r="AZ394" s="6" t="s">
        <v>23797</v>
      </c>
      <c r="BA394" s="6" t="s">
        <v>24322</v>
      </c>
      <c r="BB394" s="24" t="n">
        <v>319</v>
      </c>
      <c r="BC394" s="26"/>
      <c r="BD394" s="26"/>
      <c r="BE394" s="26"/>
      <c r="BF394" s="26"/>
      <c r="BG394" s="26"/>
      <c r="BH394" s="26"/>
      <c r="BI394" s="26"/>
      <c r="BJ394" s="26"/>
      <c r="BK394" s="26"/>
      <c r="BL394" s="26"/>
      <c r="BM394" s="26"/>
      <c r="BN394" s="26"/>
      <c r="BO394" s="26"/>
      <c r="BP394" s="16" t="n">
        <v>45667</v>
      </c>
      <c r="BQ394" s="28" t="str">
        <f>HYPERLINK("https://organic.ams.usda.gov/Integrity/Certificate.aspx?cid=15&amp;nopid=5561001513")</f>
        <v>https://organic.ams.usda.gov/Integrity/Certificate.aspx?cid=15&amp;nopid=5561001513</v>
      </c>
    </row>
    <row r="395">
      <c r="A395" t="s">
        <v>3</v>
      </c>
      <c r="B395" s="6" t="s">
        <v>11</v>
      </c>
      <c r="C395" s="6" t="s">
        <v>77</v>
      </c>
      <c r="D395" s="6" t="s">
        <v>142</v>
      </c>
      <c r="E395" s="10" t="s">
        <v>593</v>
      </c>
      <c r="F395" s="6" t="s">
        <v>2847</v>
      </c>
      <c r="G395" s="6" t="s">
        <v>104</v>
      </c>
      <c r="H395" s="6" t="s">
        <v>593</v>
      </c>
      <c r="I395" s="6" t="s">
        <v>7201</v>
      </c>
      <c r="J395" s="6" t="s">
        <v>8435</v>
      </c>
      <c r="K395" s="6" t="s">
        <v>9714</v>
      </c>
      <c r="L395" s="16" t="n">
        <v>44487</v>
      </c>
      <c r="M395" s="16" t="n">
        <v>45928</v>
      </c>
      <c r="N395" s="6" t="s">
        <v>104</v>
      </c>
      <c r="O395" s="21" t="s">
        <v>104</v>
      </c>
      <c r="P395" s="6" t="s">
        <v>104</v>
      </c>
      <c r="Q395" s="6" t="s">
        <v>104</v>
      </c>
      <c r="R395" s="6" t="s">
        <v>104</v>
      </c>
      <c r="S395" s="6" t="s">
        <v>104</v>
      </c>
      <c r="T395" s="21" t="s">
        <v>104</v>
      </c>
      <c r="U395" s="6" t="s">
        <v>104</v>
      </c>
      <c r="V395" s="6" t="s">
        <v>104</v>
      </c>
      <c r="W395" s="6" t="s">
        <v>104</v>
      </c>
      <c r="X395" s="6" t="s">
        <v>104</v>
      </c>
      <c r="Y395" s="21" t="s">
        <v>104</v>
      </c>
      <c r="Z395" s="6" t="s">
        <v>104</v>
      </c>
      <c r="AA395" s="6" t="s">
        <v>104</v>
      </c>
      <c r="AB395" s="6" t="s">
        <v>104</v>
      </c>
      <c r="AC395" s="6" t="s">
        <v>9714</v>
      </c>
      <c r="AD395" s="16" t="n">
        <v>44487</v>
      </c>
      <c r="AE395" s="6" t="s">
        <v>10874</v>
      </c>
      <c r="AF395" s="6" t="s">
        <v>104</v>
      </c>
      <c r="AG395" s="6" t="s">
        <v>12586</v>
      </c>
      <c r="AH395" s="6" t="s">
        <v>13508</v>
      </c>
      <c r="AI395" s="6" t="s">
        <v>104</v>
      </c>
      <c r="AJ395" s="6" t="s">
        <v>15369</v>
      </c>
      <c r="AK395" s="6" t="s">
        <v>16685</v>
      </c>
      <c r="AL395" s="6" t="s">
        <v>16932</v>
      </c>
      <c r="AM395" s="6" t="s">
        <v>17256</v>
      </c>
      <c r="AN395" s="6" t="s">
        <v>104</v>
      </c>
      <c r="AO395" s="6" t="s">
        <v>104</v>
      </c>
      <c r="AP395" s="6" t="s">
        <v>13508</v>
      </c>
      <c r="AQ395" s="6" t="s">
        <v>104</v>
      </c>
      <c r="AR395" s="6" t="s">
        <v>15369</v>
      </c>
      <c r="AS395" s="6" t="s">
        <v>16685</v>
      </c>
      <c r="AT395" s="6" t="s">
        <v>16932</v>
      </c>
      <c r="AU395" s="6" t="s">
        <v>17256</v>
      </c>
      <c r="AV395" s="6" t="s">
        <v>104</v>
      </c>
      <c r="AW395" s="6" t="s">
        <v>104</v>
      </c>
      <c r="AX395" s="6" t="s">
        <v>20429</v>
      </c>
      <c r="AY395" s="6" t="s">
        <v>22185</v>
      </c>
      <c r="AZ395" s="6" t="s">
        <v>104</v>
      </c>
      <c r="BA395" s="6" t="s">
        <v>104</v>
      </c>
      <c r="BB395" s="6" t="s">
        <v>104</v>
      </c>
      <c r="BC395" s="26"/>
      <c r="BD395" s="26"/>
      <c r="BE395" s="26"/>
      <c r="BF395" s="26"/>
      <c r="BG395" s="26"/>
      <c r="BH395" s="26"/>
      <c r="BI395" s="26"/>
      <c r="BJ395" s="26"/>
      <c r="BK395" s="26"/>
      <c r="BL395" s="26"/>
      <c r="BM395" s="26"/>
      <c r="BN395" s="26" t="s">
        <v>24533</v>
      </c>
      <c r="BO395" s="26"/>
      <c r="BP395" s="16" t="n">
        <v>45628</v>
      </c>
      <c r="BQ395" s="28" t="str">
        <f>HYPERLINK("https://organic.ams.usda.gov/Integrity/Certificate.aspx?cid=21&amp;nopid=1780855207")</f>
        <v>https://organic.ams.usda.gov/Integrity/Certificate.aspx?cid=21&amp;nopid=1780855207</v>
      </c>
    </row>
    <row r="396">
      <c r="A396" t="s">
        <v>3</v>
      </c>
      <c r="B396" s="6" t="s">
        <v>26</v>
      </c>
      <c r="C396" s="6" t="s">
        <v>92</v>
      </c>
      <c r="D396" s="6" t="s">
        <v>157</v>
      </c>
      <c r="E396" s="10" t="s">
        <v>594</v>
      </c>
      <c r="F396" s="6" t="s">
        <v>2848</v>
      </c>
      <c r="G396" s="6" t="s">
        <v>4712</v>
      </c>
      <c r="H396" s="6" t="s">
        <v>5251</v>
      </c>
      <c r="I396" s="6" t="s">
        <v>6935</v>
      </c>
      <c r="J396" s="6" t="s">
        <v>8436</v>
      </c>
      <c r="K396" s="6" t="s">
        <v>9714</v>
      </c>
      <c r="L396" s="16" t="n">
        <v>37483</v>
      </c>
      <c r="M396" s="16" t="n">
        <v>45823</v>
      </c>
      <c r="N396" s="6" t="s">
        <v>104</v>
      </c>
      <c r="O396" s="21" t="s">
        <v>104</v>
      </c>
      <c r="P396" s="6" t="s">
        <v>104</v>
      </c>
      <c r="Q396" s="6" t="s">
        <v>104</v>
      </c>
      <c r="R396" s="6" t="s">
        <v>104</v>
      </c>
      <c r="S396" s="6" t="s">
        <v>104</v>
      </c>
      <c r="T396" s="21" t="s">
        <v>104</v>
      </c>
      <c r="U396" s="6" t="s">
        <v>104</v>
      </c>
      <c r="V396" s="6" t="s">
        <v>104</v>
      </c>
      <c r="W396" s="6" t="s">
        <v>104</v>
      </c>
      <c r="X396" s="6" t="s">
        <v>104</v>
      </c>
      <c r="Y396" s="21" t="s">
        <v>104</v>
      </c>
      <c r="Z396" s="6" t="s">
        <v>104</v>
      </c>
      <c r="AA396" s="6" t="s">
        <v>104</v>
      </c>
      <c r="AB396" s="6" t="s">
        <v>104</v>
      </c>
      <c r="AC396" s="6" t="s">
        <v>9714</v>
      </c>
      <c r="AD396" s="16" t="n">
        <v>37483</v>
      </c>
      <c r="AE396" s="6" t="s">
        <v>10875</v>
      </c>
      <c r="AF396" s="6" t="s">
        <v>104</v>
      </c>
      <c r="AG396" s="6" t="s">
        <v>104</v>
      </c>
      <c r="AH396" s="6" t="s">
        <v>13509</v>
      </c>
      <c r="AI396" s="6" t="s">
        <v>104</v>
      </c>
      <c r="AJ396" s="6" t="s">
        <v>15637</v>
      </c>
      <c r="AK396" s="6" t="s">
        <v>15697</v>
      </c>
      <c r="AL396" s="6" t="s">
        <v>16931</v>
      </c>
      <c r="AM396" s="6" t="s">
        <v>17257</v>
      </c>
      <c r="AN396" s="6" t="s">
        <v>18468</v>
      </c>
      <c r="AO396" s="6" t="s">
        <v>18649</v>
      </c>
      <c r="AP396" s="6" t="s">
        <v>19063</v>
      </c>
      <c r="AQ396" s="6" t="s">
        <v>104</v>
      </c>
      <c r="AR396" s="6" t="s">
        <v>19629</v>
      </c>
      <c r="AS396" s="6" t="s">
        <v>15697</v>
      </c>
      <c r="AT396" s="6" t="s">
        <v>16931</v>
      </c>
      <c r="AU396" s="6" t="s">
        <v>19857</v>
      </c>
      <c r="AV396" s="6" t="s">
        <v>104</v>
      </c>
      <c r="AW396" s="6" t="s">
        <v>104</v>
      </c>
      <c r="AX396" s="6" t="s">
        <v>20430</v>
      </c>
      <c r="AY396" s="6" t="s">
        <v>104</v>
      </c>
      <c r="AZ396" s="6" t="s">
        <v>104</v>
      </c>
      <c r="BA396" s="6" t="s">
        <v>104</v>
      </c>
      <c r="BB396" s="24" t="n">
        <v>0</v>
      </c>
      <c r="BC396" s="26"/>
      <c r="BD396" s="26"/>
      <c r="BE396" s="26"/>
      <c r="BF396" s="26"/>
      <c r="BG396" s="26"/>
      <c r="BH396" s="26"/>
      <c r="BI396" s="26"/>
      <c r="BJ396" s="26"/>
      <c r="BK396" s="26"/>
      <c r="BL396" s="26"/>
      <c r="BM396" s="26"/>
      <c r="BN396" s="26"/>
      <c r="BO396" s="26"/>
      <c r="BP396" s="16" t="n">
        <v>45701</v>
      </c>
      <c r="BQ396" s="28" t="str">
        <f>HYPERLINK("https://organic.ams.usda.gov/Integrity/Certificate.aspx?cid=81&amp;nopid=4210099161")</f>
        <v>https://organic.ams.usda.gov/Integrity/Certificate.aspx?cid=81&amp;nopid=4210099161</v>
      </c>
    </row>
    <row r="397">
      <c r="A397" t="s">
        <v>3</v>
      </c>
      <c r="B397" s="6" t="s">
        <v>6</v>
      </c>
      <c r="C397" s="6" t="s">
        <v>72</v>
      </c>
      <c r="D397" s="6" t="s">
        <v>137</v>
      </c>
      <c r="E397" s="10" t="s">
        <v>595</v>
      </c>
      <c r="F397" s="6" t="s">
        <v>2849</v>
      </c>
      <c r="G397" s="6" t="s">
        <v>104</v>
      </c>
      <c r="H397" s="6" t="s">
        <v>5252</v>
      </c>
      <c r="I397" s="6" t="s">
        <v>7202</v>
      </c>
      <c r="J397" s="6" t="s">
        <v>8437</v>
      </c>
      <c r="K397" s="6" t="s">
        <v>9714</v>
      </c>
      <c r="L397" s="16" t="n">
        <v>42739</v>
      </c>
      <c r="M397" s="16" t="n">
        <v>45818</v>
      </c>
      <c r="N397" s="6" t="s">
        <v>104</v>
      </c>
      <c r="O397" s="21" t="s">
        <v>104</v>
      </c>
      <c r="P397" s="6" t="s">
        <v>104</v>
      </c>
      <c r="Q397" s="6" t="s">
        <v>104</v>
      </c>
      <c r="R397" s="6" t="s">
        <v>104</v>
      </c>
      <c r="S397" s="6" t="s">
        <v>104</v>
      </c>
      <c r="T397" s="21" t="s">
        <v>104</v>
      </c>
      <c r="U397" s="6" t="s">
        <v>104</v>
      </c>
      <c r="V397" s="6" t="s">
        <v>104</v>
      </c>
      <c r="W397" s="6" t="s">
        <v>104</v>
      </c>
      <c r="X397" s="6" t="s">
        <v>104</v>
      </c>
      <c r="Y397" s="21" t="s">
        <v>104</v>
      </c>
      <c r="Z397" s="6" t="s">
        <v>104</v>
      </c>
      <c r="AA397" s="6" t="s">
        <v>104</v>
      </c>
      <c r="AB397" s="6" t="s">
        <v>104</v>
      </c>
      <c r="AC397" s="6" t="s">
        <v>9714</v>
      </c>
      <c r="AD397" s="16" t="n">
        <v>42739</v>
      </c>
      <c r="AE397" s="6" t="s">
        <v>10876</v>
      </c>
      <c r="AF397" s="6" t="s">
        <v>104</v>
      </c>
      <c r="AG397" s="6" t="s">
        <v>12587</v>
      </c>
      <c r="AH397" s="6" t="s">
        <v>13510</v>
      </c>
      <c r="AI397" s="6" t="s">
        <v>104</v>
      </c>
      <c r="AJ397" s="6" t="s">
        <v>15638</v>
      </c>
      <c r="AK397" s="6" t="s">
        <v>16766</v>
      </c>
      <c r="AL397" s="6" t="s">
        <v>16766</v>
      </c>
      <c r="AM397" s="6" t="s">
        <v>104</v>
      </c>
      <c r="AN397" s="6" t="s">
        <v>104</v>
      </c>
      <c r="AO397" s="6" t="s">
        <v>104</v>
      </c>
      <c r="AP397" s="6" t="s">
        <v>104</v>
      </c>
      <c r="AQ397" s="6" t="s">
        <v>104</v>
      </c>
      <c r="AR397" s="6" t="s">
        <v>104</v>
      </c>
      <c r="AS397" s="6" t="s">
        <v>104</v>
      </c>
      <c r="AT397" s="6" t="s">
        <v>104</v>
      </c>
      <c r="AU397" s="6" t="s">
        <v>104</v>
      </c>
      <c r="AV397" s="6" t="s">
        <v>104</v>
      </c>
      <c r="AW397" s="6" t="s">
        <v>104</v>
      </c>
      <c r="AX397" s="6" t="s">
        <v>20431</v>
      </c>
      <c r="AY397" s="6" t="s">
        <v>22186</v>
      </c>
      <c r="AZ397" s="6" t="s">
        <v>104</v>
      </c>
      <c r="BA397" s="6" t="s">
        <v>24258</v>
      </c>
      <c r="BB397" s="6" t="s">
        <v>104</v>
      </c>
      <c r="BC397" s="26"/>
      <c r="BD397" s="26"/>
      <c r="BE397" s="26"/>
      <c r="BF397" s="26"/>
      <c r="BG397" s="26"/>
      <c r="BH397" s="26"/>
      <c r="BI397" s="26"/>
      <c r="BJ397" s="26"/>
      <c r="BK397" s="26"/>
      <c r="BL397" s="26"/>
      <c r="BM397" s="26"/>
      <c r="BN397" s="26"/>
      <c r="BO397" s="26"/>
      <c r="BP397" s="16" t="n">
        <v>45737</v>
      </c>
      <c r="BQ397" s="28" t="str">
        <f>HYPERLINK("https://organic.ams.usda.gov/Integrity/Certificate.aspx?cid=32&amp;nopid=2230004825")</f>
        <v>https://organic.ams.usda.gov/Integrity/Certificate.aspx?cid=32&amp;nopid=2230004825</v>
      </c>
    </row>
    <row r="398">
      <c r="A398" t="s">
        <v>3</v>
      </c>
      <c r="B398" s="6" t="s">
        <v>6</v>
      </c>
      <c r="C398" s="6" t="s">
        <v>72</v>
      </c>
      <c r="D398" s="6" t="s">
        <v>137</v>
      </c>
      <c r="E398" s="10" t="s">
        <v>596</v>
      </c>
      <c r="F398" s="6" t="s">
        <v>2850</v>
      </c>
      <c r="G398" s="6" t="s">
        <v>104</v>
      </c>
      <c r="H398" s="6" t="s">
        <v>5253</v>
      </c>
      <c r="I398" s="6" t="s">
        <v>7203</v>
      </c>
      <c r="J398" s="6" t="s">
        <v>8438</v>
      </c>
      <c r="K398" s="6" t="s">
        <v>9714</v>
      </c>
      <c r="L398" s="16" t="n">
        <v>45546</v>
      </c>
      <c r="M398" s="16" t="n">
        <v>45848</v>
      </c>
      <c r="N398" s="6" t="s">
        <v>104</v>
      </c>
      <c r="O398" s="21" t="s">
        <v>104</v>
      </c>
      <c r="P398" s="6" t="s">
        <v>104</v>
      </c>
      <c r="Q398" s="6" t="s">
        <v>104</v>
      </c>
      <c r="R398" s="6" t="s">
        <v>104</v>
      </c>
      <c r="S398" s="6" t="s">
        <v>104</v>
      </c>
      <c r="T398" s="21" t="s">
        <v>104</v>
      </c>
      <c r="U398" s="6" t="s">
        <v>104</v>
      </c>
      <c r="V398" s="6" t="s">
        <v>104</v>
      </c>
      <c r="W398" s="6" t="s">
        <v>104</v>
      </c>
      <c r="X398" s="6" t="s">
        <v>104</v>
      </c>
      <c r="Y398" s="21" t="s">
        <v>104</v>
      </c>
      <c r="Z398" s="6" t="s">
        <v>104</v>
      </c>
      <c r="AA398" s="6" t="s">
        <v>104</v>
      </c>
      <c r="AB398" s="6" t="s">
        <v>104</v>
      </c>
      <c r="AC398" s="6" t="s">
        <v>9714</v>
      </c>
      <c r="AD398" s="16" t="n">
        <v>45546</v>
      </c>
      <c r="AE398" s="6" t="s">
        <v>10877</v>
      </c>
      <c r="AF398" s="6" t="s">
        <v>104</v>
      </c>
      <c r="AG398" s="6" t="s">
        <v>12588</v>
      </c>
      <c r="AH398" s="6" t="s">
        <v>13511</v>
      </c>
      <c r="AI398" s="6" t="s">
        <v>104</v>
      </c>
      <c r="AJ398" s="6" t="s">
        <v>15639</v>
      </c>
      <c r="AK398" s="6" t="s">
        <v>16741</v>
      </c>
      <c r="AL398" s="6" t="s">
        <v>16766</v>
      </c>
      <c r="AM398" s="6" t="s">
        <v>17258</v>
      </c>
      <c r="AN398" s="6" t="s">
        <v>104</v>
      </c>
      <c r="AO398" s="6" t="s">
        <v>104</v>
      </c>
      <c r="AP398" s="6" t="s">
        <v>104</v>
      </c>
      <c r="AQ398" s="6" t="s">
        <v>104</v>
      </c>
      <c r="AR398" s="6" t="s">
        <v>104</v>
      </c>
      <c r="AS398" s="6" t="s">
        <v>104</v>
      </c>
      <c r="AT398" s="6" t="s">
        <v>104</v>
      </c>
      <c r="AU398" s="6" t="s">
        <v>104</v>
      </c>
      <c r="AV398" s="6" t="s">
        <v>104</v>
      </c>
      <c r="AW398" s="6" t="s">
        <v>104</v>
      </c>
      <c r="AX398" s="6" t="s">
        <v>20432</v>
      </c>
      <c r="AY398" s="6" t="s">
        <v>22187</v>
      </c>
      <c r="AZ398" s="6" t="s">
        <v>104</v>
      </c>
      <c r="BA398" s="6" t="s">
        <v>24258</v>
      </c>
      <c r="BB398" s="6" t="s">
        <v>104</v>
      </c>
      <c r="BC398" s="26"/>
      <c r="BD398" s="26"/>
      <c r="BE398" s="26"/>
      <c r="BF398" s="26"/>
      <c r="BG398" s="26"/>
      <c r="BH398" s="26"/>
      <c r="BI398" s="26"/>
      <c r="BJ398" s="26"/>
      <c r="BK398" s="26"/>
      <c r="BL398" s="26"/>
      <c r="BM398" s="26"/>
      <c r="BN398" s="26"/>
      <c r="BO398" s="26"/>
      <c r="BP398" s="16" t="n">
        <v>45546</v>
      </c>
      <c r="BQ398" s="28" t="str">
        <f>HYPERLINK("https://organic.ams.usda.gov/Integrity/Certificate.aspx?cid=32&amp;nopid=2233011461")</f>
        <v>https://organic.ams.usda.gov/Integrity/Certificate.aspx?cid=32&amp;nopid=2233011461</v>
      </c>
    </row>
    <row r="399">
      <c r="A399" t="s">
        <v>3</v>
      </c>
      <c r="B399" s="6" t="s">
        <v>6</v>
      </c>
      <c r="C399" s="6" t="s">
        <v>72</v>
      </c>
      <c r="D399" s="6" t="s">
        <v>137</v>
      </c>
      <c r="E399" s="10" t="s">
        <v>597</v>
      </c>
      <c r="F399" s="6" t="s">
        <v>2851</v>
      </c>
      <c r="G399" s="6" t="s">
        <v>104</v>
      </c>
      <c r="H399" s="6" t="s">
        <v>5254</v>
      </c>
      <c r="I399" s="6" t="s">
        <v>7204</v>
      </c>
      <c r="J399" s="6" t="s">
        <v>8439</v>
      </c>
      <c r="K399" s="6" t="s">
        <v>9714</v>
      </c>
      <c r="L399" s="16" t="n">
        <v>42976</v>
      </c>
      <c r="M399" s="16" t="n">
        <v>45830</v>
      </c>
      <c r="N399" s="6" t="s">
        <v>104</v>
      </c>
      <c r="O399" s="21" t="s">
        <v>104</v>
      </c>
      <c r="P399" s="6" t="s">
        <v>104</v>
      </c>
      <c r="Q399" s="6" t="s">
        <v>104</v>
      </c>
      <c r="R399" s="6" t="s">
        <v>104</v>
      </c>
      <c r="S399" s="6" t="s">
        <v>104</v>
      </c>
      <c r="T399" s="21" t="s">
        <v>104</v>
      </c>
      <c r="U399" s="6" t="s">
        <v>104</v>
      </c>
      <c r="V399" s="6" t="s">
        <v>104</v>
      </c>
      <c r="W399" s="6" t="s">
        <v>104</v>
      </c>
      <c r="X399" s="6" t="s">
        <v>104</v>
      </c>
      <c r="Y399" s="21" t="s">
        <v>104</v>
      </c>
      <c r="Z399" s="6" t="s">
        <v>104</v>
      </c>
      <c r="AA399" s="6" t="s">
        <v>104</v>
      </c>
      <c r="AB399" s="6" t="s">
        <v>104</v>
      </c>
      <c r="AC399" s="6" t="s">
        <v>9714</v>
      </c>
      <c r="AD399" s="16" t="n">
        <v>42976</v>
      </c>
      <c r="AE399" s="6" t="s">
        <v>10878</v>
      </c>
      <c r="AF399" s="6" t="s">
        <v>104</v>
      </c>
      <c r="AG399" s="6" t="s">
        <v>12589</v>
      </c>
      <c r="AH399" s="6" t="s">
        <v>13512</v>
      </c>
      <c r="AI399" s="6" t="s">
        <v>104</v>
      </c>
      <c r="AJ399" s="6" t="s">
        <v>15529</v>
      </c>
      <c r="AK399" s="6" t="s">
        <v>16741</v>
      </c>
      <c r="AL399" s="6" t="s">
        <v>16766</v>
      </c>
      <c r="AM399" s="6" t="s">
        <v>17144</v>
      </c>
      <c r="AN399" s="6" t="s">
        <v>104</v>
      </c>
      <c r="AO399" s="6" t="s">
        <v>104</v>
      </c>
      <c r="AP399" s="6" t="s">
        <v>104</v>
      </c>
      <c r="AQ399" s="6" t="s">
        <v>104</v>
      </c>
      <c r="AR399" s="6" t="s">
        <v>104</v>
      </c>
      <c r="AS399" s="6" t="s">
        <v>104</v>
      </c>
      <c r="AT399" s="6" t="s">
        <v>104</v>
      </c>
      <c r="AU399" s="6" t="s">
        <v>104</v>
      </c>
      <c r="AV399" s="6" t="s">
        <v>104</v>
      </c>
      <c r="AW399" s="6" t="s">
        <v>104</v>
      </c>
      <c r="AX399" s="6" t="s">
        <v>104</v>
      </c>
      <c r="AY399" s="6" t="s">
        <v>22187</v>
      </c>
      <c r="AZ399" s="6" t="s">
        <v>104</v>
      </c>
      <c r="BA399" s="6" t="s">
        <v>24258</v>
      </c>
      <c r="BB399" s="6" t="s">
        <v>104</v>
      </c>
      <c r="BC399" s="26"/>
      <c r="BD399" s="26"/>
      <c r="BE399" s="26"/>
      <c r="BF399" s="26"/>
      <c r="BG399" s="26"/>
      <c r="BH399" s="26"/>
      <c r="BI399" s="26"/>
      <c r="BJ399" s="26"/>
      <c r="BK399" s="26"/>
      <c r="BL399" s="26"/>
      <c r="BM399" s="26"/>
      <c r="BN399" s="26"/>
      <c r="BO399" s="26"/>
      <c r="BP399" s="16" t="n">
        <v>45737</v>
      </c>
      <c r="BQ399" s="28" t="str">
        <f>HYPERLINK("https://organic.ams.usda.gov/Integrity/Certificate.aspx?cid=32&amp;nopid=2230005058")</f>
        <v>https://organic.ams.usda.gov/Integrity/Certificate.aspx?cid=32&amp;nopid=2230005058</v>
      </c>
    </row>
    <row r="400">
      <c r="A400" t="s">
        <v>3</v>
      </c>
      <c r="B400" s="6" t="s">
        <v>6</v>
      </c>
      <c r="C400" s="6" t="s">
        <v>72</v>
      </c>
      <c r="D400" s="6" t="s">
        <v>137</v>
      </c>
      <c r="E400" s="10" t="s">
        <v>598</v>
      </c>
      <c r="F400" s="6" t="s">
        <v>2852</v>
      </c>
      <c r="G400" s="6" t="s">
        <v>104</v>
      </c>
      <c r="H400" s="6" t="s">
        <v>5253</v>
      </c>
      <c r="I400" s="6" t="s">
        <v>7203</v>
      </c>
      <c r="J400" s="6" t="s">
        <v>8438</v>
      </c>
      <c r="K400" s="6" t="s">
        <v>9714</v>
      </c>
      <c r="L400" s="16" t="n">
        <v>45546</v>
      </c>
      <c r="M400" s="16" t="n">
        <v>45848</v>
      </c>
      <c r="N400" s="6" t="s">
        <v>104</v>
      </c>
      <c r="O400" s="21" t="s">
        <v>104</v>
      </c>
      <c r="P400" s="6" t="s">
        <v>104</v>
      </c>
      <c r="Q400" s="6" t="s">
        <v>104</v>
      </c>
      <c r="R400" s="6" t="s">
        <v>104</v>
      </c>
      <c r="S400" s="6" t="s">
        <v>104</v>
      </c>
      <c r="T400" s="21" t="s">
        <v>104</v>
      </c>
      <c r="U400" s="6" t="s">
        <v>104</v>
      </c>
      <c r="V400" s="6" t="s">
        <v>104</v>
      </c>
      <c r="W400" s="6" t="s">
        <v>104</v>
      </c>
      <c r="X400" s="6" t="s">
        <v>104</v>
      </c>
      <c r="Y400" s="21" t="s">
        <v>104</v>
      </c>
      <c r="Z400" s="6" t="s">
        <v>104</v>
      </c>
      <c r="AA400" s="6" t="s">
        <v>104</v>
      </c>
      <c r="AB400" s="6" t="s">
        <v>104</v>
      </c>
      <c r="AC400" s="6" t="s">
        <v>9714</v>
      </c>
      <c r="AD400" s="16" t="n">
        <v>45546</v>
      </c>
      <c r="AE400" s="6" t="s">
        <v>10877</v>
      </c>
      <c r="AF400" s="6" t="s">
        <v>104</v>
      </c>
      <c r="AG400" s="6" t="s">
        <v>12590</v>
      </c>
      <c r="AH400" s="6" t="s">
        <v>13511</v>
      </c>
      <c r="AI400" s="6" t="s">
        <v>104</v>
      </c>
      <c r="AJ400" s="6" t="s">
        <v>15639</v>
      </c>
      <c r="AK400" s="6" t="s">
        <v>16741</v>
      </c>
      <c r="AL400" s="6" t="s">
        <v>16766</v>
      </c>
      <c r="AM400" s="6" t="s">
        <v>17258</v>
      </c>
      <c r="AN400" s="6" t="s">
        <v>104</v>
      </c>
      <c r="AO400" s="6" t="s">
        <v>104</v>
      </c>
      <c r="AP400" s="6" t="s">
        <v>104</v>
      </c>
      <c r="AQ400" s="6" t="s">
        <v>104</v>
      </c>
      <c r="AR400" s="6" t="s">
        <v>104</v>
      </c>
      <c r="AS400" s="6" t="s">
        <v>104</v>
      </c>
      <c r="AT400" s="6" t="s">
        <v>104</v>
      </c>
      <c r="AU400" s="6" t="s">
        <v>104</v>
      </c>
      <c r="AV400" s="6" t="s">
        <v>104</v>
      </c>
      <c r="AW400" s="6" t="s">
        <v>104</v>
      </c>
      <c r="AX400" s="6" t="s">
        <v>20432</v>
      </c>
      <c r="AY400" s="6" t="s">
        <v>22187</v>
      </c>
      <c r="AZ400" s="6" t="s">
        <v>104</v>
      </c>
      <c r="BA400" s="6" t="s">
        <v>24258</v>
      </c>
      <c r="BB400" s="6" t="s">
        <v>104</v>
      </c>
      <c r="BC400" s="26"/>
      <c r="BD400" s="26"/>
      <c r="BE400" s="26"/>
      <c r="BF400" s="26"/>
      <c r="BG400" s="26"/>
      <c r="BH400" s="26"/>
      <c r="BI400" s="26"/>
      <c r="BJ400" s="26"/>
      <c r="BK400" s="26"/>
      <c r="BL400" s="26"/>
      <c r="BM400" s="26"/>
      <c r="BN400" s="26"/>
      <c r="BO400" s="26"/>
      <c r="BP400" s="16" t="n">
        <v>45737</v>
      </c>
      <c r="BQ400" s="28" t="str">
        <f>HYPERLINK("https://organic.ams.usda.gov/Integrity/Certificate.aspx?cid=32&amp;nopid=2230011461")</f>
        <v>https://organic.ams.usda.gov/Integrity/Certificate.aspx?cid=32&amp;nopid=2230011461</v>
      </c>
    </row>
    <row r="401">
      <c r="A401" t="s">
        <v>3</v>
      </c>
      <c r="B401" s="6" t="s">
        <v>6</v>
      </c>
      <c r="C401" s="6" t="s">
        <v>72</v>
      </c>
      <c r="D401" s="6" t="s">
        <v>137</v>
      </c>
      <c r="E401" s="10" t="s">
        <v>599</v>
      </c>
      <c r="F401" s="6" t="s">
        <v>2853</v>
      </c>
      <c r="G401" s="6" t="s">
        <v>104</v>
      </c>
      <c r="H401" s="6" t="s">
        <v>5255</v>
      </c>
      <c r="I401" s="6" t="s">
        <v>7203</v>
      </c>
      <c r="J401" s="6" t="s">
        <v>8438</v>
      </c>
      <c r="K401" s="6" t="s">
        <v>9714</v>
      </c>
      <c r="L401" s="16" t="n">
        <v>45005</v>
      </c>
      <c r="M401" s="16" t="n">
        <v>45848</v>
      </c>
      <c r="N401" s="6" t="s">
        <v>104</v>
      </c>
      <c r="O401" s="21" t="s">
        <v>104</v>
      </c>
      <c r="P401" s="6" t="s">
        <v>104</v>
      </c>
      <c r="Q401" s="6" t="s">
        <v>104</v>
      </c>
      <c r="R401" s="6" t="s">
        <v>104</v>
      </c>
      <c r="S401" s="6" t="s">
        <v>104</v>
      </c>
      <c r="T401" s="21" t="s">
        <v>104</v>
      </c>
      <c r="U401" s="6" t="s">
        <v>104</v>
      </c>
      <c r="V401" s="6" t="s">
        <v>104</v>
      </c>
      <c r="W401" s="6" t="s">
        <v>104</v>
      </c>
      <c r="X401" s="6" t="s">
        <v>104</v>
      </c>
      <c r="Y401" s="21" t="s">
        <v>104</v>
      </c>
      <c r="Z401" s="6" t="s">
        <v>104</v>
      </c>
      <c r="AA401" s="6" t="s">
        <v>104</v>
      </c>
      <c r="AB401" s="6" t="s">
        <v>104</v>
      </c>
      <c r="AC401" s="6" t="s">
        <v>9714</v>
      </c>
      <c r="AD401" s="16" t="n">
        <v>45005</v>
      </c>
      <c r="AE401" s="6" t="s">
        <v>10879</v>
      </c>
      <c r="AF401" s="6" t="s">
        <v>104</v>
      </c>
      <c r="AG401" s="6" t="s">
        <v>12591</v>
      </c>
      <c r="AH401" s="6" t="s">
        <v>13513</v>
      </c>
      <c r="AI401" s="6" t="s">
        <v>104</v>
      </c>
      <c r="AJ401" s="6" t="s">
        <v>15640</v>
      </c>
      <c r="AK401" s="6" t="s">
        <v>16767</v>
      </c>
      <c r="AL401" s="6" t="s">
        <v>16766</v>
      </c>
      <c r="AM401" s="6" t="s">
        <v>17259</v>
      </c>
      <c r="AN401" s="6" t="s">
        <v>104</v>
      </c>
      <c r="AO401" s="6" t="s">
        <v>104</v>
      </c>
      <c r="AP401" s="6" t="s">
        <v>104</v>
      </c>
      <c r="AQ401" s="6" t="s">
        <v>104</v>
      </c>
      <c r="AR401" s="6" t="s">
        <v>104</v>
      </c>
      <c r="AS401" s="6" t="s">
        <v>104</v>
      </c>
      <c r="AT401" s="6" t="s">
        <v>104</v>
      </c>
      <c r="AU401" s="6" t="s">
        <v>104</v>
      </c>
      <c r="AV401" s="6" t="s">
        <v>104</v>
      </c>
      <c r="AW401" s="6" t="s">
        <v>104</v>
      </c>
      <c r="AX401" s="6" t="s">
        <v>104</v>
      </c>
      <c r="AY401" s="6" t="s">
        <v>22187</v>
      </c>
      <c r="AZ401" s="6" t="s">
        <v>104</v>
      </c>
      <c r="BA401" s="6" t="s">
        <v>24258</v>
      </c>
      <c r="BB401" s="6" t="s">
        <v>104</v>
      </c>
      <c r="BC401" s="26"/>
      <c r="BD401" s="26"/>
      <c r="BE401" s="26"/>
      <c r="BF401" s="26"/>
      <c r="BG401" s="26"/>
      <c r="BH401" s="26"/>
      <c r="BI401" s="26"/>
      <c r="BJ401" s="26"/>
      <c r="BK401" s="26"/>
      <c r="BL401" s="26"/>
      <c r="BM401" s="26"/>
      <c r="BN401" s="26"/>
      <c r="BO401" s="26"/>
      <c r="BP401" s="16" t="n">
        <v>45737</v>
      </c>
      <c r="BQ401" s="28" t="str">
        <f>HYPERLINK("https://organic.ams.usda.gov/Integrity/Certificate.aspx?cid=32&amp;nopid=2230009659")</f>
        <v>https://organic.ams.usda.gov/Integrity/Certificate.aspx?cid=32&amp;nopid=2230009659</v>
      </c>
    </row>
    <row r="402">
      <c r="A402" t="s">
        <v>3</v>
      </c>
      <c r="B402" s="6" t="s">
        <v>6</v>
      </c>
      <c r="C402" s="6" t="s">
        <v>72</v>
      </c>
      <c r="D402" s="6" t="s">
        <v>137</v>
      </c>
      <c r="E402" s="10" t="s">
        <v>600</v>
      </c>
      <c r="F402" s="6" t="s">
        <v>2854</v>
      </c>
      <c r="G402" s="6" t="s">
        <v>104</v>
      </c>
      <c r="H402" s="6" t="s">
        <v>5256</v>
      </c>
      <c r="I402" s="6" t="s">
        <v>7204</v>
      </c>
      <c r="J402" s="6" t="s">
        <v>8439</v>
      </c>
      <c r="K402" s="6" t="s">
        <v>9714</v>
      </c>
      <c r="L402" s="16" t="n">
        <v>45351</v>
      </c>
      <c r="M402" s="16" t="n">
        <v>45833</v>
      </c>
      <c r="N402" s="6" t="s">
        <v>104</v>
      </c>
      <c r="O402" s="21" t="s">
        <v>104</v>
      </c>
      <c r="P402" s="6" t="s">
        <v>104</v>
      </c>
      <c r="Q402" s="6" t="s">
        <v>104</v>
      </c>
      <c r="R402" s="6" t="s">
        <v>104</v>
      </c>
      <c r="S402" s="6" t="s">
        <v>104</v>
      </c>
      <c r="T402" s="21" t="s">
        <v>104</v>
      </c>
      <c r="U402" s="6" t="s">
        <v>104</v>
      </c>
      <c r="V402" s="6" t="s">
        <v>104</v>
      </c>
      <c r="W402" s="6" t="s">
        <v>104</v>
      </c>
      <c r="X402" s="6" t="s">
        <v>104</v>
      </c>
      <c r="Y402" s="21" t="s">
        <v>104</v>
      </c>
      <c r="Z402" s="6" t="s">
        <v>104</v>
      </c>
      <c r="AA402" s="6" t="s">
        <v>104</v>
      </c>
      <c r="AB402" s="6" t="s">
        <v>104</v>
      </c>
      <c r="AC402" s="6" t="s">
        <v>9714</v>
      </c>
      <c r="AD402" s="16" t="n">
        <v>45351</v>
      </c>
      <c r="AE402" s="6" t="s">
        <v>10880</v>
      </c>
      <c r="AF402" s="6" t="s">
        <v>104</v>
      </c>
      <c r="AG402" s="6" t="s">
        <v>12592</v>
      </c>
      <c r="AH402" s="6" t="s">
        <v>13514</v>
      </c>
      <c r="AI402" s="6" t="s">
        <v>104</v>
      </c>
      <c r="AJ402" s="6" t="s">
        <v>15641</v>
      </c>
      <c r="AK402" s="6" t="s">
        <v>16741</v>
      </c>
      <c r="AL402" s="6" t="s">
        <v>16766</v>
      </c>
      <c r="AM402" s="6" t="s">
        <v>17144</v>
      </c>
      <c r="AN402" s="6" t="s">
        <v>104</v>
      </c>
      <c r="AO402" s="6" t="s">
        <v>104</v>
      </c>
      <c r="AP402" s="6" t="s">
        <v>104</v>
      </c>
      <c r="AQ402" s="6" t="s">
        <v>104</v>
      </c>
      <c r="AR402" s="6" t="s">
        <v>104</v>
      </c>
      <c r="AS402" s="6" t="s">
        <v>104</v>
      </c>
      <c r="AT402" s="6" t="s">
        <v>104</v>
      </c>
      <c r="AU402" s="6" t="s">
        <v>104</v>
      </c>
      <c r="AV402" s="6" t="s">
        <v>104</v>
      </c>
      <c r="AW402" s="6" t="s">
        <v>104</v>
      </c>
      <c r="AX402" s="6" t="s">
        <v>20432</v>
      </c>
      <c r="AY402" s="6" t="s">
        <v>22187</v>
      </c>
      <c r="AZ402" s="6" t="s">
        <v>104</v>
      </c>
      <c r="BA402" s="6" t="s">
        <v>24290</v>
      </c>
      <c r="BB402" s="6" t="s">
        <v>104</v>
      </c>
      <c r="BC402" s="26"/>
      <c r="BD402" s="26"/>
      <c r="BE402" s="26"/>
      <c r="BF402" s="26"/>
      <c r="BG402" s="26"/>
      <c r="BH402" s="26"/>
      <c r="BI402" s="26"/>
      <c r="BJ402" s="26"/>
      <c r="BK402" s="26"/>
      <c r="BL402" s="26"/>
      <c r="BM402" s="26"/>
      <c r="BN402" s="26"/>
      <c r="BO402" s="26"/>
      <c r="BP402" s="16" t="n">
        <v>45737</v>
      </c>
      <c r="BQ402" s="28" t="str">
        <f>HYPERLINK("https://organic.ams.usda.gov/Integrity/Certificate.aspx?cid=32&amp;nopid=2230010416")</f>
        <v>https://organic.ams.usda.gov/Integrity/Certificate.aspx?cid=32&amp;nopid=2230010416</v>
      </c>
    </row>
    <row r="403">
      <c r="A403" t="s">
        <v>3</v>
      </c>
      <c r="B403" s="6" t="s">
        <v>12</v>
      </c>
      <c r="C403" s="6" t="s">
        <v>78</v>
      </c>
      <c r="D403" s="6" t="s">
        <v>143</v>
      </c>
      <c r="E403" s="10" t="s">
        <v>601</v>
      </c>
      <c r="F403" s="6" t="s">
        <v>2855</v>
      </c>
      <c r="G403" s="6" t="s">
        <v>104</v>
      </c>
      <c r="H403" s="6" t="s">
        <v>104</v>
      </c>
      <c r="I403" s="6" t="s">
        <v>7205</v>
      </c>
      <c r="J403" s="6" t="s">
        <v>8440</v>
      </c>
      <c r="K403" s="6" t="s">
        <v>9714</v>
      </c>
      <c r="L403" s="16" t="n">
        <v>44575</v>
      </c>
      <c r="M403" s="16" t="n">
        <v>45809</v>
      </c>
      <c r="N403" s="6" t="s">
        <v>9714</v>
      </c>
      <c r="O403" s="16" t="n">
        <v>44575</v>
      </c>
      <c r="P403" s="6" t="s">
        <v>9838</v>
      </c>
      <c r="Q403" s="6" t="s">
        <v>104</v>
      </c>
      <c r="R403" s="6" t="s">
        <v>10329</v>
      </c>
      <c r="S403" s="6" t="s">
        <v>9714</v>
      </c>
      <c r="T403" s="16" t="n">
        <v>44575</v>
      </c>
      <c r="U403" s="6" t="s">
        <v>10473</v>
      </c>
      <c r="V403" s="6" t="s">
        <v>104</v>
      </c>
      <c r="W403" s="6" t="s">
        <v>10513</v>
      </c>
      <c r="X403" s="6" t="s">
        <v>104</v>
      </c>
      <c r="Y403" s="21" t="s">
        <v>104</v>
      </c>
      <c r="Z403" s="6" t="s">
        <v>104</v>
      </c>
      <c r="AA403" s="6" t="s">
        <v>104</v>
      </c>
      <c r="AB403" s="6" t="s">
        <v>104</v>
      </c>
      <c r="AC403" s="6" t="s">
        <v>104</v>
      </c>
      <c r="AD403" s="21" t="s">
        <v>104</v>
      </c>
      <c r="AE403" s="6" t="s">
        <v>104</v>
      </c>
      <c r="AF403" s="6" t="s">
        <v>104</v>
      </c>
      <c r="AG403" s="6" t="s">
        <v>104</v>
      </c>
      <c r="AH403" s="6" t="s">
        <v>13515</v>
      </c>
      <c r="AI403" s="6" t="s">
        <v>104</v>
      </c>
      <c r="AJ403" s="6" t="s">
        <v>15642</v>
      </c>
      <c r="AK403" s="6" t="s">
        <v>16678</v>
      </c>
      <c r="AL403" s="6" t="s">
        <v>16931</v>
      </c>
      <c r="AM403" s="6" t="s">
        <v>17260</v>
      </c>
      <c r="AN403" s="6" t="s">
        <v>18509</v>
      </c>
      <c r="AO403" s="6" t="s">
        <v>18651</v>
      </c>
      <c r="AP403" s="6" t="s">
        <v>19064</v>
      </c>
      <c r="AQ403" s="6" t="s">
        <v>104</v>
      </c>
      <c r="AR403" s="6" t="s">
        <v>15642</v>
      </c>
      <c r="AS403" s="6" t="s">
        <v>16678</v>
      </c>
      <c r="AT403" s="6" t="s">
        <v>16931</v>
      </c>
      <c r="AU403" s="6" t="s">
        <v>17260</v>
      </c>
      <c r="AV403" s="6" t="s">
        <v>104</v>
      </c>
      <c r="AW403" s="6" t="s">
        <v>104</v>
      </c>
      <c r="AX403" s="6" t="s">
        <v>104</v>
      </c>
      <c r="AY403" s="6" t="s">
        <v>22188</v>
      </c>
      <c r="AZ403" s="6" t="s">
        <v>104</v>
      </c>
      <c r="BA403" s="6" t="s">
        <v>104</v>
      </c>
      <c r="BB403" s="24" t="n">
        <v>12509</v>
      </c>
      <c r="BC403" s="26"/>
      <c r="BD403" s="26"/>
      <c r="BE403" s="26"/>
      <c r="BF403" s="26"/>
      <c r="BG403" s="26"/>
      <c r="BH403" s="26"/>
      <c r="BI403" s="26"/>
      <c r="BJ403" s="26"/>
      <c r="BK403" s="26"/>
      <c r="BL403" s="26"/>
      <c r="BM403" s="26"/>
      <c r="BN403" s="26"/>
      <c r="BO403" s="26"/>
      <c r="BP403" s="16" t="n">
        <v>45700</v>
      </c>
      <c r="BQ403" s="28" t="str">
        <f>HYPERLINK("https://organic.ams.usda.gov/Integrity/Certificate.aspx?cid=1&amp;nopid=9092128104")</f>
        <v>https://organic.ams.usda.gov/Integrity/Certificate.aspx?cid=1&amp;nopid=9092128104</v>
      </c>
    </row>
    <row r="404">
      <c r="A404" t="s">
        <v>3</v>
      </c>
      <c r="B404" s="6" t="s">
        <v>20</v>
      </c>
      <c r="C404" s="6" t="s">
        <v>86</v>
      </c>
      <c r="D404" s="6" t="s">
        <v>151</v>
      </c>
      <c r="E404" s="10" t="s">
        <v>602</v>
      </c>
      <c r="F404" s="6" t="s">
        <v>2856</v>
      </c>
      <c r="G404" s="6" t="s">
        <v>104</v>
      </c>
      <c r="H404" s="6" t="s">
        <v>5257</v>
      </c>
      <c r="I404" s="6" t="s">
        <v>7094</v>
      </c>
      <c r="J404" s="6" t="s">
        <v>8441</v>
      </c>
      <c r="K404" s="6" t="s">
        <v>9714</v>
      </c>
      <c r="L404" s="16" t="n">
        <v>43391</v>
      </c>
      <c r="M404" s="16" t="n">
        <v>45565</v>
      </c>
      <c r="N404" s="6" t="s">
        <v>104</v>
      </c>
      <c r="O404" s="21" t="s">
        <v>104</v>
      </c>
      <c r="P404" s="6" t="s">
        <v>104</v>
      </c>
      <c r="Q404" s="6" t="s">
        <v>104</v>
      </c>
      <c r="R404" s="6" t="s">
        <v>104</v>
      </c>
      <c r="S404" s="6" t="s">
        <v>104</v>
      </c>
      <c r="T404" s="21" t="s">
        <v>104</v>
      </c>
      <c r="U404" s="6" t="s">
        <v>104</v>
      </c>
      <c r="V404" s="6" t="s">
        <v>104</v>
      </c>
      <c r="W404" s="6" t="s">
        <v>104</v>
      </c>
      <c r="X404" s="6" t="s">
        <v>104</v>
      </c>
      <c r="Y404" s="21" t="s">
        <v>104</v>
      </c>
      <c r="Z404" s="6" t="s">
        <v>104</v>
      </c>
      <c r="AA404" s="6" t="s">
        <v>104</v>
      </c>
      <c r="AB404" s="6" t="s">
        <v>104</v>
      </c>
      <c r="AC404" s="6" t="s">
        <v>9714</v>
      </c>
      <c r="AD404" s="16" t="n">
        <v>43391</v>
      </c>
      <c r="AE404" s="6" t="s">
        <v>10881</v>
      </c>
      <c r="AF404" s="6" t="s">
        <v>104</v>
      </c>
      <c r="AG404" s="6" t="s">
        <v>12593</v>
      </c>
      <c r="AH404" s="6" t="s">
        <v>13516</v>
      </c>
      <c r="AI404" s="6" t="s">
        <v>104</v>
      </c>
      <c r="AJ404" s="6" t="s">
        <v>15643</v>
      </c>
      <c r="AK404" s="6" t="s">
        <v>16768</v>
      </c>
      <c r="AL404" s="6" t="s">
        <v>16766</v>
      </c>
      <c r="AM404" s="6" t="s">
        <v>17261</v>
      </c>
      <c r="AN404" s="6" t="s">
        <v>104</v>
      </c>
      <c r="AO404" s="6" t="s">
        <v>104</v>
      </c>
      <c r="AP404" s="6" t="s">
        <v>13516</v>
      </c>
      <c r="AQ404" s="6" t="s">
        <v>104</v>
      </c>
      <c r="AR404" s="6" t="s">
        <v>15643</v>
      </c>
      <c r="AS404" s="6" t="s">
        <v>16768</v>
      </c>
      <c r="AT404" s="6" t="s">
        <v>16766</v>
      </c>
      <c r="AU404" s="6" t="s">
        <v>17261</v>
      </c>
      <c r="AV404" s="6" t="s">
        <v>104</v>
      </c>
      <c r="AW404" s="6" t="s">
        <v>104</v>
      </c>
      <c r="AX404" s="6" t="s">
        <v>20433</v>
      </c>
      <c r="AY404" s="6" t="s">
        <v>22189</v>
      </c>
      <c r="AZ404" s="6" t="s">
        <v>104</v>
      </c>
      <c r="BA404" s="6" t="s">
        <v>104</v>
      </c>
      <c r="BB404" s="6" t="s">
        <v>104</v>
      </c>
      <c r="BC404" s="26"/>
      <c r="BD404" s="26"/>
      <c r="BE404" s="26"/>
      <c r="BF404" s="26"/>
      <c r="BG404" s="26"/>
      <c r="BH404" s="26"/>
      <c r="BI404" s="26"/>
      <c r="BJ404" s="26"/>
      <c r="BK404" s="26"/>
      <c r="BL404" s="26"/>
      <c r="BM404" s="26"/>
      <c r="BN404" s="26"/>
      <c r="BO404" s="26"/>
      <c r="BP404" s="16" t="n">
        <v>45369</v>
      </c>
      <c r="BQ404" s="28" t="str">
        <f>HYPERLINK("https://organic.ams.usda.gov/Integrity/Certificate.aspx?cid=17&amp;nopid=4087185365")</f>
        <v>https://organic.ams.usda.gov/Integrity/Certificate.aspx?cid=17&amp;nopid=4087185365</v>
      </c>
    </row>
    <row r="405">
      <c r="A405" t="s">
        <v>3</v>
      </c>
      <c r="B405" s="6" t="s">
        <v>24</v>
      </c>
      <c r="C405" s="6" t="s">
        <v>90</v>
      </c>
      <c r="D405" s="6" t="s">
        <v>155</v>
      </c>
      <c r="E405" s="10" t="s">
        <v>603</v>
      </c>
      <c r="F405" s="6" t="s">
        <v>2857</v>
      </c>
      <c r="G405" s="6" t="s">
        <v>104</v>
      </c>
      <c r="H405" s="6" t="s">
        <v>5258</v>
      </c>
      <c r="I405" s="6" t="s">
        <v>7094</v>
      </c>
      <c r="J405" s="6" t="s">
        <v>8442</v>
      </c>
      <c r="K405" s="6" t="s">
        <v>9714</v>
      </c>
      <c r="L405" s="16" t="n">
        <v>45632</v>
      </c>
      <c r="M405" s="16" t="n">
        <v>45868</v>
      </c>
      <c r="N405" s="6" t="s">
        <v>9714</v>
      </c>
      <c r="O405" s="16" t="n">
        <v>45631</v>
      </c>
      <c r="P405" s="6" t="s">
        <v>9839</v>
      </c>
      <c r="Q405" s="6" t="s">
        <v>104</v>
      </c>
      <c r="R405" s="6" t="s">
        <v>5258</v>
      </c>
      <c r="S405" s="6" t="s">
        <v>104</v>
      </c>
      <c r="T405" s="21" t="s">
        <v>104</v>
      </c>
      <c r="U405" s="6" t="s">
        <v>104</v>
      </c>
      <c r="V405" s="6" t="s">
        <v>104</v>
      </c>
      <c r="W405" s="6" t="s">
        <v>104</v>
      </c>
      <c r="X405" s="6" t="s">
        <v>104</v>
      </c>
      <c r="Y405" s="21" t="s">
        <v>104</v>
      </c>
      <c r="Z405" s="6" t="s">
        <v>104</v>
      </c>
      <c r="AA405" s="6" t="s">
        <v>104</v>
      </c>
      <c r="AB405" s="6" t="s">
        <v>104</v>
      </c>
      <c r="AC405" s="6" t="s">
        <v>9714</v>
      </c>
      <c r="AD405" s="16" t="n">
        <v>45631</v>
      </c>
      <c r="AE405" s="6" t="s">
        <v>10882</v>
      </c>
      <c r="AF405" s="6" t="s">
        <v>104</v>
      </c>
      <c r="AG405" s="6" t="s">
        <v>5258</v>
      </c>
      <c r="AH405" s="6" t="s">
        <v>13517</v>
      </c>
      <c r="AI405" s="6" t="s">
        <v>104</v>
      </c>
      <c r="AJ405" s="6" t="s">
        <v>15644</v>
      </c>
      <c r="AK405" s="6" t="s">
        <v>16769</v>
      </c>
      <c r="AL405" s="6" t="s">
        <v>16766</v>
      </c>
      <c r="AM405" s="6" t="s">
        <v>17262</v>
      </c>
      <c r="AN405" s="6" t="s">
        <v>104</v>
      </c>
      <c r="AO405" s="6" t="s">
        <v>104</v>
      </c>
      <c r="AP405" s="6" t="s">
        <v>13517</v>
      </c>
      <c r="AQ405" s="6" t="s">
        <v>104</v>
      </c>
      <c r="AR405" s="6" t="s">
        <v>15644</v>
      </c>
      <c r="AS405" s="6" t="s">
        <v>16769</v>
      </c>
      <c r="AT405" s="6" t="s">
        <v>16766</v>
      </c>
      <c r="AU405" s="6" t="s">
        <v>17262</v>
      </c>
      <c r="AV405" s="6" t="s">
        <v>104</v>
      </c>
      <c r="AW405" s="6" t="s">
        <v>104</v>
      </c>
      <c r="AX405" s="6" t="s">
        <v>20434</v>
      </c>
      <c r="AY405" s="6" t="s">
        <v>22190</v>
      </c>
      <c r="AZ405" s="6" t="s">
        <v>104</v>
      </c>
      <c r="BA405" s="6" t="s">
        <v>104</v>
      </c>
      <c r="BB405" s="24" t="n">
        <v>1446</v>
      </c>
      <c r="BC405" s="26"/>
      <c r="BD405" s="26"/>
      <c r="BE405" s="26"/>
      <c r="BF405" s="26"/>
      <c r="BG405" s="26"/>
      <c r="BH405" s="26"/>
      <c r="BI405" s="26"/>
      <c r="BJ405" s="26"/>
      <c r="BK405" s="26"/>
      <c r="BL405" s="26"/>
      <c r="BM405" s="26"/>
      <c r="BN405" s="26"/>
      <c r="BO405" s="26"/>
      <c r="BP405" s="16" t="n">
        <v>45635</v>
      </c>
      <c r="BQ405" s="28" t="str">
        <f>HYPERLINK("https://organic.ams.usda.gov/Integrity/Certificate.aspx?cid=7&amp;nopid=3950001302")</f>
        <v>https://organic.ams.usda.gov/Integrity/Certificate.aspx?cid=7&amp;nopid=3950001302</v>
      </c>
    </row>
    <row r="406">
      <c r="A406" t="s">
        <v>3</v>
      </c>
      <c r="B406" s="6" t="s">
        <v>6</v>
      </c>
      <c r="C406" s="6" t="s">
        <v>72</v>
      </c>
      <c r="D406" s="6" t="s">
        <v>137</v>
      </c>
      <c r="E406" s="10" t="s">
        <v>604</v>
      </c>
      <c r="F406" s="6" t="s">
        <v>2858</v>
      </c>
      <c r="G406" s="6" t="s">
        <v>104</v>
      </c>
      <c r="H406" s="6" t="s">
        <v>5259</v>
      </c>
      <c r="I406" s="6" t="s">
        <v>7206</v>
      </c>
      <c r="J406" s="6" t="s">
        <v>8443</v>
      </c>
      <c r="K406" s="6" t="s">
        <v>9714</v>
      </c>
      <c r="L406" s="16" t="n">
        <v>43404</v>
      </c>
      <c r="M406" s="16" t="n">
        <v>45933</v>
      </c>
      <c r="N406" s="6" t="s">
        <v>104</v>
      </c>
      <c r="O406" s="21" t="s">
        <v>104</v>
      </c>
      <c r="P406" s="6" t="s">
        <v>104</v>
      </c>
      <c r="Q406" s="6" t="s">
        <v>104</v>
      </c>
      <c r="R406" s="6" t="s">
        <v>104</v>
      </c>
      <c r="S406" s="6" t="s">
        <v>104</v>
      </c>
      <c r="T406" s="21" t="s">
        <v>104</v>
      </c>
      <c r="U406" s="6" t="s">
        <v>104</v>
      </c>
      <c r="V406" s="6" t="s">
        <v>104</v>
      </c>
      <c r="W406" s="6" t="s">
        <v>104</v>
      </c>
      <c r="X406" s="6" t="s">
        <v>104</v>
      </c>
      <c r="Y406" s="21" t="s">
        <v>104</v>
      </c>
      <c r="Z406" s="6" t="s">
        <v>104</v>
      </c>
      <c r="AA406" s="6" t="s">
        <v>104</v>
      </c>
      <c r="AB406" s="6" t="s">
        <v>104</v>
      </c>
      <c r="AC406" s="6" t="s">
        <v>9714</v>
      </c>
      <c r="AD406" s="16" t="n">
        <v>43404</v>
      </c>
      <c r="AE406" s="6" t="s">
        <v>10883</v>
      </c>
      <c r="AF406" s="6" t="s">
        <v>104</v>
      </c>
      <c r="AG406" s="6" t="s">
        <v>12594</v>
      </c>
      <c r="AH406" s="6" t="s">
        <v>13518</v>
      </c>
      <c r="AI406" s="6" t="s">
        <v>104</v>
      </c>
      <c r="AJ406" s="6" t="s">
        <v>15530</v>
      </c>
      <c r="AK406" s="6" t="s">
        <v>104</v>
      </c>
      <c r="AL406" s="6" t="s">
        <v>16766</v>
      </c>
      <c r="AM406" s="6" t="s">
        <v>104</v>
      </c>
      <c r="AN406" s="6" t="s">
        <v>104</v>
      </c>
      <c r="AO406" s="6" t="s">
        <v>104</v>
      </c>
      <c r="AP406" s="6" t="s">
        <v>104</v>
      </c>
      <c r="AQ406" s="6" t="s">
        <v>104</v>
      </c>
      <c r="AR406" s="6" t="s">
        <v>104</v>
      </c>
      <c r="AS406" s="6" t="s">
        <v>104</v>
      </c>
      <c r="AT406" s="6" t="s">
        <v>104</v>
      </c>
      <c r="AU406" s="6" t="s">
        <v>104</v>
      </c>
      <c r="AV406" s="6" t="s">
        <v>104</v>
      </c>
      <c r="AW406" s="6" t="s">
        <v>104</v>
      </c>
      <c r="AX406" s="6" t="s">
        <v>20435</v>
      </c>
      <c r="AY406" s="6" t="s">
        <v>22191</v>
      </c>
      <c r="AZ406" s="6" t="s">
        <v>104</v>
      </c>
      <c r="BA406" s="6" t="s">
        <v>24258</v>
      </c>
      <c r="BB406" s="6" t="s">
        <v>104</v>
      </c>
      <c r="BC406" s="26"/>
      <c r="BD406" s="26"/>
      <c r="BE406" s="26"/>
      <c r="BF406" s="26"/>
      <c r="BG406" s="26"/>
      <c r="BH406" s="26"/>
      <c r="BI406" s="26"/>
      <c r="BJ406" s="26"/>
      <c r="BK406" s="26"/>
      <c r="BL406" s="26"/>
      <c r="BM406" s="26"/>
      <c r="BN406" s="26"/>
      <c r="BO406" s="26"/>
      <c r="BP406" s="16" t="n">
        <v>45737</v>
      </c>
      <c r="BQ406" s="28" t="str">
        <f>HYPERLINK("https://organic.ams.usda.gov/Integrity/Certificate.aspx?cid=32&amp;nopid=2230007999")</f>
        <v>https://organic.ams.usda.gov/Integrity/Certificate.aspx?cid=32&amp;nopid=2230007999</v>
      </c>
    </row>
    <row r="407">
      <c r="A407" t="s">
        <v>3</v>
      </c>
      <c r="B407" s="6" t="s">
        <v>6</v>
      </c>
      <c r="C407" s="6" t="s">
        <v>72</v>
      </c>
      <c r="D407" s="6" t="s">
        <v>137</v>
      </c>
      <c r="E407" s="10" t="s">
        <v>605</v>
      </c>
      <c r="F407" s="6" t="s">
        <v>2859</v>
      </c>
      <c r="G407" s="6" t="s">
        <v>104</v>
      </c>
      <c r="H407" s="6" t="s">
        <v>5260</v>
      </c>
      <c r="I407" s="6" t="s">
        <v>7206</v>
      </c>
      <c r="J407" s="6" t="s">
        <v>8443</v>
      </c>
      <c r="K407" s="6" t="s">
        <v>9714</v>
      </c>
      <c r="L407" s="16" t="n">
        <v>43404</v>
      </c>
      <c r="M407" s="16" t="n">
        <v>45935</v>
      </c>
      <c r="N407" s="6" t="s">
        <v>104</v>
      </c>
      <c r="O407" s="21" t="s">
        <v>104</v>
      </c>
      <c r="P407" s="6" t="s">
        <v>104</v>
      </c>
      <c r="Q407" s="6" t="s">
        <v>104</v>
      </c>
      <c r="R407" s="6" t="s">
        <v>104</v>
      </c>
      <c r="S407" s="6" t="s">
        <v>104</v>
      </c>
      <c r="T407" s="21" t="s">
        <v>104</v>
      </c>
      <c r="U407" s="6" t="s">
        <v>104</v>
      </c>
      <c r="V407" s="6" t="s">
        <v>104</v>
      </c>
      <c r="W407" s="6" t="s">
        <v>104</v>
      </c>
      <c r="X407" s="6" t="s">
        <v>104</v>
      </c>
      <c r="Y407" s="21" t="s">
        <v>104</v>
      </c>
      <c r="Z407" s="6" t="s">
        <v>104</v>
      </c>
      <c r="AA407" s="6" t="s">
        <v>104</v>
      </c>
      <c r="AB407" s="6" t="s">
        <v>104</v>
      </c>
      <c r="AC407" s="6" t="s">
        <v>9714</v>
      </c>
      <c r="AD407" s="16" t="n">
        <v>43404</v>
      </c>
      <c r="AE407" s="6" t="s">
        <v>10884</v>
      </c>
      <c r="AF407" s="6" t="s">
        <v>104</v>
      </c>
      <c r="AG407" s="6" t="s">
        <v>12595</v>
      </c>
      <c r="AH407" s="6" t="s">
        <v>13519</v>
      </c>
      <c r="AI407" s="6" t="s">
        <v>104</v>
      </c>
      <c r="AJ407" s="6" t="s">
        <v>15645</v>
      </c>
      <c r="AK407" s="6" t="s">
        <v>16739</v>
      </c>
      <c r="AL407" s="6" t="s">
        <v>16766</v>
      </c>
      <c r="AM407" s="6" t="s">
        <v>17263</v>
      </c>
      <c r="AN407" s="6" t="s">
        <v>104</v>
      </c>
      <c r="AO407" s="6" t="s">
        <v>104</v>
      </c>
      <c r="AP407" s="6" t="s">
        <v>104</v>
      </c>
      <c r="AQ407" s="6" t="s">
        <v>104</v>
      </c>
      <c r="AR407" s="6" t="s">
        <v>104</v>
      </c>
      <c r="AS407" s="6" t="s">
        <v>104</v>
      </c>
      <c r="AT407" s="6" t="s">
        <v>104</v>
      </c>
      <c r="AU407" s="6" t="s">
        <v>104</v>
      </c>
      <c r="AV407" s="6" t="s">
        <v>104</v>
      </c>
      <c r="AW407" s="6" t="s">
        <v>104</v>
      </c>
      <c r="AX407" s="6" t="s">
        <v>20435</v>
      </c>
      <c r="AY407" s="6" t="s">
        <v>22191</v>
      </c>
      <c r="AZ407" s="6" t="s">
        <v>104</v>
      </c>
      <c r="BA407" s="6" t="s">
        <v>24258</v>
      </c>
      <c r="BB407" s="6" t="s">
        <v>104</v>
      </c>
      <c r="BC407" s="26"/>
      <c r="BD407" s="26"/>
      <c r="BE407" s="26"/>
      <c r="BF407" s="26"/>
      <c r="BG407" s="26"/>
      <c r="BH407" s="26"/>
      <c r="BI407" s="26"/>
      <c r="BJ407" s="26"/>
      <c r="BK407" s="26"/>
      <c r="BL407" s="26"/>
      <c r="BM407" s="26"/>
      <c r="BN407" s="26"/>
      <c r="BO407" s="26"/>
      <c r="BP407" s="16" t="n">
        <v>45737</v>
      </c>
      <c r="BQ407" s="28" t="str">
        <f>HYPERLINK("https://organic.ams.usda.gov/Integrity/Certificate.aspx?cid=32&amp;nopid=2230008782")</f>
        <v>https://organic.ams.usda.gov/Integrity/Certificate.aspx?cid=32&amp;nopid=2230008782</v>
      </c>
    </row>
    <row r="408">
      <c r="A408" t="s">
        <v>3</v>
      </c>
      <c r="B408" s="6" t="s">
        <v>6</v>
      </c>
      <c r="C408" s="6" t="s">
        <v>72</v>
      </c>
      <c r="D408" s="6" t="s">
        <v>137</v>
      </c>
      <c r="E408" s="10" t="s">
        <v>606</v>
      </c>
      <c r="F408" s="6" t="s">
        <v>2860</v>
      </c>
      <c r="G408" s="6" t="s">
        <v>104</v>
      </c>
      <c r="H408" s="6" t="s">
        <v>5261</v>
      </c>
      <c r="I408" s="6" t="s">
        <v>7207</v>
      </c>
      <c r="J408" s="6" t="s">
        <v>8444</v>
      </c>
      <c r="K408" s="6" t="s">
        <v>9714</v>
      </c>
      <c r="L408" s="16" t="n">
        <v>45688</v>
      </c>
      <c r="M408" s="16" t="n">
        <v>46032</v>
      </c>
      <c r="N408" s="6" t="s">
        <v>104</v>
      </c>
      <c r="O408" s="21" t="s">
        <v>104</v>
      </c>
      <c r="P408" s="6" t="s">
        <v>104</v>
      </c>
      <c r="Q408" s="6" t="s">
        <v>104</v>
      </c>
      <c r="R408" s="6" t="s">
        <v>104</v>
      </c>
      <c r="S408" s="6" t="s">
        <v>104</v>
      </c>
      <c r="T408" s="21" t="s">
        <v>104</v>
      </c>
      <c r="U408" s="6" t="s">
        <v>104</v>
      </c>
      <c r="V408" s="6" t="s">
        <v>104</v>
      </c>
      <c r="W408" s="6" t="s">
        <v>104</v>
      </c>
      <c r="X408" s="6" t="s">
        <v>104</v>
      </c>
      <c r="Y408" s="21" t="s">
        <v>104</v>
      </c>
      <c r="Z408" s="6" t="s">
        <v>104</v>
      </c>
      <c r="AA408" s="6" t="s">
        <v>104</v>
      </c>
      <c r="AB408" s="6" t="s">
        <v>104</v>
      </c>
      <c r="AC408" s="6" t="s">
        <v>9714</v>
      </c>
      <c r="AD408" s="16" t="n">
        <v>45688</v>
      </c>
      <c r="AE408" s="6" t="s">
        <v>10885</v>
      </c>
      <c r="AF408" s="6" t="s">
        <v>104</v>
      </c>
      <c r="AG408" s="6" t="s">
        <v>12596</v>
      </c>
      <c r="AH408" s="6" t="s">
        <v>13520</v>
      </c>
      <c r="AI408" s="6" t="s">
        <v>104</v>
      </c>
      <c r="AJ408" s="6" t="s">
        <v>15530</v>
      </c>
      <c r="AK408" s="6" t="s">
        <v>104</v>
      </c>
      <c r="AL408" s="6" t="s">
        <v>16766</v>
      </c>
      <c r="AM408" s="6" t="s">
        <v>104</v>
      </c>
      <c r="AN408" s="6" t="s">
        <v>104</v>
      </c>
      <c r="AO408" s="6" t="s">
        <v>104</v>
      </c>
      <c r="AP408" s="6" t="s">
        <v>104</v>
      </c>
      <c r="AQ408" s="6" t="s">
        <v>104</v>
      </c>
      <c r="AR408" s="6" t="s">
        <v>104</v>
      </c>
      <c r="AS408" s="6" t="s">
        <v>104</v>
      </c>
      <c r="AT408" s="6" t="s">
        <v>104</v>
      </c>
      <c r="AU408" s="6" t="s">
        <v>104</v>
      </c>
      <c r="AV408" s="6" t="s">
        <v>104</v>
      </c>
      <c r="AW408" s="6" t="s">
        <v>104</v>
      </c>
      <c r="AX408" s="6" t="s">
        <v>20436</v>
      </c>
      <c r="AY408" s="6" t="s">
        <v>22192</v>
      </c>
      <c r="AZ408" s="6" t="s">
        <v>104</v>
      </c>
      <c r="BA408" s="6" t="s">
        <v>104</v>
      </c>
      <c r="BB408" s="6" t="s">
        <v>104</v>
      </c>
      <c r="BC408" s="26"/>
      <c r="BD408" s="26"/>
      <c r="BE408" s="26"/>
      <c r="BF408" s="26"/>
      <c r="BG408" s="26"/>
      <c r="BH408" s="26"/>
      <c r="BI408" s="26"/>
      <c r="BJ408" s="26"/>
      <c r="BK408" s="26"/>
      <c r="BL408" s="26"/>
      <c r="BM408" s="26"/>
      <c r="BN408" s="26"/>
      <c r="BO408" s="26"/>
      <c r="BP408" s="16" t="n">
        <v>45737</v>
      </c>
      <c r="BQ408" s="28" t="str">
        <f>HYPERLINK("https://organic.ams.usda.gov/Integrity/Certificate.aspx?cid=32&amp;nopid=2230011866")</f>
        <v>https://organic.ams.usda.gov/Integrity/Certificate.aspx?cid=32&amp;nopid=2230011866</v>
      </c>
    </row>
    <row r="409">
      <c r="A409" t="s">
        <v>3</v>
      </c>
      <c r="B409" s="6" t="s">
        <v>54</v>
      </c>
      <c r="C409" s="6" t="s">
        <v>120</v>
      </c>
      <c r="D409" s="6" t="s">
        <v>184</v>
      </c>
      <c r="E409" s="10" t="s">
        <v>607</v>
      </c>
      <c r="F409" s="6" t="s">
        <v>2861</v>
      </c>
      <c r="G409" s="6" t="s">
        <v>104</v>
      </c>
      <c r="H409" s="6" t="s">
        <v>5262</v>
      </c>
      <c r="I409" s="6" t="s">
        <v>6945</v>
      </c>
      <c r="J409" s="6" t="s">
        <v>8445</v>
      </c>
      <c r="K409" s="6" t="s">
        <v>9714</v>
      </c>
      <c r="L409" s="16" t="n">
        <v>44103</v>
      </c>
      <c r="M409" s="16" t="n">
        <v>45717</v>
      </c>
      <c r="N409" s="6" t="s">
        <v>9714</v>
      </c>
      <c r="O409" s="16" t="n">
        <v>44103</v>
      </c>
      <c r="P409" s="6" t="s">
        <v>9840</v>
      </c>
      <c r="Q409" s="6" t="s">
        <v>104</v>
      </c>
      <c r="R409" s="6" t="s">
        <v>104</v>
      </c>
      <c r="S409" s="6" t="s">
        <v>104</v>
      </c>
      <c r="T409" s="21" t="s">
        <v>104</v>
      </c>
      <c r="U409" s="6" t="s">
        <v>104</v>
      </c>
      <c r="V409" s="6" t="s">
        <v>104</v>
      </c>
      <c r="W409" s="6" t="s">
        <v>104</v>
      </c>
      <c r="X409" s="6" t="s">
        <v>104</v>
      </c>
      <c r="Y409" s="21" t="s">
        <v>104</v>
      </c>
      <c r="Z409" s="6" t="s">
        <v>104</v>
      </c>
      <c r="AA409" s="6" t="s">
        <v>104</v>
      </c>
      <c r="AB409" s="6" t="s">
        <v>104</v>
      </c>
      <c r="AC409" s="6" t="s">
        <v>104</v>
      </c>
      <c r="AD409" s="21" t="s">
        <v>104</v>
      </c>
      <c r="AE409" s="6" t="s">
        <v>104</v>
      </c>
      <c r="AF409" s="6" t="s">
        <v>104</v>
      </c>
      <c r="AG409" s="6" t="s">
        <v>104</v>
      </c>
      <c r="AH409" s="6" t="s">
        <v>13521</v>
      </c>
      <c r="AI409" s="6" t="s">
        <v>104</v>
      </c>
      <c r="AJ409" s="6" t="s">
        <v>15646</v>
      </c>
      <c r="AK409" s="6" t="s">
        <v>16743</v>
      </c>
      <c r="AL409" s="6" t="s">
        <v>16931</v>
      </c>
      <c r="AM409" s="6" t="s">
        <v>17264</v>
      </c>
      <c r="AN409" s="6" t="s">
        <v>18483</v>
      </c>
      <c r="AO409" s="6" t="s">
        <v>18652</v>
      </c>
      <c r="AP409" s="6" t="s">
        <v>104</v>
      </c>
      <c r="AQ409" s="6" t="s">
        <v>104</v>
      </c>
      <c r="AR409" s="6" t="s">
        <v>104</v>
      </c>
      <c r="AS409" s="6" t="s">
        <v>104</v>
      </c>
      <c r="AT409" s="6" t="s">
        <v>104</v>
      </c>
      <c r="AU409" s="6" t="s">
        <v>104</v>
      </c>
      <c r="AV409" s="6" t="s">
        <v>104</v>
      </c>
      <c r="AW409" s="6" t="s">
        <v>104</v>
      </c>
      <c r="AX409" s="6" t="s">
        <v>20437</v>
      </c>
      <c r="AY409" s="6" t="s">
        <v>22193</v>
      </c>
      <c r="AZ409" s="6" t="s">
        <v>104</v>
      </c>
      <c r="BA409" s="6" t="s">
        <v>24323</v>
      </c>
      <c r="BB409" s="24" t="n">
        <v>319</v>
      </c>
      <c r="BC409" s="26"/>
      <c r="BD409" s="26"/>
      <c r="BE409" s="26"/>
      <c r="BF409" s="26"/>
      <c r="BG409" s="26"/>
      <c r="BH409" s="26"/>
      <c r="BI409" s="26"/>
      <c r="BJ409" s="26"/>
      <c r="BK409" s="26"/>
      <c r="BL409" s="26"/>
      <c r="BM409" s="26"/>
      <c r="BN409" s="26"/>
      <c r="BO409" s="26"/>
      <c r="BP409" s="16" t="n">
        <v>45541</v>
      </c>
      <c r="BQ409" s="28" t="str">
        <f>HYPERLINK("https://organic.ams.usda.gov/Integrity/Certificate.aspx?cid=60&amp;nopid=2580003568")</f>
        <v>https://organic.ams.usda.gov/Integrity/Certificate.aspx?cid=60&amp;nopid=2580003568</v>
      </c>
    </row>
    <row r="410">
      <c r="A410" t="s">
        <v>3</v>
      </c>
      <c r="B410" s="6" t="s">
        <v>45</v>
      </c>
      <c r="C410" s="6" t="s">
        <v>111</v>
      </c>
      <c r="D410" s="6" t="s">
        <v>175</v>
      </c>
      <c r="E410" s="10" t="s">
        <v>608</v>
      </c>
      <c r="F410" s="6" t="s">
        <v>2862</v>
      </c>
      <c r="G410" s="6" t="s">
        <v>104</v>
      </c>
      <c r="H410" s="6" t="s">
        <v>5263</v>
      </c>
      <c r="I410" s="6" t="s">
        <v>7208</v>
      </c>
      <c r="J410" s="6" t="s">
        <v>8446</v>
      </c>
      <c r="K410" s="6" t="s">
        <v>9714</v>
      </c>
      <c r="L410" s="16" t="n">
        <v>41743</v>
      </c>
      <c r="M410" s="16" t="n">
        <v>46082</v>
      </c>
      <c r="N410" s="6" t="s">
        <v>104</v>
      </c>
      <c r="O410" s="21" t="s">
        <v>104</v>
      </c>
      <c r="P410" s="6" t="s">
        <v>104</v>
      </c>
      <c r="Q410" s="6" t="s">
        <v>104</v>
      </c>
      <c r="R410" s="6" t="s">
        <v>104</v>
      </c>
      <c r="S410" s="6" t="s">
        <v>104</v>
      </c>
      <c r="T410" s="21" t="s">
        <v>104</v>
      </c>
      <c r="U410" s="6" t="s">
        <v>104</v>
      </c>
      <c r="V410" s="6" t="s">
        <v>104</v>
      </c>
      <c r="W410" s="6" t="s">
        <v>104</v>
      </c>
      <c r="X410" s="6" t="s">
        <v>104</v>
      </c>
      <c r="Y410" s="21" t="s">
        <v>104</v>
      </c>
      <c r="Z410" s="6" t="s">
        <v>104</v>
      </c>
      <c r="AA410" s="6" t="s">
        <v>104</v>
      </c>
      <c r="AB410" s="6" t="s">
        <v>104</v>
      </c>
      <c r="AC410" s="6" t="s">
        <v>9714</v>
      </c>
      <c r="AD410" s="16" t="n">
        <v>41743</v>
      </c>
      <c r="AE410" s="6" t="s">
        <v>10886</v>
      </c>
      <c r="AF410" s="6" t="s">
        <v>104</v>
      </c>
      <c r="AG410" s="6" t="s">
        <v>4667</v>
      </c>
      <c r="AH410" s="6" t="s">
        <v>13522</v>
      </c>
      <c r="AI410" s="6" t="s">
        <v>104</v>
      </c>
      <c r="AJ410" s="6" t="s">
        <v>15647</v>
      </c>
      <c r="AK410" s="6" t="s">
        <v>16382</v>
      </c>
      <c r="AL410" s="6" t="s">
        <v>16931</v>
      </c>
      <c r="AM410" s="6" t="s">
        <v>17265</v>
      </c>
      <c r="AN410" s="6" t="s">
        <v>104</v>
      </c>
      <c r="AO410" s="6" t="s">
        <v>104</v>
      </c>
      <c r="AP410" s="6" t="s">
        <v>13522</v>
      </c>
      <c r="AQ410" s="6" t="s">
        <v>104</v>
      </c>
      <c r="AR410" s="6" t="s">
        <v>15647</v>
      </c>
      <c r="AS410" s="6" t="s">
        <v>16382</v>
      </c>
      <c r="AT410" s="6" t="s">
        <v>16931</v>
      </c>
      <c r="AU410" s="6" t="s">
        <v>17265</v>
      </c>
      <c r="AV410" s="6" t="s">
        <v>18538</v>
      </c>
      <c r="AW410" s="6" t="s">
        <v>18890</v>
      </c>
      <c r="AX410" s="6" t="s">
        <v>20438</v>
      </c>
      <c r="AY410" s="6" t="s">
        <v>22194</v>
      </c>
      <c r="AZ410" s="6" t="s">
        <v>104</v>
      </c>
      <c r="BA410" s="6" t="s">
        <v>104</v>
      </c>
      <c r="BB410" s="6" t="s">
        <v>104</v>
      </c>
      <c r="BC410" s="26"/>
      <c r="BD410" s="26"/>
      <c r="BE410" s="26"/>
      <c r="BF410" s="26"/>
      <c r="BG410" s="26"/>
      <c r="BH410" s="26"/>
      <c r="BI410" s="26"/>
      <c r="BJ410" s="26"/>
      <c r="BK410" s="26"/>
      <c r="BL410" s="26"/>
      <c r="BM410" s="26"/>
      <c r="BN410" s="26"/>
      <c r="BO410" s="26"/>
      <c r="BP410" s="16" t="n">
        <v>45739</v>
      </c>
      <c r="BQ410" s="28" t="str">
        <f>HYPERLINK("https://organic.ams.usda.gov/Integrity/Certificate.aspx?cid=82&amp;nopid=2780002834")</f>
        <v>https://organic.ams.usda.gov/Integrity/Certificate.aspx?cid=82&amp;nopid=2780002834</v>
      </c>
    </row>
    <row r="411">
      <c r="A411" t="s">
        <v>3</v>
      </c>
      <c r="B411" s="6" t="s">
        <v>37</v>
      </c>
      <c r="C411" s="6" t="s">
        <v>103</v>
      </c>
      <c r="D411" s="6" t="s">
        <v>168</v>
      </c>
      <c r="E411" s="10" t="s">
        <v>609</v>
      </c>
      <c r="F411" s="6" t="s">
        <v>2863</v>
      </c>
      <c r="G411" s="6" t="s">
        <v>104</v>
      </c>
      <c r="H411" s="6" t="s">
        <v>5264</v>
      </c>
      <c r="I411" s="6" t="s">
        <v>7030</v>
      </c>
      <c r="J411" s="6" t="s">
        <v>8447</v>
      </c>
      <c r="K411" s="6" t="s">
        <v>9714</v>
      </c>
      <c r="L411" s="16" t="n">
        <v>45072</v>
      </c>
      <c r="M411" s="16" t="n">
        <v>45748</v>
      </c>
      <c r="N411" s="6" t="s">
        <v>104</v>
      </c>
      <c r="O411" s="21" t="s">
        <v>104</v>
      </c>
      <c r="P411" s="6" t="s">
        <v>104</v>
      </c>
      <c r="Q411" s="6" t="s">
        <v>104</v>
      </c>
      <c r="R411" s="6" t="s">
        <v>104</v>
      </c>
      <c r="S411" s="6" t="s">
        <v>104</v>
      </c>
      <c r="T411" s="21" t="s">
        <v>104</v>
      </c>
      <c r="U411" s="6" t="s">
        <v>104</v>
      </c>
      <c r="V411" s="6" t="s">
        <v>104</v>
      </c>
      <c r="W411" s="6" t="s">
        <v>104</v>
      </c>
      <c r="X411" s="6" t="s">
        <v>104</v>
      </c>
      <c r="Y411" s="21" t="s">
        <v>104</v>
      </c>
      <c r="Z411" s="6" t="s">
        <v>104</v>
      </c>
      <c r="AA411" s="6" t="s">
        <v>104</v>
      </c>
      <c r="AB411" s="6" t="s">
        <v>104</v>
      </c>
      <c r="AC411" s="6" t="s">
        <v>9714</v>
      </c>
      <c r="AD411" s="16" t="n">
        <v>45072</v>
      </c>
      <c r="AE411" s="6" t="s">
        <v>10887</v>
      </c>
      <c r="AF411" s="6" t="s">
        <v>104</v>
      </c>
      <c r="AG411" s="6" t="s">
        <v>12597</v>
      </c>
      <c r="AH411" s="6" t="s">
        <v>13523</v>
      </c>
      <c r="AI411" s="6" t="s">
        <v>104</v>
      </c>
      <c r="AJ411" s="6" t="s">
        <v>15590</v>
      </c>
      <c r="AK411" s="6" t="s">
        <v>16706</v>
      </c>
      <c r="AL411" s="6" t="s">
        <v>16931</v>
      </c>
      <c r="AM411" s="6" t="s">
        <v>17205</v>
      </c>
      <c r="AN411" s="6" t="s">
        <v>18510</v>
      </c>
      <c r="AO411" s="6" t="s">
        <v>18653</v>
      </c>
      <c r="AP411" s="6" t="s">
        <v>19065</v>
      </c>
      <c r="AQ411" s="6" t="s">
        <v>104</v>
      </c>
      <c r="AR411" s="6" t="s">
        <v>15724</v>
      </c>
      <c r="AS411" s="6" t="s">
        <v>16706</v>
      </c>
      <c r="AT411" s="6" t="s">
        <v>16931</v>
      </c>
      <c r="AU411" s="6" t="s">
        <v>19858</v>
      </c>
      <c r="AV411" s="6" t="s">
        <v>104</v>
      </c>
      <c r="AW411" s="6" t="s">
        <v>104</v>
      </c>
      <c r="AX411" s="6" t="s">
        <v>20439</v>
      </c>
      <c r="AY411" s="6" t="s">
        <v>22195</v>
      </c>
      <c r="AZ411" s="6" t="s">
        <v>104</v>
      </c>
      <c r="BA411" s="6" t="s">
        <v>104</v>
      </c>
      <c r="BB411" s="6" t="s">
        <v>104</v>
      </c>
      <c r="BC411" s="26"/>
      <c r="BD411" s="26"/>
      <c r="BE411" s="26"/>
      <c r="BF411" s="26"/>
      <c r="BG411" s="26"/>
      <c r="BH411" s="26"/>
      <c r="BI411" s="26"/>
      <c r="BJ411" s="26"/>
      <c r="BK411" s="26"/>
      <c r="BL411" s="26"/>
      <c r="BM411" s="26"/>
      <c r="BN411" s="26"/>
      <c r="BO411" s="26"/>
      <c r="BP411" s="16" t="n">
        <v>45730</v>
      </c>
      <c r="BQ411" s="28" t="str">
        <f>HYPERLINK("https://organic.ams.usda.gov/Integrity/Certificate.aspx?cid=90&amp;nopid=7170230627")</f>
        <v>https://organic.ams.usda.gov/Integrity/Certificate.aspx?cid=90&amp;nopid=7170230627</v>
      </c>
    </row>
    <row r="412">
      <c r="A412" t="s">
        <v>3</v>
      </c>
      <c r="B412" s="6" t="s">
        <v>13</v>
      </c>
      <c r="C412" s="6" t="s">
        <v>79</v>
      </c>
      <c r="D412" s="6" t="s">
        <v>144</v>
      </c>
      <c r="E412" s="10" t="s">
        <v>610</v>
      </c>
      <c r="F412" s="6" t="s">
        <v>2864</v>
      </c>
      <c r="G412" s="6" t="s">
        <v>104</v>
      </c>
      <c r="H412" s="6" t="s">
        <v>5265</v>
      </c>
      <c r="I412" s="6" t="s">
        <v>7209</v>
      </c>
      <c r="J412" s="6" t="s">
        <v>8448</v>
      </c>
      <c r="K412" s="6" t="s">
        <v>9714</v>
      </c>
      <c r="L412" s="16" t="n">
        <v>37375</v>
      </c>
      <c r="M412" s="16" t="n">
        <v>46023</v>
      </c>
      <c r="N412" s="6" t="s">
        <v>104</v>
      </c>
      <c r="O412" s="21" t="s">
        <v>104</v>
      </c>
      <c r="P412" s="6" t="s">
        <v>104</v>
      </c>
      <c r="Q412" s="6" t="s">
        <v>104</v>
      </c>
      <c r="R412" s="6" t="s">
        <v>104</v>
      </c>
      <c r="S412" s="6" t="s">
        <v>104</v>
      </c>
      <c r="T412" s="21" t="s">
        <v>104</v>
      </c>
      <c r="U412" s="6" t="s">
        <v>104</v>
      </c>
      <c r="V412" s="6" t="s">
        <v>104</v>
      </c>
      <c r="W412" s="6" t="s">
        <v>104</v>
      </c>
      <c r="X412" s="6" t="s">
        <v>104</v>
      </c>
      <c r="Y412" s="21" t="s">
        <v>104</v>
      </c>
      <c r="Z412" s="6" t="s">
        <v>104</v>
      </c>
      <c r="AA412" s="6" t="s">
        <v>104</v>
      </c>
      <c r="AB412" s="6" t="s">
        <v>104</v>
      </c>
      <c r="AC412" s="6" t="s">
        <v>9714</v>
      </c>
      <c r="AD412" s="16" t="n">
        <v>37375</v>
      </c>
      <c r="AE412" s="6" t="s">
        <v>10888</v>
      </c>
      <c r="AF412" s="6" t="s">
        <v>104</v>
      </c>
      <c r="AG412" s="6" t="s">
        <v>104</v>
      </c>
      <c r="AH412" s="6" t="s">
        <v>104</v>
      </c>
      <c r="AI412" s="6" t="s">
        <v>104</v>
      </c>
      <c r="AJ412" s="6" t="s">
        <v>104</v>
      </c>
      <c r="AK412" s="6" t="s">
        <v>104</v>
      </c>
      <c r="AL412" s="6" t="s">
        <v>104</v>
      </c>
      <c r="AM412" s="6" t="s">
        <v>104</v>
      </c>
      <c r="AN412" s="6" t="s">
        <v>104</v>
      </c>
      <c r="AO412" s="6" t="s">
        <v>104</v>
      </c>
      <c r="AP412" s="6" t="s">
        <v>19066</v>
      </c>
      <c r="AQ412" s="6" t="s">
        <v>104</v>
      </c>
      <c r="AR412" s="6" t="s">
        <v>19630</v>
      </c>
      <c r="AS412" s="6" t="s">
        <v>16705</v>
      </c>
      <c r="AT412" s="6" t="s">
        <v>16931</v>
      </c>
      <c r="AU412" s="6" t="s">
        <v>19859</v>
      </c>
      <c r="AV412" s="6" t="s">
        <v>18479</v>
      </c>
      <c r="AW412" s="6" t="s">
        <v>18817</v>
      </c>
      <c r="AX412" s="6" t="s">
        <v>20440</v>
      </c>
      <c r="AY412" s="6" t="s">
        <v>22196</v>
      </c>
      <c r="AZ412" s="6" t="s">
        <v>104</v>
      </c>
      <c r="BA412" s="6" t="s">
        <v>104</v>
      </c>
      <c r="BB412" s="6" t="s">
        <v>104</v>
      </c>
      <c r="BC412" s="26"/>
      <c r="BD412" s="26"/>
      <c r="BE412" s="26" t="s">
        <v>24533</v>
      </c>
      <c r="BF412" s="26"/>
      <c r="BG412" s="26"/>
      <c r="BH412" s="26"/>
      <c r="BI412" s="26"/>
      <c r="BJ412" s="26"/>
      <c r="BK412" s="26"/>
      <c r="BL412" s="26"/>
      <c r="BM412" s="26"/>
      <c r="BN412" s="26"/>
      <c r="BO412" s="26"/>
      <c r="BP412" s="16" t="n">
        <v>45670</v>
      </c>
      <c r="BQ412" s="28" t="str">
        <f>HYPERLINK("https://organic.ams.usda.gov/Integrity/Certificate.aspx?cid=62&amp;nopid=8150000303")</f>
        <v>https://organic.ams.usda.gov/Integrity/Certificate.aspx?cid=62&amp;nopid=8150000303</v>
      </c>
    </row>
    <row r="413">
      <c r="A413" t="s">
        <v>3</v>
      </c>
      <c r="B413" s="6" t="s">
        <v>22</v>
      </c>
      <c r="C413" s="6" t="s">
        <v>88</v>
      </c>
      <c r="D413" s="6" t="s">
        <v>153</v>
      </c>
      <c r="E413" s="10" t="s">
        <v>611</v>
      </c>
      <c r="F413" s="6" t="s">
        <v>2865</v>
      </c>
      <c r="G413" s="6" t="s">
        <v>104</v>
      </c>
      <c r="H413" s="6" t="s">
        <v>5266</v>
      </c>
      <c r="I413" s="6" t="s">
        <v>6933</v>
      </c>
      <c r="J413" s="6" t="s">
        <v>8449</v>
      </c>
      <c r="K413" s="6" t="s">
        <v>9714</v>
      </c>
      <c r="L413" s="16" t="n">
        <v>45652</v>
      </c>
      <c r="M413" s="16" t="n">
        <v>45839</v>
      </c>
      <c r="N413" s="6" t="s">
        <v>104</v>
      </c>
      <c r="O413" s="21" t="s">
        <v>104</v>
      </c>
      <c r="P413" s="6" t="s">
        <v>104</v>
      </c>
      <c r="Q413" s="6" t="s">
        <v>104</v>
      </c>
      <c r="R413" s="6" t="s">
        <v>104</v>
      </c>
      <c r="S413" s="6" t="s">
        <v>104</v>
      </c>
      <c r="T413" s="21" t="s">
        <v>104</v>
      </c>
      <c r="U413" s="6" t="s">
        <v>104</v>
      </c>
      <c r="V413" s="6" t="s">
        <v>104</v>
      </c>
      <c r="W413" s="6" t="s">
        <v>104</v>
      </c>
      <c r="X413" s="6" t="s">
        <v>104</v>
      </c>
      <c r="Y413" s="21" t="s">
        <v>104</v>
      </c>
      <c r="Z413" s="6" t="s">
        <v>104</v>
      </c>
      <c r="AA413" s="6" t="s">
        <v>104</v>
      </c>
      <c r="AB413" s="6" t="s">
        <v>104</v>
      </c>
      <c r="AC413" s="6" t="s">
        <v>9714</v>
      </c>
      <c r="AD413" s="16" t="n">
        <v>45652</v>
      </c>
      <c r="AE413" s="6" t="s">
        <v>10889</v>
      </c>
      <c r="AF413" s="6" t="s">
        <v>104</v>
      </c>
      <c r="AG413" s="6" t="s">
        <v>12598</v>
      </c>
      <c r="AH413" s="6" t="s">
        <v>13524</v>
      </c>
      <c r="AI413" s="6" t="s">
        <v>15246</v>
      </c>
      <c r="AJ413" s="6" t="s">
        <v>15648</v>
      </c>
      <c r="AK413" s="6" t="s">
        <v>16370</v>
      </c>
      <c r="AL413" s="6" t="s">
        <v>16931</v>
      </c>
      <c r="AM413" s="6" t="s">
        <v>17266</v>
      </c>
      <c r="AN413" s="6" t="s">
        <v>104</v>
      </c>
      <c r="AO413" s="6" t="s">
        <v>104</v>
      </c>
      <c r="AP413" s="6" t="s">
        <v>13524</v>
      </c>
      <c r="AQ413" s="6" t="s">
        <v>15246</v>
      </c>
      <c r="AR413" s="6" t="s">
        <v>15648</v>
      </c>
      <c r="AS413" s="6" t="s">
        <v>16370</v>
      </c>
      <c r="AT413" s="6" t="s">
        <v>16931</v>
      </c>
      <c r="AU413" s="6" t="s">
        <v>17266</v>
      </c>
      <c r="AV413" s="6" t="s">
        <v>104</v>
      </c>
      <c r="AW413" s="6" t="s">
        <v>104</v>
      </c>
      <c r="AX413" s="6" t="s">
        <v>20441</v>
      </c>
      <c r="AY413" s="6" t="s">
        <v>22197</v>
      </c>
      <c r="AZ413" s="6" t="s">
        <v>104</v>
      </c>
      <c r="BA413" s="6" t="s">
        <v>104</v>
      </c>
      <c r="BB413" s="6" t="s">
        <v>104</v>
      </c>
      <c r="BC413" s="26"/>
      <c r="BD413" s="26"/>
      <c r="BE413" s="26"/>
      <c r="BF413" s="26"/>
      <c r="BG413" s="26" t="s">
        <v>24533</v>
      </c>
      <c r="BH413" s="26" t="s">
        <v>24533</v>
      </c>
      <c r="BI413" s="26"/>
      <c r="BJ413" s="26"/>
      <c r="BK413" s="26"/>
      <c r="BL413" s="26"/>
      <c r="BM413" s="26"/>
      <c r="BN413" s="26"/>
      <c r="BO413" s="26"/>
      <c r="BP413" s="16" t="n">
        <v>45723</v>
      </c>
      <c r="BQ413" s="28" t="str">
        <f>HYPERLINK("https://organic.ams.usda.gov/Integrity/Certificate.aspx?cid=72&amp;nopid=5870107423")</f>
        <v>https://organic.ams.usda.gov/Integrity/Certificate.aspx?cid=72&amp;nopid=5870107423</v>
      </c>
    </row>
    <row r="414">
      <c r="A414" t="s">
        <v>3</v>
      </c>
      <c r="B414" s="6" t="s">
        <v>22</v>
      </c>
      <c r="C414" s="6" t="s">
        <v>88</v>
      </c>
      <c r="D414" s="6" t="s">
        <v>153</v>
      </c>
      <c r="E414" s="10" t="s">
        <v>612</v>
      </c>
      <c r="F414" s="6" t="s">
        <v>2866</v>
      </c>
      <c r="G414" s="6" t="s">
        <v>104</v>
      </c>
      <c r="H414" s="6" t="s">
        <v>5267</v>
      </c>
      <c r="I414" s="6" t="s">
        <v>7210</v>
      </c>
      <c r="J414" s="6" t="s">
        <v>8450</v>
      </c>
      <c r="K414" s="6" t="s">
        <v>9714</v>
      </c>
      <c r="L414" s="16" t="n">
        <v>45551</v>
      </c>
      <c r="M414" s="16" t="n">
        <v>45839</v>
      </c>
      <c r="N414" s="6" t="s">
        <v>104</v>
      </c>
      <c r="O414" s="21" t="s">
        <v>104</v>
      </c>
      <c r="P414" s="6" t="s">
        <v>104</v>
      </c>
      <c r="Q414" s="6" t="s">
        <v>104</v>
      </c>
      <c r="R414" s="6" t="s">
        <v>104</v>
      </c>
      <c r="S414" s="6" t="s">
        <v>104</v>
      </c>
      <c r="T414" s="21" t="s">
        <v>104</v>
      </c>
      <c r="U414" s="6" t="s">
        <v>104</v>
      </c>
      <c r="V414" s="6" t="s">
        <v>104</v>
      </c>
      <c r="W414" s="6" t="s">
        <v>104</v>
      </c>
      <c r="X414" s="6" t="s">
        <v>104</v>
      </c>
      <c r="Y414" s="21" t="s">
        <v>104</v>
      </c>
      <c r="Z414" s="6" t="s">
        <v>104</v>
      </c>
      <c r="AA414" s="6" t="s">
        <v>104</v>
      </c>
      <c r="AB414" s="6" t="s">
        <v>104</v>
      </c>
      <c r="AC414" s="6" t="s">
        <v>9714</v>
      </c>
      <c r="AD414" s="16" t="n">
        <v>45551</v>
      </c>
      <c r="AE414" s="6" t="s">
        <v>10890</v>
      </c>
      <c r="AF414" s="6" t="s">
        <v>104</v>
      </c>
      <c r="AG414" s="6" t="s">
        <v>12599</v>
      </c>
      <c r="AH414" s="6" t="s">
        <v>13525</v>
      </c>
      <c r="AI414" s="6" t="s">
        <v>104</v>
      </c>
      <c r="AJ414" s="6" t="s">
        <v>15649</v>
      </c>
      <c r="AK414" s="6" t="s">
        <v>16686</v>
      </c>
      <c r="AL414" s="6" t="s">
        <v>16931</v>
      </c>
      <c r="AM414" s="6" t="s">
        <v>17267</v>
      </c>
      <c r="AN414" s="6" t="s">
        <v>104</v>
      </c>
      <c r="AO414" s="6" t="s">
        <v>104</v>
      </c>
      <c r="AP414" s="6" t="s">
        <v>19067</v>
      </c>
      <c r="AQ414" s="6" t="s">
        <v>104</v>
      </c>
      <c r="AR414" s="6" t="s">
        <v>15649</v>
      </c>
      <c r="AS414" s="6" t="s">
        <v>16686</v>
      </c>
      <c r="AT414" s="6" t="s">
        <v>16931</v>
      </c>
      <c r="AU414" s="6" t="s">
        <v>17267</v>
      </c>
      <c r="AV414" s="6" t="s">
        <v>104</v>
      </c>
      <c r="AW414" s="6" t="s">
        <v>104</v>
      </c>
      <c r="AX414" s="6" t="s">
        <v>20442</v>
      </c>
      <c r="AY414" s="6" t="s">
        <v>22198</v>
      </c>
      <c r="AZ414" s="6" t="s">
        <v>23798</v>
      </c>
      <c r="BA414" s="6" t="s">
        <v>104</v>
      </c>
      <c r="BB414" s="6" t="s">
        <v>104</v>
      </c>
      <c r="BC414" s="26"/>
      <c r="BD414" s="26"/>
      <c r="BE414" s="26"/>
      <c r="BF414" s="26"/>
      <c r="BG414" s="26" t="s">
        <v>24533</v>
      </c>
      <c r="BH414" s="26"/>
      <c r="BI414" s="26"/>
      <c r="BJ414" s="26"/>
      <c r="BK414" s="26"/>
      <c r="BL414" s="26"/>
      <c r="BM414" s="26"/>
      <c r="BN414" s="26"/>
      <c r="BO414" s="26"/>
      <c r="BP414" s="16" t="n">
        <v>45730</v>
      </c>
      <c r="BQ414" s="28" t="str">
        <f>HYPERLINK("https://organic.ams.usda.gov/Integrity/Certificate.aspx?cid=72&amp;nopid=5870107233")</f>
        <v>https://organic.ams.usda.gov/Integrity/Certificate.aspx?cid=72&amp;nopid=5870107233</v>
      </c>
    </row>
    <row r="415">
      <c r="A415" t="s">
        <v>3</v>
      </c>
      <c r="B415" s="6" t="s">
        <v>46</v>
      </c>
      <c r="C415" s="6" t="s">
        <v>112</v>
      </c>
      <c r="D415" s="6" t="s">
        <v>176</v>
      </c>
      <c r="E415" s="10" t="s">
        <v>613</v>
      </c>
      <c r="F415" s="6" t="s">
        <v>2867</v>
      </c>
      <c r="G415" s="6" t="s">
        <v>104</v>
      </c>
      <c r="H415" s="6" t="s">
        <v>5268</v>
      </c>
      <c r="I415" s="6" t="s">
        <v>7211</v>
      </c>
      <c r="J415" s="6" t="s">
        <v>8451</v>
      </c>
      <c r="K415" s="6" t="s">
        <v>9714</v>
      </c>
      <c r="L415" s="16" t="n">
        <v>45078</v>
      </c>
      <c r="M415" s="16" t="n">
        <v>45891</v>
      </c>
      <c r="N415" s="6" t="s">
        <v>9714</v>
      </c>
      <c r="O415" s="16" t="n">
        <v>45078</v>
      </c>
      <c r="P415" s="6" t="s">
        <v>9841</v>
      </c>
      <c r="Q415" s="6" t="s">
        <v>104</v>
      </c>
      <c r="R415" s="6" t="s">
        <v>10330</v>
      </c>
      <c r="S415" s="6" t="s">
        <v>104</v>
      </c>
      <c r="T415" s="21" t="s">
        <v>104</v>
      </c>
      <c r="U415" s="6" t="s">
        <v>104</v>
      </c>
      <c r="V415" s="6" t="s">
        <v>104</v>
      </c>
      <c r="W415" s="6" t="s">
        <v>104</v>
      </c>
      <c r="X415" s="6" t="s">
        <v>104</v>
      </c>
      <c r="Y415" s="21" t="s">
        <v>104</v>
      </c>
      <c r="Z415" s="6" t="s">
        <v>104</v>
      </c>
      <c r="AA415" s="6" t="s">
        <v>104</v>
      </c>
      <c r="AB415" s="6" t="s">
        <v>104</v>
      </c>
      <c r="AC415" s="6" t="s">
        <v>9714</v>
      </c>
      <c r="AD415" s="16" t="n">
        <v>45078</v>
      </c>
      <c r="AE415" s="6" t="s">
        <v>10891</v>
      </c>
      <c r="AF415" s="6" t="s">
        <v>104</v>
      </c>
      <c r="AG415" s="6" t="s">
        <v>10330</v>
      </c>
      <c r="AH415" s="6" t="s">
        <v>13526</v>
      </c>
      <c r="AI415" s="6" t="s">
        <v>15247</v>
      </c>
      <c r="AJ415" s="6" t="s">
        <v>15650</v>
      </c>
      <c r="AK415" s="6" t="s">
        <v>16770</v>
      </c>
      <c r="AL415" s="6" t="s">
        <v>16949</v>
      </c>
      <c r="AM415" s="6" t="s">
        <v>104</v>
      </c>
      <c r="AN415" s="6" t="s">
        <v>104</v>
      </c>
      <c r="AO415" s="6" t="s">
        <v>104</v>
      </c>
      <c r="AP415" s="6" t="s">
        <v>104</v>
      </c>
      <c r="AQ415" s="6" t="s">
        <v>104</v>
      </c>
      <c r="AR415" s="6" t="s">
        <v>104</v>
      </c>
      <c r="AS415" s="6" t="s">
        <v>104</v>
      </c>
      <c r="AT415" s="6" t="s">
        <v>104</v>
      </c>
      <c r="AU415" s="6" t="s">
        <v>104</v>
      </c>
      <c r="AV415" s="6" t="s">
        <v>104</v>
      </c>
      <c r="AW415" s="6" t="s">
        <v>104</v>
      </c>
      <c r="AX415" s="6" t="s">
        <v>20443</v>
      </c>
      <c r="AY415" s="6" t="s">
        <v>22199</v>
      </c>
      <c r="AZ415" s="6" t="s">
        <v>104</v>
      </c>
      <c r="BA415" s="6" t="s">
        <v>24324</v>
      </c>
      <c r="BB415" s="24" t="n">
        <v>145</v>
      </c>
      <c r="BC415" s="26"/>
      <c r="BD415" s="26"/>
      <c r="BE415" s="26"/>
      <c r="BF415" s="26"/>
      <c r="BG415" s="26"/>
      <c r="BH415" s="26"/>
      <c r="BI415" s="26"/>
      <c r="BJ415" s="26"/>
      <c r="BK415" s="26"/>
      <c r="BL415" s="26"/>
      <c r="BM415" s="26"/>
      <c r="BN415" s="26"/>
      <c r="BO415" s="26"/>
      <c r="BP415" s="16" t="n">
        <v>45526</v>
      </c>
      <c r="BQ415" s="28" t="str">
        <f>HYPERLINK("https://organic.ams.usda.gov/Integrity/Certificate.aspx?cid=185&amp;nopid=4198305027")</f>
        <v>https://organic.ams.usda.gov/Integrity/Certificate.aspx?cid=185&amp;nopid=4198305027</v>
      </c>
    </row>
    <row r="416">
      <c r="A416" t="s">
        <v>3</v>
      </c>
      <c r="B416" s="6" t="s">
        <v>54</v>
      </c>
      <c r="C416" s="6" t="s">
        <v>120</v>
      </c>
      <c r="D416" s="6" t="s">
        <v>184</v>
      </c>
      <c r="E416" s="10" t="s">
        <v>614</v>
      </c>
      <c r="F416" s="6" t="s">
        <v>2868</v>
      </c>
      <c r="G416" s="6" t="s">
        <v>104</v>
      </c>
      <c r="H416" s="6" t="s">
        <v>5269</v>
      </c>
      <c r="I416" s="6" t="s">
        <v>7212</v>
      </c>
      <c r="J416" s="6" t="s">
        <v>8452</v>
      </c>
      <c r="K416" s="6" t="s">
        <v>9714</v>
      </c>
      <c r="L416" s="16" t="n">
        <v>39728</v>
      </c>
      <c r="M416" s="16" t="n">
        <v>45717</v>
      </c>
      <c r="N416" s="6" t="s">
        <v>9714</v>
      </c>
      <c r="O416" s="16" t="n">
        <v>39728</v>
      </c>
      <c r="P416" s="6" t="s">
        <v>9842</v>
      </c>
      <c r="Q416" s="6" t="s">
        <v>104</v>
      </c>
      <c r="R416" s="6" t="s">
        <v>104</v>
      </c>
      <c r="S416" s="6" t="s">
        <v>104</v>
      </c>
      <c r="T416" s="21" t="s">
        <v>104</v>
      </c>
      <c r="U416" s="6" t="s">
        <v>104</v>
      </c>
      <c r="V416" s="6" t="s">
        <v>104</v>
      </c>
      <c r="W416" s="6" t="s">
        <v>104</v>
      </c>
      <c r="X416" s="6" t="s">
        <v>104</v>
      </c>
      <c r="Y416" s="21" t="s">
        <v>104</v>
      </c>
      <c r="Z416" s="6" t="s">
        <v>104</v>
      </c>
      <c r="AA416" s="6" t="s">
        <v>104</v>
      </c>
      <c r="AB416" s="6" t="s">
        <v>104</v>
      </c>
      <c r="AC416" s="6" t="s">
        <v>104</v>
      </c>
      <c r="AD416" s="21" t="s">
        <v>104</v>
      </c>
      <c r="AE416" s="6" t="s">
        <v>104</v>
      </c>
      <c r="AF416" s="6" t="s">
        <v>104</v>
      </c>
      <c r="AG416" s="6" t="s">
        <v>104</v>
      </c>
      <c r="AH416" s="6" t="s">
        <v>13527</v>
      </c>
      <c r="AI416" s="6" t="s">
        <v>104</v>
      </c>
      <c r="AJ416" s="6" t="s">
        <v>15651</v>
      </c>
      <c r="AK416" s="6" t="s">
        <v>16743</v>
      </c>
      <c r="AL416" s="6" t="s">
        <v>16931</v>
      </c>
      <c r="AM416" s="6" t="s">
        <v>17268</v>
      </c>
      <c r="AN416" s="6" t="s">
        <v>18464</v>
      </c>
      <c r="AO416" s="6" t="s">
        <v>18558</v>
      </c>
      <c r="AP416" s="6" t="s">
        <v>19068</v>
      </c>
      <c r="AQ416" s="6" t="s">
        <v>104</v>
      </c>
      <c r="AR416" s="6" t="s">
        <v>19631</v>
      </c>
      <c r="AS416" s="6" t="s">
        <v>16745</v>
      </c>
      <c r="AT416" s="6" t="s">
        <v>16931</v>
      </c>
      <c r="AU416" s="6" t="s">
        <v>19860</v>
      </c>
      <c r="AV416" s="6" t="s">
        <v>104</v>
      </c>
      <c r="AW416" s="6" t="s">
        <v>104</v>
      </c>
      <c r="AX416" s="6" t="s">
        <v>20444</v>
      </c>
      <c r="AY416" s="6" t="s">
        <v>22200</v>
      </c>
      <c r="AZ416" s="6" t="s">
        <v>104</v>
      </c>
      <c r="BA416" s="6" t="s">
        <v>24267</v>
      </c>
      <c r="BB416" s="24" t="n">
        <v>315</v>
      </c>
      <c r="BC416" s="26"/>
      <c r="BD416" s="26"/>
      <c r="BE416" s="26"/>
      <c r="BF416" s="26"/>
      <c r="BG416" s="26"/>
      <c r="BH416" s="26"/>
      <c r="BI416" s="26"/>
      <c r="BJ416" s="26"/>
      <c r="BK416" s="26"/>
      <c r="BL416" s="26"/>
      <c r="BM416" s="26"/>
      <c r="BN416" s="26"/>
      <c r="BO416" s="26"/>
      <c r="BP416" s="16" t="n">
        <v>45680</v>
      </c>
      <c r="BQ416" s="28" t="str">
        <f>HYPERLINK("https://organic.ams.usda.gov/Integrity/Certificate.aspx?cid=60&amp;nopid=2580000470")</f>
        <v>https://organic.ams.usda.gov/Integrity/Certificate.aspx?cid=60&amp;nopid=2580000470</v>
      </c>
    </row>
    <row r="417">
      <c r="A417" t="s">
        <v>3</v>
      </c>
      <c r="B417" s="6" t="s">
        <v>32</v>
      </c>
      <c r="C417" s="6" t="s">
        <v>98</v>
      </c>
      <c r="D417" s="6" t="s">
        <v>163</v>
      </c>
      <c r="E417" s="10" t="s">
        <v>615</v>
      </c>
      <c r="F417" s="6" t="s">
        <v>2869</v>
      </c>
      <c r="G417" s="6" t="s">
        <v>104</v>
      </c>
      <c r="H417" s="6" t="s">
        <v>5270</v>
      </c>
      <c r="I417" s="6" t="s">
        <v>7090</v>
      </c>
      <c r="J417" s="6" t="s">
        <v>8453</v>
      </c>
      <c r="K417" s="6" t="s">
        <v>9714</v>
      </c>
      <c r="L417" s="16" t="n">
        <v>45498</v>
      </c>
      <c r="M417" s="16" t="n">
        <v>45717</v>
      </c>
      <c r="N417" s="6" t="s">
        <v>9714</v>
      </c>
      <c r="O417" s="16" t="n">
        <v>45498</v>
      </c>
      <c r="P417" s="6" t="s">
        <v>9843</v>
      </c>
      <c r="Q417" s="6" t="s">
        <v>104</v>
      </c>
      <c r="R417" s="6" t="s">
        <v>104</v>
      </c>
      <c r="S417" s="6" t="s">
        <v>104</v>
      </c>
      <c r="T417" s="21" t="s">
        <v>104</v>
      </c>
      <c r="U417" s="6" t="s">
        <v>104</v>
      </c>
      <c r="V417" s="6" t="s">
        <v>104</v>
      </c>
      <c r="W417" s="6" t="s">
        <v>104</v>
      </c>
      <c r="X417" s="6" t="s">
        <v>104</v>
      </c>
      <c r="Y417" s="21" t="s">
        <v>104</v>
      </c>
      <c r="Z417" s="6" t="s">
        <v>104</v>
      </c>
      <c r="AA417" s="6" t="s">
        <v>104</v>
      </c>
      <c r="AB417" s="6" t="s">
        <v>104</v>
      </c>
      <c r="AC417" s="6" t="s">
        <v>9714</v>
      </c>
      <c r="AD417" s="16" t="n">
        <v>45498</v>
      </c>
      <c r="AE417" s="6" t="s">
        <v>10892</v>
      </c>
      <c r="AF417" s="6" t="s">
        <v>104</v>
      </c>
      <c r="AG417" s="6" t="s">
        <v>104</v>
      </c>
      <c r="AH417" s="6" t="s">
        <v>13528</v>
      </c>
      <c r="AI417" s="6" t="s">
        <v>104</v>
      </c>
      <c r="AJ417" s="6" t="s">
        <v>15652</v>
      </c>
      <c r="AK417" s="6" t="s">
        <v>16687</v>
      </c>
      <c r="AL417" s="6" t="s">
        <v>16931</v>
      </c>
      <c r="AM417" s="6" t="s">
        <v>17269</v>
      </c>
      <c r="AN417" s="6" t="s">
        <v>104</v>
      </c>
      <c r="AO417" s="6" t="s">
        <v>104</v>
      </c>
      <c r="AP417" s="6" t="s">
        <v>104</v>
      </c>
      <c r="AQ417" s="6" t="s">
        <v>104</v>
      </c>
      <c r="AR417" s="6" t="s">
        <v>104</v>
      </c>
      <c r="AS417" s="6" t="s">
        <v>104</v>
      </c>
      <c r="AT417" s="6" t="s">
        <v>104</v>
      </c>
      <c r="AU417" s="6" t="s">
        <v>104</v>
      </c>
      <c r="AV417" s="6" t="s">
        <v>104</v>
      </c>
      <c r="AW417" s="6" t="s">
        <v>104</v>
      </c>
      <c r="AX417" s="6" t="s">
        <v>20445</v>
      </c>
      <c r="AY417" s="6" t="s">
        <v>22201</v>
      </c>
      <c r="AZ417" s="6" t="s">
        <v>23799</v>
      </c>
      <c r="BA417" s="6" t="s">
        <v>104</v>
      </c>
      <c r="BB417" s="24" t="n">
        <v>4</v>
      </c>
      <c r="BC417" s="26"/>
      <c r="BD417" s="26"/>
      <c r="BE417" s="26"/>
      <c r="BF417" s="26"/>
      <c r="BG417" s="26"/>
      <c r="BH417" s="26"/>
      <c r="BI417" s="26"/>
      <c r="BJ417" s="26"/>
      <c r="BK417" s="26"/>
      <c r="BL417" s="26"/>
      <c r="BM417" s="26"/>
      <c r="BN417" s="26"/>
      <c r="BO417" s="26"/>
      <c r="BP417" s="16" t="n">
        <v>45499</v>
      </c>
      <c r="BQ417" s="28" t="str">
        <f>HYPERLINK("https://organic.ams.usda.gov/Integrity/Certificate.aspx?cid=64&amp;nopid=8830001768")</f>
        <v>https://organic.ams.usda.gov/Integrity/Certificate.aspx?cid=64&amp;nopid=8830001768</v>
      </c>
    </row>
    <row r="418">
      <c r="A418" t="s">
        <v>3</v>
      </c>
      <c r="B418" s="6" t="s">
        <v>11</v>
      </c>
      <c r="C418" s="6" t="s">
        <v>77</v>
      </c>
      <c r="D418" s="6" t="s">
        <v>142</v>
      </c>
      <c r="E418" s="10" t="s">
        <v>616</v>
      </c>
      <c r="F418" s="6" t="s">
        <v>2870</v>
      </c>
      <c r="G418" s="6" t="s">
        <v>104</v>
      </c>
      <c r="H418" s="6" t="s">
        <v>5271</v>
      </c>
      <c r="I418" s="6" t="s">
        <v>7213</v>
      </c>
      <c r="J418" s="6" t="s">
        <v>8087</v>
      </c>
      <c r="K418" s="6" t="s">
        <v>9714</v>
      </c>
      <c r="L418" s="16" t="n">
        <v>43871</v>
      </c>
      <c r="M418" s="16" t="n">
        <v>45672</v>
      </c>
      <c r="N418" s="6" t="s">
        <v>104</v>
      </c>
      <c r="O418" s="21" t="s">
        <v>104</v>
      </c>
      <c r="P418" s="6" t="s">
        <v>104</v>
      </c>
      <c r="Q418" s="6" t="s">
        <v>104</v>
      </c>
      <c r="R418" s="6" t="s">
        <v>104</v>
      </c>
      <c r="S418" s="6" t="s">
        <v>104</v>
      </c>
      <c r="T418" s="21" t="s">
        <v>104</v>
      </c>
      <c r="U418" s="6" t="s">
        <v>104</v>
      </c>
      <c r="V418" s="6" t="s">
        <v>104</v>
      </c>
      <c r="W418" s="6" t="s">
        <v>104</v>
      </c>
      <c r="X418" s="6" t="s">
        <v>104</v>
      </c>
      <c r="Y418" s="21" t="s">
        <v>104</v>
      </c>
      <c r="Z418" s="6" t="s">
        <v>104</v>
      </c>
      <c r="AA418" s="6" t="s">
        <v>104</v>
      </c>
      <c r="AB418" s="6" t="s">
        <v>104</v>
      </c>
      <c r="AC418" s="6" t="s">
        <v>9714</v>
      </c>
      <c r="AD418" s="16" t="n">
        <v>43871</v>
      </c>
      <c r="AE418" s="6" t="s">
        <v>10893</v>
      </c>
      <c r="AF418" s="6" t="s">
        <v>104</v>
      </c>
      <c r="AG418" s="6" t="s">
        <v>104</v>
      </c>
      <c r="AH418" s="6" t="s">
        <v>13529</v>
      </c>
      <c r="AI418" s="6" t="s">
        <v>15248</v>
      </c>
      <c r="AJ418" s="6" t="s">
        <v>104</v>
      </c>
      <c r="AK418" s="6" t="s">
        <v>16771</v>
      </c>
      <c r="AL418" s="6" t="s">
        <v>16946</v>
      </c>
      <c r="AM418" s="6" t="s">
        <v>104</v>
      </c>
      <c r="AN418" s="6" t="s">
        <v>104</v>
      </c>
      <c r="AO418" s="6" t="s">
        <v>104</v>
      </c>
      <c r="AP418" s="6" t="s">
        <v>13529</v>
      </c>
      <c r="AQ418" s="6" t="s">
        <v>15248</v>
      </c>
      <c r="AR418" s="6" t="s">
        <v>104</v>
      </c>
      <c r="AS418" s="6" t="s">
        <v>16771</v>
      </c>
      <c r="AT418" s="6" t="s">
        <v>16946</v>
      </c>
      <c r="AU418" s="6" t="s">
        <v>104</v>
      </c>
      <c r="AV418" s="6" t="s">
        <v>104</v>
      </c>
      <c r="AW418" s="6" t="s">
        <v>104</v>
      </c>
      <c r="AX418" s="6" t="s">
        <v>20446</v>
      </c>
      <c r="AY418" s="6" t="s">
        <v>22202</v>
      </c>
      <c r="AZ418" s="6" t="s">
        <v>104</v>
      </c>
      <c r="BA418" s="6" t="s">
        <v>104</v>
      </c>
      <c r="BB418" s="6" t="s">
        <v>104</v>
      </c>
      <c r="BC418" s="26"/>
      <c r="BD418" s="26"/>
      <c r="BE418" s="26"/>
      <c r="BF418" s="26"/>
      <c r="BG418" s="26"/>
      <c r="BH418" s="26"/>
      <c r="BI418" s="26"/>
      <c r="BJ418" s="26"/>
      <c r="BK418" s="26"/>
      <c r="BL418" s="26"/>
      <c r="BM418" s="26"/>
      <c r="BN418" s="26"/>
      <c r="BO418" s="26"/>
      <c r="BP418" s="16" t="n">
        <v>45480</v>
      </c>
      <c r="BQ418" s="28" t="str">
        <f>HYPERLINK("https://organic.ams.usda.gov/Integrity/Certificate.aspx?cid=21&amp;nopid=1780869397")</f>
        <v>https://organic.ams.usda.gov/Integrity/Certificate.aspx?cid=21&amp;nopid=1780869397</v>
      </c>
    </row>
    <row r="419">
      <c r="A419" t="s">
        <v>3</v>
      </c>
      <c r="B419" s="6" t="s">
        <v>44</v>
      </c>
      <c r="C419" s="6" t="s">
        <v>110</v>
      </c>
      <c r="D419" s="6" t="s">
        <v>174</v>
      </c>
      <c r="E419" s="10" t="s">
        <v>617</v>
      </c>
      <c r="F419" s="6" t="s">
        <v>2871</v>
      </c>
      <c r="G419" s="6" t="s">
        <v>104</v>
      </c>
      <c r="H419" s="6" t="s">
        <v>5272</v>
      </c>
      <c r="I419" s="6" t="s">
        <v>7214</v>
      </c>
      <c r="J419" s="6" t="s">
        <v>8454</v>
      </c>
      <c r="K419" s="6" t="s">
        <v>9714</v>
      </c>
      <c r="L419" s="16" t="n">
        <v>42912</v>
      </c>
      <c r="M419" s="16" t="n">
        <v>45672</v>
      </c>
      <c r="N419" s="6" t="s">
        <v>104</v>
      </c>
      <c r="O419" s="21" t="s">
        <v>104</v>
      </c>
      <c r="P419" s="6" t="s">
        <v>104</v>
      </c>
      <c r="Q419" s="6" t="s">
        <v>104</v>
      </c>
      <c r="R419" s="6" t="s">
        <v>104</v>
      </c>
      <c r="S419" s="6" t="s">
        <v>104</v>
      </c>
      <c r="T419" s="21" t="s">
        <v>104</v>
      </c>
      <c r="U419" s="6" t="s">
        <v>104</v>
      </c>
      <c r="V419" s="6" t="s">
        <v>104</v>
      </c>
      <c r="W419" s="6" t="s">
        <v>104</v>
      </c>
      <c r="X419" s="6" t="s">
        <v>104</v>
      </c>
      <c r="Y419" s="21" t="s">
        <v>104</v>
      </c>
      <c r="Z419" s="6" t="s">
        <v>104</v>
      </c>
      <c r="AA419" s="6" t="s">
        <v>104</v>
      </c>
      <c r="AB419" s="6" t="s">
        <v>104</v>
      </c>
      <c r="AC419" s="6" t="s">
        <v>9714</v>
      </c>
      <c r="AD419" s="16" t="n">
        <v>42912</v>
      </c>
      <c r="AE419" s="6" t="s">
        <v>10894</v>
      </c>
      <c r="AF419" s="6" t="s">
        <v>104</v>
      </c>
      <c r="AG419" s="6" t="s">
        <v>104</v>
      </c>
      <c r="AH419" s="6" t="s">
        <v>13530</v>
      </c>
      <c r="AI419" s="6" t="s">
        <v>104</v>
      </c>
      <c r="AJ419" s="6" t="s">
        <v>15653</v>
      </c>
      <c r="AK419" s="6" t="s">
        <v>15697</v>
      </c>
      <c r="AL419" s="6" t="s">
        <v>16931</v>
      </c>
      <c r="AM419" s="6" t="s">
        <v>17270</v>
      </c>
      <c r="AN419" s="6" t="s">
        <v>18481</v>
      </c>
      <c r="AO419" s="6" t="s">
        <v>18654</v>
      </c>
      <c r="AP419" s="6" t="s">
        <v>13530</v>
      </c>
      <c r="AQ419" s="6" t="s">
        <v>104</v>
      </c>
      <c r="AR419" s="6" t="s">
        <v>15653</v>
      </c>
      <c r="AS419" s="6" t="s">
        <v>15697</v>
      </c>
      <c r="AT419" s="6" t="s">
        <v>16931</v>
      </c>
      <c r="AU419" s="6" t="s">
        <v>17270</v>
      </c>
      <c r="AV419" s="6" t="s">
        <v>104</v>
      </c>
      <c r="AW419" s="6" t="s">
        <v>104</v>
      </c>
      <c r="AX419" s="6" t="s">
        <v>20447</v>
      </c>
      <c r="AY419" s="6" t="s">
        <v>22203</v>
      </c>
      <c r="AZ419" s="6" t="s">
        <v>104</v>
      </c>
      <c r="BA419" s="6" t="s">
        <v>104</v>
      </c>
      <c r="BB419" s="24" t="n">
        <v>0</v>
      </c>
      <c r="BC419" s="26"/>
      <c r="BD419" s="26"/>
      <c r="BE419" s="26"/>
      <c r="BF419" s="26"/>
      <c r="BG419" s="26"/>
      <c r="BH419" s="26"/>
      <c r="BI419" s="26"/>
      <c r="BJ419" s="26"/>
      <c r="BK419" s="26"/>
      <c r="BL419" s="26"/>
      <c r="BM419" s="26"/>
      <c r="BN419" s="26"/>
      <c r="BO419" s="26"/>
      <c r="BP419" s="16" t="n">
        <v>45603</v>
      </c>
      <c r="BQ419" s="28" t="str">
        <f>HYPERLINK("https://organic.ams.usda.gov/Integrity/Certificate.aspx?cid=57&amp;nopid=3252017107")</f>
        <v>https://organic.ams.usda.gov/Integrity/Certificate.aspx?cid=57&amp;nopid=3252017107</v>
      </c>
    </row>
    <row r="420">
      <c r="A420" t="s">
        <v>3</v>
      </c>
      <c r="B420" s="6" t="s">
        <v>8</v>
      </c>
      <c r="C420" s="6" t="s">
        <v>74</v>
      </c>
      <c r="D420" s="6" t="s">
        <v>139</v>
      </c>
      <c r="E420" s="10" t="s">
        <v>618</v>
      </c>
      <c r="F420" s="6" t="s">
        <v>2872</v>
      </c>
      <c r="G420" s="6" t="s">
        <v>104</v>
      </c>
      <c r="H420" s="6" t="s">
        <v>618</v>
      </c>
      <c r="I420" s="6" t="s">
        <v>7215</v>
      </c>
      <c r="J420" s="6" t="s">
        <v>8455</v>
      </c>
      <c r="K420" s="6" t="s">
        <v>9714</v>
      </c>
      <c r="L420" s="16" t="n">
        <v>39825</v>
      </c>
      <c r="M420" s="16" t="n">
        <v>45915</v>
      </c>
      <c r="N420" s="6" t="s">
        <v>9714</v>
      </c>
      <c r="O420" s="16" t="n">
        <v>39825</v>
      </c>
      <c r="P420" s="6" t="s">
        <v>9844</v>
      </c>
      <c r="Q420" s="6" t="s">
        <v>104</v>
      </c>
      <c r="R420" s="6" t="s">
        <v>618</v>
      </c>
      <c r="S420" s="6" t="s">
        <v>9714</v>
      </c>
      <c r="T420" s="16" t="n">
        <v>39825</v>
      </c>
      <c r="U420" s="6" t="s">
        <v>10474</v>
      </c>
      <c r="V420" s="6" t="s">
        <v>104</v>
      </c>
      <c r="W420" s="6" t="s">
        <v>104</v>
      </c>
      <c r="X420" s="6" t="s">
        <v>104</v>
      </c>
      <c r="Y420" s="21" t="s">
        <v>104</v>
      </c>
      <c r="Z420" s="6" t="s">
        <v>104</v>
      </c>
      <c r="AA420" s="6" t="s">
        <v>104</v>
      </c>
      <c r="AB420" s="6" t="s">
        <v>104</v>
      </c>
      <c r="AC420" s="6" t="s">
        <v>9714</v>
      </c>
      <c r="AD420" s="16" t="n">
        <v>45183</v>
      </c>
      <c r="AE420" s="6" t="s">
        <v>10895</v>
      </c>
      <c r="AF420" s="6" t="s">
        <v>104</v>
      </c>
      <c r="AG420" s="6" t="s">
        <v>618</v>
      </c>
      <c r="AH420" s="6" t="s">
        <v>13531</v>
      </c>
      <c r="AI420" s="6" t="s">
        <v>15249</v>
      </c>
      <c r="AJ420" s="6" t="s">
        <v>15524</v>
      </c>
      <c r="AK420" s="6" t="s">
        <v>16679</v>
      </c>
      <c r="AL420" s="6" t="s">
        <v>16931</v>
      </c>
      <c r="AM420" s="6" t="s">
        <v>17139</v>
      </c>
      <c r="AN420" s="6" t="s">
        <v>18468</v>
      </c>
      <c r="AO420" s="6" t="s">
        <v>18655</v>
      </c>
      <c r="AP420" s="6" t="s">
        <v>19069</v>
      </c>
      <c r="AQ420" s="6" t="s">
        <v>15249</v>
      </c>
      <c r="AR420" s="6" t="s">
        <v>19632</v>
      </c>
      <c r="AS420" s="6" t="s">
        <v>16679</v>
      </c>
      <c r="AT420" s="6" t="s">
        <v>16931</v>
      </c>
      <c r="AU420" s="6" t="s">
        <v>19861</v>
      </c>
      <c r="AV420" s="6" t="s">
        <v>104</v>
      </c>
      <c r="AW420" s="6" t="s">
        <v>104</v>
      </c>
      <c r="AX420" s="6" t="s">
        <v>20448</v>
      </c>
      <c r="AY420" s="6" t="s">
        <v>22204</v>
      </c>
      <c r="AZ420" s="6" t="s">
        <v>104</v>
      </c>
      <c r="BA420" s="6" t="s">
        <v>104</v>
      </c>
      <c r="BB420" s="24" t="n">
        <v>806</v>
      </c>
      <c r="BC420" s="26"/>
      <c r="BD420" s="26"/>
      <c r="BE420" s="26"/>
      <c r="BF420" s="26"/>
      <c r="BG420" s="26"/>
      <c r="BH420" s="26"/>
      <c r="BI420" s="26"/>
      <c r="BJ420" s="26"/>
      <c r="BK420" s="26"/>
      <c r="BL420" s="26"/>
      <c r="BM420" s="26"/>
      <c r="BN420" s="26"/>
      <c r="BO420" s="26"/>
      <c r="BP420" s="16" t="n">
        <v>45702</v>
      </c>
      <c r="BQ420" s="28" t="str">
        <f>HYPERLINK("https://organic.ams.usda.gov/Integrity/Certificate.aspx?cid=48&amp;nopid=1460029742")</f>
        <v>https://organic.ams.usda.gov/Integrity/Certificate.aspx?cid=48&amp;nopid=1460029742</v>
      </c>
    </row>
    <row r="421">
      <c r="A421" t="s">
        <v>3</v>
      </c>
      <c r="B421" s="6" t="s">
        <v>23</v>
      </c>
      <c r="C421" s="6" t="s">
        <v>89</v>
      </c>
      <c r="D421" s="6" t="s">
        <v>154</v>
      </c>
      <c r="E421" s="10" t="s">
        <v>619</v>
      </c>
      <c r="F421" s="6" t="s">
        <v>2873</v>
      </c>
      <c r="G421" s="6" t="s">
        <v>4713</v>
      </c>
      <c r="H421" s="6" t="s">
        <v>5273</v>
      </c>
      <c r="I421" s="6" t="s">
        <v>7078</v>
      </c>
      <c r="J421" s="6" t="s">
        <v>8456</v>
      </c>
      <c r="K421" s="6" t="s">
        <v>9714</v>
      </c>
      <c r="L421" s="16" t="n">
        <v>45352</v>
      </c>
      <c r="M421" s="16" t="n">
        <v>45748</v>
      </c>
      <c r="N421" s="6" t="s">
        <v>104</v>
      </c>
      <c r="O421" s="21" t="s">
        <v>104</v>
      </c>
      <c r="P421" s="6" t="s">
        <v>104</v>
      </c>
      <c r="Q421" s="6" t="s">
        <v>104</v>
      </c>
      <c r="R421" s="6" t="s">
        <v>104</v>
      </c>
      <c r="S421" s="6" t="s">
        <v>104</v>
      </c>
      <c r="T421" s="21" t="s">
        <v>104</v>
      </c>
      <c r="U421" s="6" t="s">
        <v>104</v>
      </c>
      <c r="V421" s="6" t="s">
        <v>104</v>
      </c>
      <c r="W421" s="6" t="s">
        <v>104</v>
      </c>
      <c r="X421" s="6" t="s">
        <v>104</v>
      </c>
      <c r="Y421" s="21" t="s">
        <v>104</v>
      </c>
      <c r="Z421" s="6" t="s">
        <v>104</v>
      </c>
      <c r="AA421" s="6" t="s">
        <v>104</v>
      </c>
      <c r="AB421" s="6" t="s">
        <v>104</v>
      </c>
      <c r="AC421" s="6" t="s">
        <v>9714</v>
      </c>
      <c r="AD421" s="16" t="n">
        <v>45352</v>
      </c>
      <c r="AE421" s="6" t="s">
        <v>10896</v>
      </c>
      <c r="AF421" s="6" t="s">
        <v>104</v>
      </c>
      <c r="AG421" s="6" t="s">
        <v>5273</v>
      </c>
      <c r="AH421" s="6" t="s">
        <v>13532</v>
      </c>
      <c r="AI421" s="6" t="s">
        <v>104</v>
      </c>
      <c r="AJ421" s="6" t="s">
        <v>15654</v>
      </c>
      <c r="AK421" s="6" t="s">
        <v>16694</v>
      </c>
      <c r="AL421" s="6" t="s">
        <v>16931</v>
      </c>
      <c r="AM421" s="6" t="s">
        <v>17271</v>
      </c>
      <c r="AN421" s="6" t="s">
        <v>104</v>
      </c>
      <c r="AO421" s="6" t="s">
        <v>104</v>
      </c>
      <c r="AP421" s="6" t="s">
        <v>104</v>
      </c>
      <c r="AQ421" s="6" t="s">
        <v>104</v>
      </c>
      <c r="AR421" s="6" t="s">
        <v>104</v>
      </c>
      <c r="AS421" s="6" t="s">
        <v>104</v>
      </c>
      <c r="AT421" s="6" t="s">
        <v>104</v>
      </c>
      <c r="AU421" s="6" t="s">
        <v>104</v>
      </c>
      <c r="AV421" s="6" t="s">
        <v>104</v>
      </c>
      <c r="AW421" s="6" t="s">
        <v>104</v>
      </c>
      <c r="AX421" s="6" t="s">
        <v>20449</v>
      </c>
      <c r="AY421" s="6" t="s">
        <v>22205</v>
      </c>
      <c r="AZ421" s="6" t="s">
        <v>104</v>
      </c>
      <c r="BA421" s="6" t="s">
        <v>104</v>
      </c>
      <c r="BB421" s="24" t="n">
        <v>0</v>
      </c>
      <c r="BC421" s="26"/>
      <c r="BD421" s="26"/>
      <c r="BE421" s="26"/>
      <c r="BF421" s="26"/>
      <c r="BG421" s="26"/>
      <c r="BH421" s="26"/>
      <c r="BI421" s="26"/>
      <c r="BJ421" s="26"/>
      <c r="BK421" s="26"/>
      <c r="BL421" s="26"/>
      <c r="BM421" s="26"/>
      <c r="BN421" s="26" t="s">
        <v>24533</v>
      </c>
      <c r="BO421" s="26"/>
      <c r="BP421" s="16" t="n">
        <v>45553</v>
      </c>
      <c r="BQ421" s="28" t="str">
        <f>HYPERLINK("https://organic.ams.usda.gov/Integrity/Certificate.aspx?cid=45&amp;nopid=9950013948")</f>
        <v>https://organic.ams.usda.gov/Integrity/Certificate.aspx?cid=45&amp;nopid=9950013948</v>
      </c>
    </row>
    <row r="422">
      <c r="A422" t="s">
        <v>3</v>
      </c>
      <c r="B422" s="6" t="s">
        <v>57</v>
      </c>
      <c r="C422" s="6" t="s">
        <v>123</v>
      </c>
      <c r="D422" s="6" t="s">
        <v>187</v>
      </c>
      <c r="E422" s="10" t="s">
        <v>620</v>
      </c>
      <c r="F422" s="6" t="s">
        <v>2874</v>
      </c>
      <c r="G422" s="6" t="s">
        <v>104</v>
      </c>
      <c r="H422" s="6" t="s">
        <v>5274</v>
      </c>
      <c r="I422" s="6" t="s">
        <v>7216</v>
      </c>
      <c r="J422" s="6" t="s">
        <v>8457</v>
      </c>
      <c r="K422" s="6" t="s">
        <v>9714</v>
      </c>
      <c r="L422" s="16" t="n">
        <v>45231</v>
      </c>
      <c r="M422" s="18" t="s">
        <v>104</v>
      </c>
      <c r="N422" s="6" t="s">
        <v>104</v>
      </c>
      <c r="O422" s="21" t="s">
        <v>104</v>
      </c>
      <c r="P422" s="6" t="s">
        <v>104</v>
      </c>
      <c r="Q422" s="6" t="s">
        <v>104</v>
      </c>
      <c r="R422" s="6" t="s">
        <v>104</v>
      </c>
      <c r="S422" s="6" t="s">
        <v>104</v>
      </c>
      <c r="T422" s="21" t="s">
        <v>104</v>
      </c>
      <c r="U422" s="6" t="s">
        <v>104</v>
      </c>
      <c r="V422" s="6" t="s">
        <v>104</v>
      </c>
      <c r="W422" s="6" t="s">
        <v>104</v>
      </c>
      <c r="X422" s="6" t="s">
        <v>104</v>
      </c>
      <c r="Y422" s="21" t="s">
        <v>104</v>
      </c>
      <c r="Z422" s="6" t="s">
        <v>104</v>
      </c>
      <c r="AA422" s="6" t="s">
        <v>104</v>
      </c>
      <c r="AB422" s="6" t="s">
        <v>104</v>
      </c>
      <c r="AC422" s="6" t="s">
        <v>9714</v>
      </c>
      <c r="AD422" s="16" t="n">
        <v>45231</v>
      </c>
      <c r="AE422" s="6" t="s">
        <v>10897</v>
      </c>
      <c r="AF422" s="6" t="s">
        <v>104</v>
      </c>
      <c r="AG422" s="6" t="s">
        <v>104</v>
      </c>
      <c r="AH422" s="6" t="s">
        <v>13533</v>
      </c>
      <c r="AI422" s="6" t="s">
        <v>104</v>
      </c>
      <c r="AJ422" s="6" t="s">
        <v>15655</v>
      </c>
      <c r="AK422" s="6" t="s">
        <v>16730</v>
      </c>
      <c r="AL422" s="6" t="s">
        <v>16931</v>
      </c>
      <c r="AM422" s="6" t="s">
        <v>17272</v>
      </c>
      <c r="AN422" s="6" t="s">
        <v>104</v>
      </c>
      <c r="AO422" s="6" t="s">
        <v>104</v>
      </c>
      <c r="AP422" s="6" t="s">
        <v>19070</v>
      </c>
      <c r="AQ422" s="6" t="s">
        <v>104</v>
      </c>
      <c r="AR422" s="6" t="s">
        <v>15655</v>
      </c>
      <c r="AS422" s="6" t="s">
        <v>16730</v>
      </c>
      <c r="AT422" s="6" t="s">
        <v>16931</v>
      </c>
      <c r="AU422" s="6" t="s">
        <v>17272</v>
      </c>
      <c r="AV422" s="6" t="s">
        <v>104</v>
      </c>
      <c r="AW422" s="6" t="s">
        <v>104</v>
      </c>
      <c r="AX422" s="6" t="s">
        <v>20450</v>
      </c>
      <c r="AY422" s="6" t="s">
        <v>22206</v>
      </c>
      <c r="AZ422" s="6" t="s">
        <v>104</v>
      </c>
      <c r="BA422" s="6" t="s">
        <v>104</v>
      </c>
      <c r="BB422" s="6" t="s">
        <v>104</v>
      </c>
      <c r="BC422" s="26"/>
      <c r="BD422" s="26"/>
      <c r="BE422" s="26"/>
      <c r="BF422" s="26"/>
      <c r="BG422" s="26"/>
      <c r="BH422" s="26"/>
      <c r="BI422" s="26"/>
      <c r="BJ422" s="26"/>
      <c r="BK422" s="26"/>
      <c r="BL422" s="26"/>
      <c r="BM422" s="26"/>
      <c r="BN422" s="26"/>
      <c r="BO422" s="26"/>
      <c r="BP422" s="16" t="n">
        <v>45735</v>
      </c>
      <c r="BQ422" s="28" t="str">
        <f>HYPERLINK("https://organic.ams.usda.gov/Integrity/Certificate.aspx?cid=19&amp;nopid=6356189503")</f>
        <v>https://organic.ams.usda.gov/Integrity/Certificate.aspx?cid=19&amp;nopid=6356189503</v>
      </c>
    </row>
    <row r="423">
      <c r="A423" t="s">
        <v>3</v>
      </c>
      <c r="B423" s="6" t="s">
        <v>11</v>
      </c>
      <c r="C423" s="6" t="s">
        <v>77</v>
      </c>
      <c r="D423" s="6" t="s">
        <v>142</v>
      </c>
      <c r="E423" s="10" t="s">
        <v>621</v>
      </c>
      <c r="F423" s="6" t="s">
        <v>2875</v>
      </c>
      <c r="G423" s="6" t="s">
        <v>104</v>
      </c>
      <c r="H423" s="6" t="s">
        <v>5275</v>
      </c>
      <c r="I423" s="6" t="s">
        <v>7217</v>
      </c>
      <c r="J423" s="6" t="s">
        <v>8458</v>
      </c>
      <c r="K423" s="6" t="s">
        <v>9714</v>
      </c>
      <c r="L423" s="16" t="n">
        <v>40891</v>
      </c>
      <c r="M423" s="16" t="n">
        <v>45962</v>
      </c>
      <c r="N423" s="6" t="s">
        <v>104</v>
      </c>
      <c r="O423" s="21" t="s">
        <v>104</v>
      </c>
      <c r="P423" s="6" t="s">
        <v>104</v>
      </c>
      <c r="Q423" s="6" t="s">
        <v>104</v>
      </c>
      <c r="R423" s="6" t="s">
        <v>104</v>
      </c>
      <c r="S423" s="6" t="s">
        <v>104</v>
      </c>
      <c r="T423" s="21" t="s">
        <v>104</v>
      </c>
      <c r="U423" s="6" t="s">
        <v>104</v>
      </c>
      <c r="V423" s="6" t="s">
        <v>104</v>
      </c>
      <c r="W423" s="6" t="s">
        <v>104</v>
      </c>
      <c r="X423" s="6" t="s">
        <v>104</v>
      </c>
      <c r="Y423" s="21" t="s">
        <v>104</v>
      </c>
      <c r="Z423" s="6" t="s">
        <v>104</v>
      </c>
      <c r="AA423" s="6" t="s">
        <v>104</v>
      </c>
      <c r="AB423" s="6" t="s">
        <v>104</v>
      </c>
      <c r="AC423" s="6" t="s">
        <v>9714</v>
      </c>
      <c r="AD423" s="16" t="n">
        <v>45562</v>
      </c>
      <c r="AE423" s="6" t="s">
        <v>10898</v>
      </c>
      <c r="AF423" s="6" t="s">
        <v>104</v>
      </c>
      <c r="AG423" s="6" t="s">
        <v>104</v>
      </c>
      <c r="AH423" s="6" t="s">
        <v>13534</v>
      </c>
      <c r="AI423" s="6" t="s">
        <v>104</v>
      </c>
      <c r="AJ423" s="6" t="s">
        <v>15392</v>
      </c>
      <c r="AK423" s="6" t="s">
        <v>15383</v>
      </c>
      <c r="AL423" s="6" t="s">
        <v>16933</v>
      </c>
      <c r="AM423" s="6" t="s">
        <v>104</v>
      </c>
      <c r="AN423" s="6" t="s">
        <v>104</v>
      </c>
      <c r="AO423" s="6" t="s">
        <v>104</v>
      </c>
      <c r="AP423" s="6" t="s">
        <v>13534</v>
      </c>
      <c r="AQ423" s="6" t="s">
        <v>104</v>
      </c>
      <c r="AR423" s="6" t="s">
        <v>15383</v>
      </c>
      <c r="AS423" s="6" t="s">
        <v>104</v>
      </c>
      <c r="AT423" s="6" t="s">
        <v>16933</v>
      </c>
      <c r="AU423" s="6" t="s">
        <v>104</v>
      </c>
      <c r="AV423" s="6" t="s">
        <v>104</v>
      </c>
      <c r="AW423" s="6" t="s">
        <v>104</v>
      </c>
      <c r="AX423" s="6" t="s">
        <v>20451</v>
      </c>
      <c r="AY423" s="6" t="s">
        <v>22207</v>
      </c>
      <c r="AZ423" s="6" t="s">
        <v>104</v>
      </c>
      <c r="BA423" s="6" t="s">
        <v>104</v>
      </c>
      <c r="BB423" s="24" t="n">
        <v>0</v>
      </c>
      <c r="BC423" s="26"/>
      <c r="BD423" s="26"/>
      <c r="BE423" s="26"/>
      <c r="BF423" s="26"/>
      <c r="BG423" s="26"/>
      <c r="BH423" s="26"/>
      <c r="BI423" s="26"/>
      <c r="BJ423" s="26"/>
      <c r="BK423" s="26"/>
      <c r="BL423" s="26"/>
      <c r="BM423" s="26"/>
      <c r="BN423" s="26"/>
      <c r="BO423" s="26"/>
      <c r="BP423" s="16" t="n">
        <v>45671</v>
      </c>
      <c r="BQ423" s="28" t="str">
        <f>HYPERLINK("https://organic.ams.usda.gov/Integrity/Certificate.aspx?cid=21&amp;nopid=1780819368")</f>
        <v>https://organic.ams.usda.gov/Integrity/Certificate.aspx?cid=21&amp;nopid=1780819368</v>
      </c>
    </row>
    <row r="424">
      <c r="A424" t="s">
        <v>3</v>
      </c>
      <c r="B424" s="6" t="s">
        <v>8</v>
      </c>
      <c r="C424" s="6" t="s">
        <v>74</v>
      </c>
      <c r="D424" s="6" t="s">
        <v>139</v>
      </c>
      <c r="E424" s="10" t="s">
        <v>622</v>
      </c>
      <c r="F424" s="6" t="s">
        <v>2876</v>
      </c>
      <c r="G424" s="6" t="s">
        <v>104</v>
      </c>
      <c r="H424" s="6" t="s">
        <v>622</v>
      </c>
      <c r="I424" s="6" t="s">
        <v>7218</v>
      </c>
      <c r="J424" s="6" t="s">
        <v>8459</v>
      </c>
      <c r="K424" s="6" t="s">
        <v>9714</v>
      </c>
      <c r="L424" s="16" t="n">
        <v>42858</v>
      </c>
      <c r="M424" s="16" t="n">
        <v>45915</v>
      </c>
      <c r="N424" s="6" t="s">
        <v>104</v>
      </c>
      <c r="O424" s="21" t="s">
        <v>104</v>
      </c>
      <c r="P424" s="6" t="s">
        <v>104</v>
      </c>
      <c r="Q424" s="6" t="s">
        <v>104</v>
      </c>
      <c r="R424" s="6" t="s">
        <v>104</v>
      </c>
      <c r="S424" s="6" t="s">
        <v>104</v>
      </c>
      <c r="T424" s="21" t="s">
        <v>104</v>
      </c>
      <c r="U424" s="6" t="s">
        <v>104</v>
      </c>
      <c r="V424" s="6" t="s">
        <v>104</v>
      </c>
      <c r="W424" s="6" t="s">
        <v>104</v>
      </c>
      <c r="X424" s="6" t="s">
        <v>104</v>
      </c>
      <c r="Y424" s="21" t="s">
        <v>104</v>
      </c>
      <c r="Z424" s="6" t="s">
        <v>104</v>
      </c>
      <c r="AA424" s="6" t="s">
        <v>104</v>
      </c>
      <c r="AB424" s="6" t="s">
        <v>104</v>
      </c>
      <c r="AC424" s="6" t="s">
        <v>9714</v>
      </c>
      <c r="AD424" s="16" t="n">
        <v>42858</v>
      </c>
      <c r="AE424" s="6" t="s">
        <v>10899</v>
      </c>
      <c r="AF424" s="6" t="s">
        <v>104</v>
      </c>
      <c r="AG424" s="6" t="s">
        <v>622</v>
      </c>
      <c r="AH424" s="6" t="s">
        <v>13535</v>
      </c>
      <c r="AI424" s="6" t="s">
        <v>104</v>
      </c>
      <c r="AJ424" s="6" t="s">
        <v>15656</v>
      </c>
      <c r="AK424" s="6" t="s">
        <v>16679</v>
      </c>
      <c r="AL424" s="6" t="s">
        <v>16931</v>
      </c>
      <c r="AM424" s="6" t="s">
        <v>17273</v>
      </c>
      <c r="AN424" s="6" t="s">
        <v>18463</v>
      </c>
      <c r="AO424" s="6" t="s">
        <v>18656</v>
      </c>
      <c r="AP424" s="6" t="s">
        <v>19071</v>
      </c>
      <c r="AQ424" s="6" t="s">
        <v>19551</v>
      </c>
      <c r="AR424" s="6" t="s">
        <v>15415</v>
      </c>
      <c r="AS424" s="6" t="s">
        <v>16705</v>
      </c>
      <c r="AT424" s="6" t="s">
        <v>16931</v>
      </c>
      <c r="AU424" s="6" t="s">
        <v>19862</v>
      </c>
      <c r="AV424" s="6" t="s">
        <v>104</v>
      </c>
      <c r="AW424" s="6" t="s">
        <v>104</v>
      </c>
      <c r="AX424" s="6" t="s">
        <v>20452</v>
      </c>
      <c r="AY424" s="6" t="s">
        <v>22208</v>
      </c>
      <c r="AZ424" s="6" t="s">
        <v>23800</v>
      </c>
      <c r="BA424" s="6" t="s">
        <v>24325</v>
      </c>
      <c r="BB424" s="6" t="s">
        <v>104</v>
      </c>
      <c r="BC424" s="26"/>
      <c r="BD424" s="26"/>
      <c r="BE424" s="26"/>
      <c r="BF424" s="26"/>
      <c r="BG424" s="26"/>
      <c r="BH424" s="26"/>
      <c r="BI424" s="26"/>
      <c r="BJ424" s="26"/>
      <c r="BK424" s="26"/>
      <c r="BL424" s="26"/>
      <c r="BM424" s="26"/>
      <c r="BN424" s="26"/>
      <c r="BO424" s="26"/>
      <c r="BP424" s="16" t="n">
        <v>45714</v>
      </c>
      <c r="BQ424" s="28" t="str">
        <f>HYPERLINK("https://organic.ams.usda.gov/Integrity/Certificate.aspx?cid=48&amp;nopid=1461928283")</f>
        <v>https://organic.ams.usda.gov/Integrity/Certificate.aspx?cid=48&amp;nopid=1461928283</v>
      </c>
    </row>
    <row r="425">
      <c r="A425" t="s">
        <v>3</v>
      </c>
      <c r="B425" s="6" t="s">
        <v>12</v>
      </c>
      <c r="C425" s="6" t="s">
        <v>78</v>
      </c>
      <c r="D425" s="6" t="s">
        <v>143</v>
      </c>
      <c r="E425" s="10" t="s">
        <v>623</v>
      </c>
      <c r="F425" s="6" t="s">
        <v>2877</v>
      </c>
      <c r="G425" s="6" t="s">
        <v>104</v>
      </c>
      <c r="H425" s="6" t="s">
        <v>104</v>
      </c>
      <c r="I425" s="6" t="s">
        <v>7219</v>
      </c>
      <c r="J425" s="6" t="s">
        <v>8460</v>
      </c>
      <c r="K425" s="6" t="s">
        <v>9714</v>
      </c>
      <c r="L425" s="16" t="n">
        <v>44882</v>
      </c>
      <c r="M425" s="16" t="n">
        <v>45844</v>
      </c>
      <c r="N425" s="6" t="s">
        <v>104</v>
      </c>
      <c r="O425" s="21" t="s">
        <v>104</v>
      </c>
      <c r="P425" s="6" t="s">
        <v>104</v>
      </c>
      <c r="Q425" s="6" t="s">
        <v>104</v>
      </c>
      <c r="R425" s="6" t="s">
        <v>104</v>
      </c>
      <c r="S425" s="6" t="s">
        <v>104</v>
      </c>
      <c r="T425" s="21" t="s">
        <v>104</v>
      </c>
      <c r="U425" s="6" t="s">
        <v>104</v>
      </c>
      <c r="V425" s="6" t="s">
        <v>104</v>
      </c>
      <c r="W425" s="6" t="s">
        <v>104</v>
      </c>
      <c r="X425" s="6" t="s">
        <v>104</v>
      </c>
      <c r="Y425" s="21" t="s">
        <v>104</v>
      </c>
      <c r="Z425" s="6" t="s">
        <v>104</v>
      </c>
      <c r="AA425" s="6" t="s">
        <v>104</v>
      </c>
      <c r="AB425" s="6" t="s">
        <v>104</v>
      </c>
      <c r="AC425" s="6" t="s">
        <v>9714</v>
      </c>
      <c r="AD425" s="16" t="n">
        <v>44882</v>
      </c>
      <c r="AE425" s="6" t="s">
        <v>10900</v>
      </c>
      <c r="AF425" s="6" t="s">
        <v>104</v>
      </c>
      <c r="AG425" s="6" t="s">
        <v>12600</v>
      </c>
      <c r="AH425" s="6" t="s">
        <v>13536</v>
      </c>
      <c r="AI425" s="6" t="s">
        <v>104</v>
      </c>
      <c r="AJ425" s="6" t="s">
        <v>7625</v>
      </c>
      <c r="AK425" s="6" t="s">
        <v>16720</v>
      </c>
      <c r="AL425" s="6" t="s">
        <v>16931</v>
      </c>
      <c r="AM425" s="6" t="s">
        <v>17274</v>
      </c>
      <c r="AN425" s="6" t="s">
        <v>18511</v>
      </c>
      <c r="AO425" s="6" t="s">
        <v>18657</v>
      </c>
      <c r="AP425" s="6" t="s">
        <v>19072</v>
      </c>
      <c r="AQ425" s="6" t="s">
        <v>104</v>
      </c>
      <c r="AR425" s="6" t="s">
        <v>7625</v>
      </c>
      <c r="AS425" s="6" t="s">
        <v>16720</v>
      </c>
      <c r="AT425" s="6" t="s">
        <v>16931</v>
      </c>
      <c r="AU425" s="6" t="s">
        <v>17274</v>
      </c>
      <c r="AV425" s="6" t="s">
        <v>104</v>
      </c>
      <c r="AW425" s="6" t="s">
        <v>104</v>
      </c>
      <c r="AX425" s="6" t="s">
        <v>104</v>
      </c>
      <c r="AY425" s="6" t="s">
        <v>22209</v>
      </c>
      <c r="AZ425" s="6" t="s">
        <v>104</v>
      </c>
      <c r="BA425" s="6" t="s">
        <v>104</v>
      </c>
      <c r="BB425" s="6" t="s">
        <v>104</v>
      </c>
      <c r="BC425" s="26"/>
      <c r="BD425" s="26"/>
      <c r="BE425" s="26"/>
      <c r="BF425" s="26"/>
      <c r="BG425" s="26"/>
      <c r="BH425" s="26"/>
      <c r="BI425" s="26"/>
      <c r="BJ425" s="26"/>
      <c r="BK425" s="26"/>
      <c r="BL425" s="26"/>
      <c r="BM425" s="26"/>
      <c r="BN425" s="26"/>
      <c r="BO425" s="26"/>
      <c r="BP425" s="16" t="n">
        <v>45670</v>
      </c>
      <c r="BQ425" s="28" t="str">
        <f>HYPERLINK("https://organic.ams.usda.gov/Integrity/Certificate.aspx?cid=1&amp;nopid=9092218607")</f>
        <v>https://organic.ams.usda.gov/Integrity/Certificate.aspx?cid=1&amp;nopid=9092218607</v>
      </c>
    </row>
    <row r="426">
      <c r="A426" t="s">
        <v>3</v>
      </c>
      <c r="B426" s="6" t="s">
        <v>43</v>
      </c>
      <c r="C426" s="6" t="s">
        <v>109</v>
      </c>
      <c r="D426" s="6" t="s">
        <v>173</v>
      </c>
      <c r="E426" s="10" t="s">
        <v>624</v>
      </c>
      <c r="F426" s="6" t="s">
        <v>2878</v>
      </c>
      <c r="G426" s="6" t="s">
        <v>4714</v>
      </c>
      <c r="H426" s="6" t="s">
        <v>5276</v>
      </c>
      <c r="I426" s="6" t="s">
        <v>7220</v>
      </c>
      <c r="J426" s="6" t="s">
        <v>8461</v>
      </c>
      <c r="K426" s="6" t="s">
        <v>9714</v>
      </c>
      <c r="L426" s="16" t="n">
        <v>45609</v>
      </c>
      <c r="M426" s="16" t="n">
        <v>45748</v>
      </c>
      <c r="N426" s="6" t="s">
        <v>9714</v>
      </c>
      <c r="O426" s="16" t="n">
        <v>45609</v>
      </c>
      <c r="P426" s="6" t="s">
        <v>9845</v>
      </c>
      <c r="Q426" s="6" t="s">
        <v>104</v>
      </c>
      <c r="R426" s="6" t="s">
        <v>10331</v>
      </c>
      <c r="S426" s="6" t="s">
        <v>104</v>
      </c>
      <c r="T426" s="21" t="s">
        <v>104</v>
      </c>
      <c r="U426" s="6" t="s">
        <v>104</v>
      </c>
      <c r="V426" s="6" t="s">
        <v>104</v>
      </c>
      <c r="W426" s="6" t="s">
        <v>104</v>
      </c>
      <c r="X426" s="6" t="s">
        <v>9714</v>
      </c>
      <c r="Y426" s="16" t="n">
        <v>45609</v>
      </c>
      <c r="Z426" s="6" t="s">
        <v>10520</v>
      </c>
      <c r="AA426" s="6" t="s">
        <v>104</v>
      </c>
      <c r="AB426" s="6" t="s">
        <v>10331</v>
      </c>
      <c r="AC426" s="6" t="s">
        <v>9714</v>
      </c>
      <c r="AD426" s="16" t="n">
        <v>45609</v>
      </c>
      <c r="AE426" s="6" t="s">
        <v>10901</v>
      </c>
      <c r="AF426" s="6" t="s">
        <v>104</v>
      </c>
      <c r="AG426" s="6" t="s">
        <v>12601</v>
      </c>
      <c r="AH426" s="6" t="s">
        <v>13537</v>
      </c>
      <c r="AI426" s="6" t="s">
        <v>104</v>
      </c>
      <c r="AJ426" s="6" t="s">
        <v>15657</v>
      </c>
      <c r="AK426" s="6" t="s">
        <v>15373</v>
      </c>
      <c r="AL426" s="6" t="s">
        <v>16933</v>
      </c>
      <c r="AM426" s="6" t="s">
        <v>104</v>
      </c>
      <c r="AN426" s="6" t="s">
        <v>104</v>
      </c>
      <c r="AO426" s="6" t="s">
        <v>104</v>
      </c>
      <c r="AP426" s="6" t="s">
        <v>13537</v>
      </c>
      <c r="AQ426" s="6" t="s">
        <v>104</v>
      </c>
      <c r="AR426" s="6" t="s">
        <v>15657</v>
      </c>
      <c r="AS426" s="6" t="s">
        <v>15373</v>
      </c>
      <c r="AT426" s="6" t="s">
        <v>16933</v>
      </c>
      <c r="AU426" s="6" t="s">
        <v>104</v>
      </c>
      <c r="AV426" s="6" t="s">
        <v>104</v>
      </c>
      <c r="AW426" s="6" t="s">
        <v>104</v>
      </c>
      <c r="AX426" s="6" t="s">
        <v>20453</v>
      </c>
      <c r="AY426" s="6" t="s">
        <v>22210</v>
      </c>
      <c r="AZ426" s="6" t="s">
        <v>104</v>
      </c>
      <c r="BA426" s="6" t="s">
        <v>24326</v>
      </c>
      <c r="BB426" s="24" t="n">
        <v>29030404</v>
      </c>
      <c r="BC426" s="26"/>
      <c r="BD426" s="26"/>
      <c r="BE426" s="26"/>
      <c r="BF426" s="26"/>
      <c r="BG426" s="26"/>
      <c r="BH426" s="26"/>
      <c r="BI426" s="26"/>
      <c r="BJ426" s="26"/>
      <c r="BK426" s="26"/>
      <c r="BL426" s="26"/>
      <c r="BM426" s="26"/>
      <c r="BN426" s="26"/>
      <c r="BO426" s="26" t="s">
        <v>24533</v>
      </c>
      <c r="BP426" s="16" t="n">
        <v>45630</v>
      </c>
      <c r="BQ426" s="28" t="str">
        <f>HYPERLINK("https://organic.ams.usda.gov/Integrity/Certificate.aspx?cid=86&amp;nopid=6400010199")</f>
        <v>https://organic.ams.usda.gov/Integrity/Certificate.aspx?cid=86&amp;nopid=6400010199</v>
      </c>
    </row>
    <row r="427">
      <c r="A427" t="s">
        <v>3</v>
      </c>
      <c r="B427" s="6" t="s">
        <v>20</v>
      </c>
      <c r="C427" s="6" t="s">
        <v>86</v>
      </c>
      <c r="D427" s="6" t="s">
        <v>151</v>
      </c>
      <c r="E427" s="10" t="s">
        <v>625</v>
      </c>
      <c r="F427" s="6" t="s">
        <v>2879</v>
      </c>
      <c r="G427" s="6" t="s">
        <v>104</v>
      </c>
      <c r="H427" s="6" t="s">
        <v>5277</v>
      </c>
      <c r="I427" s="6" t="s">
        <v>7221</v>
      </c>
      <c r="J427" s="6" t="s">
        <v>8462</v>
      </c>
      <c r="K427" s="6" t="s">
        <v>9714</v>
      </c>
      <c r="L427" s="16" t="n">
        <v>45491</v>
      </c>
      <c r="M427" s="16" t="n">
        <v>45838</v>
      </c>
      <c r="N427" s="6" t="s">
        <v>104</v>
      </c>
      <c r="O427" s="21" t="s">
        <v>104</v>
      </c>
      <c r="P427" s="6" t="s">
        <v>104</v>
      </c>
      <c r="Q427" s="6" t="s">
        <v>104</v>
      </c>
      <c r="R427" s="6" t="s">
        <v>104</v>
      </c>
      <c r="S427" s="6" t="s">
        <v>104</v>
      </c>
      <c r="T427" s="21" t="s">
        <v>104</v>
      </c>
      <c r="U427" s="6" t="s">
        <v>104</v>
      </c>
      <c r="V427" s="6" t="s">
        <v>104</v>
      </c>
      <c r="W427" s="6" t="s">
        <v>104</v>
      </c>
      <c r="X427" s="6" t="s">
        <v>104</v>
      </c>
      <c r="Y427" s="21" t="s">
        <v>104</v>
      </c>
      <c r="Z427" s="6" t="s">
        <v>104</v>
      </c>
      <c r="AA427" s="6" t="s">
        <v>104</v>
      </c>
      <c r="AB427" s="6" t="s">
        <v>104</v>
      </c>
      <c r="AC427" s="6" t="s">
        <v>9714</v>
      </c>
      <c r="AD427" s="16" t="n">
        <v>45491</v>
      </c>
      <c r="AE427" s="6" t="s">
        <v>10902</v>
      </c>
      <c r="AF427" s="6" t="s">
        <v>104</v>
      </c>
      <c r="AG427" s="6" t="s">
        <v>12602</v>
      </c>
      <c r="AH427" s="6" t="s">
        <v>13538</v>
      </c>
      <c r="AI427" s="6" t="s">
        <v>104</v>
      </c>
      <c r="AJ427" s="6" t="s">
        <v>15482</v>
      </c>
      <c r="AK427" s="6" t="s">
        <v>15482</v>
      </c>
      <c r="AL427" s="6" t="s">
        <v>16939</v>
      </c>
      <c r="AM427" s="6" t="s">
        <v>104</v>
      </c>
      <c r="AN427" s="6" t="s">
        <v>104</v>
      </c>
      <c r="AO427" s="6" t="s">
        <v>104</v>
      </c>
      <c r="AP427" s="6" t="s">
        <v>104</v>
      </c>
      <c r="AQ427" s="6" t="s">
        <v>104</v>
      </c>
      <c r="AR427" s="6" t="s">
        <v>104</v>
      </c>
      <c r="AS427" s="6" t="s">
        <v>104</v>
      </c>
      <c r="AT427" s="6" t="s">
        <v>104</v>
      </c>
      <c r="AU427" s="6" t="s">
        <v>104</v>
      </c>
      <c r="AV427" s="6" t="s">
        <v>104</v>
      </c>
      <c r="AW427" s="6" t="s">
        <v>104</v>
      </c>
      <c r="AX427" s="6" t="s">
        <v>20454</v>
      </c>
      <c r="AY427" s="6" t="s">
        <v>22211</v>
      </c>
      <c r="AZ427" s="6" t="s">
        <v>104</v>
      </c>
      <c r="BA427" s="6" t="s">
        <v>104</v>
      </c>
      <c r="BB427" s="6" t="s">
        <v>104</v>
      </c>
      <c r="BC427" s="26"/>
      <c r="BD427" s="26"/>
      <c r="BE427" s="26"/>
      <c r="BF427" s="26"/>
      <c r="BG427" s="26"/>
      <c r="BH427" s="26"/>
      <c r="BI427" s="26"/>
      <c r="BJ427" s="26"/>
      <c r="BK427" s="26"/>
      <c r="BL427" s="26"/>
      <c r="BM427" s="26"/>
      <c r="BN427" s="26"/>
      <c r="BO427" s="26"/>
      <c r="BP427" s="16" t="n">
        <v>45492</v>
      </c>
      <c r="BQ427" s="28" t="str">
        <f>HYPERLINK("https://organic.ams.usda.gov/Integrity/Certificate.aspx?cid=17&amp;nopid=4087184735")</f>
        <v>https://organic.ams.usda.gov/Integrity/Certificate.aspx?cid=17&amp;nopid=4087184735</v>
      </c>
    </row>
    <row r="428">
      <c r="A428" t="s">
        <v>3</v>
      </c>
      <c r="B428" s="6" t="s">
        <v>58</v>
      </c>
      <c r="C428" s="6" t="s">
        <v>124</v>
      </c>
      <c r="D428" s="6" t="s">
        <v>188</v>
      </c>
      <c r="E428" s="10" t="s">
        <v>626</v>
      </c>
      <c r="F428" s="6" t="s">
        <v>2880</v>
      </c>
      <c r="G428" s="6" t="s">
        <v>104</v>
      </c>
      <c r="H428" s="6" t="s">
        <v>5278</v>
      </c>
      <c r="I428" s="6" t="s">
        <v>7222</v>
      </c>
      <c r="J428" s="6" t="s">
        <v>8463</v>
      </c>
      <c r="K428" s="6" t="s">
        <v>9714</v>
      </c>
      <c r="L428" s="16" t="n">
        <v>44959</v>
      </c>
      <c r="M428" s="16" t="n">
        <v>45970</v>
      </c>
      <c r="N428" s="6" t="s">
        <v>9714</v>
      </c>
      <c r="O428" s="16" t="n">
        <v>44959</v>
      </c>
      <c r="P428" s="6" t="s">
        <v>9846</v>
      </c>
      <c r="Q428" s="6" t="s">
        <v>104</v>
      </c>
      <c r="R428" s="6" t="s">
        <v>10332</v>
      </c>
      <c r="S428" s="6" t="s">
        <v>104</v>
      </c>
      <c r="T428" s="21" t="s">
        <v>104</v>
      </c>
      <c r="U428" s="6" t="s">
        <v>104</v>
      </c>
      <c r="V428" s="6" t="s">
        <v>104</v>
      </c>
      <c r="W428" s="6" t="s">
        <v>104</v>
      </c>
      <c r="X428" s="6" t="s">
        <v>104</v>
      </c>
      <c r="Y428" s="21" t="s">
        <v>104</v>
      </c>
      <c r="Z428" s="6" t="s">
        <v>104</v>
      </c>
      <c r="AA428" s="6" t="s">
        <v>104</v>
      </c>
      <c r="AB428" s="6" t="s">
        <v>104</v>
      </c>
      <c r="AC428" s="6" t="s">
        <v>9714</v>
      </c>
      <c r="AD428" s="16" t="n">
        <v>44959</v>
      </c>
      <c r="AE428" s="6" t="s">
        <v>10903</v>
      </c>
      <c r="AF428" s="6" t="s">
        <v>104</v>
      </c>
      <c r="AG428" s="6" t="s">
        <v>10332</v>
      </c>
      <c r="AH428" s="6" t="s">
        <v>13539</v>
      </c>
      <c r="AI428" s="6" t="s">
        <v>104</v>
      </c>
      <c r="AJ428" s="6" t="s">
        <v>15658</v>
      </c>
      <c r="AK428" s="6" t="s">
        <v>15749</v>
      </c>
      <c r="AL428" s="6" t="s">
        <v>16943</v>
      </c>
      <c r="AM428" s="6" t="s">
        <v>17275</v>
      </c>
      <c r="AN428" s="6" t="s">
        <v>104</v>
      </c>
      <c r="AO428" s="6" t="s">
        <v>104</v>
      </c>
      <c r="AP428" s="6" t="s">
        <v>13539</v>
      </c>
      <c r="AQ428" s="6" t="s">
        <v>104</v>
      </c>
      <c r="AR428" s="6" t="s">
        <v>15658</v>
      </c>
      <c r="AS428" s="6" t="s">
        <v>15749</v>
      </c>
      <c r="AT428" s="6" t="s">
        <v>16943</v>
      </c>
      <c r="AU428" s="6" t="s">
        <v>17275</v>
      </c>
      <c r="AV428" s="6" t="s">
        <v>104</v>
      </c>
      <c r="AW428" s="6" t="s">
        <v>104</v>
      </c>
      <c r="AX428" s="6" t="s">
        <v>20455</v>
      </c>
      <c r="AY428" s="6" t="s">
        <v>22212</v>
      </c>
      <c r="AZ428" s="6" t="s">
        <v>23801</v>
      </c>
      <c r="BA428" s="6" t="s">
        <v>104</v>
      </c>
      <c r="BB428" s="24" t="n">
        <v>1106</v>
      </c>
      <c r="BC428" s="26"/>
      <c r="BD428" s="26"/>
      <c r="BE428" s="26"/>
      <c r="BF428" s="26"/>
      <c r="BG428" s="26"/>
      <c r="BH428" s="26"/>
      <c r="BI428" s="26"/>
      <c r="BJ428" s="26"/>
      <c r="BK428" s="26"/>
      <c r="BL428" s="26"/>
      <c r="BM428" s="26"/>
      <c r="BN428" s="26"/>
      <c r="BO428" s="26"/>
      <c r="BP428" s="16" t="n">
        <v>45694</v>
      </c>
      <c r="BQ428" s="28" t="str">
        <f>HYPERLINK("https://organic.ams.usda.gov/Integrity/Certificate.aspx?cid=16&amp;nopid=7281691961")</f>
        <v>https://organic.ams.usda.gov/Integrity/Certificate.aspx?cid=16&amp;nopid=7281691961</v>
      </c>
    </row>
    <row r="429">
      <c r="A429" t="s">
        <v>3</v>
      </c>
      <c r="B429" s="6" t="s">
        <v>58</v>
      </c>
      <c r="C429" s="6" t="s">
        <v>124</v>
      </c>
      <c r="D429" s="6" t="s">
        <v>188</v>
      </c>
      <c r="E429" s="10" t="s">
        <v>627</v>
      </c>
      <c r="F429" s="6" t="s">
        <v>2881</v>
      </c>
      <c r="G429" s="6" t="s">
        <v>104</v>
      </c>
      <c r="H429" s="6" t="s">
        <v>5279</v>
      </c>
      <c r="I429" s="6" t="s">
        <v>7223</v>
      </c>
      <c r="J429" s="6" t="s">
        <v>8464</v>
      </c>
      <c r="K429" s="6" t="s">
        <v>9714</v>
      </c>
      <c r="L429" s="16" t="n">
        <v>44582</v>
      </c>
      <c r="M429" s="16" t="n">
        <v>46012</v>
      </c>
      <c r="N429" s="6" t="s">
        <v>104</v>
      </c>
      <c r="O429" s="21" t="s">
        <v>104</v>
      </c>
      <c r="P429" s="6" t="s">
        <v>104</v>
      </c>
      <c r="Q429" s="6" t="s">
        <v>104</v>
      </c>
      <c r="R429" s="6" t="s">
        <v>104</v>
      </c>
      <c r="S429" s="6" t="s">
        <v>104</v>
      </c>
      <c r="T429" s="21" t="s">
        <v>104</v>
      </c>
      <c r="U429" s="6" t="s">
        <v>104</v>
      </c>
      <c r="V429" s="6" t="s">
        <v>104</v>
      </c>
      <c r="W429" s="6" t="s">
        <v>104</v>
      </c>
      <c r="X429" s="6" t="s">
        <v>104</v>
      </c>
      <c r="Y429" s="21" t="s">
        <v>104</v>
      </c>
      <c r="Z429" s="6" t="s">
        <v>104</v>
      </c>
      <c r="AA429" s="6" t="s">
        <v>104</v>
      </c>
      <c r="AB429" s="6" t="s">
        <v>104</v>
      </c>
      <c r="AC429" s="6" t="s">
        <v>9714</v>
      </c>
      <c r="AD429" s="16" t="n">
        <v>44582</v>
      </c>
      <c r="AE429" s="6" t="s">
        <v>10904</v>
      </c>
      <c r="AF429" s="6" t="s">
        <v>104</v>
      </c>
      <c r="AG429" s="6" t="s">
        <v>12603</v>
      </c>
      <c r="AH429" s="6" t="s">
        <v>13540</v>
      </c>
      <c r="AI429" s="6" t="s">
        <v>104</v>
      </c>
      <c r="AJ429" s="6" t="s">
        <v>15659</v>
      </c>
      <c r="AK429" s="6" t="s">
        <v>16772</v>
      </c>
      <c r="AL429" s="6" t="s">
        <v>16943</v>
      </c>
      <c r="AM429" s="6" t="s">
        <v>17276</v>
      </c>
      <c r="AN429" s="6" t="s">
        <v>104</v>
      </c>
      <c r="AO429" s="6" t="s">
        <v>104</v>
      </c>
      <c r="AP429" s="6" t="s">
        <v>13540</v>
      </c>
      <c r="AQ429" s="6" t="s">
        <v>104</v>
      </c>
      <c r="AR429" s="6" t="s">
        <v>15659</v>
      </c>
      <c r="AS429" s="6" t="s">
        <v>16772</v>
      </c>
      <c r="AT429" s="6" t="s">
        <v>16943</v>
      </c>
      <c r="AU429" s="6" t="s">
        <v>17276</v>
      </c>
      <c r="AV429" s="6" t="s">
        <v>104</v>
      </c>
      <c r="AW429" s="6" t="s">
        <v>104</v>
      </c>
      <c r="AX429" s="6" t="s">
        <v>20456</v>
      </c>
      <c r="AY429" s="6" t="s">
        <v>22213</v>
      </c>
      <c r="AZ429" s="6" t="s">
        <v>104</v>
      </c>
      <c r="BA429" s="6" t="s">
        <v>104</v>
      </c>
      <c r="BB429" s="6" t="s">
        <v>104</v>
      </c>
      <c r="BC429" s="26"/>
      <c r="BD429" s="26"/>
      <c r="BE429" s="26"/>
      <c r="BF429" s="26"/>
      <c r="BG429" s="26"/>
      <c r="BH429" s="26" t="s">
        <v>24533</v>
      </c>
      <c r="BI429" s="26"/>
      <c r="BJ429" s="26"/>
      <c r="BK429" s="26"/>
      <c r="BL429" s="26"/>
      <c r="BM429" s="26"/>
      <c r="BN429" s="26"/>
      <c r="BO429" s="26"/>
      <c r="BP429" s="16" t="n">
        <v>45687</v>
      </c>
      <c r="BQ429" s="28" t="str">
        <f>HYPERLINK("https://organic.ams.usda.gov/Integrity/Certificate.aspx?cid=16&amp;nopid=7281691051")</f>
        <v>https://organic.ams.usda.gov/Integrity/Certificate.aspx?cid=16&amp;nopid=7281691051</v>
      </c>
    </row>
    <row r="430">
      <c r="A430" t="s">
        <v>3</v>
      </c>
      <c r="B430" s="6" t="s">
        <v>19</v>
      </c>
      <c r="C430" s="6" t="s">
        <v>85</v>
      </c>
      <c r="D430" s="6" t="s">
        <v>150</v>
      </c>
      <c r="E430" s="10" t="s">
        <v>628</v>
      </c>
      <c r="F430" s="6" t="s">
        <v>2882</v>
      </c>
      <c r="G430" s="6" t="s">
        <v>104</v>
      </c>
      <c r="H430" s="6" t="s">
        <v>5280</v>
      </c>
      <c r="I430" s="6" t="s">
        <v>7224</v>
      </c>
      <c r="J430" s="6" t="s">
        <v>8465</v>
      </c>
      <c r="K430" s="6" t="s">
        <v>9714</v>
      </c>
      <c r="L430" s="16" t="n">
        <v>41634</v>
      </c>
      <c r="M430" s="16" t="n">
        <v>46082</v>
      </c>
      <c r="N430" s="6" t="s">
        <v>104</v>
      </c>
      <c r="O430" s="21" t="s">
        <v>104</v>
      </c>
      <c r="P430" s="6" t="s">
        <v>104</v>
      </c>
      <c r="Q430" s="6" t="s">
        <v>104</v>
      </c>
      <c r="R430" s="6" t="s">
        <v>104</v>
      </c>
      <c r="S430" s="6" t="s">
        <v>104</v>
      </c>
      <c r="T430" s="21" t="s">
        <v>104</v>
      </c>
      <c r="U430" s="6" t="s">
        <v>104</v>
      </c>
      <c r="V430" s="6" t="s">
        <v>104</v>
      </c>
      <c r="W430" s="6" t="s">
        <v>104</v>
      </c>
      <c r="X430" s="6" t="s">
        <v>104</v>
      </c>
      <c r="Y430" s="21" t="s">
        <v>104</v>
      </c>
      <c r="Z430" s="6" t="s">
        <v>104</v>
      </c>
      <c r="AA430" s="6" t="s">
        <v>104</v>
      </c>
      <c r="AB430" s="6" t="s">
        <v>104</v>
      </c>
      <c r="AC430" s="6" t="s">
        <v>9714</v>
      </c>
      <c r="AD430" s="16" t="n">
        <v>41634</v>
      </c>
      <c r="AE430" s="6" t="s">
        <v>10905</v>
      </c>
      <c r="AF430" s="6" t="s">
        <v>104</v>
      </c>
      <c r="AG430" s="6" t="s">
        <v>104</v>
      </c>
      <c r="AH430" s="6" t="s">
        <v>13541</v>
      </c>
      <c r="AI430" s="6" t="s">
        <v>104</v>
      </c>
      <c r="AJ430" s="6" t="s">
        <v>15476</v>
      </c>
      <c r="AK430" s="6" t="s">
        <v>16725</v>
      </c>
      <c r="AL430" s="6" t="s">
        <v>16931</v>
      </c>
      <c r="AM430" s="6" t="s">
        <v>17277</v>
      </c>
      <c r="AN430" s="6" t="s">
        <v>18490</v>
      </c>
      <c r="AO430" s="6" t="s">
        <v>18658</v>
      </c>
      <c r="AP430" s="6" t="s">
        <v>13541</v>
      </c>
      <c r="AQ430" s="6" t="s">
        <v>104</v>
      </c>
      <c r="AR430" s="6" t="s">
        <v>15476</v>
      </c>
      <c r="AS430" s="6" t="s">
        <v>16725</v>
      </c>
      <c r="AT430" s="6" t="s">
        <v>16931</v>
      </c>
      <c r="AU430" s="6" t="s">
        <v>17277</v>
      </c>
      <c r="AV430" s="6" t="s">
        <v>104</v>
      </c>
      <c r="AW430" s="6" t="s">
        <v>104</v>
      </c>
      <c r="AX430" s="6" t="s">
        <v>20457</v>
      </c>
      <c r="AY430" s="6" t="s">
        <v>22214</v>
      </c>
      <c r="AZ430" s="6" t="s">
        <v>104</v>
      </c>
      <c r="BA430" s="6" t="s">
        <v>104</v>
      </c>
      <c r="BB430" s="6" t="s">
        <v>104</v>
      </c>
      <c r="BC430" s="26"/>
      <c r="BD430" s="26"/>
      <c r="BE430" s="26"/>
      <c r="BF430" s="26"/>
      <c r="BG430" s="26"/>
      <c r="BH430" s="26"/>
      <c r="BI430" s="26"/>
      <c r="BJ430" s="26"/>
      <c r="BK430" s="26"/>
      <c r="BL430" s="26"/>
      <c r="BM430" s="26"/>
      <c r="BN430" s="26"/>
      <c r="BO430" s="26"/>
      <c r="BP430" s="16" t="n">
        <v>45736</v>
      </c>
      <c r="BQ430" s="28" t="str">
        <f>HYPERLINK("https://organic.ams.usda.gov/Integrity/Certificate.aspx?cid=68&amp;nopid=8210001350")</f>
        <v>https://organic.ams.usda.gov/Integrity/Certificate.aspx?cid=68&amp;nopid=8210001350</v>
      </c>
    </row>
    <row r="431">
      <c r="A431" t="s">
        <v>3</v>
      </c>
      <c r="B431" s="6" t="s">
        <v>22</v>
      </c>
      <c r="C431" s="6" t="s">
        <v>88</v>
      </c>
      <c r="D431" s="6" t="s">
        <v>153</v>
      </c>
      <c r="E431" s="10" t="s">
        <v>629</v>
      </c>
      <c r="F431" s="6" t="s">
        <v>2883</v>
      </c>
      <c r="G431" s="6" t="s">
        <v>104</v>
      </c>
      <c r="H431" s="6" t="s">
        <v>5281</v>
      </c>
      <c r="I431" s="6" t="s">
        <v>7225</v>
      </c>
      <c r="J431" s="6" t="s">
        <v>8466</v>
      </c>
      <c r="K431" s="6" t="s">
        <v>9714</v>
      </c>
      <c r="L431" s="16" t="n">
        <v>45540</v>
      </c>
      <c r="M431" s="16" t="n">
        <v>45474</v>
      </c>
      <c r="N431" s="6" t="s">
        <v>104</v>
      </c>
      <c r="O431" s="21" t="s">
        <v>104</v>
      </c>
      <c r="P431" s="6" t="s">
        <v>104</v>
      </c>
      <c r="Q431" s="6" t="s">
        <v>104</v>
      </c>
      <c r="R431" s="6" t="s">
        <v>104</v>
      </c>
      <c r="S431" s="6" t="s">
        <v>104</v>
      </c>
      <c r="T431" s="21" t="s">
        <v>104</v>
      </c>
      <c r="U431" s="6" t="s">
        <v>104</v>
      </c>
      <c r="V431" s="6" t="s">
        <v>104</v>
      </c>
      <c r="W431" s="6" t="s">
        <v>104</v>
      </c>
      <c r="X431" s="6" t="s">
        <v>104</v>
      </c>
      <c r="Y431" s="21" t="s">
        <v>104</v>
      </c>
      <c r="Z431" s="6" t="s">
        <v>104</v>
      </c>
      <c r="AA431" s="6" t="s">
        <v>104</v>
      </c>
      <c r="AB431" s="6" t="s">
        <v>104</v>
      </c>
      <c r="AC431" s="6" t="s">
        <v>9714</v>
      </c>
      <c r="AD431" s="16" t="n">
        <v>45540</v>
      </c>
      <c r="AE431" s="6" t="s">
        <v>10906</v>
      </c>
      <c r="AF431" s="6" t="s">
        <v>104</v>
      </c>
      <c r="AG431" s="6" t="s">
        <v>12604</v>
      </c>
      <c r="AH431" s="6" t="s">
        <v>13542</v>
      </c>
      <c r="AI431" s="6" t="s">
        <v>104</v>
      </c>
      <c r="AJ431" s="6" t="s">
        <v>15660</v>
      </c>
      <c r="AK431" s="6" t="s">
        <v>16725</v>
      </c>
      <c r="AL431" s="6" t="s">
        <v>16931</v>
      </c>
      <c r="AM431" s="6" t="s">
        <v>17278</v>
      </c>
      <c r="AN431" s="6" t="s">
        <v>104</v>
      </c>
      <c r="AO431" s="6" t="s">
        <v>104</v>
      </c>
      <c r="AP431" s="6" t="s">
        <v>19073</v>
      </c>
      <c r="AQ431" s="6" t="s">
        <v>104</v>
      </c>
      <c r="AR431" s="6" t="s">
        <v>15660</v>
      </c>
      <c r="AS431" s="6" t="s">
        <v>16725</v>
      </c>
      <c r="AT431" s="6" t="s">
        <v>16931</v>
      </c>
      <c r="AU431" s="6" t="s">
        <v>17278</v>
      </c>
      <c r="AV431" s="6" t="s">
        <v>104</v>
      </c>
      <c r="AW431" s="6" t="s">
        <v>104</v>
      </c>
      <c r="AX431" s="6" t="s">
        <v>20458</v>
      </c>
      <c r="AY431" s="6" t="s">
        <v>22215</v>
      </c>
      <c r="AZ431" s="6" t="s">
        <v>104</v>
      </c>
      <c r="BA431" s="6" t="s">
        <v>104</v>
      </c>
      <c r="BB431" s="6" t="s">
        <v>104</v>
      </c>
      <c r="BC431" s="26"/>
      <c r="BD431" s="26"/>
      <c r="BE431" s="26"/>
      <c r="BF431" s="26"/>
      <c r="BG431" s="26" t="s">
        <v>24533</v>
      </c>
      <c r="BH431" s="26"/>
      <c r="BI431" s="26"/>
      <c r="BJ431" s="26"/>
      <c r="BK431" s="26"/>
      <c r="BL431" s="26"/>
      <c r="BM431" s="26"/>
      <c r="BN431" s="26" t="s">
        <v>24533</v>
      </c>
      <c r="BO431" s="26"/>
      <c r="BP431" s="16" t="n">
        <v>45663</v>
      </c>
      <c r="BQ431" s="28" t="str">
        <f>HYPERLINK("https://organic.ams.usda.gov/Integrity/Certificate.aspx?cid=72&amp;nopid=5870107283")</f>
        <v>https://organic.ams.usda.gov/Integrity/Certificate.aspx?cid=72&amp;nopid=5870107283</v>
      </c>
    </row>
    <row r="432">
      <c r="A432" t="s">
        <v>3</v>
      </c>
      <c r="B432" s="6" t="s">
        <v>20</v>
      </c>
      <c r="C432" s="6" t="s">
        <v>86</v>
      </c>
      <c r="D432" s="6" t="s">
        <v>151</v>
      </c>
      <c r="E432" s="10" t="s">
        <v>630</v>
      </c>
      <c r="F432" s="6" t="s">
        <v>2884</v>
      </c>
      <c r="G432" s="6" t="s">
        <v>104</v>
      </c>
      <c r="H432" s="6" t="s">
        <v>5282</v>
      </c>
      <c r="I432" s="6" t="s">
        <v>7226</v>
      </c>
      <c r="J432" s="6" t="s">
        <v>8467</v>
      </c>
      <c r="K432" s="6" t="s">
        <v>9714</v>
      </c>
      <c r="L432" s="16" t="n">
        <v>45306</v>
      </c>
      <c r="M432" s="16" t="n">
        <v>45930</v>
      </c>
      <c r="N432" s="6" t="s">
        <v>104</v>
      </c>
      <c r="O432" s="21" t="s">
        <v>104</v>
      </c>
      <c r="P432" s="6" t="s">
        <v>104</v>
      </c>
      <c r="Q432" s="6" t="s">
        <v>104</v>
      </c>
      <c r="R432" s="6" t="s">
        <v>104</v>
      </c>
      <c r="S432" s="6" t="s">
        <v>104</v>
      </c>
      <c r="T432" s="21" t="s">
        <v>104</v>
      </c>
      <c r="U432" s="6" t="s">
        <v>104</v>
      </c>
      <c r="V432" s="6" t="s">
        <v>104</v>
      </c>
      <c r="W432" s="6" t="s">
        <v>104</v>
      </c>
      <c r="X432" s="6" t="s">
        <v>104</v>
      </c>
      <c r="Y432" s="21" t="s">
        <v>104</v>
      </c>
      <c r="Z432" s="6" t="s">
        <v>104</v>
      </c>
      <c r="AA432" s="6" t="s">
        <v>104</v>
      </c>
      <c r="AB432" s="6" t="s">
        <v>104</v>
      </c>
      <c r="AC432" s="6" t="s">
        <v>9714</v>
      </c>
      <c r="AD432" s="16" t="n">
        <v>45306</v>
      </c>
      <c r="AE432" s="6" t="s">
        <v>10907</v>
      </c>
      <c r="AF432" s="6" t="s">
        <v>104</v>
      </c>
      <c r="AG432" s="6" t="s">
        <v>12605</v>
      </c>
      <c r="AH432" s="6" t="s">
        <v>13543</v>
      </c>
      <c r="AI432" s="6" t="s">
        <v>104</v>
      </c>
      <c r="AJ432" s="6" t="s">
        <v>15661</v>
      </c>
      <c r="AK432" s="6" t="s">
        <v>15661</v>
      </c>
      <c r="AL432" s="6" t="s">
        <v>16939</v>
      </c>
      <c r="AM432" s="6" t="s">
        <v>17082</v>
      </c>
      <c r="AN432" s="6" t="s">
        <v>104</v>
      </c>
      <c r="AO432" s="6" t="s">
        <v>104</v>
      </c>
      <c r="AP432" s="6" t="s">
        <v>104</v>
      </c>
      <c r="AQ432" s="6" t="s">
        <v>104</v>
      </c>
      <c r="AR432" s="6" t="s">
        <v>104</v>
      </c>
      <c r="AS432" s="6" t="s">
        <v>104</v>
      </c>
      <c r="AT432" s="6" t="s">
        <v>104</v>
      </c>
      <c r="AU432" s="6" t="s">
        <v>104</v>
      </c>
      <c r="AV432" s="6" t="s">
        <v>104</v>
      </c>
      <c r="AW432" s="6" t="s">
        <v>104</v>
      </c>
      <c r="AX432" s="6" t="s">
        <v>20459</v>
      </c>
      <c r="AY432" s="6" t="s">
        <v>22216</v>
      </c>
      <c r="AZ432" s="6" t="s">
        <v>23802</v>
      </c>
      <c r="BA432" s="6" t="s">
        <v>104</v>
      </c>
      <c r="BB432" s="6" t="s">
        <v>104</v>
      </c>
      <c r="BC432" s="26"/>
      <c r="BD432" s="26"/>
      <c r="BE432" s="26"/>
      <c r="BF432" s="26"/>
      <c r="BG432" s="26"/>
      <c r="BH432" s="26"/>
      <c r="BI432" s="26"/>
      <c r="BJ432" s="26"/>
      <c r="BK432" s="26"/>
      <c r="BL432" s="26"/>
      <c r="BM432" s="26"/>
      <c r="BN432" s="26"/>
      <c r="BO432" s="26"/>
      <c r="BP432" s="16" t="n">
        <v>45572</v>
      </c>
      <c r="BQ432" s="28" t="str">
        <f>HYPERLINK("https://organic.ams.usda.gov/Integrity/Certificate.aspx?cid=17&amp;nopid=4080207518")</f>
        <v>https://organic.ams.usda.gov/Integrity/Certificate.aspx?cid=17&amp;nopid=4080207518</v>
      </c>
    </row>
    <row r="433">
      <c r="A433" t="s">
        <v>3</v>
      </c>
      <c r="B433" s="6" t="s">
        <v>25</v>
      </c>
      <c r="C433" s="6" t="s">
        <v>91</v>
      </c>
      <c r="D433" s="6" t="s">
        <v>156</v>
      </c>
      <c r="E433" s="10" t="s">
        <v>631</v>
      </c>
      <c r="F433" s="6" t="s">
        <v>2885</v>
      </c>
      <c r="G433" s="6" t="s">
        <v>104</v>
      </c>
      <c r="H433" s="6" t="s">
        <v>5283</v>
      </c>
      <c r="I433" s="6" t="s">
        <v>7227</v>
      </c>
      <c r="J433" s="6" t="s">
        <v>8468</v>
      </c>
      <c r="K433" s="6" t="s">
        <v>9714</v>
      </c>
      <c r="L433" s="16" t="n">
        <v>44886</v>
      </c>
      <c r="M433" s="16" t="n">
        <v>45941</v>
      </c>
      <c r="N433" s="6" t="s">
        <v>104</v>
      </c>
      <c r="O433" s="21" t="s">
        <v>104</v>
      </c>
      <c r="P433" s="6" t="s">
        <v>104</v>
      </c>
      <c r="Q433" s="6" t="s">
        <v>104</v>
      </c>
      <c r="R433" s="6" t="s">
        <v>104</v>
      </c>
      <c r="S433" s="6" t="s">
        <v>104</v>
      </c>
      <c r="T433" s="21" t="s">
        <v>104</v>
      </c>
      <c r="U433" s="6" t="s">
        <v>104</v>
      </c>
      <c r="V433" s="6" t="s">
        <v>104</v>
      </c>
      <c r="W433" s="6" t="s">
        <v>104</v>
      </c>
      <c r="X433" s="6" t="s">
        <v>104</v>
      </c>
      <c r="Y433" s="21" t="s">
        <v>104</v>
      </c>
      <c r="Z433" s="6" t="s">
        <v>104</v>
      </c>
      <c r="AA433" s="6" t="s">
        <v>104</v>
      </c>
      <c r="AB433" s="6" t="s">
        <v>104</v>
      </c>
      <c r="AC433" s="6" t="s">
        <v>9714</v>
      </c>
      <c r="AD433" s="16" t="n">
        <v>44886</v>
      </c>
      <c r="AE433" s="6" t="s">
        <v>10908</v>
      </c>
      <c r="AF433" s="6" t="s">
        <v>104</v>
      </c>
      <c r="AG433" s="6" t="s">
        <v>104</v>
      </c>
      <c r="AH433" s="6" t="s">
        <v>13544</v>
      </c>
      <c r="AI433" s="6" t="s">
        <v>104</v>
      </c>
      <c r="AJ433" s="6" t="s">
        <v>15425</v>
      </c>
      <c r="AK433" s="6" t="s">
        <v>16691</v>
      </c>
      <c r="AL433" s="6" t="s">
        <v>16935</v>
      </c>
      <c r="AM433" s="6" t="s">
        <v>17053</v>
      </c>
      <c r="AN433" s="6" t="s">
        <v>104</v>
      </c>
      <c r="AO433" s="6" t="s">
        <v>104</v>
      </c>
      <c r="AP433" s="6" t="s">
        <v>13544</v>
      </c>
      <c r="AQ433" s="6" t="s">
        <v>104</v>
      </c>
      <c r="AR433" s="6" t="s">
        <v>15425</v>
      </c>
      <c r="AS433" s="6" t="s">
        <v>16691</v>
      </c>
      <c r="AT433" s="6" t="s">
        <v>16935</v>
      </c>
      <c r="AU433" s="6" t="s">
        <v>17053</v>
      </c>
      <c r="AV433" s="6" t="s">
        <v>104</v>
      </c>
      <c r="AW433" s="6" t="s">
        <v>104</v>
      </c>
      <c r="AX433" s="6" t="s">
        <v>20460</v>
      </c>
      <c r="AY433" s="6" t="s">
        <v>22217</v>
      </c>
      <c r="AZ433" s="6" t="s">
        <v>104</v>
      </c>
      <c r="BA433" s="6" t="s">
        <v>104</v>
      </c>
      <c r="BB433" s="6" t="s">
        <v>104</v>
      </c>
      <c r="BC433" s="26"/>
      <c r="BD433" s="26"/>
      <c r="BE433" s="26"/>
      <c r="BF433" s="26"/>
      <c r="BG433" s="26"/>
      <c r="BH433" s="26"/>
      <c r="BI433" s="26"/>
      <c r="BJ433" s="26"/>
      <c r="BK433" s="26"/>
      <c r="BL433" s="26"/>
      <c r="BM433" s="26"/>
      <c r="BN433" s="26"/>
      <c r="BO433" s="26"/>
      <c r="BP433" s="16" t="n">
        <v>45617</v>
      </c>
      <c r="BQ433" s="28" t="str">
        <f>HYPERLINK("https://organic.ams.usda.gov/Integrity/Certificate.aspx?cid=66&amp;nopid=5500006901")</f>
        <v>https://organic.ams.usda.gov/Integrity/Certificate.aspx?cid=66&amp;nopid=5500006901</v>
      </c>
    </row>
    <row r="434">
      <c r="A434" t="s">
        <v>3</v>
      </c>
      <c r="B434" s="6" t="s">
        <v>30</v>
      </c>
      <c r="C434" s="6" t="s">
        <v>96</v>
      </c>
      <c r="D434" s="6" t="s">
        <v>161</v>
      </c>
      <c r="E434" s="10" t="s">
        <v>632</v>
      </c>
      <c r="F434" s="6" t="s">
        <v>2886</v>
      </c>
      <c r="G434" s="6" t="s">
        <v>104</v>
      </c>
      <c r="H434" s="6" t="s">
        <v>5284</v>
      </c>
      <c r="I434" s="6" t="s">
        <v>104</v>
      </c>
      <c r="J434" s="6" t="s">
        <v>104</v>
      </c>
      <c r="K434" s="6" t="s">
        <v>9714</v>
      </c>
      <c r="L434" s="16" t="n">
        <v>45141</v>
      </c>
      <c r="M434" s="16" t="n">
        <v>45715</v>
      </c>
      <c r="N434" s="6" t="s">
        <v>104</v>
      </c>
      <c r="O434" s="21" t="s">
        <v>104</v>
      </c>
      <c r="P434" s="6" t="s">
        <v>104</v>
      </c>
      <c r="Q434" s="6" t="s">
        <v>104</v>
      </c>
      <c r="R434" s="6" t="s">
        <v>104</v>
      </c>
      <c r="S434" s="6" t="s">
        <v>104</v>
      </c>
      <c r="T434" s="21" t="s">
        <v>104</v>
      </c>
      <c r="U434" s="6" t="s">
        <v>104</v>
      </c>
      <c r="V434" s="6" t="s">
        <v>104</v>
      </c>
      <c r="W434" s="6" t="s">
        <v>104</v>
      </c>
      <c r="X434" s="6" t="s">
        <v>104</v>
      </c>
      <c r="Y434" s="21" t="s">
        <v>104</v>
      </c>
      <c r="Z434" s="6" t="s">
        <v>104</v>
      </c>
      <c r="AA434" s="6" t="s">
        <v>104</v>
      </c>
      <c r="AB434" s="6" t="s">
        <v>104</v>
      </c>
      <c r="AC434" s="6" t="s">
        <v>9714</v>
      </c>
      <c r="AD434" s="16" t="n">
        <v>44021</v>
      </c>
      <c r="AE434" s="6" t="s">
        <v>10909</v>
      </c>
      <c r="AF434" s="6" t="s">
        <v>104</v>
      </c>
      <c r="AG434" s="6" t="s">
        <v>12606</v>
      </c>
      <c r="AH434" s="6" t="s">
        <v>13545</v>
      </c>
      <c r="AI434" s="6" t="s">
        <v>104</v>
      </c>
      <c r="AJ434" s="6" t="s">
        <v>15662</v>
      </c>
      <c r="AK434" s="6" t="s">
        <v>15383</v>
      </c>
      <c r="AL434" s="6" t="s">
        <v>16933</v>
      </c>
      <c r="AM434" s="6" t="s">
        <v>17279</v>
      </c>
      <c r="AN434" s="6" t="s">
        <v>104</v>
      </c>
      <c r="AO434" s="6" t="s">
        <v>104</v>
      </c>
      <c r="AP434" s="6" t="s">
        <v>13545</v>
      </c>
      <c r="AQ434" s="6" t="s">
        <v>104</v>
      </c>
      <c r="AR434" s="6" t="s">
        <v>15662</v>
      </c>
      <c r="AS434" s="6" t="s">
        <v>15383</v>
      </c>
      <c r="AT434" s="6" t="s">
        <v>16933</v>
      </c>
      <c r="AU434" s="6" t="s">
        <v>17279</v>
      </c>
      <c r="AV434" s="6" t="s">
        <v>104</v>
      </c>
      <c r="AW434" s="6" t="s">
        <v>104</v>
      </c>
      <c r="AX434" s="6" t="s">
        <v>20461</v>
      </c>
      <c r="AY434" s="6" t="s">
        <v>22218</v>
      </c>
      <c r="AZ434" s="6" t="s">
        <v>104</v>
      </c>
      <c r="BA434" s="6" t="s">
        <v>104</v>
      </c>
      <c r="BB434" s="6" t="s">
        <v>104</v>
      </c>
      <c r="BC434" s="26"/>
      <c r="BD434" s="26"/>
      <c r="BE434" s="26"/>
      <c r="BF434" s="26"/>
      <c r="BG434" s="26"/>
      <c r="BH434" s="26"/>
      <c r="BI434" s="26"/>
      <c r="BJ434" s="26"/>
      <c r="BK434" s="26"/>
      <c r="BL434" s="26"/>
      <c r="BM434" s="26"/>
      <c r="BN434" s="26"/>
      <c r="BO434" s="26"/>
      <c r="BP434" s="16" t="n">
        <v>45516</v>
      </c>
      <c r="BQ434" s="28" t="str">
        <f>HYPERLINK("https://organic.ams.usda.gov/Integrity/Certificate.aspx?cid=14&amp;nopid=6250031960")</f>
        <v>https://organic.ams.usda.gov/Integrity/Certificate.aspx?cid=14&amp;nopid=6250031960</v>
      </c>
    </row>
    <row r="435">
      <c r="A435" t="s">
        <v>3</v>
      </c>
      <c r="B435" s="6" t="s">
        <v>20</v>
      </c>
      <c r="C435" s="6" t="s">
        <v>86</v>
      </c>
      <c r="D435" s="6" t="s">
        <v>151</v>
      </c>
      <c r="E435" s="10" t="s">
        <v>633</v>
      </c>
      <c r="F435" s="6" t="s">
        <v>2887</v>
      </c>
      <c r="G435" s="6" t="s">
        <v>104</v>
      </c>
      <c r="H435" s="6" t="s">
        <v>5285</v>
      </c>
      <c r="I435" s="6" t="s">
        <v>7228</v>
      </c>
      <c r="J435" s="6" t="s">
        <v>8469</v>
      </c>
      <c r="K435" s="6" t="s">
        <v>9714</v>
      </c>
      <c r="L435" s="16" t="n">
        <v>41600</v>
      </c>
      <c r="M435" s="16" t="n">
        <v>45991</v>
      </c>
      <c r="N435" s="6" t="s">
        <v>9714</v>
      </c>
      <c r="O435" s="16" t="n">
        <v>41600</v>
      </c>
      <c r="P435" s="6" t="s">
        <v>9774</v>
      </c>
      <c r="Q435" s="6" t="s">
        <v>104</v>
      </c>
      <c r="R435" s="6" t="s">
        <v>10333</v>
      </c>
      <c r="S435" s="6" t="s">
        <v>104</v>
      </c>
      <c r="T435" s="21" t="s">
        <v>104</v>
      </c>
      <c r="U435" s="6" t="s">
        <v>104</v>
      </c>
      <c r="V435" s="6" t="s">
        <v>104</v>
      </c>
      <c r="W435" s="6" t="s">
        <v>104</v>
      </c>
      <c r="X435" s="6" t="s">
        <v>104</v>
      </c>
      <c r="Y435" s="21" t="s">
        <v>104</v>
      </c>
      <c r="Z435" s="6" t="s">
        <v>104</v>
      </c>
      <c r="AA435" s="6" t="s">
        <v>104</v>
      </c>
      <c r="AB435" s="6" t="s">
        <v>104</v>
      </c>
      <c r="AC435" s="6" t="s">
        <v>9714</v>
      </c>
      <c r="AD435" s="16" t="n">
        <v>41600</v>
      </c>
      <c r="AE435" s="6" t="s">
        <v>10910</v>
      </c>
      <c r="AF435" s="6" t="s">
        <v>104</v>
      </c>
      <c r="AG435" s="6" t="s">
        <v>10333</v>
      </c>
      <c r="AH435" s="6" t="s">
        <v>13546</v>
      </c>
      <c r="AI435" s="6" t="s">
        <v>104</v>
      </c>
      <c r="AJ435" s="6" t="s">
        <v>15453</v>
      </c>
      <c r="AK435" s="6" t="s">
        <v>15661</v>
      </c>
      <c r="AL435" s="6" t="s">
        <v>16939</v>
      </c>
      <c r="AM435" s="6" t="s">
        <v>104</v>
      </c>
      <c r="AN435" s="6" t="s">
        <v>104</v>
      </c>
      <c r="AO435" s="6" t="s">
        <v>104</v>
      </c>
      <c r="AP435" s="6" t="s">
        <v>104</v>
      </c>
      <c r="AQ435" s="6" t="s">
        <v>104</v>
      </c>
      <c r="AR435" s="6" t="s">
        <v>104</v>
      </c>
      <c r="AS435" s="6" t="s">
        <v>104</v>
      </c>
      <c r="AT435" s="6" t="s">
        <v>104</v>
      </c>
      <c r="AU435" s="6" t="s">
        <v>104</v>
      </c>
      <c r="AV435" s="6" t="s">
        <v>104</v>
      </c>
      <c r="AW435" s="6" t="s">
        <v>104</v>
      </c>
      <c r="AX435" s="6" t="s">
        <v>20462</v>
      </c>
      <c r="AY435" s="6" t="s">
        <v>22219</v>
      </c>
      <c r="AZ435" s="6" t="s">
        <v>104</v>
      </c>
      <c r="BA435" s="6" t="s">
        <v>24327</v>
      </c>
      <c r="BB435" s="24" t="n">
        <v>2786</v>
      </c>
      <c r="BC435" s="26"/>
      <c r="BD435" s="26"/>
      <c r="BE435" s="26"/>
      <c r="BF435" s="26"/>
      <c r="BG435" s="26"/>
      <c r="BH435" s="26"/>
      <c r="BI435" s="26"/>
      <c r="BJ435" s="26"/>
      <c r="BK435" s="26"/>
      <c r="BL435" s="26"/>
      <c r="BM435" s="26"/>
      <c r="BN435" s="26"/>
      <c r="BO435" s="26" t="s">
        <v>24533</v>
      </c>
      <c r="BP435" s="16" t="n">
        <v>45565</v>
      </c>
      <c r="BQ435" s="28" t="str">
        <f>HYPERLINK("https://organic.ams.usda.gov/Integrity/Certificate.aspx?cid=17&amp;nopid=4082579926")</f>
        <v>https://organic.ams.usda.gov/Integrity/Certificate.aspx?cid=17&amp;nopid=4082579926</v>
      </c>
    </row>
    <row r="436">
      <c r="A436" t="s">
        <v>3</v>
      </c>
      <c r="B436" s="6" t="s">
        <v>17</v>
      </c>
      <c r="C436" s="6" t="s">
        <v>83</v>
      </c>
      <c r="D436" s="6" t="s">
        <v>148</v>
      </c>
      <c r="E436" s="10" t="s">
        <v>634</v>
      </c>
      <c r="F436" s="6" t="s">
        <v>2888</v>
      </c>
      <c r="G436" s="6" t="s">
        <v>104</v>
      </c>
      <c r="H436" s="6" t="s">
        <v>5286</v>
      </c>
      <c r="I436" s="6" t="s">
        <v>7056</v>
      </c>
      <c r="J436" s="6" t="s">
        <v>8470</v>
      </c>
      <c r="K436" s="6" t="s">
        <v>9714</v>
      </c>
      <c r="L436" s="16" t="n">
        <v>45595</v>
      </c>
      <c r="M436" s="16" t="n">
        <v>45809</v>
      </c>
      <c r="N436" s="6" t="s">
        <v>104</v>
      </c>
      <c r="O436" s="21" t="s">
        <v>104</v>
      </c>
      <c r="P436" s="6" t="s">
        <v>104</v>
      </c>
      <c r="Q436" s="6" t="s">
        <v>104</v>
      </c>
      <c r="R436" s="6" t="s">
        <v>104</v>
      </c>
      <c r="S436" s="6" t="s">
        <v>104</v>
      </c>
      <c r="T436" s="21" t="s">
        <v>104</v>
      </c>
      <c r="U436" s="6" t="s">
        <v>104</v>
      </c>
      <c r="V436" s="6" t="s">
        <v>104</v>
      </c>
      <c r="W436" s="6" t="s">
        <v>104</v>
      </c>
      <c r="X436" s="6" t="s">
        <v>104</v>
      </c>
      <c r="Y436" s="21" t="s">
        <v>104</v>
      </c>
      <c r="Z436" s="6" t="s">
        <v>104</v>
      </c>
      <c r="AA436" s="6" t="s">
        <v>104</v>
      </c>
      <c r="AB436" s="6" t="s">
        <v>104</v>
      </c>
      <c r="AC436" s="6" t="s">
        <v>9714</v>
      </c>
      <c r="AD436" s="16" t="n">
        <v>45595</v>
      </c>
      <c r="AE436" s="6" t="s">
        <v>10911</v>
      </c>
      <c r="AF436" s="6" t="s">
        <v>104</v>
      </c>
      <c r="AG436" s="6" t="s">
        <v>104</v>
      </c>
      <c r="AH436" s="6" t="s">
        <v>13547</v>
      </c>
      <c r="AI436" s="6" t="s">
        <v>104</v>
      </c>
      <c r="AJ436" s="6" t="s">
        <v>15663</v>
      </c>
      <c r="AK436" s="6" t="s">
        <v>16680</v>
      </c>
      <c r="AL436" s="6" t="s">
        <v>16931</v>
      </c>
      <c r="AM436" s="6" t="s">
        <v>17280</v>
      </c>
      <c r="AN436" s="6" t="s">
        <v>104</v>
      </c>
      <c r="AO436" s="6" t="s">
        <v>104</v>
      </c>
      <c r="AP436" s="6" t="s">
        <v>13547</v>
      </c>
      <c r="AQ436" s="6" t="s">
        <v>104</v>
      </c>
      <c r="AR436" s="6" t="s">
        <v>15663</v>
      </c>
      <c r="AS436" s="6" t="s">
        <v>16680</v>
      </c>
      <c r="AT436" s="6" t="s">
        <v>16931</v>
      </c>
      <c r="AU436" s="6" t="s">
        <v>17280</v>
      </c>
      <c r="AV436" s="6" t="s">
        <v>104</v>
      </c>
      <c r="AW436" s="6" t="s">
        <v>104</v>
      </c>
      <c r="AX436" s="6" t="s">
        <v>20463</v>
      </c>
      <c r="AY436" s="6" t="s">
        <v>22220</v>
      </c>
      <c r="AZ436" s="6" t="s">
        <v>104</v>
      </c>
      <c r="BA436" s="6" t="s">
        <v>104</v>
      </c>
      <c r="BB436" s="24" t="n">
        <v>0</v>
      </c>
      <c r="BC436" s="26"/>
      <c r="BD436" s="26"/>
      <c r="BE436" s="26"/>
      <c r="BF436" s="26"/>
      <c r="BG436" s="26"/>
      <c r="BH436" s="26" t="s">
        <v>24533</v>
      </c>
      <c r="BI436" s="26"/>
      <c r="BJ436" s="26"/>
      <c r="BK436" s="26"/>
      <c r="BL436" s="26"/>
      <c r="BM436" s="26"/>
      <c r="BN436" s="26"/>
      <c r="BO436" s="26"/>
      <c r="BP436" s="16" t="n">
        <v>45664</v>
      </c>
      <c r="BQ436" s="28" t="str">
        <f>HYPERLINK("https://organic.ams.usda.gov/Integrity/Certificate.aspx?cid=51&amp;nopid=8241000169")</f>
        <v>https://organic.ams.usda.gov/Integrity/Certificate.aspx?cid=51&amp;nopid=8241000169</v>
      </c>
    </row>
    <row r="437">
      <c r="A437" t="s">
        <v>3</v>
      </c>
      <c r="B437" s="6" t="s">
        <v>30</v>
      </c>
      <c r="C437" s="6" t="s">
        <v>96</v>
      </c>
      <c r="D437" s="6" t="s">
        <v>161</v>
      </c>
      <c r="E437" s="10" t="s">
        <v>635</v>
      </c>
      <c r="F437" s="6" t="s">
        <v>2889</v>
      </c>
      <c r="G437" s="6" t="s">
        <v>104</v>
      </c>
      <c r="H437" s="6" t="s">
        <v>5287</v>
      </c>
      <c r="I437" s="6" t="s">
        <v>104</v>
      </c>
      <c r="J437" s="6" t="s">
        <v>104</v>
      </c>
      <c r="K437" s="6" t="s">
        <v>9714</v>
      </c>
      <c r="L437" s="16" t="n">
        <v>45093</v>
      </c>
      <c r="M437" s="16" t="n">
        <v>45731</v>
      </c>
      <c r="N437" s="6" t="s">
        <v>9714</v>
      </c>
      <c r="O437" s="16" t="n">
        <v>45093</v>
      </c>
      <c r="P437" s="6" t="s">
        <v>9847</v>
      </c>
      <c r="Q437" s="6" t="s">
        <v>104</v>
      </c>
      <c r="R437" s="6" t="s">
        <v>10334</v>
      </c>
      <c r="S437" s="6" t="s">
        <v>104</v>
      </c>
      <c r="T437" s="21" t="s">
        <v>104</v>
      </c>
      <c r="U437" s="6" t="s">
        <v>104</v>
      </c>
      <c r="V437" s="6" t="s">
        <v>104</v>
      </c>
      <c r="W437" s="6" t="s">
        <v>104</v>
      </c>
      <c r="X437" s="6" t="s">
        <v>104</v>
      </c>
      <c r="Y437" s="21" t="s">
        <v>104</v>
      </c>
      <c r="Z437" s="6" t="s">
        <v>104</v>
      </c>
      <c r="AA437" s="6" t="s">
        <v>104</v>
      </c>
      <c r="AB437" s="6" t="s">
        <v>104</v>
      </c>
      <c r="AC437" s="6" t="s">
        <v>9714</v>
      </c>
      <c r="AD437" s="16" t="n">
        <v>45524</v>
      </c>
      <c r="AE437" s="6" t="s">
        <v>10912</v>
      </c>
      <c r="AF437" s="6" t="s">
        <v>104</v>
      </c>
      <c r="AG437" s="6" t="s">
        <v>10334</v>
      </c>
      <c r="AH437" s="6" t="s">
        <v>13548</v>
      </c>
      <c r="AI437" s="6" t="s">
        <v>104</v>
      </c>
      <c r="AJ437" s="6" t="s">
        <v>15452</v>
      </c>
      <c r="AK437" s="6" t="s">
        <v>16717</v>
      </c>
      <c r="AL437" s="6" t="s">
        <v>16933</v>
      </c>
      <c r="AM437" s="6" t="s">
        <v>17281</v>
      </c>
      <c r="AN437" s="6" t="s">
        <v>104</v>
      </c>
      <c r="AO437" s="6" t="s">
        <v>104</v>
      </c>
      <c r="AP437" s="6" t="s">
        <v>13548</v>
      </c>
      <c r="AQ437" s="6" t="s">
        <v>104</v>
      </c>
      <c r="AR437" s="6" t="s">
        <v>15452</v>
      </c>
      <c r="AS437" s="6" t="s">
        <v>16717</v>
      </c>
      <c r="AT437" s="6" t="s">
        <v>16933</v>
      </c>
      <c r="AU437" s="6" t="s">
        <v>17281</v>
      </c>
      <c r="AV437" s="6" t="s">
        <v>104</v>
      </c>
      <c r="AW437" s="6" t="s">
        <v>104</v>
      </c>
      <c r="AX437" s="6" t="s">
        <v>20464</v>
      </c>
      <c r="AY437" s="6" t="s">
        <v>22221</v>
      </c>
      <c r="AZ437" s="6" t="s">
        <v>104</v>
      </c>
      <c r="BA437" s="6" t="s">
        <v>104</v>
      </c>
      <c r="BB437" s="24" t="n">
        <v>1332</v>
      </c>
      <c r="BC437" s="26"/>
      <c r="BD437" s="26"/>
      <c r="BE437" s="26"/>
      <c r="BF437" s="26"/>
      <c r="BG437" s="26"/>
      <c r="BH437" s="26"/>
      <c r="BI437" s="26"/>
      <c r="BJ437" s="26"/>
      <c r="BK437" s="26"/>
      <c r="BL437" s="26"/>
      <c r="BM437" s="26"/>
      <c r="BN437" s="26"/>
      <c r="BO437" s="26" t="s">
        <v>24533</v>
      </c>
      <c r="BP437" s="16" t="n">
        <v>45616</v>
      </c>
      <c r="BQ437" s="28" t="str">
        <f>HYPERLINK("https://organic.ams.usda.gov/Integrity/Certificate.aspx?cid=14&amp;nopid=6250039694")</f>
        <v>https://organic.ams.usda.gov/Integrity/Certificate.aspx?cid=14&amp;nopid=6250039694</v>
      </c>
    </row>
    <row r="438">
      <c r="A438" t="s">
        <v>3</v>
      </c>
      <c r="B438" s="6" t="s">
        <v>30</v>
      </c>
      <c r="C438" s="6" t="s">
        <v>96</v>
      </c>
      <c r="D438" s="6" t="s">
        <v>161</v>
      </c>
      <c r="E438" s="10" t="s">
        <v>636</v>
      </c>
      <c r="F438" s="6" t="s">
        <v>2890</v>
      </c>
      <c r="G438" s="6" t="s">
        <v>104</v>
      </c>
      <c r="H438" s="6" t="s">
        <v>5288</v>
      </c>
      <c r="I438" s="6" t="s">
        <v>7229</v>
      </c>
      <c r="J438" s="6" t="s">
        <v>8471</v>
      </c>
      <c r="K438" s="6" t="s">
        <v>9714</v>
      </c>
      <c r="L438" s="16" t="n">
        <v>45275</v>
      </c>
      <c r="M438" s="16" t="n">
        <v>45953</v>
      </c>
      <c r="N438" s="6" t="s">
        <v>9714</v>
      </c>
      <c r="O438" s="16" t="n">
        <v>45275</v>
      </c>
      <c r="P438" s="6" t="s">
        <v>9848</v>
      </c>
      <c r="Q438" s="6" t="s">
        <v>104</v>
      </c>
      <c r="R438" s="6" t="s">
        <v>10335</v>
      </c>
      <c r="S438" s="6" t="s">
        <v>104</v>
      </c>
      <c r="T438" s="21" t="s">
        <v>104</v>
      </c>
      <c r="U438" s="6" t="s">
        <v>104</v>
      </c>
      <c r="V438" s="6" t="s">
        <v>104</v>
      </c>
      <c r="W438" s="6" t="s">
        <v>104</v>
      </c>
      <c r="X438" s="6" t="s">
        <v>104</v>
      </c>
      <c r="Y438" s="21" t="s">
        <v>104</v>
      </c>
      <c r="Z438" s="6" t="s">
        <v>104</v>
      </c>
      <c r="AA438" s="6" t="s">
        <v>104</v>
      </c>
      <c r="AB438" s="6" t="s">
        <v>104</v>
      </c>
      <c r="AC438" s="6" t="s">
        <v>9714</v>
      </c>
      <c r="AD438" s="16" t="n">
        <v>45275</v>
      </c>
      <c r="AE438" s="6" t="s">
        <v>10913</v>
      </c>
      <c r="AF438" s="6" t="s">
        <v>104</v>
      </c>
      <c r="AG438" s="6" t="s">
        <v>10335</v>
      </c>
      <c r="AH438" s="6" t="s">
        <v>13549</v>
      </c>
      <c r="AI438" s="6" t="s">
        <v>104</v>
      </c>
      <c r="AJ438" s="6" t="s">
        <v>15664</v>
      </c>
      <c r="AK438" s="6" t="s">
        <v>15664</v>
      </c>
      <c r="AL438" s="6" t="s">
        <v>16943</v>
      </c>
      <c r="AM438" s="6" t="s">
        <v>17282</v>
      </c>
      <c r="AN438" s="6" t="s">
        <v>104</v>
      </c>
      <c r="AO438" s="6" t="s">
        <v>104</v>
      </c>
      <c r="AP438" s="6" t="s">
        <v>13549</v>
      </c>
      <c r="AQ438" s="6" t="s">
        <v>104</v>
      </c>
      <c r="AR438" s="6" t="s">
        <v>15664</v>
      </c>
      <c r="AS438" s="6" t="s">
        <v>15664</v>
      </c>
      <c r="AT438" s="6" t="s">
        <v>16943</v>
      </c>
      <c r="AU438" s="6" t="s">
        <v>17282</v>
      </c>
      <c r="AV438" s="6" t="s">
        <v>104</v>
      </c>
      <c r="AW438" s="6" t="s">
        <v>104</v>
      </c>
      <c r="AX438" s="6" t="s">
        <v>20465</v>
      </c>
      <c r="AY438" s="6" t="s">
        <v>22222</v>
      </c>
      <c r="AZ438" s="6" t="s">
        <v>104</v>
      </c>
      <c r="BA438" s="6" t="s">
        <v>104</v>
      </c>
      <c r="BB438" s="24" t="n">
        <v>3527</v>
      </c>
      <c r="BC438" s="26"/>
      <c r="BD438" s="26"/>
      <c r="BE438" s="26"/>
      <c r="BF438" s="26"/>
      <c r="BG438" s="26"/>
      <c r="BH438" s="26"/>
      <c r="BI438" s="26"/>
      <c r="BJ438" s="26"/>
      <c r="BK438" s="26"/>
      <c r="BL438" s="26"/>
      <c r="BM438" s="26"/>
      <c r="BN438" s="26"/>
      <c r="BO438" s="26"/>
      <c r="BP438" s="16" t="n">
        <v>45709</v>
      </c>
      <c r="BQ438" s="28" t="str">
        <f>HYPERLINK("https://organic.ams.usda.gov/Integrity/Certificate.aspx?cid=14&amp;nopid=6250041650")</f>
        <v>https://organic.ams.usda.gov/Integrity/Certificate.aspx?cid=14&amp;nopid=6250041650</v>
      </c>
    </row>
    <row r="439">
      <c r="A439" t="s">
        <v>3</v>
      </c>
      <c r="B439" s="6" t="s">
        <v>18</v>
      </c>
      <c r="C439" s="6" t="s">
        <v>84</v>
      </c>
      <c r="D439" s="6" t="s">
        <v>149</v>
      </c>
      <c r="E439" s="10" t="s">
        <v>637</v>
      </c>
      <c r="F439" s="6" t="s">
        <v>2891</v>
      </c>
      <c r="G439" s="6" t="s">
        <v>104</v>
      </c>
      <c r="H439" s="6" t="s">
        <v>5289</v>
      </c>
      <c r="I439" s="6" t="s">
        <v>7230</v>
      </c>
      <c r="J439" s="6" t="s">
        <v>8472</v>
      </c>
      <c r="K439" s="6" t="s">
        <v>9714</v>
      </c>
      <c r="L439" s="16" t="n">
        <v>45569</v>
      </c>
      <c r="M439" s="16" t="n">
        <v>45934</v>
      </c>
      <c r="N439" s="6" t="s">
        <v>104</v>
      </c>
      <c r="O439" s="21" t="s">
        <v>104</v>
      </c>
      <c r="P439" s="6" t="s">
        <v>104</v>
      </c>
      <c r="Q439" s="6" t="s">
        <v>104</v>
      </c>
      <c r="R439" s="6" t="s">
        <v>104</v>
      </c>
      <c r="S439" s="6" t="s">
        <v>104</v>
      </c>
      <c r="T439" s="21" t="s">
        <v>104</v>
      </c>
      <c r="U439" s="6" t="s">
        <v>104</v>
      </c>
      <c r="V439" s="6" t="s">
        <v>104</v>
      </c>
      <c r="W439" s="6" t="s">
        <v>104</v>
      </c>
      <c r="X439" s="6" t="s">
        <v>104</v>
      </c>
      <c r="Y439" s="21" t="s">
        <v>104</v>
      </c>
      <c r="Z439" s="6" t="s">
        <v>104</v>
      </c>
      <c r="AA439" s="6" t="s">
        <v>104</v>
      </c>
      <c r="AB439" s="6" t="s">
        <v>104</v>
      </c>
      <c r="AC439" s="6" t="s">
        <v>9714</v>
      </c>
      <c r="AD439" s="16" t="n">
        <v>45569</v>
      </c>
      <c r="AE439" s="6" t="s">
        <v>10914</v>
      </c>
      <c r="AF439" s="6" t="s">
        <v>104</v>
      </c>
      <c r="AG439" s="6" t="s">
        <v>12607</v>
      </c>
      <c r="AH439" s="6" t="s">
        <v>13550</v>
      </c>
      <c r="AI439" s="6" t="s">
        <v>104</v>
      </c>
      <c r="AJ439" s="6" t="s">
        <v>15665</v>
      </c>
      <c r="AK439" s="6" t="s">
        <v>16688</v>
      </c>
      <c r="AL439" s="6" t="s">
        <v>16931</v>
      </c>
      <c r="AM439" s="6" t="s">
        <v>17283</v>
      </c>
      <c r="AN439" s="6" t="s">
        <v>104</v>
      </c>
      <c r="AO439" s="6" t="s">
        <v>104</v>
      </c>
      <c r="AP439" s="6" t="s">
        <v>19074</v>
      </c>
      <c r="AQ439" s="6" t="s">
        <v>104</v>
      </c>
      <c r="AR439" s="6" t="s">
        <v>15665</v>
      </c>
      <c r="AS439" s="6" t="s">
        <v>16688</v>
      </c>
      <c r="AT439" s="6" t="s">
        <v>16931</v>
      </c>
      <c r="AU439" s="6" t="s">
        <v>17283</v>
      </c>
      <c r="AV439" s="6" t="s">
        <v>104</v>
      </c>
      <c r="AW439" s="6" t="s">
        <v>104</v>
      </c>
      <c r="AX439" s="6" t="s">
        <v>20466</v>
      </c>
      <c r="AY439" s="6" t="s">
        <v>22223</v>
      </c>
      <c r="AZ439" s="6" t="s">
        <v>104</v>
      </c>
      <c r="BA439" s="6" t="s">
        <v>104</v>
      </c>
      <c r="BB439" s="6" t="s">
        <v>104</v>
      </c>
      <c r="BC439" s="26" t="s">
        <v>24533</v>
      </c>
      <c r="BD439" s="26"/>
      <c r="BE439" s="26"/>
      <c r="BF439" s="26"/>
      <c r="BG439" s="26"/>
      <c r="BH439" s="26"/>
      <c r="BI439" s="26"/>
      <c r="BJ439" s="26"/>
      <c r="BK439" s="26"/>
      <c r="BL439" s="26"/>
      <c r="BM439" s="26"/>
      <c r="BN439" s="26"/>
      <c r="BO439" s="26"/>
      <c r="BP439" s="16" t="n">
        <v>45737</v>
      </c>
      <c r="BQ439" s="28" t="str">
        <f>HYPERLINK("https://organic.ams.usda.gov/Integrity/Certificate.aspx?cid=31&amp;nopid=3928972447")</f>
        <v>https://organic.ams.usda.gov/Integrity/Certificate.aspx?cid=31&amp;nopid=3928972447</v>
      </c>
    </row>
    <row r="440">
      <c r="A440" t="s">
        <v>3</v>
      </c>
      <c r="B440" s="6" t="s">
        <v>14</v>
      </c>
      <c r="C440" s="6" t="s">
        <v>80</v>
      </c>
      <c r="D440" s="6" t="s">
        <v>145</v>
      </c>
      <c r="E440" s="10" t="s">
        <v>638</v>
      </c>
      <c r="F440" s="6" t="s">
        <v>2892</v>
      </c>
      <c r="G440" s="6" t="s">
        <v>104</v>
      </c>
      <c r="H440" s="6" t="s">
        <v>5290</v>
      </c>
      <c r="I440" s="6" t="s">
        <v>7231</v>
      </c>
      <c r="J440" s="6" t="s">
        <v>7252</v>
      </c>
      <c r="K440" s="6" t="s">
        <v>9714</v>
      </c>
      <c r="L440" s="16" t="n">
        <v>44718</v>
      </c>
      <c r="M440" s="16" t="n">
        <v>45752</v>
      </c>
      <c r="N440" s="6" t="s">
        <v>104</v>
      </c>
      <c r="O440" s="21" t="s">
        <v>104</v>
      </c>
      <c r="P440" s="6" t="s">
        <v>104</v>
      </c>
      <c r="Q440" s="6" t="s">
        <v>104</v>
      </c>
      <c r="R440" s="6" t="s">
        <v>104</v>
      </c>
      <c r="S440" s="6" t="s">
        <v>104</v>
      </c>
      <c r="T440" s="21" t="s">
        <v>104</v>
      </c>
      <c r="U440" s="6" t="s">
        <v>104</v>
      </c>
      <c r="V440" s="6" t="s">
        <v>104</v>
      </c>
      <c r="W440" s="6" t="s">
        <v>104</v>
      </c>
      <c r="X440" s="6" t="s">
        <v>104</v>
      </c>
      <c r="Y440" s="21" t="s">
        <v>104</v>
      </c>
      <c r="Z440" s="6" t="s">
        <v>104</v>
      </c>
      <c r="AA440" s="6" t="s">
        <v>104</v>
      </c>
      <c r="AB440" s="6" t="s">
        <v>104</v>
      </c>
      <c r="AC440" s="6" t="s">
        <v>9714</v>
      </c>
      <c r="AD440" s="16" t="n">
        <v>44718</v>
      </c>
      <c r="AE440" s="6" t="s">
        <v>10915</v>
      </c>
      <c r="AF440" s="6" t="s">
        <v>104</v>
      </c>
      <c r="AG440" s="6" t="s">
        <v>104</v>
      </c>
      <c r="AH440" s="6" t="s">
        <v>13551</v>
      </c>
      <c r="AI440" s="6" t="s">
        <v>104</v>
      </c>
      <c r="AJ440" s="6" t="s">
        <v>15666</v>
      </c>
      <c r="AK440" s="6" t="s">
        <v>16773</v>
      </c>
      <c r="AL440" s="6" t="s">
        <v>16932</v>
      </c>
      <c r="AM440" s="6" t="s">
        <v>17284</v>
      </c>
      <c r="AN440" s="6" t="s">
        <v>104</v>
      </c>
      <c r="AO440" s="6" t="s">
        <v>104</v>
      </c>
      <c r="AP440" s="6" t="s">
        <v>104</v>
      </c>
      <c r="AQ440" s="6" t="s">
        <v>104</v>
      </c>
      <c r="AR440" s="6" t="s">
        <v>104</v>
      </c>
      <c r="AS440" s="6" t="s">
        <v>104</v>
      </c>
      <c r="AT440" s="6" t="s">
        <v>104</v>
      </c>
      <c r="AU440" s="6" t="s">
        <v>104</v>
      </c>
      <c r="AV440" s="6" t="s">
        <v>104</v>
      </c>
      <c r="AW440" s="6" t="s">
        <v>104</v>
      </c>
      <c r="AX440" s="6" t="s">
        <v>20467</v>
      </c>
      <c r="AY440" s="6" t="s">
        <v>22224</v>
      </c>
      <c r="AZ440" s="6" t="s">
        <v>104</v>
      </c>
      <c r="BA440" s="6" t="s">
        <v>24267</v>
      </c>
      <c r="BB440" s="6" t="s">
        <v>104</v>
      </c>
      <c r="BC440" s="26"/>
      <c r="BD440" s="26"/>
      <c r="BE440" s="26"/>
      <c r="BF440" s="26"/>
      <c r="BG440" s="26"/>
      <c r="BH440" s="26"/>
      <c r="BI440" s="26"/>
      <c r="BJ440" s="26"/>
      <c r="BK440" s="26"/>
      <c r="BL440" s="26"/>
      <c r="BM440" s="26"/>
      <c r="BN440" s="26"/>
      <c r="BO440" s="26"/>
      <c r="BP440" s="16" t="n">
        <v>45656</v>
      </c>
      <c r="BQ440" s="28" t="str">
        <f>HYPERLINK("https://organic.ams.usda.gov/Integrity/Certificate.aspx?cid=89&amp;nopid=4920005596")</f>
        <v>https://organic.ams.usda.gov/Integrity/Certificate.aspx?cid=89&amp;nopid=4920005596</v>
      </c>
    </row>
    <row r="441">
      <c r="A441" t="s">
        <v>3</v>
      </c>
      <c r="B441" s="6" t="s">
        <v>44</v>
      </c>
      <c r="C441" s="6" t="s">
        <v>110</v>
      </c>
      <c r="D441" s="6" t="s">
        <v>174</v>
      </c>
      <c r="E441" s="10" t="s">
        <v>639</v>
      </c>
      <c r="F441" s="6" t="s">
        <v>2893</v>
      </c>
      <c r="G441" s="6" t="s">
        <v>104</v>
      </c>
      <c r="H441" s="6" t="s">
        <v>5291</v>
      </c>
      <c r="I441" s="6" t="s">
        <v>7232</v>
      </c>
      <c r="J441" s="6" t="s">
        <v>8473</v>
      </c>
      <c r="K441" s="6" t="s">
        <v>9714</v>
      </c>
      <c r="L441" s="16" t="n">
        <v>44820</v>
      </c>
      <c r="M441" s="16" t="n">
        <v>45672</v>
      </c>
      <c r="N441" s="6" t="s">
        <v>104</v>
      </c>
      <c r="O441" s="21" t="s">
        <v>104</v>
      </c>
      <c r="P441" s="6" t="s">
        <v>104</v>
      </c>
      <c r="Q441" s="6" t="s">
        <v>104</v>
      </c>
      <c r="R441" s="6" t="s">
        <v>104</v>
      </c>
      <c r="S441" s="6" t="s">
        <v>104</v>
      </c>
      <c r="T441" s="21" t="s">
        <v>104</v>
      </c>
      <c r="U441" s="6" t="s">
        <v>104</v>
      </c>
      <c r="V441" s="6" t="s">
        <v>104</v>
      </c>
      <c r="W441" s="6" t="s">
        <v>104</v>
      </c>
      <c r="X441" s="6" t="s">
        <v>104</v>
      </c>
      <c r="Y441" s="21" t="s">
        <v>104</v>
      </c>
      <c r="Z441" s="6" t="s">
        <v>104</v>
      </c>
      <c r="AA441" s="6" t="s">
        <v>104</v>
      </c>
      <c r="AB441" s="6" t="s">
        <v>104</v>
      </c>
      <c r="AC441" s="6" t="s">
        <v>9714</v>
      </c>
      <c r="AD441" s="16" t="n">
        <v>44820</v>
      </c>
      <c r="AE441" s="6" t="s">
        <v>10916</v>
      </c>
      <c r="AF441" s="6" t="s">
        <v>104</v>
      </c>
      <c r="AG441" s="6" t="s">
        <v>104</v>
      </c>
      <c r="AH441" s="6" t="s">
        <v>13552</v>
      </c>
      <c r="AI441" s="6" t="s">
        <v>104</v>
      </c>
      <c r="AJ441" s="6" t="s">
        <v>15667</v>
      </c>
      <c r="AK441" s="6" t="s">
        <v>15697</v>
      </c>
      <c r="AL441" s="6" t="s">
        <v>16931</v>
      </c>
      <c r="AM441" s="6" t="s">
        <v>17285</v>
      </c>
      <c r="AN441" s="6" t="s">
        <v>18491</v>
      </c>
      <c r="AO441" s="6" t="s">
        <v>18659</v>
      </c>
      <c r="AP441" s="6" t="s">
        <v>19075</v>
      </c>
      <c r="AQ441" s="6" t="s">
        <v>104</v>
      </c>
      <c r="AR441" s="6" t="s">
        <v>15667</v>
      </c>
      <c r="AS441" s="6" t="s">
        <v>15697</v>
      </c>
      <c r="AT441" s="6" t="s">
        <v>16931</v>
      </c>
      <c r="AU441" s="6" t="s">
        <v>17285</v>
      </c>
      <c r="AV441" s="6" t="s">
        <v>104</v>
      </c>
      <c r="AW441" s="6" t="s">
        <v>104</v>
      </c>
      <c r="AX441" s="6" t="s">
        <v>20468</v>
      </c>
      <c r="AY441" s="6" t="s">
        <v>22225</v>
      </c>
      <c r="AZ441" s="6" t="s">
        <v>104</v>
      </c>
      <c r="BA441" s="6" t="s">
        <v>104</v>
      </c>
      <c r="BB441" s="24" t="n">
        <v>0</v>
      </c>
      <c r="BC441" s="26"/>
      <c r="BD441" s="26"/>
      <c r="BE441" s="26"/>
      <c r="BF441" s="26"/>
      <c r="BG441" s="26"/>
      <c r="BH441" s="26"/>
      <c r="BI441" s="26"/>
      <c r="BJ441" s="26"/>
      <c r="BK441" s="26"/>
      <c r="BL441" s="26"/>
      <c r="BM441" s="26"/>
      <c r="BN441" s="26"/>
      <c r="BO441" s="26"/>
      <c r="BP441" s="16" t="n">
        <v>45603</v>
      </c>
      <c r="BQ441" s="28" t="str">
        <f>HYPERLINK("https://organic.ams.usda.gov/Integrity/Certificate.aspx?cid=57&amp;nopid=3252580648")</f>
        <v>https://organic.ams.usda.gov/Integrity/Certificate.aspx?cid=57&amp;nopid=3252580648</v>
      </c>
    </row>
    <row r="442">
      <c r="A442" t="s">
        <v>3</v>
      </c>
      <c r="B442" s="6" t="s">
        <v>45</v>
      </c>
      <c r="C442" s="6" t="s">
        <v>111</v>
      </c>
      <c r="D442" s="6" t="s">
        <v>175</v>
      </c>
      <c r="E442" s="10" t="s">
        <v>640</v>
      </c>
      <c r="F442" s="6" t="s">
        <v>2894</v>
      </c>
      <c r="G442" s="6" t="s">
        <v>104</v>
      </c>
      <c r="H442" s="6" t="s">
        <v>5292</v>
      </c>
      <c r="I442" s="6" t="s">
        <v>7233</v>
      </c>
      <c r="J442" s="6" t="s">
        <v>8474</v>
      </c>
      <c r="K442" s="6" t="s">
        <v>9714</v>
      </c>
      <c r="L442" s="16" t="n">
        <v>37375</v>
      </c>
      <c r="M442" s="16" t="n">
        <v>46082</v>
      </c>
      <c r="N442" s="6" t="s">
        <v>104</v>
      </c>
      <c r="O442" s="21" t="s">
        <v>104</v>
      </c>
      <c r="P442" s="6" t="s">
        <v>104</v>
      </c>
      <c r="Q442" s="6" t="s">
        <v>104</v>
      </c>
      <c r="R442" s="6" t="s">
        <v>104</v>
      </c>
      <c r="S442" s="6" t="s">
        <v>104</v>
      </c>
      <c r="T442" s="21" t="s">
        <v>104</v>
      </c>
      <c r="U442" s="6" t="s">
        <v>104</v>
      </c>
      <c r="V442" s="6" t="s">
        <v>104</v>
      </c>
      <c r="W442" s="6" t="s">
        <v>104</v>
      </c>
      <c r="X442" s="6" t="s">
        <v>104</v>
      </c>
      <c r="Y442" s="21" t="s">
        <v>104</v>
      </c>
      <c r="Z442" s="6" t="s">
        <v>104</v>
      </c>
      <c r="AA442" s="6" t="s">
        <v>104</v>
      </c>
      <c r="AB442" s="6" t="s">
        <v>104</v>
      </c>
      <c r="AC442" s="6" t="s">
        <v>9714</v>
      </c>
      <c r="AD442" s="16" t="n">
        <v>37375</v>
      </c>
      <c r="AE442" s="6" t="s">
        <v>10917</v>
      </c>
      <c r="AF442" s="6" t="s">
        <v>104</v>
      </c>
      <c r="AG442" s="6" t="s">
        <v>4667</v>
      </c>
      <c r="AH442" s="6" t="s">
        <v>13553</v>
      </c>
      <c r="AI442" s="6" t="s">
        <v>104</v>
      </c>
      <c r="AJ442" s="6" t="s">
        <v>15668</v>
      </c>
      <c r="AK442" s="6" t="s">
        <v>16382</v>
      </c>
      <c r="AL442" s="6" t="s">
        <v>16931</v>
      </c>
      <c r="AM442" s="6" t="s">
        <v>17286</v>
      </c>
      <c r="AN442" s="6" t="s">
        <v>104</v>
      </c>
      <c r="AO442" s="6" t="s">
        <v>104</v>
      </c>
      <c r="AP442" s="6" t="s">
        <v>19076</v>
      </c>
      <c r="AQ442" s="6" t="s">
        <v>104</v>
      </c>
      <c r="AR442" s="6" t="s">
        <v>15668</v>
      </c>
      <c r="AS442" s="6" t="s">
        <v>16382</v>
      </c>
      <c r="AT442" s="6" t="s">
        <v>16931</v>
      </c>
      <c r="AU442" s="6" t="s">
        <v>17286</v>
      </c>
      <c r="AV442" s="6" t="s">
        <v>18538</v>
      </c>
      <c r="AW442" s="6" t="s">
        <v>18890</v>
      </c>
      <c r="AX442" s="6" t="s">
        <v>20469</v>
      </c>
      <c r="AY442" s="6" t="s">
        <v>22226</v>
      </c>
      <c r="AZ442" s="6" t="s">
        <v>23803</v>
      </c>
      <c r="BA442" s="6" t="s">
        <v>104</v>
      </c>
      <c r="BB442" s="6" t="s">
        <v>104</v>
      </c>
      <c r="BC442" s="26"/>
      <c r="BD442" s="26"/>
      <c r="BE442" s="26" t="s">
        <v>24533</v>
      </c>
      <c r="BF442" s="26"/>
      <c r="BG442" s="26"/>
      <c r="BH442" s="26" t="s">
        <v>24533</v>
      </c>
      <c r="BI442" s="26"/>
      <c r="BJ442" s="26"/>
      <c r="BK442" s="26"/>
      <c r="BL442" s="26"/>
      <c r="BM442" s="26"/>
      <c r="BN442" s="26"/>
      <c r="BO442" s="26"/>
      <c r="BP442" s="16" t="n">
        <v>45739</v>
      </c>
      <c r="BQ442" s="28" t="str">
        <f>HYPERLINK("https://organic.ams.usda.gov/Integrity/Certificate.aspx?cid=82&amp;nopid=2780020724")</f>
        <v>https://organic.ams.usda.gov/Integrity/Certificate.aspx?cid=82&amp;nopid=2780020724</v>
      </c>
    </row>
    <row r="443">
      <c r="A443" t="s">
        <v>3</v>
      </c>
      <c r="B443" s="6" t="s">
        <v>29</v>
      </c>
      <c r="C443" s="6" t="s">
        <v>95</v>
      </c>
      <c r="D443" s="6" t="s">
        <v>160</v>
      </c>
      <c r="E443" s="10" t="s">
        <v>641</v>
      </c>
      <c r="F443" s="6" t="s">
        <v>2895</v>
      </c>
      <c r="G443" s="6" t="s">
        <v>104</v>
      </c>
      <c r="H443" s="6" t="s">
        <v>5293</v>
      </c>
      <c r="I443" s="6" t="s">
        <v>104</v>
      </c>
      <c r="J443" s="6" t="s">
        <v>8475</v>
      </c>
      <c r="K443" s="6" t="s">
        <v>9714</v>
      </c>
      <c r="L443" s="16" t="n">
        <v>45673</v>
      </c>
      <c r="M443" s="16" t="n">
        <v>45778</v>
      </c>
      <c r="N443" s="6" t="s">
        <v>9714</v>
      </c>
      <c r="O443" s="16" t="n">
        <v>45673</v>
      </c>
      <c r="P443" s="6" t="s">
        <v>9849</v>
      </c>
      <c r="Q443" s="6" t="s">
        <v>104</v>
      </c>
      <c r="R443" s="6" t="s">
        <v>104</v>
      </c>
      <c r="S443" s="6" t="s">
        <v>104</v>
      </c>
      <c r="T443" s="21" t="s">
        <v>104</v>
      </c>
      <c r="U443" s="6" t="s">
        <v>104</v>
      </c>
      <c r="V443" s="6" t="s">
        <v>104</v>
      </c>
      <c r="W443" s="6" t="s">
        <v>104</v>
      </c>
      <c r="X443" s="6" t="s">
        <v>104</v>
      </c>
      <c r="Y443" s="21" t="s">
        <v>104</v>
      </c>
      <c r="Z443" s="6" t="s">
        <v>104</v>
      </c>
      <c r="AA443" s="6" t="s">
        <v>104</v>
      </c>
      <c r="AB443" s="6" t="s">
        <v>104</v>
      </c>
      <c r="AC443" s="6" t="s">
        <v>9714</v>
      </c>
      <c r="AD443" s="16" t="n">
        <v>45673</v>
      </c>
      <c r="AE443" s="6" t="s">
        <v>10918</v>
      </c>
      <c r="AF443" s="6" t="s">
        <v>104</v>
      </c>
      <c r="AG443" s="6" t="s">
        <v>104</v>
      </c>
      <c r="AH443" s="6" t="s">
        <v>13554</v>
      </c>
      <c r="AI443" s="6" t="s">
        <v>104</v>
      </c>
      <c r="AJ443" s="6" t="s">
        <v>104</v>
      </c>
      <c r="AK443" s="6" t="s">
        <v>104</v>
      </c>
      <c r="AL443" s="6" t="s">
        <v>16944</v>
      </c>
      <c r="AM443" s="6" t="s">
        <v>17287</v>
      </c>
      <c r="AN443" s="6" t="s">
        <v>104</v>
      </c>
      <c r="AO443" s="6" t="s">
        <v>104</v>
      </c>
      <c r="AP443" s="6" t="s">
        <v>104</v>
      </c>
      <c r="AQ443" s="6" t="s">
        <v>104</v>
      </c>
      <c r="AR443" s="6" t="s">
        <v>104</v>
      </c>
      <c r="AS443" s="6" t="s">
        <v>104</v>
      </c>
      <c r="AT443" s="6" t="s">
        <v>104</v>
      </c>
      <c r="AU443" s="6" t="s">
        <v>104</v>
      </c>
      <c r="AV443" s="6" t="s">
        <v>104</v>
      </c>
      <c r="AW443" s="6" t="s">
        <v>104</v>
      </c>
      <c r="AX443" s="6" t="s">
        <v>20470</v>
      </c>
      <c r="AY443" s="6" t="s">
        <v>22227</v>
      </c>
      <c r="AZ443" s="6" t="s">
        <v>104</v>
      </c>
      <c r="BA443" s="6" t="s">
        <v>104</v>
      </c>
      <c r="BB443" s="24" t="n">
        <v>6210</v>
      </c>
      <c r="BC443" s="26"/>
      <c r="BD443" s="26"/>
      <c r="BE443" s="26"/>
      <c r="BF443" s="26"/>
      <c r="BG443" s="26"/>
      <c r="BH443" s="26"/>
      <c r="BI443" s="26"/>
      <c r="BJ443" s="26"/>
      <c r="BK443" s="26"/>
      <c r="BL443" s="26"/>
      <c r="BM443" s="26"/>
      <c r="BN443" s="26" t="s">
        <v>24533</v>
      </c>
      <c r="BO443" s="26" t="s">
        <v>24533</v>
      </c>
      <c r="BP443" s="16" t="n">
        <v>45675</v>
      </c>
      <c r="BQ443" s="28" t="str">
        <f>HYPERLINK("https://organic.ams.usda.gov/Integrity/Certificate.aspx?cid=24&amp;nopid=7880298374")</f>
        <v>https://organic.ams.usda.gov/Integrity/Certificate.aspx?cid=24&amp;nopid=7880298374</v>
      </c>
    </row>
    <row r="444">
      <c r="A444" t="s">
        <v>3</v>
      </c>
      <c r="B444" s="6" t="s">
        <v>43</v>
      </c>
      <c r="C444" s="6" t="s">
        <v>109</v>
      </c>
      <c r="D444" s="6" t="s">
        <v>173</v>
      </c>
      <c r="E444" s="10" t="s">
        <v>642</v>
      </c>
      <c r="F444" s="6" t="s">
        <v>2896</v>
      </c>
      <c r="G444" s="6" t="s">
        <v>4715</v>
      </c>
      <c r="H444" s="6" t="s">
        <v>5294</v>
      </c>
      <c r="I444" s="6" t="s">
        <v>7234</v>
      </c>
      <c r="J444" s="6" t="s">
        <v>8476</v>
      </c>
      <c r="K444" s="6" t="s">
        <v>9714</v>
      </c>
      <c r="L444" s="16" t="n">
        <v>45590</v>
      </c>
      <c r="M444" s="16" t="n">
        <v>45721</v>
      </c>
      <c r="N444" s="6" t="s">
        <v>9714</v>
      </c>
      <c r="O444" s="16" t="n">
        <v>45590</v>
      </c>
      <c r="P444" s="6" t="s">
        <v>9850</v>
      </c>
      <c r="Q444" s="6" t="s">
        <v>104</v>
      </c>
      <c r="R444" s="6" t="s">
        <v>5294</v>
      </c>
      <c r="S444" s="6" t="s">
        <v>104</v>
      </c>
      <c r="T444" s="21" t="s">
        <v>104</v>
      </c>
      <c r="U444" s="6" t="s">
        <v>104</v>
      </c>
      <c r="V444" s="6" t="s">
        <v>104</v>
      </c>
      <c r="W444" s="6" t="s">
        <v>104</v>
      </c>
      <c r="X444" s="6" t="s">
        <v>104</v>
      </c>
      <c r="Y444" s="21" t="s">
        <v>104</v>
      </c>
      <c r="Z444" s="6" t="s">
        <v>104</v>
      </c>
      <c r="AA444" s="6" t="s">
        <v>104</v>
      </c>
      <c r="AB444" s="6" t="s">
        <v>104</v>
      </c>
      <c r="AC444" s="6" t="s">
        <v>9714</v>
      </c>
      <c r="AD444" s="16" t="n">
        <v>45590</v>
      </c>
      <c r="AE444" s="6" t="s">
        <v>10919</v>
      </c>
      <c r="AF444" s="6" t="s">
        <v>104</v>
      </c>
      <c r="AG444" s="6" t="s">
        <v>5294</v>
      </c>
      <c r="AH444" s="6" t="s">
        <v>13555</v>
      </c>
      <c r="AI444" s="6" t="s">
        <v>104</v>
      </c>
      <c r="AJ444" s="6" t="s">
        <v>104</v>
      </c>
      <c r="AK444" s="6" t="s">
        <v>104</v>
      </c>
      <c r="AL444" s="6" t="s">
        <v>16933</v>
      </c>
      <c r="AM444" s="6" t="s">
        <v>104</v>
      </c>
      <c r="AN444" s="6" t="s">
        <v>104</v>
      </c>
      <c r="AO444" s="6" t="s">
        <v>104</v>
      </c>
      <c r="AP444" s="6" t="s">
        <v>13555</v>
      </c>
      <c r="AQ444" s="6" t="s">
        <v>104</v>
      </c>
      <c r="AR444" s="6" t="s">
        <v>104</v>
      </c>
      <c r="AS444" s="6" t="s">
        <v>104</v>
      </c>
      <c r="AT444" s="6" t="s">
        <v>16933</v>
      </c>
      <c r="AU444" s="6" t="s">
        <v>104</v>
      </c>
      <c r="AV444" s="6" t="s">
        <v>104</v>
      </c>
      <c r="AW444" s="6" t="s">
        <v>104</v>
      </c>
      <c r="AX444" s="6" t="s">
        <v>20471</v>
      </c>
      <c r="AY444" s="6" t="s">
        <v>22228</v>
      </c>
      <c r="AZ444" s="6" t="s">
        <v>104</v>
      </c>
      <c r="BA444" s="6" t="s">
        <v>24328</v>
      </c>
      <c r="BB444" s="24" t="n">
        <v>258</v>
      </c>
      <c r="BC444" s="26"/>
      <c r="BD444" s="26"/>
      <c r="BE444" s="26"/>
      <c r="BF444" s="26"/>
      <c r="BG444" s="26"/>
      <c r="BH444" s="26"/>
      <c r="BI444" s="26"/>
      <c r="BJ444" s="26"/>
      <c r="BK444" s="26"/>
      <c r="BL444" s="26"/>
      <c r="BM444" s="26"/>
      <c r="BN444" s="26"/>
      <c r="BO444" s="26" t="s">
        <v>24533</v>
      </c>
      <c r="BP444" s="16" t="n">
        <v>45593</v>
      </c>
      <c r="BQ444" s="28" t="str">
        <f>HYPERLINK("https://organic.ams.usda.gov/Integrity/Certificate.aspx?cid=86&amp;nopid=6400106968")</f>
        <v>https://organic.ams.usda.gov/Integrity/Certificate.aspx?cid=86&amp;nopid=6400106968</v>
      </c>
    </row>
    <row r="445">
      <c r="A445" t="s">
        <v>3</v>
      </c>
      <c r="B445" s="6" t="s">
        <v>11</v>
      </c>
      <c r="C445" s="6" t="s">
        <v>77</v>
      </c>
      <c r="D445" s="6" t="s">
        <v>142</v>
      </c>
      <c r="E445" s="10" t="s">
        <v>643</v>
      </c>
      <c r="F445" s="6" t="s">
        <v>2897</v>
      </c>
      <c r="G445" s="6" t="s">
        <v>104</v>
      </c>
      <c r="H445" s="6" t="s">
        <v>104</v>
      </c>
      <c r="I445" s="6" t="s">
        <v>7235</v>
      </c>
      <c r="J445" s="6" t="s">
        <v>8477</v>
      </c>
      <c r="K445" s="6" t="s">
        <v>9714</v>
      </c>
      <c r="L445" s="16" t="n">
        <v>41870</v>
      </c>
      <c r="M445" s="16" t="n">
        <v>45910</v>
      </c>
      <c r="N445" s="6" t="s">
        <v>9714</v>
      </c>
      <c r="O445" s="16" t="n">
        <v>41870</v>
      </c>
      <c r="P445" s="6" t="s">
        <v>9851</v>
      </c>
      <c r="Q445" s="6" t="s">
        <v>104</v>
      </c>
      <c r="R445" s="6" t="s">
        <v>104</v>
      </c>
      <c r="S445" s="6" t="s">
        <v>104</v>
      </c>
      <c r="T445" s="21" t="s">
        <v>104</v>
      </c>
      <c r="U445" s="6" t="s">
        <v>104</v>
      </c>
      <c r="V445" s="6" t="s">
        <v>104</v>
      </c>
      <c r="W445" s="6" t="s">
        <v>104</v>
      </c>
      <c r="X445" s="6" t="s">
        <v>104</v>
      </c>
      <c r="Y445" s="21" t="s">
        <v>104</v>
      </c>
      <c r="Z445" s="6" t="s">
        <v>104</v>
      </c>
      <c r="AA445" s="6" t="s">
        <v>104</v>
      </c>
      <c r="AB445" s="6" t="s">
        <v>104</v>
      </c>
      <c r="AC445" s="6" t="s">
        <v>9714</v>
      </c>
      <c r="AD445" s="16" t="n">
        <v>41870</v>
      </c>
      <c r="AE445" s="6" t="s">
        <v>10920</v>
      </c>
      <c r="AF445" s="6" t="s">
        <v>104</v>
      </c>
      <c r="AG445" s="6" t="s">
        <v>104</v>
      </c>
      <c r="AH445" s="6" t="s">
        <v>13556</v>
      </c>
      <c r="AI445" s="6" t="s">
        <v>104</v>
      </c>
      <c r="AJ445" s="6" t="s">
        <v>15669</v>
      </c>
      <c r="AK445" s="6" t="s">
        <v>104</v>
      </c>
      <c r="AL445" s="6" t="s">
        <v>16933</v>
      </c>
      <c r="AM445" s="6" t="s">
        <v>104</v>
      </c>
      <c r="AN445" s="6" t="s">
        <v>104</v>
      </c>
      <c r="AO445" s="6" t="s">
        <v>104</v>
      </c>
      <c r="AP445" s="6" t="s">
        <v>104</v>
      </c>
      <c r="AQ445" s="6" t="s">
        <v>104</v>
      </c>
      <c r="AR445" s="6" t="s">
        <v>104</v>
      </c>
      <c r="AS445" s="6" t="s">
        <v>104</v>
      </c>
      <c r="AT445" s="6" t="s">
        <v>104</v>
      </c>
      <c r="AU445" s="6" t="s">
        <v>104</v>
      </c>
      <c r="AV445" s="6" t="s">
        <v>104</v>
      </c>
      <c r="AW445" s="6" t="s">
        <v>104</v>
      </c>
      <c r="AX445" s="6" t="s">
        <v>20472</v>
      </c>
      <c r="AY445" s="6" t="s">
        <v>22229</v>
      </c>
      <c r="AZ445" s="6" t="s">
        <v>104</v>
      </c>
      <c r="BA445" s="6" t="s">
        <v>104</v>
      </c>
      <c r="BB445" s="24" t="n">
        <v>149</v>
      </c>
      <c r="BC445" s="26"/>
      <c r="BD445" s="26"/>
      <c r="BE445" s="26"/>
      <c r="BF445" s="26"/>
      <c r="BG445" s="26"/>
      <c r="BH445" s="26" t="s">
        <v>24533</v>
      </c>
      <c r="BI445" s="26"/>
      <c r="BJ445" s="26"/>
      <c r="BK445" s="26"/>
      <c r="BL445" s="26"/>
      <c r="BM445" s="26"/>
      <c r="BN445" s="26" t="s">
        <v>24533</v>
      </c>
      <c r="BO445" s="26" t="s">
        <v>24533</v>
      </c>
      <c r="BP445" s="16" t="n">
        <v>45581</v>
      </c>
      <c r="BQ445" s="28" t="str">
        <f>HYPERLINK("https://organic.ams.usda.gov/Integrity/Certificate.aspx?cid=21&amp;nopid=1780832821")</f>
        <v>https://organic.ams.usda.gov/Integrity/Certificate.aspx?cid=21&amp;nopid=1780832821</v>
      </c>
    </row>
    <row r="446">
      <c r="A446" t="s">
        <v>3</v>
      </c>
      <c r="B446" s="6" t="s">
        <v>6</v>
      </c>
      <c r="C446" s="6" t="s">
        <v>72</v>
      </c>
      <c r="D446" s="6" t="s">
        <v>137</v>
      </c>
      <c r="E446" s="10" t="s">
        <v>644</v>
      </c>
      <c r="F446" s="6" t="s">
        <v>2898</v>
      </c>
      <c r="G446" s="6" t="s">
        <v>104</v>
      </c>
      <c r="H446" s="6" t="s">
        <v>5295</v>
      </c>
      <c r="I446" s="6" t="s">
        <v>7236</v>
      </c>
      <c r="J446" s="6" t="s">
        <v>8478</v>
      </c>
      <c r="K446" s="6" t="s">
        <v>9714</v>
      </c>
      <c r="L446" s="16" t="n">
        <v>45044</v>
      </c>
      <c r="M446" s="16" t="n">
        <v>45689</v>
      </c>
      <c r="N446" s="6" t="s">
        <v>104</v>
      </c>
      <c r="O446" s="21" t="s">
        <v>104</v>
      </c>
      <c r="P446" s="6" t="s">
        <v>104</v>
      </c>
      <c r="Q446" s="6" t="s">
        <v>104</v>
      </c>
      <c r="R446" s="6" t="s">
        <v>104</v>
      </c>
      <c r="S446" s="6" t="s">
        <v>104</v>
      </c>
      <c r="T446" s="21" t="s">
        <v>104</v>
      </c>
      <c r="U446" s="6" t="s">
        <v>104</v>
      </c>
      <c r="V446" s="6" t="s">
        <v>104</v>
      </c>
      <c r="W446" s="6" t="s">
        <v>104</v>
      </c>
      <c r="X446" s="6" t="s">
        <v>104</v>
      </c>
      <c r="Y446" s="21" t="s">
        <v>104</v>
      </c>
      <c r="Z446" s="6" t="s">
        <v>104</v>
      </c>
      <c r="AA446" s="6" t="s">
        <v>104</v>
      </c>
      <c r="AB446" s="6" t="s">
        <v>104</v>
      </c>
      <c r="AC446" s="6" t="s">
        <v>9714</v>
      </c>
      <c r="AD446" s="16" t="n">
        <v>45044</v>
      </c>
      <c r="AE446" s="6" t="s">
        <v>10921</v>
      </c>
      <c r="AF446" s="6" t="s">
        <v>104</v>
      </c>
      <c r="AG446" s="6" t="s">
        <v>12608</v>
      </c>
      <c r="AH446" s="6" t="s">
        <v>13557</v>
      </c>
      <c r="AI446" s="6" t="s">
        <v>104</v>
      </c>
      <c r="AJ446" s="6" t="s">
        <v>15670</v>
      </c>
      <c r="AK446" s="6" t="s">
        <v>16707</v>
      </c>
      <c r="AL446" s="6" t="s">
        <v>16930</v>
      </c>
      <c r="AM446" s="6" t="s">
        <v>17288</v>
      </c>
      <c r="AN446" s="6" t="s">
        <v>104</v>
      </c>
      <c r="AO446" s="6" t="s">
        <v>104</v>
      </c>
      <c r="AP446" s="6" t="s">
        <v>104</v>
      </c>
      <c r="AQ446" s="6" t="s">
        <v>104</v>
      </c>
      <c r="AR446" s="6" t="s">
        <v>104</v>
      </c>
      <c r="AS446" s="6" t="s">
        <v>104</v>
      </c>
      <c r="AT446" s="6" t="s">
        <v>104</v>
      </c>
      <c r="AU446" s="6" t="s">
        <v>104</v>
      </c>
      <c r="AV446" s="6" t="s">
        <v>104</v>
      </c>
      <c r="AW446" s="6" t="s">
        <v>104</v>
      </c>
      <c r="AX446" s="6" t="s">
        <v>20473</v>
      </c>
      <c r="AY446" s="6" t="s">
        <v>22230</v>
      </c>
      <c r="AZ446" s="6" t="s">
        <v>104</v>
      </c>
      <c r="BA446" s="6" t="s">
        <v>104</v>
      </c>
      <c r="BB446" s="6" t="s">
        <v>104</v>
      </c>
      <c r="BC446" s="26"/>
      <c r="BD446" s="26"/>
      <c r="BE446" s="26"/>
      <c r="BF446" s="26"/>
      <c r="BG446" s="26"/>
      <c r="BH446" s="26"/>
      <c r="BI446" s="26"/>
      <c r="BJ446" s="26"/>
      <c r="BK446" s="26"/>
      <c r="BL446" s="26"/>
      <c r="BM446" s="26"/>
      <c r="BN446" s="26"/>
      <c r="BO446" s="26"/>
      <c r="BP446" s="16" t="n">
        <v>45737</v>
      </c>
      <c r="BQ446" s="28" t="str">
        <f>HYPERLINK("https://organic.ams.usda.gov/Integrity/Certificate.aspx?cid=32&amp;nopid=2230010372")</f>
        <v>https://organic.ams.usda.gov/Integrity/Certificate.aspx?cid=32&amp;nopid=2230010372</v>
      </c>
    </row>
    <row r="447">
      <c r="A447" t="s">
        <v>3</v>
      </c>
      <c r="B447" s="6" t="s">
        <v>31</v>
      </c>
      <c r="C447" s="6" t="s">
        <v>97</v>
      </c>
      <c r="D447" s="6" t="s">
        <v>162</v>
      </c>
      <c r="E447" s="10" t="s">
        <v>645</v>
      </c>
      <c r="F447" s="6" t="s">
        <v>2899</v>
      </c>
      <c r="G447" s="6" t="s">
        <v>104</v>
      </c>
      <c r="H447" s="6" t="s">
        <v>5296</v>
      </c>
      <c r="I447" s="6" t="s">
        <v>7237</v>
      </c>
      <c r="J447" s="6" t="s">
        <v>8479</v>
      </c>
      <c r="K447" s="6" t="s">
        <v>9714</v>
      </c>
      <c r="L447" s="16" t="n">
        <v>42821</v>
      </c>
      <c r="M447" s="16" t="n">
        <v>45742</v>
      </c>
      <c r="N447" s="6" t="s">
        <v>9714</v>
      </c>
      <c r="O447" s="16" t="n">
        <v>42821</v>
      </c>
      <c r="P447" s="6" t="s">
        <v>9852</v>
      </c>
      <c r="Q447" s="6" t="s">
        <v>104</v>
      </c>
      <c r="R447" s="6" t="s">
        <v>10336</v>
      </c>
      <c r="S447" s="6" t="s">
        <v>104</v>
      </c>
      <c r="T447" s="21" t="s">
        <v>104</v>
      </c>
      <c r="U447" s="6" t="s">
        <v>104</v>
      </c>
      <c r="V447" s="6" t="s">
        <v>104</v>
      </c>
      <c r="W447" s="6" t="s">
        <v>104</v>
      </c>
      <c r="X447" s="6" t="s">
        <v>104</v>
      </c>
      <c r="Y447" s="21" t="s">
        <v>104</v>
      </c>
      <c r="Z447" s="6" t="s">
        <v>104</v>
      </c>
      <c r="AA447" s="6" t="s">
        <v>104</v>
      </c>
      <c r="AB447" s="6" t="s">
        <v>104</v>
      </c>
      <c r="AC447" s="6" t="s">
        <v>9714</v>
      </c>
      <c r="AD447" s="16" t="n">
        <v>42821</v>
      </c>
      <c r="AE447" s="6" t="s">
        <v>10922</v>
      </c>
      <c r="AF447" s="6" t="s">
        <v>104</v>
      </c>
      <c r="AG447" s="6" t="s">
        <v>10336</v>
      </c>
      <c r="AH447" s="6" t="s">
        <v>13558</v>
      </c>
      <c r="AI447" s="6" t="s">
        <v>104</v>
      </c>
      <c r="AJ447" s="6" t="s">
        <v>15671</v>
      </c>
      <c r="AK447" s="6" t="s">
        <v>16774</v>
      </c>
      <c r="AL447" s="6" t="s">
        <v>16962</v>
      </c>
      <c r="AM447" s="6" t="s">
        <v>104</v>
      </c>
      <c r="AN447" s="6" t="s">
        <v>104</v>
      </c>
      <c r="AO447" s="6" t="s">
        <v>104</v>
      </c>
      <c r="AP447" s="6" t="s">
        <v>13558</v>
      </c>
      <c r="AQ447" s="6" t="s">
        <v>104</v>
      </c>
      <c r="AR447" s="6" t="s">
        <v>15671</v>
      </c>
      <c r="AS447" s="6" t="s">
        <v>16774</v>
      </c>
      <c r="AT447" s="6" t="s">
        <v>16962</v>
      </c>
      <c r="AU447" s="6" t="s">
        <v>104</v>
      </c>
      <c r="AV447" s="6" t="s">
        <v>104</v>
      </c>
      <c r="AW447" s="6" t="s">
        <v>104</v>
      </c>
      <c r="AX447" s="6" t="s">
        <v>20474</v>
      </c>
      <c r="AY447" s="6" t="s">
        <v>22231</v>
      </c>
      <c r="AZ447" s="6" t="s">
        <v>104</v>
      </c>
      <c r="BA447" s="6" t="s">
        <v>104</v>
      </c>
      <c r="BB447" s="24" t="n">
        <v>278</v>
      </c>
      <c r="BC447" s="26"/>
      <c r="BD447" s="26"/>
      <c r="BE447" s="26"/>
      <c r="BF447" s="26"/>
      <c r="BG447" s="26"/>
      <c r="BH447" s="26"/>
      <c r="BI447" s="26"/>
      <c r="BJ447" s="26"/>
      <c r="BK447" s="26"/>
      <c r="BL447" s="26"/>
      <c r="BM447" s="26"/>
      <c r="BN447" s="26"/>
      <c r="BO447" s="26" t="s">
        <v>24533</v>
      </c>
      <c r="BP447" s="16" t="n">
        <v>45433</v>
      </c>
      <c r="BQ447" s="28" t="str">
        <f>HYPERLINK("https://organic.ams.usda.gov/Integrity/Certificate.aspx?cid=43&amp;nopid=3532017080")</f>
        <v>https://organic.ams.usda.gov/Integrity/Certificate.aspx?cid=43&amp;nopid=3532017080</v>
      </c>
    </row>
    <row r="448">
      <c r="A448" t="s">
        <v>3</v>
      </c>
      <c r="B448" s="6" t="s">
        <v>18</v>
      </c>
      <c r="C448" s="6" t="s">
        <v>84</v>
      </c>
      <c r="D448" s="6" t="s">
        <v>149</v>
      </c>
      <c r="E448" s="10" t="s">
        <v>646</v>
      </c>
      <c r="F448" s="6" t="s">
        <v>2900</v>
      </c>
      <c r="G448" s="6" t="s">
        <v>4716</v>
      </c>
      <c r="H448" s="6" t="s">
        <v>5297</v>
      </c>
      <c r="I448" s="6" t="s">
        <v>7238</v>
      </c>
      <c r="J448" s="6" t="s">
        <v>8480</v>
      </c>
      <c r="K448" s="6" t="s">
        <v>9714</v>
      </c>
      <c r="L448" s="16" t="n">
        <v>43112</v>
      </c>
      <c r="M448" s="16" t="n">
        <v>45956</v>
      </c>
      <c r="N448" s="6" t="s">
        <v>104</v>
      </c>
      <c r="O448" s="21" t="s">
        <v>104</v>
      </c>
      <c r="P448" s="6" t="s">
        <v>104</v>
      </c>
      <c r="Q448" s="6" t="s">
        <v>104</v>
      </c>
      <c r="R448" s="6" t="s">
        <v>104</v>
      </c>
      <c r="S448" s="6" t="s">
        <v>104</v>
      </c>
      <c r="T448" s="21" t="s">
        <v>104</v>
      </c>
      <c r="U448" s="6" t="s">
        <v>104</v>
      </c>
      <c r="V448" s="6" t="s">
        <v>104</v>
      </c>
      <c r="W448" s="6" t="s">
        <v>104</v>
      </c>
      <c r="X448" s="6" t="s">
        <v>104</v>
      </c>
      <c r="Y448" s="21" t="s">
        <v>104</v>
      </c>
      <c r="Z448" s="6" t="s">
        <v>104</v>
      </c>
      <c r="AA448" s="6" t="s">
        <v>104</v>
      </c>
      <c r="AB448" s="6" t="s">
        <v>104</v>
      </c>
      <c r="AC448" s="6" t="s">
        <v>9714</v>
      </c>
      <c r="AD448" s="16" t="n">
        <v>43112</v>
      </c>
      <c r="AE448" s="6" t="s">
        <v>10923</v>
      </c>
      <c r="AF448" s="6" t="s">
        <v>104</v>
      </c>
      <c r="AG448" s="6" t="s">
        <v>12609</v>
      </c>
      <c r="AH448" s="6" t="s">
        <v>13559</v>
      </c>
      <c r="AI448" s="6" t="s">
        <v>104</v>
      </c>
      <c r="AJ448" s="6" t="s">
        <v>15672</v>
      </c>
      <c r="AK448" s="6" t="s">
        <v>16738</v>
      </c>
      <c r="AL448" s="6" t="s">
        <v>16931</v>
      </c>
      <c r="AM448" s="6" t="s">
        <v>17289</v>
      </c>
      <c r="AN448" s="6" t="s">
        <v>18512</v>
      </c>
      <c r="AO448" s="6" t="s">
        <v>18660</v>
      </c>
      <c r="AP448" s="6" t="s">
        <v>19077</v>
      </c>
      <c r="AQ448" s="6" t="s">
        <v>104</v>
      </c>
      <c r="AR448" s="6" t="s">
        <v>19633</v>
      </c>
      <c r="AS448" s="6" t="s">
        <v>16738</v>
      </c>
      <c r="AT448" s="6" t="s">
        <v>16931</v>
      </c>
      <c r="AU448" s="6" t="s">
        <v>19863</v>
      </c>
      <c r="AV448" s="6" t="s">
        <v>104</v>
      </c>
      <c r="AW448" s="6" t="s">
        <v>104</v>
      </c>
      <c r="AX448" s="6" t="s">
        <v>20475</v>
      </c>
      <c r="AY448" s="6" t="s">
        <v>22232</v>
      </c>
      <c r="AZ448" s="6" t="s">
        <v>104</v>
      </c>
      <c r="BA448" s="6" t="s">
        <v>24329</v>
      </c>
      <c r="BB448" s="6" t="s">
        <v>104</v>
      </c>
      <c r="BC448" s="26"/>
      <c r="BD448" s="26"/>
      <c r="BE448" s="26"/>
      <c r="BF448" s="26"/>
      <c r="BG448" s="26"/>
      <c r="BH448" s="26"/>
      <c r="BI448" s="26"/>
      <c r="BJ448" s="26"/>
      <c r="BK448" s="26"/>
      <c r="BL448" s="26"/>
      <c r="BM448" s="26"/>
      <c r="BN448" s="26" t="s">
        <v>24533</v>
      </c>
      <c r="BO448" s="26"/>
      <c r="BP448" s="16" t="n">
        <v>45737</v>
      </c>
      <c r="BQ448" s="28" t="str">
        <f>HYPERLINK("https://organic.ams.usda.gov/Integrity/Certificate.aspx?cid=31&amp;nopid=3928050004")</f>
        <v>https://organic.ams.usda.gov/Integrity/Certificate.aspx?cid=31&amp;nopid=3928050004</v>
      </c>
    </row>
    <row r="449">
      <c r="A449" t="s">
        <v>3</v>
      </c>
      <c r="B449" s="6" t="s">
        <v>18</v>
      </c>
      <c r="C449" s="6" t="s">
        <v>84</v>
      </c>
      <c r="D449" s="6" t="s">
        <v>149</v>
      </c>
      <c r="E449" s="10" t="s">
        <v>647</v>
      </c>
      <c r="F449" s="6" t="s">
        <v>2901</v>
      </c>
      <c r="G449" s="6" t="s">
        <v>104</v>
      </c>
      <c r="H449" s="6" t="s">
        <v>5298</v>
      </c>
      <c r="I449" s="6" t="s">
        <v>7238</v>
      </c>
      <c r="J449" s="6" t="s">
        <v>8481</v>
      </c>
      <c r="K449" s="6" t="s">
        <v>9714</v>
      </c>
      <c r="L449" s="16" t="n">
        <v>44036</v>
      </c>
      <c r="M449" s="16" t="n">
        <v>45956</v>
      </c>
      <c r="N449" s="6" t="s">
        <v>104</v>
      </c>
      <c r="O449" s="21" t="s">
        <v>104</v>
      </c>
      <c r="P449" s="6" t="s">
        <v>104</v>
      </c>
      <c r="Q449" s="6" t="s">
        <v>104</v>
      </c>
      <c r="R449" s="6" t="s">
        <v>104</v>
      </c>
      <c r="S449" s="6" t="s">
        <v>104</v>
      </c>
      <c r="T449" s="21" t="s">
        <v>104</v>
      </c>
      <c r="U449" s="6" t="s">
        <v>104</v>
      </c>
      <c r="V449" s="6" t="s">
        <v>104</v>
      </c>
      <c r="W449" s="6" t="s">
        <v>104</v>
      </c>
      <c r="X449" s="6" t="s">
        <v>104</v>
      </c>
      <c r="Y449" s="21" t="s">
        <v>104</v>
      </c>
      <c r="Z449" s="6" t="s">
        <v>104</v>
      </c>
      <c r="AA449" s="6" t="s">
        <v>104</v>
      </c>
      <c r="AB449" s="6" t="s">
        <v>104</v>
      </c>
      <c r="AC449" s="6" t="s">
        <v>9714</v>
      </c>
      <c r="AD449" s="16" t="n">
        <v>44036</v>
      </c>
      <c r="AE449" s="6" t="s">
        <v>10924</v>
      </c>
      <c r="AF449" s="6" t="s">
        <v>104</v>
      </c>
      <c r="AG449" s="6" t="s">
        <v>12610</v>
      </c>
      <c r="AH449" s="6" t="s">
        <v>13560</v>
      </c>
      <c r="AI449" s="6" t="s">
        <v>104</v>
      </c>
      <c r="AJ449" s="6" t="s">
        <v>15673</v>
      </c>
      <c r="AK449" s="6" t="s">
        <v>16738</v>
      </c>
      <c r="AL449" s="6" t="s">
        <v>16931</v>
      </c>
      <c r="AM449" s="6" t="s">
        <v>17290</v>
      </c>
      <c r="AN449" s="6" t="s">
        <v>18512</v>
      </c>
      <c r="AO449" s="6" t="s">
        <v>18660</v>
      </c>
      <c r="AP449" s="6" t="s">
        <v>19077</v>
      </c>
      <c r="AQ449" s="6" t="s">
        <v>104</v>
      </c>
      <c r="AR449" s="6" t="s">
        <v>19633</v>
      </c>
      <c r="AS449" s="6" t="s">
        <v>16738</v>
      </c>
      <c r="AT449" s="6" t="s">
        <v>16931</v>
      </c>
      <c r="AU449" s="6" t="s">
        <v>19863</v>
      </c>
      <c r="AV449" s="6" t="s">
        <v>104</v>
      </c>
      <c r="AW449" s="6" t="s">
        <v>104</v>
      </c>
      <c r="AX449" s="6" t="s">
        <v>20475</v>
      </c>
      <c r="AY449" s="6" t="s">
        <v>22232</v>
      </c>
      <c r="AZ449" s="6" t="s">
        <v>104</v>
      </c>
      <c r="BA449" s="6" t="s">
        <v>24330</v>
      </c>
      <c r="BB449" s="6" t="s">
        <v>104</v>
      </c>
      <c r="BC449" s="26"/>
      <c r="BD449" s="26"/>
      <c r="BE449" s="26"/>
      <c r="BF449" s="26"/>
      <c r="BG449" s="26"/>
      <c r="BH449" s="26"/>
      <c r="BI449" s="26"/>
      <c r="BJ449" s="26"/>
      <c r="BK449" s="26"/>
      <c r="BL449" s="26"/>
      <c r="BM449" s="26"/>
      <c r="BN449" s="26" t="s">
        <v>24533</v>
      </c>
      <c r="BO449" s="26"/>
      <c r="BP449" s="16" t="n">
        <v>45737</v>
      </c>
      <c r="BQ449" s="28" t="str">
        <f>HYPERLINK("https://organic.ams.usda.gov/Integrity/Certificate.aspx?cid=31&amp;nopid=3928972116")</f>
        <v>https://organic.ams.usda.gov/Integrity/Certificate.aspx?cid=31&amp;nopid=3928972116</v>
      </c>
    </row>
    <row r="450">
      <c r="A450" t="s">
        <v>3</v>
      </c>
      <c r="B450" s="6" t="s">
        <v>18</v>
      </c>
      <c r="C450" s="6" t="s">
        <v>84</v>
      </c>
      <c r="D450" s="6" t="s">
        <v>149</v>
      </c>
      <c r="E450" s="10" t="s">
        <v>648</v>
      </c>
      <c r="F450" s="6" t="s">
        <v>2902</v>
      </c>
      <c r="G450" s="6" t="s">
        <v>4717</v>
      </c>
      <c r="H450" s="6" t="s">
        <v>5299</v>
      </c>
      <c r="I450" s="6" t="s">
        <v>7238</v>
      </c>
      <c r="J450" s="6" t="s">
        <v>8480</v>
      </c>
      <c r="K450" s="6" t="s">
        <v>9714</v>
      </c>
      <c r="L450" s="16" t="n">
        <v>43371</v>
      </c>
      <c r="M450" s="16" t="n">
        <v>45956</v>
      </c>
      <c r="N450" s="6" t="s">
        <v>104</v>
      </c>
      <c r="O450" s="21" t="s">
        <v>104</v>
      </c>
      <c r="P450" s="6" t="s">
        <v>104</v>
      </c>
      <c r="Q450" s="6" t="s">
        <v>104</v>
      </c>
      <c r="R450" s="6" t="s">
        <v>104</v>
      </c>
      <c r="S450" s="6" t="s">
        <v>104</v>
      </c>
      <c r="T450" s="21" t="s">
        <v>104</v>
      </c>
      <c r="U450" s="6" t="s">
        <v>104</v>
      </c>
      <c r="V450" s="6" t="s">
        <v>104</v>
      </c>
      <c r="W450" s="6" t="s">
        <v>104</v>
      </c>
      <c r="X450" s="6" t="s">
        <v>104</v>
      </c>
      <c r="Y450" s="21" t="s">
        <v>104</v>
      </c>
      <c r="Z450" s="6" t="s">
        <v>104</v>
      </c>
      <c r="AA450" s="6" t="s">
        <v>104</v>
      </c>
      <c r="AB450" s="6" t="s">
        <v>104</v>
      </c>
      <c r="AC450" s="6" t="s">
        <v>9714</v>
      </c>
      <c r="AD450" s="16" t="n">
        <v>43371</v>
      </c>
      <c r="AE450" s="6" t="s">
        <v>10925</v>
      </c>
      <c r="AF450" s="6" t="s">
        <v>104</v>
      </c>
      <c r="AG450" s="6" t="s">
        <v>12611</v>
      </c>
      <c r="AH450" s="6" t="s">
        <v>13561</v>
      </c>
      <c r="AI450" s="6" t="s">
        <v>104</v>
      </c>
      <c r="AJ450" s="6" t="s">
        <v>15673</v>
      </c>
      <c r="AK450" s="6" t="s">
        <v>16738</v>
      </c>
      <c r="AL450" s="6" t="s">
        <v>16931</v>
      </c>
      <c r="AM450" s="6" t="s">
        <v>17290</v>
      </c>
      <c r="AN450" s="6" t="s">
        <v>18512</v>
      </c>
      <c r="AO450" s="6" t="s">
        <v>18660</v>
      </c>
      <c r="AP450" s="6" t="s">
        <v>19077</v>
      </c>
      <c r="AQ450" s="6" t="s">
        <v>104</v>
      </c>
      <c r="AR450" s="6" t="s">
        <v>19633</v>
      </c>
      <c r="AS450" s="6" t="s">
        <v>16738</v>
      </c>
      <c r="AT450" s="6" t="s">
        <v>16931</v>
      </c>
      <c r="AU450" s="6" t="s">
        <v>19863</v>
      </c>
      <c r="AV450" s="6" t="s">
        <v>104</v>
      </c>
      <c r="AW450" s="6" t="s">
        <v>104</v>
      </c>
      <c r="AX450" s="6" t="s">
        <v>20475</v>
      </c>
      <c r="AY450" s="6" t="s">
        <v>22232</v>
      </c>
      <c r="AZ450" s="6" t="s">
        <v>104</v>
      </c>
      <c r="BA450" s="6" t="s">
        <v>24331</v>
      </c>
      <c r="BB450" s="6" t="s">
        <v>104</v>
      </c>
      <c r="BC450" s="26"/>
      <c r="BD450" s="26"/>
      <c r="BE450" s="26"/>
      <c r="BF450" s="26"/>
      <c r="BG450" s="26"/>
      <c r="BH450" s="26"/>
      <c r="BI450" s="26"/>
      <c r="BJ450" s="26"/>
      <c r="BK450" s="26"/>
      <c r="BL450" s="26"/>
      <c r="BM450" s="26"/>
      <c r="BN450" s="26" t="s">
        <v>24533</v>
      </c>
      <c r="BO450" s="26"/>
      <c r="BP450" s="16" t="n">
        <v>45737</v>
      </c>
      <c r="BQ450" s="28" t="str">
        <f>HYPERLINK("https://organic.ams.usda.gov/Integrity/Certificate.aspx?cid=31&amp;nopid=3921675002")</f>
        <v>https://organic.ams.usda.gov/Integrity/Certificate.aspx?cid=31&amp;nopid=3921675002</v>
      </c>
    </row>
    <row r="451">
      <c r="A451" t="s">
        <v>3</v>
      </c>
      <c r="B451" s="6" t="s">
        <v>20</v>
      </c>
      <c r="C451" s="6" t="s">
        <v>86</v>
      </c>
      <c r="D451" s="6" t="s">
        <v>151</v>
      </c>
      <c r="E451" s="10" t="s">
        <v>649</v>
      </c>
      <c r="F451" s="6" t="s">
        <v>2903</v>
      </c>
      <c r="G451" s="6" t="s">
        <v>104</v>
      </c>
      <c r="H451" s="6" t="s">
        <v>5300</v>
      </c>
      <c r="I451" s="6" t="s">
        <v>7239</v>
      </c>
      <c r="J451" s="6" t="s">
        <v>8482</v>
      </c>
      <c r="K451" s="6" t="s">
        <v>9714</v>
      </c>
      <c r="L451" s="16" t="n">
        <v>45623</v>
      </c>
      <c r="M451" s="16" t="n">
        <v>45961</v>
      </c>
      <c r="N451" s="6" t="s">
        <v>104</v>
      </c>
      <c r="O451" s="21" t="s">
        <v>104</v>
      </c>
      <c r="P451" s="6" t="s">
        <v>104</v>
      </c>
      <c r="Q451" s="6" t="s">
        <v>104</v>
      </c>
      <c r="R451" s="6" t="s">
        <v>104</v>
      </c>
      <c r="S451" s="6" t="s">
        <v>104</v>
      </c>
      <c r="T451" s="21" t="s">
        <v>104</v>
      </c>
      <c r="U451" s="6" t="s">
        <v>104</v>
      </c>
      <c r="V451" s="6" t="s">
        <v>104</v>
      </c>
      <c r="W451" s="6" t="s">
        <v>104</v>
      </c>
      <c r="X451" s="6" t="s">
        <v>104</v>
      </c>
      <c r="Y451" s="21" t="s">
        <v>104</v>
      </c>
      <c r="Z451" s="6" t="s">
        <v>104</v>
      </c>
      <c r="AA451" s="6" t="s">
        <v>104</v>
      </c>
      <c r="AB451" s="6" t="s">
        <v>104</v>
      </c>
      <c r="AC451" s="6" t="s">
        <v>9714</v>
      </c>
      <c r="AD451" s="16" t="n">
        <v>45623</v>
      </c>
      <c r="AE451" s="6" t="s">
        <v>10926</v>
      </c>
      <c r="AF451" s="6" t="s">
        <v>104</v>
      </c>
      <c r="AG451" s="6" t="s">
        <v>12612</v>
      </c>
      <c r="AH451" s="6" t="s">
        <v>13562</v>
      </c>
      <c r="AI451" s="6" t="s">
        <v>104</v>
      </c>
      <c r="AJ451" s="6" t="s">
        <v>15674</v>
      </c>
      <c r="AK451" s="6" t="s">
        <v>15674</v>
      </c>
      <c r="AL451" s="6" t="s">
        <v>16933</v>
      </c>
      <c r="AM451" s="6" t="s">
        <v>17291</v>
      </c>
      <c r="AN451" s="6" t="s">
        <v>104</v>
      </c>
      <c r="AO451" s="6" t="s">
        <v>104</v>
      </c>
      <c r="AP451" s="6" t="s">
        <v>104</v>
      </c>
      <c r="AQ451" s="6" t="s">
        <v>104</v>
      </c>
      <c r="AR451" s="6" t="s">
        <v>104</v>
      </c>
      <c r="AS451" s="6" t="s">
        <v>104</v>
      </c>
      <c r="AT451" s="6" t="s">
        <v>104</v>
      </c>
      <c r="AU451" s="6" t="s">
        <v>104</v>
      </c>
      <c r="AV451" s="6" t="s">
        <v>104</v>
      </c>
      <c r="AW451" s="6" t="s">
        <v>104</v>
      </c>
      <c r="AX451" s="6" t="s">
        <v>104</v>
      </c>
      <c r="AY451" s="6" t="s">
        <v>22233</v>
      </c>
      <c r="AZ451" s="6" t="s">
        <v>104</v>
      </c>
      <c r="BA451" s="6" t="s">
        <v>24332</v>
      </c>
      <c r="BB451" s="6" t="s">
        <v>104</v>
      </c>
      <c r="BC451" s="26"/>
      <c r="BD451" s="26"/>
      <c r="BE451" s="26"/>
      <c r="BF451" s="26"/>
      <c r="BG451" s="26"/>
      <c r="BH451" s="26"/>
      <c r="BI451" s="26"/>
      <c r="BJ451" s="26"/>
      <c r="BK451" s="26"/>
      <c r="BL451" s="26"/>
      <c r="BM451" s="26"/>
      <c r="BN451" s="26"/>
      <c r="BO451" s="26"/>
      <c r="BP451" s="16" t="n">
        <v>45714</v>
      </c>
      <c r="BQ451" s="28" t="str">
        <f>HYPERLINK("https://organic.ams.usda.gov/Integrity/Certificate.aspx?cid=17&amp;nopid=4080208484")</f>
        <v>https://organic.ams.usda.gov/Integrity/Certificate.aspx?cid=17&amp;nopid=4080208484</v>
      </c>
    </row>
    <row r="452">
      <c r="A452" t="s">
        <v>3</v>
      </c>
      <c r="B452" s="6" t="s">
        <v>21</v>
      </c>
      <c r="C452" s="6" t="s">
        <v>87</v>
      </c>
      <c r="D452" s="6" t="s">
        <v>152</v>
      </c>
      <c r="E452" s="10" t="s">
        <v>650</v>
      </c>
      <c r="F452" s="6" t="s">
        <v>2904</v>
      </c>
      <c r="G452" s="6" t="s">
        <v>104</v>
      </c>
      <c r="H452" s="6" t="s">
        <v>5301</v>
      </c>
      <c r="I452" s="6" t="s">
        <v>7071</v>
      </c>
      <c r="J452" s="6" t="s">
        <v>8483</v>
      </c>
      <c r="K452" s="6" t="s">
        <v>9714</v>
      </c>
      <c r="L452" s="16" t="n">
        <v>44132</v>
      </c>
      <c r="M452" s="16" t="n">
        <v>46023</v>
      </c>
      <c r="N452" s="6" t="s">
        <v>104</v>
      </c>
      <c r="O452" s="21" t="s">
        <v>104</v>
      </c>
      <c r="P452" s="6" t="s">
        <v>104</v>
      </c>
      <c r="Q452" s="6" t="s">
        <v>104</v>
      </c>
      <c r="R452" s="6" t="s">
        <v>104</v>
      </c>
      <c r="S452" s="6" t="s">
        <v>104</v>
      </c>
      <c r="T452" s="21" t="s">
        <v>104</v>
      </c>
      <c r="U452" s="6" t="s">
        <v>104</v>
      </c>
      <c r="V452" s="6" t="s">
        <v>104</v>
      </c>
      <c r="W452" s="6" t="s">
        <v>104</v>
      </c>
      <c r="X452" s="6" t="s">
        <v>104</v>
      </c>
      <c r="Y452" s="21" t="s">
        <v>104</v>
      </c>
      <c r="Z452" s="6" t="s">
        <v>104</v>
      </c>
      <c r="AA452" s="6" t="s">
        <v>104</v>
      </c>
      <c r="AB452" s="6" t="s">
        <v>104</v>
      </c>
      <c r="AC452" s="6" t="s">
        <v>9714</v>
      </c>
      <c r="AD452" s="16" t="n">
        <v>44132</v>
      </c>
      <c r="AE452" s="6" t="s">
        <v>10927</v>
      </c>
      <c r="AF452" s="6" t="s">
        <v>104</v>
      </c>
      <c r="AG452" s="6" t="s">
        <v>104</v>
      </c>
      <c r="AH452" s="6" t="s">
        <v>13563</v>
      </c>
      <c r="AI452" s="6" t="s">
        <v>104</v>
      </c>
      <c r="AJ452" s="6" t="s">
        <v>15675</v>
      </c>
      <c r="AK452" s="6" t="s">
        <v>16687</v>
      </c>
      <c r="AL452" s="6" t="s">
        <v>16931</v>
      </c>
      <c r="AM452" s="6" t="s">
        <v>17292</v>
      </c>
      <c r="AN452" s="6" t="s">
        <v>18487</v>
      </c>
      <c r="AO452" s="6" t="s">
        <v>18601</v>
      </c>
      <c r="AP452" s="6" t="s">
        <v>13563</v>
      </c>
      <c r="AQ452" s="6" t="s">
        <v>104</v>
      </c>
      <c r="AR452" s="6" t="s">
        <v>15675</v>
      </c>
      <c r="AS452" s="6" t="s">
        <v>16687</v>
      </c>
      <c r="AT452" s="6" t="s">
        <v>16931</v>
      </c>
      <c r="AU452" s="6" t="s">
        <v>17292</v>
      </c>
      <c r="AV452" s="6" t="s">
        <v>104</v>
      </c>
      <c r="AW452" s="6" t="s">
        <v>104</v>
      </c>
      <c r="AX452" s="6" t="s">
        <v>20476</v>
      </c>
      <c r="AY452" s="6" t="s">
        <v>22234</v>
      </c>
      <c r="AZ452" s="6" t="s">
        <v>23804</v>
      </c>
      <c r="BA452" s="6" t="s">
        <v>104</v>
      </c>
      <c r="BB452" s="6" t="s">
        <v>104</v>
      </c>
      <c r="BC452" s="26"/>
      <c r="BD452" s="26"/>
      <c r="BE452" s="26"/>
      <c r="BF452" s="26"/>
      <c r="BG452" s="26"/>
      <c r="BH452" s="26"/>
      <c r="BI452" s="26"/>
      <c r="BJ452" s="26"/>
      <c r="BK452" s="26"/>
      <c r="BL452" s="26"/>
      <c r="BM452" s="26"/>
      <c r="BN452" s="26"/>
      <c r="BO452" s="26"/>
      <c r="BP452" s="16" t="n">
        <v>45667</v>
      </c>
      <c r="BQ452" s="28" t="str">
        <f>HYPERLINK("https://organic.ams.usda.gov/Integrity/Certificate.aspx?cid=15&amp;nopid=5561006129")</f>
        <v>https://organic.ams.usda.gov/Integrity/Certificate.aspx?cid=15&amp;nopid=5561006129</v>
      </c>
    </row>
    <row r="453">
      <c r="A453" t="s">
        <v>3</v>
      </c>
      <c r="B453" s="6" t="s">
        <v>21</v>
      </c>
      <c r="C453" s="6" t="s">
        <v>87</v>
      </c>
      <c r="D453" s="6" t="s">
        <v>152</v>
      </c>
      <c r="E453" s="10" t="s">
        <v>651</v>
      </c>
      <c r="F453" s="6" t="s">
        <v>2905</v>
      </c>
      <c r="G453" s="6" t="s">
        <v>4718</v>
      </c>
      <c r="H453" s="6" t="s">
        <v>5302</v>
      </c>
      <c r="I453" s="6" t="s">
        <v>7240</v>
      </c>
      <c r="J453" s="6" t="s">
        <v>8484</v>
      </c>
      <c r="K453" s="6" t="s">
        <v>9714</v>
      </c>
      <c r="L453" s="16" t="n">
        <v>44547</v>
      </c>
      <c r="M453" s="16" t="n">
        <v>46023</v>
      </c>
      <c r="N453" s="6" t="s">
        <v>104</v>
      </c>
      <c r="O453" s="21" t="s">
        <v>104</v>
      </c>
      <c r="P453" s="6" t="s">
        <v>104</v>
      </c>
      <c r="Q453" s="6" t="s">
        <v>104</v>
      </c>
      <c r="R453" s="6" t="s">
        <v>104</v>
      </c>
      <c r="S453" s="6" t="s">
        <v>104</v>
      </c>
      <c r="T453" s="21" t="s">
        <v>104</v>
      </c>
      <c r="U453" s="6" t="s">
        <v>104</v>
      </c>
      <c r="V453" s="6" t="s">
        <v>104</v>
      </c>
      <c r="W453" s="6" t="s">
        <v>104</v>
      </c>
      <c r="X453" s="6" t="s">
        <v>104</v>
      </c>
      <c r="Y453" s="21" t="s">
        <v>104</v>
      </c>
      <c r="Z453" s="6" t="s">
        <v>104</v>
      </c>
      <c r="AA453" s="6" t="s">
        <v>104</v>
      </c>
      <c r="AB453" s="6" t="s">
        <v>104</v>
      </c>
      <c r="AC453" s="6" t="s">
        <v>9714</v>
      </c>
      <c r="AD453" s="16" t="n">
        <v>44547</v>
      </c>
      <c r="AE453" s="6" t="s">
        <v>10928</v>
      </c>
      <c r="AF453" s="6" t="s">
        <v>104</v>
      </c>
      <c r="AG453" s="6" t="s">
        <v>104</v>
      </c>
      <c r="AH453" s="6" t="s">
        <v>13564</v>
      </c>
      <c r="AI453" s="6" t="s">
        <v>104</v>
      </c>
      <c r="AJ453" s="6" t="s">
        <v>15676</v>
      </c>
      <c r="AK453" s="6" t="s">
        <v>16775</v>
      </c>
      <c r="AL453" s="6" t="s">
        <v>16931</v>
      </c>
      <c r="AM453" s="6" t="s">
        <v>17293</v>
      </c>
      <c r="AN453" s="6" t="s">
        <v>18465</v>
      </c>
      <c r="AO453" s="6" t="s">
        <v>18661</v>
      </c>
      <c r="AP453" s="6" t="s">
        <v>13564</v>
      </c>
      <c r="AQ453" s="6" t="s">
        <v>104</v>
      </c>
      <c r="AR453" s="6" t="s">
        <v>15676</v>
      </c>
      <c r="AS453" s="6" t="s">
        <v>16775</v>
      </c>
      <c r="AT453" s="6" t="s">
        <v>16931</v>
      </c>
      <c r="AU453" s="6" t="s">
        <v>17293</v>
      </c>
      <c r="AV453" s="6" t="s">
        <v>104</v>
      </c>
      <c r="AW453" s="6" t="s">
        <v>104</v>
      </c>
      <c r="AX453" s="6" t="s">
        <v>20477</v>
      </c>
      <c r="AY453" s="6" t="s">
        <v>22235</v>
      </c>
      <c r="AZ453" s="6" t="s">
        <v>104</v>
      </c>
      <c r="BA453" s="6" t="s">
        <v>104</v>
      </c>
      <c r="BB453" s="6" t="s">
        <v>104</v>
      </c>
      <c r="BC453" s="26"/>
      <c r="BD453" s="26"/>
      <c r="BE453" s="26"/>
      <c r="BF453" s="26"/>
      <c r="BG453" s="26"/>
      <c r="BH453" s="26"/>
      <c r="BI453" s="26"/>
      <c r="BJ453" s="26"/>
      <c r="BK453" s="26"/>
      <c r="BL453" s="26"/>
      <c r="BM453" s="26"/>
      <c r="BN453" s="26"/>
      <c r="BO453" s="26"/>
      <c r="BP453" s="16" t="n">
        <v>45667</v>
      </c>
      <c r="BQ453" s="28" t="str">
        <f>HYPERLINK("https://organic.ams.usda.gov/Integrity/Certificate.aspx?cid=15&amp;nopid=5561007158")</f>
        <v>https://organic.ams.usda.gov/Integrity/Certificate.aspx?cid=15&amp;nopid=5561007158</v>
      </c>
    </row>
    <row r="454">
      <c r="A454" t="s">
        <v>3</v>
      </c>
      <c r="B454" s="6" t="s">
        <v>43</v>
      </c>
      <c r="C454" s="6" t="s">
        <v>109</v>
      </c>
      <c r="D454" s="6" t="s">
        <v>173</v>
      </c>
      <c r="E454" s="10" t="s">
        <v>652</v>
      </c>
      <c r="F454" s="6" t="s">
        <v>2906</v>
      </c>
      <c r="G454" s="6" t="s">
        <v>4719</v>
      </c>
      <c r="H454" s="6" t="s">
        <v>5303</v>
      </c>
      <c r="I454" s="6" t="s">
        <v>7241</v>
      </c>
      <c r="J454" s="6" t="s">
        <v>8485</v>
      </c>
      <c r="K454" s="6" t="s">
        <v>9714</v>
      </c>
      <c r="L454" s="16" t="n">
        <v>37943</v>
      </c>
      <c r="M454" s="16" t="n">
        <v>45924</v>
      </c>
      <c r="N454" s="6" t="s">
        <v>104</v>
      </c>
      <c r="O454" s="21" t="s">
        <v>104</v>
      </c>
      <c r="P454" s="6" t="s">
        <v>104</v>
      </c>
      <c r="Q454" s="6" t="s">
        <v>104</v>
      </c>
      <c r="R454" s="6" t="s">
        <v>104</v>
      </c>
      <c r="S454" s="6" t="s">
        <v>104</v>
      </c>
      <c r="T454" s="21" t="s">
        <v>104</v>
      </c>
      <c r="U454" s="6" t="s">
        <v>104</v>
      </c>
      <c r="V454" s="6" t="s">
        <v>104</v>
      </c>
      <c r="W454" s="6" t="s">
        <v>104</v>
      </c>
      <c r="X454" s="6" t="s">
        <v>104</v>
      </c>
      <c r="Y454" s="21" t="s">
        <v>104</v>
      </c>
      <c r="Z454" s="6" t="s">
        <v>104</v>
      </c>
      <c r="AA454" s="6" t="s">
        <v>104</v>
      </c>
      <c r="AB454" s="6" t="s">
        <v>104</v>
      </c>
      <c r="AC454" s="6" t="s">
        <v>9714</v>
      </c>
      <c r="AD454" s="16" t="n">
        <v>37943</v>
      </c>
      <c r="AE454" s="6" t="s">
        <v>10929</v>
      </c>
      <c r="AF454" s="6" t="s">
        <v>104</v>
      </c>
      <c r="AG454" s="6" t="s">
        <v>5303</v>
      </c>
      <c r="AH454" s="6" t="s">
        <v>13565</v>
      </c>
      <c r="AI454" s="6" t="s">
        <v>104</v>
      </c>
      <c r="AJ454" s="6" t="s">
        <v>15677</v>
      </c>
      <c r="AK454" s="6" t="s">
        <v>15801</v>
      </c>
      <c r="AL454" s="6" t="s">
        <v>16939</v>
      </c>
      <c r="AM454" s="6" t="s">
        <v>104</v>
      </c>
      <c r="AN454" s="6" t="s">
        <v>104</v>
      </c>
      <c r="AO454" s="6" t="s">
        <v>104</v>
      </c>
      <c r="AP454" s="6" t="s">
        <v>13565</v>
      </c>
      <c r="AQ454" s="6" t="s">
        <v>104</v>
      </c>
      <c r="AR454" s="6" t="s">
        <v>15677</v>
      </c>
      <c r="AS454" s="6" t="s">
        <v>15801</v>
      </c>
      <c r="AT454" s="6" t="s">
        <v>16939</v>
      </c>
      <c r="AU454" s="6" t="s">
        <v>104</v>
      </c>
      <c r="AV454" s="6" t="s">
        <v>104</v>
      </c>
      <c r="AW454" s="6" t="s">
        <v>104</v>
      </c>
      <c r="AX454" s="6" t="s">
        <v>20478</v>
      </c>
      <c r="AY454" s="6" t="s">
        <v>22236</v>
      </c>
      <c r="AZ454" s="6" t="s">
        <v>104</v>
      </c>
      <c r="BA454" s="6" t="s">
        <v>104</v>
      </c>
      <c r="BB454" s="6" t="s">
        <v>104</v>
      </c>
      <c r="BC454" s="26"/>
      <c r="BD454" s="26"/>
      <c r="BE454" s="26"/>
      <c r="BF454" s="26"/>
      <c r="BG454" s="26"/>
      <c r="BH454" s="26"/>
      <c r="BI454" s="26"/>
      <c r="BJ454" s="26"/>
      <c r="BK454" s="26"/>
      <c r="BL454" s="26"/>
      <c r="BM454" s="26"/>
      <c r="BN454" s="26"/>
      <c r="BO454" s="26"/>
      <c r="BP454" s="16" t="n">
        <v>45679</v>
      </c>
      <c r="BQ454" s="28" t="str">
        <f>HYPERLINK("https://organic.ams.usda.gov/Integrity/Certificate.aspx?cid=86&amp;nopid=6400000198")</f>
        <v>https://organic.ams.usda.gov/Integrity/Certificate.aspx?cid=86&amp;nopid=6400000198</v>
      </c>
    </row>
    <row r="455">
      <c r="A455" t="s">
        <v>3</v>
      </c>
      <c r="B455" s="6" t="s">
        <v>48</v>
      </c>
      <c r="C455" s="6" t="s">
        <v>114</v>
      </c>
      <c r="D455" s="6" t="s">
        <v>178</v>
      </c>
      <c r="E455" s="10" t="s">
        <v>653</v>
      </c>
      <c r="F455" s="6" t="s">
        <v>2907</v>
      </c>
      <c r="G455" s="6" t="s">
        <v>104</v>
      </c>
      <c r="H455" s="6" t="s">
        <v>5304</v>
      </c>
      <c r="I455" s="6" t="s">
        <v>7037</v>
      </c>
      <c r="J455" s="6" t="s">
        <v>8486</v>
      </c>
      <c r="K455" s="6" t="s">
        <v>9714</v>
      </c>
      <c r="L455" s="16" t="n">
        <v>37739</v>
      </c>
      <c r="M455" s="16" t="n">
        <v>45900</v>
      </c>
      <c r="N455" s="6" t="s">
        <v>9714</v>
      </c>
      <c r="O455" s="16" t="n">
        <v>37739</v>
      </c>
      <c r="P455" s="6" t="s">
        <v>9853</v>
      </c>
      <c r="Q455" s="6" t="s">
        <v>104</v>
      </c>
      <c r="R455" s="6" t="s">
        <v>104</v>
      </c>
      <c r="S455" s="6" t="s">
        <v>104</v>
      </c>
      <c r="T455" s="21" t="s">
        <v>104</v>
      </c>
      <c r="U455" s="6" t="s">
        <v>104</v>
      </c>
      <c r="V455" s="6" t="s">
        <v>104</v>
      </c>
      <c r="W455" s="6" t="s">
        <v>104</v>
      </c>
      <c r="X455" s="6" t="s">
        <v>104</v>
      </c>
      <c r="Y455" s="21" t="s">
        <v>104</v>
      </c>
      <c r="Z455" s="6" t="s">
        <v>104</v>
      </c>
      <c r="AA455" s="6" t="s">
        <v>104</v>
      </c>
      <c r="AB455" s="6" t="s">
        <v>104</v>
      </c>
      <c r="AC455" s="6" t="s">
        <v>9714</v>
      </c>
      <c r="AD455" s="16" t="n">
        <v>37739</v>
      </c>
      <c r="AE455" s="6" t="s">
        <v>10930</v>
      </c>
      <c r="AF455" s="6" t="s">
        <v>104</v>
      </c>
      <c r="AG455" s="6" t="s">
        <v>104</v>
      </c>
      <c r="AH455" s="6" t="s">
        <v>13566</v>
      </c>
      <c r="AI455" s="6" t="s">
        <v>104</v>
      </c>
      <c r="AJ455" s="6" t="s">
        <v>15678</v>
      </c>
      <c r="AK455" s="6" t="s">
        <v>104</v>
      </c>
      <c r="AL455" s="6" t="s">
        <v>16963</v>
      </c>
      <c r="AM455" s="6" t="s">
        <v>17294</v>
      </c>
      <c r="AN455" s="6" t="s">
        <v>104</v>
      </c>
      <c r="AO455" s="6" t="s">
        <v>104</v>
      </c>
      <c r="AP455" s="6" t="s">
        <v>13566</v>
      </c>
      <c r="AQ455" s="6" t="s">
        <v>104</v>
      </c>
      <c r="AR455" s="6" t="s">
        <v>15678</v>
      </c>
      <c r="AS455" s="6" t="s">
        <v>104</v>
      </c>
      <c r="AT455" s="6" t="s">
        <v>16963</v>
      </c>
      <c r="AU455" s="6" t="s">
        <v>17294</v>
      </c>
      <c r="AV455" s="6" t="s">
        <v>104</v>
      </c>
      <c r="AW455" s="6" t="s">
        <v>104</v>
      </c>
      <c r="AX455" s="6" t="s">
        <v>20479</v>
      </c>
      <c r="AY455" s="6" t="s">
        <v>22237</v>
      </c>
      <c r="AZ455" s="6" t="s">
        <v>104</v>
      </c>
      <c r="BA455" s="6" t="s">
        <v>104</v>
      </c>
      <c r="BB455" s="24" t="n">
        <v>1327</v>
      </c>
      <c r="BC455" s="26"/>
      <c r="BD455" s="26"/>
      <c r="BE455" s="26"/>
      <c r="BF455" s="26"/>
      <c r="BG455" s="26"/>
      <c r="BH455" s="26"/>
      <c r="BI455" s="26"/>
      <c r="BJ455" s="26"/>
      <c r="BK455" s="26"/>
      <c r="BL455" s="26"/>
      <c r="BM455" s="26"/>
      <c r="BN455" s="26"/>
      <c r="BO455" s="26"/>
      <c r="BP455" s="16" t="n">
        <v>45708</v>
      </c>
      <c r="BQ455" s="28" t="str">
        <f>HYPERLINK("https://organic.ams.usda.gov/Integrity/Certificate.aspx?cid=9&amp;nopid=1200424600")</f>
        <v>https://organic.ams.usda.gov/Integrity/Certificate.aspx?cid=9&amp;nopid=1200424600</v>
      </c>
    </row>
    <row r="456">
      <c r="A456" t="s">
        <v>3</v>
      </c>
      <c r="B456" s="6" t="s">
        <v>39</v>
      </c>
      <c r="C456" s="6" t="s">
        <v>105</v>
      </c>
      <c r="D456" s="6" t="s">
        <v>169</v>
      </c>
      <c r="E456" s="10" t="s">
        <v>654</v>
      </c>
      <c r="F456" s="6" t="s">
        <v>2908</v>
      </c>
      <c r="G456" s="6" t="s">
        <v>104</v>
      </c>
      <c r="H456" s="6" t="s">
        <v>5305</v>
      </c>
      <c r="I456" s="6" t="s">
        <v>6986</v>
      </c>
      <c r="J456" s="6" t="s">
        <v>8487</v>
      </c>
      <c r="K456" s="6" t="s">
        <v>9714</v>
      </c>
      <c r="L456" s="16" t="n">
        <v>41339</v>
      </c>
      <c r="M456" s="16" t="n">
        <v>45808</v>
      </c>
      <c r="N456" s="6" t="s">
        <v>104</v>
      </c>
      <c r="O456" s="21" t="s">
        <v>104</v>
      </c>
      <c r="P456" s="6" t="s">
        <v>104</v>
      </c>
      <c r="Q456" s="6" t="s">
        <v>104</v>
      </c>
      <c r="R456" s="6" t="s">
        <v>104</v>
      </c>
      <c r="S456" s="6" t="s">
        <v>104</v>
      </c>
      <c r="T456" s="21" t="s">
        <v>104</v>
      </c>
      <c r="U456" s="6" t="s">
        <v>104</v>
      </c>
      <c r="V456" s="6" t="s">
        <v>104</v>
      </c>
      <c r="W456" s="6" t="s">
        <v>104</v>
      </c>
      <c r="X456" s="6" t="s">
        <v>104</v>
      </c>
      <c r="Y456" s="21" t="s">
        <v>104</v>
      </c>
      <c r="Z456" s="6" t="s">
        <v>104</v>
      </c>
      <c r="AA456" s="6" t="s">
        <v>104</v>
      </c>
      <c r="AB456" s="6" t="s">
        <v>104</v>
      </c>
      <c r="AC456" s="6" t="s">
        <v>9714</v>
      </c>
      <c r="AD456" s="16" t="n">
        <v>41339</v>
      </c>
      <c r="AE456" s="6" t="s">
        <v>10931</v>
      </c>
      <c r="AF456" s="6" t="s">
        <v>104</v>
      </c>
      <c r="AG456" s="6" t="s">
        <v>5305</v>
      </c>
      <c r="AH456" s="6" t="s">
        <v>13567</v>
      </c>
      <c r="AI456" s="6" t="s">
        <v>104</v>
      </c>
      <c r="AJ456" s="6" t="s">
        <v>15679</v>
      </c>
      <c r="AK456" s="6" t="s">
        <v>16711</v>
      </c>
      <c r="AL456" s="6" t="s">
        <v>16931</v>
      </c>
      <c r="AM456" s="6" t="s">
        <v>17295</v>
      </c>
      <c r="AN456" s="6" t="s">
        <v>18502</v>
      </c>
      <c r="AO456" s="6" t="s">
        <v>18662</v>
      </c>
      <c r="AP456" s="6" t="s">
        <v>104</v>
      </c>
      <c r="AQ456" s="6" t="s">
        <v>104</v>
      </c>
      <c r="AR456" s="6" t="s">
        <v>104</v>
      </c>
      <c r="AS456" s="6" t="s">
        <v>104</v>
      </c>
      <c r="AT456" s="6" t="s">
        <v>104</v>
      </c>
      <c r="AU456" s="6" t="s">
        <v>104</v>
      </c>
      <c r="AV456" s="6" t="s">
        <v>104</v>
      </c>
      <c r="AW456" s="6" t="s">
        <v>104</v>
      </c>
      <c r="AX456" s="6" t="s">
        <v>104</v>
      </c>
      <c r="AY456" s="6" t="s">
        <v>22238</v>
      </c>
      <c r="AZ456" s="6" t="s">
        <v>104</v>
      </c>
      <c r="BA456" s="6" t="s">
        <v>104</v>
      </c>
      <c r="BB456" s="6" t="s">
        <v>104</v>
      </c>
      <c r="BC456" s="26"/>
      <c r="BD456" s="26"/>
      <c r="BE456" s="26"/>
      <c r="BF456" s="26"/>
      <c r="BG456" s="26"/>
      <c r="BH456" s="26"/>
      <c r="BI456" s="26"/>
      <c r="BJ456" s="26"/>
      <c r="BK456" s="26"/>
      <c r="BL456" s="26"/>
      <c r="BM456" s="26"/>
      <c r="BN456" s="26"/>
      <c r="BO456" s="26"/>
      <c r="BP456" s="16" t="n">
        <v>45575</v>
      </c>
      <c r="BQ456" s="28" t="str">
        <f>HYPERLINK("https://organic.ams.usda.gov/Integrity/Certificate.aspx?cid=29&amp;nopid=1582030623")</f>
        <v>https://organic.ams.usda.gov/Integrity/Certificate.aspx?cid=29&amp;nopid=1582030623</v>
      </c>
    </row>
    <row r="457">
      <c r="A457" t="s">
        <v>3</v>
      </c>
      <c r="B457" s="6" t="s">
        <v>18</v>
      </c>
      <c r="C457" s="6" t="s">
        <v>84</v>
      </c>
      <c r="D457" s="6" t="s">
        <v>149</v>
      </c>
      <c r="E457" s="10" t="s">
        <v>655</v>
      </c>
      <c r="F457" s="6" t="s">
        <v>2909</v>
      </c>
      <c r="G457" s="6" t="s">
        <v>104</v>
      </c>
      <c r="H457" s="6" t="s">
        <v>5306</v>
      </c>
      <c r="I457" s="6" t="s">
        <v>7242</v>
      </c>
      <c r="J457" s="6" t="s">
        <v>8488</v>
      </c>
      <c r="K457" s="6" t="s">
        <v>9714</v>
      </c>
      <c r="L457" s="16" t="n">
        <v>45732</v>
      </c>
      <c r="M457" s="16" t="n">
        <v>46097</v>
      </c>
      <c r="N457" s="6" t="s">
        <v>104</v>
      </c>
      <c r="O457" s="21" t="s">
        <v>104</v>
      </c>
      <c r="P457" s="6" t="s">
        <v>104</v>
      </c>
      <c r="Q457" s="6" t="s">
        <v>104</v>
      </c>
      <c r="R457" s="6" t="s">
        <v>104</v>
      </c>
      <c r="S457" s="6" t="s">
        <v>104</v>
      </c>
      <c r="T457" s="21" t="s">
        <v>104</v>
      </c>
      <c r="U457" s="6" t="s">
        <v>104</v>
      </c>
      <c r="V457" s="6" t="s">
        <v>104</v>
      </c>
      <c r="W457" s="6" t="s">
        <v>104</v>
      </c>
      <c r="X457" s="6" t="s">
        <v>104</v>
      </c>
      <c r="Y457" s="21" t="s">
        <v>104</v>
      </c>
      <c r="Z457" s="6" t="s">
        <v>104</v>
      </c>
      <c r="AA457" s="6" t="s">
        <v>104</v>
      </c>
      <c r="AB457" s="6" t="s">
        <v>104</v>
      </c>
      <c r="AC457" s="6" t="s">
        <v>9714</v>
      </c>
      <c r="AD457" s="16" t="n">
        <v>45732</v>
      </c>
      <c r="AE457" s="6" t="s">
        <v>10932</v>
      </c>
      <c r="AF457" s="6" t="s">
        <v>104</v>
      </c>
      <c r="AG457" s="6" t="s">
        <v>12613</v>
      </c>
      <c r="AH457" s="6" t="s">
        <v>13568</v>
      </c>
      <c r="AI457" s="6" t="s">
        <v>104</v>
      </c>
      <c r="AJ457" s="6" t="s">
        <v>15680</v>
      </c>
      <c r="AK457" s="6" t="s">
        <v>16706</v>
      </c>
      <c r="AL457" s="6" t="s">
        <v>16931</v>
      </c>
      <c r="AM457" s="6" t="s">
        <v>17296</v>
      </c>
      <c r="AN457" s="6" t="s">
        <v>104</v>
      </c>
      <c r="AO457" s="6" t="s">
        <v>104</v>
      </c>
      <c r="AP457" s="6" t="s">
        <v>104</v>
      </c>
      <c r="AQ457" s="6" t="s">
        <v>104</v>
      </c>
      <c r="AR457" s="6" t="s">
        <v>104</v>
      </c>
      <c r="AS457" s="6" t="s">
        <v>104</v>
      </c>
      <c r="AT457" s="6" t="s">
        <v>104</v>
      </c>
      <c r="AU457" s="6" t="s">
        <v>104</v>
      </c>
      <c r="AV457" s="6" t="s">
        <v>104</v>
      </c>
      <c r="AW457" s="6" t="s">
        <v>104</v>
      </c>
      <c r="AX457" s="6" t="s">
        <v>20480</v>
      </c>
      <c r="AY457" s="6" t="s">
        <v>22239</v>
      </c>
      <c r="AZ457" s="6" t="s">
        <v>104</v>
      </c>
      <c r="BA457" s="6" t="s">
        <v>104</v>
      </c>
      <c r="BB457" s="6" t="s">
        <v>104</v>
      </c>
      <c r="BC457" s="26"/>
      <c r="BD457" s="26"/>
      <c r="BE457" s="26"/>
      <c r="BF457" s="26"/>
      <c r="BG457" s="26"/>
      <c r="BH457" s="26"/>
      <c r="BI457" s="26"/>
      <c r="BJ457" s="26"/>
      <c r="BK457" s="26"/>
      <c r="BL457" s="26"/>
      <c r="BM457" s="26"/>
      <c r="BN457" s="26"/>
      <c r="BO457" s="26"/>
      <c r="BP457" s="16" t="n">
        <v>45737</v>
      </c>
      <c r="BQ457" s="28" t="str">
        <f>HYPERLINK("https://organic.ams.usda.gov/Integrity/Certificate.aspx?cid=31&amp;nopid=3928972508")</f>
        <v>https://organic.ams.usda.gov/Integrity/Certificate.aspx?cid=31&amp;nopid=3928972508</v>
      </c>
    </row>
    <row r="458">
      <c r="A458" t="s">
        <v>3</v>
      </c>
      <c r="B458" s="6" t="s">
        <v>13</v>
      </c>
      <c r="C458" s="6" t="s">
        <v>79</v>
      </c>
      <c r="D458" s="6" t="s">
        <v>144</v>
      </c>
      <c r="E458" s="10" t="s">
        <v>656</v>
      </c>
      <c r="F458" s="6" t="s">
        <v>2910</v>
      </c>
      <c r="G458" s="6" t="s">
        <v>104</v>
      </c>
      <c r="H458" s="6" t="s">
        <v>5307</v>
      </c>
      <c r="I458" s="6" t="s">
        <v>6945</v>
      </c>
      <c r="J458" s="6" t="s">
        <v>8489</v>
      </c>
      <c r="K458" s="6" t="s">
        <v>9714</v>
      </c>
      <c r="L458" s="16" t="n">
        <v>44720</v>
      </c>
      <c r="M458" s="16" t="n">
        <v>46023</v>
      </c>
      <c r="N458" s="6" t="s">
        <v>9721</v>
      </c>
      <c r="O458" s="16" t="n">
        <v>45667</v>
      </c>
      <c r="P458" s="6" t="s">
        <v>104</v>
      </c>
      <c r="Q458" s="6" t="s">
        <v>104</v>
      </c>
      <c r="R458" s="6" t="s">
        <v>104</v>
      </c>
      <c r="S458" s="6" t="s">
        <v>104</v>
      </c>
      <c r="T458" s="21" t="s">
        <v>104</v>
      </c>
      <c r="U458" s="6" t="s">
        <v>104</v>
      </c>
      <c r="V458" s="6" t="s">
        <v>104</v>
      </c>
      <c r="W458" s="6" t="s">
        <v>104</v>
      </c>
      <c r="X458" s="6" t="s">
        <v>104</v>
      </c>
      <c r="Y458" s="21" t="s">
        <v>104</v>
      </c>
      <c r="Z458" s="6" t="s">
        <v>104</v>
      </c>
      <c r="AA458" s="6" t="s">
        <v>104</v>
      </c>
      <c r="AB458" s="6" t="s">
        <v>104</v>
      </c>
      <c r="AC458" s="6" t="s">
        <v>9714</v>
      </c>
      <c r="AD458" s="16" t="n">
        <v>44720</v>
      </c>
      <c r="AE458" s="6" t="s">
        <v>10933</v>
      </c>
      <c r="AF458" s="6" t="s">
        <v>104</v>
      </c>
      <c r="AG458" s="6" t="s">
        <v>104</v>
      </c>
      <c r="AH458" s="6" t="s">
        <v>104</v>
      </c>
      <c r="AI458" s="6" t="s">
        <v>104</v>
      </c>
      <c r="AJ458" s="6" t="s">
        <v>104</v>
      </c>
      <c r="AK458" s="6" t="s">
        <v>104</v>
      </c>
      <c r="AL458" s="6" t="s">
        <v>104</v>
      </c>
      <c r="AM458" s="6" t="s">
        <v>104</v>
      </c>
      <c r="AN458" s="6" t="s">
        <v>104</v>
      </c>
      <c r="AO458" s="6" t="s">
        <v>104</v>
      </c>
      <c r="AP458" s="6" t="s">
        <v>19078</v>
      </c>
      <c r="AQ458" s="6" t="s">
        <v>104</v>
      </c>
      <c r="AR458" s="6" t="s">
        <v>19634</v>
      </c>
      <c r="AS458" s="6" t="s">
        <v>16738</v>
      </c>
      <c r="AT458" s="6" t="s">
        <v>16931</v>
      </c>
      <c r="AU458" s="6" t="s">
        <v>19864</v>
      </c>
      <c r="AV458" s="6" t="s">
        <v>18500</v>
      </c>
      <c r="AW458" s="6" t="s">
        <v>18778</v>
      </c>
      <c r="AX458" s="6" t="s">
        <v>20481</v>
      </c>
      <c r="AY458" s="6" t="s">
        <v>22240</v>
      </c>
      <c r="AZ458" s="6" t="s">
        <v>104</v>
      </c>
      <c r="BA458" s="6" t="s">
        <v>104</v>
      </c>
      <c r="BB458" s="6" t="s">
        <v>104</v>
      </c>
      <c r="BC458" s="26"/>
      <c r="BD458" s="26"/>
      <c r="BE458" s="26"/>
      <c r="BF458" s="26"/>
      <c r="BG458" s="26"/>
      <c r="BH458" s="26"/>
      <c r="BI458" s="26"/>
      <c r="BJ458" s="26"/>
      <c r="BK458" s="26"/>
      <c r="BL458" s="26"/>
      <c r="BM458" s="26"/>
      <c r="BN458" s="26"/>
      <c r="BO458" s="26"/>
      <c r="BP458" s="16" t="n">
        <v>45691</v>
      </c>
      <c r="BQ458" s="28" t="str">
        <f>HYPERLINK("https://organic.ams.usda.gov/Integrity/Certificate.aspx?cid=62&amp;nopid=8150019013")</f>
        <v>https://organic.ams.usda.gov/Integrity/Certificate.aspx?cid=62&amp;nopid=8150019013</v>
      </c>
    </row>
    <row r="459">
      <c r="A459" t="s">
        <v>3</v>
      </c>
      <c r="B459" s="6" t="s">
        <v>18</v>
      </c>
      <c r="C459" s="6" t="s">
        <v>84</v>
      </c>
      <c r="D459" s="6" t="s">
        <v>149</v>
      </c>
      <c r="E459" s="10" t="s">
        <v>657</v>
      </c>
      <c r="F459" s="6" t="s">
        <v>2911</v>
      </c>
      <c r="G459" s="6" t="s">
        <v>104</v>
      </c>
      <c r="H459" s="6" t="s">
        <v>5308</v>
      </c>
      <c r="I459" s="6" t="s">
        <v>7243</v>
      </c>
      <c r="J459" s="6" t="s">
        <v>8490</v>
      </c>
      <c r="K459" s="6" t="s">
        <v>9714</v>
      </c>
      <c r="L459" s="16" t="n">
        <v>44602</v>
      </c>
      <c r="M459" s="16" t="n">
        <v>46063</v>
      </c>
      <c r="N459" s="6" t="s">
        <v>104</v>
      </c>
      <c r="O459" s="21" t="s">
        <v>104</v>
      </c>
      <c r="P459" s="6" t="s">
        <v>104</v>
      </c>
      <c r="Q459" s="6" t="s">
        <v>104</v>
      </c>
      <c r="R459" s="6" t="s">
        <v>104</v>
      </c>
      <c r="S459" s="6" t="s">
        <v>104</v>
      </c>
      <c r="T459" s="21" t="s">
        <v>104</v>
      </c>
      <c r="U459" s="6" t="s">
        <v>104</v>
      </c>
      <c r="V459" s="6" t="s">
        <v>104</v>
      </c>
      <c r="W459" s="6" t="s">
        <v>104</v>
      </c>
      <c r="X459" s="6" t="s">
        <v>104</v>
      </c>
      <c r="Y459" s="21" t="s">
        <v>104</v>
      </c>
      <c r="Z459" s="6" t="s">
        <v>104</v>
      </c>
      <c r="AA459" s="6" t="s">
        <v>104</v>
      </c>
      <c r="AB459" s="6" t="s">
        <v>104</v>
      </c>
      <c r="AC459" s="6" t="s">
        <v>9714</v>
      </c>
      <c r="AD459" s="16" t="n">
        <v>44602</v>
      </c>
      <c r="AE459" s="6" t="s">
        <v>10934</v>
      </c>
      <c r="AF459" s="6" t="s">
        <v>104</v>
      </c>
      <c r="AG459" s="6" t="s">
        <v>12614</v>
      </c>
      <c r="AH459" s="6" t="s">
        <v>13569</v>
      </c>
      <c r="AI459" s="6" t="s">
        <v>104</v>
      </c>
      <c r="AJ459" s="6" t="s">
        <v>15681</v>
      </c>
      <c r="AK459" s="6" t="s">
        <v>16738</v>
      </c>
      <c r="AL459" s="6" t="s">
        <v>16931</v>
      </c>
      <c r="AM459" s="6" t="s">
        <v>17297</v>
      </c>
      <c r="AN459" s="6" t="s">
        <v>18513</v>
      </c>
      <c r="AO459" s="6" t="s">
        <v>18663</v>
      </c>
      <c r="AP459" s="6" t="s">
        <v>104</v>
      </c>
      <c r="AQ459" s="6" t="s">
        <v>104</v>
      </c>
      <c r="AR459" s="6" t="s">
        <v>104</v>
      </c>
      <c r="AS459" s="6" t="s">
        <v>104</v>
      </c>
      <c r="AT459" s="6" t="s">
        <v>104</v>
      </c>
      <c r="AU459" s="6" t="s">
        <v>104</v>
      </c>
      <c r="AV459" s="6" t="s">
        <v>104</v>
      </c>
      <c r="AW459" s="6" t="s">
        <v>104</v>
      </c>
      <c r="AX459" s="6" t="s">
        <v>20482</v>
      </c>
      <c r="AY459" s="6" t="s">
        <v>22241</v>
      </c>
      <c r="AZ459" s="6" t="s">
        <v>104</v>
      </c>
      <c r="BA459" s="6" t="s">
        <v>24333</v>
      </c>
      <c r="BB459" s="6" t="s">
        <v>104</v>
      </c>
      <c r="BC459" s="26"/>
      <c r="BD459" s="26"/>
      <c r="BE459" s="26"/>
      <c r="BF459" s="26"/>
      <c r="BG459" s="26"/>
      <c r="BH459" s="26"/>
      <c r="BI459" s="26"/>
      <c r="BJ459" s="26"/>
      <c r="BK459" s="26"/>
      <c r="BL459" s="26"/>
      <c r="BM459" s="26"/>
      <c r="BN459" s="26"/>
      <c r="BO459" s="26"/>
      <c r="BP459" s="16" t="n">
        <v>45737</v>
      </c>
      <c r="BQ459" s="28" t="str">
        <f>HYPERLINK("https://organic.ams.usda.gov/Integrity/Certificate.aspx?cid=31&amp;nopid=3928972251")</f>
        <v>https://organic.ams.usda.gov/Integrity/Certificate.aspx?cid=31&amp;nopid=3928972251</v>
      </c>
    </row>
    <row r="460">
      <c r="A460" t="s">
        <v>3</v>
      </c>
      <c r="B460" s="6" t="s">
        <v>21</v>
      </c>
      <c r="C460" s="6" t="s">
        <v>87</v>
      </c>
      <c r="D460" s="6" t="s">
        <v>152</v>
      </c>
      <c r="E460" s="10" t="s">
        <v>658</v>
      </c>
      <c r="F460" s="6" t="s">
        <v>2912</v>
      </c>
      <c r="G460" s="6" t="s">
        <v>104</v>
      </c>
      <c r="H460" s="6" t="s">
        <v>5309</v>
      </c>
      <c r="I460" s="6" t="s">
        <v>6935</v>
      </c>
      <c r="J460" s="6" t="s">
        <v>8491</v>
      </c>
      <c r="K460" s="6" t="s">
        <v>9714</v>
      </c>
      <c r="L460" s="16" t="n">
        <v>44275</v>
      </c>
      <c r="M460" s="16" t="n">
        <v>46023</v>
      </c>
      <c r="N460" s="6" t="s">
        <v>9714</v>
      </c>
      <c r="O460" s="16" t="n">
        <v>44275</v>
      </c>
      <c r="P460" s="6" t="s">
        <v>9854</v>
      </c>
      <c r="Q460" s="6" t="s">
        <v>104</v>
      </c>
      <c r="R460" s="6" t="s">
        <v>104</v>
      </c>
      <c r="S460" s="6" t="s">
        <v>104</v>
      </c>
      <c r="T460" s="21" t="s">
        <v>104</v>
      </c>
      <c r="U460" s="6" t="s">
        <v>104</v>
      </c>
      <c r="V460" s="6" t="s">
        <v>104</v>
      </c>
      <c r="W460" s="6" t="s">
        <v>104</v>
      </c>
      <c r="X460" s="6" t="s">
        <v>104</v>
      </c>
      <c r="Y460" s="21" t="s">
        <v>104</v>
      </c>
      <c r="Z460" s="6" t="s">
        <v>104</v>
      </c>
      <c r="AA460" s="6" t="s">
        <v>104</v>
      </c>
      <c r="AB460" s="6" t="s">
        <v>104</v>
      </c>
      <c r="AC460" s="6" t="s">
        <v>9714</v>
      </c>
      <c r="AD460" s="16" t="n">
        <v>44275</v>
      </c>
      <c r="AE460" s="6" t="s">
        <v>10935</v>
      </c>
      <c r="AF460" s="6" t="s">
        <v>104</v>
      </c>
      <c r="AG460" s="6" t="s">
        <v>104</v>
      </c>
      <c r="AH460" s="6" t="s">
        <v>13570</v>
      </c>
      <c r="AI460" s="6" t="s">
        <v>104</v>
      </c>
      <c r="AJ460" s="6" t="s">
        <v>15682</v>
      </c>
      <c r="AK460" s="6" t="s">
        <v>16738</v>
      </c>
      <c r="AL460" s="6" t="s">
        <v>16931</v>
      </c>
      <c r="AM460" s="6" t="s">
        <v>17298</v>
      </c>
      <c r="AN460" s="6" t="s">
        <v>18514</v>
      </c>
      <c r="AO460" s="6" t="s">
        <v>18664</v>
      </c>
      <c r="AP460" s="6" t="s">
        <v>13570</v>
      </c>
      <c r="AQ460" s="6" t="s">
        <v>104</v>
      </c>
      <c r="AR460" s="6" t="s">
        <v>15682</v>
      </c>
      <c r="AS460" s="6" t="s">
        <v>16738</v>
      </c>
      <c r="AT460" s="6" t="s">
        <v>16931</v>
      </c>
      <c r="AU460" s="6" t="s">
        <v>17298</v>
      </c>
      <c r="AV460" s="6" t="s">
        <v>104</v>
      </c>
      <c r="AW460" s="6" t="s">
        <v>104</v>
      </c>
      <c r="AX460" s="6" t="s">
        <v>20483</v>
      </c>
      <c r="AY460" s="6" t="s">
        <v>22242</v>
      </c>
      <c r="AZ460" s="6" t="s">
        <v>23805</v>
      </c>
      <c r="BA460" s="6" t="s">
        <v>24334</v>
      </c>
      <c r="BB460" s="24" t="n">
        <v>2</v>
      </c>
      <c r="BC460" s="26"/>
      <c r="BD460" s="26"/>
      <c r="BE460" s="26"/>
      <c r="BF460" s="26"/>
      <c r="BG460" s="26"/>
      <c r="BH460" s="26"/>
      <c r="BI460" s="26"/>
      <c r="BJ460" s="26"/>
      <c r="BK460" s="26"/>
      <c r="BL460" s="26"/>
      <c r="BM460" s="26"/>
      <c r="BN460" s="26"/>
      <c r="BO460" s="26"/>
      <c r="BP460" s="16" t="n">
        <v>45667</v>
      </c>
      <c r="BQ460" s="28" t="str">
        <f>HYPERLINK("https://organic.ams.usda.gov/Integrity/Certificate.aspx?cid=15&amp;nopid=5561005803")</f>
        <v>https://organic.ams.usda.gov/Integrity/Certificate.aspx?cid=15&amp;nopid=5561005803</v>
      </c>
    </row>
    <row r="461">
      <c r="A461" t="s">
        <v>3</v>
      </c>
      <c r="B461" s="6" t="s">
        <v>45</v>
      </c>
      <c r="C461" s="6" t="s">
        <v>111</v>
      </c>
      <c r="D461" s="6" t="s">
        <v>175</v>
      </c>
      <c r="E461" s="10" t="s">
        <v>659</v>
      </c>
      <c r="F461" s="6" t="s">
        <v>2913</v>
      </c>
      <c r="G461" s="6" t="s">
        <v>104</v>
      </c>
      <c r="H461" s="6" t="s">
        <v>5310</v>
      </c>
      <c r="I461" s="6" t="s">
        <v>7244</v>
      </c>
      <c r="J461" s="6" t="s">
        <v>8492</v>
      </c>
      <c r="K461" s="6" t="s">
        <v>9714</v>
      </c>
      <c r="L461" s="16" t="n">
        <v>44085</v>
      </c>
      <c r="M461" s="16" t="n">
        <v>46082</v>
      </c>
      <c r="N461" s="6" t="s">
        <v>104</v>
      </c>
      <c r="O461" s="21" t="s">
        <v>104</v>
      </c>
      <c r="P461" s="6" t="s">
        <v>104</v>
      </c>
      <c r="Q461" s="6" t="s">
        <v>104</v>
      </c>
      <c r="R461" s="6" t="s">
        <v>104</v>
      </c>
      <c r="S461" s="6" t="s">
        <v>104</v>
      </c>
      <c r="T461" s="21" t="s">
        <v>104</v>
      </c>
      <c r="U461" s="6" t="s">
        <v>104</v>
      </c>
      <c r="V461" s="6" t="s">
        <v>104</v>
      </c>
      <c r="W461" s="6" t="s">
        <v>104</v>
      </c>
      <c r="X461" s="6" t="s">
        <v>104</v>
      </c>
      <c r="Y461" s="21" t="s">
        <v>104</v>
      </c>
      <c r="Z461" s="6" t="s">
        <v>104</v>
      </c>
      <c r="AA461" s="6" t="s">
        <v>104</v>
      </c>
      <c r="AB461" s="6" t="s">
        <v>104</v>
      </c>
      <c r="AC461" s="6" t="s">
        <v>9714</v>
      </c>
      <c r="AD461" s="16" t="n">
        <v>44085</v>
      </c>
      <c r="AE461" s="6" t="s">
        <v>10936</v>
      </c>
      <c r="AF461" s="6" t="s">
        <v>104</v>
      </c>
      <c r="AG461" s="6" t="s">
        <v>4667</v>
      </c>
      <c r="AH461" s="6" t="s">
        <v>13571</v>
      </c>
      <c r="AI461" s="6" t="s">
        <v>104</v>
      </c>
      <c r="AJ461" s="6" t="s">
        <v>15683</v>
      </c>
      <c r="AK461" s="6" t="s">
        <v>16382</v>
      </c>
      <c r="AL461" s="6" t="s">
        <v>16931</v>
      </c>
      <c r="AM461" s="6" t="s">
        <v>17299</v>
      </c>
      <c r="AN461" s="6" t="s">
        <v>104</v>
      </c>
      <c r="AO461" s="6" t="s">
        <v>104</v>
      </c>
      <c r="AP461" s="6" t="s">
        <v>19079</v>
      </c>
      <c r="AQ461" s="6" t="s">
        <v>104</v>
      </c>
      <c r="AR461" s="6" t="s">
        <v>15683</v>
      </c>
      <c r="AS461" s="6" t="s">
        <v>16382</v>
      </c>
      <c r="AT461" s="6" t="s">
        <v>16931</v>
      </c>
      <c r="AU461" s="6" t="s">
        <v>17299</v>
      </c>
      <c r="AV461" s="6" t="s">
        <v>5640</v>
      </c>
      <c r="AW461" s="6" t="s">
        <v>18901</v>
      </c>
      <c r="AX461" s="6" t="s">
        <v>20484</v>
      </c>
      <c r="AY461" s="6" t="s">
        <v>22243</v>
      </c>
      <c r="AZ461" s="6" t="s">
        <v>104</v>
      </c>
      <c r="BA461" s="6" t="s">
        <v>104</v>
      </c>
      <c r="BB461" s="6" t="s">
        <v>104</v>
      </c>
      <c r="BC461" s="26"/>
      <c r="BD461" s="26"/>
      <c r="BE461" s="26" t="s">
        <v>24533</v>
      </c>
      <c r="BF461" s="26"/>
      <c r="BG461" s="26"/>
      <c r="BH461" s="26"/>
      <c r="BI461" s="26"/>
      <c r="BJ461" s="26"/>
      <c r="BK461" s="26"/>
      <c r="BL461" s="26"/>
      <c r="BM461" s="26"/>
      <c r="BN461" s="26"/>
      <c r="BO461" s="26"/>
      <c r="BP461" s="16" t="n">
        <v>45739</v>
      </c>
      <c r="BQ461" s="28" t="str">
        <f>HYPERLINK("https://organic.ams.usda.gov/Integrity/Certificate.aspx?cid=82&amp;nopid=2780003723")</f>
        <v>https://organic.ams.usda.gov/Integrity/Certificate.aspx?cid=82&amp;nopid=2780003723</v>
      </c>
    </row>
    <row r="462">
      <c r="A462" t="s">
        <v>3</v>
      </c>
      <c r="B462" s="6" t="s">
        <v>29</v>
      </c>
      <c r="C462" s="6" t="s">
        <v>95</v>
      </c>
      <c r="D462" s="6" t="s">
        <v>160</v>
      </c>
      <c r="E462" s="10" t="s">
        <v>660</v>
      </c>
      <c r="F462" s="6" t="s">
        <v>2914</v>
      </c>
      <c r="G462" s="6" t="s">
        <v>104</v>
      </c>
      <c r="H462" s="6" t="s">
        <v>5311</v>
      </c>
      <c r="I462" s="6" t="s">
        <v>104</v>
      </c>
      <c r="J462" s="6" t="s">
        <v>8493</v>
      </c>
      <c r="K462" s="6" t="s">
        <v>9714</v>
      </c>
      <c r="L462" s="16" t="n">
        <v>45630</v>
      </c>
      <c r="M462" s="16" t="n">
        <v>45870</v>
      </c>
      <c r="N462" s="6" t="s">
        <v>104</v>
      </c>
      <c r="O462" s="21" t="s">
        <v>104</v>
      </c>
      <c r="P462" s="6" t="s">
        <v>104</v>
      </c>
      <c r="Q462" s="6" t="s">
        <v>104</v>
      </c>
      <c r="R462" s="6" t="s">
        <v>104</v>
      </c>
      <c r="S462" s="6" t="s">
        <v>104</v>
      </c>
      <c r="T462" s="21" t="s">
        <v>104</v>
      </c>
      <c r="U462" s="6" t="s">
        <v>104</v>
      </c>
      <c r="V462" s="6" t="s">
        <v>104</v>
      </c>
      <c r="W462" s="6" t="s">
        <v>104</v>
      </c>
      <c r="X462" s="6" t="s">
        <v>104</v>
      </c>
      <c r="Y462" s="21" t="s">
        <v>104</v>
      </c>
      <c r="Z462" s="6" t="s">
        <v>104</v>
      </c>
      <c r="AA462" s="6" t="s">
        <v>104</v>
      </c>
      <c r="AB462" s="6" t="s">
        <v>104</v>
      </c>
      <c r="AC462" s="6" t="s">
        <v>9714</v>
      </c>
      <c r="AD462" s="16" t="n">
        <v>45630</v>
      </c>
      <c r="AE462" s="6" t="s">
        <v>10937</v>
      </c>
      <c r="AF462" s="6" t="s">
        <v>104</v>
      </c>
      <c r="AG462" s="6" t="s">
        <v>104</v>
      </c>
      <c r="AH462" s="6" t="s">
        <v>13572</v>
      </c>
      <c r="AI462" s="6" t="s">
        <v>104</v>
      </c>
      <c r="AJ462" s="6" t="s">
        <v>104</v>
      </c>
      <c r="AK462" s="6" t="s">
        <v>16773</v>
      </c>
      <c r="AL462" s="6" t="s">
        <v>16932</v>
      </c>
      <c r="AM462" s="6" t="s">
        <v>17300</v>
      </c>
      <c r="AN462" s="6" t="s">
        <v>104</v>
      </c>
      <c r="AO462" s="6" t="s">
        <v>104</v>
      </c>
      <c r="AP462" s="6" t="s">
        <v>104</v>
      </c>
      <c r="AQ462" s="6" t="s">
        <v>104</v>
      </c>
      <c r="AR462" s="6" t="s">
        <v>104</v>
      </c>
      <c r="AS462" s="6" t="s">
        <v>104</v>
      </c>
      <c r="AT462" s="6" t="s">
        <v>104</v>
      </c>
      <c r="AU462" s="6" t="s">
        <v>104</v>
      </c>
      <c r="AV462" s="6" t="s">
        <v>104</v>
      </c>
      <c r="AW462" s="6" t="s">
        <v>104</v>
      </c>
      <c r="AX462" s="6" t="s">
        <v>20485</v>
      </c>
      <c r="AY462" s="6" t="s">
        <v>22244</v>
      </c>
      <c r="AZ462" s="6" t="s">
        <v>104</v>
      </c>
      <c r="BA462" s="6" t="s">
        <v>104</v>
      </c>
      <c r="BB462" s="24" t="n">
        <v>0</v>
      </c>
      <c r="BC462" s="26"/>
      <c r="BD462" s="26"/>
      <c r="BE462" s="26"/>
      <c r="BF462" s="26"/>
      <c r="BG462" s="26"/>
      <c r="BH462" s="26"/>
      <c r="BI462" s="26"/>
      <c r="BJ462" s="26"/>
      <c r="BK462" s="26"/>
      <c r="BL462" s="26"/>
      <c r="BM462" s="26"/>
      <c r="BN462" s="26"/>
      <c r="BO462" s="26"/>
      <c r="BP462" s="16" t="n">
        <v>45633</v>
      </c>
      <c r="BQ462" s="28" t="str">
        <f>HYPERLINK("https://organic.ams.usda.gov/Integrity/Certificate.aspx?cid=24&amp;nopid=7880300365")</f>
        <v>https://organic.ams.usda.gov/Integrity/Certificate.aspx?cid=24&amp;nopid=7880300365</v>
      </c>
    </row>
    <row r="463">
      <c r="A463" t="s">
        <v>3</v>
      </c>
      <c r="B463" s="6" t="s">
        <v>11</v>
      </c>
      <c r="C463" s="6" t="s">
        <v>77</v>
      </c>
      <c r="D463" s="6" t="s">
        <v>142</v>
      </c>
      <c r="E463" s="10" t="s">
        <v>661</v>
      </c>
      <c r="F463" s="6" t="s">
        <v>2915</v>
      </c>
      <c r="G463" s="6" t="s">
        <v>104</v>
      </c>
      <c r="H463" s="6" t="s">
        <v>104</v>
      </c>
      <c r="I463" s="6" t="s">
        <v>7245</v>
      </c>
      <c r="J463" s="6" t="s">
        <v>8494</v>
      </c>
      <c r="K463" s="6" t="s">
        <v>9714</v>
      </c>
      <c r="L463" s="16" t="n">
        <v>40677</v>
      </c>
      <c r="M463" s="16" t="n">
        <v>45804</v>
      </c>
      <c r="N463" s="6" t="s">
        <v>104</v>
      </c>
      <c r="O463" s="21" t="s">
        <v>104</v>
      </c>
      <c r="P463" s="6" t="s">
        <v>104</v>
      </c>
      <c r="Q463" s="6" t="s">
        <v>104</v>
      </c>
      <c r="R463" s="6" t="s">
        <v>104</v>
      </c>
      <c r="S463" s="6" t="s">
        <v>104</v>
      </c>
      <c r="T463" s="21" t="s">
        <v>104</v>
      </c>
      <c r="U463" s="6" t="s">
        <v>104</v>
      </c>
      <c r="V463" s="6" t="s">
        <v>104</v>
      </c>
      <c r="W463" s="6" t="s">
        <v>104</v>
      </c>
      <c r="X463" s="6" t="s">
        <v>104</v>
      </c>
      <c r="Y463" s="21" t="s">
        <v>104</v>
      </c>
      <c r="Z463" s="6" t="s">
        <v>104</v>
      </c>
      <c r="AA463" s="6" t="s">
        <v>104</v>
      </c>
      <c r="AB463" s="6" t="s">
        <v>104</v>
      </c>
      <c r="AC463" s="6" t="s">
        <v>9714</v>
      </c>
      <c r="AD463" s="16" t="n">
        <v>40677</v>
      </c>
      <c r="AE463" s="6" t="s">
        <v>10938</v>
      </c>
      <c r="AF463" s="6" t="s">
        <v>104</v>
      </c>
      <c r="AG463" s="6" t="s">
        <v>104</v>
      </c>
      <c r="AH463" s="6" t="s">
        <v>13573</v>
      </c>
      <c r="AI463" s="6" t="s">
        <v>104</v>
      </c>
      <c r="AJ463" s="6" t="s">
        <v>15383</v>
      </c>
      <c r="AK463" s="6" t="s">
        <v>104</v>
      </c>
      <c r="AL463" s="6" t="s">
        <v>16933</v>
      </c>
      <c r="AM463" s="6" t="s">
        <v>104</v>
      </c>
      <c r="AN463" s="6" t="s">
        <v>104</v>
      </c>
      <c r="AO463" s="6" t="s">
        <v>104</v>
      </c>
      <c r="AP463" s="6" t="s">
        <v>104</v>
      </c>
      <c r="AQ463" s="6" t="s">
        <v>104</v>
      </c>
      <c r="AR463" s="6" t="s">
        <v>104</v>
      </c>
      <c r="AS463" s="6" t="s">
        <v>104</v>
      </c>
      <c r="AT463" s="6" t="s">
        <v>104</v>
      </c>
      <c r="AU463" s="6" t="s">
        <v>104</v>
      </c>
      <c r="AV463" s="6" t="s">
        <v>104</v>
      </c>
      <c r="AW463" s="6" t="s">
        <v>104</v>
      </c>
      <c r="AX463" s="6" t="s">
        <v>20486</v>
      </c>
      <c r="AY463" s="6" t="s">
        <v>22245</v>
      </c>
      <c r="AZ463" s="6" t="s">
        <v>104</v>
      </c>
      <c r="BA463" s="6" t="s">
        <v>104</v>
      </c>
      <c r="BB463" s="6" t="s">
        <v>104</v>
      </c>
      <c r="BC463" s="26"/>
      <c r="BD463" s="26"/>
      <c r="BE463" s="26"/>
      <c r="BF463" s="26"/>
      <c r="BG463" s="26"/>
      <c r="BH463" s="26" t="s">
        <v>24533</v>
      </c>
      <c r="BI463" s="26"/>
      <c r="BJ463" s="26"/>
      <c r="BK463" s="26"/>
      <c r="BL463" s="26"/>
      <c r="BM463" s="26"/>
      <c r="BN463" s="26"/>
      <c r="BO463" s="26"/>
      <c r="BP463" s="16" t="n">
        <v>45579</v>
      </c>
      <c r="BQ463" s="28" t="str">
        <f>HYPERLINK("https://organic.ams.usda.gov/Integrity/Certificate.aspx?cid=21&amp;nopid=1780813560")</f>
        <v>https://organic.ams.usda.gov/Integrity/Certificate.aspx?cid=21&amp;nopid=1780813560</v>
      </c>
    </row>
    <row r="464">
      <c r="A464" t="s">
        <v>3</v>
      </c>
      <c r="B464" s="6" t="s">
        <v>8</v>
      </c>
      <c r="C464" s="6" t="s">
        <v>74</v>
      </c>
      <c r="D464" s="6" t="s">
        <v>139</v>
      </c>
      <c r="E464" s="10" t="s">
        <v>662</v>
      </c>
      <c r="F464" s="6" t="s">
        <v>2916</v>
      </c>
      <c r="G464" s="6" t="s">
        <v>104</v>
      </c>
      <c r="H464" s="6" t="s">
        <v>662</v>
      </c>
      <c r="I464" s="6" t="s">
        <v>7246</v>
      </c>
      <c r="J464" s="6" t="s">
        <v>7037</v>
      </c>
      <c r="K464" s="6" t="s">
        <v>9714</v>
      </c>
      <c r="L464" s="16" t="n">
        <v>40273</v>
      </c>
      <c r="M464" s="16" t="n">
        <v>45915</v>
      </c>
      <c r="N464" s="6" t="s">
        <v>104</v>
      </c>
      <c r="O464" s="21" t="s">
        <v>104</v>
      </c>
      <c r="P464" s="6" t="s">
        <v>104</v>
      </c>
      <c r="Q464" s="6" t="s">
        <v>104</v>
      </c>
      <c r="R464" s="6" t="s">
        <v>104</v>
      </c>
      <c r="S464" s="6" t="s">
        <v>104</v>
      </c>
      <c r="T464" s="21" t="s">
        <v>104</v>
      </c>
      <c r="U464" s="6" t="s">
        <v>104</v>
      </c>
      <c r="V464" s="6" t="s">
        <v>104</v>
      </c>
      <c r="W464" s="6" t="s">
        <v>104</v>
      </c>
      <c r="X464" s="6" t="s">
        <v>104</v>
      </c>
      <c r="Y464" s="21" t="s">
        <v>104</v>
      </c>
      <c r="Z464" s="6" t="s">
        <v>104</v>
      </c>
      <c r="AA464" s="6" t="s">
        <v>104</v>
      </c>
      <c r="AB464" s="6" t="s">
        <v>104</v>
      </c>
      <c r="AC464" s="6" t="s">
        <v>9714</v>
      </c>
      <c r="AD464" s="16" t="n">
        <v>40273</v>
      </c>
      <c r="AE464" s="6" t="s">
        <v>10939</v>
      </c>
      <c r="AF464" s="6" t="s">
        <v>104</v>
      </c>
      <c r="AG464" s="6" t="s">
        <v>104</v>
      </c>
      <c r="AH464" s="6" t="s">
        <v>13574</v>
      </c>
      <c r="AI464" s="6" t="s">
        <v>104</v>
      </c>
      <c r="AJ464" s="6" t="s">
        <v>15684</v>
      </c>
      <c r="AK464" s="6" t="s">
        <v>16679</v>
      </c>
      <c r="AL464" s="6" t="s">
        <v>16931</v>
      </c>
      <c r="AM464" s="6" t="s">
        <v>17301</v>
      </c>
      <c r="AN464" s="6" t="s">
        <v>5759</v>
      </c>
      <c r="AO464" s="6" t="s">
        <v>18665</v>
      </c>
      <c r="AP464" s="6" t="s">
        <v>19080</v>
      </c>
      <c r="AQ464" s="6" t="s">
        <v>104</v>
      </c>
      <c r="AR464" s="6" t="s">
        <v>15684</v>
      </c>
      <c r="AS464" s="6" t="s">
        <v>16679</v>
      </c>
      <c r="AT464" s="6" t="s">
        <v>16931</v>
      </c>
      <c r="AU464" s="6" t="s">
        <v>17301</v>
      </c>
      <c r="AV464" s="6" t="s">
        <v>104</v>
      </c>
      <c r="AW464" s="6" t="s">
        <v>104</v>
      </c>
      <c r="AX464" s="6" t="s">
        <v>20487</v>
      </c>
      <c r="AY464" s="6" t="s">
        <v>22246</v>
      </c>
      <c r="AZ464" s="6" t="s">
        <v>23806</v>
      </c>
      <c r="BA464" s="6" t="s">
        <v>104</v>
      </c>
      <c r="BB464" s="6" t="s">
        <v>104</v>
      </c>
      <c r="BC464" s="26"/>
      <c r="BD464" s="26"/>
      <c r="BE464" s="26"/>
      <c r="BF464" s="26"/>
      <c r="BG464" s="26"/>
      <c r="BH464" s="26"/>
      <c r="BI464" s="26"/>
      <c r="BJ464" s="26"/>
      <c r="BK464" s="26"/>
      <c r="BL464" s="26"/>
      <c r="BM464" s="26"/>
      <c r="BN464" s="26"/>
      <c r="BO464" s="26"/>
      <c r="BP464" s="16" t="n">
        <v>45652</v>
      </c>
      <c r="BQ464" s="28" t="str">
        <f>HYPERLINK("https://organic.ams.usda.gov/Integrity/Certificate.aspx?cid=48&amp;nopid=1460029743")</f>
        <v>https://organic.ams.usda.gov/Integrity/Certificate.aspx?cid=48&amp;nopid=1460029743</v>
      </c>
    </row>
    <row r="465">
      <c r="A465" t="s">
        <v>3</v>
      </c>
      <c r="B465" s="6" t="s">
        <v>9</v>
      </c>
      <c r="C465" s="6" t="s">
        <v>75</v>
      </c>
      <c r="D465" s="6" t="s">
        <v>140</v>
      </c>
      <c r="E465" s="10" t="s">
        <v>663</v>
      </c>
      <c r="F465" s="6" t="s">
        <v>2917</v>
      </c>
      <c r="G465" s="6" t="s">
        <v>104</v>
      </c>
      <c r="H465" s="6" t="s">
        <v>5312</v>
      </c>
      <c r="I465" s="6" t="s">
        <v>7247</v>
      </c>
      <c r="J465" s="6" t="s">
        <v>8495</v>
      </c>
      <c r="K465" s="6" t="s">
        <v>9714</v>
      </c>
      <c r="L465" s="16" t="n">
        <v>38777</v>
      </c>
      <c r="M465" s="16" t="n">
        <v>46082</v>
      </c>
      <c r="N465" s="6" t="s">
        <v>104</v>
      </c>
      <c r="O465" s="21" t="s">
        <v>104</v>
      </c>
      <c r="P465" s="6" t="s">
        <v>104</v>
      </c>
      <c r="Q465" s="6" t="s">
        <v>104</v>
      </c>
      <c r="R465" s="6" t="s">
        <v>104</v>
      </c>
      <c r="S465" s="6" t="s">
        <v>104</v>
      </c>
      <c r="T465" s="21" t="s">
        <v>104</v>
      </c>
      <c r="U465" s="6" t="s">
        <v>104</v>
      </c>
      <c r="V465" s="6" t="s">
        <v>104</v>
      </c>
      <c r="W465" s="6" t="s">
        <v>104</v>
      </c>
      <c r="X465" s="6" t="s">
        <v>104</v>
      </c>
      <c r="Y465" s="21" t="s">
        <v>104</v>
      </c>
      <c r="Z465" s="6" t="s">
        <v>104</v>
      </c>
      <c r="AA465" s="6" t="s">
        <v>104</v>
      </c>
      <c r="AB465" s="6" t="s">
        <v>104</v>
      </c>
      <c r="AC465" s="6" t="s">
        <v>9714</v>
      </c>
      <c r="AD465" s="16" t="n">
        <v>38777</v>
      </c>
      <c r="AE465" s="6" t="s">
        <v>10940</v>
      </c>
      <c r="AF465" s="6" t="s">
        <v>104</v>
      </c>
      <c r="AG465" s="6" t="s">
        <v>12615</v>
      </c>
      <c r="AH465" s="6" t="s">
        <v>13575</v>
      </c>
      <c r="AI465" s="6" t="s">
        <v>104</v>
      </c>
      <c r="AJ465" s="6" t="s">
        <v>15685</v>
      </c>
      <c r="AK465" s="6" t="s">
        <v>16714</v>
      </c>
      <c r="AL465" s="6" t="s">
        <v>16931</v>
      </c>
      <c r="AM465" s="6" t="s">
        <v>17302</v>
      </c>
      <c r="AN465" s="6" t="s">
        <v>104</v>
      </c>
      <c r="AO465" s="6" t="s">
        <v>104</v>
      </c>
      <c r="AP465" s="6" t="s">
        <v>104</v>
      </c>
      <c r="AQ465" s="6" t="s">
        <v>104</v>
      </c>
      <c r="AR465" s="6" t="s">
        <v>104</v>
      </c>
      <c r="AS465" s="6" t="s">
        <v>104</v>
      </c>
      <c r="AT465" s="6" t="s">
        <v>104</v>
      </c>
      <c r="AU465" s="6" t="s">
        <v>104</v>
      </c>
      <c r="AV465" s="6" t="s">
        <v>104</v>
      </c>
      <c r="AW465" s="6" t="s">
        <v>104</v>
      </c>
      <c r="AX465" s="6" t="s">
        <v>20488</v>
      </c>
      <c r="AY465" s="6" t="s">
        <v>22247</v>
      </c>
      <c r="AZ465" s="6" t="s">
        <v>104</v>
      </c>
      <c r="BA465" s="6" t="s">
        <v>104</v>
      </c>
      <c r="BB465" s="6" t="s">
        <v>104</v>
      </c>
      <c r="BC465" s="26"/>
      <c r="BD465" s="26"/>
      <c r="BE465" s="26"/>
      <c r="BF465" s="26"/>
      <c r="BG465" s="26"/>
      <c r="BH465" s="26"/>
      <c r="BI465" s="26"/>
      <c r="BJ465" s="26"/>
      <c r="BK465" s="26"/>
      <c r="BL465" s="26"/>
      <c r="BM465" s="26"/>
      <c r="BN465" s="26"/>
      <c r="BO465" s="26"/>
      <c r="BP465" s="16" t="n">
        <v>45728</v>
      </c>
      <c r="BQ465" s="28" t="str">
        <f>HYPERLINK("https://organic.ams.usda.gov/Integrity/Certificate.aspx?cid=63&amp;nopid=6220004971")</f>
        <v>https://organic.ams.usda.gov/Integrity/Certificate.aspx?cid=63&amp;nopid=6220004971</v>
      </c>
    </row>
    <row r="466">
      <c r="A466" t="s">
        <v>3</v>
      </c>
      <c r="B466" s="6" t="s">
        <v>59</v>
      </c>
      <c r="C466" s="6" t="s">
        <v>125</v>
      </c>
      <c r="D466" s="6" t="s">
        <v>189</v>
      </c>
      <c r="E466" s="10" t="s">
        <v>664</v>
      </c>
      <c r="F466" s="6" t="s">
        <v>2918</v>
      </c>
      <c r="G466" s="6" t="s">
        <v>104</v>
      </c>
      <c r="H466" s="6" t="s">
        <v>5313</v>
      </c>
      <c r="I466" s="6" t="s">
        <v>7248</v>
      </c>
      <c r="J466" s="6" t="s">
        <v>8496</v>
      </c>
      <c r="K466" s="6" t="s">
        <v>9714</v>
      </c>
      <c r="L466" s="16" t="n">
        <v>41640</v>
      </c>
      <c r="M466" s="16" t="n">
        <v>45748</v>
      </c>
      <c r="N466" s="6" t="s">
        <v>9714</v>
      </c>
      <c r="O466" s="16" t="n">
        <v>41640</v>
      </c>
      <c r="P466" s="6" t="s">
        <v>9855</v>
      </c>
      <c r="Q466" s="6" t="s">
        <v>104</v>
      </c>
      <c r="R466" s="6" t="s">
        <v>10337</v>
      </c>
      <c r="S466" s="6" t="s">
        <v>9714</v>
      </c>
      <c r="T466" s="16" t="n">
        <v>41640</v>
      </c>
      <c r="U466" s="6" t="s">
        <v>10475</v>
      </c>
      <c r="V466" s="6" t="s">
        <v>104</v>
      </c>
      <c r="W466" s="6" t="s">
        <v>10337</v>
      </c>
      <c r="X466" s="6" t="s">
        <v>104</v>
      </c>
      <c r="Y466" s="21" t="s">
        <v>104</v>
      </c>
      <c r="Z466" s="6" t="s">
        <v>104</v>
      </c>
      <c r="AA466" s="6" t="s">
        <v>104</v>
      </c>
      <c r="AB466" s="6" t="s">
        <v>104</v>
      </c>
      <c r="AC466" s="6" t="s">
        <v>9714</v>
      </c>
      <c r="AD466" s="16" t="n">
        <v>41640</v>
      </c>
      <c r="AE466" s="6" t="s">
        <v>10941</v>
      </c>
      <c r="AF466" s="6" t="s">
        <v>104</v>
      </c>
      <c r="AG466" s="6" t="s">
        <v>10337</v>
      </c>
      <c r="AH466" s="6" t="s">
        <v>13576</v>
      </c>
      <c r="AI466" s="6" t="s">
        <v>104</v>
      </c>
      <c r="AJ466" s="6" t="s">
        <v>15686</v>
      </c>
      <c r="AK466" s="6" t="s">
        <v>16337</v>
      </c>
      <c r="AL466" s="6" t="s">
        <v>16931</v>
      </c>
      <c r="AM466" s="6" t="s">
        <v>17303</v>
      </c>
      <c r="AN466" s="6" t="s">
        <v>18479</v>
      </c>
      <c r="AO466" s="6" t="s">
        <v>18598</v>
      </c>
      <c r="AP466" s="6" t="s">
        <v>13576</v>
      </c>
      <c r="AQ466" s="6" t="s">
        <v>104</v>
      </c>
      <c r="AR466" s="6" t="s">
        <v>15686</v>
      </c>
      <c r="AS466" s="6" t="s">
        <v>16337</v>
      </c>
      <c r="AT466" s="6" t="s">
        <v>16931</v>
      </c>
      <c r="AU466" s="6" t="s">
        <v>17303</v>
      </c>
      <c r="AV466" s="6" t="s">
        <v>104</v>
      </c>
      <c r="AW466" s="6" t="s">
        <v>104</v>
      </c>
      <c r="AX466" s="6" t="s">
        <v>20489</v>
      </c>
      <c r="AY466" s="6" t="s">
        <v>22248</v>
      </c>
      <c r="AZ466" s="6" t="s">
        <v>104</v>
      </c>
      <c r="BA466" s="6" t="s">
        <v>104</v>
      </c>
      <c r="BB466" s="24" t="n">
        <v>240</v>
      </c>
      <c r="BC466" s="26"/>
      <c r="BD466" s="26"/>
      <c r="BE466" s="26"/>
      <c r="BF466" s="26" t="s">
        <v>24533</v>
      </c>
      <c r="BG466" s="26"/>
      <c r="BH466" s="26"/>
      <c r="BI466" s="26"/>
      <c r="BJ466" s="26"/>
      <c r="BK466" s="26"/>
      <c r="BL466" s="26"/>
      <c r="BM466" s="26"/>
      <c r="BN466" s="26"/>
      <c r="BO466" s="26"/>
      <c r="BP466" s="16" t="n">
        <v>45454</v>
      </c>
      <c r="BQ466" s="28" t="str">
        <f>HYPERLINK("https://organic.ams.usda.gov/Integrity/Certificate.aspx?cid=42&amp;nopid=6780000231")</f>
        <v>https://organic.ams.usda.gov/Integrity/Certificate.aspx?cid=42&amp;nopid=6780000231</v>
      </c>
    </row>
    <row r="467">
      <c r="A467" t="s">
        <v>3</v>
      </c>
      <c r="B467" s="6" t="s">
        <v>13</v>
      </c>
      <c r="C467" s="6" t="s">
        <v>79</v>
      </c>
      <c r="D467" s="6" t="s">
        <v>144</v>
      </c>
      <c r="E467" s="10" t="s">
        <v>665</v>
      </c>
      <c r="F467" s="6" t="s">
        <v>2919</v>
      </c>
      <c r="G467" s="6" t="s">
        <v>104</v>
      </c>
      <c r="H467" s="6" t="s">
        <v>5314</v>
      </c>
      <c r="I467" s="6" t="s">
        <v>7249</v>
      </c>
      <c r="J467" s="6" t="s">
        <v>8497</v>
      </c>
      <c r="K467" s="6" t="s">
        <v>9714</v>
      </c>
      <c r="L467" s="16" t="n">
        <v>41597</v>
      </c>
      <c r="M467" s="16" t="n">
        <v>46023</v>
      </c>
      <c r="N467" s="6" t="s">
        <v>104</v>
      </c>
      <c r="O467" s="21" t="s">
        <v>104</v>
      </c>
      <c r="P467" s="6" t="s">
        <v>104</v>
      </c>
      <c r="Q467" s="6" t="s">
        <v>104</v>
      </c>
      <c r="R467" s="6" t="s">
        <v>104</v>
      </c>
      <c r="S467" s="6" t="s">
        <v>104</v>
      </c>
      <c r="T467" s="21" t="s">
        <v>104</v>
      </c>
      <c r="U467" s="6" t="s">
        <v>104</v>
      </c>
      <c r="V467" s="6" t="s">
        <v>104</v>
      </c>
      <c r="W467" s="6" t="s">
        <v>104</v>
      </c>
      <c r="X467" s="6" t="s">
        <v>104</v>
      </c>
      <c r="Y467" s="21" t="s">
        <v>104</v>
      </c>
      <c r="Z467" s="6" t="s">
        <v>104</v>
      </c>
      <c r="AA467" s="6" t="s">
        <v>104</v>
      </c>
      <c r="AB467" s="6" t="s">
        <v>104</v>
      </c>
      <c r="AC467" s="6" t="s">
        <v>9714</v>
      </c>
      <c r="AD467" s="16" t="n">
        <v>41597</v>
      </c>
      <c r="AE467" s="6" t="s">
        <v>10942</v>
      </c>
      <c r="AF467" s="6" t="s">
        <v>104</v>
      </c>
      <c r="AG467" s="6" t="s">
        <v>104</v>
      </c>
      <c r="AH467" s="6" t="s">
        <v>104</v>
      </c>
      <c r="AI467" s="6" t="s">
        <v>104</v>
      </c>
      <c r="AJ467" s="6" t="s">
        <v>104</v>
      </c>
      <c r="AK467" s="6" t="s">
        <v>104</v>
      </c>
      <c r="AL467" s="6" t="s">
        <v>104</v>
      </c>
      <c r="AM467" s="6" t="s">
        <v>104</v>
      </c>
      <c r="AN467" s="6" t="s">
        <v>104</v>
      </c>
      <c r="AO467" s="6" t="s">
        <v>104</v>
      </c>
      <c r="AP467" s="6" t="s">
        <v>19081</v>
      </c>
      <c r="AQ467" s="6" t="s">
        <v>104</v>
      </c>
      <c r="AR467" s="6" t="s">
        <v>8077</v>
      </c>
      <c r="AS467" s="6" t="s">
        <v>16705</v>
      </c>
      <c r="AT467" s="6" t="s">
        <v>16931</v>
      </c>
      <c r="AU467" s="6" t="s">
        <v>17113</v>
      </c>
      <c r="AV467" s="6" t="s">
        <v>18486</v>
      </c>
      <c r="AW467" s="6" t="s">
        <v>18599</v>
      </c>
      <c r="AX467" s="6" t="s">
        <v>20490</v>
      </c>
      <c r="AY467" s="6" t="s">
        <v>22249</v>
      </c>
      <c r="AZ467" s="6" t="s">
        <v>104</v>
      </c>
      <c r="BA467" s="6" t="s">
        <v>104</v>
      </c>
      <c r="BB467" s="6" t="s">
        <v>104</v>
      </c>
      <c r="BC467" s="26"/>
      <c r="BD467" s="26"/>
      <c r="BE467" s="26"/>
      <c r="BF467" s="26"/>
      <c r="BG467" s="26"/>
      <c r="BH467" s="26"/>
      <c r="BI467" s="26"/>
      <c r="BJ467" s="26"/>
      <c r="BK467" s="26"/>
      <c r="BL467" s="26"/>
      <c r="BM467" s="26"/>
      <c r="BN467" s="26"/>
      <c r="BO467" s="26"/>
      <c r="BP467" s="16" t="n">
        <v>45615</v>
      </c>
      <c r="BQ467" s="28" t="str">
        <f>HYPERLINK("https://organic.ams.usda.gov/Integrity/Certificate.aspx?cid=62&amp;nopid=8150000821")</f>
        <v>https://organic.ams.usda.gov/Integrity/Certificate.aspx?cid=62&amp;nopid=8150000821</v>
      </c>
    </row>
    <row r="468">
      <c r="A468" t="s">
        <v>3</v>
      </c>
      <c r="B468" s="6" t="s">
        <v>34</v>
      </c>
      <c r="C468" s="6" t="s">
        <v>100</v>
      </c>
      <c r="D468" s="6" t="s">
        <v>165</v>
      </c>
      <c r="E468" s="10" t="s">
        <v>666</v>
      </c>
      <c r="F468" s="6" t="s">
        <v>2920</v>
      </c>
      <c r="G468" s="6" t="s">
        <v>104</v>
      </c>
      <c r="H468" s="6" t="s">
        <v>5315</v>
      </c>
      <c r="I468" s="6" t="s">
        <v>7218</v>
      </c>
      <c r="J468" s="6" t="s">
        <v>8498</v>
      </c>
      <c r="K468" s="6" t="s">
        <v>9714</v>
      </c>
      <c r="L468" s="16" t="n">
        <v>39093</v>
      </c>
      <c r="M468" s="16" t="n">
        <v>45932</v>
      </c>
      <c r="N468" s="6" t="s">
        <v>104</v>
      </c>
      <c r="O468" s="21" t="s">
        <v>104</v>
      </c>
      <c r="P468" s="6" t="s">
        <v>104</v>
      </c>
      <c r="Q468" s="6" t="s">
        <v>104</v>
      </c>
      <c r="R468" s="6" t="s">
        <v>104</v>
      </c>
      <c r="S468" s="6" t="s">
        <v>104</v>
      </c>
      <c r="T468" s="21" t="s">
        <v>104</v>
      </c>
      <c r="U468" s="6" t="s">
        <v>104</v>
      </c>
      <c r="V468" s="6" t="s">
        <v>104</v>
      </c>
      <c r="W468" s="6" t="s">
        <v>104</v>
      </c>
      <c r="X468" s="6" t="s">
        <v>104</v>
      </c>
      <c r="Y468" s="21" t="s">
        <v>104</v>
      </c>
      <c r="Z468" s="6" t="s">
        <v>104</v>
      </c>
      <c r="AA468" s="6" t="s">
        <v>104</v>
      </c>
      <c r="AB468" s="6" t="s">
        <v>104</v>
      </c>
      <c r="AC468" s="6" t="s">
        <v>9714</v>
      </c>
      <c r="AD468" s="16" t="n">
        <v>39093</v>
      </c>
      <c r="AE468" s="6" t="s">
        <v>10943</v>
      </c>
      <c r="AF468" s="6" t="s">
        <v>104</v>
      </c>
      <c r="AG468" s="6" t="s">
        <v>12616</v>
      </c>
      <c r="AH468" s="6" t="s">
        <v>13577</v>
      </c>
      <c r="AI468" s="6" t="s">
        <v>104</v>
      </c>
      <c r="AJ468" s="6" t="s">
        <v>15687</v>
      </c>
      <c r="AK468" s="6" t="s">
        <v>16710</v>
      </c>
      <c r="AL468" s="6" t="s">
        <v>16931</v>
      </c>
      <c r="AM468" s="6" t="s">
        <v>17304</v>
      </c>
      <c r="AN468" s="6" t="s">
        <v>17970</v>
      </c>
      <c r="AO468" s="6" t="s">
        <v>18666</v>
      </c>
      <c r="AP468" s="6" t="s">
        <v>19082</v>
      </c>
      <c r="AQ468" s="6" t="s">
        <v>104</v>
      </c>
      <c r="AR468" s="6" t="s">
        <v>15687</v>
      </c>
      <c r="AS468" s="6" t="s">
        <v>16710</v>
      </c>
      <c r="AT468" s="6" t="s">
        <v>16931</v>
      </c>
      <c r="AU468" s="6" t="s">
        <v>17304</v>
      </c>
      <c r="AV468" s="6" t="s">
        <v>104</v>
      </c>
      <c r="AW468" s="6" t="s">
        <v>104</v>
      </c>
      <c r="AX468" s="6" t="s">
        <v>20491</v>
      </c>
      <c r="AY468" s="6" t="s">
        <v>22250</v>
      </c>
      <c r="AZ468" s="6" t="s">
        <v>23807</v>
      </c>
      <c r="BA468" s="6" t="s">
        <v>104</v>
      </c>
      <c r="BB468" s="6" t="s">
        <v>104</v>
      </c>
      <c r="BC468" s="26"/>
      <c r="BD468" s="26"/>
      <c r="BE468" s="26" t="s">
        <v>24533</v>
      </c>
      <c r="BF468" s="26"/>
      <c r="BG468" s="26"/>
      <c r="BH468" s="26"/>
      <c r="BI468" s="26"/>
      <c r="BJ468" s="26"/>
      <c r="BK468" s="26"/>
      <c r="BL468" s="26"/>
      <c r="BM468" s="26"/>
      <c r="BN468" s="26"/>
      <c r="BO468" s="26"/>
      <c r="BP468" s="16" t="n">
        <v>45739</v>
      </c>
      <c r="BQ468" s="28" t="str">
        <f>HYPERLINK("https://organic.ams.usda.gov/Integrity/Certificate.aspx?cid=71&amp;nopid=5520029825")</f>
        <v>https://organic.ams.usda.gov/Integrity/Certificate.aspx?cid=71&amp;nopid=5520029825</v>
      </c>
    </row>
    <row r="469">
      <c r="A469" t="s">
        <v>3</v>
      </c>
      <c r="B469" s="6" t="s">
        <v>13</v>
      </c>
      <c r="C469" s="6" t="s">
        <v>79</v>
      </c>
      <c r="D469" s="6" t="s">
        <v>144</v>
      </c>
      <c r="E469" s="10" t="s">
        <v>667</v>
      </c>
      <c r="F469" s="6" t="s">
        <v>2921</v>
      </c>
      <c r="G469" s="6" t="s">
        <v>104</v>
      </c>
      <c r="H469" s="6" t="s">
        <v>5316</v>
      </c>
      <c r="I469" s="6" t="s">
        <v>7138</v>
      </c>
      <c r="J469" s="6" t="s">
        <v>8499</v>
      </c>
      <c r="K469" s="6" t="s">
        <v>9714</v>
      </c>
      <c r="L469" s="16" t="n">
        <v>37375</v>
      </c>
      <c r="M469" s="16" t="n">
        <v>46113</v>
      </c>
      <c r="N469" s="6" t="s">
        <v>9714</v>
      </c>
      <c r="O469" s="16" t="n">
        <v>37923</v>
      </c>
      <c r="P469" s="6" t="s">
        <v>9856</v>
      </c>
      <c r="Q469" s="6" t="s">
        <v>104</v>
      </c>
      <c r="R469" s="6" t="s">
        <v>104</v>
      </c>
      <c r="S469" s="6" t="s">
        <v>9721</v>
      </c>
      <c r="T469" s="16" t="n">
        <v>45119</v>
      </c>
      <c r="U469" s="6" t="s">
        <v>104</v>
      </c>
      <c r="V469" s="6" t="s">
        <v>104</v>
      </c>
      <c r="W469" s="6" t="s">
        <v>104</v>
      </c>
      <c r="X469" s="6" t="s">
        <v>104</v>
      </c>
      <c r="Y469" s="21" t="s">
        <v>104</v>
      </c>
      <c r="Z469" s="6" t="s">
        <v>104</v>
      </c>
      <c r="AA469" s="6" t="s">
        <v>104</v>
      </c>
      <c r="AB469" s="6" t="s">
        <v>104</v>
      </c>
      <c r="AC469" s="6" t="s">
        <v>9714</v>
      </c>
      <c r="AD469" s="16" t="n">
        <v>37375</v>
      </c>
      <c r="AE469" s="6" t="s">
        <v>10944</v>
      </c>
      <c r="AF469" s="6" t="s">
        <v>104</v>
      </c>
      <c r="AG469" s="6" t="s">
        <v>104</v>
      </c>
      <c r="AH469" s="6" t="s">
        <v>104</v>
      </c>
      <c r="AI469" s="6" t="s">
        <v>104</v>
      </c>
      <c r="AJ469" s="6" t="s">
        <v>104</v>
      </c>
      <c r="AK469" s="6" t="s">
        <v>104</v>
      </c>
      <c r="AL469" s="6" t="s">
        <v>104</v>
      </c>
      <c r="AM469" s="6" t="s">
        <v>104</v>
      </c>
      <c r="AN469" s="6" t="s">
        <v>104</v>
      </c>
      <c r="AO469" s="6" t="s">
        <v>104</v>
      </c>
      <c r="AP469" s="6" t="s">
        <v>19083</v>
      </c>
      <c r="AQ469" s="6" t="s">
        <v>104</v>
      </c>
      <c r="AR469" s="6" t="s">
        <v>19635</v>
      </c>
      <c r="AS469" s="6" t="s">
        <v>16714</v>
      </c>
      <c r="AT469" s="6" t="s">
        <v>16931</v>
      </c>
      <c r="AU469" s="6" t="s">
        <v>19865</v>
      </c>
      <c r="AV469" s="6" t="s">
        <v>18491</v>
      </c>
      <c r="AW469" s="6" t="s">
        <v>18868</v>
      </c>
      <c r="AX469" s="6" t="s">
        <v>20492</v>
      </c>
      <c r="AY469" s="6" t="s">
        <v>22251</v>
      </c>
      <c r="AZ469" s="6" t="s">
        <v>23808</v>
      </c>
      <c r="BA469" s="6" t="s">
        <v>104</v>
      </c>
      <c r="BB469" s="24" t="n">
        <v>16</v>
      </c>
      <c r="BC469" s="26" t="s">
        <v>24533</v>
      </c>
      <c r="BD469" s="26"/>
      <c r="BE469" s="26" t="s">
        <v>24533</v>
      </c>
      <c r="BF469" s="26"/>
      <c r="BG469" s="26" t="s">
        <v>24533</v>
      </c>
      <c r="BH469" s="26" t="s">
        <v>24533</v>
      </c>
      <c r="BI469" s="26"/>
      <c r="BJ469" s="26"/>
      <c r="BK469" s="26"/>
      <c r="BL469" s="26" t="s">
        <v>24533</v>
      </c>
      <c r="BM469" s="26"/>
      <c r="BN469" s="26" t="s">
        <v>24533</v>
      </c>
      <c r="BO469" s="26"/>
      <c r="BP469" s="16" t="n">
        <v>45734</v>
      </c>
      <c r="BQ469" s="28" t="str">
        <f>HYPERLINK("https://organic.ams.usda.gov/Integrity/Certificate.aspx?cid=62&amp;nopid=8150001357")</f>
        <v>https://organic.ams.usda.gov/Integrity/Certificate.aspx?cid=62&amp;nopid=8150001357</v>
      </c>
    </row>
    <row r="470">
      <c r="A470" t="s">
        <v>3</v>
      </c>
      <c r="B470" s="6" t="s">
        <v>20</v>
      </c>
      <c r="C470" s="6" t="s">
        <v>86</v>
      </c>
      <c r="D470" s="6" t="s">
        <v>151</v>
      </c>
      <c r="E470" s="10" t="s">
        <v>668</v>
      </c>
      <c r="F470" s="6" t="s">
        <v>2922</v>
      </c>
      <c r="G470" s="6" t="s">
        <v>104</v>
      </c>
      <c r="H470" s="6" t="s">
        <v>5317</v>
      </c>
      <c r="I470" s="6" t="s">
        <v>7250</v>
      </c>
      <c r="J470" s="6" t="s">
        <v>7281</v>
      </c>
      <c r="K470" s="6" t="s">
        <v>9714</v>
      </c>
      <c r="L470" s="16" t="n">
        <v>45499</v>
      </c>
      <c r="M470" s="16" t="n">
        <v>45869</v>
      </c>
      <c r="N470" s="6" t="s">
        <v>104</v>
      </c>
      <c r="O470" s="21" t="s">
        <v>104</v>
      </c>
      <c r="P470" s="6" t="s">
        <v>104</v>
      </c>
      <c r="Q470" s="6" t="s">
        <v>104</v>
      </c>
      <c r="R470" s="6" t="s">
        <v>104</v>
      </c>
      <c r="S470" s="6" t="s">
        <v>104</v>
      </c>
      <c r="T470" s="21" t="s">
        <v>104</v>
      </c>
      <c r="U470" s="6" t="s">
        <v>104</v>
      </c>
      <c r="V470" s="6" t="s">
        <v>104</v>
      </c>
      <c r="W470" s="6" t="s">
        <v>104</v>
      </c>
      <c r="X470" s="6" t="s">
        <v>104</v>
      </c>
      <c r="Y470" s="21" t="s">
        <v>104</v>
      </c>
      <c r="Z470" s="6" t="s">
        <v>104</v>
      </c>
      <c r="AA470" s="6" t="s">
        <v>104</v>
      </c>
      <c r="AB470" s="6" t="s">
        <v>104</v>
      </c>
      <c r="AC470" s="6" t="s">
        <v>9714</v>
      </c>
      <c r="AD470" s="16" t="n">
        <v>45499</v>
      </c>
      <c r="AE470" s="6" t="s">
        <v>10945</v>
      </c>
      <c r="AF470" s="6" t="s">
        <v>104</v>
      </c>
      <c r="AG470" s="6" t="s">
        <v>12617</v>
      </c>
      <c r="AH470" s="6" t="s">
        <v>13578</v>
      </c>
      <c r="AI470" s="6" t="s">
        <v>104</v>
      </c>
      <c r="AJ470" s="6" t="s">
        <v>104</v>
      </c>
      <c r="AK470" s="6" t="s">
        <v>16776</v>
      </c>
      <c r="AL470" s="6" t="s">
        <v>16766</v>
      </c>
      <c r="AM470" s="6" t="s">
        <v>17305</v>
      </c>
      <c r="AN470" s="6" t="s">
        <v>104</v>
      </c>
      <c r="AO470" s="6" t="s">
        <v>104</v>
      </c>
      <c r="AP470" s="6" t="s">
        <v>104</v>
      </c>
      <c r="AQ470" s="6" t="s">
        <v>104</v>
      </c>
      <c r="AR470" s="6" t="s">
        <v>104</v>
      </c>
      <c r="AS470" s="6" t="s">
        <v>104</v>
      </c>
      <c r="AT470" s="6" t="s">
        <v>104</v>
      </c>
      <c r="AU470" s="6" t="s">
        <v>104</v>
      </c>
      <c r="AV470" s="6" t="s">
        <v>104</v>
      </c>
      <c r="AW470" s="6" t="s">
        <v>104</v>
      </c>
      <c r="AX470" s="6" t="s">
        <v>20493</v>
      </c>
      <c r="AY470" s="6" t="s">
        <v>22252</v>
      </c>
      <c r="AZ470" s="6" t="s">
        <v>104</v>
      </c>
      <c r="BA470" s="6" t="s">
        <v>104</v>
      </c>
      <c r="BB470" s="6" t="s">
        <v>104</v>
      </c>
      <c r="BC470" s="26"/>
      <c r="BD470" s="26"/>
      <c r="BE470" s="26"/>
      <c r="BF470" s="26"/>
      <c r="BG470" s="26"/>
      <c r="BH470" s="26"/>
      <c r="BI470" s="26"/>
      <c r="BJ470" s="26"/>
      <c r="BK470" s="26"/>
      <c r="BL470" s="26"/>
      <c r="BM470" s="26"/>
      <c r="BN470" s="26"/>
      <c r="BO470" s="26"/>
      <c r="BP470" s="16" t="n">
        <v>45499</v>
      </c>
      <c r="BQ470" s="28" t="str">
        <f>HYPERLINK("https://organic.ams.usda.gov/Integrity/Certificate.aspx?cid=17&amp;nopid=4080207935")</f>
        <v>https://organic.ams.usda.gov/Integrity/Certificate.aspx?cid=17&amp;nopid=4080207935</v>
      </c>
    </row>
    <row r="471">
      <c r="A471" t="s">
        <v>3</v>
      </c>
      <c r="B471" s="6" t="s">
        <v>21</v>
      </c>
      <c r="C471" s="6" t="s">
        <v>87</v>
      </c>
      <c r="D471" s="6" t="s">
        <v>152</v>
      </c>
      <c r="E471" s="10" t="s">
        <v>669</v>
      </c>
      <c r="F471" s="6" t="s">
        <v>2923</v>
      </c>
      <c r="G471" s="6" t="s">
        <v>104</v>
      </c>
      <c r="H471" s="6" t="s">
        <v>5318</v>
      </c>
      <c r="I471" s="6" t="s">
        <v>7251</v>
      </c>
      <c r="J471" s="6" t="s">
        <v>8500</v>
      </c>
      <c r="K471" s="6" t="s">
        <v>9714</v>
      </c>
      <c r="L471" s="16" t="n">
        <v>44231</v>
      </c>
      <c r="M471" s="16" t="n">
        <v>46023</v>
      </c>
      <c r="N471" s="6" t="s">
        <v>104</v>
      </c>
      <c r="O471" s="21" t="s">
        <v>104</v>
      </c>
      <c r="P471" s="6" t="s">
        <v>104</v>
      </c>
      <c r="Q471" s="6" t="s">
        <v>104</v>
      </c>
      <c r="R471" s="6" t="s">
        <v>104</v>
      </c>
      <c r="S471" s="6" t="s">
        <v>104</v>
      </c>
      <c r="T471" s="21" t="s">
        <v>104</v>
      </c>
      <c r="U471" s="6" t="s">
        <v>104</v>
      </c>
      <c r="V471" s="6" t="s">
        <v>104</v>
      </c>
      <c r="W471" s="6" t="s">
        <v>104</v>
      </c>
      <c r="X471" s="6" t="s">
        <v>104</v>
      </c>
      <c r="Y471" s="21" t="s">
        <v>104</v>
      </c>
      <c r="Z471" s="6" t="s">
        <v>104</v>
      </c>
      <c r="AA471" s="6" t="s">
        <v>104</v>
      </c>
      <c r="AB471" s="6" t="s">
        <v>104</v>
      </c>
      <c r="AC471" s="6" t="s">
        <v>9714</v>
      </c>
      <c r="AD471" s="16" t="n">
        <v>44231</v>
      </c>
      <c r="AE471" s="6" t="s">
        <v>10946</v>
      </c>
      <c r="AF471" s="6" t="s">
        <v>104</v>
      </c>
      <c r="AG471" s="6" t="s">
        <v>104</v>
      </c>
      <c r="AH471" s="6" t="s">
        <v>13579</v>
      </c>
      <c r="AI471" s="6" t="s">
        <v>104</v>
      </c>
      <c r="AJ471" s="6" t="s">
        <v>15688</v>
      </c>
      <c r="AK471" s="6" t="s">
        <v>16777</v>
      </c>
      <c r="AL471" s="6" t="s">
        <v>16931</v>
      </c>
      <c r="AM471" s="6" t="s">
        <v>17306</v>
      </c>
      <c r="AN471" s="6" t="s">
        <v>18465</v>
      </c>
      <c r="AO471" s="6" t="s">
        <v>18667</v>
      </c>
      <c r="AP471" s="6" t="s">
        <v>13579</v>
      </c>
      <c r="AQ471" s="6" t="s">
        <v>104</v>
      </c>
      <c r="AR471" s="6" t="s">
        <v>15688</v>
      </c>
      <c r="AS471" s="6" t="s">
        <v>16777</v>
      </c>
      <c r="AT471" s="6" t="s">
        <v>16931</v>
      </c>
      <c r="AU471" s="6" t="s">
        <v>17306</v>
      </c>
      <c r="AV471" s="6" t="s">
        <v>104</v>
      </c>
      <c r="AW471" s="6" t="s">
        <v>104</v>
      </c>
      <c r="AX471" s="6" t="s">
        <v>20494</v>
      </c>
      <c r="AY471" s="6" t="s">
        <v>22253</v>
      </c>
      <c r="AZ471" s="6" t="s">
        <v>23809</v>
      </c>
      <c r="BA471" s="6" t="s">
        <v>24263</v>
      </c>
      <c r="BB471" s="6" t="s">
        <v>104</v>
      </c>
      <c r="BC471" s="26"/>
      <c r="BD471" s="26"/>
      <c r="BE471" s="26"/>
      <c r="BF471" s="26"/>
      <c r="BG471" s="26"/>
      <c r="BH471" s="26"/>
      <c r="BI471" s="26"/>
      <c r="BJ471" s="26"/>
      <c r="BK471" s="26"/>
      <c r="BL471" s="26"/>
      <c r="BM471" s="26"/>
      <c r="BN471" s="26"/>
      <c r="BO471" s="26"/>
      <c r="BP471" s="16" t="n">
        <v>45733</v>
      </c>
      <c r="BQ471" s="28" t="str">
        <f>HYPERLINK("https://organic.ams.usda.gov/Integrity/Certificate.aspx?cid=15&amp;nopid=5561006761")</f>
        <v>https://organic.ams.usda.gov/Integrity/Certificate.aspx?cid=15&amp;nopid=5561006761</v>
      </c>
    </row>
    <row r="472">
      <c r="A472" t="s">
        <v>3</v>
      </c>
      <c r="B472" s="6" t="s">
        <v>47</v>
      </c>
      <c r="C472" s="6" t="s">
        <v>113</v>
      </c>
      <c r="D472" s="6" t="s">
        <v>177</v>
      </c>
      <c r="E472" s="10" t="s">
        <v>670</v>
      </c>
      <c r="F472" s="6" t="s">
        <v>2924</v>
      </c>
      <c r="G472" s="6" t="s">
        <v>104</v>
      </c>
      <c r="H472" s="6" t="s">
        <v>5319</v>
      </c>
      <c r="I472" s="6" t="s">
        <v>7252</v>
      </c>
      <c r="J472" s="6" t="s">
        <v>8501</v>
      </c>
      <c r="K472" s="6" t="s">
        <v>9714</v>
      </c>
      <c r="L472" s="16" t="n">
        <v>38187</v>
      </c>
      <c r="M472" s="16" t="n">
        <v>46127</v>
      </c>
      <c r="N472" s="6" t="s">
        <v>9714</v>
      </c>
      <c r="O472" s="16" t="n">
        <v>38187</v>
      </c>
      <c r="P472" s="6" t="s">
        <v>9857</v>
      </c>
      <c r="Q472" s="6" t="s">
        <v>104</v>
      </c>
      <c r="R472" s="6" t="s">
        <v>10338</v>
      </c>
      <c r="S472" s="6" t="s">
        <v>104</v>
      </c>
      <c r="T472" s="21" t="s">
        <v>104</v>
      </c>
      <c r="U472" s="6" t="s">
        <v>104</v>
      </c>
      <c r="V472" s="6" t="s">
        <v>104</v>
      </c>
      <c r="W472" s="6" t="s">
        <v>104</v>
      </c>
      <c r="X472" s="6" t="s">
        <v>104</v>
      </c>
      <c r="Y472" s="21" t="s">
        <v>104</v>
      </c>
      <c r="Z472" s="6" t="s">
        <v>104</v>
      </c>
      <c r="AA472" s="6" t="s">
        <v>104</v>
      </c>
      <c r="AB472" s="6" t="s">
        <v>104</v>
      </c>
      <c r="AC472" s="6" t="s">
        <v>9714</v>
      </c>
      <c r="AD472" s="16" t="n">
        <v>43015</v>
      </c>
      <c r="AE472" s="6" t="s">
        <v>10947</v>
      </c>
      <c r="AF472" s="6" t="s">
        <v>104</v>
      </c>
      <c r="AG472" s="6" t="s">
        <v>10338</v>
      </c>
      <c r="AH472" s="6" t="s">
        <v>13580</v>
      </c>
      <c r="AI472" s="6" t="s">
        <v>104</v>
      </c>
      <c r="AJ472" s="6" t="s">
        <v>15689</v>
      </c>
      <c r="AK472" s="6" t="s">
        <v>16734</v>
      </c>
      <c r="AL472" s="6" t="s">
        <v>16931</v>
      </c>
      <c r="AM472" s="6" t="s">
        <v>17307</v>
      </c>
      <c r="AN472" s="6" t="s">
        <v>18500</v>
      </c>
      <c r="AO472" s="6" t="s">
        <v>18668</v>
      </c>
      <c r="AP472" s="6" t="s">
        <v>13580</v>
      </c>
      <c r="AQ472" s="6" t="s">
        <v>104</v>
      </c>
      <c r="AR472" s="6" t="s">
        <v>15689</v>
      </c>
      <c r="AS472" s="6" t="s">
        <v>16734</v>
      </c>
      <c r="AT472" s="6" t="s">
        <v>16931</v>
      </c>
      <c r="AU472" s="6" t="s">
        <v>17307</v>
      </c>
      <c r="AV472" s="6" t="s">
        <v>104</v>
      </c>
      <c r="AW472" s="6" t="s">
        <v>104</v>
      </c>
      <c r="AX472" s="6" t="s">
        <v>20495</v>
      </c>
      <c r="AY472" s="6" t="s">
        <v>22254</v>
      </c>
      <c r="AZ472" s="6" t="s">
        <v>23810</v>
      </c>
      <c r="BA472" s="6" t="s">
        <v>104</v>
      </c>
      <c r="BB472" s="24" t="n">
        <v>201</v>
      </c>
      <c r="BC472" s="26"/>
      <c r="BD472" s="26"/>
      <c r="BE472" s="26"/>
      <c r="BF472" s="26"/>
      <c r="BG472" s="26"/>
      <c r="BH472" s="26"/>
      <c r="BI472" s="26"/>
      <c r="BJ472" s="26"/>
      <c r="BK472" s="26"/>
      <c r="BL472" s="26"/>
      <c r="BM472" s="26"/>
      <c r="BN472" s="26"/>
      <c r="BO472" s="26"/>
      <c r="BP472" s="16" t="n">
        <v>45736</v>
      </c>
      <c r="BQ472" s="28" t="str">
        <f>HYPERLINK("https://organic.ams.usda.gov/Integrity/Certificate.aspx?cid=47&amp;nopid=7142071538")</f>
        <v>https://organic.ams.usda.gov/Integrity/Certificate.aspx?cid=47&amp;nopid=7142071538</v>
      </c>
    </row>
    <row r="473">
      <c r="A473" t="s">
        <v>3</v>
      </c>
      <c r="B473" s="6" t="s">
        <v>20</v>
      </c>
      <c r="C473" s="6" t="s">
        <v>86</v>
      </c>
      <c r="D473" s="6" t="s">
        <v>151</v>
      </c>
      <c r="E473" s="10" t="s">
        <v>671</v>
      </c>
      <c r="F473" s="6" t="s">
        <v>2925</v>
      </c>
      <c r="G473" s="6" t="s">
        <v>104</v>
      </c>
      <c r="H473" s="6" t="s">
        <v>5320</v>
      </c>
      <c r="I473" s="6" t="s">
        <v>6931</v>
      </c>
      <c r="J473" s="6" t="s">
        <v>8502</v>
      </c>
      <c r="K473" s="6" t="s">
        <v>9714</v>
      </c>
      <c r="L473" s="16" t="n">
        <v>45439</v>
      </c>
      <c r="M473" s="16" t="n">
        <v>45657</v>
      </c>
      <c r="N473" s="6" t="s">
        <v>104</v>
      </c>
      <c r="O473" s="21" t="s">
        <v>104</v>
      </c>
      <c r="P473" s="6" t="s">
        <v>104</v>
      </c>
      <c r="Q473" s="6" t="s">
        <v>104</v>
      </c>
      <c r="R473" s="6" t="s">
        <v>104</v>
      </c>
      <c r="S473" s="6" t="s">
        <v>104</v>
      </c>
      <c r="T473" s="21" t="s">
        <v>104</v>
      </c>
      <c r="U473" s="6" t="s">
        <v>104</v>
      </c>
      <c r="V473" s="6" t="s">
        <v>104</v>
      </c>
      <c r="W473" s="6" t="s">
        <v>104</v>
      </c>
      <c r="X473" s="6" t="s">
        <v>104</v>
      </c>
      <c r="Y473" s="21" t="s">
        <v>104</v>
      </c>
      <c r="Z473" s="6" t="s">
        <v>104</v>
      </c>
      <c r="AA473" s="6" t="s">
        <v>104</v>
      </c>
      <c r="AB473" s="6" t="s">
        <v>104</v>
      </c>
      <c r="AC473" s="6" t="s">
        <v>9714</v>
      </c>
      <c r="AD473" s="16" t="n">
        <v>45439</v>
      </c>
      <c r="AE473" s="6" t="s">
        <v>10948</v>
      </c>
      <c r="AF473" s="6" t="s">
        <v>104</v>
      </c>
      <c r="AG473" s="6" t="s">
        <v>12618</v>
      </c>
      <c r="AH473" s="6" t="s">
        <v>13581</v>
      </c>
      <c r="AI473" s="6" t="s">
        <v>104</v>
      </c>
      <c r="AJ473" s="6" t="s">
        <v>15373</v>
      </c>
      <c r="AK473" s="6" t="s">
        <v>15373</v>
      </c>
      <c r="AL473" s="6" t="s">
        <v>16933</v>
      </c>
      <c r="AM473" s="6" t="s">
        <v>17308</v>
      </c>
      <c r="AN473" s="6" t="s">
        <v>104</v>
      </c>
      <c r="AO473" s="6" t="s">
        <v>104</v>
      </c>
      <c r="AP473" s="6" t="s">
        <v>104</v>
      </c>
      <c r="AQ473" s="6" t="s">
        <v>104</v>
      </c>
      <c r="AR473" s="6" t="s">
        <v>104</v>
      </c>
      <c r="AS473" s="6" t="s">
        <v>104</v>
      </c>
      <c r="AT473" s="6" t="s">
        <v>104</v>
      </c>
      <c r="AU473" s="6" t="s">
        <v>104</v>
      </c>
      <c r="AV473" s="6" t="s">
        <v>104</v>
      </c>
      <c r="AW473" s="6" t="s">
        <v>104</v>
      </c>
      <c r="AX473" s="6" t="s">
        <v>20496</v>
      </c>
      <c r="AY473" s="6" t="s">
        <v>22255</v>
      </c>
      <c r="AZ473" s="6" t="s">
        <v>23811</v>
      </c>
      <c r="BA473" s="6" t="s">
        <v>24335</v>
      </c>
      <c r="BB473" s="6" t="s">
        <v>104</v>
      </c>
      <c r="BC473" s="26"/>
      <c r="BD473" s="26"/>
      <c r="BE473" s="26"/>
      <c r="BF473" s="26"/>
      <c r="BG473" s="26"/>
      <c r="BH473" s="26"/>
      <c r="BI473" s="26"/>
      <c r="BJ473" s="26"/>
      <c r="BK473" s="26"/>
      <c r="BL473" s="26"/>
      <c r="BM473" s="26"/>
      <c r="BN473" s="26"/>
      <c r="BO473" s="26"/>
      <c r="BP473" s="16" t="n">
        <v>45621</v>
      </c>
      <c r="BQ473" s="28" t="str">
        <f>HYPERLINK("https://organic.ams.usda.gov/Integrity/Certificate.aspx?cid=17&amp;nopid=4080207535")</f>
        <v>https://organic.ams.usda.gov/Integrity/Certificate.aspx?cid=17&amp;nopid=4080207535</v>
      </c>
    </row>
    <row r="474">
      <c r="A474" t="s">
        <v>3</v>
      </c>
      <c r="B474" s="6" t="s">
        <v>21</v>
      </c>
      <c r="C474" s="6" t="s">
        <v>87</v>
      </c>
      <c r="D474" s="6" t="s">
        <v>152</v>
      </c>
      <c r="E474" s="10" t="s">
        <v>672</v>
      </c>
      <c r="F474" s="6" t="s">
        <v>2926</v>
      </c>
      <c r="G474" s="6" t="s">
        <v>104</v>
      </c>
      <c r="H474" s="6" t="s">
        <v>5321</v>
      </c>
      <c r="I474" s="6" t="s">
        <v>6962</v>
      </c>
      <c r="J474" s="6" t="s">
        <v>8417</v>
      </c>
      <c r="K474" s="6" t="s">
        <v>9714</v>
      </c>
      <c r="L474" s="16" t="n">
        <v>43803</v>
      </c>
      <c r="M474" s="16" t="n">
        <v>46023</v>
      </c>
      <c r="N474" s="6" t="s">
        <v>104</v>
      </c>
      <c r="O474" s="21" t="s">
        <v>104</v>
      </c>
      <c r="P474" s="6" t="s">
        <v>104</v>
      </c>
      <c r="Q474" s="6" t="s">
        <v>104</v>
      </c>
      <c r="R474" s="6" t="s">
        <v>104</v>
      </c>
      <c r="S474" s="6" t="s">
        <v>104</v>
      </c>
      <c r="T474" s="21" t="s">
        <v>104</v>
      </c>
      <c r="U474" s="6" t="s">
        <v>104</v>
      </c>
      <c r="V474" s="6" t="s">
        <v>104</v>
      </c>
      <c r="W474" s="6" t="s">
        <v>104</v>
      </c>
      <c r="X474" s="6" t="s">
        <v>104</v>
      </c>
      <c r="Y474" s="21" t="s">
        <v>104</v>
      </c>
      <c r="Z474" s="6" t="s">
        <v>104</v>
      </c>
      <c r="AA474" s="6" t="s">
        <v>104</v>
      </c>
      <c r="AB474" s="6" t="s">
        <v>104</v>
      </c>
      <c r="AC474" s="6" t="s">
        <v>9714</v>
      </c>
      <c r="AD474" s="16" t="n">
        <v>43803</v>
      </c>
      <c r="AE474" s="6" t="s">
        <v>10949</v>
      </c>
      <c r="AF474" s="6" t="s">
        <v>104</v>
      </c>
      <c r="AG474" s="6" t="s">
        <v>104</v>
      </c>
      <c r="AH474" s="6" t="s">
        <v>13582</v>
      </c>
      <c r="AI474" s="6" t="s">
        <v>15250</v>
      </c>
      <c r="AJ474" s="6" t="s">
        <v>15690</v>
      </c>
      <c r="AK474" s="6" t="s">
        <v>16687</v>
      </c>
      <c r="AL474" s="6" t="s">
        <v>16931</v>
      </c>
      <c r="AM474" s="6" t="s">
        <v>17309</v>
      </c>
      <c r="AN474" s="6" t="s">
        <v>18487</v>
      </c>
      <c r="AO474" s="6" t="s">
        <v>18601</v>
      </c>
      <c r="AP474" s="6" t="s">
        <v>13582</v>
      </c>
      <c r="AQ474" s="6" t="s">
        <v>15250</v>
      </c>
      <c r="AR474" s="6" t="s">
        <v>15690</v>
      </c>
      <c r="AS474" s="6" t="s">
        <v>16687</v>
      </c>
      <c r="AT474" s="6" t="s">
        <v>16931</v>
      </c>
      <c r="AU474" s="6" t="s">
        <v>17309</v>
      </c>
      <c r="AV474" s="6" t="s">
        <v>104</v>
      </c>
      <c r="AW474" s="6" t="s">
        <v>104</v>
      </c>
      <c r="AX474" s="6" t="s">
        <v>20497</v>
      </c>
      <c r="AY474" s="6" t="s">
        <v>22256</v>
      </c>
      <c r="AZ474" s="6" t="s">
        <v>104</v>
      </c>
      <c r="BA474" s="6" t="s">
        <v>104</v>
      </c>
      <c r="BB474" s="6" t="s">
        <v>104</v>
      </c>
      <c r="BC474" s="26"/>
      <c r="BD474" s="26"/>
      <c r="BE474" s="26"/>
      <c r="BF474" s="26"/>
      <c r="BG474" s="26"/>
      <c r="BH474" s="26"/>
      <c r="BI474" s="26"/>
      <c r="BJ474" s="26"/>
      <c r="BK474" s="26"/>
      <c r="BL474" s="26"/>
      <c r="BM474" s="26"/>
      <c r="BN474" s="26"/>
      <c r="BO474" s="26"/>
      <c r="BP474" s="16" t="n">
        <v>45667</v>
      </c>
      <c r="BQ474" s="28" t="str">
        <f>HYPERLINK("https://organic.ams.usda.gov/Integrity/Certificate.aspx?cid=15&amp;nopid=5561006200")</f>
        <v>https://organic.ams.usda.gov/Integrity/Certificate.aspx?cid=15&amp;nopid=5561006200</v>
      </c>
    </row>
    <row r="475">
      <c r="A475" t="s">
        <v>3</v>
      </c>
      <c r="B475" s="6" t="s">
        <v>32</v>
      </c>
      <c r="C475" s="6" t="s">
        <v>98</v>
      </c>
      <c r="D475" s="6" t="s">
        <v>163</v>
      </c>
      <c r="E475" s="10" t="s">
        <v>673</v>
      </c>
      <c r="F475" s="6" t="s">
        <v>2927</v>
      </c>
      <c r="G475" s="6" t="s">
        <v>104</v>
      </c>
      <c r="H475" s="6" t="s">
        <v>5322</v>
      </c>
      <c r="I475" s="6" t="s">
        <v>7253</v>
      </c>
      <c r="J475" s="6" t="s">
        <v>8503</v>
      </c>
      <c r="K475" s="6" t="s">
        <v>9714</v>
      </c>
      <c r="L475" s="16" t="n">
        <v>41029</v>
      </c>
      <c r="M475" s="16" t="n">
        <v>45717</v>
      </c>
      <c r="N475" s="6" t="s">
        <v>104</v>
      </c>
      <c r="O475" s="21" t="s">
        <v>104</v>
      </c>
      <c r="P475" s="6" t="s">
        <v>104</v>
      </c>
      <c r="Q475" s="6" t="s">
        <v>104</v>
      </c>
      <c r="R475" s="6" t="s">
        <v>104</v>
      </c>
      <c r="S475" s="6" t="s">
        <v>104</v>
      </c>
      <c r="T475" s="21" t="s">
        <v>104</v>
      </c>
      <c r="U475" s="6" t="s">
        <v>104</v>
      </c>
      <c r="V475" s="6" t="s">
        <v>104</v>
      </c>
      <c r="W475" s="6" t="s">
        <v>104</v>
      </c>
      <c r="X475" s="6" t="s">
        <v>104</v>
      </c>
      <c r="Y475" s="21" t="s">
        <v>104</v>
      </c>
      <c r="Z475" s="6" t="s">
        <v>104</v>
      </c>
      <c r="AA475" s="6" t="s">
        <v>104</v>
      </c>
      <c r="AB475" s="6" t="s">
        <v>104</v>
      </c>
      <c r="AC475" s="6" t="s">
        <v>9714</v>
      </c>
      <c r="AD475" s="16" t="n">
        <v>41029</v>
      </c>
      <c r="AE475" s="6" t="s">
        <v>10950</v>
      </c>
      <c r="AF475" s="6" t="s">
        <v>104</v>
      </c>
      <c r="AG475" s="6" t="s">
        <v>104</v>
      </c>
      <c r="AH475" s="6" t="s">
        <v>13583</v>
      </c>
      <c r="AI475" s="6" t="s">
        <v>104</v>
      </c>
      <c r="AJ475" s="6" t="s">
        <v>15691</v>
      </c>
      <c r="AK475" s="6" t="s">
        <v>16681</v>
      </c>
      <c r="AL475" s="6" t="s">
        <v>16931</v>
      </c>
      <c r="AM475" s="6" t="s">
        <v>17310</v>
      </c>
      <c r="AN475" s="6" t="s">
        <v>18503</v>
      </c>
      <c r="AO475" s="6" t="s">
        <v>18669</v>
      </c>
      <c r="AP475" s="6" t="s">
        <v>104</v>
      </c>
      <c r="AQ475" s="6" t="s">
        <v>104</v>
      </c>
      <c r="AR475" s="6" t="s">
        <v>104</v>
      </c>
      <c r="AS475" s="6" t="s">
        <v>104</v>
      </c>
      <c r="AT475" s="6" t="s">
        <v>104</v>
      </c>
      <c r="AU475" s="6" t="s">
        <v>104</v>
      </c>
      <c r="AV475" s="6" t="s">
        <v>104</v>
      </c>
      <c r="AW475" s="6" t="s">
        <v>104</v>
      </c>
      <c r="AX475" s="6" t="s">
        <v>20498</v>
      </c>
      <c r="AY475" s="6" t="s">
        <v>22257</v>
      </c>
      <c r="AZ475" s="6" t="s">
        <v>104</v>
      </c>
      <c r="BA475" s="6" t="s">
        <v>104</v>
      </c>
      <c r="BB475" s="6" t="s">
        <v>104</v>
      </c>
      <c r="BC475" s="26"/>
      <c r="BD475" s="26"/>
      <c r="BE475" s="26"/>
      <c r="BF475" s="26"/>
      <c r="BG475" s="26"/>
      <c r="BH475" s="26"/>
      <c r="BI475" s="26"/>
      <c r="BJ475" s="26"/>
      <c r="BK475" s="26"/>
      <c r="BL475" s="26"/>
      <c r="BM475" s="26"/>
      <c r="BN475" s="26"/>
      <c r="BO475" s="26"/>
      <c r="BP475" s="16" t="n">
        <v>45526</v>
      </c>
      <c r="BQ475" s="28" t="str">
        <f>HYPERLINK("https://organic.ams.usda.gov/Integrity/Certificate.aspx?cid=64&amp;nopid=8830000533")</f>
        <v>https://organic.ams.usda.gov/Integrity/Certificate.aspx?cid=64&amp;nopid=8830000533</v>
      </c>
    </row>
    <row r="476">
      <c r="A476" t="s">
        <v>3</v>
      </c>
      <c r="B476" s="6" t="s">
        <v>54</v>
      </c>
      <c r="C476" s="6" t="s">
        <v>120</v>
      </c>
      <c r="D476" s="6" t="s">
        <v>184</v>
      </c>
      <c r="E476" s="10" t="s">
        <v>674</v>
      </c>
      <c r="F476" s="6" t="s">
        <v>2928</v>
      </c>
      <c r="G476" s="6" t="s">
        <v>104</v>
      </c>
      <c r="H476" s="6" t="s">
        <v>5323</v>
      </c>
      <c r="I476" s="6" t="s">
        <v>7254</v>
      </c>
      <c r="J476" s="6" t="s">
        <v>8504</v>
      </c>
      <c r="K476" s="6" t="s">
        <v>9714</v>
      </c>
      <c r="L476" s="16" t="n">
        <v>45159</v>
      </c>
      <c r="M476" s="16" t="n">
        <v>45717</v>
      </c>
      <c r="N476" s="6" t="s">
        <v>104</v>
      </c>
      <c r="O476" s="21" t="s">
        <v>104</v>
      </c>
      <c r="P476" s="6" t="s">
        <v>104</v>
      </c>
      <c r="Q476" s="6" t="s">
        <v>104</v>
      </c>
      <c r="R476" s="6" t="s">
        <v>104</v>
      </c>
      <c r="S476" s="6" t="s">
        <v>104</v>
      </c>
      <c r="T476" s="21" t="s">
        <v>104</v>
      </c>
      <c r="U476" s="6" t="s">
        <v>104</v>
      </c>
      <c r="V476" s="6" t="s">
        <v>104</v>
      </c>
      <c r="W476" s="6" t="s">
        <v>104</v>
      </c>
      <c r="X476" s="6" t="s">
        <v>104</v>
      </c>
      <c r="Y476" s="21" t="s">
        <v>104</v>
      </c>
      <c r="Z476" s="6" t="s">
        <v>104</v>
      </c>
      <c r="AA476" s="6" t="s">
        <v>104</v>
      </c>
      <c r="AB476" s="6" t="s">
        <v>104</v>
      </c>
      <c r="AC476" s="6" t="s">
        <v>9714</v>
      </c>
      <c r="AD476" s="16" t="n">
        <v>45159</v>
      </c>
      <c r="AE476" s="6" t="s">
        <v>10951</v>
      </c>
      <c r="AF476" s="6" t="s">
        <v>104</v>
      </c>
      <c r="AG476" s="6" t="s">
        <v>104</v>
      </c>
      <c r="AH476" s="6" t="s">
        <v>13584</v>
      </c>
      <c r="AI476" s="6" t="s">
        <v>104</v>
      </c>
      <c r="AJ476" s="6" t="s">
        <v>15692</v>
      </c>
      <c r="AK476" s="6" t="s">
        <v>16704</v>
      </c>
      <c r="AL476" s="6" t="s">
        <v>16931</v>
      </c>
      <c r="AM476" s="6" t="s">
        <v>17311</v>
      </c>
      <c r="AN476" s="6" t="s">
        <v>18486</v>
      </c>
      <c r="AO476" s="6" t="s">
        <v>18670</v>
      </c>
      <c r="AP476" s="6" t="s">
        <v>19084</v>
      </c>
      <c r="AQ476" s="6" t="s">
        <v>104</v>
      </c>
      <c r="AR476" s="6" t="s">
        <v>15692</v>
      </c>
      <c r="AS476" s="6" t="s">
        <v>16704</v>
      </c>
      <c r="AT476" s="6" t="s">
        <v>16931</v>
      </c>
      <c r="AU476" s="6" t="s">
        <v>17311</v>
      </c>
      <c r="AV476" s="6" t="s">
        <v>104</v>
      </c>
      <c r="AW476" s="6" t="s">
        <v>104</v>
      </c>
      <c r="AX476" s="6" t="s">
        <v>20499</v>
      </c>
      <c r="AY476" s="6" t="s">
        <v>22258</v>
      </c>
      <c r="AZ476" s="6" t="s">
        <v>104</v>
      </c>
      <c r="BA476" s="6" t="s">
        <v>104</v>
      </c>
      <c r="BB476" s="6" t="s">
        <v>104</v>
      </c>
      <c r="BC476" s="26"/>
      <c r="BD476" s="26"/>
      <c r="BE476" s="26"/>
      <c r="BF476" s="26"/>
      <c r="BG476" s="26"/>
      <c r="BH476" s="26"/>
      <c r="BI476" s="26"/>
      <c r="BJ476" s="26"/>
      <c r="BK476" s="26"/>
      <c r="BL476" s="26"/>
      <c r="BM476" s="26"/>
      <c r="BN476" s="26" t="s">
        <v>24533</v>
      </c>
      <c r="BO476" s="26"/>
      <c r="BP476" s="16" t="n">
        <v>45667</v>
      </c>
      <c r="BQ476" s="28" t="str">
        <f>HYPERLINK("https://organic.ams.usda.gov/Integrity/Certificate.aspx?cid=60&amp;nopid=2580006341")</f>
        <v>https://organic.ams.usda.gov/Integrity/Certificate.aspx?cid=60&amp;nopid=2580006341</v>
      </c>
    </row>
    <row r="477">
      <c r="A477" t="s">
        <v>3</v>
      </c>
      <c r="B477" s="6" t="s">
        <v>29</v>
      </c>
      <c r="C477" s="6" t="s">
        <v>95</v>
      </c>
      <c r="D477" s="6" t="s">
        <v>160</v>
      </c>
      <c r="E477" s="10" t="s">
        <v>675</v>
      </c>
      <c r="F477" s="6" t="s">
        <v>2929</v>
      </c>
      <c r="G477" s="6" t="s">
        <v>104</v>
      </c>
      <c r="H477" s="6" t="s">
        <v>5324</v>
      </c>
      <c r="I477" s="6" t="s">
        <v>104</v>
      </c>
      <c r="J477" s="6" t="s">
        <v>8505</v>
      </c>
      <c r="K477" s="6" t="s">
        <v>9714</v>
      </c>
      <c r="L477" s="16" t="n">
        <v>44720</v>
      </c>
      <c r="M477" s="16" t="n">
        <v>46054</v>
      </c>
      <c r="N477" s="6" t="s">
        <v>9714</v>
      </c>
      <c r="O477" s="16" t="n">
        <v>44720</v>
      </c>
      <c r="P477" s="6" t="s">
        <v>9858</v>
      </c>
      <c r="Q477" s="6" t="s">
        <v>104</v>
      </c>
      <c r="R477" s="6" t="s">
        <v>104</v>
      </c>
      <c r="S477" s="6" t="s">
        <v>104</v>
      </c>
      <c r="T477" s="21" t="s">
        <v>104</v>
      </c>
      <c r="U477" s="6" t="s">
        <v>104</v>
      </c>
      <c r="V477" s="6" t="s">
        <v>104</v>
      </c>
      <c r="W477" s="6" t="s">
        <v>104</v>
      </c>
      <c r="X477" s="6" t="s">
        <v>104</v>
      </c>
      <c r="Y477" s="21" t="s">
        <v>104</v>
      </c>
      <c r="Z477" s="6" t="s">
        <v>104</v>
      </c>
      <c r="AA477" s="6" t="s">
        <v>104</v>
      </c>
      <c r="AB477" s="6" t="s">
        <v>104</v>
      </c>
      <c r="AC477" s="6" t="s">
        <v>9714</v>
      </c>
      <c r="AD477" s="16" t="n">
        <v>44720</v>
      </c>
      <c r="AE477" s="6" t="s">
        <v>10952</v>
      </c>
      <c r="AF477" s="6" t="s">
        <v>104</v>
      </c>
      <c r="AG477" s="6" t="s">
        <v>104</v>
      </c>
      <c r="AH477" s="6" t="s">
        <v>13585</v>
      </c>
      <c r="AI477" s="6" t="s">
        <v>104</v>
      </c>
      <c r="AJ477" s="6" t="s">
        <v>15693</v>
      </c>
      <c r="AK477" s="6" t="s">
        <v>16738</v>
      </c>
      <c r="AL477" s="6" t="s">
        <v>16931</v>
      </c>
      <c r="AM477" s="6" t="s">
        <v>17312</v>
      </c>
      <c r="AN477" s="6" t="s">
        <v>18515</v>
      </c>
      <c r="AO477" s="6" t="s">
        <v>18671</v>
      </c>
      <c r="AP477" s="6" t="s">
        <v>104</v>
      </c>
      <c r="AQ477" s="6" t="s">
        <v>104</v>
      </c>
      <c r="AR477" s="6" t="s">
        <v>104</v>
      </c>
      <c r="AS477" s="6" t="s">
        <v>104</v>
      </c>
      <c r="AT477" s="6" t="s">
        <v>104</v>
      </c>
      <c r="AU477" s="6" t="s">
        <v>104</v>
      </c>
      <c r="AV477" s="6" t="s">
        <v>104</v>
      </c>
      <c r="AW477" s="6" t="s">
        <v>104</v>
      </c>
      <c r="AX477" s="6" t="s">
        <v>20500</v>
      </c>
      <c r="AY477" s="6" t="s">
        <v>22259</v>
      </c>
      <c r="AZ477" s="6" t="s">
        <v>23812</v>
      </c>
      <c r="BA477" s="6" t="s">
        <v>104</v>
      </c>
      <c r="BB477" s="24" t="n">
        <v>2</v>
      </c>
      <c r="BC477" s="26"/>
      <c r="BD477" s="26"/>
      <c r="BE477" s="26"/>
      <c r="BF477" s="26"/>
      <c r="BG477" s="26"/>
      <c r="BH477" s="26"/>
      <c r="BI477" s="26"/>
      <c r="BJ477" s="26"/>
      <c r="BK477" s="26"/>
      <c r="BL477" s="26"/>
      <c r="BM477" s="26"/>
      <c r="BN477" s="26"/>
      <c r="BO477" s="26"/>
      <c r="BP477" s="16" t="n">
        <v>45690</v>
      </c>
      <c r="BQ477" s="28" t="str">
        <f>HYPERLINK("https://organic.ams.usda.gov/Integrity/Certificate.aspx?cid=24&amp;nopid=7880258259")</f>
        <v>https://organic.ams.usda.gov/Integrity/Certificate.aspx?cid=24&amp;nopid=7880258259</v>
      </c>
    </row>
    <row r="478">
      <c r="A478" t="s">
        <v>3</v>
      </c>
      <c r="B478" s="6" t="s">
        <v>9</v>
      </c>
      <c r="C478" s="6" t="s">
        <v>75</v>
      </c>
      <c r="D478" s="6" t="s">
        <v>140</v>
      </c>
      <c r="E478" s="10" t="s">
        <v>676</v>
      </c>
      <c r="F478" s="6" t="s">
        <v>2930</v>
      </c>
      <c r="G478" s="6" t="s">
        <v>104</v>
      </c>
      <c r="H478" s="6" t="s">
        <v>5325</v>
      </c>
      <c r="I478" s="6" t="s">
        <v>7255</v>
      </c>
      <c r="J478" s="6" t="s">
        <v>8506</v>
      </c>
      <c r="K478" s="6" t="s">
        <v>9714</v>
      </c>
      <c r="L478" s="16" t="n">
        <v>39718</v>
      </c>
      <c r="M478" s="16" t="n">
        <v>45927</v>
      </c>
      <c r="N478" s="6" t="s">
        <v>104</v>
      </c>
      <c r="O478" s="21" t="s">
        <v>104</v>
      </c>
      <c r="P478" s="6" t="s">
        <v>104</v>
      </c>
      <c r="Q478" s="6" t="s">
        <v>104</v>
      </c>
      <c r="R478" s="6" t="s">
        <v>104</v>
      </c>
      <c r="S478" s="6" t="s">
        <v>104</v>
      </c>
      <c r="T478" s="21" t="s">
        <v>104</v>
      </c>
      <c r="U478" s="6" t="s">
        <v>104</v>
      </c>
      <c r="V478" s="6" t="s">
        <v>104</v>
      </c>
      <c r="W478" s="6" t="s">
        <v>104</v>
      </c>
      <c r="X478" s="6" t="s">
        <v>104</v>
      </c>
      <c r="Y478" s="21" t="s">
        <v>104</v>
      </c>
      <c r="Z478" s="6" t="s">
        <v>104</v>
      </c>
      <c r="AA478" s="6" t="s">
        <v>104</v>
      </c>
      <c r="AB478" s="6" t="s">
        <v>104</v>
      </c>
      <c r="AC478" s="6" t="s">
        <v>9714</v>
      </c>
      <c r="AD478" s="16" t="n">
        <v>39718</v>
      </c>
      <c r="AE478" s="6" t="s">
        <v>10953</v>
      </c>
      <c r="AF478" s="6" t="s">
        <v>104</v>
      </c>
      <c r="AG478" s="6" t="s">
        <v>104</v>
      </c>
      <c r="AH478" s="6" t="s">
        <v>13586</v>
      </c>
      <c r="AI478" s="6" t="s">
        <v>104</v>
      </c>
      <c r="AJ478" s="6" t="s">
        <v>15694</v>
      </c>
      <c r="AK478" s="6" t="s">
        <v>16337</v>
      </c>
      <c r="AL478" s="6" t="s">
        <v>16931</v>
      </c>
      <c r="AM478" s="6" t="s">
        <v>17313</v>
      </c>
      <c r="AN478" s="6" t="s">
        <v>104</v>
      </c>
      <c r="AO478" s="6" t="s">
        <v>104</v>
      </c>
      <c r="AP478" s="6" t="s">
        <v>104</v>
      </c>
      <c r="AQ478" s="6" t="s">
        <v>104</v>
      </c>
      <c r="AR478" s="6" t="s">
        <v>104</v>
      </c>
      <c r="AS478" s="6" t="s">
        <v>104</v>
      </c>
      <c r="AT478" s="6" t="s">
        <v>104</v>
      </c>
      <c r="AU478" s="6" t="s">
        <v>104</v>
      </c>
      <c r="AV478" s="6" t="s">
        <v>104</v>
      </c>
      <c r="AW478" s="6" t="s">
        <v>104</v>
      </c>
      <c r="AX478" s="6" t="s">
        <v>20501</v>
      </c>
      <c r="AY478" s="6" t="s">
        <v>22260</v>
      </c>
      <c r="AZ478" s="6" t="s">
        <v>104</v>
      </c>
      <c r="BA478" s="6" t="s">
        <v>104</v>
      </c>
      <c r="BB478" s="6" t="s">
        <v>104</v>
      </c>
      <c r="BC478" s="26"/>
      <c r="BD478" s="26"/>
      <c r="BE478" s="26"/>
      <c r="BF478" s="26"/>
      <c r="BG478" s="26"/>
      <c r="BH478" s="26"/>
      <c r="BI478" s="26"/>
      <c r="BJ478" s="26"/>
      <c r="BK478" s="26"/>
      <c r="BL478" s="26"/>
      <c r="BM478" s="26"/>
      <c r="BN478" s="26"/>
      <c r="BO478" s="26"/>
      <c r="BP478" s="16" t="n">
        <v>45631</v>
      </c>
      <c r="BQ478" s="28" t="str">
        <f>HYPERLINK("https://organic.ams.usda.gov/Integrity/Certificate.aspx?cid=63&amp;nopid=6220004979")</f>
        <v>https://organic.ams.usda.gov/Integrity/Certificate.aspx?cid=63&amp;nopid=6220004979</v>
      </c>
    </row>
    <row r="479">
      <c r="A479" t="s">
        <v>3</v>
      </c>
      <c r="B479" s="6" t="s">
        <v>24</v>
      </c>
      <c r="C479" s="6" t="s">
        <v>90</v>
      </c>
      <c r="D479" s="6" t="s">
        <v>155</v>
      </c>
      <c r="E479" s="10" t="s">
        <v>677</v>
      </c>
      <c r="F479" s="6" t="s">
        <v>2931</v>
      </c>
      <c r="G479" s="6" t="s">
        <v>4667</v>
      </c>
      <c r="H479" s="6" t="s">
        <v>5326</v>
      </c>
      <c r="I479" s="6" t="s">
        <v>7170</v>
      </c>
      <c r="J479" s="6" t="s">
        <v>8351</v>
      </c>
      <c r="K479" s="6" t="s">
        <v>9714</v>
      </c>
      <c r="L479" s="16" t="n">
        <v>42213</v>
      </c>
      <c r="M479" s="16" t="n">
        <v>45747</v>
      </c>
      <c r="N479" s="6" t="s">
        <v>104</v>
      </c>
      <c r="O479" s="21" t="s">
        <v>104</v>
      </c>
      <c r="P479" s="6" t="s">
        <v>104</v>
      </c>
      <c r="Q479" s="6" t="s">
        <v>104</v>
      </c>
      <c r="R479" s="6" t="s">
        <v>104</v>
      </c>
      <c r="S479" s="6" t="s">
        <v>104</v>
      </c>
      <c r="T479" s="21" t="s">
        <v>104</v>
      </c>
      <c r="U479" s="6" t="s">
        <v>104</v>
      </c>
      <c r="V479" s="6" t="s">
        <v>104</v>
      </c>
      <c r="W479" s="6" t="s">
        <v>104</v>
      </c>
      <c r="X479" s="6" t="s">
        <v>104</v>
      </c>
      <c r="Y479" s="21" t="s">
        <v>104</v>
      </c>
      <c r="Z479" s="6" t="s">
        <v>104</v>
      </c>
      <c r="AA479" s="6" t="s">
        <v>104</v>
      </c>
      <c r="AB479" s="6" t="s">
        <v>104</v>
      </c>
      <c r="AC479" s="6" t="s">
        <v>9714</v>
      </c>
      <c r="AD479" s="16" t="n">
        <v>42213</v>
      </c>
      <c r="AE479" s="6" t="s">
        <v>10954</v>
      </c>
      <c r="AF479" s="6" t="s">
        <v>104</v>
      </c>
      <c r="AG479" s="6" t="s">
        <v>5326</v>
      </c>
      <c r="AH479" s="6" t="s">
        <v>13587</v>
      </c>
      <c r="AI479" s="6" t="s">
        <v>104</v>
      </c>
      <c r="AJ479" s="6" t="s">
        <v>15695</v>
      </c>
      <c r="AK479" s="6" t="s">
        <v>7191</v>
      </c>
      <c r="AL479" s="6" t="s">
        <v>16934</v>
      </c>
      <c r="AM479" s="6" t="s">
        <v>17314</v>
      </c>
      <c r="AN479" s="6" t="s">
        <v>104</v>
      </c>
      <c r="AO479" s="6" t="s">
        <v>104</v>
      </c>
      <c r="AP479" s="6" t="s">
        <v>104</v>
      </c>
      <c r="AQ479" s="6" t="s">
        <v>104</v>
      </c>
      <c r="AR479" s="6" t="s">
        <v>104</v>
      </c>
      <c r="AS479" s="6" t="s">
        <v>104</v>
      </c>
      <c r="AT479" s="6" t="s">
        <v>104</v>
      </c>
      <c r="AU479" s="6" t="s">
        <v>104</v>
      </c>
      <c r="AV479" s="6" t="s">
        <v>104</v>
      </c>
      <c r="AW479" s="6" t="s">
        <v>104</v>
      </c>
      <c r="AX479" s="6" t="s">
        <v>20502</v>
      </c>
      <c r="AY479" s="6" t="s">
        <v>22261</v>
      </c>
      <c r="AZ479" s="6" t="s">
        <v>23813</v>
      </c>
      <c r="BA479" s="6" t="s">
        <v>24262</v>
      </c>
      <c r="BB479" s="24" t="n">
        <v>0</v>
      </c>
      <c r="BC479" s="26"/>
      <c r="BD479" s="26"/>
      <c r="BE479" s="26"/>
      <c r="BF479" s="26"/>
      <c r="BG479" s="26"/>
      <c r="BH479" s="26"/>
      <c r="BI479" s="26"/>
      <c r="BJ479" s="26"/>
      <c r="BK479" s="26"/>
      <c r="BL479" s="26"/>
      <c r="BM479" s="26"/>
      <c r="BN479" s="26"/>
      <c r="BO479" s="26"/>
      <c r="BP479" s="16" t="n">
        <v>45607</v>
      </c>
      <c r="BQ479" s="28" t="str">
        <f>HYPERLINK("https://organic.ams.usda.gov/Integrity/Certificate.aspx?cid=7&amp;nopid=3950000087")</f>
        <v>https://organic.ams.usda.gov/Integrity/Certificate.aspx?cid=7&amp;nopid=3950000087</v>
      </c>
    </row>
    <row r="480">
      <c r="A480" t="s">
        <v>3</v>
      </c>
      <c r="B480" s="6" t="s">
        <v>11</v>
      </c>
      <c r="C480" s="6" t="s">
        <v>77</v>
      </c>
      <c r="D480" s="6" t="s">
        <v>142</v>
      </c>
      <c r="E480" s="10" t="s">
        <v>678</v>
      </c>
      <c r="F480" s="6" t="s">
        <v>2932</v>
      </c>
      <c r="G480" s="6" t="s">
        <v>104</v>
      </c>
      <c r="H480" s="6" t="s">
        <v>678</v>
      </c>
      <c r="I480" s="6" t="s">
        <v>7256</v>
      </c>
      <c r="J480" s="6" t="s">
        <v>8507</v>
      </c>
      <c r="K480" s="6" t="s">
        <v>9714</v>
      </c>
      <c r="L480" s="16" t="n">
        <v>44749</v>
      </c>
      <c r="M480" s="16" t="n">
        <v>45795</v>
      </c>
      <c r="N480" s="6" t="s">
        <v>104</v>
      </c>
      <c r="O480" s="21" t="s">
        <v>104</v>
      </c>
      <c r="P480" s="6" t="s">
        <v>104</v>
      </c>
      <c r="Q480" s="6" t="s">
        <v>104</v>
      </c>
      <c r="R480" s="6" t="s">
        <v>104</v>
      </c>
      <c r="S480" s="6" t="s">
        <v>104</v>
      </c>
      <c r="T480" s="21" t="s">
        <v>104</v>
      </c>
      <c r="U480" s="6" t="s">
        <v>104</v>
      </c>
      <c r="V480" s="6" t="s">
        <v>104</v>
      </c>
      <c r="W480" s="6" t="s">
        <v>104</v>
      </c>
      <c r="X480" s="6" t="s">
        <v>104</v>
      </c>
      <c r="Y480" s="21" t="s">
        <v>104</v>
      </c>
      <c r="Z480" s="6" t="s">
        <v>104</v>
      </c>
      <c r="AA480" s="6" t="s">
        <v>104</v>
      </c>
      <c r="AB480" s="6" t="s">
        <v>104</v>
      </c>
      <c r="AC480" s="6" t="s">
        <v>9714</v>
      </c>
      <c r="AD480" s="16" t="n">
        <v>44749</v>
      </c>
      <c r="AE480" s="6" t="s">
        <v>10955</v>
      </c>
      <c r="AF480" s="6" t="s">
        <v>104</v>
      </c>
      <c r="AG480" s="6" t="s">
        <v>12619</v>
      </c>
      <c r="AH480" s="6" t="s">
        <v>13588</v>
      </c>
      <c r="AI480" s="6" t="s">
        <v>104</v>
      </c>
      <c r="AJ480" s="6" t="s">
        <v>15365</v>
      </c>
      <c r="AK480" s="6" t="s">
        <v>16682</v>
      </c>
      <c r="AL480" s="6" t="s">
        <v>16932</v>
      </c>
      <c r="AM480" s="6" t="s">
        <v>17315</v>
      </c>
      <c r="AN480" s="6" t="s">
        <v>104</v>
      </c>
      <c r="AO480" s="6" t="s">
        <v>104</v>
      </c>
      <c r="AP480" s="6" t="s">
        <v>13588</v>
      </c>
      <c r="AQ480" s="6" t="s">
        <v>104</v>
      </c>
      <c r="AR480" s="6" t="s">
        <v>15365</v>
      </c>
      <c r="AS480" s="6" t="s">
        <v>16682</v>
      </c>
      <c r="AT480" s="6" t="s">
        <v>16932</v>
      </c>
      <c r="AU480" s="6" t="s">
        <v>17315</v>
      </c>
      <c r="AV480" s="6" t="s">
        <v>104</v>
      </c>
      <c r="AW480" s="6" t="s">
        <v>104</v>
      </c>
      <c r="AX480" s="6" t="s">
        <v>20503</v>
      </c>
      <c r="AY480" s="6" t="s">
        <v>22262</v>
      </c>
      <c r="AZ480" s="6" t="s">
        <v>104</v>
      </c>
      <c r="BA480" s="6" t="s">
        <v>104</v>
      </c>
      <c r="BB480" s="6" t="s">
        <v>104</v>
      </c>
      <c r="BC480" s="26"/>
      <c r="BD480" s="26"/>
      <c r="BE480" s="26"/>
      <c r="BF480" s="26"/>
      <c r="BG480" s="26"/>
      <c r="BH480" s="26"/>
      <c r="BI480" s="26"/>
      <c r="BJ480" s="26"/>
      <c r="BK480" s="26"/>
      <c r="BL480" s="26"/>
      <c r="BM480" s="26"/>
      <c r="BN480" s="26" t="s">
        <v>24533</v>
      </c>
      <c r="BO480" s="26"/>
      <c r="BP480" s="16" t="n">
        <v>45553</v>
      </c>
      <c r="BQ480" s="28" t="str">
        <f>HYPERLINK("https://organic.ams.usda.gov/Integrity/Certificate.aspx?cid=21&amp;nopid=1780854120")</f>
        <v>https://organic.ams.usda.gov/Integrity/Certificate.aspx?cid=21&amp;nopid=1780854120</v>
      </c>
    </row>
    <row r="481">
      <c r="A481" t="s">
        <v>3</v>
      </c>
      <c r="B481" s="6" t="s">
        <v>49</v>
      </c>
      <c r="C481" s="6" t="s">
        <v>115</v>
      </c>
      <c r="D481" s="6" t="s">
        <v>179</v>
      </c>
      <c r="E481" s="10" t="s">
        <v>679</v>
      </c>
      <c r="F481" s="6" t="s">
        <v>2933</v>
      </c>
      <c r="G481" s="6" t="s">
        <v>104</v>
      </c>
      <c r="H481" s="6" t="s">
        <v>5327</v>
      </c>
      <c r="I481" s="6" t="s">
        <v>104</v>
      </c>
      <c r="J481" s="6" t="s">
        <v>104</v>
      </c>
      <c r="K481" s="6" t="s">
        <v>9714</v>
      </c>
      <c r="L481" s="16" t="n">
        <v>44783</v>
      </c>
      <c r="M481" s="16" t="n">
        <v>45766</v>
      </c>
      <c r="N481" s="6" t="s">
        <v>104</v>
      </c>
      <c r="O481" s="21" t="s">
        <v>104</v>
      </c>
      <c r="P481" s="6" t="s">
        <v>104</v>
      </c>
      <c r="Q481" s="6" t="s">
        <v>104</v>
      </c>
      <c r="R481" s="6" t="s">
        <v>104</v>
      </c>
      <c r="S481" s="6" t="s">
        <v>104</v>
      </c>
      <c r="T481" s="21" t="s">
        <v>104</v>
      </c>
      <c r="U481" s="6" t="s">
        <v>104</v>
      </c>
      <c r="V481" s="6" t="s">
        <v>104</v>
      </c>
      <c r="W481" s="6" t="s">
        <v>104</v>
      </c>
      <c r="X481" s="6" t="s">
        <v>104</v>
      </c>
      <c r="Y481" s="21" t="s">
        <v>104</v>
      </c>
      <c r="Z481" s="6" t="s">
        <v>104</v>
      </c>
      <c r="AA481" s="6" t="s">
        <v>104</v>
      </c>
      <c r="AB481" s="6" t="s">
        <v>104</v>
      </c>
      <c r="AC481" s="6" t="s">
        <v>9714</v>
      </c>
      <c r="AD481" s="16" t="n">
        <v>44783</v>
      </c>
      <c r="AE481" s="6" t="s">
        <v>10956</v>
      </c>
      <c r="AF481" s="6" t="s">
        <v>104</v>
      </c>
      <c r="AG481" s="6" t="s">
        <v>12620</v>
      </c>
      <c r="AH481" s="6" t="s">
        <v>13589</v>
      </c>
      <c r="AI481" s="6" t="s">
        <v>104</v>
      </c>
      <c r="AJ481" s="6" t="s">
        <v>15696</v>
      </c>
      <c r="AK481" s="6" t="s">
        <v>104</v>
      </c>
      <c r="AL481" s="6" t="s">
        <v>16932</v>
      </c>
      <c r="AM481" s="6" t="s">
        <v>17316</v>
      </c>
      <c r="AN481" s="6" t="s">
        <v>104</v>
      </c>
      <c r="AO481" s="6" t="s">
        <v>104</v>
      </c>
      <c r="AP481" s="6" t="s">
        <v>104</v>
      </c>
      <c r="AQ481" s="6" t="s">
        <v>104</v>
      </c>
      <c r="AR481" s="6" t="s">
        <v>104</v>
      </c>
      <c r="AS481" s="6" t="s">
        <v>104</v>
      </c>
      <c r="AT481" s="6" t="s">
        <v>104</v>
      </c>
      <c r="AU481" s="6" t="s">
        <v>104</v>
      </c>
      <c r="AV481" s="6" t="s">
        <v>104</v>
      </c>
      <c r="AW481" s="6" t="s">
        <v>104</v>
      </c>
      <c r="AX481" s="6" t="s">
        <v>104</v>
      </c>
      <c r="AY481" s="6" t="s">
        <v>22263</v>
      </c>
      <c r="AZ481" s="6" t="s">
        <v>104</v>
      </c>
      <c r="BA481" s="6" t="s">
        <v>104</v>
      </c>
      <c r="BB481" s="24" t="n">
        <v>0</v>
      </c>
      <c r="BC481" s="26"/>
      <c r="BD481" s="26"/>
      <c r="BE481" s="26"/>
      <c r="BF481" s="26"/>
      <c r="BG481" s="26"/>
      <c r="BH481" s="26"/>
      <c r="BI481" s="26"/>
      <c r="BJ481" s="26"/>
      <c r="BK481" s="26"/>
      <c r="BL481" s="26"/>
      <c r="BM481" s="26"/>
      <c r="BN481" s="26"/>
      <c r="BO481" s="26"/>
      <c r="BP481" s="16" t="n">
        <v>45530</v>
      </c>
      <c r="BQ481" s="28" t="str">
        <f>HYPERLINK("https://organic.ams.usda.gov/Integrity/Certificate.aspx?cid=12&amp;nopid=8699694117")</f>
        <v>https://organic.ams.usda.gov/Integrity/Certificate.aspx?cid=12&amp;nopid=8699694117</v>
      </c>
    </row>
    <row r="482">
      <c r="A482" t="s">
        <v>3</v>
      </c>
      <c r="B482" s="6" t="s">
        <v>34</v>
      </c>
      <c r="C482" s="6" t="s">
        <v>100</v>
      </c>
      <c r="D482" s="6" t="s">
        <v>165</v>
      </c>
      <c r="E482" s="10" t="s">
        <v>680</v>
      </c>
      <c r="F482" s="6" t="s">
        <v>2934</v>
      </c>
      <c r="G482" s="6" t="s">
        <v>104</v>
      </c>
      <c r="H482" s="6" t="s">
        <v>5328</v>
      </c>
      <c r="I482" s="6" t="s">
        <v>7257</v>
      </c>
      <c r="J482" s="6" t="s">
        <v>8508</v>
      </c>
      <c r="K482" s="6" t="s">
        <v>9714</v>
      </c>
      <c r="L482" s="16" t="n">
        <v>45120</v>
      </c>
      <c r="M482" s="16" t="n">
        <v>45918</v>
      </c>
      <c r="N482" s="6" t="s">
        <v>104</v>
      </c>
      <c r="O482" s="21" t="s">
        <v>104</v>
      </c>
      <c r="P482" s="6" t="s">
        <v>104</v>
      </c>
      <c r="Q482" s="6" t="s">
        <v>104</v>
      </c>
      <c r="R482" s="6" t="s">
        <v>104</v>
      </c>
      <c r="S482" s="6" t="s">
        <v>104</v>
      </c>
      <c r="T482" s="21" t="s">
        <v>104</v>
      </c>
      <c r="U482" s="6" t="s">
        <v>104</v>
      </c>
      <c r="V482" s="6" t="s">
        <v>104</v>
      </c>
      <c r="W482" s="6" t="s">
        <v>104</v>
      </c>
      <c r="X482" s="6" t="s">
        <v>104</v>
      </c>
      <c r="Y482" s="21" t="s">
        <v>104</v>
      </c>
      <c r="Z482" s="6" t="s">
        <v>104</v>
      </c>
      <c r="AA482" s="6" t="s">
        <v>104</v>
      </c>
      <c r="AB482" s="6" t="s">
        <v>104</v>
      </c>
      <c r="AC482" s="6" t="s">
        <v>9714</v>
      </c>
      <c r="AD482" s="16" t="n">
        <v>45120</v>
      </c>
      <c r="AE482" s="6" t="s">
        <v>10957</v>
      </c>
      <c r="AF482" s="6" t="s">
        <v>104</v>
      </c>
      <c r="AG482" s="6" t="s">
        <v>12621</v>
      </c>
      <c r="AH482" s="6" t="s">
        <v>13590</v>
      </c>
      <c r="AI482" s="6" t="s">
        <v>15251</v>
      </c>
      <c r="AJ482" s="6" t="s">
        <v>15697</v>
      </c>
      <c r="AK482" s="6" t="s">
        <v>15697</v>
      </c>
      <c r="AL482" s="6" t="s">
        <v>16931</v>
      </c>
      <c r="AM482" s="6" t="s">
        <v>17317</v>
      </c>
      <c r="AN482" s="6" t="s">
        <v>18511</v>
      </c>
      <c r="AO482" s="6" t="s">
        <v>18672</v>
      </c>
      <c r="AP482" s="6" t="s">
        <v>13590</v>
      </c>
      <c r="AQ482" s="6" t="s">
        <v>15251</v>
      </c>
      <c r="AR482" s="6" t="s">
        <v>15697</v>
      </c>
      <c r="AS482" s="6" t="s">
        <v>15697</v>
      </c>
      <c r="AT482" s="6" t="s">
        <v>16931</v>
      </c>
      <c r="AU482" s="6" t="s">
        <v>17317</v>
      </c>
      <c r="AV482" s="6" t="s">
        <v>104</v>
      </c>
      <c r="AW482" s="6" t="s">
        <v>104</v>
      </c>
      <c r="AX482" s="6" t="s">
        <v>20504</v>
      </c>
      <c r="AY482" s="6" t="s">
        <v>22264</v>
      </c>
      <c r="AZ482" s="6" t="s">
        <v>23814</v>
      </c>
      <c r="BA482" s="6" t="s">
        <v>104</v>
      </c>
      <c r="BB482" s="6" t="s">
        <v>104</v>
      </c>
      <c r="BC482" s="26"/>
      <c r="BD482" s="26"/>
      <c r="BE482" s="26"/>
      <c r="BF482" s="26"/>
      <c r="BG482" s="26"/>
      <c r="BH482" s="26"/>
      <c r="BI482" s="26"/>
      <c r="BJ482" s="26"/>
      <c r="BK482" s="26"/>
      <c r="BL482" s="26" t="s">
        <v>24533</v>
      </c>
      <c r="BM482" s="26"/>
      <c r="BN482" s="26"/>
      <c r="BO482" s="26"/>
      <c r="BP482" s="16" t="n">
        <v>45737</v>
      </c>
      <c r="BQ482" s="28" t="str">
        <f>HYPERLINK("https://organic.ams.usda.gov/Integrity/Certificate.aspx?cid=71&amp;nopid=5520771444")</f>
        <v>https://organic.ams.usda.gov/Integrity/Certificate.aspx?cid=71&amp;nopid=5520771444</v>
      </c>
    </row>
    <row r="483">
      <c r="A483" t="s">
        <v>3</v>
      </c>
      <c r="B483" s="6" t="s">
        <v>53</v>
      </c>
      <c r="C483" s="6" t="s">
        <v>119</v>
      </c>
      <c r="D483" s="6" t="s">
        <v>183</v>
      </c>
      <c r="E483" s="10" t="s">
        <v>681</v>
      </c>
      <c r="F483" s="6" t="s">
        <v>2935</v>
      </c>
      <c r="G483" s="6" t="s">
        <v>104</v>
      </c>
      <c r="H483" s="6" t="s">
        <v>104</v>
      </c>
      <c r="I483" s="6" t="s">
        <v>7258</v>
      </c>
      <c r="J483" s="6" t="s">
        <v>8509</v>
      </c>
      <c r="K483" s="6" t="s">
        <v>9714</v>
      </c>
      <c r="L483" s="16" t="n">
        <v>45617</v>
      </c>
      <c r="M483" s="16" t="n">
        <v>45982</v>
      </c>
      <c r="N483" s="6" t="s">
        <v>104</v>
      </c>
      <c r="O483" s="21" t="s">
        <v>104</v>
      </c>
      <c r="P483" s="6" t="s">
        <v>104</v>
      </c>
      <c r="Q483" s="6" t="s">
        <v>104</v>
      </c>
      <c r="R483" s="6" t="s">
        <v>104</v>
      </c>
      <c r="S483" s="6" t="s">
        <v>104</v>
      </c>
      <c r="T483" s="21" t="s">
        <v>104</v>
      </c>
      <c r="U483" s="6" t="s">
        <v>104</v>
      </c>
      <c r="V483" s="6" t="s">
        <v>104</v>
      </c>
      <c r="W483" s="6" t="s">
        <v>104</v>
      </c>
      <c r="X483" s="6" t="s">
        <v>104</v>
      </c>
      <c r="Y483" s="21" t="s">
        <v>104</v>
      </c>
      <c r="Z483" s="6" t="s">
        <v>104</v>
      </c>
      <c r="AA483" s="6" t="s">
        <v>104</v>
      </c>
      <c r="AB483" s="6" t="s">
        <v>104</v>
      </c>
      <c r="AC483" s="6" t="s">
        <v>9714</v>
      </c>
      <c r="AD483" s="16" t="n">
        <v>45617</v>
      </c>
      <c r="AE483" s="6" t="s">
        <v>10958</v>
      </c>
      <c r="AF483" s="6" t="s">
        <v>104</v>
      </c>
      <c r="AG483" s="6" t="s">
        <v>104</v>
      </c>
      <c r="AH483" s="6" t="s">
        <v>13591</v>
      </c>
      <c r="AI483" s="6" t="s">
        <v>104</v>
      </c>
      <c r="AJ483" s="6" t="s">
        <v>15698</v>
      </c>
      <c r="AK483" s="6" t="s">
        <v>16751</v>
      </c>
      <c r="AL483" s="6" t="s">
        <v>16931</v>
      </c>
      <c r="AM483" s="6" t="s">
        <v>17318</v>
      </c>
      <c r="AN483" s="6" t="s">
        <v>104</v>
      </c>
      <c r="AO483" s="6" t="s">
        <v>104</v>
      </c>
      <c r="AP483" s="6" t="s">
        <v>104</v>
      </c>
      <c r="AQ483" s="6" t="s">
        <v>104</v>
      </c>
      <c r="AR483" s="6" t="s">
        <v>104</v>
      </c>
      <c r="AS483" s="6" t="s">
        <v>104</v>
      </c>
      <c r="AT483" s="6" t="s">
        <v>104</v>
      </c>
      <c r="AU483" s="6" t="s">
        <v>104</v>
      </c>
      <c r="AV483" s="6" t="s">
        <v>104</v>
      </c>
      <c r="AW483" s="6" t="s">
        <v>104</v>
      </c>
      <c r="AX483" s="6" t="s">
        <v>104</v>
      </c>
      <c r="AY483" s="6" t="s">
        <v>22265</v>
      </c>
      <c r="AZ483" s="6" t="s">
        <v>104</v>
      </c>
      <c r="BA483" s="6" t="s">
        <v>104</v>
      </c>
      <c r="BB483" s="6" t="s">
        <v>104</v>
      </c>
      <c r="BC483" s="26"/>
      <c r="BD483" s="26"/>
      <c r="BE483" s="26"/>
      <c r="BF483" s="26"/>
      <c r="BG483" s="26"/>
      <c r="BH483" s="26"/>
      <c r="BI483" s="26"/>
      <c r="BJ483" s="26"/>
      <c r="BK483" s="26"/>
      <c r="BL483" s="26"/>
      <c r="BM483" s="26"/>
      <c r="BN483" s="26"/>
      <c r="BO483" s="26"/>
      <c r="BP483" s="16" t="n">
        <v>45708</v>
      </c>
      <c r="BQ483" s="28" t="str">
        <f>HYPERLINK("https://organic.ams.usda.gov/Integrity/Certificate.aspx?cid=74&amp;nopid=5350000389")</f>
        <v>https://organic.ams.usda.gov/Integrity/Certificate.aspx?cid=74&amp;nopid=5350000389</v>
      </c>
    </row>
    <row r="484">
      <c r="A484" t="s">
        <v>3</v>
      </c>
      <c r="B484" s="6" t="s">
        <v>38</v>
      </c>
      <c r="C484" s="6" t="s">
        <v>104</v>
      </c>
      <c r="D484" s="6" t="s">
        <v>104</v>
      </c>
      <c r="E484" s="10" t="s">
        <v>682</v>
      </c>
      <c r="F484" s="6" t="s">
        <v>2936</v>
      </c>
      <c r="G484" s="6" t="s">
        <v>4720</v>
      </c>
      <c r="H484" s="6" t="s">
        <v>5329</v>
      </c>
      <c r="I484" s="6" t="s">
        <v>7259</v>
      </c>
      <c r="J484" s="6" t="s">
        <v>8510</v>
      </c>
      <c r="K484" s="6" t="s">
        <v>9714</v>
      </c>
      <c r="L484" s="16" t="n">
        <v>39863</v>
      </c>
      <c r="M484" s="16" t="n">
        <v>45868</v>
      </c>
      <c r="N484" s="6" t="s">
        <v>104</v>
      </c>
      <c r="O484" s="21" t="s">
        <v>104</v>
      </c>
      <c r="P484" s="6" t="s">
        <v>104</v>
      </c>
      <c r="Q484" s="6" t="s">
        <v>104</v>
      </c>
      <c r="R484" s="6" t="s">
        <v>104</v>
      </c>
      <c r="S484" s="6" t="s">
        <v>104</v>
      </c>
      <c r="T484" s="21" t="s">
        <v>104</v>
      </c>
      <c r="U484" s="6" t="s">
        <v>104</v>
      </c>
      <c r="V484" s="6" t="s">
        <v>104</v>
      </c>
      <c r="W484" s="6" t="s">
        <v>104</v>
      </c>
      <c r="X484" s="6" t="s">
        <v>104</v>
      </c>
      <c r="Y484" s="21" t="s">
        <v>104</v>
      </c>
      <c r="Z484" s="6" t="s">
        <v>104</v>
      </c>
      <c r="AA484" s="6" t="s">
        <v>104</v>
      </c>
      <c r="AB484" s="6" t="s">
        <v>104</v>
      </c>
      <c r="AC484" s="6" t="s">
        <v>9714</v>
      </c>
      <c r="AD484" s="16" t="n">
        <v>45707</v>
      </c>
      <c r="AE484" s="6" t="s">
        <v>10959</v>
      </c>
      <c r="AF484" s="6" t="s">
        <v>104</v>
      </c>
      <c r="AG484" s="6" t="s">
        <v>12622</v>
      </c>
      <c r="AH484" s="6" t="s">
        <v>13592</v>
      </c>
      <c r="AI484" s="6" t="s">
        <v>104</v>
      </c>
      <c r="AJ484" s="6" t="s">
        <v>15699</v>
      </c>
      <c r="AK484" s="6" t="s">
        <v>16687</v>
      </c>
      <c r="AL484" s="6" t="s">
        <v>16931</v>
      </c>
      <c r="AM484" s="6" t="s">
        <v>17319</v>
      </c>
      <c r="AN484" s="6" t="s">
        <v>104</v>
      </c>
      <c r="AO484" s="6" t="s">
        <v>104</v>
      </c>
      <c r="AP484" s="6" t="s">
        <v>13592</v>
      </c>
      <c r="AQ484" s="6" t="s">
        <v>104</v>
      </c>
      <c r="AR484" s="6" t="s">
        <v>15699</v>
      </c>
      <c r="AS484" s="6" t="s">
        <v>16687</v>
      </c>
      <c r="AT484" s="6" t="s">
        <v>16931</v>
      </c>
      <c r="AU484" s="6" t="s">
        <v>17319</v>
      </c>
      <c r="AV484" s="6" t="s">
        <v>104</v>
      </c>
      <c r="AW484" s="6" t="s">
        <v>104</v>
      </c>
      <c r="AX484" s="6" t="s">
        <v>20505</v>
      </c>
      <c r="AY484" s="6" t="s">
        <v>22266</v>
      </c>
      <c r="AZ484" s="6" t="s">
        <v>104</v>
      </c>
      <c r="BA484" s="6" t="s">
        <v>24285</v>
      </c>
      <c r="BB484" s="6" t="s">
        <v>104</v>
      </c>
      <c r="BC484" s="26"/>
      <c r="BD484" s="26"/>
      <c r="BE484" s="26"/>
      <c r="BF484" s="26"/>
      <c r="BG484" s="26"/>
      <c r="BH484" s="26"/>
      <c r="BI484" s="26"/>
      <c r="BJ484" s="26"/>
      <c r="BK484" s="26"/>
      <c r="BL484" s="26"/>
      <c r="BM484" s="26"/>
      <c r="BN484" s="26"/>
      <c r="BO484" s="26"/>
      <c r="BP484" s="16" t="n">
        <v>45733</v>
      </c>
      <c r="BQ484" s="28" t="str">
        <f>HYPERLINK("")</f>
      </c>
    </row>
    <row r="485">
      <c r="A485" t="s">
        <v>3</v>
      </c>
      <c r="B485" s="6" t="s">
        <v>53</v>
      </c>
      <c r="C485" s="6" t="s">
        <v>119</v>
      </c>
      <c r="D485" s="6" t="s">
        <v>183</v>
      </c>
      <c r="E485" s="10" t="s">
        <v>683</v>
      </c>
      <c r="F485" s="6" t="s">
        <v>2937</v>
      </c>
      <c r="G485" s="6" t="s">
        <v>104</v>
      </c>
      <c r="H485" s="6" t="s">
        <v>104</v>
      </c>
      <c r="I485" s="6" t="s">
        <v>7260</v>
      </c>
      <c r="J485" s="6" t="s">
        <v>8511</v>
      </c>
      <c r="K485" s="6" t="s">
        <v>9714</v>
      </c>
      <c r="L485" s="16" t="n">
        <v>45587</v>
      </c>
      <c r="M485" s="16" t="n">
        <v>45952</v>
      </c>
      <c r="N485" s="6" t="s">
        <v>104</v>
      </c>
      <c r="O485" s="21" t="s">
        <v>104</v>
      </c>
      <c r="P485" s="6" t="s">
        <v>104</v>
      </c>
      <c r="Q485" s="6" t="s">
        <v>104</v>
      </c>
      <c r="R485" s="6" t="s">
        <v>104</v>
      </c>
      <c r="S485" s="6" t="s">
        <v>104</v>
      </c>
      <c r="T485" s="21" t="s">
        <v>104</v>
      </c>
      <c r="U485" s="6" t="s">
        <v>104</v>
      </c>
      <c r="V485" s="6" t="s">
        <v>104</v>
      </c>
      <c r="W485" s="6" t="s">
        <v>104</v>
      </c>
      <c r="X485" s="6" t="s">
        <v>104</v>
      </c>
      <c r="Y485" s="21" t="s">
        <v>104</v>
      </c>
      <c r="Z485" s="6" t="s">
        <v>104</v>
      </c>
      <c r="AA485" s="6" t="s">
        <v>104</v>
      </c>
      <c r="AB485" s="6" t="s">
        <v>104</v>
      </c>
      <c r="AC485" s="6" t="s">
        <v>9714</v>
      </c>
      <c r="AD485" s="16" t="n">
        <v>45587</v>
      </c>
      <c r="AE485" s="6" t="s">
        <v>10958</v>
      </c>
      <c r="AF485" s="6" t="s">
        <v>104</v>
      </c>
      <c r="AG485" s="6" t="s">
        <v>104</v>
      </c>
      <c r="AH485" s="6" t="s">
        <v>13593</v>
      </c>
      <c r="AI485" s="6" t="s">
        <v>104</v>
      </c>
      <c r="AJ485" s="6" t="s">
        <v>15700</v>
      </c>
      <c r="AK485" s="6" t="s">
        <v>16735</v>
      </c>
      <c r="AL485" s="6" t="s">
        <v>16931</v>
      </c>
      <c r="AM485" s="6" t="s">
        <v>17320</v>
      </c>
      <c r="AN485" s="6" t="s">
        <v>104</v>
      </c>
      <c r="AO485" s="6" t="s">
        <v>104</v>
      </c>
      <c r="AP485" s="6" t="s">
        <v>104</v>
      </c>
      <c r="AQ485" s="6" t="s">
        <v>104</v>
      </c>
      <c r="AR485" s="6" t="s">
        <v>104</v>
      </c>
      <c r="AS485" s="6" t="s">
        <v>104</v>
      </c>
      <c r="AT485" s="6" t="s">
        <v>104</v>
      </c>
      <c r="AU485" s="6" t="s">
        <v>104</v>
      </c>
      <c r="AV485" s="6" t="s">
        <v>104</v>
      </c>
      <c r="AW485" s="6" t="s">
        <v>104</v>
      </c>
      <c r="AX485" s="6" t="s">
        <v>104</v>
      </c>
      <c r="AY485" s="6" t="s">
        <v>22267</v>
      </c>
      <c r="AZ485" s="6" t="s">
        <v>23815</v>
      </c>
      <c r="BA485" s="6" t="s">
        <v>104</v>
      </c>
      <c r="BB485" s="6" t="s">
        <v>104</v>
      </c>
      <c r="BC485" s="26"/>
      <c r="BD485" s="26"/>
      <c r="BE485" s="26"/>
      <c r="BF485" s="26"/>
      <c r="BG485" s="26"/>
      <c r="BH485" s="26"/>
      <c r="BI485" s="26"/>
      <c r="BJ485" s="26"/>
      <c r="BK485" s="26"/>
      <c r="BL485" s="26"/>
      <c r="BM485" s="26"/>
      <c r="BN485" s="26"/>
      <c r="BO485" s="26"/>
      <c r="BP485" s="16" t="n">
        <v>45708</v>
      </c>
      <c r="BQ485" s="28" t="str">
        <f>HYPERLINK("https://organic.ams.usda.gov/Integrity/Certificate.aspx?cid=74&amp;nopid=5350000374")</f>
        <v>https://organic.ams.usda.gov/Integrity/Certificate.aspx?cid=74&amp;nopid=5350000374</v>
      </c>
    </row>
    <row r="486">
      <c r="A486" t="s">
        <v>3</v>
      </c>
      <c r="B486" s="6" t="s">
        <v>53</v>
      </c>
      <c r="C486" s="6" t="s">
        <v>119</v>
      </c>
      <c r="D486" s="6" t="s">
        <v>183</v>
      </c>
      <c r="E486" s="10" t="s">
        <v>684</v>
      </c>
      <c r="F486" s="6" t="s">
        <v>2938</v>
      </c>
      <c r="G486" s="6" t="s">
        <v>104</v>
      </c>
      <c r="H486" s="6" t="s">
        <v>104</v>
      </c>
      <c r="I486" s="6" t="s">
        <v>7261</v>
      </c>
      <c r="J486" s="6" t="s">
        <v>8512</v>
      </c>
      <c r="K486" s="6" t="s">
        <v>9714</v>
      </c>
      <c r="L486" s="16" t="n">
        <v>45602</v>
      </c>
      <c r="M486" s="16" t="n">
        <v>45967</v>
      </c>
      <c r="N486" s="6" t="s">
        <v>104</v>
      </c>
      <c r="O486" s="21" t="s">
        <v>104</v>
      </c>
      <c r="P486" s="6" t="s">
        <v>104</v>
      </c>
      <c r="Q486" s="6" t="s">
        <v>104</v>
      </c>
      <c r="R486" s="6" t="s">
        <v>104</v>
      </c>
      <c r="S486" s="6" t="s">
        <v>104</v>
      </c>
      <c r="T486" s="21" t="s">
        <v>104</v>
      </c>
      <c r="U486" s="6" t="s">
        <v>104</v>
      </c>
      <c r="V486" s="6" t="s">
        <v>104</v>
      </c>
      <c r="W486" s="6" t="s">
        <v>104</v>
      </c>
      <c r="X486" s="6" t="s">
        <v>104</v>
      </c>
      <c r="Y486" s="21" t="s">
        <v>104</v>
      </c>
      <c r="Z486" s="6" t="s">
        <v>104</v>
      </c>
      <c r="AA486" s="6" t="s">
        <v>104</v>
      </c>
      <c r="AB486" s="6" t="s">
        <v>104</v>
      </c>
      <c r="AC486" s="6" t="s">
        <v>9714</v>
      </c>
      <c r="AD486" s="16" t="n">
        <v>45602</v>
      </c>
      <c r="AE486" s="6" t="s">
        <v>10958</v>
      </c>
      <c r="AF486" s="6" t="s">
        <v>104</v>
      </c>
      <c r="AG486" s="6" t="s">
        <v>104</v>
      </c>
      <c r="AH486" s="6" t="s">
        <v>13594</v>
      </c>
      <c r="AI486" s="6" t="s">
        <v>104</v>
      </c>
      <c r="AJ486" s="6" t="s">
        <v>15701</v>
      </c>
      <c r="AK486" s="6" t="s">
        <v>15697</v>
      </c>
      <c r="AL486" s="6" t="s">
        <v>16931</v>
      </c>
      <c r="AM486" s="6" t="s">
        <v>17321</v>
      </c>
      <c r="AN486" s="6" t="s">
        <v>104</v>
      </c>
      <c r="AO486" s="6" t="s">
        <v>104</v>
      </c>
      <c r="AP486" s="6" t="s">
        <v>104</v>
      </c>
      <c r="AQ486" s="6" t="s">
        <v>104</v>
      </c>
      <c r="AR486" s="6" t="s">
        <v>104</v>
      </c>
      <c r="AS486" s="6" t="s">
        <v>104</v>
      </c>
      <c r="AT486" s="6" t="s">
        <v>104</v>
      </c>
      <c r="AU486" s="6" t="s">
        <v>104</v>
      </c>
      <c r="AV486" s="6" t="s">
        <v>104</v>
      </c>
      <c r="AW486" s="6" t="s">
        <v>104</v>
      </c>
      <c r="AX486" s="6" t="s">
        <v>104</v>
      </c>
      <c r="AY486" s="6" t="s">
        <v>22268</v>
      </c>
      <c r="AZ486" s="6" t="s">
        <v>23815</v>
      </c>
      <c r="BA486" s="6" t="s">
        <v>104</v>
      </c>
      <c r="BB486" s="6" t="s">
        <v>104</v>
      </c>
      <c r="BC486" s="26"/>
      <c r="BD486" s="26"/>
      <c r="BE486" s="26"/>
      <c r="BF486" s="26"/>
      <c r="BG486" s="26"/>
      <c r="BH486" s="26"/>
      <c r="BI486" s="26"/>
      <c r="BJ486" s="26"/>
      <c r="BK486" s="26"/>
      <c r="BL486" s="26"/>
      <c r="BM486" s="26"/>
      <c r="BN486" s="26"/>
      <c r="BO486" s="26"/>
      <c r="BP486" s="16" t="n">
        <v>45708</v>
      </c>
      <c r="BQ486" s="28" t="str">
        <f>HYPERLINK("https://organic.ams.usda.gov/Integrity/Certificate.aspx?cid=74&amp;nopid=5350000382")</f>
        <v>https://organic.ams.usda.gov/Integrity/Certificate.aspx?cid=74&amp;nopid=5350000382</v>
      </c>
    </row>
    <row r="487">
      <c r="A487" t="s">
        <v>3</v>
      </c>
      <c r="B487" s="6" t="s">
        <v>21</v>
      </c>
      <c r="C487" s="6" t="s">
        <v>87</v>
      </c>
      <c r="D487" s="6" t="s">
        <v>152</v>
      </c>
      <c r="E487" s="10" t="s">
        <v>685</v>
      </c>
      <c r="F487" s="6" t="s">
        <v>2939</v>
      </c>
      <c r="G487" s="6" t="s">
        <v>104</v>
      </c>
      <c r="H487" s="6" t="s">
        <v>5330</v>
      </c>
      <c r="I487" s="6" t="s">
        <v>7262</v>
      </c>
      <c r="J487" s="6" t="s">
        <v>8513</v>
      </c>
      <c r="K487" s="6" t="s">
        <v>9714</v>
      </c>
      <c r="L487" s="16" t="n">
        <v>38958</v>
      </c>
      <c r="M487" s="16" t="n">
        <v>46023</v>
      </c>
      <c r="N487" s="6" t="s">
        <v>104</v>
      </c>
      <c r="O487" s="21" t="s">
        <v>104</v>
      </c>
      <c r="P487" s="6" t="s">
        <v>104</v>
      </c>
      <c r="Q487" s="6" t="s">
        <v>104</v>
      </c>
      <c r="R487" s="6" t="s">
        <v>104</v>
      </c>
      <c r="S487" s="6" t="s">
        <v>104</v>
      </c>
      <c r="T487" s="21" t="s">
        <v>104</v>
      </c>
      <c r="U487" s="6" t="s">
        <v>104</v>
      </c>
      <c r="V487" s="6" t="s">
        <v>104</v>
      </c>
      <c r="W487" s="6" t="s">
        <v>104</v>
      </c>
      <c r="X487" s="6" t="s">
        <v>104</v>
      </c>
      <c r="Y487" s="21" t="s">
        <v>104</v>
      </c>
      <c r="Z487" s="6" t="s">
        <v>104</v>
      </c>
      <c r="AA487" s="6" t="s">
        <v>104</v>
      </c>
      <c r="AB487" s="6" t="s">
        <v>104</v>
      </c>
      <c r="AC487" s="6" t="s">
        <v>9714</v>
      </c>
      <c r="AD487" s="16" t="n">
        <v>38958</v>
      </c>
      <c r="AE487" s="6" t="s">
        <v>10960</v>
      </c>
      <c r="AF487" s="6" t="s">
        <v>104</v>
      </c>
      <c r="AG487" s="6" t="s">
        <v>104</v>
      </c>
      <c r="AH487" s="6" t="s">
        <v>13595</v>
      </c>
      <c r="AI487" s="6" t="s">
        <v>104</v>
      </c>
      <c r="AJ487" s="6" t="s">
        <v>15428</v>
      </c>
      <c r="AK487" s="6" t="s">
        <v>16687</v>
      </c>
      <c r="AL487" s="6" t="s">
        <v>16931</v>
      </c>
      <c r="AM487" s="6" t="s">
        <v>17322</v>
      </c>
      <c r="AN487" s="6" t="s">
        <v>18471</v>
      </c>
      <c r="AO487" s="6" t="s">
        <v>18579</v>
      </c>
      <c r="AP487" s="6" t="s">
        <v>13595</v>
      </c>
      <c r="AQ487" s="6" t="s">
        <v>104</v>
      </c>
      <c r="AR487" s="6" t="s">
        <v>15428</v>
      </c>
      <c r="AS487" s="6" t="s">
        <v>16687</v>
      </c>
      <c r="AT487" s="6" t="s">
        <v>16931</v>
      </c>
      <c r="AU487" s="6" t="s">
        <v>17322</v>
      </c>
      <c r="AV487" s="6" t="s">
        <v>104</v>
      </c>
      <c r="AW487" s="6" t="s">
        <v>104</v>
      </c>
      <c r="AX487" s="6" t="s">
        <v>20506</v>
      </c>
      <c r="AY487" s="6" t="s">
        <v>22269</v>
      </c>
      <c r="AZ487" s="6" t="s">
        <v>104</v>
      </c>
      <c r="BA487" s="6" t="s">
        <v>24263</v>
      </c>
      <c r="BB487" s="6" t="s">
        <v>104</v>
      </c>
      <c r="BC487" s="26"/>
      <c r="BD487" s="26"/>
      <c r="BE487" s="26"/>
      <c r="BF487" s="26"/>
      <c r="BG487" s="26"/>
      <c r="BH487" s="26"/>
      <c r="BI487" s="26"/>
      <c r="BJ487" s="26"/>
      <c r="BK487" s="26"/>
      <c r="BL487" s="26"/>
      <c r="BM487" s="26"/>
      <c r="BN487" s="26"/>
      <c r="BO487" s="26"/>
      <c r="BP487" s="16" t="n">
        <v>45728</v>
      </c>
      <c r="BQ487" s="28" t="str">
        <f>HYPERLINK("https://organic.ams.usda.gov/Integrity/Certificate.aspx?cid=15&amp;nopid=5561002357")</f>
        <v>https://organic.ams.usda.gov/Integrity/Certificate.aspx?cid=15&amp;nopid=5561002357</v>
      </c>
    </row>
    <row r="488">
      <c r="A488" t="s">
        <v>3</v>
      </c>
      <c r="B488" s="6" t="s">
        <v>11</v>
      </c>
      <c r="C488" s="6" t="s">
        <v>77</v>
      </c>
      <c r="D488" s="6" t="s">
        <v>142</v>
      </c>
      <c r="E488" s="10" t="s">
        <v>686</v>
      </c>
      <c r="F488" s="6" t="s">
        <v>2940</v>
      </c>
      <c r="G488" s="6" t="s">
        <v>104</v>
      </c>
      <c r="H488" s="6" t="s">
        <v>686</v>
      </c>
      <c r="I488" s="6" t="s">
        <v>7263</v>
      </c>
      <c r="J488" s="6" t="s">
        <v>8514</v>
      </c>
      <c r="K488" s="6" t="s">
        <v>9714</v>
      </c>
      <c r="L488" s="16" t="n">
        <v>44792</v>
      </c>
      <c r="M488" s="16" t="n">
        <v>45449</v>
      </c>
      <c r="N488" s="6" t="s">
        <v>104</v>
      </c>
      <c r="O488" s="21" t="s">
        <v>104</v>
      </c>
      <c r="P488" s="6" t="s">
        <v>104</v>
      </c>
      <c r="Q488" s="6" t="s">
        <v>104</v>
      </c>
      <c r="R488" s="6" t="s">
        <v>104</v>
      </c>
      <c r="S488" s="6" t="s">
        <v>104</v>
      </c>
      <c r="T488" s="21" t="s">
        <v>104</v>
      </c>
      <c r="U488" s="6" t="s">
        <v>104</v>
      </c>
      <c r="V488" s="6" t="s">
        <v>104</v>
      </c>
      <c r="W488" s="6" t="s">
        <v>104</v>
      </c>
      <c r="X488" s="6" t="s">
        <v>104</v>
      </c>
      <c r="Y488" s="21" t="s">
        <v>104</v>
      </c>
      <c r="Z488" s="6" t="s">
        <v>104</v>
      </c>
      <c r="AA488" s="6" t="s">
        <v>104</v>
      </c>
      <c r="AB488" s="6" t="s">
        <v>104</v>
      </c>
      <c r="AC488" s="6" t="s">
        <v>9714</v>
      </c>
      <c r="AD488" s="16" t="n">
        <v>44792</v>
      </c>
      <c r="AE488" s="6" t="s">
        <v>10961</v>
      </c>
      <c r="AF488" s="6" t="s">
        <v>104</v>
      </c>
      <c r="AG488" s="6" t="s">
        <v>12623</v>
      </c>
      <c r="AH488" s="6" t="s">
        <v>13596</v>
      </c>
      <c r="AI488" s="6" t="s">
        <v>104</v>
      </c>
      <c r="AJ488" s="6" t="s">
        <v>15702</v>
      </c>
      <c r="AK488" s="6" t="s">
        <v>16778</v>
      </c>
      <c r="AL488" s="6" t="s">
        <v>16932</v>
      </c>
      <c r="AM488" s="6" t="s">
        <v>17323</v>
      </c>
      <c r="AN488" s="6" t="s">
        <v>104</v>
      </c>
      <c r="AO488" s="6" t="s">
        <v>104</v>
      </c>
      <c r="AP488" s="6" t="s">
        <v>13596</v>
      </c>
      <c r="AQ488" s="6" t="s">
        <v>104</v>
      </c>
      <c r="AR488" s="6" t="s">
        <v>15702</v>
      </c>
      <c r="AS488" s="6" t="s">
        <v>16778</v>
      </c>
      <c r="AT488" s="6" t="s">
        <v>16932</v>
      </c>
      <c r="AU488" s="6" t="s">
        <v>17323</v>
      </c>
      <c r="AV488" s="6" t="s">
        <v>104</v>
      </c>
      <c r="AW488" s="6" t="s">
        <v>104</v>
      </c>
      <c r="AX488" s="6" t="s">
        <v>20507</v>
      </c>
      <c r="AY488" s="6" t="s">
        <v>22270</v>
      </c>
      <c r="AZ488" s="6" t="s">
        <v>104</v>
      </c>
      <c r="BA488" s="6" t="s">
        <v>104</v>
      </c>
      <c r="BB488" s="6" t="s">
        <v>104</v>
      </c>
      <c r="BC488" s="26"/>
      <c r="BD488" s="26"/>
      <c r="BE488" s="26"/>
      <c r="BF488" s="26"/>
      <c r="BG488" s="26"/>
      <c r="BH488" s="26"/>
      <c r="BI488" s="26"/>
      <c r="BJ488" s="26"/>
      <c r="BK488" s="26"/>
      <c r="BL488" s="26"/>
      <c r="BM488" s="26"/>
      <c r="BN488" s="26" t="s">
        <v>24533</v>
      </c>
      <c r="BO488" s="26"/>
      <c r="BP488" s="16" t="n">
        <v>45364</v>
      </c>
      <c r="BQ488" s="28" t="str">
        <f>HYPERLINK("https://organic.ams.usda.gov/Integrity/Certificate.aspx?cid=21&amp;nopid=1780871502")</f>
        <v>https://organic.ams.usda.gov/Integrity/Certificate.aspx?cid=21&amp;nopid=1780871502</v>
      </c>
    </row>
    <row r="489">
      <c r="A489" t="s">
        <v>3</v>
      </c>
      <c r="B489" s="6" t="s">
        <v>32</v>
      </c>
      <c r="C489" s="6" t="s">
        <v>98</v>
      </c>
      <c r="D489" s="6" t="s">
        <v>163</v>
      </c>
      <c r="E489" s="10" t="s">
        <v>687</v>
      </c>
      <c r="F489" s="6" t="s">
        <v>2941</v>
      </c>
      <c r="G489" s="6" t="s">
        <v>104</v>
      </c>
      <c r="H489" s="6" t="s">
        <v>5331</v>
      </c>
      <c r="I489" s="6" t="s">
        <v>7160</v>
      </c>
      <c r="J489" s="6" t="s">
        <v>8515</v>
      </c>
      <c r="K489" s="6" t="s">
        <v>9714</v>
      </c>
      <c r="L489" s="16" t="n">
        <v>37761</v>
      </c>
      <c r="M489" s="16" t="n">
        <v>45689</v>
      </c>
      <c r="N489" s="6" t="s">
        <v>104</v>
      </c>
      <c r="O489" s="21" t="s">
        <v>104</v>
      </c>
      <c r="P489" s="6" t="s">
        <v>104</v>
      </c>
      <c r="Q489" s="6" t="s">
        <v>104</v>
      </c>
      <c r="R489" s="6" t="s">
        <v>104</v>
      </c>
      <c r="S489" s="6" t="s">
        <v>104</v>
      </c>
      <c r="T489" s="21" t="s">
        <v>104</v>
      </c>
      <c r="U489" s="6" t="s">
        <v>104</v>
      </c>
      <c r="V489" s="6" t="s">
        <v>104</v>
      </c>
      <c r="W489" s="6" t="s">
        <v>104</v>
      </c>
      <c r="X489" s="6" t="s">
        <v>104</v>
      </c>
      <c r="Y489" s="21" t="s">
        <v>104</v>
      </c>
      <c r="Z489" s="6" t="s">
        <v>104</v>
      </c>
      <c r="AA489" s="6" t="s">
        <v>104</v>
      </c>
      <c r="AB489" s="6" t="s">
        <v>104</v>
      </c>
      <c r="AC489" s="6" t="s">
        <v>9714</v>
      </c>
      <c r="AD489" s="16" t="n">
        <v>37761</v>
      </c>
      <c r="AE489" s="6" t="s">
        <v>10962</v>
      </c>
      <c r="AF489" s="6" t="s">
        <v>104</v>
      </c>
      <c r="AG489" s="6" t="s">
        <v>104</v>
      </c>
      <c r="AH489" s="6" t="s">
        <v>13597</v>
      </c>
      <c r="AI489" s="6" t="s">
        <v>104</v>
      </c>
      <c r="AJ489" s="6" t="s">
        <v>15703</v>
      </c>
      <c r="AK489" s="6" t="s">
        <v>16720</v>
      </c>
      <c r="AL489" s="6" t="s">
        <v>16931</v>
      </c>
      <c r="AM489" s="6" t="s">
        <v>17324</v>
      </c>
      <c r="AN489" s="6" t="s">
        <v>18468</v>
      </c>
      <c r="AO489" s="6" t="s">
        <v>18673</v>
      </c>
      <c r="AP489" s="6" t="s">
        <v>104</v>
      </c>
      <c r="AQ489" s="6" t="s">
        <v>104</v>
      </c>
      <c r="AR489" s="6" t="s">
        <v>104</v>
      </c>
      <c r="AS489" s="6" t="s">
        <v>104</v>
      </c>
      <c r="AT489" s="6" t="s">
        <v>104</v>
      </c>
      <c r="AU489" s="6" t="s">
        <v>104</v>
      </c>
      <c r="AV489" s="6" t="s">
        <v>104</v>
      </c>
      <c r="AW489" s="6" t="s">
        <v>104</v>
      </c>
      <c r="AX489" s="6" t="s">
        <v>20508</v>
      </c>
      <c r="AY489" s="6" t="s">
        <v>22271</v>
      </c>
      <c r="AZ489" s="6" t="s">
        <v>104</v>
      </c>
      <c r="BA489" s="6" t="s">
        <v>104</v>
      </c>
      <c r="BB489" s="6" t="s">
        <v>104</v>
      </c>
      <c r="BC489" s="26"/>
      <c r="BD489" s="26"/>
      <c r="BE489" s="26"/>
      <c r="BF489" s="26"/>
      <c r="BG489" s="26"/>
      <c r="BH489" s="26"/>
      <c r="BI489" s="26"/>
      <c r="BJ489" s="26"/>
      <c r="BK489" s="26"/>
      <c r="BL489" s="26" t="s">
        <v>24533</v>
      </c>
      <c r="BM489" s="26"/>
      <c r="BN489" s="26"/>
      <c r="BO489" s="26"/>
      <c r="BP489" s="16" t="n">
        <v>45601</v>
      </c>
      <c r="BQ489" s="28" t="str">
        <f>HYPERLINK("https://organic.ams.usda.gov/Integrity/Certificate.aspx?cid=64&amp;nopid=8830000526")</f>
        <v>https://organic.ams.usda.gov/Integrity/Certificate.aspx?cid=64&amp;nopid=8830000526</v>
      </c>
    </row>
    <row r="490">
      <c r="A490" t="s">
        <v>3</v>
      </c>
      <c r="B490" s="6" t="s">
        <v>54</v>
      </c>
      <c r="C490" s="6" t="s">
        <v>120</v>
      </c>
      <c r="D490" s="6" t="s">
        <v>184</v>
      </c>
      <c r="E490" s="10" t="s">
        <v>688</v>
      </c>
      <c r="F490" s="6" t="s">
        <v>2942</v>
      </c>
      <c r="G490" s="6" t="s">
        <v>104</v>
      </c>
      <c r="H490" s="6" t="s">
        <v>5332</v>
      </c>
      <c r="I490" s="6" t="s">
        <v>7264</v>
      </c>
      <c r="J490" s="6" t="s">
        <v>8516</v>
      </c>
      <c r="K490" s="6" t="s">
        <v>9714</v>
      </c>
      <c r="L490" s="16" t="n">
        <v>44141</v>
      </c>
      <c r="M490" s="16" t="n">
        <v>45717</v>
      </c>
      <c r="N490" s="6" t="s">
        <v>9714</v>
      </c>
      <c r="O490" s="16" t="n">
        <v>44141</v>
      </c>
      <c r="P490" s="6" t="s">
        <v>9859</v>
      </c>
      <c r="Q490" s="6" t="s">
        <v>104</v>
      </c>
      <c r="R490" s="6" t="s">
        <v>104</v>
      </c>
      <c r="S490" s="6" t="s">
        <v>104</v>
      </c>
      <c r="T490" s="21" t="s">
        <v>104</v>
      </c>
      <c r="U490" s="6" t="s">
        <v>104</v>
      </c>
      <c r="V490" s="6" t="s">
        <v>104</v>
      </c>
      <c r="W490" s="6" t="s">
        <v>104</v>
      </c>
      <c r="X490" s="6" t="s">
        <v>104</v>
      </c>
      <c r="Y490" s="21" t="s">
        <v>104</v>
      </c>
      <c r="Z490" s="6" t="s">
        <v>104</v>
      </c>
      <c r="AA490" s="6" t="s">
        <v>104</v>
      </c>
      <c r="AB490" s="6" t="s">
        <v>104</v>
      </c>
      <c r="AC490" s="6" t="s">
        <v>104</v>
      </c>
      <c r="AD490" s="21" t="s">
        <v>104</v>
      </c>
      <c r="AE490" s="6" t="s">
        <v>104</v>
      </c>
      <c r="AF490" s="6" t="s">
        <v>104</v>
      </c>
      <c r="AG490" s="6" t="s">
        <v>104</v>
      </c>
      <c r="AH490" s="6" t="s">
        <v>13598</v>
      </c>
      <c r="AI490" s="6" t="s">
        <v>104</v>
      </c>
      <c r="AJ490" s="6" t="s">
        <v>15704</v>
      </c>
      <c r="AK490" s="6" t="s">
        <v>16742</v>
      </c>
      <c r="AL490" s="6" t="s">
        <v>16931</v>
      </c>
      <c r="AM490" s="6" t="s">
        <v>17325</v>
      </c>
      <c r="AN490" s="6" t="s">
        <v>18462</v>
      </c>
      <c r="AO490" s="6" t="s">
        <v>18674</v>
      </c>
      <c r="AP490" s="6" t="s">
        <v>19085</v>
      </c>
      <c r="AQ490" s="6" t="s">
        <v>104</v>
      </c>
      <c r="AR490" s="6" t="s">
        <v>15704</v>
      </c>
      <c r="AS490" s="6" t="s">
        <v>16742</v>
      </c>
      <c r="AT490" s="6" t="s">
        <v>16931</v>
      </c>
      <c r="AU490" s="6" t="s">
        <v>17325</v>
      </c>
      <c r="AV490" s="6" t="s">
        <v>104</v>
      </c>
      <c r="AW490" s="6" t="s">
        <v>104</v>
      </c>
      <c r="AX490" s="6" t="s">
        <v>104</v>
      </c>
      <c r="AY490" s="6" t="s">
        <v>22272</v>
      </c>
      <c r="AZ490" s="6" t="s">
        <v>23816</v>
      </c>
      <c r="BA490" s="6" t="s">
        <v>24267</v>
      </c>
      <c r="BB490" s="24" t="n">
        <v>200</v>
      </c>
      <c r="BC490" s="26"/>
      <c r="BD490" s="26"/>
      <c r="BE490" s="26"/>
      <c r="BF490" s="26"/>
      <c r="BG490" s="26"/>
      <c r="BH490" s="26"/>
      <c r="BI490" s="26"/>
      <c r="BJ490" s="26"/>
      <c r="BK490" s="26"/>
      <c r="BL490" s="26"/>
      <c r="BM490" s="26"/>
      <c r="BN490" s="26"/>
      <c r="BO490" s="26"/>
      <c r="BP490" s="16" t="n">
        <v>45726</v>
      </c>
      <c r="BQ490" s="28" t="str">
        <f>HYPERLINK("https://organic.ams.usda.gov/Integrity/Certificate.aspx?cid=60&amp;nopid=2580003759")</f>
        <v>https://organic.ams.usda.gov/Integrity/Certificate.aspx?cid=60&amp;nopid=2580003759</v>
      </c>
    </row>
    <row r="491">
      <c r="A491" t="s">
        <v>3</v>
      </c>
      <c r="B491" s="6" t="s">
        <v>34</v>
      </c>
      <c r="C491" s="6" t="s">
        <v>100</v>
      </c>
      <c r="D491" s="6" t="s">
        <v>165</v>
      </c>
      <c r="E491" s="10" t="s">
        <v>689</v>
      </c>
      <c r="F491" s="6" t="s">
        <v>2943</v>
      </c>
      <c r="G491" s="6" t="s">
        <v>104</v>
      </c>
      <c r="H491" s="6" t="s">
        <v>5333</v>
      </c>
      <c r="I491" s="6" t="s">
        <v>7265</v>
      </c>
      <c r="J491" s="6" t="s">
        <v>8517</v>
      </c>
      <c r="K491" s="6" t="s">
        <v>9714</v>
      </c>
      <c r="L491" s="16" t="n">
        <v>44203</v>
      </c>
      <c r="M491" s="16" t="n">
        <v>45923</v>
      </c>
      <c r="N491" s="6" t="s">
        <v>104</v>
      </c>
      <c r="O491" s="21" t="s">
        <v>104</v>
      </c>
      <c r="P491" s="6" t="s">
        <v>104</v>
      </c>
      <c r="Q491" s="6" t="s">
        <v>104</v>
      </c>
      <c r="R491" s="6" t="s">
        <v>104</v>
      </c>
      <c r="S491" s="6" t="s">
        <v>104</v>
      </c>
      <c r="T491" s="21" t="s">
        <v>104</v>
      </c>
      <c r="U491" s="6" t="s">
        <v>104</v>
      </c>
      <c r="V491" s="6" t="s">
        <v>104</v>
      </c>
      <c r="W491" s="6" t="s">
        <v>104</v>
      </c>
      <c r="X491" s="6" t="s">
        <v>104</v>
      </c>
      <c r="Y491" s="21" t="s">
        <v>104</v>
      </c>
      <c r="Z491" s="6" t="s">
        <v>104</v>
      </c>
      <c r="AA491" s="6" t="s">
        <v>104</v>
      </c>
      <c r="AB491" s="6" t="s">
        <v>104</v>
      </c>
      <c r="AC491" s="6" t="s">
        <v>9714</v>
      </c>
      <c r="AD491" s="16" t="n">
        <v>44203</v>
      </c>
      <c r="AE491" s="6" t="s">
        <v>10963</v>
      </c>
      <c r="AF491" s="6" t="s">
        <v>104</v>
      </c>
      <c r="AG491" s="6" t="s">
        <v>12624</v>
      </c>
      <c r="AH491" s="6" t="s">
        <v>13599</v>
      </c>
      <c r="AI491" s="6" t="s">
        <v>104</v>
      </c>
      <c r="AJ491" s="6" t="s">
        <v>15705</v>
      </c>
      <c r="AK491" s="6" t="s">
        <v>16720</v>
      </c>
      <c r="AL491" s="6" t="s">
        <v>16931</v>
      </c>
      <c r="AM491" s="6" t="s">
        <v>17326</v>
      </c>
      <c r="AN491" s="6" t="s">
        <v>18466</v>
      </c>
      <c r="AO491" s="6" t="s">
        <v>18675</v>
      </c>
      <c r="AP491" s="6" t="s">
        <v>19086</v>
      </c>
      <c r="AQ491" s="6" t="s">
        <v>104</v>
      </c>
      <c r="AR491" s="6" t="s">
        <v>15705</v>
      </c>
      <c r="AS491" s="6" t="s">
        <v>16720</v>
      </c>
      <c r="AT491" s="6" t="s">
        <v>16931</v>
      </c>
      <c r="AU491" s="6" t="s">
        <v>17326</v>
      </c>
      <c r="AV491" s="6" t="s">
        <v>104</v>
      </c>
      <c r="AW491" s="6" t="s">
        <v>104</v>
      </c>
      <c r="AX491" s="6" t="s">
        <v>20509</v>
      </c>
      <c r="AY491" s="6" t="s">
        <v>22273</v>
      </c>
      <c r="AZ491" s="6" t="s">
        <v>104</v>
      </c>
      <c r="BA491" s="6" t="s">
        <v>104</v>
      </c>
      <c r="BB491" s="6" t="s">
        <v>104</v>
      </c>
      <c r="BC491" s="26"/>
      <c r="BD491" s="26"/>
      <c r="BE491" s="26" t="s">
        <v>24533</v>
      </c>
      <c r="BF491" s="26"/>
      <c r="BG491" s="26"/>
      <c r="BH491" s="26"/>
      <c r="BI491" s="26"/>
      <c r="BJ491" s="26"/>
      <c r="BK491" s="26"/>
      <c r="BL491" s="26"/>
      <c r="BM491" s="26"/>
      <c r="BN491" s="26"/>
      <c r="BO491" s="26"/>
      <c r="BP491" s="16" t="n">
        <v>45737</v>
      </c>
      <c r="BQ491" s="28" t="str">
        <f>HYPERLINK("https://organic.ams.usda.gov/Integrity/Certificate.aspx?cid=71&amp;nopid=5520052195")</f>
        <v>https://organic.ams.usda.gov/Integrity/Certificate.aspx?cid=71&amp;nopid=5520052195</v>
      </c>
    </row>
    <row r="492">
      <c r="A492" t="s">
        <v>3</v>
      </c>
      <c r="B492" s="6" t="s">
        <v>19</v>
      </c>
      <c r="C492" s="6" t="s">
        <v>85</v>
      </c>
      <c r="D492" s="6" t="s">
        <v>150</v>
      </c>
      <c r="E492" s="10" t="s">
        <v>690</v>
      </c>
      <c r="F492" s="6" t="s">
        <v>2944</v>
      </c>
      <c r="G492" s="6" t="s">
        <v>104</v>
      </c>
      <c r="H492" s="6" t="s">
        <v>5334</v>
      </c>
      <c r="I492" s="6" t="s">
        <v>7266</v>
      </c>
      <c r="J492" s="6" t="s">
        <v>8518</v>
      </c>
      <c r="K492" s="6" t="s">
        <v>9714</v>
      </c>
      <c r="L492" s="16" t="n">
        <v>40035</v>
      </c>
      <c r="M492" s="16" t="n">
        <v>45717</v>
      </c>
      <c r="N492" s="6" t="s">
        <v>9714</v>
      </c>
      <c r="O492" s="16" t="n">
        <v>40035</v>
      </c>
      <c r="P492" s="6" t="s">
        <v>9860</v>
      </c>
      <c r="Q492" s="6" t="s">
        <v>104</v>
      </c>
      <c r="R492" s="6" t="s">
        <v>104</v>
      </c>
      <c r="S492" s="6" t="s">
        <v>9714</v>
      </c>
      <c r="T492" s="16" t="n">
        <v>40035</v>
      </c>
      <c r="U492" s="6" t="s">
        <v>10476</v>
      </c>
      <c r="V492" s="6" t="s">
        <v>104</v>
      </c>
      <c r="W492" s="6" t="s">
        <v>104</v>
      </c>
      <c r="X492" s="6" t="s">
        <v>104</v>
      </c>
      <c r="Y492" s="21" t="s">
        <v>104</v>
      </c>
      <c r="Z492" s="6" t="s">
        <v>104</v>
      </c>
      <c r="AA492" s="6" t="s">
        <v>104</v>
      </c>
      <c r="AB492" s="6" t="s">
        <v>104</v>
      </c>
      <c r="AC492" s="6" t="s">
        <v>9714</v>
      </c>
      <c r="AD492" s="16" t="n">
        <v>40035</v>
      </c>
      <c r="AE492" s="6" t="s">
        <v>10964</v>
      </c>
      <c r="AF492" s="6" t="s">
        <v>104</v>
      </c>
      <c r="AG492" s="6" t="s">
        <v>104</v>
      </c>
      <c r="AH492" s="6" t="s">
        <v>13600</v>
      </c>
      <c r="AI492" s="6" t="s">
        <v>104</v>
      </c>
      <c r="AJ492" s="6" t="s">
        <v>15706</v>
      </c>
      <c r="AK492" s="6" t="s">
        <v>16686</v>
      </c>
      <c r="AL492" s="6" t="s">
        <v>16931</v>
      </c>
      <c r="AM492" s="6" t="s">
        <v>17327</v>
      </c>
      <c r="AN492" s="6" t="s">
        <v>18516</v>
      </c>
      <c r="AO492" s="6" t="s">
        <v>18598</v>
      </c>
      <c r="AP492" s="6" t="s">
        <v>13600</v>
      </c>
      <c r="AQ492" s="6" t="s">
        <v>104</v>
      </c>
      <c r="AR492" s="6" t="s">
        <v>15706</v>
      </c>
      <c r="AS492" s="6" t="s">
        <v>16686</v>
      </c>
      <c r="AT492" s="6" t="s">
        <v>16931</v>
      </c>
      <c r="AU492" s="6" t="s">
        <v>17327</v>
      </c>
      <c r="AV492" s="6" t="s">
        <v>104</v>
      </c>
      <c r="AW492" s="6" t="s">
        <v>104</v>
      </c>
      <c r="AX492" s="6" t="s">
        <v>20510</v>
      </c>
      <c r="AY492" s="6" t="s">
        <v>22274</v>
      </c>
      <c r="AZ492" s="6" t="s">
        <v>104</v>
      </c>
      <c r="BA492" s="6" t="s">
        <v>104</v>
      </c>
      <c r="BB492" s="24" t="n">
        <v>195</v>
      </c>
      <c r="BC492" s="26"/>
      <c r="BD492" s="26"/>
      <c r="BE492" s="26"/>
      <c r="BF492" s="26"/>
      <c r="BG492" s="26"/>
      <c r="BH492" s="26"/>
      <c r="BI492" s="26"/>
      <c r="BJ492" s="26"/>
      <c r="BK492" s="26"/>
      <c r="BL492" s="26"/>
      <c r="BM492" s="26"/>
      <c r="BN492" s="26"/>
      <c r="BO492" s="26"/>
      <c r="BP492" s="16" t="n">
        <v>45684</v>
      </c>
      <c r="BQ492" s="28" t="str">
        <f>HYPERLINK("https://organic.ams.usda.gov/Integrity/Certificate.aspx?cid=68&amp;nopid=8210003947")</f>
        <v>https://organic.ams.usda.gov/Integrity/Certificate.aspx?cid=68&amp;nopid=8210003947</v>
      </c>
    </row>
    <row r="493">
      <c r="A493" t="s">
        <v>3</v>
      </c>
      <c r="B493" s="6" t="s">
        <v>6</v>
      </c>
      <c r="C493" s="6" t="s">
        <v>72</v>
      </c>
      <c r="D493" s="6" t="s">
        <v>137</v>
      </c>
      <c r="E493" s="10" t="s">
        <v>691</v>
      </c>
      <c r="F493" s="6" t="s">
        <v>2945</v>
      </c>
      <c r="G493" s="6" t="s">
        <v>104</v>
      </c>
      <c r="H493" s="6" t="s">
        <v>5335</v>
      </c>
      <c r="I493" s="6" t="s">
        <v>7267</v>
      </c>
      <c r="J493" s="6" t="s">
        <v>8519</v>
      </c>
      <c r="K493" s="6" t="s">
        <v>9714</v>
      </c>
      <c r="L493" s="16" t="n">
        <v>45006</v>
      </c>
      <c r="M493" s="16" t="n">
        <v>46035</v>
      </c>
      <c r="N493" s="6" t="s">
        <v>104</v>
      </c>
      <c r="O493" s="21" t="s">
        <v>104</v>
      </c>
      <c r="P493" s="6" t="s">
        <v>104</v>
      </c>
      <c r="Q493" s="6" t="s">
        <v>104</v>
      </c>
      <c r="R493" s="6" t="s">
        <v>104</v>
      </c>
      <c r="S493" s="6" t="s">
        <v>104</v>
      </c>
      <c r="T493" s="21" t="s">
        <v>104</v>
      </c>
      <c r="U493" s="6" t="s">
        <v>104</v>
      </c>
      <c r="V493" s="6" t="s">
        <v>104</v>
      </c>
      <c r="W493" s="6" t="s">
        <v>104</v>
      </c>
      <c r="X493" s="6" t="s">
        <v>104</v>
      </c>
      <c r="Y493" s="21" t="s">
        <v>104</v>
      </c>
      <c r="Z493" s="6" t="s">
        <v>104</v>
      </c>
      <c r="AA493" s="6" t="s">
        <v>104</v>
      </c>
      <c r="AB493" s="6" t="s">
        <v>104</v>
      </c>
      <c r="AC493" s="6" t="s">
        <v>9714</v>
      </c>
      <c r="AD493" s="16" t="n">
        <v>45006</v>
      </c>
      <c r="AE493" s="6" t="s">
        <v>10965</v>
      </c>
      <c r="AF493" s="6" t="s">
        <v>104</v>
      </c>
      <c r="AG493" s="6" t="s">
        <v>12625</v>
      </c>
      <c r="AH493" s="6" t="s">
        <v>13601</v>
      </c>
      <c r="AI493" s="6" t="s">
        <v>104</v>
      </c>
      <c r="AJ493" s="6" t="s">
        <v>15554</v>
      </c>
      <c r="AK493" s="6" t="s">
        <v>16731</v>
      </c>
      <c r="AL493" s="6" t="s">
        <v>16766</v>
      </c>
      <c r="AM493" s="6" t="s">
        <v>17328</v>
      </c>
      <c r="AN493" s="6" t="s">
        <v>104</v>
      </c>
      <c r="AO493" s="6" t="s">
        <v>104</v>
      </c>
      <c r="AP493" s="6" t="s">
        <v>104</v>
      </c>
      <c r="AQ493" s="6" t="s">
        <v>104</v>
      </c>
      <c r="AR493" s="6" t="s">
        <v>104</v>
      </c>
      <c r="AS493" s="6" t="s">
        <v>104</v>
      </c>
      <c r="AT493" s="6" t="s">
        <v>104</v>
      </c>
      <c r="AU493" s="6" t="s">
        <v>104</v>
      </c>
      <c r="AV493" s="6" t="s">
        <v>104</v>
      </c>
      <c r="AW493" s="6" t="s">
        <v>104</v>
      </c>
      <c r="AX493" s="6" t="s">
        <v>20511</v>
      </c>
      <c r="AY493" s="6" t="s">
        <v>22275</v>
      </c>
      <c r="AZ493" s="6" t="s">
        <v>104</v>
      </c>
      <c r="BA493" s="6" t="s">
        <v>24258</v>
      </c>
      <c r="BB493" s="6" t="s">
        <v>104</v>
      </c>
      <c r="BC493" s="26"/>
      <c r="BD493" s="26"/>
      <c r="BE493" s="26"/>
      <c r="BF493" s="26"/>
      <c r="BG493" s="26"/>
      <c r="BH493" s="26"/>
      <c r="BI493" s="26"/>
      <c r="BJ493" s="26"/>
      <c r="BK493" s="26"/>
      <c r="BL493" s="26"/>
      <c r="BM493" s="26"/>
      <c r="BN493" s="26"/>
      <c r="BO493" s="26"/>
      <c r="BP493" s="16" t="n">
        <v>45737</v>
      </c>
      <c r="BQ493" s="28" t="str">
        <f>HYPERLINK("https://organic.ams.usda.gov/Integrity/Certificate.aspx?cid=32&amp;nopid=2230010191")</f>
        <v>https://organic.ams.usda.gov/Integrity/Certificate.aspx?cid=32&amp;nopid=2230010191</v>
      </c>
    </row>
    <row r="494">
      <c r="A494" t="s">
        <v>3</v>
      </c>
      <c r="B494" s="6" t="s">
        <v>6</v>
      </c>
      <c r="C494" s="6" t="s">
        <v>72</v>
      </c>
      <c r="D494" s="6" t="s">
        <v>137</v>
      </c>
      <c r="E494" s="10" t="s">
        <v>692</v>
      </c>
      <c r="F494" s="6" t="s">
        <v>2946</v>
      </c>
      <c r="G494" s="6" t="s">
        <v>104</v>
      </c>
      <c r="H494" s="6" t="s">
        <v>5336</v>
      </c>
      <c r="I494" s="6" t="s">
        <v>7268</v>
      </c>
      <c r="J494" s="6" t="s">
        <v>8520</v>
      </c>
      <c r="K494" s="6" t="s">
        <v>9714</v>
      </c>
      <c r="L494" s="16" t="n">
        <v>43543</v>
      </c>
      <c r="M494" s="16" t="n">
        <v>45812</v>
      </c>
      <c r="N494" s="6" t="s">
        <v>104</v>
      </c>
      <c r="O494" s="21" t="s">
        <v>104</v>
      </c>
      <c r="P494" s="6" t="s">
        <v>104</v>
      </c>
      <c r="Q494" s="6" t="s">
        <v>104</v>
      </c>
      <c r="R494" s="6" t="s">
        <v>104</v>
      </c>
      <c r="S494" s="6" t="s">
        <v>104</v>
      </c>
      <c r="T494" s="21" t="s">
        <v>104</v>
      </c>
      <c r="U494" s="6" t="s">
        <v>104</v>
      </c>
      <c r="V494" s="6" t="s">
        <v>104</v>
      </c>
      <c r="W494" s="6" t="s">
        <v>104</v>
      </c>
      <c r="X494" s="6" t="s">
        <v>104</v>
      </c>
      <c r="Y494" s="21" t="s">
        <v>104</v>
      </c>
      <c r="Z494" s="6" t="s">
        <v>104</v>
      </c>
      <c r="AA494" s="6" t="s">
        <v>104</v>
      </c>
      <c r="AB494" s="6" t="s">
        <v>104</v>
      </c>
      <c r="AC494" s="6" t="s">
        <v>9714</v>
      </c>
      <c r="AD494" s="16" t="n">
        <v>43543</v>
      </c>
      <c r="AE494" s="6" t="s">
        <v>10966</v>
      </c>
      <c r="AF494" s="6" t="s">
        <v>104</v>
      </c>
      <c r="AG494" s="6" t="s">
        <v>12626</v>
      </c>
      <c r="AH494" s="6" t="s">
        <v>13602</v>
      </c>
      <c r="AI494" s="6" t="s">
        <v>104</v>
      </c>
      <c r="AJ494" s="6" t="s">
        <v>15491</v>
      </c>
      <c r="AK494" s="6" t="s">
        <v>16779</v>
      </c>
      <c r="AL494" s="6" t="s">
        <v>16766</v>
      </c>
      <c r="AM494" s="6" t="s">
        <v>17329</v>
      </c>
      <c r="AN494" s="6" t="s">
        <v>104</v>
      </c>
      <c r="AO494" s="6" t="s">
        <v>104</v>
      </c>
      <c r="AP494" s="6" t="s">
        <v>104</v>
      </c>
      <c r="AQ494" s="6" t="s">
        <v>104</v>
      </c>
      <c r="AR494" s="6" t="s">
        <v>104</v>
      </c>
      <c r="AS494" s="6" t="s">
        <v>104</v>
      </c>
      <c r="AT494" s="6" t="s">
        <v>104</v>
      </c>
      <c r="AU494" s="6" t="s">
        <v>104</v>
      </c>
      <c r="AV494" s="6" t="s">
        <v>104</v>
      </c>
      <c r="AW494" s="6" t="s">
        <v>104</v>
      </c>
      <c r="AX494" s="6" t="s">
        <v>20512</v>
      </c>
      <c r="AY494" s="6" t="s">
        <v>22276</v>
      </c>
      <c r="AZ494" s="6" t="s">
        <v>104</v>
      </c>
      <c r="BA494" s="6" t="s">
        <v>24258</v>
      </c>
      <c r="BB494" s="6" t="s">
        <v>104</v>
      </c>
      <c r="BC494" s="26"/>
      <c r="BD494" s="26"/>
      <c r="BE494" s="26"/>
      <c r="BF494" s="26"/>
      <c r="BG494" s="26"/>
      <c r="BH494" s="26"/>
      <c r="BI494" s="26"/>
      <c r="BJ494" s="26"/>
      <c r="BK494" s="26"/>
      <c r="BL494" s="26"/>
      <c r="BM494" s="26"/>
      <c r="BN494" s="26"/>
      <c r="BO494" s="26"/>
      <c r="BP494" s="16" t="n">
        <v>45737</v>
      </c>
      <c r="BQ494" s="28" t="str">
        <f>HYPERLINK("https://organic.ams.usda.gov/Integrity/Certificate.aspx?cid=32&amp;nopid=2230006491")</f>
        <v>https://organic.ams.usda.gov/Integrity/Certificate.aspx?cid=32&amp;nopid=2230006491</v>
      </c>
    </row>
    <row r="495">
      <c r="A495" t="s">
        <v>3</v>
      </c>
      <c r="B495" s="6" t="s">
        <v>6</v>
      </c>
      <c r="C495" s="6" t="s">
        <v>72</v>
      </c>
      <c r="D495" s="6" t="s">
        <v>137</v>
      </c>
      <c r="E495" s="10" t="s">
        <v>693</v>
      </c>
      <c r="F495" s="6" t="s">
        <v>2947</v>
      </c>
      <c r="G495" s="6" t="s">
        <v>104</v>
      </c>
      <c r="H495" s="6" t="s">
        <v>5337</v>
      </c>
      <c r="I495" s="6" t="s">
        <v>7269</v>
      </c>
      <c r="J495" s="6" t="s">
        <v>7281</v>
      </c>
      <c r="K495" s="6" t="s">
        <v>9714</v>
      </c>
      <c r="L495" s="16" t="n">
        <v>45649</v>
      </c>
      <c r="M495" s="16" t="n">
        <v>45892</v>
      </c>
      <c r="N495" s="6" t="s">
        <v>104</v>
      </c>
      <c r="O495" s="21" t="s">
        <v>104</v>
      </c>
      <c r="P495" s="6" t="s">
        <v>104</v>
      </c>
      <c r="Q495" s="6" t="s">
        <v>104</v>
      </c>
      <c r="R495" s="6" t="s">
        <v>104</v>
      </c>
      <c r="S495" s="6" t="s">
        <v>104</v>
      </c>
      <c r="T495" s="21" t="s">
        <v>104</v>
      </c>
      <c r="U495" s="6" t="s">
        <v>104</v>
      </c>
      <c r="V495" s="6" t="s">
        <v>104</v>
      </c>
      <c r="W495" s="6" t="s">
        <v>104</v>
      </c>
      <c r="X495" s="6" t="s">
        <v>104</v>
      </c>
      <c r="Y495" s="21" t="s">
        <v>104</v>
      </c>
      <c r="Z495" s="6" t="s">
        <v>104</v>
      </c>
      <c r="AA495" s="6" t="s">
        <v>104</v>
      </c>
      <c r="AB495" s="6" t="s">
        <v>104</v>
      </c>
      <c r="AC495" s="6" t="s">
        <v>9714</v>
      </c>
      <c r="AD495" s="16" t="n">
        <v>45649</v>
      </c>
      <c r="AE495" s="6" t="s">
        <v>10967</v>
      </c>
      <c r="AF495" s="6" t="s">
        <v>104</v>
      </c>
      <c r="AG495" s="6" t="s">
        <v>12627</v>
      </c>
      <c r="AH495" s="6" t="s">
        <v>13603</v>
      </c>
      <c r="AI495" s="6" t="s">
        <v>104</v>
      </c>
      <c r="AJ495" s="6" t="s">
        <v>15491</v>
      </c>
      <c r="AK495" s="6" t="s">
        <v>15707</v>
      </c>
      <c r="AL495" s="6" t="s">
        <v>16766</v>
      </c>
      <c r="AM495" s="6" t="s">
        <v>17108</v>
      </c>
      <c r="AN495" s="6" t="s">
        <v>104</v>
      </c>
      <c r="AO495" s="6" t="s">
        <v>104</v>
      </c>
      <c r="AP495" s="6" t="s">
        <v>104</v>
      </c>
      <c r="AQ495" s="6" t="s">
        <v>104</v>
      </c>
      <c r="AR495" s="6" t="s">
        <v>104</v>
      </c>
      <c r="AS495" s="6" t="s">
        <v>104</v>
      </c>
      <c r="AT495" s="6" t="s">
        <v>104</v>
      </c>
      <c r="AU495" s="6" t="s">
        <v>104</v>
      </c>
      <c r="AV495" s="6" t="s">
        <v>104</v>
      </c>
      <c r="AW495" s="6" t="s">
        <v>104</v>
      </c>
      <c r="AX495" s="6" t="s">
        <v>20513</v>
      </c>
      <c r="AY495" s="6" t="s">
        <v>22277</v>
      </c>
      <c r="AZ495" s="6" t="s">
        <v>104</v>
      </c>
      <c r="BA495" s="6" t="s">
        <v>24258</v>
      </c>
      <c r="BB495" s="6" t="s">
        <v>104</v>
      </c>
      <c r="BC495" s="26"/>
      <c r="BD495" s="26"/>
      <c r="BE495" s="26"/>
      <c r="BF495" s="26"/>
      <c r="BG495" s="26"/>
      <c r="BH495" s="26"/>
      <c r="BI495" s="26"/>
      <c r="BJ495" s="26"/>
      <c r="BK495" s="26"/>
      <c r="BL495" s="26"/>
      <c r="BM495" s="26"/>
      <c r="BN495" s="26"/>
      <c r="BO495" s="26"/>
      <c r="BP495" s="16" t="n">
        <v>45737</v>
      </c>
      <c r="BQ495" s="28" t="str">
        <f>HYPERLINK("https://organic.ams.usda.gov/Integrity/Certificate.aspx?cid=32&amp;nopid=2230011547")</f>
        <v>https://organic.ams.usda.gov/Integrity/Certificate.aspx?cid=32&amp;nopid=2230011547</v>
      </c>
    </row>
    <row r="496">
      <c r="A496" t="s">
        <v>3</v>
      </c>
      <c r="B496" s="6" t="s">
        <v>6</v>
      </c>
      <c r="C496" s="6" t="s">
        <v>72</v>
      </c>
      <c r="D496" s="6" t="s">
        <v>137</v>
      </c>
      <c r="E496" s="10" t="s">
        <v>694</v>
      </c>
      <c r="F496" s="6" t="s">
        <v>2948</v>
      </c>
      <c r="G496" s="6" t="s">
        <v>104</v>
      </c>
      <c r="H496" s="6" t="s">
        <v>5338</v>
      </c>
      <c r="I496" s="6" t="s">
        <v>7270</v>
      </c>
      <c r="J496" s="6" t="s">
        <v>8521</v>
      </c>
      <c r="K496" s="6" t="s">
        <v>9714</v>
      </c>
      <c r="L496" s="16" t="n">
        <v>43544</v>
      </c>
      <c r="M496" s="16" t="n">
        <v>45983</v>
      </c>
      <c r="N496" s="6" t="s">
        <v>104</v>
      </c>
      <c r="O496" s="21" t="s">
        <v>104</v>
      </c>
      <c r="P496" s="6" t="s">
        <v>104</v>
      </c>
      <c r="Q496" s="6" t="s">
        <v>104</v>
      </c>
      <c r="R496" s="6" t="s">
        <v>104</v>
      </c>
      <c r="S496" s="6" t="s">
        <v>104</v>
      </c>
      <c r="T496" s="21" t="s">
        <v>104</v>
      </c>
      <c r="U496" s="6" t="s">
        <v>104</v>
      </c>
      <c r="V496" s="6" t="s">
        <v>104</v>
      </c>
      <c r="W496" s="6" t="s">
        <v>104</v>
      </c>
      <c r="X496" s="6" t="s">
        <v>104</v>
      </c>
      <c r="Y496" s="21" t="s">
        <v>104</v>
      </c>
      <c r="Z496" s="6" t="s">
        <v>104</v>
      </c>
      <c r="AA496" s="6" t="s">
        <v>104</v>
      </c>
      <c r="AB496" s="6" t="s">
        <v>104</v>
      </c>
      <c r="AC496" s="6" t="s">
        <v>9714</v>
      </c>
      <c r="AD496" s="16" t="n">
        <v>43544</v>
      </c>
      <c r="AE496" s="6" t="s">
        <v>10968</v>
      </c>
      <c r="AF496" s="6" t="s">
        <v>104</v>
      </c>
      <c r="AG496" s="6" t="s">
        <v>12628</v>
      </c>
      <c r="AH496" s="6" t="s">
        <v>13604</v>
      </c>
      <c r="AI496" s="6" t="s">
        <v>104</v>
      </c>
      <c r="AJ496" s="6" t="s">
        <v>15491</v>
      </c>
      <c r="AK496" s="6" t="s">
        <v>15707</v>
      </c>
      <c r="AL496" s="6" t="s">
        <v>16766</v>
      </c>
      <c r="AM496" s="6" t="s">
        <v>17108</v>
      </c>
      <c r="AN496" s="6" t="s">
        <v>104</v>
      </c>
      <c r="AO496" s="6" t="s">
        <v>104</v>
      </c>
      <c r="AP496" s="6" t="s">
        <v>104</v>
      </c>
      <c r="AQ496" s="6" t="s">
        <v>104</v>
      </c>
      <c r="AR496" s="6" t="s">
        <v>104</v>
      </c>
      <c r="AS496" s="6" t="s">
        <v>104</v>
      </c>
      <c r="AT496" s="6" t="s">
        <v>104</v>
      </c>
      <c r="AU496" s="6" t="s">
        <v>104</v>
      </c>
      <c r="AV496" s="6" t="s">
        <v>104</v>
      </c>
      <c r="AW496" s="6" t="s">
        <v>104</v>
      </c>
      <c r="AX496" s="6" t="s">
        <v>104</v>
      </c>
      <c r="AY496" s="6" t="s">
        <v>21888</v>
      </c>
      <c r="AZ496" s="6" t="s">
        <v>104</v>
      </c>
      <c r="BA496" s="6" t="s">
        <v>24258</v>
      </c>
      <c r="BB496" s="6" t="s">
        <v>104</v>
      </c>
      <c r="BC496" s="26"/>
      <c r="BD496" s="26"/>
      <c r="BE496" s="26"/>
      <c r="BF496" s="26"/>
      <c r="BG496" s="26"/>
      <c r="BH496" s="26"/>
      <c r="BI496" s="26"/>
      <c r="BJ496" s="26"/>
      <c r="BK496" s="26"/>
      <c r="BL496" s="26"/>
      <c r="BM496" s="26"/>
      <c r="BN496" s="26"/>
      <c r="BO496" s="26"/>
      <c r="BP496" s="16" t="n">
        <v>45737</v>
      </c>
      <c r="BQ496" s="28" t="str">
        <f>HYPERLINK("https://organic.ams.usda.gov/Integrity/Certificate.aspx?cid=32&amp;nopid=2230007239")</f>
        <v>https://organic.ams.usda.gov/Integrity/Certificate.aspx?cid=32&amp;nopid=2230007239</v>
      </c>
    </row>
    <row r="497">
      <c r="A497" t="s">
        <v>3</v>
      </c>
      <c r="B497" s="6" t="s">
        <v>6</v>
      </c>
      <c r="C497" s="6" t="s">
        <v>72</v>
      </c>
      <c r="D497" s="6" t="s">
        <v>137</v>
      </c>
      <c r="E497" s="10" t="s">
        <v>695</v>
      </c>
      <c r="F497" s="6" t="s">
        <v>2949</v>
      </c>
      <c r="G497" s="6" t="s">
        <v>104</v>
      </c>
      <c r="H497" s="6" t="s">
        <v>5339</v>
      </c>
      <c r="I497" s="6" t="s">
        <v>7271</v>
      </c>
      <c r="J497" s="6" t="s">
        <v>8522</v>
      </c>
      <c r="K497" s="6" t="s">
        <v>9714</v>
      </c>
      <c r="L497" s="16" t="n">
        <v>43343</v>
      </c>
      <c r="M497" s="16" t="n">
        <v>45988</v>
      </c>
      <c r="N497" s="6" t="s">
        <v>104</v>
      </c>
      <c r="O497" s="21" t="s">
        <v>104</v>
      </c>
      <c r="P497" s="6" t="s">
        <v>104</v>
      </c>
      <c r="Q497" s="6" t="s">
        <v>104</v>
      </c>
      <c r="R497" s="6" t="s">
        <v>104</v>
      </c>
      <c r="S497" s="6" t="s">
        <v>104</v>
      </c>
      <c r="T497" s="21" t="s">
        <v>104</v>
      </c>
      <c r="U497" s="6" t="s">
        <v>104</v>
      </c>
      <c r="V497" s="6" t="s">
        <v>104</v>
      </c>
      <c r="W497" s="6" t="s">
        <v>104</v>
      </c>
      <c r="X497" s="6" t="s">
        <v>104</v>
      </c>
      <c r="Y497" s="21" t="s">
        <v>104</v>
      </c>
      <c r="Z497" s="6" t="s">
        <v>104</v>
      </c>
      <c r="AA497" s="6" t="s">
        <v>104</v>
      </c>
      <c r="AB497" s="6" t="s">
        <v>104</v>
      </c>
      <c r="AC497" s="6" t="s">
        <v>9714</v>
      </c>
      <c r="AD497" s="16" t="n">
        <v>43343</v>
      </c>
      <c r="AE497" s="6" t="s">
        <v>10969</v>
      </c>
      <c r="AF497" s="6" t="s">
        <v>104</v>
      </c>
      <c r="AG497" s="6" t="s">
        <v>12629</v>
      </c>
      <c r="AH497" s="6" t="s">
        <v>13605</v>
      </c>
      <c r="AI497" s="6" t="s">
        <v>104</v>
      </c>
      <c r="AJ497" s="6" t="s">
        <v>15554</v>
      </c>
      <c r="AK497" s="6" t="s">
        <v>15707</v>
      </c>
      <c r="AL497" s="6" t="s">
        <v>16766</v>
      </c>
      <c r="AM497" s="6" t="s">
        <v>104</v>
      </c>
      <c r="AN497" s="6" t="s">
        <v>104</v>
      </c>
      <c r="AO497" s="6" t="s">
        <v>104</v>
      </c>
      <c r="AP497" s="6" t="s">
        <v>104</v>
      </c>
      <c r="AQ497" s="6" t="s">
        <v>104</v>
      </c>
      <c r="AR497" s="6" t="s">
        <v>104</v>
      </c>
      <c r="AS497" s="6" t="s">
        <v>104</v>
      </c>
      <c r="AT497" s="6" t="s">
        <v>104</v>
      </c>
      <c r="AU497" s="6" t="s">
        <v>104</v>
      </c>
      <c r="AV497" s="6" t="s">
        <v>104</v>
      </c>
      <c r="AW497" s="6" t="s">
        <v>104</v>
      </c>
      <c r="AX497" s="6" t="s">
        <v>20514</v>
      </c>
      <c r="AY497" s="6" t="s">
        <v>22278</v>
      </c>
      <c r="AZ497" s="6" t="s">
        <v>104</v>
      </c>
      <c r="BA497" s="6" t="s">
        <v>24258</v>
      </c>
      <c r="BB497" s="6" t="s">
        <v>104</v>
      </c>
      <c r="BC497" s="26"/>
      <c r="BD497" s="26"/>
      <c r="BE497" s="26"/>
      <c r="BF497" s="26"/>
      <c r="BG497" s="26"/>
      <c r="BH497" s="26"/>
      <c r="BI497" s="26"/>
      <c r="BJ497" s="26"/>
      <c r="BK497" s="26"/>
      <c r="BL497" s="26"/>
      <c r="BM497" s="26"/>
      <c r="BN497" s="26"/>
      <c r="BO497" s="26"/>
      <c r="BP497" s="16" t="n">
        <v>45737</v>
      </c>
      <c r="BQ497" s="28" t="str">
        <f>HYPERLINK("https://organic.ams.usda.gov/Integrity/Certificate.aspx?cid=32&amp;nopid=2230008083")</f>
        <v>https://organic.ams.usda.gov/Integrity/Certificate.aspx?cid=32&amp;nopid=2230008083</v>
      </c>
    </row>
    <row r="498">
      <c r="A498" t="s">
        <v>3</v>
      </c>
      <c r="B498" s="6" t="s">
        <v>6</v>
      </c>
      <c r="C498" s="6" t="s">
        <v>72</v>
      </c>
      <c r="D498" s="6" t="s">
        <v>137</v>
      </c>
      <c r="E498" s="10" t="s">
        <v>696</v>
      </c>
      <c r="F498" s="6" t="s">
        <v>2950</v>
      </c>
      <c r="G498" s="6" t="s">
        <v>104</v>
      </c>
      <c r="H498" s="6" t="s">
        <v>5340</v>
      </c>
      <c r="I498" s="6" t="s">
        <v>7271</v>
      </c>
      <c r="J498" s="6" t="s">
        <v>8522</v>
      </c>
      <c r="K498" s="6" t="s">
        <v>9714</v>
      </c>
      <c r="L498" s="16" t="n">
        <v>45559</v>
      </c>
      <c r="M498" s="16" t="n">
        <v>45841</v>
      </c>
      <c r="N498" s="6" t="s">
        <v>104</v>
      </c>
      <c r="O498" s="21" t="s">
        <v>104</v>
      </c>
      <c r="P498" s="6" t="s">
        <v>104</v>
      </c>
      <c r="Q498" s="6" t="s">
        <v>104</v>
      </c>
      <c r="R498" s="6" t="s">
        <v>104</v>
      </c>
      <c r="S498" s="6" t="s">
        <v>104</v>
      </c>
      <c r="T498" s="21" t="s">
        <v>104</v>
      </c>
      <c r="U498" s="6" t="s">
        <v>104</v>
      </c>
      <c r="V498" s="6" t="s">
        <v>104</v>
      </c>
      <c r="W498" s="6" t="s">
        <v>104</v>
      </c>
      <c r="X498" s="6" t="s">
        <v>104</v>
      </c>
      <c r="Y498" s="21" t="s">
        <v>104</v>
      </c>
      <c r="Z498" s="6" t="s">
        <v>104</v>
      </c>
      <c r="AA498" s="6" t="s">
        <v>104</v>
      </c>
      <c r="AB498" s="6" t="s">
        <v>104</v>
      </c>
      <c r="AC498" s="6" t="s">
        <v>9714</v>
      </c>
      <c r="AD498" s="16" t="n">
        <v>45559</v>
      </c>
      <c r="AE498" s="6" t="s">
        <v>10970</v>
      </c>
      <c r="AF498" s="6" t="s">
        <v>104</v>
      </c>
      <c r="AG498" s="6" t="s">
        <v>12630</v>
      </c>
      <c r="AH498" s="6" t="s">
        <v>13606</v>
      </c>
      <c r="AI498" s="6" t="s">
        <v>104</v>
      </c>
      <c r="AJ498" s="6" t="s">
        <v>15515</v>
      </c>
      <c r="AK498" s="6" t="s">
        <v>16741</v>
      </c>
      <c r="AL498" s="6" t="s">
        <v>16766</v>
      </c>
      <c r="AM498" s="6" t="s">
        <v>17330</v>
      </c>
      <c r="AN498" s="6" t="s">
        <v>104</v>
      </c>
      <c r="AO498" s="6" t="s">
        <v>104</v>
      </c>
      <c r="AP498" s="6" t="s">
        <v>104</v>
      </c>
      <c r="AQ498" s="6" t="s">
        <v>104</v>
      </c>
      <c r="AR498" s="6" t="s">
        <v>104</v>
      </c>
      <c r="AS498" s="6" t="s">
        <v>104</v>
      </c>
      <c r="AT498" s="6" t="s">
        <v>104</v>
      </c>
      <c r="AU498" s="6" t="s">
        <v>104</v>
      </c>
      <c r="AV498" s="6" t="s">
        <v>104</v>
      </c>
      <c r="AW498" s="6" t="s">
        <v>104</v>
      </c>
      <c r="AX498" s="6" t="s">
        <v>20515</v>
      </c>
      <c r="AY498" s="6" t="s">
        <v>22278</v>
      </c>
      <c r="AZ498" s="6" t="s">
        <v>104</v>
      </c>
      <c r="BA498" s="6" t="s">
        <v>24258</v>
      </c>
      <c r="BB498" s="6" t="s">
        <v>104</v>
      </c>
      <c r="BC498" s="26"/>
      <c r="BD498" s="26"/>
      <c r="BE498" s="26"/>
      <c r="BF498" s="26"/>
      <c r="BG498" s="26"/>
      <c r="BH498" s="26"/>
      <c r="BI498" s="26"/>
      <c r="BJ498" s="26"/>
      <c r="BK498" s="26"/>
      <c r="BL498" s="26"/>
      <c r="BM498" s="26"/>
      <c r="BN498" s="26"/>
      <c r="BO498" s="26"/>
      <c r="BP498" s="16" t="n">
        <v>45737</v>
      </c>
      <c r="BQ498" s="28" t="str">
        <f>HYPERLINK("https://organic.ams.usda.gov/Integrity/Certificate.aspx?cid=32&amp;nopid=2230011481")</f>
        <v>https://organic.ams.usda.gov/Integrity/Certificate.aspx?cid=32&amp;nopid=2230011481</v>
      </c>
    </row>
    <row r="499">
      <c r="A499" t="s">
        <v>3</v>
      </c>
      <c r="B499" s="6" t="s">
        <v>6</v>
      </c>
      <c r="C499" s="6" t="s">
        <v>72</v>
      </c>
      <c r="D499" s="6" t="s">
        <v>137</v>
      </c>
      <c r="E499" s="10" t="s">
        <v>697</v>
      </c>
      <c r="F499" s="6" t="s">
        <v>2951</v>
      </c>
      <c r="G499" s="6" t="s">
        <v>104</v>
      </c>
      <c r="H499" s="6" t="s">
        <v>5341</v>
      </c>
      <c r="I499" s="6" t="s">
        <v>7272</v>
      </c>
      <c r="J499" s="6" t="s">
        <v>7273</v>
      </c>
      <c r="K499" s="6" t="s">
        <v>9714</v>
      </c>
      <c r="L499" s="16" t="n">
        <v>44806</v>
      </c>
      <c r="M499" s="16" t="n">
        <v>45819</v>
      </c>
      <c r="N499" s="6" t="s">
        <v>104</v>
      </c>
      <c r="O499" s="21" t="s">
        <v>104</v>
      </c>
      <c r="P499" s="6" t="s">
        <v>104</v>
      </c>
      <c r="Q499" s="6" t="s">
        <v>104</v>
      </c>
      <c r="R499" s="6" t="s">
        <v>104</v>
      </c>
      <c r="S499" s="6" t="s">
        <v>104</v>
      </c>
      <c r="T499" s="21" t="s">
        <v>104</v>
      </c>
      <c r="U499" s="6" t="s">
        <v>104</v>
      </c>
      <c r="V499" s="6" t="s">
        <v>104</v>
      </c>
      <c r="W499" s="6" t="s">
        <v>104</v>
      </c>
      <c r="X499" s="6" t="s">
        <v>104</v>
      </c>
      <c r="Y499" s="21" t="s">
        <v>104</v>
      </c>
      <c r="Z499" s="6" t="s">
        <v>104</v>
      </c>
      <c r="AA499" s="6" t="s">
        <v>104</v>
      </c>
      <c r="AB499" s="6" t="s">
        <v>104</v>
      </c>
      <c r="AC499" s="6" t="s">
        <v>9714</v>
      </c>
      <c r="AD499" s="16" t="n">
        <v>44806</v>
      </c>
      <c r="AE499" s="6" t="s">
        <v>10971</v>
      </c>
      <c r="AF499" s="6" t="s">
        <v>104</v>
      </c>
      <c r="AG499" s="6" t="s">
        <v>12631</v>
      </c>
      <c r="AH499" s="6" t="s">
        <v>13607</v>
      </c>
      <c r="AI499" s="6" t="s">
        <v>104</v>
      </c>
      <c r="AJ499" s="6" t="s">
        <v>15491</v>
      </c>
      <c r="AK499" s="6" t="s">
        <v>16779</v>
      </c>
      <c r="AL499" s="6" t="s">
        <v>16766</v>
      </c>
      <c r="AM499" s="6" t="s">
        <v>17331</v>
      </c>
      <c r="AN499" s="6" t="s">
        <v>104</v>
      </c>
      <c r="AO499" s="6" t="s">
        <v>104</v>
      </c>
      <c r="AP499" s="6" t="s">
        <v>104</v>
      </c>
      <c r="AQ499" s="6" t="s">
        <v>104</v>
      </c>
      <c r="AR499" s="6" t="s">
        <v>104</v>
      </c>
      <c r="AS499" s="6" t="s">
        <v>104</v>
      </c>
      <c r="AT499" s="6" t="s">
        <v>104</v>
      </c>
      <c r="AU499" s="6" t="s">
        <v>104</v>
      </c>
      <c r="AV499" s="6" t="s">
        <v>104</v>
      </c>
      <c r="AW499" s="6" t="s">
        <v>104</v>
      </c>
      <c r="AX499" s="6" t="s">
        <v>104</v>
      </c>
      <c r="AY499" s="6" t="s">
        <v>22279</v>
      </c>
      <c r="AZ499" s="6" t="s">
        <v>104</v>
      </c>
      <c r="BA499" s="6" t="s">
        <v>24258</v>
      </c>
      <c r="BB499" s="6" t="s">
        <v>104</v>
      </c>
      <c r="BC499" s="26"/>
      <c r="BD499" s="26"/>
      <c r="BE499" s="26"/>
      <c r="BF499" s="26"/>
      <c r="BG499" s="26"/>
      <c r="BH499" s="26"/>
      <c r="BI499" s="26"/>
      <c r="BJ499" s="26"/>
      <c r="BK499" s="26"/>
      <c r="BL499" s="26"/>
      <c r="BM499" s="26"/>
      <c r="BN499" s="26"/>
      <c r="BO499" s="26"/>
      <c r="BP499" s="16" t="n">
        <v>45737</v>
      </c>
      <c r="BQ499" s="28" t="str">
        <f>HYPERLINK("https://organic.ams.usda.gov/Integrity/Certificate.aspx?cid=32&amp;nopid=2230009716")</f>
        <v>https://organic.ams.usda.gov/Integrity/Certificate.aspx?cid=32&amp;nopid=2230009716</v>
      </c>
    </row>
    <row r="500">
      <c r="A500" t="s">
        <v>3</v>
      </c>
      <c r="B500" s="6" t="s">
        <v>6</v>
      </c>
      <c r="C500" s="6" t="s">
        <v>72</v>
      </c>
      <c r="D500" s="6" t="s">
        <v>137</v>
      </c>
      <c r="E500" s="10" t="s">
        <v>698</v>
      </c>
      <c r="F500" s="6" t="s">
        <v>2952</v>
      </c>
      <c r="G500" s="6" t="s">
        <v>104</v>
      </c>
      <c r="H500" s="6" t="s">
        <v>5342</v>
      </c>
      <c r="I500" s="6" t="s">
        <v>7093</v>
      </c>
      <c r="J500" s="6" t="s">
        <v>8523</v>
      </c>
      <c r="K500" s="6" t="s">
        <v>9714</v>
      </c>
      <c r="L500" s="16" t="n">
        <v>44145</v>
      </c>
      <c r="M500" s="16" t="n">
        <v>45835</v>
      </c>
      <c r="N500" s="6" t="s">
        <v>104</v>
      </c>
      <c r="O500" s="21" t="s">
        <v>104</v>
      </c>
      <c r="P500" s="6" t="s">
        <v>104</v>
      </c>
      <c r="Q500" s="6" t="s">
        <v>104</v>
      </c>
      <c r="R500" s="6" t="s">
        <v>104</v>
      </c>
      <c r="S500" s="6" t="s">
        <v>104</v>
      </c>
      <c r="T500" s="21" t="s">
        <v>104</v>
      </c>
      <c r="U500" s="6" t="s">
        <v>104</v>
      </c>
      <c r="V500" s="6" t="s">
        <v>104</v>
      </c>
      <c r="W500" s="6" t="s">
        <v>104</v>
      </c>
      <c r="X500" s="6" t="s">
        <v>104</v>
      </c>
      <c r="Y500" s="21" t="s">
        <v>104</v>
      </c>
      <c r="Z500" s="6" t="s">
        <v>104</v>
      </c>
      <c r="AA500" s="6" t="s">
        <v>104</v>
      </c>
      <c r="AB500" s="6" t="s">
        <v>104</v>
      </c>
      <c r="AC500" s="6" t="s">
        <v>9714</v>
      </c>
      <c r="AD500" s="16" t="n">
        <v>44145</v>
      </c>
      <c r="AE500" s="6" t="s">
        <v>10972</v>
      </c>
      <c r="AF500" s="6" t="s">
        <v>104</v>
      </c>
      <c r="AG500" s="6" t="s">
        <v>12632</v>
      </c>
      <c r="AH500" s="6" t="s">
        <v>13608</v>
      </c>
      <c r="AI500" s="6" t="s">
        <v>104</v>
      </c>
      <c r="AJ500" s="6" t="s">
        <v>15554</v>
      </c>
      <c r="AK500" s="6" t="s">
        <v>15707</v>
      </c>
      <c r="AL500" s="6" t="s">
        <v>16766</v>
      </c>
      <c r="AM500" s="6" t="s">
        <v>104</v>
      </c>
      <c r="AN500" s="6" t="s">
        <v>104</v>
      </c>
      <c r="AO500" s="6" t="s">
        <v>104</v>
      </c>
      <c r="AP500" s="6" t="s">
        <v>104</v>
      </c>
      <c r="AQ500" s="6" t="s">
        <v>104</v>
      </c>
      <c r="AR500" s="6" t="s">
        <v>104</v>
      </c>
      <c r="AS500" s="6" t="s">
        <v>104</v>
      </c>
      <c r="AT500" s="6" t="s">
        <v>104</v>
      </c>
      <c r="AU500" s="6" t="s">
        <v>104</v>
      </c>
      <c r="AV500" s="6" t="s">
        <v>104</v>
      </c>
      <c r="AW500" s="6" t="s">
        <v>104</v>
      </c>
      <c r="AX500" s="6" t="s">
        <v>20335</v>
      </c>
      <c r="AY500" s="6" t="s">
        <v>22279</v>
      </c>
      <c r="AZ500" s="6" t="s">
        <v>104</v>
      </c>
      <c r="BA500" s="6" t="s">
        <v>24258</v>
      </c>
      <c r="BB500" s="6" t="s">
        <v>104</v>
      </c>
      <c r="BC500" s="26"/>
      <c r="BD500" s="26"/>
      <c r="BE500" s="26"/>
      <c r="BF500" s="26"/>
      <c r="BG500" s="26"/>
      <c r="BH500" s="26"/>
      <c r="BI500" s="26"/>
      <c r="BJ500" s="26"/>
      <c r="BK500" s="26"/>
      <c r="BL500" s="26"/>
      <c r="BM500" s="26"/>
      <c r="BN500" s="26"/>
      <c r="BO500" s="26"/>
      <c r="BP500" s="16" t="n">
        <v>45737</v>
      </c>
      <c r="BQ500" s="28" t="str">
        <f>HYPERLINK("https://organic.ams.usda.gov/Integrity/Certificate.aspx?cid=32&amp;nopid=2230008039")</f>
        <v>https://organic.ams.usda.gov/Integrity/Certificate.aspx?cid=32&amp;nopid=2230008039</v>
      </c>
    </row>
    <row r="501">
      <c r="A501" t="s">
        <v>3</v>
      </c>
      <c r="B501" s="6" t="s">
        <v>6</v>
      </c>
      <c r="C501" s="6" t="s">
        <v>72</v>
      </c>
      <c r="D501" s="6" t="s">
        <v>137</v>
      </c>
      <c r="E501" s="10" t="s">
        <v>699</v>
      </c>
      <c r="F501" s="6" t="s">
        <v>2953</v>
      </c>
      <c r="G501" s="6" t="s">
        <v>104</v>
      </c>
      <c r="H501" s="6" t="s">
        <v>5343</v>
      </c>
      <c r="I501" s="6" t="s">
        <v>7273</v>
      </c>
      <c r="J501" s="6" t="s">
        <v>8524</v>
      </c>
      <c r="K501" s="6" t="s">
        <v>9714</v>
      </c>
      <c r="L501" s="16" t="n">
        <v>45730</v>
      </c>
      <c r="M501" s="16" t="n">
        <v>45950</v>
      </c>
      <c r="N501" s="6" t="s">
        <v>104</v>
      </c>
      <c r="O501" s="21" t="s">
        <v>104</v>
      </c>
      <c r="P501" s="6" t="s">
        <v>104</v>
      </c>
      <c r="Q501" s="6" t="s">
        <v>104</v>
      </c>
      <c r="R501" s="6" t="s">
        <v>104</v>
      </c>
      <c r="S501" s="6" t="s">
        <v>104</v>
      </c>
      <c r="T501" s="21" t="s">
        <v>104</v>
      </c>
      <c r="U501" s="6" t="s">
        <v>104</v>
      </c>
      <c r="V501" s="6" t="s">
        <v>104</v>
      </c>
      <c r="W501" s="6" t="s">
        <v>104</v>
      </c>
      <c r="X501" s="6" t="s">
        <v>104</v>
      </c>
      <c r="Y501" s="21" t="s">
        <v>104</v>
      </c>
      <c r="Z501" s="6" t="s">
        <v>104</v>
      </c>
      <c r="AA501" s="6" t="s">
        <v>104</v>
      </c>
      <c r="AB501" s="6" t="s">
        <v>104</v>
      </c>
      <c r="AC501" s="6" t="s">
        <v>9714</v>
      </c>
      <c r="AD501" s="16" t="n">
        <v>45730</v>
      </c>
      <c r="AE501" s="6" t="s">
        <v>10973</v>
      </c>
      <c r="AF501" s="6" t="s">
        <v>104</v>
      </c>
      <c r="AG501" s="6" t="s">
        <v>12633</v>
      </c>
      <c r="AH501" s="6" t="s">
        <v>13609</v>
      </c>
      <c r="AI501" s="6" t="s">
        <v>104</v>
      </c>
      <c r="AJ501" s="6" t="s">
        <v>15491</v>
      </c>
      <c r="AK501" s="6" t="s">
        <v>16779</v>
      </c>
      <c r="AL501" s="6" t="s">
        <v>16766</v>
      </c>
      <c r="AM501" s="6" t="s">
        <v>104</v>
      </c>
      <c r="AN501" s="6" t="s">
        <v>104</v>
      </c>
      <c r="AO501" s="6" t="s">
        <v>104</v>
      </c>
      <c r="AP501" s="6" t="s">
        <v>104</v>
      </c>
      <c r="AQ501" s="6" t="s">
        <v>104</v>
      </c>
      <c r="AR501" s="6" t="s">
        <v>104</v>
      </c>
      <c r="AS501" s="6" t="s">
        <v>104</v>
      </c>
      <c r="AT501" s="6" t="s">
        <v>104</v>
      </c>
      <c r="AU501" s="6" t="s">
        <v>104</v>
      </c>
      <c r="AV501" s="6" t="s">
        <v>104</v>
      </c>
      <c r="AW501" s="6" t="s">
        <v>104</v>
      </c>
      <c r="AX501" s="6" t="s">
        <v>104</v>
      </c>
      <c r="AY501" s="6" t="s">
        <v>22280</v>
      </c>
      <c r="AZ501" s="6" t="s">
        <v>104</v>
      </c>
      <c r="BA501" s="6" t="s">
        <v>24258</v>
      </c>
      <c r="BB501" s="6" t="s">
        <v>104</v>
      </c>
      <c r="BC501" s="26"/>
      <c r="BD501" s="26"/>
      <c r="BE501" s="26"/>
      <c r="BF501" s="26"/>
      <c r="BG501" s="26"/>
      <c r="BH501" s="26"/>
      <c r="BI501" s="26"/>
      <c r="BJ501" s="26"/>
      <c r="BK501" s="26"/>
      <c r="BL501" s="26"/>
      <c r="BM501" s="26"/>
      <c r="BN501" s="26"/>
      <c r="BO501" s="26"/>
      <c r="BP501" s="16" t="n">
        <v>45737</v>
      </c>
      <c r="BQ501" s="28" t="str">
        <f>HYPERLINK("https://organic.ams.usda.gov/Integrity/Certificate.aspx?cid=32&amp;nopid=2230012047")</f>
        <v>https://organic.ams.usda.gov/Integrity/Certificate.aspx?cid=32&amp;nopid=2230012047</v>
      </c>
    </row>
    <row r="502">
      <c r="A502" t="s">
        <v>3</v>
      </c>
      <c r="B502" s="6" t="s">
        <v>6</v>
      </c>
      <c r="C502" s="6" t="s">
        <v>72</v>
      </c>
      <c r="D502" s="6" t="s">
        <v>137</v>
      </c>
      <c r="E502" s="10" t="s">
        <v>700</v>
      </c>
      <c r="F502" s="6" t="s">
        <v>2954</v>
      </c>
      <c r="G502" s="6" t="s">
        <v>104</v>
      </c>
      <c r="H502" s="6" t="s">
        <v>5344</v>
      </c>
      <c r="I502" s="6" t="s">
        <v>7274</v>
      </c>
      <c r="J502" s="6" t="s">
        <v>8525</v>
      </c>
      <c r="K502" s="6" t="s">
        <v>9714</v>
      </c>
      <c r="L502" s="16" t="n">
        <v>41699</v>
      </c>
      <c r="M502" s="16" t="n">
        <v>45712</v>
      </c>
      <c r="N502" s="6" t="s">
        <v>104</v>
      </c>
      <c r="O502" s="21" t="s">
        <v>104</v>
      </c>
      <c r="P502" s="6" t="s">
        <v>104</v>
      </c>
      <c r="Q502" s="6" t="s">
        <v>104</v>
      </c>
      <c r="R502" s="6" t="s">
        <v>104</v>
      </c>
      <c r="S502" s="6" t="s">
        <v>104</v>
      </c>
      <c r="T502" s="21" t="s">
        <v>104</v>
      </c>
      <c r="U502" s="6" t="s">
        <v>104</v>
      </c>
      <c r="V502" s="6" t="s">
        <v>104</v>
      </c>
      <c r="W502" s="6" t="s">
        <v>104</v>
      </c>
      <c r="X502" s="6" t="s">
        <v>104</v>
      </c>
      <c r="Y502" s="21" t="s">
        <v>104</v>
      </c>
      <c r="Z502" s="6" t="s">
        <v>104</v>
      </c>
      <c r="AA502" s="6" t="s">
        <v>104</v>
      </c>
      <c r="AB502" s="6" t="s">
        <v>104</v>
      </c>
      <c r="AC502" s="6" t="s">
        <v>9714</v>
      </c>
      <c r="AD502" s="16" t="n">
        <v>41699</v>
      </c>
      <c r="AE502" s="6" t="s">
        <v>10974</v>
      </c>
      <c r="AF502" s="6" t="s">
        <v>104</v>
      </c>
      <c r="AG502" s="6" t="s">
        <v>12634</v>
      </c>
      <c r="AH502" s="6" t="s">
        <v>13610</v>
      </c>
      <c r="AI502" s="6" t="s">
        <v>104</v>
      </c>
      <c r="AJ502" s="6" t="s">
        <v>15707</v>
      </c>
      <c r="AK502" s="6" t="s">
        <v>16766</v>
      </c>
      <c r="AL502" s="6" t="s">
        <v>16766</v>
      </c>
      <c r="AM502" s="6" t="s">
        <v>17332</v>
      </c>
      <c r="AN502" s="6" t="s">
        <v>104</v>
      </c>
      <c r="AO502" s="6" t="s">
        <v>104</v>
      </c>
      <c r="AP502" s="6" t="s">
        <v>104</v>
      </c>
      <c r="AQ502" s="6" t="s">
        <v>104</v>
      </c>
      <c r="AR502" s="6" t="s">
        <v>104</v>
      </c>
      <c r="AS502" s="6" t="s">
        <v>104</v>
      </c>
      <c r="AT502" s="6" t="s">
        <v>104</v>
      </c>
      <c r="AU502" s="6" t="s">
        <v>104</v>
      </c>
      <c r="AV502" s="6" t="s">
        <v>104</v>
      </c>
      <c r="AW502" s="6" t="s">
        <v>104</v>
      </c>
      <c r="AX502" s="6" t="s">
        <v>104</v>
      </c>
      <c r="AY502" s="6" t="s">
        <v>22279</v>
      </c>
      <c r="AZ502" s="6" t="s">
        <v>104</v>
      </c>
      <c r="BA502" s="6" t="s">
        <v>24258</v>
      </c>
      <c r="BB502" s="6" t="s">
        <v>104</v>
      </c>
      <c r="BC502" s="26"/>
      <c r="BD502" s="26"/>
      <c r="BE502" s="26"/>
      <c r="BF502" s="26"/>
      <c r="BG502" s="26"/>
      <c r="BH502" s="26"/>
      <c r="BI502" s="26"/>
      <c r="BJ502" s="26"/>
      <c r="BK502" s="26"/>
      <c r="BL502" s="26"/>
      <c r="BM502" s="26"/>
      <c r="BN502" s="26"/>
      <c r="BO502" s="26"/>
      <c r="BP502" s="16" t="n">
        <v>45737</v>
      </c>
      <c r="BQ502" s="28" t="str">
        <f>HYPERLINK("https://organic.ams.usda.gov/Integrity/Certificate.aspx?cid=32&amp;nopid=2230003894")</f>
        <v>https://organic.ams.usda.gov/Integrity/Certificate.aspx?cid=32&amp;nopid=2230003894</v>
      </c>
    </row>
    <row r="503">
      <c r="A503" t="s">
        <v>3</v>
      </c>
      <c r="B503" s="6" t="s">
        <v>6</v>
      </c>
      <c r="C503" s="6" t="s">
        <v>72</v>
      </c>
      <c r="D503" s="6" t="s">
        <v>137</v>
      </c>
      <c r="E503" s="10" t="s">
        <v>701</v>
      </c>
      <c r="F503" s="6" t="s">
        <v>2955</v>
      </c>
      <c r="G503" s="6" t="s">
        <v>104</v>
      </c>
      <c r="H503" s="6" t="s">
        <v>5345</v>
      </c>
      <c r="I503" s="6" t="s">
        <v>7275</v>
      </c>
      <c r="J503" s="6" t="s">
        <v>8526</v>
      </c>
      <c r="K503" s="6" t="s">
        <v>9714</v>
      </c>
      <c r="L503" s="16" t="n">
        <v>44656</v>
      </c>
      <c r="M503" s="16" t="n">
        <v>45946</v>
      </c>
      <c r="N503" s="6" t="s">
        <v>104</v>
      </c>
      <c r="O503" s="21" t="s">
        <v>104</v>
      </c>
      <c r="P503" s="6" t="s">
        <v>104</v>
      </c>
      <c r="Q503" s="6" t="s">
        <v>104</v>
      </c>
      <c r="R503" s="6" t="s">
        <v>104</v>
      </c>
      <c r="S503" s="6" t="s">
        <v>104</v>
      </c>
      <c r="T503" s="21" t="s">
        <v>104</v>
      </c>
      <c r="U503" s="6" t="s">
        <v>104</v>
      </c>
      <c r="V503" s="6" t="s">
        <v>104</v>
      </c>
      <c r="W503" s="6" t="s">
        <v>104</v>
      </c>
      <c r="X503" s="6" t="s">
        <v>104</v>
      </c>
      <c r="Y503" s="21" t="s">
        <v>104</v>
      </c>
      <c r="Z503" s="6" t="s">
        <v>104</v>
      </c>
      <c r="AA503" s="6" t="s">
        <v>104</v>
      </c>
      <c r="AB503" s="6" t="s">
        <v>104</v>
      </c>
      <c r="AC503" s="6" t="s">
        <v>9714</v>
      </c>
      <c r="AD503" s="16" t="n">
        <v>44656</v>
      </c>
      <c r="AE503" s="6" t="s">
        <v>10975</v>
      </c>
      <c r="AF503" s="6" t="s">
        <v>104</v>
      </c>
      <c r="AG503" s="6" t="s">
        <v>12635</v>
      </c>
      <c r="AH503" s="6" t="s">
        <v>13611</v>
      </c>
      <c r="AI503" s="6" t="s">
        <v>104</v>
      </c>
      <c r="AJ503" s="6" t="s">
        <v>15491</v>
      </c>
      <c r="AK503" s="6" t="s">
        <v>104</v>
      </c>
      <c r="AL503" s="6" t="s">
        <v>16766</v>
      </c>
      <c r="AM503" s="6" t="s">
        <v>104</v>
      </c>
      <c r="AN503" s="6" t="s">
        <v>104</v>
      </c>
      <c r="AO503" s="6" t="s">
        <v>104</v>
      </c>
      <c r="AP503" s="6" t="s">
        <v>104</v>
      </c>
      <c r="AQ503" s="6" t="s">
        <v>104</v>
      </c>
      <c r="AR503" s="6" t="s">
        <v>104</v>
      </c>
      <c r="AS503" s="6" t="s">
        <v>104</v>
      </c>
      <c r="AT503" s="6" t="s">
        <v>104</v>
      </c>
      <c r="AU503" s="6" t="s">
        <v>104</v>
      </c>
      <c r="AV503" s="6" t="s">
        <v>104</v>
      </c>
      <c r="AW503" s="6" t="s">
        <v>104</v>
      </c>
      <c r="AX503" s="6" t="s">
        <v>20516</v>
      </c>
      <c r="AY503" s="6" t="s">
        <v>22281</v>
      </c>
      <c r="AZ503" s="6" t="s">
        <v>104</v>
      </c>
      <c r="BA503" s="6" t="s">
        <v>104</v>
      </c>
      <c r="BB503" s="6" t="s">
        <v>104</v>
      </c>
      <c r="BC503" s="26"/>
      <c r="BD503" s="26"/>
      <c r="BE503" s="26"/>
      <c r="BF503" s="26"/>
      <c r="BG503" s="26"/>
      <c r="BH503" s="26"/>
      <c r="BI503" s="26"/>
      <c r="BJ503" s="26"/>
      <c r="BK503" s="26"/>
      <c r="BL503" s="26"/>
      <c r="BM503" s="26"/>
      <c r="BN503" s="26"/>
      <c r="BO503" s="26"/>
      <c r="BP503" s="16" t="n">
        <v>45737</v>
      </c>
      <c r="BQ503" s="28" t="str">
        <f>HYPERLINK("https://organic.ams.usda.gov/Integrity/Certificate.aspx?cid=32&amp;nopid=2230009274")</f>
        <v>https://organic.ams.usda.gov/Integrity/Certificate.aspx?cid=32&amp;nopid=2230009274</v>
      </c>
    </row>
    <row r="504">
      <c r="A504" t="s">
        <v>3</v>
      </c>
      <c r="B504" s="6" t="s">
        <v>6</v>
      </c>
      <c r="C504" s="6" t="s">
        <v>72</v>
      </c>
      <c r="D504" s="6" t="s">
        <v>137</v>
      </c>
      <c r="E504" s="10" t="s">
        <v>702</v>
      </c>
      <c r="F504" s="6" t="s">
        <v>2956</v>
      </c>
      <c r="G504" s="6" t="s">
        <v>104</v>
      </c>
      <c r="H504" s="6" t="s">
        <v>5346</v>
      </c>
      <c r="I504" s="6" t="s">
        <v>7276</v>
      </c>
      <c r="J504" s="6" t="s">
        <v>7417</v>
      </c>
      <c r="K504" s="6" t="s">
        <v>9714</v>
      </c>
      <c r="L504" s="16" t="n">
        <v>43224</v>
      </c>
      <c r="M504" s="16" t="n">
        <v>45966</v>
      </c>
      <c r="N504" s="6" t="s">
        <v>104</v>
      </c>
      <c r="O504" s="21" t="s">
        <v>104</v>
      </c>
      <c r="P504" s="6" t="s">
        <v>104</v>
      </c>
      <c r="Q504" s="6" t="s">
        <v>104</v>
      </c>
      <c r="R504" s="6" t="s">
        <v>104</v>
      </c>
      <c r="S504" s="6" t="s">
        <v>104</v>
      </c>
      <c r="T504" s="21" t="s">
        <v>104</v>
      </c>
      <c r="U504" s="6" t="s">
        <v>104</v>
      </c>
      <c r="V504" s="6" t="s">
        <v>104</v>
      </c>
      <c r="W504" s="6" t="s">
        <v>104</v>
      </c>
      <c r="X504" s="6" t="s">
        <v>104</v>
      </c>
      <c r="Y504" s="21" t="s">
        <v>104</v>
      </c>
      <c r="Z504" s="6" t="s">
        <v>104</v>
      </c>
      <c r="AA504" s="6" t="s">
        <v>104</v>
      </c>
      <c r="AB504" s="6" t="s">
        <v>104</v>
      </c>
      <c r="AC504" s="6" t="s">
        <v>9714</v>
      </c>
      <c r="AD504" s="16" t="n">
        <v>43224</v>
      </c>
      <c r="AE504" s="6" t="s">
        <v>10976</v>
      </c>
      <c r="AF504" s="6" t="s">
        <v>104</v>
      </c>
      <c r="AG504" s="6" t="s">
        <v>12636</v>
      </c>
      <c r="AH504" s="6" t="s">
        <v>13612</v>
      </c>
      <c r="AI504" s="6" t="s">
        <v>104</v>
      </c>
      <c r="AJ504" s="6" t="s">
        <v>15491</v>
      </c>
      <c r="AK504" s="6" t="s">
        <v>15707</v>
      </c>
      <c r="AL504" s="6" t="s">
        <v>16766</v>
      </c>
      <c r="AM504" s="6" t="s">
        <v>104</v>
      </c>
      <c r="AN504" s="6" t="s">
        <v>104</v>
      </c>
      <c r="AO504" s="6" t="s">
        <v>104</v>
      </c>
      <c r="AP504" s="6" t="s">
        <v>104</v>
      </c>
      <c r="AQ504" s="6" t="s">
        <v>104</v>
      </c>
      <c r="AR504" s="6" t="s">
        <v>104</v>
      </c>
      <c r="AS504" s="6" t="s">
        <v>104</v>
      </c>
      <c r="AT504" s="6" t="s">
        <v>104</v>
      </c>
      <c r="AU504" s="6" t="s">
        <v>104</v>
      </c>
      <c r="AV504" s="6" t="s">
        <v>104</v>
      </c>
      <c r="AW504" s="6" t="s">
        <v>104</v>
      </c>
      <c r="AX504" s="6" t="s">
        <v>20517</v>
      </c>
      <c r="AY504" s="6" t="s">
        <v>22282</v>
      </c>
      <c r="AZ504" s="6" t="s">
        <v>104</v>
      </c>
      <c r="BA504" s="6" t="s">
        <v>104</v>
      </c>
      <c r="BB504" s="6" t="s">
        <v>104</v>
      </c>
      <c r="BC504" s="26"/>
      <c r="BD504" s="26"/>
      <c r="BE504" s="26"/>
      <c r="BF504" s="26"/>
      <c r="BG504" s="26"/>
      <c r="BH504" s="26"/>
      <c r="BI504" s="26"/>
      <c r="BJ504" s="26"/>
      <c r="BK504" s="26"/>
      <c r="BL504" s="26"/>
      <c r="BM504" s="26"/>
      <c r="BN504" s="26"/>
      <c r="BO504" s="26"/>
      <c r="BP504" s="16" t="n">
        <v>45737</v>
      </c>
      <c r="BQ504" s="28" t="str">
        <f>HYPERLINK("https://organic.ams.usda.gov/Integrity/Certificate.aspx?cid=32&amp;nopid=2230005740")</f>
        <v>https://organic.ams.usda.gov/Integrity/Certificate.aspx?cid=32&amp;nopid=2230005740</v>
      </c>
    </row>
    <row r="505">
      <c r="A505" t="s">
        <v>3</v>
      </c>
      <c r="B505" s="6" t="s">
        <v>6</v>
      </c>
      <c r="C505" s="6" t="s">
        <v>72</v>
      </c>
      <c r="D505" s="6" t="s">
        <v>137</v>
      </c>
      <c r="E505" s="10" t="s">
        <v>703</v>
      </c>
      <c r="F505" s="6" t="s">
        <v>2957</v>
      </c>
      <c r="G505" s="6" t="s">
        <v>104</v>
      </c>
      <c r="H505" s="6" t="s">
        <v>5347</v>
      </c>
      <c r="I505" s="6" t="s">
        <v>7276</v>
      </c>
      <c r="J505" s="6" t="s">
        <v>7417</v>
      </c>
      <c r="K505" s="6" t="s">
        <v>9714</v>
      </c>
      <c r="L505" s="16" t="n">
        <v>43224</v>
      </c>
      <c r="M505" s="16" t="n">
        <v>45967</v>
      </c>
      <c r="N505" s="6" t="s">
        <v>104</v>
      </c>
      <c r="O505" s="21" t="s">
        <v>104</v>
      </c>
      <c r="P505" s="6" t="s">
        <v>104</v>
      </c>
      <c r="Q505" s="6" t="s">
        <v>104</v>
      </c>
      <c r="R505" s="6" t="s">
        <v>104</v>
      </c>
      <c r="S505" s="6" t="s">
        <v>104</v>
      </c>
      <c r="T505" s="21" t="s">
        <v>104</v>
      </c>
      <c r="U505" s="6" t="s">
        <v>104</v>
      </c>
      <c r="V505" s="6" t="s">
        <v>104</v>
      </c>
      <c r="W505" s="6" t="s">
        <v>104</v>
      </c>
      <c r="X505" s="6" t="s">
        <v>104</v>
      </c>
      <c r="Y505" s="21" t="s">
        <v>104</v>
      </c>
      <c r="Z505" s="6" t="s">
        <v>104</v>
      </c>
      <c r="AA505" s="6" t="s">
        <v>104</v>
      </c>
      <c r="AB505" s="6" t="s">
        <v>104</v>
      </c>
      <c r="AC505" s="6" t="s">
        <v>9714</v>
      </c>
      <c r="AD505" s="16" t="n">
        <v>43224</v>
      </c>
      <c r="AE505" s="6" t="s">
        <v>10976</v>
      </c>
      <c r="AF505" s="6" t="s">
        <v>104</v>
      </c>
      <c r="AG505" s="6" t="s">
        <v>12637</v>
      </c>
      <c r="AH505" s="6" t="s">
        <v>13613</v>
      </c>
      <c r="AI505" s="6" t="s">
        <v>104</v>
      </c>
      <c r="AJ505" s="6" t="s">
        <v>15491</v>
      </c>
      <c r="AK505" s="6" t="s">
        <v>15707</v>
      </c>
      <c r="AL505" s="6" t="s">
        <v>16766</v>
      </c>
      <c r="AM505" s="6" t="s">
        <v>104</v>
      </c>
      <c r="AN505" s="6" t="s">
        <v>104</v>
      </c>
      <c r="AO505" s="6" t="s">
        <v>104</v>
      </c>
      <c r="AP505" s="6" t="s">
        <v>104</v>
      </c>
      <c r="AQ505" s="6" t="s">
        <v>104</v>
      </c>
      <c r="AR505" s="6" t="s">
        <v>104</v>
      </c>
      <c r="AS505" s="6" t="s">
        <v>104</v>
      </c>
      <c r="AT505" s="6" t="s">
        <v>104</v>
      </c>
      <c r="AU505" s="6" t="s">
        <v>104</v>
      </c>
      <c r="AV505" s="6" t="s">
        <v>104</v>
      </c>
      <c r="AW505" s="6" t="s">
        <v>104</v>
      </c>
      <c r="AX505" s="6" t="s">
        <v>20517</v>
      </c>
      <c r="AY505" s="6" t="s">
        <v>22282</v>
      </c>
      <c r="AZ505" s="6" t="s">
        <v>104</v>
      </c>
      <c r="BA505" s="6" t="s">
        <v>104</v>
      </c>
      <c r="BB505" s="6" t="s">
        <v>104</v>
      </c>
      <c r="BC505" s="26"/>
      <c r="BD505" s="26"/>
      <c r="BE505" s="26"/>
      <c r="BF505" s="26"/>
      <c r="BG505" s="26"/>
      <c r="BH505" s="26"/>
      <c r="BI505" s="26"/>
      <c r="BJ505" s="26"/>
      <c r="BK505" s="26"/>
      <c r="BL505" s="26"/>
      <c r="BM505" s="26"/>
      <c r="BN505" s="26"/>
      <c r="BO505" s="26"/>
      <c r="BP505" s="16" t="n">
        <v>45737</v>
      </c>
      <c r="BQ505" s="28" t="str">
        <f>HYPERLINK("https://organic.ams.usda.gov/Integrity/Certificate.aspx?cid=32&amp;nopid=2230008296")</f>
        <v>https://organic.ams.usda.gov/Integrity/Certificate.aspx?cid=32&amp;nopid=2230008296</v>
      </c>
    </row>
    <row r="506">
      <c r="A506" t="s">
        <v>3</v>
      </c>
      <c r="B506" s="6" t="s">
        <v>6</v>
      </c>
      <c r="C506" s="6" t="s">
        <v>72</v>
      </c>
      <c r="D506" s="6" t="s">
        <v>137</v>
      </c>
      <c r="E506" s="10" t="s">
        <v>704</v>
      </c>
      <c r="F506" s="6" t="s">
        <v>2958</v>
      </c>
      <c r="G506" s="6" t="s">
        <v>104</v>
      </c>
      <c r="H506" s="6" t="s">
        <v>5348</v>
      </c>
      <c r="I506" s="6" t="s">
        <v>7277</v>
      </c>
      <c r="J506" s="6" t="s">
        <v>8527</v>
      </c>
      <c r="K506" s="6" t="s">
        <v>9714</v>
      </c>
      <c r="L506" s="16" t="n">
        <v>43818</v>
      </c>
      <c r="M506" s="16" t="n">
        <v>45841</v>
      </c>
      <c r="N506" s="6" t="s">
        <v>104</v>
      </c>
      <c r="O506" s="21" t="s">
        <v>104</v>
      </c>
      <c r="P506" s="6" t="s">
        <v>104</v>
      </c>
      <c r="Q506" s="6" t="s">
        <v>104</v>
      </c>
      <c r="R506" s="6" t="s">
        <v>104</v>
      </c>
      <c r="S506" s="6" t="s">
        <v>104</v>
      </c>
      <c r="T506" s="21" t="s">
        <v>104</v>
      </c>
      <c r="U506" s="6" t="s">
        <v>104</v>
      </c>
      <c r="V506" s="6" t="s">
        <v>104</v>
      </c>
      <c r="W506" s="6" t="s">
        <v>104</v>
      </c>
      <c r="X506" s="6" t="s">
        <v>104</v>
      </c>
      <c r="Y506" s="21" t="s">
        <v>104</v>
      </c>
      <c r="Z506" s="6" t="s">
        <v>104</v>
      </c>
      <c r="AA506" s="6" t="s">
        <v>104</v>
      </c>
      <c r="AB506" s="6" t="s">
        <v>104</v>
      </c>
      <c r="AC506" s="6" t="s">
        <v>9714</v>
      </c>
      <c r="AD506" s="16" t="n">
        <v>43818</v>
      </c>
      <c r="AE506" s="6" t="s">
        <v>10977</v>
      </c>
      <c r="AF506" s="6" t="s">
        <v>104</v>
      </c>
      <c r="AG506" s="6" t="s">
        <v>12638</v>
      </c>
      <c r="AH506" s="6" t="s">
        <v>13614</v>
      </c>
      <c r="AI506" s="6" t="s">
        <v>104</v>
      </c>
      <c r="AJ506" s="6" t="s">
        <v>15491</v>
      </c>
      <c r="AK506" s="6" t="s">
        <v>15707</v>
      </c>
      <c r="AL506" s="6" t="s">
        <v>16766</v>
      </c>
      <c r="AM506" s="6" t="s">
        <v>17333</v>
      </c>
      <c r="AN506" s="6" t="s">
        <v>104</v>
      </c>
      <c r="AO506" s="6" t="s">
        <v>104</v>
      </c>
      <c r="AP506" s="6" t="s">
        <v>104</v>
      </c>
      <c r="AQ506" s="6" t="s">
        <v>104</v>
      </c>
      <c r="AR506" s="6" t="s">
        <v>104</v>
      </c>
      <c r="AS506" s="6" t="s">
        <v>104</v>
      </c>
      <c r="AT506" s="6" t="s">
        <v>104</v>
      </c>
      <c r="AU506" s="6" t="s">
        <v>104</v>
      </c>
      <c r="AV506" s="6" t="s">
        <v>104</v>
      </c>
      <c r="AW506" s="6" t="s">
        <v>104</v>
      </c>
      <c r="AX506" s="6" t="s">
        <v>20518</v>
      </c>
      <c r="AY506" s="6" t="s">
        <v>22282</v>
      </c>
      <c r="AZ506" s="6" t="s">
        <v>104</v>
      </c>
      <c r="BA506" s="6" t="s">
        <v>24258</v>
      </c>
      <c r="BB506" s="6" t="s">
        <v>104</v>
      </c>
      <c r="BC506" s="26"/>
      <c r="BD506" s="26"/>
      <c r="BE506" s="26"/>
      <c r="BF506" s="26"/>
      <c r="BG506" s="26"/>
      <c r="BH506" s="26"/>
      <c r="BI506" s="26"/>
      <c r="BJ506" s="26"/>
      <c r="BK506" s="26"/>
      <c r="BL506" s="26"/>
      <c r="BM506" s="26"/>
      <c r="BN506" s="26"/>
      <c r="BO506" s="26"/>
      <c r="BP506" s="16" t="n">
        <v>45737</v>
      </c>
      <c r="BQ506" s="28" t="str">
        <f>HYPERLINK("https://organic.ams.usda.gov/Integrity/Certificate.aspx?cid=32&amp;nopid=2230007071")</f>
        <v>https://organic.ams.usda.gov/Integrity/Certificate.aspx?cid=32&amp;nopid=2230007071</v>
      </c>
    </row>
    <row r="507">
      <c r="A507" t="s">
        <v>3</v>
      </c>
      <c r="B507" s="6" t="s">
        <v>48</v>
      </c>
      <c r="C507" s="6" t="s">
        <v>114</v>
      </c>
      <c r="D507" s="6" t="s">
        <v>178</v>
      </c>
      <c r="E507" s="10" t="s">
        <v>705</v>
      </c>
      <c r="F507" s="6" t="s">
        <v>2959</v>
      </c>
      <c r="G507" s="6" t="s">
        <v>104</v>
      </c>
      <c r="H507" s="6" t="s">
        <v>5349</v>
      </c>
      <c r="I507" s="6" t="s">
        <v>104</v>
      </c>
      <c r="J507" s="6" t="s">
        <v>104</v>
      </c>
      <c r="K507" s="6" t="s">
        <v>9714</v>
      </c>
      <c r="L507" s="16" t="n">
        <v>45447</v>
      </c>
      <c r="M507" s="16" t="n">
        <v>45808</v>
      </c>
      <c r="N507" s="6" t="s">
        <v>104</v>
      </c>
      <c r="O507" s="21" t="s">
        <v>104</v>
      </c>
      <c r="P507" s="6" t="s">
        <v>104</v>
      </c>
      <c r="Q507" s="6" t="s">
        <v>104</v>
      </c>
      <c r="R507" s="6" t="s">
        <v>104</v>
      </c>
      <c r="S507" s="6" t="s">
        <v>104</v>
      </c>
      <c r="T507" s="21" t="s">
        <v>104</v>
      </c>
      <c r="U507" s="6" t="s">
        <v>104</v>
      </c>
      <c r="V507" s="6" t="s">
        <v>104</v>
      </c>
      <c r="W507" s="6" t="s">
        <v>104</v>
      </c>
      <c r="X507" s="6" t="s">
        <v>104</v>
      </c>
      <c r="Y507" s="21" t="s">
        <v>104</v>
      </c>
      <c r="Z507" s="6" t="s">
        <v>104</v>
      </c>
      <c r="AA507" s="6" t="s">
        <v>104</v>
      </c>
      <c r="AB507" s="6" t="s">
        <v>104</v>
      </c>
      <c r="AC507" s="6" t="s">
        <v>9714</v>
      </c>
      <c r="AD507" s="16" t="n">
        <v>45447</v>
      </c>
      <c r="AE507" s="6" t="s">
        <v>10978</v>
      </c>
      <c r="AF507" s="6" t="s">
        <v>104</v>
      </c>
      <c r="AG507" s="6" t="s">
        <v>104</v>
      </c>
      <c r="AH507" s="6" t="s">
        <v>13615</v>
      </c>
      <c r="AI507" s="6" t="s">
        <v>104</v>
      </c>
      <c r="AJ507" s="6" t="s">
        <v>15708</v>
      </c>
      <c r="AK507" s="6" t="s">
        <v>104</v>
      </c>
      <c r="AL507" s="6" t="s">
        <v>16766</v>
      </c>
      <c r="AM507" s="6" t="s">
        <v>17332</v>
      </c>
      <c r="AN507" s="6" t="s">
        <v>104</v>
      </c>
      <c r="AO507" s="6" t="s">
        <v>104</v>
      </c>
      <c r="AP507" s="6" t="s">
        <v>13615</v>
      </c>
      <c r="AQ507" s="6" t="s">
        <v>104</v>
      </c>
      <c r="AR507" s="6" t="s">
        <v>15708</v>
      </c>
      <c r="AS507" s="6" t="s">
        <v>104</v>
      </c>
      <c r="AT507" s="6" t="s">
        <v>16766</v>
      </c>
      <c r="AU507" s="6" t="s">
        <v>17332</v>
      </c>
      <c r="AV507" s="6" t="s">
        <v>104</v>
      </c>
      <c r="AW507" s="6" t="s">
        <v>104</v>
      </c>
      <c r="AX507" s="6" t="s">
        <v>104</v>
      </c>
      <c r="AY507" s="6" t="s">
        <v>22283</v>
      </c>
      <c r="AZ507" s="6" t="s">
        <v>104</v>
      </c>
      <c r="BA507" s="6" t="s">
        <v>104</v>
      </c>
      <c r="BB507" s="6" t="s">
        <v>104</v>
      </c>
      <c r="BC507" s="26"/>
      <c r="BD507" s="26"/>
      <c r="BE507" s="26"/>
      <c r="BF507" s="26"/>
      <c r="BG507" s="26"/>
      <c r="BH507" s="26"/>
      <c r="BI507" s="26"/>
      <c r="BJ507" s="26"/>
      <c r="BK507" s="26"/>
      <c r="BL507" s="26"/>
      <c r="BM507" s="26"/>
      <c r="BN507" s="26"/>
      <c r="BO507" s="26"/>
      <c r="BP507" s="16" t="n">
        <v>45647</v>
      </c>
      <c r="BQ507" s="28" t="str">
        <f>HYPERLINK("https://organic.ams.usda.gov/Integrity/Certificate.aspx?cid=9&amp;nopid=1203840500")</f>
        <v>https://organic.ams.usda.gov/Integrity/Certificate.aspx?cid=9&amp;nopid=1203840500</v>
      </c>
    </row>
    <row r="508">
      <c r="A508" t="s">
        <v>3</v>
      </c>
      <c r="B508" s="6" t="s">
        <v>24</v>
      </c>
      <c r="C508" s="6" t="s">
        <v>90</v>
      </c>
      <c r="D508" s="6" t="s">
        <v>155</v>
      </c>
      <c r="E508" s="10" t="s">
        <v>706</v>
      </c>
      <c r="F508" s="6" t="s">
        <v>2960</v>
      </c>
      <c r="G508" s="6" t="s">
        <v>104</v>
      </c>
      <c r="H508" s="6" t="s">
        <v>5350</v>
      </c>
      <c r="I508" s="6" t="s">
        <v>7269</v>
      </c>
      <c r="J508" s="6" t="s">
        <v>8528</v>
      </c>
      <c r="K508" s="6" t="s">
        <v>9714</v>
      </c>
      <c r="L508" s="16" t="n">
        <v>45536</v>
      </c>
      <c r="M508" s="16" t="n">
        <v>45747</v>
      </c>
      <c r="N508" s="6" t="s">
        <v>104</v>
      </c>
      <c r="O508" s="21" t="s">
        <v>104</v>
      </c>
      <c r="P508" s="6" t="s">
        <v>104</v>
      </c>
      <c r="Q508" s="6" t="s">
        <v>104</v>
      </c>
      <c r="R508" s="6" t="s">
        <v>104</v>
      </c>
      <c r="S508" s="6" t="s">
        <v>104</v>
      </c>
      <c r="T508" s="21" t="s">
        <v>104</v>
      </c>
      <c r="U508" s="6" t="s">
        <v>104</v>
      </c>
      <c r="V508" s="6" t="s">
        <v>104</v>
      </c>
      <c r="W508" s="6" t="s">
        <v>104</v>
      </c>
      <c r="X508" s="6" t="s">
        <v>104</v>
      </c>
      <c r="Y508" s="21" t="s">
        <v>104</v>
      </c>
      <c r="Z508" s="6" t="s">
        <v>104</v>
      </c>
      <c r="AA508" s="6" t="s">
        <v>104</v>
      </c>
      <c r="AB508" s="6" t="s">
        <v>104</v>
      </c>
      <c r="AC508" s="6" t="s">
        <v>9714</v>
      </c>
      <c r="AD508" s="16" t="n">
        <v>45536</v>
      </c>
      <c r="AE508" s="6" t="s">
        <v>10979</v>
      </c>
      <c r="AF508" s="6" t="s">
        <v>104</v>
      </c>
      <c r="AG508" s="6" t="s">
        <v>5350</v>
      </c>
      <c r="AH508" s="6" t="s">
        <v>13616</v>
      </c>
      <c r="AI508" s="6" t="s">
        <v>15252</v>
      </c>
      <c r="AJ508" s="6" t="s">
        <v>15491</v>
      </c>
      <c r="AK508" s="6" t="s">
        <v>16779</v>
      </c>
      <c r="AL508" s="6" t="s">
        <v>16766</v>
      </c>
      <c r="AM508" s="6" t="s">
        <v>17108</v>
      </c>
      <c r="AN508" s="6" t="s">
        <v>104</v>
      </c>
      <c r="AO508" s="6" t="s">
        <v>104</v>
      </c>
      <c r="AP508" s="6" t="s">
        <v>13616</v>
      </c>
      <c r="AQ508" s="6" t="s">
        <v>15252</v>
      </c>
      <c r="AR508" s="6" t="s">
        <v>15491</v>
      </c>
      <c r="AS508" s="6" t="s">
        <v>16779</v>
      </c>
      <c r="AT508" s="6" t="s">
        <v>16766</v>
      </c>
      <c r="AU508" s="6" t="s">
        <v>17108</v>
      </c>
      <c r="AV508" s="6" t="s">
        <v>104</v>
      </c>
      <c r="AW508" s="6" t="s">
        <v>104</v>
      </c>
      <c r="AX508" s="6" t="s">
        <v>20519</v>
      </c>
      <c r="AY508" s="6" t="s">
        <v>22284</v>
      </c>
      <c r="AZ508" s="6" t="s">
        <v>104</v>
      </c>
      <c r="BA508" s="6" t="s">
        <v>104</v>
      </c>
      <c r="BB508" s="6" t="s">
        <v>104</v>
      </c>
      <c r="BC508" s="26"/>
      <c r="BD508" s="26"/>
      <c r="BE508" s="26"/>
      <c r="BF508" s="26"/>
      <c r="BG508" s="26"/>
      <c r="BH508" s="26"/>
      <c r="BI508" s="26"/>
      <c r="BJ508" s="26"/>
      <c r="BK508" s="26"/>
      <c r="BL508" s="26"/>
      <c r="BM508" s="26"/>
      <c r="BN508" s="26"/>
      <c r="BO508" s="26"/>
      <c r="BP508" s="16" t="n">
        <v>45540</v>
      </c>
      <c r="BQ508" s="28" t="str">
        <f>HYPERLINK("https://organic.ams.usda.gov/Integrity/Certificate.aspx?cid=7&amp;nopid=3950001195")</f>
        <v>https://organic.ams.usda.gov/Integrity/Certificate.aspx?cid=7&amp;nopid=3950001195</v>
      </c>
    </row>
    <row r="509">
      <c r="A509" t="s">
        <v>3</v>
      </c>
      <c r="B509" s="6" t="s">
        <v>6</v>
      </c>
      <c r="C509" s="6" t="s">
        <v>72</v>
      </c>
      <c r="D509" s="6" t="s">
        <v>137</v>
      </c>
      <c r="E509" s="10" t="s">
        <v>707</v>
      </c>
      <c r="F509" s="6" t="s">
        <v>2961</v>
      </c>
      <c r="G509" s="6" t="s">
        <v>104</v>
      </c>
      <c r="H509" s="6" t="s">
        <v>5351</v>
      </c>
      <c r="I509" s="6" t="s">
        <v>7278</v>
      </c>
      <c r="J509" s="6" t="s">
        <v>8529</v>
      </c>
      <c r="K509" s="6" t="s">
        <v>9714</v>
      </c>
      <c r="L509" s="16" t="n">
        <v>39722</v>
      </c>
      <c r="M509" s="16" t="n">
        <v>45951</v>
      </c>
      <c r="N509" s="6" t="s">
        <v>104</v>
      </c>
      <c r="O509" s="21" t="s">
        <v>104</v>
      </c>
      <c r="P509" s="6" t="s">
        <v>104</v>
      </c>
      <c r="Q509" s="6" t="s">
        <v>104</v>
      </c>
      <c r="R509" s="6" t="s">
        <v>104</v>
      </c>
      <c r="S509" s="6" t="s">
        <v>104</v>
      </c>
      <c r="T509" s="21" t="s">
        <v>104</v>
      </c>
      <c r="U509" s="6" t="s">
        <v>104</v>
      </c>
      <c r="V509" s="6" t="s">
        <v>104</v>
      </c>
      <c r="W509" s="6" t="s">
        <v>104</v>
      </c>
      <c r="X509" s="6" t="s">
        <v>104</v>
      </c>
      <c r="Y509" s="21" t="s">
        <v>104</v>
      </c>
      <c r="Z509" s="6" t="s">
        <v>104</v>
      </c>
      <c r="AA509" s="6" t="s">
        <v>104</v>
      </c>
      <c r="AB509" s="6" t="s">
        <v>104</v>
      </c>
      <c r="AC509" s="6" t="s">
        <v>9714</v>
      </c>
      <c r="AD509" s="16" t="n">
        <v>39722</v>
      </c>
      <c r="AE509" s="6" t="s">
        <v>10980</v>
      </c>
      <c r="AF509" s="6" t="s">
        <v>104</v>
      </c>
      <c r="AG509" s="6" t="s">
        <v>12639</v>
      </c>
      <c r="AH509" s="6" t="s">
        <v>13617</v>
      </c>
      <c r="AI509" s="6" t="s">
        <v>104</v>
      </c>
      <c r="AJ509" s="6" t="s">
        <v>15554</v>
      </c>
      <c r="AK509" s="6" t="s">
        <v>16780</v>
      </c>
      <c r="AL509" s="6" t="s">
        <v>16766</v>
      </c>
      <c r="AM509" s="6" t="s">
        <v>17332</v>
      </c>
      <c r="AN509" s="6" t="s">
        <v>104</v>
      </c>
      <c r="AO509" s="6" t="s">
        <v>104</v>
      </c>
      <c r="AP509" s="6" t="s">
        <v>104</v>
      </c>
      <c r="AQ509" s="6" t="s">
        <v>104</v>
      </c>
      <c r="AR509" s="6" t="s">
        <v>104</v>
      </c>
      <c r="AS509" s="6" t="s">
        <v>104</v>
      </c>
      <c r="AT509" s="6" t="s">
        <v>104</v>
      </c>
      <c r="AU509" s="6" t="s">
        <v>104</v>
      </c>
      <c r="AV509" s="6" t="s">
        <v>104</v>
      </c>
      <c r="AW509" s="6" t="s">
        <v>104</v>
      </c>
      <c r="AX509" s="6" t="s">
        <v>104</v>
      </c>
      <c r="AY509" s="6" t="s">
        <v>22285</v>
      </c>
      <c r="AZ509" s="6" t="s">
        <v>104</v>
      </c>
      <c r="BA509" s="6" t="s">
        <v>24258</v>
      </c>
      <c r="BB509" s="6" t="s">
        <v>104</v>
      </c>
      <c r="BC509" s="26"/>
      <c r="BD509" s="26"/>
      <c r="BE509" s="26"/>
      <c r="BF509" s="26"/>
      <c r="BG509" s="26"/>
      <c r="BH509" s="26"/>
      <c r="BI509" s="26"/>
      <c r="BJ509" s="26"/>
      <c r="BK509" s="26"/>
      <c r="BL509" s="26"/>
      <c r="BM509" s="26"/>
      <c r="BN509" s="26"/>
      <c r="BO509" s="26"/>
      <c r="BP509" s="16" t="n">
        <v>45737</v>
      </c>
      <c r="BQ509" s="28" t="str">
        <f>HYPERLINK("https://organic.ams.usda.gov/Integrity/Certificate.aspx?cid=32&amp;nopid=2230002077")</f>
        <v>https://organic.ams.usda.gov/Integrity/Certificate.aspx?cid=32&amp;nopid=2230002077</v>
      </c>
    </row>
    <row r="510">
      <c r="A510" t="s">
        <v>3</v>
      </c>
      <c r="B510" s="6" t="s">
        <v>6</v>
      </c>
      <c r="C510" s="6" t="s">
        <v>72</v>
      </c>
      <c r="D510" s="6" t="s">
        <v>137</v>
      </c>
      <c r="E510" s="10" t="s">
        <v>708</v>
      </c>
      <c r="F510" s="6" t="s">
        <v>2962</v>
      </c>
      <c r="G510" s="6" t="s">
        <v>104</v>
      </c>
      <c r="H510" s="6" t="s">
        <v>5352</v>
      </c>
      <c r="I510" s="6" t="s">
        <v>7274</v>
      </c>
      <c r="J510" s="6" t="s">
        <v>8525</v>
      </c>
      <c r="K510" s="6" t="s">
        <v>9714</v>
      </c>
      <c r="L510" s="16" t="n">
        <v>41988</v>
      </c>
      <c r="M510" s="16" t="n">
        <v>46002</v>
      </c>
      <c r="N510" s="6" t="s">
        <v>104</v>
      </c>
      <c r="O510" s="21" t="s">
        <v>104</v>
      </c>
      <c r="P510" s="6" t="s">
        <v>104</v>
      </c>
      <c r="Q510" s="6" t="s">
        <v>104</v>
      </c>
      <c r="R510" s="6" t="s">
        <v>104</v>
      </c>
      <c r="S510" s="6" t="s">
        <v>104</v>
      </c>
      <c r="T510" s="21" t="s">
        <v>104</v>
      </c>
      <c r="U510" s="6" t="s">
        <v>104</v>
      </c>
      <c r="V510" s="6" t="s">
        <v>104</v>
      </c>
      <c r="W510" s="6" t="s">
        <v>104</v>
      </c>
      <c r="X510" s="6" t="s">
        <v>104</v>
      </c>
      <c r="Y510" s="21" t="s">
        <v>104</v>
      </c>
      <c r="Z510" s="6" t="s">
        <v>104</v>
      </c>
      <c r="AA510" s="6" t="s">
        <v>104</v>
      </c>
      <c r="AB510" s="6" t="s">
        <v>104</v>
      </c>
      <c r="AC510" s="6" t="s">
        <v>9714</v>
      </c>
      <c r="AD510" s="16" t="n">
        <v>41988</v>
      </c>
      <c r="AE510" s="6" t="s">
        <v>10981</v>
      </c>
      <c r="AF510" s="6" t="s">
        <v>104</v>
      </c>
      <c r="AG510" s="6" t="s">
        <v>12640</v>
      </c>
      <c r="AH510" s="6" t="s">
        <v>13618</v>
      </c>
      <c r="AI510" s="6" t="s">
        <v>104</v>
      </c>
      <c r="AJ510" s="6" t="s">
        <v>13618</v>
      </c>
      <c r="AK510" s="6" t="s">
        <v>16781</v>
      </c>
      <c r="AL510" s="6" t="s">
        <v>16766</v>
      </c>
      <c r="AM510" s="6" t="s">
        <v>17334</v>
      </c>
      <c r="AN510" s="6" t="s">
        <v>104</v>
      </c>
      <c r="AO510" s="6" t="s">
        <v>104</v>
      </c>
      <c r="AP510" s="6" t="s">
        <v>104</v>
      </c>
      <c r="AQ510" s="6" t="s">
        <v>104</v>
      </c>
      <c r="AR510" s="6" t="s">
        <v>104</v>
      </c>
      <c r="AS510" s="6" t="s">
        <v>104</v>
      </c>
      <c r="AT510" s="6" t="s">
        <v>104</v>
      </c>
      <c r="AU510" s="6" t="s">
        <v>104</v>
      </c>
      <c r="AV510" s="6" t="s">
        <v>104</v>
      </c>
      <c r="AW510" s="6" t="s">
        <v>104</v>
      </c>
      <c r="AX510" s="6" t="s">
        <v>104</v>
      </c>
      <c r="AY510" s="6" t="s">
        <v>22279</v>
      </c>
      <c r="AZ510" s="6" t="s">
        <v>104</v>
      </c>
      <c r="BA510" s="6" t="s">
        <v>24258</v>
      </c>
      <c r="BB510" s="6" t="s">
        <v>104</v>
      </c>
      <c r="BC510" s="26"/>
      <c r="BD510" s="26"/>
      <c r="BE510" s="26"/>
      <c r="BF510" s="26"/>
      <c r="BG510" s="26"/>
      <c r="BH510" s="26"/>
      <c r="BI510" s="26"/>
      <c r="BJ510" s="26"/>
      <c r="BK510" s="26"/>
      <c r="BL510" s="26"/>
      <c r="BM510" s="26"/>
      <c r="BN510" s="26"/>
      <c r="BO510" s="26"/>
      <c r="BP510" s="16" t="n">
        <v>45737</v>
      </c>
      <c r="BQ510" s="28" t="str">
        <f>HYPERLINK("https://organic.ams.usda.gov/Integrity/Certificate.aspx?cid=32&amp;nopid=2230004093")</f>
        <v>https://organic.ams.usda.gov/Integrity/Certificate.aspx?cid=32&amp;nopid=2230004093</v>
      </c>
    </row>
    <row r="511">
      <c r="A511" t="s">
        <v>3</v>
      </c>
      <c r="B511" s="6" t="s">
        <v>6</v>
      </c>
      <c r="C511" s="6" t="s">
        <v>72</v>
      </c>
      <c r="D511" s="6" t="s">
        <v>137</v>
      </c>
      <c r="E511" s="10" t="s">
        <v>709</v>
      </c>
      <c r="F511" s="6" t="s">
        <v>2963</v>
      </c>
      <c r="G511" s="6" t="s">
        <v>104</v>
      </c>
      <c r="H511" s="6" t="s">
        <v>5353</v>
      </c>
      <c r="I511" s="6" t="s">
        <v>7274</v>
      </c>
      <c r="J511" s="6" t="s">
        <v>8525</v>
      </c>
      <c r="K511" s="6" t="s">
        <v>9714</v>
      </c>
      <c r="L511" s="16" t="n">
        <v>45415</v>
      </c>
      <c r="M511" s="16" t="n">
        <v>46000</v>
      </c>
      <c r="N511" s="6" t="s">
        <v>104</v>
      </c>
      <c r="O511" s="21" t="s">
        <v>104</v>
      </c>
      <c r="P511" s="6" t="s">
        <v>104</v>
      </c>
      <c r="Q511" s="6" t="s">
        <v>104</v>
      </c>
      <c r="R511" s="6" t="s">
        <v>104</v>
      </c>
      <c r="S511" s="6" t="s">
        <v>104</v>
      </c>
      <c r="T511" s="21" t="s">
        <v>104</v>
      </c>
      <c r="U511" s="6" t="s">
        <v>104</v>
      </c>
      <c r="V511" s="6" t="s">
        <v>104</v>
      </c>
      <c r="W511" s="6" t="s">
        <v>104</v>
      </c>
      <c r="X511" s="6" t="s">
        <v>104</v>
      </c>
      <c r="Y511" s="21" t="s">
        <v>104</v>
      </c>
      <c r="Z511" s="6" t="s">
        <v>104</v>
      </c>
      <c r="AA511" s="6" t="s">
        <v>104</v>
      </c>
      <c r="AB511" s="6" t="s">
        <v>104</v>
      </c>
      <c r="AC511" s="6" t="s">
        <v>9714</v>
      </c>
      <c r="AD511" s="16" t="n">
        <v>45415</v>
      </c>
      <c r="AE511" s="6" t="s">
        <v>10982</v>
      </c>
      <c r="AF511" s="6" t="s">
        <v>104</v>
      </c>
      <c r="AG511" s="6" t="s">
        <v>12641</v>
      </c>
      <c r="AH511" s="6" t="s">
        <v>13619</v>
      </c>
      <c r="AI511" s="6" t="s">
        <v>104</v>
      </c>
      <c r="AJ511" s="6" t="s">
        <v>15709</v>
      </c>
      <c r="AK511" s="6" t="s">
        <v>16740</v>
      </c>
      <c r="AL511" s="6" t="s">
        <v>16766</v>
      </c>
      <c r="AM511" s="6" t="s">
        <v>104</v>
      </c>
      <c r="AN511" s="6" t="s">
        <v>104</v>
      </c>
      <c r="AO511" s="6" t="s">
        <v>104</v>
      </c>
      <c r="AP511" s="6" t="s">
        <v>104</v>
      </c>
      <c r="AQ511" s="6" t="s">
        <v>104</v>
      </c>
      <c r="AR511" s="6" t="s">
        <v>104</v>
      </c>
      <c r="AS511" s="6" t="s">
        <v>104</v>
      </c>
      <c r="AT511" s="6" t="s">
        <v>104</v>
      </c>
      <c r="AU511" s="6" t="s">
        <v>104</v>
      </c>
      <c r="AV511" s="6" t="s">
        <v>104</v>
      </c>
      <c r="AW511" s="6" t="s">
        <v>104</v>
      </c>
      <c r="AX511" s="6" t="s">
        <v>104</v>
      </c>
      <c r="AY511" s="6" t="s">
        <v>22279</v>
      </c>
      <c r="AZ511" s="6" t="s">
        <v>104</v>
      </c>
      <c r="BA511" s="6" t="s">
        <v>104</v>
      </c>
      <c r="BB511" s="6" t="s">
        <v>104</v>
      </c>
      <c r="BC511" s="26"/>
      <c r="BD511" s="26"/>
      <c r="BE511" s="26"/>
      <c r="BF511" s="26"/>
      <c r="BG511" s="26"/>
      <c r="BH511" s="26"/>
      <c r="BI511" s="26"/>
      <c r="BJ511" s="26"/>
      <c r="BK511" s="26"/>
      <c r="BL511" s="26"/>
      <c r="BM511" s="26"/>
      <c r="BN511" s="26"/>
      <c r="BO511" s="26"/>
      <c r="BP511" s="16" t="n">
        <v>45737</v>
      </c>
      <c r="BQ511" s="28" t="str">
        <f>HYPERLINK("https://organic.ams.usda.gov/Integrity/Certificate.aspx?cid=32&amp;nopid=2230011155")</f>
        <v>https://organic.ams.usda.gov/Integrity/Certificate.aspx?cid=32&amp;nopid=2230011155</v>
      </c>
    </row>
    <row r="512">
      <c r="A512" t="s">
        <v>3</v>
      </c>
      <c r="B512" s="6" t="s">
        <v>48</v>
      </c>
      <c r="C512" s="6" t="s">
        <v>114</v>
      </c>
      <c r="D512" s="6" t="s">
        <v>178</v>
      </c>
      <c r="E512" s="10" t="s">
        <v>710</v>
      </c>
      <c r="F512" s="6" t="s">
        <v>2964</v>
      </c>
      <c r="G512" s="6" t="s">
        <v>104</v>
      </c>
      <c r="H512" s="6" t="s">
        <v>5354</v>
      </c>
      <c r="I512" s="6" t="s">
        <v>7279</v>
      </c>
      <c r="J512" s="6" t="s">
        <v>7281</v>
      </c>
      <c r="K512" s="6" t="s">
        <v>9714</v>
      </c>
      <c r="L512" s="16" t="n">
        <v>37375</v>
      </c>
      <c r="M512" s="16" t="n">
        <v>46053</v>
      </c>
      <c r="N512" s="6" t="s">
        <v>9714</v>
      </c>
      <c r="O512" s="16" t="n">
        <v>37375</v>
      </c>
      <c r="P512" s="6" t="s">
        <v>9861</v>
      </c>
      <c r="Q512" s="6" t="s">
        <v>104</v>
      </c>
      <c r="R512" s="6" t="s">
        <v>104</v>
      </c>
      <c r="S512" s="6" t="s">
        <v>104</v>
      </c>
      <c r="T512" s="21" t="s">
        <v>104</v>
      </c>
      <c r="U512" s="6" t="s">
        <v>104</v>
      </c>
      <c r="V512" s="6" t="s">
        <v>104</v>
      </c>
      <c r="W512" s="6" t="s">
        <v>104</v>
      </c>
      <c r="X512" s="6" t="s">
        <v>104</v>
      </c>
      <c r="Y512" s="21" t="s">
        <v>104</v>
      </c>
      <c r="Z512" s="6" t="s">
        <v>104</v>
      </c>
      <c r="AA512" s="6" t="s">
        <v>104</v>
      </c>
      <c r="AB512" s="6" t="s">
        <v>104</v>
      </c>
      <c r="AC512" s="6" t="s">
        <v>9714</v>
      </c>
      <c r="AD512" s="16" t="n">
        <v>37375</v>
      </c>
      <c r="AE512" s="6" t="s">
        <v>10983</v>
      </c>
      <c r="AF512" s="6" t="s">
        <v>104</v>
      </c>
      <c r="AG512" s="6" t="s">
        <v>104</v>
      </c>
      <c r="AH512" s="6" t="s">
        <v>13620</v>
      </c>
      <c r="AI512" s="6" t="s">
        <v>104</v>
      </c>
      <c r="AJ512" s="6" t="s">
        <v>15710</v>
      </c>
      <c r="AK512" s="6" t="s">
        <v>104</v>
      </c>
      <c r="AL512" s="6" t="s">
        <v>16766</v>
      </c>
      <c r="AM512" s="6" t="s">
        <v>104</v>
      </c>
      <c r="AN512" s="6" t="s">
        <v>104</v>
      </c>
      <c r="AO512" s="6" t="s">
        <v>104</v>
      </c>
      <c r="AP512" s="6" t="s">
        <v>13620</v>
      </c>
      <c r="AQ512" s="6" t="s">
        <v>104</v>
      </c>
      <c r="AR512" s="6" t="s">
        <v>15710</v>
      </c>
      <c r="AS512" s="6" t="s">
        <v>104</v>
      </c>
      <c r="AT512" s="6" t="s">
        <v>16766</v>
      </c>
      <c r="AU512" s="6" t="s">
        <v>104</v>
      </c>
      <c r="AV512" s="6" t="s">
        <v>104</v>
      </c>
      <c r="AW512" s="6" t="s">
        <v>104</v>
      </c>
      <c r="AX512" s="6" t="s">
        <v>20520</v>
      </c>
      <c r="AY512" s="6" t="s">
        <v>104</v>
      </c>
      <c r="AZ512" s="6" t="s">
        <v>104</v>
      </c>
      <c r="BA512" s="6" t="s">
        <v>104</v>
      </c>
      <c r="BB512" s="24" t="n">
        <v>6083</v>
      </c>
      <c r="BC512" s="26"/>
      <c r="BD512" s="26"/>
      <c r="BE512" s="26"/>
      <c r="BF512" s="26"/>
      <c r="BG512" s="26"/>
      <c r="BH512" s="26"/>
      <c r="BI512" s="26"/>
      <c r="BJ512" s="26"/>
      <c r="BK512" s="26"/>
      <c r="BL512" s="26"/>
      <c r="BM512" s="26"/>
      <c r="BN512" s="26"/>
      <c r="BO512" s="26"/>
      <c r="BP512" s="16" t="n">
        <v>45656</v>
      </c>
      <c r="BQ512" s="28" t="str">
        <f>HYPERLINK("https://organic.ams.usda.gov/Integrity/Certificate.aspx?cid=9&amp;nopid=1202712102")</f>
        <v>https://organic.ams.usda.gov/Integrity/Certificate.aspx?cid=9&amp;nopid=1202712102</v>
      </c>
    </row>
    <row r="513">
      <c r="A513" t="s">
        <v>3</v>
      </c>
      <c r="B513" s="6" t="s">
        <v>48</v>
      </c>
      <c r="C513" s="6" t="s">
        <v>114</v>
      </c>
      <c r="D513" s="6" t="s">
        <v>178</v>
      </c>
      <c r="E513" s="10" t="s">
        <v>711</v>
      </c>
      <c r="F513" s="6" t="s">
        <v>2965</v>
      </c>
      <c r="G513" s="6" t="s">
        <v>104</v>
      </c>
      <c r="H513" s="6" t="s">
        <v>5355</v>
      </c>
      <c r="I513" s="6" t="s">
        <v>104</v>
      </c>
      <c r="J513" s="6" t="s">
        <v>104</v>
      </c>
      <c r="K513" s="6" t="s">
        <v>9714</v>
      </c>
      <c r="L513" s="16" t="n">
        <v>43913</v>
      </c>
      <c r="M513" s="16" t="n">
        <v>46112</v>
      </c>
      <c r="N513" s="6" t="s">
        <v>9714</v>
      </c>
      <c r="O513" s="16" t="n">
        <v>43913</v>
      </c>
      <c r="P513" s="6" t="s">
        <v>9862</v>
      </c>
      <c r="Q513" s="6" t="s">
        <v>104</v>
      </c>
      <c r="R513" s="6" t="s">
        <v>104</v>
      </c>
      <c r="S513" s="6" t="s">
        <v>104</v>
      </c>
      <c r="T513" s="21" t="s">
        <v>104</v>
      </c>
      <c r="U513" s="6" t="s">
        <v>104</v>
      </c>
      <c r="V513" s="6" t="s">
        <v>104</v>
      </c>
      <c r="W513" s="6" t="s">
        <v>104</v>
      </c>
      <c r="X513" s="6" t="s">
        <v>104</v>
      </c>
      <c r="Y513" s="21" t="s">
        <v>104</v>
      </c>
      <c r="Z513" s="6" t="s">
        <v>104</v>
      </c>
      <c r="AA513" s="6" t="s">
        <v>104</v>
      </c>
      <c r="AB513" s="6" t="s">
        <v>104</v>
      </c>
      <c r="AC513" s="6" t="s">
        <v>9714</v>
      </c>
      <c r="AD513" s="16" t="n">
        <v>43913</v>
      </c>
      <c r="AE513" s="6" t="s">
        <v>10984</v>
      </c>
      <c r="AF513" s="6" t="s">
        <v>104</v>
      </c>
      <c r="AG513" s="6" t="s">
        <v>104</v>
      </c>
      <c r="AH513" s="6" t="s">
        <v>13620</v>
      </c>
      <c r="AI513" s="6" t="s">
        <v>104</v>
      </c>
      <c r="AJ513" s="6" t="s">
        <v>15710</v>
      </c>
      <c r="AK513" s="6" t="s">
        <v>104</v>
      </c>
      <c r="AL513" s="6" t="s">
        <v>16766</v>
      </c>
      <c r="AM513" s="6" t="s">
        <v>104</v>
      </c>
      <c r="AN513" s="6" t="s">
        <v>104</v>
      </c>
      <c r="AO513" s="6" t="s">
        <v>104</v>
      </c>
      <c r="AP513" s="6" t="s">
        <v>13620</v>
      </c>
      <c r="AQ513" s="6" t="s">
        <v>104</v>
      </c>
      <c r="AR513" s="6" t="s">
        <v>15710</v>
      </c>
      <c r="AS513" s="6" t="s">
        <v>104</v>
      </c>
      <c r="AT513" s="6" t="s">
        <v>16766</v>
      </c>
      <c r="AU513" s="6" t="s">
        <v>104</v>
      </c>
      <c r="AV513" s="6" t="s">
        <v>104</v>
      </c>
      <c r="AW513" s="6" t="s">
        <v>104</v>
      </c>
      <c r="AX513" s="6" t="s">
        <v>104</v>
      </c>
      <c r="AY513" s="6" t="s">
        <v>104</v>
      </c>
      <c r="AZ513" s="6" t="s">
        <v>104</v>
      </c>
      <c r="BA513" s="6" t="s">
        <v>104</v>
      </c>
      <c r="BB513" s="24" t="n">
        <v>1803</v>
      </c>
      <c r="BC513" s="26"/>
      <c r="BD513" s="26"/>
      <c r="BE513" s="26"/>
      <c r="BF513" s="26"/>
      <c r="BG513" s="26"/>
      <c r="BH513" s="26"/>
      <c r="BI513" s="26"/>
      <c r="BJ513" s="26"/>
      <c r="BK513" s="26"/>
      <c r="BL513" s="26"/>
      <c r="BM513" s="26"/>
      <c r="BN513" s="26"/>
      <c r="BO513" s="26"/>
      <c r="BP513" s="16" t="n">
        <v>45656</v>
      </c>
      <c r="BQ513" s="28" t="str">
        <f>HYPERLINK("https://organic.ams.usda.gov/Integrity/Certificate.aspx?cid=9&amp;nopid=1202712104")</f>
        <v>https://organic.ams.usda.gov/Integrity/Certificate.aspx?cid=9&amp;nopid=1202712104</v>
      </c>
    </row>
    <row r="514">
      <c r="A514" t="s">
        <v>3</v>
      </c>
      <c r="B514" s="6" t="s">
        <v>20</v>
      </c>
      <c r="C514" s="6" t="s">
        <v>86</v>
      </c>
      <c r="D514" s="6" t="s">
        <v>151</v>
      </c>
      <c r="E514" s="10" t="s">
        <v>712</v>
      </c>
      <c r="F514" s="6" t="s">
        <v>2966</v>
      </c>
      <c r="G514" s="6" t="s">
        <v>104</v>
      </c>
      <c r="H514" s="6" t="s">
        <v>5356</v>
      </c>
      <c r="I514" s="6" t="s">
        <v>7280</v>
      </c>
      <c r="J514" s="6" t="s">
        <v>7202</v>
      </c>
      <c r="K514" s="6" t="s">
        <v>9714</v>
      </c>
      <c r="L514" s="16" t="n">
        <v>45631</v>
      </c>
      <c r="M514" s="16" t="n">
        <v>45961</v>
      </c>
      <c r="N514" s="6" t="s">
        <v>9714</v>
      </c>
      <c r="O514" s="16" t="n">
        <v>45631</v>
      </c>
      <c r="P514" s="6" t="s">
        <v>9863</v>
      </c>
      <c r="Q514" s="6" t="s">
        <v>104</v>
      </c>
      <c r="R514" s="6" t="s">
        <v>10339</v>
      </c>
      <c r="S514" s="6" t="s">
        <v>104</v>
      </c>
      <c r="T514" s="21" t="s">
        <v>104</v>
      </c>
      <c r="U514" s="6" t="s">
        <v>104</v>
      </c>
      <c r="V514" s="6" t="s">
        <v>104</v>
      </c>
      <c r="W514" s="6" t="s">
        <v>104</v>
      </c>
      <c r="X514" s="6" t="s">
        <v>9714</v>
      </c>
      <c r="Y514" s="16" t="n">
        <v>45631</v>
      </c>
      <c r="Z514" s="6" t="s">
        <v>10521</v>
      </c>
      <c r="AA514" s="6" t="s">
        <v>104</v>
      </c>
      <c r="AB514" s="6" t="s">
        <v>10339</v>
      </c>
      <c r="AC514" s="6" t="s">
        <v>9714</v>
      </c>
      <c r="AD514" s="16" t="n">
        <v>45631</v>
      </c>
      <c r="AE514" s="6" t="s">
        <v>10985</v>
      </c>
      <c r="AF514" s="6" t="s">
        <v>104</v>
      </c>
      <c r="AG514" s="6" t="s">
        <v>10339</v>
      </c>
      <c r="AH514" s="6" t="s">
        <v>13621</v>
      </c>
      <c r="AI514" s="6" t="s">
        <v>104</v>
      </c>
      <c r="AJ514" s="6" t="s">
        <v>15554</v>
      </c>
      <c r="AK514" s="6" t="s">
        <v>16779</v>
      </c>
      <c r="AL514" s="6" t="s">
        <v>16766</v>
      </c>
      <c r="AM514" s="6" t="s">
        <v>17332</v>
      </c>
      <c r="AN514" s="6" t="s">
        <v>104</v>
      </c>
      <c r="AO514" s="6" t="s">
        <v>104</v>
      </c>
      <c r="AP514" s="6" t="s">
        <v>104</v>
      </c>
      <c r="AQ514" s="6" t="s">
        <v>104</v>
      </c>
      <c r="AR514" s="6" t="s">
        <v>104</v>
      </c>
      <c r="AS514" s="6" t="s">
        <v>104</v>
      </c>
      <c r="AT514" s="6" t="s">
        <v>104</v>
      </c>
      <c r="AU514" s="6" t="s">
        <v>104</v>
      </c>
      <c r="AV514" s="6" t="s">
        <v>104</v>
      </c>
      <c r="AW514" s="6" t="s">
        <v>104</v>
      </c>
      <c r="AX514" s="6" t="s">
        <v>104</v>
      </c>
      <c r="AY514" s="6" t="s">
        <v>22283</v>
      </c>
      <c r="AZ514" s="6" t="s">
        <v>104</v>
      </c>
      <c r="BA514" s="6" t="s">
        <v>104</v>
      </c>
      <c r="BB514" s="24" t="n">
        <v>3758</v>
      </c>
      <c r="BC514" s="26"/>
      <c r="BD514" s="26"/>
      <c r="BE514" s="26"/>
      <c r="BF514" s="26"/>
      <c r="BG514" s="26"/>
      <c r="BH514" s="26"/>
      <c r="BI514" s="26"/>
      <c r="BJ514" s="26"/>
      <c r="BK514" s="26"/>
      <c r="BL514" s="26"/>
      <c r="BM514" s="26"/>
      <c r="BN514" s="26"/>
      <c r="BO514" s="26"/>
      <c r="BP514" s="16" t="n">
        <v>45632</v>
      </c>
      <c r="BQ514" s="28" t="str">
        <f>HYPERLINK("https://organic.ams.usda.gov/Integrity/Certificate.aspx?cid=17&amp;nopid=4080200591")</f>
        <v>https://organic.ams.usda.gov/Integrity/Certificate.aspx?cid=17&amp;nopid=4080200591</v>
      </c>
    </row>
    <row r="515">
      <c r="A515" t="s">
        <v>3</v>
      </c>
      <c r="B515" s="6" t="s">
        <v>6</v>
      </c>
      <c r="C515" s="6" t="s">
        <v>72</v>
      </c>
      <c r="D515" s="6" t="s">
        <v>137</v>
      </c>
      <c r="E515" s="10" t="s">
        <v>713</v>
      </c>
      <c r="F515" s="6" t="s">
        <v>2967</v>
      </c>
      <c r="G515" s="6" t="s">
        <v>104</v>
      </c>
      <c r="H515" s="6" t="s">
        <v>5357</v>
      </c>
      <c r="I515" s="6" t="s">
        <v>7281</v>
      </c>
      <c r="J515" s="6" t="s">
        <v>8530</v>
      </c>
      <c r="K515" s="6" t="s">
        <v>9714</v>
      </c>
      <c r="L515" s="16" t="n">
        <v>43081</v>
      </c>
      <c r="M515" s="16" t="n">
        <v>45986</v>
      </c>
      <c r="N515" s="6" t="s">
        <v>104</v>
      </c>
      <c r="O515" s="21" t="s">
        <v>104</v>
      </c>
      <c r="P515" s="6" t="s">
        <v>104</v>
      </c>
      <c r="Q515" s="6" t="s">
        <v>104</v>
      </c>
      <c r="R515" s="6" t="s">
        <v>104</v>
      </c>
      <c r="S515" s="6" t="s">
        <v>104</v>
      </c>
      <c r="T515" s="21" t="s">
        <v>104</v>
      </c>
      <c r="U515" s="6" t="s">
        <v>104</v>
      </c>
      <c r="V515" s="6" t="s">
        <v>104</v>
      </c>
      <c r="W515" s="6" t="s">
        <v>104</v>
      </c>
      <c r="X515" s="6" t="s">
        <v>104</v>
      </c>
      <c r="Y515" s="21" t="s">
        <v>104</v>
      </c>
      <c r="Z515" s="6" t="s">
        <v>104</v>
      </c>
      <c r="AA515" s="6" t="s">
        <v>104</v>
      </c>
      <c r="AB515" s="6" t="s">
        <v>104</v>
      </c>
      <c r="AC515" s="6" t="s">
        <v>9714</v>
      </c>
      <c r="AD515" s="16" t="n">
        <v>43081</v>
      </c>
      <c r="AE515" s="6" t="s">
        <v>10986</v>
      </c>
      <c r="AF515" s="6" t="s">
        <v>104</v>
      </c>
      <c r="AG515" s="6" t="s">
        <v>12642</v>
      </c>
      <c r="AH515" s="6" t="s">
        <v>13622</v>
      </c>
      <c r="AI515" s="6" t="s">
        <v>104</v>
      </c>
      <c r="AJ515" s="6" t="s">
        <v>15554</v>
      </c>
      <c r="AK515" s="6" t="s">
        <v>15707</v>
      </c>
      <c r="AL515" s="6" t="s">
        <v>16766</v>
      </c>
      <c r="AM515" s="6" t="s">
        <v>104</v>
      </c>
      <c r="AN515" s="6" t="s">
        <v>104</v>
      </c>
      <c r="AO515" s="6" t="s">
        <v>104</v>
      </c>
      <c r="AP515" s="6" t="s">
        <v>104</v>
      </c>
      <c r="AQ515" s="6" t="s">
        <v>104</v>
      </c>
      <c r="AR515" s="6" t="s">
        <v>104</v>
      </c>
      <c r="AS515" s="6" t="s">
        <v>104</v>
      </c>
      <c r="AT515" s="6" t="s">
        <v>104</v>
      </c>
      <c r="AU515" s="6" t="s">
        <v>104</v>
      </c>
      <c r="AV515" s="6" t="s">
        <v>104</v>
      </c>
      <c r="AW515" s="6" t="s">
        <v>104</v>
      </c>
      <c r="AX515" s="6" t="s">
        <v>104</v>
      </c>
      <c r="AY515" s="6" t="s">
        <v>22286</v>
      </c>
      <c r="AZ515" s="6" t="s">
        <v>104</v>
      </c>
      <c r="BA515" s="6" t="s">
        <v>24258</v>
      </c>
      <c r="BB515" s="6" t="s">
        <v>104</v>
      </c>
      <c r="BC515" s="26"/>
      <c r="BD515" s="26"/>
      <c r="BE515" s="26"/>
      <c r="BF515" s="26"/>
      <c r="BG515" s="26"/>
      <c r="BH515" s="26"/>
      <c r="BI515" s="26"/>
      <c r="BJ515" s="26"/>
      <c r="BK515" s="26"/>
      <c r="BL515" s="26"/>
      <c r="BM515" s="26"/>
      <c r="BN515" s="26"/>
      <c r="BO515" s="26"/>
      <c r="BP515" s="16" t="n">
        <v>45737</v>
      </c>
      <c r="BQ515" s="28" t="str">
        <f>HYPERLINK("https://organic.ams.usda.gov/Integrity/Certificate.aspx?cid=32&amp;nopid=2230005345")</f>
        <v>https://organic.ams.usda.gov/Integrity/Certificate.aspx?cid=32&amp;nopid=2230005345</v>
      </c>
    </row>
    <row r="516">
      <c r="A516" t="s">
        <v>3</v>
      </c>
      <c r="B516" s="6" t="s">
        <v>6</v>
      </c>
      <c r="C516" s="6" t="s">
        <v>72</v>
      </c>
      <c r="D516" s="6" t="s">
        <v>137</v>
      </c>
      <c r="E516" s="10" t="s">
        <v>714</v>
      </c>
      <c r="F516" s="6" t="s">
        <v>2968</v>
      </c>
      <c r="G516" s="6" t="s">
        <v>104</v>
      </c>
      <c r="H516" s="6" t="s">
        <v>5358</v>
      </c>
      <c r="I516" s="6" t="s">
        <v>7270</v>
      </c>
      <c r="J516" s="6" t="s">
        <v>8531</v>
      </c>
      <c r="K516" s="6" t="s">
        <v>9714</v>
      </c>
      <c r="L516" s="16" t="n">
        <v>43964</v>
      </c>
      <c r="M516" s="16" t="n">
        <v>45910</v>
      </c>
      <c r="N516" s="6" t="s">
        <v>104</v>
      </c>
      <c r="O516" s="21" t="s">
        <v>104</v>
      </c>
      <c r="P516" s="6" t="s">
        <v>104</v>
      </c>
      <c r="Q516" s="6" t="s">
        <v>104</v>
      </c>
      <c r="R516" s="6" t="s">
        <v>104</v>
      </c>
      <c r="S516" s="6" t="s">
        <v>104</v>
      </c>
      <c r="T516" s="21" t="s">
        <v>104</v>
      </c>
      <c r="U516" s="6" t="s">
        <v>104</v>
      </c>
      <c r="V516" s="6" t="s">
        <v>104</v>
      </c>
      <c r="W516" s="6" t="s">
        <v>104</v>
      </c>
      <c r="X516" s="6" t="s">
        <v>104</v>
      </c>
      <c r="Y516" s="21" t="s">
        <v>104</v>
      </c>
      <c r="Z516" s="6" t="s">
        <v>104</v>
      </c>
      <c r="AA516" s="6" t="s">
        <v>104</v>
      </c>
      <c r="AB516" s="6" t="s">
        <v>104</v>
      </c>
      <c r="AC516" s="6" t="s">
        <v>9714</v>
      </c>
      <c r="AD516" s="16" t="n">
        <v>43964</v>
      </c>
      <c r="AE516" s="6" t="s">
        <v>10987</v>
      </c>
      <c r="AF516" s="6" t="s">
        <v>104</v>
      </c>
      <c r="AG516" s="6" t="s">
        <v>12643</v>
      </c>
      <c r="AH516" s="6" t="s">
        <v>13623</v>
      </c>
      <c r="AI516" s="6" t="s">
        <v>104</v>
      </c>
      <c r="AJ516" s="6" t="s">
        <v>15491</v>
      </c>
      <c r="AK516" s="6" t="s">
        <v>15707</v>
      </c>
      <c r="AL516" s="6" t="s">
        <v>16766</v>
      </c>
      <c r="AM516" s="6" t="s">
        <v>104</v>
      </c>
      <c r="AN516" s="6" t="s">
        <v>104</v>
      </c>
      <c r="AO516" s="6" t="s">
        <v>104</v>
      </c>
      <c r="AP516" s="6" t="s">
        <v>104</v>
      </c>
      <c r="AQ516" s="6" t="s">
        <v>104</v>
      </c>
      <c r="AR516" s="6" t="s">
        <v>104</v>
      </c>
      <c r="AS516" s="6" t="s">
        <v>104</v>
      </c>
      <c r="AT516" s="6" t="s">
        <v>104</v>
      </c>
      <c r="AU516" s="6" t="s">
        <v>104</v>
      </c>
      <c r="AV516" s="6" t="s">
        <v>104</v>
      </c>
      <c r="AW516" s="6" t="s">
        <v>104</v>
      </c>
      <c r="AX516" s="6" t="s">
        <v>104</v>
      </c>
      <c r="AY516" s="6" t="s">
        <v>22287</v>
      </c>
      <c r="AZ516" s="6" t="s">
        <v>104</v>
      </c>
      <c r="BA516" s="6" t="s">
        <v>24258</v>
      </c>
      <c r="BB516" s="6" t="s">
        <v>104</v>
      </c>
      <c r="BC516" s="26"/>
      <c r="BD516" s="26"/>
      <c r="BE516" s="26"/>
      <c r="BF516" s="26"/>
      <c r="BG516" s="26"/>
      <c r="BH516" s="26"/>
      <c r="BI516" s="26"/>
      <c r="BJ516" s="26"/>
      <c r="BK516" s="26"/>
      <c r="BL516" s="26"/>
      <c r="BM516" s="26"/>
      <c r="BN516" s="26"/>
      <c r="BO516" s="26"/>
      <c r="BP516" s="16" t="n">
        <v>45737</v>
      </c>
      <c r="BQ516" s="28" t="str">
        <f>HYPERLINK("https://organic.ams.usda.gov/Integrity/Certificate.aspx?cid=32&amp;nopid=2230007352")</f>
        <v>https://organic.ams.usda.gov/Integrity/Certificate.aspx?cid=32&amp;nopid=2230007352</v>
      </c>
    </row>
    <row r="517">
      <c r="A517" t="s">
        <v>3</v>
      </c>
      <c r="B517" s="6" t="s">
        <v>6</v>
      </c>
      <c r="C517" s="6" t="s">
        <v>72</v>
      </c>
      <c r="D517" s="6" t="s">
        <v>137</v>
      </c>
      <c r="E517" s="10" t="s">
        <v>715</v>
      </c>
      <c r="F517" s="6" t="s">
        <v>2969</v>
      </c>
      <c r="G517" s="6" t="s">
        <v>104</v>
      </c>
      <c r="H517" s="6" t="s">
        <v>5359</v>
      </c>
      <c r="I517" s="6" t="s">
        <v>7282</v>
      </c>
      <c r="J517" s="6" t="s">
        <v>8532</v>
      </c>
      <c r="K517" s="6" t="s">
        <v>9714</v>
      </c>
      <c r="L517" s="16" t="n">
        <v>44792</v>
      </c>
      <c r="M517" s="16" t="n">
        <v>45812</v>
      </c>
      <c r="N517" s="6" t="s">
        <v>104</v>
      </c>
      <c r="O517" s="21" t="s">
        <v>104</v>
      </c>
      <c r="P517" s="6" t="s">
        <v>104</v>
      </c>
      <c r="Q517" s="6" t="s">
        <v>104</v>
      </c>
      <c r="R517" s="6" t="s">
        <v>104</v>
      </c>
      <c r="S517" s="6" t="s">
        <v>104</v>
      </c>
      <c r="T517" s="21" t="s">
        <v>104</v>
      </c>
      <c r="U517" s="6" t="s">
        <v>104</v>
      </c>
      <c r="V517" s="6" t="s">
        <v>104</v>
      </c>
      <c r="W517" s="6" t="s">
        <v>104</v>
      </c>
      <c r="X517" s="6" t="s">
        <v>104</v>
      </c>
      <c r="Y517" s="21" t="s">
        <v>104</v>
      </c>
      <c r="Z517" s="6" t="s">
        <v>104</v>
      </c>
      <c r="AA517" s="6" t="s">
        <v>104</v>
      </c>
      <c r="AB517" s="6" t="s">
        <v>104</v>
      </c>
      <c r="AC517" s="6" t="s">
        <v>9714</v>
      </c>
      <c r="AD517" s="16" t="n">
        <v>44792</v>
      </c>
      <c r="AE517" s="6" t="s">
        <v>10988</v>
      </c>
      <c r="AF517" s="6" t="s">
        <v>104</v>
      </c>
      <c r="AG517" s="6" t="s">
        <v>12644</v>
      </c>
      <c r="AH517" s="6" t="s">
        <v>13624</v>
      </c>
      <c r="AI517" s="6" t="s">
        <v>104</v>
      </c>
      <c r="AJ517" s="6" t="s">
        <v>15491</v>
      </c>
      <c r="AK517" s="6" t="s">
        <v>16779</v>
      </c>
      <c r="AL517" s="6" t="s">
        <v>16766</v>
      </c>
      <c r="AM517" s="6" t="s">
        <v>104</v>
      </c>
      <c r="AN517" s="6" t="s">
        <v>104</v>
      </c>
      <c r="AO517" s="6" t="s">
        <v>104</v>
      </c>
      <c r="AP517" s="6" t="s">
        <v>104</v>
      </c>
      <c r="AQ517" s="6" t="s">
        <v>104</v>
      </c>
      <c r="AR517" s="6" t="s">
        <v>104</v>
      </c>
      <c r="AS517" s="6" t="s">
        <v>104</v>
      </c>
      <c r="AT517" s="6" t="s">
        <v>104</v>
      </c>
      <c r="AU517" s="6" t="s">
        <v>104</v>
      </c>
      <c r="AV517" s="6" t="s">
        <v>104</v>
      </c>
      <c r="AW517" s="6" t="s">
        <v>104</v>
      </c>
      <c r="AX517" s="6" t="s">
        <v>104</v>
      </c>
      <c r="AY517" s="6" t="s">
        <v>22288</v>
      </c>
      <c r="AZ517" s="6" t="s">
        <v>104</v>
      </c>
      <c r="BA517" s="6" t="s">
        <v>24258</v>
      </c>
      <c r="BB517" s="6" t="s">
        <v>104</v>
      </c>
      <c r="BC517" s="26"/>
      <c r="BD517" s="26"/>
      <c r="BE517" s="26"/>
      <c r="BF517" s="26"/>
      <c r="BG517" s="26"/>
      <c r="BH517" s="26"/>
      <c r="BI517" s="26"/>
      <c r="BJ517" s="26"/>
      <c r="BK517" s="26"/>
      <c r="BL517" s="26"/>
      <c r="BM517" s="26"/>
      <c r="BN517" s="26"/>
      <c r="BO517" s="26"/>
      <c r="BP517" s="16" t="n">
        <v>45737</v>
      </c>
      <c r="BQ517" s="28" t="str">
        <f>HYPERLINK("https://organic.ams.usda.gov/Integrity/Certificate.aspx?cid=32&amp;nopid=2230009580")</f>
        <v>https://organic.ams.usda.gov/Integrity/Certificate.aspx?cid=32&amp;nopid=2230009580</v>
      </c>
    </row>
    <row r="518">
      <c r="A518" t="s">
        <v>3</v>
      </c>
      <c r="B518" s="6" t="s">
        <v>6</v>
      </c>
      <c r="C518" s="6" t="s">
        <v>72</v>
      </c>
      <c r="D518" s="6" t="s">
        <v>137</v>
      </c>
      <c r="E518" s="10" t="s">
        <v>716</v>
      </c>
      <c r="F518" s="6" t="s">
        <v>2970</v>
      </c>
      <c r="G518" s="6" t="s">
        <v>104</v>
      </c>
      <c r="H518" s="6" t="s">
        <v>5360</v>
      </c>
      <c r="I518" s="6" t="s">
        <v>7282</v>
      </c>
      <c r="J518" s="6" t="s">
        <v>8532</v>
      </c>
      <c r="K518" s="6" t="s">
        <v>9714</v>
      </c>
      <c r="L518" s="16" t="n">
        <v>45505</v>
      </c>
      <c r="M518" s="16" t="n">
        <v>45811</v>
      </c>
      <c r="N518" s="6" t="s">
        <v>104</v>
      </c>
      <c r="O518" s="21" t="s">
        <v>104</v>
      </c>
      <c r="P518" s="6" t="s">
        <v>104</v>
      </c>
      <c r="Q518" s="6" t="s">
        <v>104</v>
      </c>
      <c r="R518" s="6" t="s">
        <v>104</v>
      </c>
      <c r="S518" s="6" t="s">
        <v>104</v>
      </c>
      <c r="T518" s="21" t="s">
        <v>104</v>
      </c>
      <c r="U518" s="6" t="s">
        <v>104</v>
      </c>
      <c r="V518" s="6" t="s">
        <v>104</v>
      </c>
      <c r="W518" s="6" t="s">
        <v>104</v>
      </c>
      <c r="X518" s="6" t="s">
        <v>104</v>
      </c>
      <c r="Y518" s="21" t="s">
        <v>104</v>
      </c>
      <c r="Z518" s="6" t="s">
        <v>104</v>
      </c>
      <c r="AA518" s="6" t="s">
        <v>104</v>
      </c>
      <c r="AB518" s="6" t="s">
        <v>104</v>
      </c>
      <c r="AC518" s="6" t="s">
        <v>9714</v>
      </c>
      <c r="AD518" s="16" t="n">
        <v>45505</v>
      </c>
      <c r="AE518" s="6" t="s">
        <v>10989</v>
      </c>
      <c r="AF518" s="6" t="s">
        <v>104</v>
      </c>
      <c r="AG518" s="6" t="s">
        <v>12645</v>
      </c>
      <c r="AH518" s="6" t="s">
        <v>13625</v>
      </c>
      <c r="AI518" s="6" t="s">
        <v>104</v>
      </c>
      <c r="AJ518" s="6" t="s">
        <v>15491</v>
      </c>
      <c r="AK518" s="6" t="s">
        <v>16779</v>
      </c>
      <c r="AL518" s="6" t="s">
        <v>16766</v>
      </c>
      <c r="AM518" s="6" t="s">
        <v>104</v>
      </c>
      <c r="AN518" s="6" t="s">
        <v>104</v>
      </c>
      <c r="AO518" s="6" t="s">
        <v>104</v>
      </c>
      <c r="AP518" s="6" t="s">
        <v>104</v>
      </c>
      <c r="AQ518" s="6" t="s">
        <v>104</v>
      </c>
      <c r="AR518" s="6" t="s">
        <v>104</v>
      </c>
      <c r="AS518" s="6" t="s">
        <v>104</v>
      </c>
      <c r="AT518" s="6" t="s">
        <v>104</v>
      </c>
      <c r="AU518" s="6" t="s">
        <v>104</v>
      </c>
      <c r="AV518" s="6" t="s">
        <v>104</v>
      </c>
      <c r="AW518" s="6" t="s">
        <v>104</v>
      </c>
      <c r="AX518" s="6" t="s">
        <v>20521</v>
      </c>
      <c r="AY518" s="6" t="s">
        <v>22289</v>
      </c>
      <c r="AZ518" s="6" t="s">
        <v>104</v>
      </c>
      <c r="BA518" s="6" t="s">
        <v>24258</v>
      </c>
      <c r="BB518" s="6" t="s">
        <v>104</v>
      </c>
      <c r="BC518" s="26"/>
      <c r="BD518" s="26"/>
      <c r="BE518" s="26"/>
      <c r="BF518" s="26"/>
      <c r="BG518" s="26"/>
      <c r="BH518" s="26"/>
      <c r="BI518" s="26"/>
      <c r="BJ518" s="26"/>
      <c r="BK518" s="26"/>
      <c r="BL518" s="26"/>
      <c r="BM518" s="26"/>
      <c r="BN518" s="26"/>
      <c r="BO518" s="26"/>
      <c r="BP518" s="16" t="n">
        <v>45737</v>
      </c>
      <c r="BQ518" s="28" t="str">
        <f>HYPERLINK("https://organic.ams.usda.gov/Integrity/Certificate.aspx?cid=32&amp;nopid=2230009581")</f>
        <v>https://organic.ams.usda.gov/Integrity/Certificate.aspx?cid=32&amp;nopid=2230009581</v>
      </c>
    </row>
    <row r="519">
      <c r="A519" t="s">
        <v>3</v>
      </c>
      <c r="B519" s="6" t="s">
        <v>24</v>
      </c>
      <c r="C519" s="6" t="s">
        <v>90</v>
      </c>
      <c r="D519" s="6" t="s">
        <v>155</v>
      </c>
      <c r="E519" s="10" t="s">
        <v>717</v>
      </c>
      <c r="F519" s="6" t="s">
        <v>2971</v>
      </c>
      <c r="G519" s="6" t="s">
        <v>104</v>
      </c>
      <c r="H519" s="6" t="s">
        <v>5361</v>
      </c>
      <c r="I519" s="6" t="s">
        <v>7094</v>
      </c>
      <c r="J519" s="6" t="s">
        <v>8533</v>
      </c>
      <c r="K519" s="6" t="s">
        <v>9714</v>
      </c>
      <c r="L519" s="16" t="n">
        <v>45631</v>
      </c>
      <c r="M519" s="16" t="n">
        <v>45868</v>
      </c>
      <c r="N519" s="6" t="s">
        <v>9714</v>
      </c>
      <c r="O519" s="16" t="n">
        <v>45631</v>
      </c>
      <c r="P519" s="6" t="s">
        <v>9864</v>
      </c>
      <c r="Q519" s="6" t="s">
        <v>104</v>
      </c>
      <c r="R519" s="6" t="s">
        <v>10340</v>
      </c>
      <c r="S519" s="6" t="s">
        <v>104</v>
      </c>
      <c r="T519" s="21" t="s">
        <v>104</v>
      </c>
      <c r="U519" s="6" t="s">
        <v>104</v>
      </c>
      <c r="V519" s="6" t="s">
        <v>104</v>
      </c>
      <c r="W519" s="6" t="s">
        <v>104</v>
      </c>
      <c r="X519" s="6" t="s">
        <v>104</v>
      </c>
      <c r="Y519" s="21" t="s">
        <v>104</v>
      </c>
      <c r="Z519" s="6" t="s">
        <v>104</v>
      </c>
      <c r="AA519" s="6" t="s">
        <v>104</v>
      </c>
      <c r="AB519" s="6" t="s">
        <v>104</v>
      </c>
      <c r="AC519" s="6" t="s">
        <v>9714</v>
      </c>
      <c r="AD519" s="16" t="n">
        <v>45631</v>
      </c>
      <c r="AE519" s="6" t="s">
        <v>10990</v>
      </c>
      <c r="AF519" s="6" t="s">
        <v>104</v>
      </c>
      <c r="AG519" s="6" t="s">
        <v>5361</v>
      </c>
      <c r="AH519" s="6" t="s">
        <v>13626</v>
      </c>
      <c r="AI519" s="6" t="s">
        <v>15253</v>
      </c>
      <c r="AJ519" s="6" t="s">
        <v>15644</v>
      </c>
      <c r="AK519" s="6" t="s">
        <v>16769</v>
      </c>
      <c r="AL519" s="6" t="s">
        <v>16766</v>
      </c>
      <c r="AM519" s="6" t="s">
        <v>17335</v>
      </c>
      <c r="AN519" s="6" t="s">
        <v>104</v>
      </c>
      <c r="AO519" s="6" t="s">
        <v>104</v>
      </c>
      <c r="AP519" s="6" t="s">
        <v>19087</v>
      </c>
      <c r="AQ519" s="6" t="s">
        <v>104</v>
      </c>
      <c r="AR519" s="6" t="s">
        <v>19636</v>
      </c>
      <c r="AS519" s="6" t="s">
        <v>15707</v>
      </c>
      <c r="AT519" s="6" t="s">
        <v>16766</v>
      </c>
      <c r="AU519" s="6" t="s">
        <v>17329</v>
      </c>
      <c r="AV519" s="6" t="s">
        <v>104</v>
      </c>
      <c r="AW519" s="6" t="s">
        <v>104</v>
      </c>
      <c r="AX519" s="6" t="s">
        <v>20522</v>
      </c>
      <c r="AY519" s="6" t="s">
        <v>22290</v>
      </c>
      <c r="AZ519" s="6" t="s">
        <v>104</v>
      </c>
      <c r="BA519" s="6" t="s">
        <v>104</v>
      </c>
      <c r="BB519" s="24" t="n">
        <v>3089</v>
      </c>
      <c r="BC519" s="26"/>
      <c r="BD519" s="26"/>
      <c r="BE519" s="26"/>
      <c r="BF519" s="26"/>
      <c r="BG519" s="26"/>
      <c r="BH519" s="26"/>
      <c r="BI519" s="26"/>
      <c r="BJ519" s="26"/>
      <c r="BK519" s="26"/>
      <c r="BL519" s="26"/>
      <c r="BM519" s="26"/>
      <c r="BN519" s="26"/>
      <c r="BO519" s="26"/>
      <c r="BP519" s="16" t="n">
        <v>45631</v>
      </c>
      <c r="BQ519" s="28" t="str">
        <f>HYPERLINK("https://organic.ams.usda.gov/Integrity/Certificate.aspx?cid=7&amp;nopid=3950001301")</f>
        <v>https://organic.ams.usda.gov/Integrity/Certificate.aspx?cid=7&amp;nopid=3950001301</v>
      </c>
    </row>
    <row r="520">
      <c r="A520" t="s">
        <v>3</v>
      </c>
      <c r="B520" s="6" t="s">
        <v>6</v>
      </c>
      <c r="C520" s="6" t="s">
        <v>72</v>
      </c>
      <c r="D520" s="6" t="s">
        <v>137</v>
      </c>
      <c r="E520" s="10" t="s">
        <v>718</v>
      </c>
      <c r="F520" s="6" t="s">
        <v>2972</v>
      </c>
      <c r="G520" s="6" t="s">
        <v>104</v>
      </c>
      <c r="H520" s="6" t="s">
        <v>5362</v>
      </c>
      <c r="I520" s="6" t="s">
        <v>7283</v>
      </c>
      <c r="J520" s="6" t="s">
        <v>8534</v>
      </c>
      <c r="K520" s="6" t="s">
        <v>9714</v>
      </c>
      <c r="L520" s="16" t="n">
        <v>43909</v>
      </c>
      <c r="M520" s="16" t="n">
        <v>45793</v>
      </c>
      <c r="N520" s="6" t="s">
        <v>104</v>
      </c>
      <c r="O520" s="21" t="s">
        <v>104</v>
      </c>
      <c r="P520" s="6" t="s">
        <v>104</v>
      </c>
      <c r="Q520" s="6" t="s">
        <v>104</v>
      </c>
      <c r="R520" s="6" t="s">
        <v>104</v>
      </c>
      <c r="S520" s="6" t="s">
        <v>104</v>
      </c>
      <c r="T520" s="21" t="s">
        <v>104</v>
      </c>
      <c r="U520" s="6" t="s">
        <v>104</v>
      </c>
      <c r="V520" s="6" t="s">
        <v>104</v>
      </c>
      <c r="W520" s="6" t="s">
        <v>104</v>
      </c>
      <c r="X520" s="6" t="s">
        <v>104</v>
      </c>
      <c r="Y520" s="21" t="s">
        <v>104</v>
      </c>
      <c r="Z520" s="6" t="s">
        <v>104</v>
      </c>
      <c r="AA520" s="6" t="s">
        <v>104</v>
      </c>
      <c r="AB520" s="6" t="s">
        <v>104</v>
      </c>
      <c r="AC520" s="6" t="s">
        <v>9714</v>
      </c>
      <c r="AD520" s="16" t="n">
        <v>43909</v>
      </c>
      <c r="AE520" s="6" t="s">
        <v>10991</v>
      </c>
      <c r="AF520" s="6" t="s">
        <v>104</v>
      </c>
      <c r="AG520" s="6" t="s">
        <v>12646</v>
      </c>
      <c r="AH520" s="6" t="s">
        <v>13627</v>
      </c>
      <c r="AI520" s="6" t="s">
        <v>104</v>
      </c>
      <c r="AJ520" s="6" t="s">
        <v>15711</v>
      </c>
      <c r="AK520" s="6" t="s">
        <v>15707</v>
      </c>
      <c r="AL520" s="6" t="s">
        <v>16766</v>
      </c>
      <c r="AM520" s="6" t="s">
        <v>104</v>
      </c>
      <c r="AN520" s="6" t="s">
        <v>104</v>
      </c>
      <c r="AO520" s="6" t="s">
        <v>104</v>
      </c>
      <c r="AP520" s="6" t="s">
        <v>104</v>
      </c>
      <c r="AQ520" s="6" t="s">
        <v>104</v>
      </c>
      <c r="AR520" s="6" t="s">
        <v>104</v>
      </c>
      <c r="AS520" s="6" t="s">
        <v>104</v>
      </c>
      <c r="AT520" s="6" t="s">
        <v>104</v>
      </c>
      <c r="AU520" s="6" t="s">
        <v>104</v>
      </c>
      <c r="AV520" s="6" t="s">
        <v>104</v>
      </c>
      <c r="AW520" s="6" t="s">
        <v>104</v>
      </c>
      <c r="AX520" s="6" t="s">
        <v>20523</v>
      </c>
      <c r="AY520" s="6" t="s">
        <v>22290</v>
      </c>
      <c r="AZ520" s="6" t="s">
        <v>104</v>
      </c>
      <c r="BA520" s="6" t="s">
        <v>24258</v>
      </c>
      <c r="BB520" s="6" t="s">
        <v>104</v>
      </c>
      <c r="BC520" s="26"/>
      <c r="BD520" s="26"/>
      <c r="BE520" s="26"/>
      <c r="BF520" s="26"/>
      <c r="BG520" s="26"/>
      <c r="BH520" s="26"/>
      <c r="BI520" s="26"/>
      <c r="BJ520" s="26"/>
      <c r="BK520" s="26"/>
      <c r="BL520" s="26"/>
      <c r="BM520" s="26"/>
      <c r="BN520" s="26"/>
      <c r="BO520" s="26"/>
      <c r="BP520" s="16" t="n">
        <v>45737</v>
      </c>
      <c r="BQ520" s="28" t="str">
        <f>HYPERLINK("https://organic.ams.usda.gov/Integrity/Certificate.aspx?cid=32&amp;nopid=2230006906")</f>
        <v>https://organic.ams.usda.gov/Integrity/Certificate.aspx?cid=32&amp;nopid=2230006906</v>
      </c>
    </row>
    <row r="521">
      <c r="A521" t="s">
        <v>3</v>
      </c>
      <c r="B521" s="6" t="s">
        <v>6</v>
      </c>
      <c r="C521" s="6" t="s">
        <v>72</v>
      </c>
      <c r="D521" s="6" t="s">
        <v>137</v>
      </c>
      <c r="E521" s="10" t="s">
        <v>719</v>
      </c>
      <c r="F521" s="6" t="s">
        <v>2973</v>
      </c>
      <c r="G521" s="6" t="s">
        <v>104</v>
      </c>
      <c r="H521" s="6" t="s">
        <v>5363</v>
      </c>
      <c r="I521" s="6" t="s">
        <v>7272</v>
      </c>
      <c r="J521" s="6" t="s">
        <v>8002</v>
      </c>
      <c r="K521" s="6" t="s">
        <v>9714</v>
      </c>
      <c r="L521" s="16" t="n">
        <v>44795</v>
      </c>
      <c r="M521" s="16" t="n">
        <v>45821</v>
      </c>
      <c r="N521" s="6" t="s">
        <v>104</v>
      </c>
      <c r="O521" s="21" t="s">
        <v>104</v>
      </c>
      <c r="P521" s="6" t="s">
        <v>104</v>
      </c>
      <c r="Q521" s="6" t="s">
        <v>104</v>
      </c>
      <c r="R521" s="6" t="s">
        <v>104</v>
      </c>
      <c r="S521" s="6" t="s">
        <v>104</v>
      </c>
      <c r="T521" s="21" t="s">
        <v>104</v>
      </c>
      <c r="U521" s="6" t="s">
        <v>104</v>
      </c>
      <c r="V521" s="6" t="s">
        <v>104</v>
      </c>
      <c r="W521" s="6" t="s">
        <v>104</v>
      </c>
      <c r="X521" s="6" t="s">
        <v>104</v>
      </c>
      <c r="Y521" s="21" t="s">
        <v>104</v>
      </c>
      <c r="Z521" s="6" t="s">
        <v>104</v>
      </c>
      <c r="AA521" s="6" t="s">
        <v>104</v>
      </c>
      <c r="AB521" s="6" t="s">
        <v>104</v>
      </c>
      <c r="AC521" s="6" t="s">
        <v>9714</v>
      </c>
      <c r="AD521" s="16" t="n">
        <v>44795</v>
      </c>
      <c r="AE521" s="6" t="s">
        <v>10992</v>
      </c>
      <c r="AF521" s="6" t="s">
        <v>104</v>
      </c>
      <c r="AG521" s="6" t="s">
        <v>12647</v>
      </c>
      <c r="AH521" s="6" t="s">
        <v>13628</v>
      </c>
      <c r="AI521" s="6" t="s">
        <v>104</v>
      </c>
      <c r="AJ521" s="6" t="s">
        <v>15491</v>
      </c>
      <c r="AK521" s="6" t="s">
        <v>16779</v>
      </c>
      <c r="AL521" s="6" t="s">
        <v>16766</v>
      </c>
      <c r="AM521" s="6" t="s">
        <v>104</v>
      </c>
      <c r="AN521" s="6" t="s">
        <v>104</v>
      </c>
      <c r="AO521" s="6" t="s">
        <v>104</v>
      </c>
      <c r="AP521" s="6" t="s">
        <v>104</v>
      </c>
      <c r="AQ521" s="6" t="s">
        <v>104</v>
      </c>
      <c r="AR521" s="6" t="s">
        <v>104</v>
      </c>
      <c r="AS521" s="6" t="s">
        <v>104</v>
      </c>
      <c r="AT521" s="6" t="s">
        <v>104</v>
      </c>
      <c r="AU521" s="6" t="s">
        <v>104</v>
      </c>
      <c r="AV521" s="6" t="s">
        <v>104</v>
      </c>
      <c r="AW521" s="6" t="s">
        <v>104</v>
      </c>
      <c r="AX521" s="6" t="s">
        <v>104</v>
      </c>
      <c r="AY521" s="6" t="s">
        <v>22279</v>
      </c>
      <c r="AZ521" s="6" t="s">
        <v>104</v>
      </c>
      <c r="BA521" s="6" t="s">
        <v>24258</v>
      </c>
      <c r="BB521" s="6" t="s">
        <v>104</v>
      </c>
      <c r="BC521" s="26"/>
      <c r="BD521" s="26"/>
      <c r="BE521" s="26"/>
      <c r="BF521" s="26"/>
      <c r="BG521" s="26"/>
      <c r="BH521" s="26"/>
      <c r="BI521" s="26"/>
      <c r="BJ521" s="26"/>
      <c r="BK521" s="26"/>
      <c r="BL521" s="26"/>
      <c r="BM521" s="26"/>
      <c r="BN521" s="26"/>
      <c r="BO521" s="26"/>
      <c r="BP521" s="16" t="n">
        <v>45737</v>
      </c>
      <c r="BQ521" s="28" t="str">
        <f>HYPERLINK("https://organic.ams.usda.gov/Integrity/Certificate.aspx?cid=32&amp;nopid=2230009709")</f>
        <v>https://organic.ams.usda.gov/Integrity/Certificate.aspx?cid=32&amp;nopid=2230009709</v>
      </c>
    </row>
    <row r="522">
      <c r="A522" t="s">
        <v>3</v>
      </c>
      <c r="B522" s="6" t="s">
        <v>29</v>
      </c>
      <c r="C522" s="6" t="s">
        <v>95</v>
      </c>
      <c r="D522" s="6" t="s">
        <v>160</v>
      </c>
      <c r="E522" s="10" t="s">
        <v>720</v>
      </c>
      <c r="F522" s="6" t="s">
        <v>2974</v>
      </c>
      <c r="G522" s="6" t="s">
        <v>104</v>
      </c>
      <c r="H522" s="6" t="s">
        <v>5364</v>
      </c>
      <c r="I522" s="6" t="s">
        <v>104</v>
      </c>
      <c r="J522" s="6" t="s">
        <v>8535</v>
      </c>
      <c r="K522" s="6" t="s">
        <v>9714</v>
      </c>
      <c r="L522" s="16" t="n">
        <v>45259</v>
      </c>
      <c r="M522" s="16" t="n">
        <v>45870</v>
      </c>
      <c r="N522" s="6" t="s">
        <v>9714</v>
      </c>
      <c r="O522" s="16" t="n">
        <v>45259</v>
      </c>
      <c r="P522" s="6" t="s">
        <v>9865</v>
      </c>
      <c r="Q522" s="6" t="s">
        <v>104</v>
      </c>
      <c r="R522" s="6" t="s">
        <v>104</v>
      </c>
      <c r="S522" s="6" t="s">
        <v>104</v>
      </c>
      <c r="T522" s="21" t="s">
        <v>104</v>
      </c>
      <c r="U522" s="6" t="s">
        <v>104</v>
      </c>
      <c r="V522" s="6" t="s">
        <v>104</v>
      </c>
      <c r="W522" s="6" t="s">
        <v>104</v>
      </c>
      <c r="X522" s="6" t="s">
        <v>104</v>
      </c>
      <c r="Y522" s="21" t="s">
        <v>104</v>
      </c>
      <c r="Z522" s="6" t="s">
        <v>104</v>
      </c>
      <c r="AA522" s="6" t="s">
        <v>104</v>
      </c>
      <c r="AB522" s="6" t="s">
        <v>104</v>
      </c>
      <c r="AC522" s="6" t="s">
        <v>9714</v>
      </c>
      <c r="AD522" s="16" t="n">
        <v>45259</v>
      </c>
      <c r="AE522" s="6" t="s">
        <v>10993</v>
      </c>
      <c r="AF522" s="6" t="s">
        <v>104</v>
      </c>
      <c r="AG522" s="6" t="s">
        <v>104</v>
      </c>
      <c r="AH522" s="6" t="s">
        <v>13629</v>
      </c>
      <c r="AI522" s="6" t="s">
        <v>104</v>
      </c>
      <c r="AJ522" s="6" t="s">
        <v>15554</v>
      </c>
      <c r="AK522" s="6" t="s">
        <v>15707</v>
      </c>
      <c r="AL522" s="6" t="s">
        <v>16766</v>
      </c>
      <c r="AM522" s="6" t="s">
        <v>17329</v>
      </c>
      <c r="AN522" s="6" t="s">
        <v>104</v>
      </c>
      <c r="AO522" s="6" t="s">
        <v>104</v>
      </c>
      <c r="AP522" s="6" t="s">
        <v>104</v>
      </c>
      <c r="AQ522" s="6" t="s">
        <v>104</v>
      </c>
      <c r="AR522" s="6" t="s">
        <v>104</v>
      </c>
      <c r="AS522" s="6" t="s">
        <v>104</v>
      </c>
      <c r="AT522" s="6" t="s">
        <v>104</v>
      </c>
      <c r="AU522" s="6" t="s">
        <v>104</v>
      </c>
      <c r="AV522" s="6" t="s">
        <v>104</v>
      </c>
      <c r="AW522" s="6" t="s">
        <v>104</v>
      </c>
      <c r="AX522" s="6" t="s">
        <v>20524</v>
      </c>
      <c r="AY522" s="6" t="s">
        <v>22291</v>
      </c>
      <c r="AZ522" s="6" t="s">
        <v>104</v>
      </c>
      <c r="BA522" s="6" t="s">
        <v>24269</v>
      </c>
      <c r="BB522" s="24" t="n">
        <v>0</v>
      </c>
      <c r="BC522" s="26"/>
      <c r="BD522" s="26"/>
      <c r="BE522" s="26"/>
      <c r="BF522" s="26"/>
      <c r="BG522" s="26"/>
      <c r="BH522" s="26"/>
      <c r="BI522" s="26"/>
      <c r="BJ522" s="26"/>
      <c r="BK522" s="26"/>
      <c r="BL522" s="26"/>
      <c r="BM522" s="26"/>
      <c r="BN522" s="26"/>
      <c r="BO522" s="26"/>
      <c r="BP522" s="16" t="n">
        <v>45680</v>
      </c>
      <c r="BQ522" s="28" t="str">
        <f>HYPERLINK("https://organic.ams.usda.gov/Integrity/Certificate.aspx?cid=24&amp;nopid=7880287424")</f>
        <v>https://organic.ams.usda.gov/Integrity/Certificate.aspx?cid=24&amp;nopid=7880287424</v>
      </c>
    </row>
    <row r="523">
      <c r="A523" t="s">
        <v>3</v>
      </c>
      <c r="B523" s="6" t="s">
        <v>6</v>
      </c>
      <c r="C523" s="6" t="s">
        <v>72</v>
      </c>
      <c r="D523" s="6" t="s">
        <v>137</v>
      </c>
      <c r="E523" s="10" t="s">
        <v>721</v>
      </c>
      <c r="F523" s="6" t="s">
        <v>2975</v>
      </c>
      <c r="G523" s="6" t="s">
        <v>104</v>
      </c>
      <c r="H523" s="6" t="s">
        <v>5365</v>
      </c>
      <c r="I523" s="6" t="s">
        <v>7202</v>
      </c>
      <c r="J523" s="6" t="s">
        <v>8536</v>
      </c>
      <c r="K523" s="6" t="s">
        <v>9714</v>
      </c>
      <c r="L523" s="16" t="n">
        <v>44110</v>
      </c>
      <c r="M523" s="16" t="n">
        <v>45950</v>
      </c>
      <c r="N523" s="6" t="s">
        <v>104</v>
      </c>
      <c r="O523" s="21" t="s">
        <v>104</v>
      </c>
      <c r="P523" s="6" t="s">
        <v>104</v>
      </c>
      <c r="Q523" s="6" t="s">
        <v>104</v>
      </c>
      <c r="R523" s="6" t="s">
        <v>104</v>
      </c>
      <c r="S523" s="6" t="s">
        <v>104</v>
      </c>
      <c r="T523" s="21" t="s">
        <v>104</v>
      </c>
      <c r="U523" s="6" t="s">
        <v>104</v>
      </c>
      <c r="V523" s="6" t="s">
        <v>104</v>
      </c>
      <c r="W523" s="6" t="s">
        <v>104</v>
      </c>
      <c r="X523" s="6" t="s">
        <v>104</v>
      </c>
      <c r="Y523" s="21" t="s">
        <v>104</v>
      </c>
      <c r="Z523" s="6" t="s">
        <v>104</v>
      </c>
      <c r="AA523" s="6" t="s">
        <v>104</v>
      </c>
      <c r="AB523" s="6" t="s">
        <v>104</v>
      </c>
      <c r="AC523" s="6" t="s">
        <v>9714</v>
      </c>
      <c r="AD523" s="16" t="n">
        <v>44110</v>
      </c>
      <c r="AE523" s="6" t="s">
        <v>10994</v>
      </c>
      <c r="AF523" s="6" t="s">
        <v>104</v>
      </c>
      <c r="AG523" s="6" t="s">
        <v>12648</v>
      </c>
      <c r="AH523" s="6" t="s">
        <v>13630</v>
      </c>
      <c r="AI523" s="6" t="s">
        <v>104</v>
      </c>
      <c r="AJ523" s="6" t="s">
        <v>15491</v>
      </c>
      <c r="AK523" s="6" t="s">
        <v>16779</v>
      </c>
      <c r="AL523" s="6" t="s">
        <v>16766</v>
      </c>
      <c r="AM523" s="6" t="s">
        <v>104</v>
      </c>
      <c r="AN523" s="6" t="s">
        <v>104</v>
      </c>
      <c r="AO523" s="6" t="s">
        <v>104</v>
      </c>
      <c r="AP523" s="6" t="s">
        <v>104</v>
      </c>
      <c r="AQ523" s="6" t="s">
        <v>104</v>
      </c>
      <c r="AR523" s="6" t="s">
        <v>104</v>
      </c>
      <c r="AS523" s="6" t="s">
        <v>104</v>
      </c>
      <c r="AT523" s="6" t="s">
        <v>104</v>
      </c>
      <c r="AU523" s="6" t="s">
        <v>104</v>
      </c>
      <c r="AV523" s="6" t="s">
        <v>104</v>
      </c>
      <c r="AW523" s="6" t="s">
        <v>104</v>
      </c>
      <c r="AX523" s="6" t="s">
        <v>20525</v>
      </c>
      <c r="AY523" s="6" t="s">
        <v>22292</v>
      </c>
      <c r="AZ523" s="6" t="s">
        <v>104</v>
      </c>
      <c r="BA523" s="6" t="s">
        <v>24336</v>
      </c>
      <c r="BB523" s="6" t="s">
        <v>104</v>
      </c>
      <c r="BC523" s="26"/>
      <c r="BD523" s="26"/>
      <c r="BE523" s="26"/>
      <c r="BF523" s="26"/>
      <c r="BG523" s="26"/>
      <c r="BH523" s="26"/>
      <c r="BI523" s="26"/>
      <c r="BJ523" s="26"/>
      <c r="BK523" s="26"/>
      <c r="BL523" s="26"/>
      <c r="BM523" s="26"/>
      <c r="BN523" s="26"/>
      <c r="BO523" s="26"/>
      <c r="BP523" s="16" t="n">
        <v>45737</v>
      </c>
      <c r="BQ523" s="28" t="str">
        <f>HYPERLINK("https://organic.ams.usda.gov/Integrity/Certificate.aspx?cid=32&amp;nopid=2230008032")</f>
        <v>https://organic.ams.usda.gov/Integrity/Certificate.aspx?cid=32&amp;nopid=2230008032</v>
      </c>
    </row>
    <row r="524">
      <c r="A524" t="s">
        <v>3</v>
      </c>
      <c r="B524" s="6" t="s">
        <v>6</v>
      </c>
      <c r="C524" s="6" t="s">
        <v>72</v>
      </c>
      <c r="D524" s="6" t="s">
        <v>137</v>
      </c>
      <c r="E524" s="10" t="s">
        <v>722</v>
      </c>
      <c r="F524" s="6" t="s">
        <v>2976</v>
      </c>
      <c r="G524" s="6" t="s">
        <v>104</v>
      </c>
      <c r="H524" s="6" t="s">
        <v>5366</v>
      </c>
      <c r="I524" s="6" t="s">
        <v>7202</v>
      </c>
      <c r="J524" s="6" t="s">
        <v>8536</v>
      </c>
      <c r="K524" s="6" t="s">
        <v>9714</v>
      </c>
      <c r="L524" s="16" t="n">
        <v>45713</v>
      </c>
      <c r="M524" s="16" t="n">
        <v>45951</v>
      </c>
      <c r="N524" s="6" t="s">
        <v>104</v>
      </c>
      <c r="O524" s="21" t="s">
        <v>104</v>
      </c>
      <c r="P524" s="6" t="s">
        <v>104</v>
      </c>
      <c r="Q524" s="6" t="s">
        <v>104</v>
      </c>
      <c r="R524" s="6" t="s">
        <v>104</v>
      </c>
      <c r="S524" s="6" t="s">
        <v>104</v>
      </c>
      <c r="T524" s="21" t="s">
        <v>104</v>
      </c>
      <c r="U524" s="6" t="s">
        <v>104</v>
      </c>
      <c r="V524" s="6" t="s">
        <v>104</v>
      </c>
      <c r="W524" s="6" t="s">
        <v>104</v>
      </c>
      <c r="X524" s="6" t="s">
        <v>104</v>
      </c>
      <c r="Y524" s="21" t="s">
        <v>104</v>
      </c>
      <c r="Z524" s="6" t="s">
        <v>104</v>
      </c>
      <c r="AA524" s="6" t="s">
        <v>104</v>
      </c>
      <c r="AB524" s="6" t="s">
        <v>104</v>
      </c>
      <c r="AC524" s="6" t="s">
        <v>9714</v>
      </c>
      <c r="AD524" s="16" t="n">
        <v>45713</v>
      </c>
      <c r="AE524" s="6" t="s">
        <v>10995</v>
      </c>
      <c r="AF524" s="6" t="s">
        <v>104</v>
      </c>
      <c r="AG524" s="6" t="s">
        <v>12649</v>
      </c>
      <c r="AH524" s="6" t="s">
        <v>13631</v>
      </c>
      <c r="AI524" s="6" t="s">
        <v>104</v>
      </c>
      <c r="AJ524" s="6" t="s">
        <v>15491</v>
      </c>
      <c r="AK524" s="6" t="s">
        <v>16779</v>
      </c>
      <c r="AL524" s="6" t="s">
        <v>16766</v>
      </c>
      <c r="AM524" s="6" t="s">
        <v>104</v>
      </c>
      <c r="AN524" s="6" t="s">
        <v>104</v>
      </c>
      <c r="AO524" s="6" t="s">
        <v>104</v>
      </c>
      <c r="AP524" s="6" t="s">
        <v>104</v>
      </c>
      <c r="AQ524" s="6" t="s">
        <v>104</v>
      </c>
      <c r="AR524" s="6" t="s">
        <v>104</v>
      </c>
      <c r="AS524" s="6" t="s">
        <v>104</v>
      </c>
      <c r="AT524" s="6" t="s">
        <v>104</v>
      </c>
      <c r="AU524" s="6" t="s">
        <v>104</v>
      </c>
      <c r="AV524" s="6" t="s">
        <v>104</v>
      </c>
      <c r="AW524" s="6" t="s">
        <v>104</v>
      </c>
      <c r="AX524" s="6" t="s">
        <v>20525</v>
      </c>
      <c r="AY524" s="6" t="s">
        <v>22293</v>
      </c>
      <c r="AZ524" s="6" t="s">
        <v>104</v>
      </c>
      <c r="BA524" s="6" t="s">
        <v>24258</v>
      </c>
      <c r="BB524" s="6" t="s">
        <v>104</v>
      </c>
      <c r="BC524" s="26"/>
      <c r="BD524" s="26"/>
      <c r="BE524" s="26"/>
      <c r="BF524" s="26"/>
      <c r="BG524" s="26"/>
      <c r="BH524" s="26"/>
      <c r="BI524" s="26"/>
      <c r="BJ524" s="26"/>
      <c r="BK524" s="26"/>
      <c r="BL524" s="26"/>
      <c r="BM524" s="26"/>
      <c r="BN524" s="26"/>
      <c r="BO524" s="26"/>
      <c r="BP524" s="16" t="n">
        <v>45737</v>
      </c>
      <c r="BQ524" s="28" t="str">
        <f>HYPERLINK("https://organic.ams.usda.gov/Integrity/Certificate.aspx?cid=32&amp;nopid=2230011590")</f>
        <v>https://organic.ams.usda.gov/Integrity/Certificate.aspx?cid=32&amp;nopid=2230011590</v>
      </c>
    </row>
    <row r="525">
      <c r="A525" t="s">
        <v>3</v>
      </c>
      <c r="B525" s="6" t="s">
        <v>6</v>
      </c>
      <c r="C525" s="6" t="s">
        <v>72</v>
      </c>
      <c r="D525" s="6" t="s">
        <v>137</v>
      </c>
      <c r="E525" s="10" t="s">
        <v>723</v>
      </c>
      <c r="F525" s="6" t="s">
        <v>2977</v>
      </c>
      <c r="G525" s="6" t="s">
        <v>104</v>
      </c>
      <c r="H525" s="6" t="s">
        <v>5367</v>
      </c>
      <c r="I525" s="6" t="s">
        <v>7284</v>
      </c>
      <c r="J525" s="6" t="s">
        <v>8537</v>
      </c>
      <c r="K525" s="6" t="s">
        <v>9714</v>
      </c>
      <c r="L525" s="16" t="n">
        <v>45415</v>
      </c>
      <c r="M525" s="16" t="n">
        <v>45728</v>
      </c>
      <c r="N525" s="6" t="s">
        <v>104</v>
      </c>
      <c r="O525" s="21" t="s">
        <v>104</v>
      </c>
      <c r="P525" s="6" t="s">
        <v>104</v>
      </c>
      <c r="Q525" s="6" t="s">
        <v>104</v>
      </c>
      <c r="R525" s="6" t="s">
        <v>104</v>
      </c>
      <c r="S525" s="6" t="s">
        <v>104</v>
      </c>
      <c r="T525" s="21" t="s">
        <v>104</v>
      </c>
      <c r="U525" s="6" t="s">
        <v>104</v>
      </c>
      <c r="V525" s="6" t="s">
        <v>104</v>
      </c>
      <c r="W525" s="6" t="s">
        <v>104</v>
      </c>
      <c r="X525" s="6" t="s">
        <v>104</v>
      </c>
      <c r="Y525" s="21" t="s">
        <v>104</v>
      </c>
      <c r="Z525" s="6" t="s">
        <v>104</v>
      </c>
      <c r="AA525" s="6" t="s">
        <v>104</v>
      </c>
      <c r="AB525" s="6" t="s">
        <v>104</v>
      </c>
      <c r="AC525" s="6" t="s">
        <v>9714</v>
      </c>
      <c r="AD525" s="16" t="n">
        <v>45415</v>
      </c>
      <c r="AE525" s="6" t="s">
        <v>10996</v>
      </c>
      <c r="AF525" s="6" t="s">
        <v>104</v>
      </c>
      <c r="AG525" s="6" t="s">
        <v>104</v>
      </c>
      <c r="AH525" s="6" t="s">
        <v>13632</v>
      </c>
      <c r="AI525" s="6" t="s">
        <v>104</v>
      </c>
      <c r="AJ525" s="6" t="s">
        <v>15491</v>
      </c>
      <c r="AK525" s="6" t="s">
        <v>15707</v>
      </c>
      <c r="AL525" s="6" t="s">
        <v>16766</v>
      </c>
      <c r="AM525" s="6" t="s">
        <v>104</v>
      </c>
      <c r="AN525" s="6" t="s">
        <v>104</v>
      </c>
      <c r="AO525" s="6" t="s">
        <v>104</v>
      </c>
      <c r="AP525" s="6" t="s">
        <v>104</v>
      </c>
      <c r="AQ525" s="6" t="s">
        <v>104</v>
      </c>
      <c r="AR525" s="6" t="s">
        <v>104</v>
      </c>
      <c r="AS525" s="6" t="s">
        <v>104</v>
      </c>
      <c r="AT525" s="6" t="s">
        <v>104</v>
      </c>
      <c r="AU525" s="6" t="s">
        <v>104</v>
      </c>
      <c r="AV525" s="6" t="s">
        <v>104</v>
      </c>
      <c r="AW525" s="6" t="s">
        <v>104</v>
      </c>
      <c r="AX525" s="6" t="s">
        <v>104</v>
      </c>
      <c r="AY525" s="6" t="s">
        <v>22294</v>
      </c>
      <c r="AZ525" s="6" t="s">
        <v>104</v>
      </c>
      <c r="BA525" s="6" t="s">
        <v>24258</v>
      </c>
      <c r="BB525" s="6" t="s">
        <v>104</v>
      </c>
      <c r="BC525" s="26"/>
      <c r="BD525" s="26"/>
      <c r="BE525" s="26"/>
      <c r="BF525" s="26"/>
      <c r="BG525" s="26"/>
      <c r="BH525" s="26"/>
      <c r="BI525" s="26"/>
      <c r="BJ525" s="26"/>
      <c r="BK525" s="26"/>
      <c r="BL525" s="26"/>
      <c r="BM525" s="26"/>
      <c r="BN525" s="26"/>
      <c r="BO525" s="26"/>
      <c r="BP525" s="16" t="n">
        <v>45737</v>
      </c>
      <c r="BQ525" s="28" t="str">
        <f>HYPERLINK("https://organic.ams.usda.gov/Integrity/Certificate.aspx?cid=32&amp;nopid=2230011178")</f>
        <v>https://organic.ams.usda.gov/Integrity/Certificate.aspx?cid=32&amp;nopid=2230011178</v>
      </c>
    </row>
    <row r="526">
      <c r="A526" t="s">
        <v>3</v>
      </c>
      <c r="B526" s="6" t="s">
        <v>6</v>
      </c>
      <c r="C526" s="6" t="s">
        <v>72</v>
      </c>
      <c r="D526" s="6" t="s">
        <v>137</v>
      </c>
      <c r="E526" s="10" t="s">
        <v>724</v>
      </c>
      <c r="F526" s="6" t="s">
        <v>2977</v>
      </c>
      <c r="G526" s="6" t="s">
        <v>104</v>
      </c>
      <c r="H526" s="6" t="s">
        <v>5368</v>
      </c>
      <c r="I526" s="6" t="s">
        <v>7284</v>
      </c>
      <c r="J526" s="6" t="s">
        <v>8537</v>
      </c>
      <c r="K526" s="6" t="s">
        <v>9714</v>
      </c>
      <c r="L526" s="16" t="n">
        <v>45415</v>
      </c>
      <c r="M526" s="16" t="n">
        <v>45729</v>
      </c>
      <c r="N526" s="6" t="s">
        <v>104</v>
      </c>
      <c r="O526" s="21" t="s">
        <v>104</v>
      </c>
      <c r="P526" s="6" t="s">
        <v>104</v>
      </c>
      <c r="Q526" s="6" t="s">
        <v>104</v>
      </c>
      <c r="R526" s="6" t="s">
        <v>104</v>
      </c>
      <c r="S526" s="6" t="s">
        <v>104</v>
      </c>
      <c r="T526" s="21" t="s">
        <v>104</v>
      </c>
      <c r="U526" s="6" t="s">
        <v>104</v>
      </c>
      <c r="V526" s="6" t="s">
        <v>104</v>
      </c>
      <c r="W526" s="6" t="s">
        <v>104</v>
      </c>
      <c r="X526" s="6" t="s">
        <v>104</v>
      </c>
      <c r="Y526" s="21" t="s">
        <v>104</v>
      </c>
      <c r="Z526" s="6" t="s">
        <v>104</v>
      </c>
      <c r="AA526" s="6" t="s">
        <v>104</v>
      </c>
      <c r="AB526" s="6" t="s">
        <v>104</v>
      </c>
      <c r="AC526" s="6" t="s">
        <v>9714</v>
      </c>
      <c r="AD526" s="16" t="n">
        <v>45415</v>
      </c>
      <c r="AE526" s="6" t="s">
        <v>10997</v>
      </c>
      <c r="AF526" s="6" t="s">
        <v>104</v>
      </c>
      <c r="AG526" s="6" t="s">
        <v>104</v>
      </c>
      <c r="AH526" s="6" t="s">
        <v>13633</v>
      </c>
      <c r="AI526" s="6" t="s">
        <v>104</v>
      </c>
      <c r="AJ526" s="6" t="s">
        <v>15491</v>
      </c>
      <c r="AK526" s="6" t="s">
        <v>15707</v>
      </c>
      <c r="AL526" s="6" t="s">
        <v>16766</v>
      </c>
      <c r="AM526" s="6" t="s">
        <v>104</v>
      </c>
      <c r="AN526" s="6" t="s">
        <v>104</v>
      </c>
      <c r="AO526" s="6" t="s">
        <v>104</v>
      </c>
      <c r="AP526" s="6" t="s">
        <v>104</v>
      </c>
      <c r="AQ526" s="6" t="s">
        <v>104</v>
      </c>
      <c r="AR526" s="6" t="s">
        <v>104</v>
      </c>
      <c r="AS526" s="6" t="s">
        <v>104</v>
      </c>
      <c r="AT526" s="6" t="s">
        <v>104</v>
      </c>
      <c r="AU526" s="6" t="s">
        <v>104</v>
      </c>
      <c r="AV526" s="6" t="s">
        <v>104</v>
      </c>
      <c r="AW526" s="6" t="s">
        <v>104</v>
      </c>
      <c r="AX526" s="6" t="s">
        <v>104</v>
      </c>
      <c r="AY526" s="6" t="s">
        <v>22294</v>
      </c>
      <c r="AZ526" s="6" t="s">
        <v>104</v>
      </c>
      <c r="BA526" s="6" t="s">
        <v>24258</v>
      </c>
      <c r="BB526" s="6" t="s">
        <v>104</v>
      </c>
      <c r="BC526" s="26"/>
      <c r="BD526" s="26"/>
      <c r="BE526" s="26"/>
      <c r="BF526" s="26"/>
      <c r="BG526" s="26"/>
      <c r="BH526" s="26"/>
      <c r="BI526" s="26"/>
      <c r="BJ526" s="26"/>
      <c r="BK526" s="26"/>
      <c r="BL526" s="26"/>
      <c r="BM526" s="26"/>
      <c r="BN526" s="26"/>
      <c r="BO526" s="26"/>
      <c r="BP526" s="16" t="n">
        <v>45737</v>
      </c>
      <c r="BQ526" s="28" t="str">
        <f>HYPERLINK("https://organic.ams.usda.gov/Integrity/Certificate.aspx?cid=32&amp;nopid=2230011179")</f>
        <v>https://organic.ams.usda.gov/Integrity/Certificate.aspx?cid=32&amp;nopid=2230011179</v>
      </c>
    </row>
    <row r="527">
      <c r="A527" t="s">
        <v>3</v>
      </c>
      <c r="B527" s="6" t="s">
        <v>29</v>
      </c>
      <c r="C527" s="6" t="s">
        <v>95</v>
      </c>
      <c r="D527" s="6" t="s">
        <v>160</v>
      </c>
      <c r="E527" s="10" t="s">
        <v>725</v>
      </c>
      <c r="F527" s="6" t="s">
        <v>2978</v>
      </c>
      <c r="G527" s="6" t="s">
        <v>104</v>
      </c>
      <c r="H527" s="6" t="s">
        <v>5369</v>
      </c>
      <c r="I527" s="6" t="s">
        <v>104</v>
      </c>
      <c r="J527" s="6" t="s">
        <v>8538</v>
      </c>
      <c r="K527" s="6" t="s">
        <v>9714</v>
      </c>
      <c r="L527" s="16" t="n">
        <v>41906</v>
      </c>
      <c r="M527" s="16" t="n">
        <v>46054</v>
      </c>
      <c r="N527" s="6" t="s">
        <v>104</v>
      </c>
      <c r="O527" s="21" t="s">
        <v>104</v>
      </c>
      <c r="P527" s="6" t="s">
        <v>104</v>
      </c>
      <c r="Q527" s="6" t="s">
        <v>104</v>
      </c>
      <c r="R527" s="6" t="s">
        <v>104</v>
      </c>
      <c r="S527" s="6" t="s">
        <v>104</v>
      </c>
      <c r="T527" s="21" t="s">
        <v>104</v>
      </c>
      <c r="U527" s="6" t="s">
        <v>104</v>
      </c>
      <c r="V527" s="6" t="s">
        <v>104</v>
      </c>
      <c r="W527" s="6" t="s">
        <v>104</v>
      </c>
      <c r="X527" s="6" t="s">
        <v>104</v>
      </c>
      <c r="Y527" s="21" t="s">
        <v>104</v>
      </c>
      <c r="Z527" s="6" t="s">
        <v>104</v>
      </c>
      <c r="AA527" s="6" t="s">
        <v>104</v>
      </c>
      <c r="AB527" s="6" t="s">
        <v>104</v>
      </c>
      <c r="AC527" s="6" t="s">
        <v>9714</v>
      </c>
      <c r="AD527" s="16" t="n">
        <v>41906</v>
      </c>
      <c r="AE527" s="6" t="s">
        <v>10998</v>
      </c>
      <c r="AF527" s="6" t="s">
        <v>104</v>
      </c>
      <c r="AG527" s="6" t="s">
        <v>104</v>
      </c>
      <c r="AH527" s="6" t="s">
        <v>13634</v>
      </c>
      <c r="AI527" s="6" t="s">
        <v>15254</v>
      </c>
      <c r="AJ527" s="6" t="s">
        <v>15712</v>
      </c>
      <c r="AK527" s="6" t="s">
        <v>16782</v>
      </c>
      <c r="AL527" s="6" t="s">
        <v>16766</v>
      </c>
      <c r="AM527" s="6" t="s">
        <v>104</v>
      </c>
      <c r="AN527" s="6" t="s">
        <v>104</v>
      </c>
      <c r="AO527" s="6" t="s">
        <v>104</v>
      </c>
      <c r="AP527" s="6" t="s">
        <v>104</v>
      </c>
      <c r="AQ527" s="6" t="s">
        <v>104</v>
      </c>
      <c r="AR527" s="6" t="s">
        <v>104</v>
      </c>
      <c r="AS527" s="6" t="s">
        <v>104</v>
      </c>
      <c r="AT527" s="6" t="s">
        <v>104</v>
      </c>
      <c r="AU527" s="6" t="s">
        <v>104</v>
      </c>
      <c r="AV527" s="6" t="s">
        <v>104</v>
      </c>
      <c r="AW527" s="6" t="s">
        <v>104</v>
      </c>
      <c r="AX527" s="6" t="s">
        <v>20526</v>
      </c>
      <c r="AY527" s="6" t="s">
        <v>22295</v>
      </c>
      <c r="AZ527" s="6" t="s">
        <v>104</v>
      </c>
      <c r="BA527" s="6" t="s">
        <v>104</v>
      </c>
      <c r="BB527" s="24" t="n">
        <v>0</v>
      </c>
      <c r="BC527" s="26"/>
      <c r="BD527" s="26"/>
      <c r="BE527" s="26"/>
      <c r="BF527" s="26"/>
      <c r="BG527" s="26"/>
      <c r="BH527" s="26"/>
      <c r="BI527" s="26"/>
      <c r="BJ527" s="26"/>
      <c r="BK527" s="26"/>
      <c r="BL527" s="26"/>
      <c r="BM527" s="26"/>
      <c r="BN527" s="26"/>
      <c r="BO527" s="26"/>
      <c r="BP527" s="16" t="n">
        <v>45690</v>
      </c>
      <c r="BQ527" s="28" t="str">
        <f>HYPERLINK("https://organic.ams.usda.gov/Integrity/Certificate.aspx?cid=24&amp;nopid=7882250400")</f>
        <v>https://organic.ams.usda.gov/Integrity/Certificate.aspx?cid=24&amp;nopid=7882250400</v>
      </c>
    </row>
    <row r="528">
      <c r="A528" t="s">
        <v>3</v>
      </c>
      <c r="B528" s="6" t="s">
        <v>6</v>
      </c>
      <c r="C528" s="6" t="s">
        <v>72</v>
      </c>
      <c r="D528" s="6" t="s">
        <v>137</v>
      </c>
      <c r="E528" s="10" t="s">
        <v>726</v>
      </c>
      <c r="F528" s="6" t="s">
        <v>2979</v>
      </c>
      <c r="G528" s="6" t="s">
        <v>104</v>
      </c>
      <c r="H528" s="6" t="s">
        <v>5370</v>
      </c>
      <c r="I528" s="6" t="s">
        <v>7285</v>
      </c>
      <c r="J528" s="6" t="s">
        <v>6952</v>
      </c>
      <c r="K528" s="6" t="s">
        <v>9714</v>
      </c>
      <c r="L528" s="16" t="n">
        <v>44286</v>
      </c>
      <c r="M528" s="16" t="n">
        <v>45982</v>
      </c>
      <c r="N528" s="6" t="s">
        <v>104</v>
      </c>
      <c r="O528" s="21" t="s">
        <v>104</v>
      </c>
      <c r="P528" s="6" t="s">
        <v>104</v>
      </c>
      <c r="Q528" s="6" t="s">
        <v>104</v>
      </c>
      <c r="R528" s="6" t="s">
        <v>104</v>
      </c>
      <c r="S528" s="6" t="s">
        <v>104</v>
      </c>
      <c r="T528" s="21" t="s">
        <v>104</v>
      </c>
      <c r="U528" s="6" t="s">
        <v>104</v>
      </c>
      <c r="V528" s="6" t="s">
        <v>104</v>
      </c>
      <c r="W528" s="6" t="s">
        <v>104</v>
      </c>
      <c r="X528" s="6" t="s">
        <v>104</v>
      </c>
      <c r="Y528" s="21" t="s">
        <v>104</v>
      </c>
      <c r="Z528" s="6" t="s">
        <v>104</v>
      </c>
      <c r="AA528" s="6" t="s">
        <v>104</v>
      </c>
      <c r="AB528" s="6" t="s">
        <v>104</v>
      </c>
      <c r="AC528" s="6" t="s">
        <v>9714</v>
      </c>
      <c r="AD528" s="16" t="n">
        <v>44286</v>
      </c>
      <c r="AE528" s="6" t="s">
        <v>10999</v>
      </c>
      <c r="AF528" s="6" t="s">
        <v>104</v>
      </c>
      <c r="AG528" s="6" t="s">
        <v>12650</v>
      </c>
      <c r="AH528" s="6" t="s">
        <v>13635</v>
      </c>
      <c r="AI528" s="6" t="s">
        <v>104</v>
      </c>
      <c r="AJ528" s="6" t="s">
        <v>15491</v>
      </c>
      <c r="AK528" s="6" t="s">
        <v>15707</v>
      </c>
      <c r="AL528" s="6" t="s">
        <v>16766</v>
      </c>
      <c r="AM528" s="6" t="s">
        <v>104</v>
      </c>
      <c r="AN528" s="6" t="s">
        <v>104</v>
      </c>
      <c r="AO528" s="6" t="s">
        <v>104</v>
      </c>
      <c r="AP528" s="6" t="s">
        <v>104</v>
      </c>
      <c r="AQ528" s="6" t="s">
        <v>104</v>
      </c>
      <c r="AR528" s="6" t="s">
        <v>104</v>
      </c>
      <c r="AS528" s="6" t="s">
        <v>104</v>
      </c>
      <c r="AT528" s="6" t="s">
        <v>104</v>
      </c>
      <c r="AU528" s="6" t="s">
        <v>104</v>
      </c>
      <c r="AV528" s="6" t="s">
        <v>104</v>
      </c>
      <c r="AW528" s="6" t="s">
        <v>104</v>
      </c>
      <c r="AX528" s="6" t="s">
        <v>104</v>
      </c>
      <c r="AY528" s="6" t="s">
        <v>22296</v>
      </c>
      <c r="AZ528" s="6" t="s">
        <v>104</v>
      </c>
      <c r="BA528" s="6" t="s">
        <v>24337</v>
      </c>
      <c r="BB528" s="6" t="s">
        <v>104</v>
      </c>
      <c r="BC528" s="26"/>
      <c r="BD528" s="26"/>
      <c r="BE528" s="26"/>
      <c r="BF528" s="26"/>
      <c r="BG528" s="26"/>
      <c r="BH528" s="26"/>
      <c r="BI528" s="26"/>
      <c r="BJ528" s="26"/>
      <c r="BK528" s="26"/>
      <c r="BL528" s="26"/>
      <c r="BM528" s="26"/>
      <c r="BN528" s="26"/>
      <c r="BO528" s="26"/>
      <c r="BP528" s="16" t="n">
        <v>45737</v>
      </c>
      <c r="BQ528" s="28" t="str">
        <f>HYPERLINK("https://organic.ams.usda.gov/Integrity/Certificate.aspx?cid=32&amp;nopid=2230008042")</f>
        <v>https://organic.ams.usda.gov/Integrity/Certificate.aspx?cid=32&amp;nopid=2230008042</v>
      </c>
    </row>
    <row r="529">
      <c r="A529" t="s">
        <v>3</v>
      </c>
      <c r="B529" s="6" t="s">
        <v>6</v>
      </c>
      <c r="C529" s="6" t="s">
        <v>72</v>
      </c>
      <c r="D529" s="6" t="s">
        <v>137</v>
      </c>
      <c r="E529" s="10" t="s">
        <v>727</v>
      </c>
      <c r="F529" s="6" t="s">
        <v>2980</v>
      </c>
      <c r="G529" s="6" t="s">
        <v>104</v>
      </c>
      <c r="H529" s="6" t="s">
        <v>5371</v>
      </c>
      <c r="I529" s="6" t="s">
        <v>7286</v>
      </c>
      <c r="J529" s="6" t="s">
        <v>7290</v>
      </c>
      <c r="K529" s="6" t="s">
        <v>9714</v>
      </c>
      <c r="L529" s="16" t="n">
        <v>45310</v>
      </c>
      <c r="M529" s="16" t="n">
        <v>45528</v>
      </c>
      <c r="N529" s="6" t="s">
        <v>104</v>
      </c>
      <c r="O529" s="21" t="s">
        <v>104</v>
      </c>
      <c r="P529" s="6" t="s">
        <v>104</v>
      </c>
      <c r="Q529" s="6" t="s">
        <v>104</v>
      </c>
      <c r="R529" s="6" t="s">
        <v>104</v>
      </c>
      <c r="S529" s="6" t="s">
        <v>104</v>
      </c>
      <c r="T529" s="21" t="s">
        <v>104</v>
      </c>
      <c r="U529" s="6" t="s">
        <v>104</v>
      </c>
      <c r="V529" s="6" t="s">
        <v>104</v>
      </c>
      <c r="W529" s="6" t="s">
        <v>104</v>
      </c>
      <c r="X529" s="6" t="s">
        <v>104</v>
      </c>
      <c r="Y529" s="21" t="s">
        <v>104</v>
      </c>
      <c r="Z529" s="6" t="s">
        <v>104</v>
      </c>
      <c r="AA529" s="6" t="s">
        <v>104</v>
      </c>
      <c r="AB529" s="6" t="s">
        <v>104</v>
      </c>
      <c r="AC529" s="6" t="s">
        <v>9714</v>
      </c>
      <c r="AD529" s="16" t="n">
        <v>45310</v>
      </c>
      <c r="AE529" s="6" t="s">
        <v>11000</v>
      </c>
      <c r="AF529" s="6" t="s">
        <v>104</v>
      </c>
      <c r="AG529" s="6" t="s">
        <v>12651</v>
      </c>
      <c r="AH529" s="6" t="s">
        <v>13636</v>
      </c>
      <c r="AI529" s="6" t="s">
        <v>104</v>
      </c>
      <c r="AJ529" s="6" t="s">
        <v>15713</v>
      </c>
      <c r="AK529" s="6" t="s">
        <v>16767</v>
      </c>
      <c r="AL529" s="6" t="s">
        <v>16766</v>
      </c>
      <c r="AM529" s="6" t="s">
        <v>104</v>
      </c>
      <c r="AN529" s="6" t="s">
        <v>104</v>
      </c>
      <c r="AO529" s="6" t="s">
        <v>104</v>
      </c>
      <c r="AP529" s="6" t="s">
        <v>104</v>
      </c>
      <c r="AQ529" s="6" t="s">
        <v>104</v>
      </c>
      <c r="AR529" s="6" t="s">
        <v>104</v>
      </c>
      <c r="AS529" s="6" t="s">
        <v>104</v>
      </c>
      <c r="AT529" s="6" t="s">
        <v>104</v>
      </c>
      <c r="AU529" s="6" t="s">
        <v>104</v>
      </c>
      <c r="AV529" s="6" t="s">
        <v>104</v>
      </c>
      <c r="AW529" s="6" t="s">
        <v>104</v>
      </c>
      <c r="AX529" s="6" t="s">
        <v>104</v>
      </c>
      <c r="AY529" s="6" t="s">
        <v>22296</v>
      </c>
      <c r="AZ529" s="6" t="s">
        <v>104</v>
      </c>
      <c r="BA529" s="6" t="s">
        <v>24338</v>
      </c>
      <c r="BB529" s="6" t="s">
        <v>104</v>
      </c>
      <c r="BC529" s="26"/>
      <c r="BD529" s="26"/>
      <c r="BE529" s="26"/>
      <c r="BF529" s="26"/>
      <c r="BG529" s="26"/>
      <c r="BH529" s="26"/>
      <c r="BI529" s="26"/>
      <c r="BJ529" s="26"/>
      <c r="BK529" s="26"/>
      <c r="BL529" s="26"/>
      <c r="BM529" s="26"/>
      <c r="BN529" s="26"/>
      <c r="BO529" s="26"/>
      <c r="BP529" s="16" t="n">
        <v>45737</v>
      </c>
      <c r="BQ529" s="28" t="str">
        <f>HYPERLINK("https://organic.ams.usda.gov/Integrity/Certificate.aspx?cid=32&amp;nopid=2230010674")</f>
        <v>https://organic.ams.usda.gov/Integrity/Certificate.aspx?cid=32&amp;nopid=2230010674</v>
      </c>
    </row>
    <row r="530">
      <c r="A530" t="s">
        <v>3</v>
      </c>
      <c r="B530" s="6" t="s">
        <v>6</v>
      </c>
      <c r="C530" s="6" t="s">
        <v>72</v>
      </c>
      <c r="D530" s="6" t="s">
        <v>137</v>
      </c>
      <c r="E530" s="10" t="s">
        <v>728</v>
      </c>
      <c r="F530" s="6" t="s">
        <v>2981</v>
      </c>
      <c r="G530" s="6" t="s">
        <v>104</v>
      </c>
      <c r="H530" s="6" t="s">
        <v>5372</v>
      </c>
      <c r="I530" s="6" t="s">
        <v>7287</v>
      </c>
      <c r="J530" s="6" t="s">
        <v>8539</v>
      </c>
      <c r="K530" s="6" t="s">
        <v>9714</v>
      </c>
      <c r="L530" s="16" t="n">
        <v>43123</v>
      </c>
      <c r="M530" s="16" t="n">
        <v>45822</v>
      </c>
      <c r="N530" s="6" t="s">
        <v>104</v>
      </c>
      <c r="O530" s="21" t="s">
        <v>104</v>
      </c>
      <c r="P530" s="6" t="s">
        <v>104</v>
      </c>
      <c r="Q530" s="6" t="s">
        <v>104</v>
      </c>
      <c r="R530" s="6" t="s">
        <v>104</v>
      </c>
      <c r="S530" s="6" t="s">
        <v>104</v>
      </c>
      <c r="T530" s="21" t="s">
        <v>104</v>
      </c>
      <c r="U530" s="6" t="s">
        <v>104</v>
      </c>
      <c r="V530" s="6" t="s">
        <v>104</v>
      </c>
      <c r="W530" s="6" t="s">
        <v>104</v>
      </c>
      <c r="X530" s="6" t="s">
        <v>104</v>
      </c>
      <c r="Y530" s="21" t="s">
        <v>104</v>
      </c>
      <c r="Z530" s="6" t="s">
        <v>104</v>
      </c>
      <c r="AA530" s="6" t="s">
        <v>104</v>
      </c>
      <c r="AB530" s="6" t="s">
        <v>104</v>
      </c>
      <c r="AC530" s="6" t="s">
        <v>9714</v>
      </c>
      <c r="AD530" s="16" t="n">
        <v>43123</v>
      </c>
      <c r="AE530" s="6" t="s">
        <v>11001</v>
      </c>
      <c r="AF530" s="6" t="s">
        <v>104</v>
      </c>
      <c r="AG530" s="6" t="s">
        <v>12652</v>
      </c>
      <c r="AH530" s="6" t="s">
        <v>13637</v>
      </c>
      <c r="AI530" s="6" t="s">
        <v>104</v>
      </c>
      <c r="AJ530" s="6" t="s">
        <v>15491</v>
      </c>
      <c r="AK530" s="6" t="s">
        <v>16783</v>
      </c>
      <c r="AL530" s="6" t="s">
        <v>16766</v>
      </c>
      <c r="AM530" s="6" t="s">
        <v>104</v>
      </c>
      <c r="AN530" s="6" t="s">
        <v>104</v>
      </c>
      <c r="AO530" s="6" t="s">
        <v>104</v>
      </c>
      <c r="AP530" s="6" t="s">
        <v>104</v>
      </c>
      <c r="AQ530" s="6" t="s">
        <v>104</v>
      </c>
      <c r="AR530" s="6" t="s">
        <v>104</v>
      </c>
      <c r="AS530" s="6" t="s">
        <v>104</v>
      </c>
      <c r="AT530" s="6" t="s">
        <v>104</v>
      </c>
      <c r="AU530" s="6" t="s">
        <v>104</v>
      </c>
      <c r="AV530" s="6" t="s">
        <v>104</v>
      </c>
      <c r="AW530" s="6" t="s">
        <v>104</v>
      </c>
      <c r="AX530" s="6" t="s">
        <v>104</v>
      </c>
      <c r="AY530" s="6" t="s">
        <v>22297</v>
      </c>
      <c r="AZ530" s="6" t="s">
        <v>104</v>
      </c>
      <c r="BA530" s="6" t="s">
        <v>24258</v>
      </c>
      <c r="BB530" s="6" t="s">
        <v>104</v>
      </c>
      <c r="BC530" s="26"/>
      <c r="BD530" s="26"/>
      <c r="BE530" s="26"/>
      <c r="BF530" s="26"/>
      <c r="BG530" s="26"/>
      <c r="BH530" s="26"/>
      <c r="BI530" s="26"/>
      <c r="BJ530" s="26"/>
      <c r="BK530" s="26"/>
      <c r="BL530" s="26"/>
      <c r="BM530" s="26"/>
      <c r="BN530" s="26"/>
      <c r="BO530" s="26"/>
      <c r="BP530" s="16" t="n">
        <v>45737</v>
      </c>
      <c r="BQ530" s="28" t="str">
        <f>HYPERLINK("https://organic.ams.usda.gov/Integrity/Certificate.aspx?cid=32&amp;nopid=2230005181")</f>
        <v>https://organic.ams.usda.gov/Integrity/Certificate.aspx?cid=32&amp;nopid=2230005181</v>
      </c>
    </row>
    <row r="531">
      <c r="A531" t="s">
        <v>3</v>
      </c>
      <c r="B531" s="6" t="s">
        <v>48</v>
      </c>
      <c r="C531" s="6" t="s">
        <v>114</v>
      </c>
      <c r="D531" s="6" t="s">
        <v>178</v>
      </c>
      <c r="E531" s="10" t="s">
        <v>729</v>
      </c>
      <c r="F531" s="6" t="s">
        <v>2982</v>
      </c>
      <c r="G531" s="6" t="s">
        <v>104</v>
      </c>
      <c r="H531" s="6" t="s">
        <v>5373</v>
      </c>
      <c r="I531" s="6" t="s">
        <v>7288</v>
      </c>
      <c r="J531" s="6" t="s">
        <v>8540</v>
      </c>
      <c r="K531" s="6" t="s">
        <v>9714</v>
      </c>
      <c r="L531" s="16" t="n">
        <v>40508</v>
      </c>
      <c r="M531" s="16" t="n">
        <v>46203</v>
      </c>
      <c r="N531" s="6" t="s">
        <v>104</v>
      </c>
      <c r="O531" s="21" t="s">
        <v>104</v>
      </c>
      <c r="P531" s="6" t="s">
        <v>104</v>
      </c>
      <c r="Q531" s="6" t="s">
        <v>104</v>
      </c>
      <c r="R531" s="6" t="s">
        <v>104</v>
      </c>
      <c r="S531" s="6" t="s">
        <v>104</v>
      </c>
      <c r="T531" s="21" t="s">
        <v>104</v>
      </c>
      <c r="U531" s="6" t="s">
        <v>104</v>
      </c>
      <c r="V531" s="6" t="s">
        <v>104</v>
      </c>
      <c r="W531" s="6" t="s">
        <v>104</v>
      </c>
      <c r="X531" s="6" t="s">
        <v>104</v>
      </c>
      <c r="Y531" s="21" t="s">
        <v>104</v>
      </c>
      <c r="Z531" s="6" t="s">
        <v>104</v>
      </c>
      <c r="AA531" s="6" t="s">
        <v>104</v>
      </c>
      <c r="AB531" s="6" t="s">
        <v>104</v>
      </c>
      <c r="AC531" s="6" t="s">
        <v>9714</v>
      </c>
      <c r="AD531" s="16" t="n">
        <v>40508</v>
      </c>
      <c r="AE531" s="6" t="s">
        <v>11002</v>
      </c>
      <c r="AF531" s="6" t="s">
        <v>104</v>
      </c>
      <c r="AG531" s="6" t="s">
        <v>104</v>
      </c>
      <c r="AH531" s="6" t="s">
        <v>13638</v>
      </c>
      <c r="AI531" s="6" t="s">
        <v>104</v>
      </c>
      <c r="AJ531" s="6" t="s">
        <v>15714</v>
      </c>
      <c r="AK531" s="6" t="s">
        <v>104</v>
      </c>
      <c r="AL531" s="6" t="s">
        <v>16766</v>
      </c>
      <c r="AM531" s="6" t="s">
        <v>17336</v>
      </c>
      <c r="AN531" s="6" t="s">
        <v>104</v>
      </c>
      <c r="AO531" s="6" t="s">
        <v>104</v>
      </c>
      <c r="AP531" s="6" t="s">
        <v>13638</v>
      </c>
      <c r="AQ531" s="6" t="s">
        <v>104</v>
      </c>
      <c r="AR531" s="6" t="s">
        <v>15714</v>
      </c>
      <c r="AS531" s="6" t="s">
        <v>104</v>
      </c>
      <c r="AT531" s="6" t="s">
        <v>16766</v>
      </c>
      <c r="AU531" s="6" t="s">
        <v>17336</v>
      </c>
      <c r="AV531" s="6" t="s">
        <v>104</v>
      </c>
      <c r="AW531" s="6" t="s">
        <v>104</v>
      </c>
      <c r="AX531" s="6" t="s">
        <v>20527</v>
      </c>
      <c r="AY531" s="6" t="s">
        <v>22298</v>
      </c>
      <c r="AZ531" s="6" t="s">
        <v>23817</v>
      </c>
      <c r="BA531" s="6" t="s">
        <v>104</v>
      </c>
      <c r="BB531" s="6" t="s">
        <v>104</v>
      </c>
      <c r="BC531" s="26"/>
      <c r="BD531" s="26"/>
      <c r="BE531" s="26"/>
      <c r="BF531" s="26"/>
      <c r="BG531" s="26"/>
      <c r="BH531" s="26"/>
      <c r="BI531" s="26"/>
      <c r="BJ531" s="26"/>
      <c r="BK531" s="26"/>
      <c r="BL531" s="26"/>
      <c r="BM531" s="26"/>
      <c r="BN531" s="26"/>
      <c r="BO531" s="26"/>
      <c r="BP531" s="16" t="n">
        <v>45625</v>
      </c>
      <c r="BQ531" s="28" t="str">
        <f>HYPERLINK("https://organic.ams.usda.gov/Integrity/Certificate.aspx?cid=9&amp;nopid=1201984900")</f>
        <v>https://organic.ams.usda.gov/Integrity/Certificate.aspx?cid=9&amp;nopid=1201984900</v>
      </c>
    </row>
    <row r="532">
      <c r="A532" t="s">
        <v>3</v>
      </c>
      <c r="B532" s="6" t="s">
        <v>6</v>
      </c>
      <c r="C532" s="6" t="s">
        <v>72</v>
      </c>
      <c r="D532" s="6" t="s">
        <v>137</v>
      </c>
      <c r="E532" s="10" t="s">
        <v>730</v>
      </c>
      <c r="F532" s="6" t="s">
        <v>2983</v>
      </c>
      <c r="G532" s="6" t="s">
        <v>104</v>
      </c>
      <c r="H532" s="6" t="s">
        <v>5374</v>
      </c>
      <c r="I532" s="6" t="s">
        <v>7281</v>
      </c>
      <c r="J532" s="6" t="s">
        <v>7166</v>
      </c>
      <c r="K532" s="6" t="s">
        <v>9714</v>
      </c>
      <c r="L532" s="16" t="n">
        <v>43877</v>
      </c>
      <c r="M532" s="16" t="n">
        <v>45980</v>
      </c>
      <c r="N532" s="6" t="s">
        <v>9721</v>
      </c>
      <c r="O532" s="16" t="n">
        <v>43877</v>
      </c>
      <c r="P532" s="6" t="s">
        <v>104</v>
      </c>
      <c r="Q532" s="6" t="s">
        <v>104</v>
      </c>
      <c r="R532" s="6" t="s">
        <v>104</v>
      </c>
      <c r="S532" s="6" t="s">
        <v>104</v>
      </c>
      <c r="T532" s="21" t="s">
        <v>104</v>
      </c>
      <c r="U532" s="6" t="s">
        <v>104</v>
      </c>
      <c r="V532" s="6" t="s">
        <v>104</v>
      </c>
      <c r="W532" s="6" t="s">
        <v>104</v>
      </c>
      <c r="X532" s="6" t="s">
        <v>104</v>
      </c>
      <c r="Y532" s="21" t="s">
        <v>104</v>
      </c>
      <c r="Z532" s="6" t="s">
        <v>104</v>
      </c>
      <c r="AA532" s="6" t="s">
        <v>104</v>
      </c>
      <c r="AB532" s="6" t="s">
        <v>104</v>
      </c>
      <c r="AC532" s="6" t="s">
        <v>9714</v>
      </c>
      <c r="AD532" s="16" t="n">
        <v>43877</v>
      </c>
      <c r="AE532" s="6" t="s">
        <v>11003</v>
      </c>
      <c r="AF532" s="6" t="s">
        <v>104</v>
      </c>
      <c r="AG532" s="6" t="s">
        <v>12653</v>
      </c>
      <c r="AH532" s="6" t="s">
        <v>13639</v>
      </c>
      <c r="AI532" s="6" t="s">
        <v>104</v>
      </c>
      <c r="AJ532" s="6" t="s">
        <v>15491</v>
      </c>
      <c r="AK532" s="6" t="s">
        <v>15707</v>
      </c>
      <c r="AL532" s="6" t="s">
        <v>16766</v>
      </c>
      <c r="AM532" s="6" t="s">
        <v>104</v>
      </c>
      <c r="AN532" s="6" t="s">
        <v>104</v>
      </c>
      <c r="AO532" s="6" t="s">
        <v>104</v>
      </c>
      <c r="AP532" s="6" t="s">
        <v>104</v>
      </c>
      <c r="AQ532" s="6" t="s">
        <v>104</v>
      </c>
      <c r="AR532" s="6" t="s">
        <v>104</v>
      </c>
      <c r="AS532" s="6" t="s">
        <v>104</v>
      </c>
      <c r="AT532" s="6" t="s">
        <v>104</v>
      </c>
      <c r="AU532" s="6" t="s">
        <v>104</v>
      </c>
      <c r="AV532" s="6" t="s">
        <v>104</v>
      </c>
      <c r="AW532" s="6" t="s">
        <v>104</v>
      </c>
      <c r="AX532" s="6" t="s">
        <v>20525</v>
      </c>
      <c r="AY532" s="6" t="s">
        <v>22292</v>
      </c>
      <c r="AZ532" s="6" t="s">
        <v>104</v>
      </c>
      <c r="BA532" s="6" t="s">
        <v>24258</v>
      </c>
      <c r="BB532" s="6" t="s">
        <v>104</v>
      </c>
      <c r="BC532" s="26"/>
      <c r="BD532" s="26"/>
      <c r="BE532" s="26"/>
      <c r="BF532" s="26"/>
      <c r="BG532" s="26"/>
      <c r="BH532" s="26"/>
      <c r="BI532" s="26"/>
      <c r="BJ532" s="26"/>
      <c r="BK532" s="26"/>
      <c r="BL532" s="26"/>
      <c r="BM532" s="26"/>
      <c r="BN532" s="26"/>
      <c r="BO532" s="26"/>
      <c r="BP532" s="16" t="n">
        <v>45737</v>
      </c>
      <c r="BQ532" s="28" t="str">
        <f>HYPERLINK("https://organic.ams.usda.gov/Integrity/Certificate.aspx?cid=32&amp;nopid=2230008034")</f>
        <v>https://organic.ams.usda.gov/Integrity/Certificate.aspx?cid=32&amp;nopid=2230008034</v>
      </c>
    </row>
    <row r="533">
      <c r="A533" t="s">
        <v>3</v>
      </c>
      <c r="B533" s="6" t="s">
        <v>6</v>
      </c>
      <c r="C533" s="6" t="s">
        <v>72</v>
      </c>
      <c r="D533" s="6" t="s">
        <v>137</v>
      </c>
      <c r="E533" s="10" t="s">
        <v>731</v>
      </c>
      <c r="F533" s="6" t="s">
        <v>2984</v>
      </c>
      <c r="G533" s="6" t="s">
        <v>104</v>
      </c>
      <c r="H533" s="6" t="s">
        <v>5375</v>
      </c>
      <c r="I533" s="6" t="s">
        <v>7206</v>
      </c>
      <c r="J533" s="6" t="s">
        <v>8541</v>
      </c>
      <c r="K533" s="6" t="s">
        <v>9714</v>
      </c>
      <c r="L533" s="16" t="n">
        <v>43147</v>
      </c>
      <c r="M533" s="16" t="n">
        <v>45987</v>
      </c>
      <c r="N533" s="6" t="s">
        <v>104</v>
      </c>
      <c r="O533" s="21" t="s">
        <v>104</v>
      </c>
      <c r="P533" s="6" t="s">
        <v>104</v>
      </c>
      <c r="Q533" s="6" t="s">
        <v>104</v>
      </c>
      <c r="R533" s="6" t="s">
        <v>104</v>
      </c>
      <c r="S533" s="6" t="s">
        <v>104</v>
      </c>
      <c r="T533" s="21" t="s">
        <v>104</v>
      </c>
      <c r="U533" s="6" t="s">
        <v>104</v>
      </c>
      <c r="V533" s="6" t="s">
        <v>104</v>
      </c>
      <c r="W533" s="6" t="s">
        <v>104</v>
      </c>
      <c r="X533" s="6" t="s">
        <v>104</v>
      </c>
      <c r="Y533" s="21" t="s">
        <v>104</v>
      </c>
      <c r="Z533" s="6" t="s">
        <v>104</v>
      </c>
      <c r="AA533" s="6" t="s">
        <v>104</v>
      </c>
      <c r="AB533" s="6" t="s">
        <v>104</v>
      </c>
      <c r="AC533" s="6" t="s">
        <v>9714</v>
      </c>
      <c r="AD533" s="16" t="n">
        <v>43147</v>
      </c>
      <c r="AE533" s="6" t="s">
        <v>11004</v>
      </c>
      <c r="AF533" s="6" t="s">
        <v>104</v>
      </c>
      <c r="AG533" s="6" t="s">
        <v>12654</v>
      </c>
      <c r="AH533" s="6" t="s">
        <v>13640</v>
      </c>
      <c r="AI533" s="6" t="s">
        <v>104</v>
      </c>
      <c r="AJ533" s="6" t="s">
        <v>15554</v>
      </c>
      <c r="AK533" s="6" t="s">
        <v>15707</v>
      </c>
      <c r="AL533" s="6" t="s">
        <v>16766</v>
      </c>
      <c r="AM533" s="6" t="s">
        <v>104</v>
      </c>
      <c r="AN533" s="6" t="s">
        <v>104</v>
      </c>
      <c r="AO533" s="6" t="s">
        <v>104</v>
      </c>
      <c r="AP533" s="6" t="s">
        <v>104</v>
      </c>
      <c r="AQ533" s="6" t="s">
        <v>104</v>
      </c>
      <c r="AR533" s="6" t="s">
        <v>104</v>
      </c>
      <c r="AS533" s="6" t="s">
        <v>104</v>
      </c>
      <c r="AT533" s="6" t="s">
        <v>104</v>
      </c>
      <c r="AU533" s="6" t="s">
        <v>104</v>
      </c>
      <c r="AV533" s="6" t="s">
        <v>104</v>
      </c>
      <c r="AW533" s="6" t="s">
        <v>104</v>
      </c>
      <c r="AX533" s="6" t="s">
        <v>20528</v>
      </c>
      <c r="AY533" s="6" t="s">
        <v>22299</v>
      </c>
      <c r="AZ533" s="6" t="s">
        <v>104</v>
      </c>
      <c r="BA533" s="6" t="s">
        <v>24258</v>
      </c>
      <c r="BB533" s="6" t="s">
        <v>104</v>
      </c>
      <c r="BC533" s="26"/>
      <c r="BD533" s="26"/>
      <c r="BE533" s="26"/>
      <c r="BF533" s="26"/>
      <c r="BG533" s="26"/>
      <c r="BH533" s="26"/>
      <c r="BI533" s="26"/>
      <c r="BJ533" s="26"/>
      <c r="BK533" s="26"/>
      <c r="BL533" s="26"/>
      <c r="BM533" s="26"/>
      <c r="BN533" s="26"/>
      <c r="BO533" s="26"/>
      <c r="BP533" s="16" t="n">
        <v>45737</v>
      </c>
      <c r="BQ533" s="28" t="str">
        <f>HYPERLINK("https://organic.ams.usda.gov/Integrity/Certificate.aspx?cid=32&amp;nopid=2230005371")</f>
        <v>https://organic.ams.usda.gov/Integrity/Certificate.aspx?cid=32&amp;nopid=2230005371</v>
      </c>
    </row>
    <row r="534">
      <c r="A534" t="s">
        <v>3</v>
      </c>
      <c r="B534" s="6" t="s">
        <v>6</v>
      </c>
      <c r="C534" s="6" t="s">
        <v>72</v>
      </c>
      <c r="D534" s="6" t="s">
        <v>137</v>
      </c>
      <c r="E534" s="10" t="s">
        <v>732</v>
      </c>
      <c r="F534" s="6" t="s">
        <v>2985</v>
      </c>
      <c r="G534" s="6" t="s">
        <v>104</v>
      </c>
      <c r="H534" s="6" t="s">
        <v>5376</v>
      </c>
      <c r="I534" s="6" t="s">
        <v>7281</v>
      </c>
      <c r="J534" s="6" t="s">
        <v>8542</v>
      </c>
      <c r="K534" s="6" t="s">
        <v>9714</v>
      </c>
      <c r="L534" s="16" t="n">
        <v>44656</v>
      </c>
      <c r="M534" s="16" t="n">
        <v>45485</v>
      </c>
      <c r="N534" s="6" t="s">
        <v>104</v>
      </c>
      <c r="O534" s="21" t="s">
        <v>104</v>
      </c>
      <c r="P534" s="6" t="s">
        <v>104</v>
      </c>
      <c r="Q534" s="6" t="s">
        <v>104</v>
      </c>
      <c r="R534" s="6" t="s">
        <v>104</v>
      </c>
      <c r="S534" s="6" t="s">
        <v>104</v>
      </c>
      <c r="T534" s="21" t="s">
        <v>104</v>
      </c>
      <c r="U534" s="6" t="s">
        <v>104</v>
      </c>
      <c r="V534" s="6" t="s">
        <v>104</v>
      </c>
      <c r="W534" s="6" t="s">
        <v>104</v>
      </c>
      <c r="X534" s="6" t="s">
        <v>104</v>
      </c>
      <c r="Y534" s="21" t="s">
        <v>104</v>
      </c>
      <c r="Z534" s="6" t="s">
        <v>104</v>
      </c>
      <c r="AA534" s="6" t="s">
        <v>104</v>
      </c>
      <c r="AB534" s="6" t="s">
        <v>104</v>
      </c>
      <c r="AC534" s="6" t="s">
        <v>9714</v>
      </c>
      <c r="AD534" s="16" t="n">
        <v>44656</v>
      </c>
      <c r="AE534" s="6" t="s">
        <v>11005</v>
      </c>
      <c r="AF534" s="6" t="s">
        <v>104</v>
      </c>
      <c r="AG534" s="6" t="s">
        <v>104</v>
      </c>
      <c r="AH534" s="6" t="s">
        <v>13641</v>
      </c>
      <c r="AI534" s="6" t="s">
        <v>104</v>
      </c>
      <c r="AJ534" s="6" t="s">
        <v>15491</v>
      </c>
      <c r="AK534" s="6" t="s">
        <v>16779</v>
      </c>
      <c r="AL534" s="6" t="s">
        <v>16766</v>
      </c>
      <c r="AM534" s="6" t="s">
        <v>104</v>
      </c>
      <c r="AN534" s="6" t="s">
        <v>104</v>
      </c>
      <c r="AO534" s="6" t="s">
        <v>104</v>
      </c>
      <c r="AP534" s="6" t="s">
        <v>104</v>
      </c>
      <c r="AQ534" s="6" t="s">
        <v>104</v>
      </c>
      <c r="AR534" s="6" t="s">
        <v>104</v>
      </c>
      <c r="AS534" s="6" t="s">
        <v>104</v>
      </c>
      <c r="AT534" s="6" t="s">
        <v>104</v>
      </c>
      <c r="AU534" s="6" t="s">
        <v>104</v>
      </c>
      <c r="AV534" s="6" t="s">
        <v>104</v>
      </c>
      <c r="AW534" s="6" t="s">
        <v>104</v>
      </c>
      <c r="AX534" s="6" t="s">
        <v>20529</v>
      </c>
      <c r="AY534" s="6" t="s">
        <v>22300</v>
      </c>
      <c r="AZ534" s="6" t="s">
        <v>104</v>
      </c>
      <c r="BA534" s="6" t="s">
        <v>104</v>
      </c>
      <c r="BB534" s="6" t="s">
        <v>104</v>
      </c>
      <c r="BC534" s="26"/>
      <c r="BD534" s="26"/>
      <c r="BE534" s="26"/>
      <c r="BF534" s="26"/>
      <c r="BG534" s="26"/>
      <c r="BH534" s="26"/>
      <c r="BI534" s="26"/>
      <c r="BJ534" s="26"/>
      <c r="BK534" s="26"/>
      <c r="BL534" s="26"/>
      <c r="BM534" s="26"/>
      <c r="BN534" s="26"/>
      <c r="BO534" s="26"/>
      <c r="BP534" s="16" t="n">
        <v>45737</v>
      </c>
      <c r="BQ534" s="28" t="str">
        <f>HYPERLINK("https://organic.ams.usda.gov/Integrity/Certificate.aspx?cid=32&amp;nopid=2230009891")</f>
        <v>https://organic.ams.usda.gov/Integrity/Certificate.aspx?cid=32&amp;nopid=2230009891</v>
      </c>
    </row>
    <row r="535">
      <c r="A535" t="s">
        <v>3</v>
      </c>
      <c r="B535" s="6" t="s">
        <v>6</v>
      </c>
      <c r="C535" s="6" t="s">
        <v>72</v>
      </c>
      <c r="D535" s="6" t="s">
        <v>137</v>
      </c>
      <c r="E535" s="10" t="s">
        <v>733</v>
      </c>
      <c r="F535" s="6" t="s">
        <v>2986</v>
      </c>
      <c r="G535" s="6" t="s">
        <v>104</v>
      </c>
      <c r="H535" s="6" t="s">
        <v>5377</v>
      </c>
      <c r="I535" s="6" t="s">
        <v>7094</v>
      </c>
      <c r="J535" s="6" t="s">
        <v>8543</v>
      </c>
      <c r="K535" s="6" t="s">
        <v>9714</v>
      </c>
      <c r="L535" s="16" t="n">
        <v>44291</v>
      </c>
      <c r="M535" s="16" t="n">
        <v>46066</v>
      </c>
      <c r="N535" s="6" t="s">
        <v>104</v>
      </c>
      <c r="O535" s="21" t="s">
        <v>104</v>
      </c>
      <c r="P535" s="6" t="s">
        <v>104</v>
      </c>
      <c r="Q535" s="6" t="s">
        <v>104</v>
      </c>
      <c r="R535" s="6" t="s">
        <v>104</v>
      </c>
      <c r="S535" s="6" t="s">
        <v>104</v>
      </c>
      <c r="T535" s="21" t="s">
        <v>104</v>
      </c>
      <c r="U535" s="6" t="s">
        <v>104</v>
      </c>
      <c r="V535" s="6" t="s">
        <v>104</v>
      </c>
      <c r="W535" s="6" t="s">
        <v>104</v>
      </c>
      <c r="X535" s="6" t="s">
        <v>104</v>
      </c>
      <c r="Y535" s="21" t="s">
        <v>104</v>
      </c>
      <c r="Z535" s="6" t="s">
        <v>104</v>
      </c>
      <c r="AA535" s="6" t="s">
        <v>104</v>
      </c>
      <c r="AB535" s="6" t="s">
        <v>104</v>
      </c>
      <c r="AC535" s="6" t="s">
        <v>9714</v>
      </c>
      <c r="AD535" s="16" t="n">
        <v>44291</v>
      </c>
      <c r="AE535" s="6" t="s">
        <v>11006</v>
      </c>
      <c r="AF535" s="6" t="s">
        <v>104</v>
      </c>
      <c r="AG535" s="6" t="s">
        <v>12655</v>
      </c>
      <c r="AH535" s="6" t="s">
        <v>13642</v>
      </c>
      <c r="AI535" s="6" t="s">
        <v>104</v>
      </c>
      <c r="AJ535" s="6" t="s">
        <v>15491</v>
      </c>
      <c r="AK535" s="6" t="s">
        <v>16779</v>
      </c>
      <c r="AL535" s="6" t="s">
        <v>16766</v>
      </c>
      <c r="AM535" s="6" t="s">
        <v>104</v>
      </c>
      <c r="AN535" s="6" t="s">
        <v>104</v>
      </c>
      <c r="AO535" s="6" t="s">
        <v>104</v>
      </c>
      <c r="AP535" s="6" t="s">
        <v>104</v>
      </c>
      <c r="AQ535" s="6" t="s">
        <v>104</v>
      </c>
      <c r="AR535" s="6" t="s">
        <v>104</v>
      </c>
      <c r="AS535" s="6" t="s">
        <v>104</v>
      </c>
      <c r="AT535" s="6" t="s">
        <v>104</v>
      </c>
      <c r="AU535" s="6" t="s">
        <v>104</v>
      </c>
      <c r="AV535" s="6" t="s">
        <v>104</v>
      </c>
      <c r="AW535" s="6" t="s">
        <v>104</v>
      </c>
      <c r="AX535" s="6" t="s">
        <v>20529</v>
      </c>
      <c r="AY535" s="6" t="s">
        <v>22300</v>
      </c>
      <c r="AZ535" s="6" t="s">
        <v>104</v>
      </c>
      <c r="BA535" s="6" t="s">
        <v>24258</v>
      </c>
      <c r="BB535" s="6" t="s">
        <v>104</v>
      </c>
      <c r="BC535" s="26"/>
      <c r="BD535" s="26"/>
      <c r="BE535" s="26"/>
      <c r="BF535" s="26"/>
      <c r="BG535" s="26"/>
      <c r="BH535" s="26"/>
      <c r="BI535" s="26"/>
      <c r="BJ535" s="26"/>
      <c r="BK535" s="26"/>
      <c r="BL535" s="26"/>
      <c r="BM535" s="26"/>
      <c r="BN535" s="26"/>
      <c r="BO535" s="26"/>
      <c r="BP535" s="16" t="n">
        <v>45737</v>
      </c>
      <c r="BQ535" s="28" t="str">
        <f>HYPERLINK("https://organic.ams.usda.gov/Integrity/Certificate.aspx?cid=32&amp;nopid=2230008048")</f>
        <v>https://organic.ams.usda.gov/Integrity/Certificate.aspx?cid=32&amp;nopid=2230008048</v>
      </c>
    </row>
    <row r="536">
      <c r="A536" t="s">
        <v>3</v>
      </c>
      <c r="B536" s="6" t="s">
        <v>6</v>
      </c>
      <c r="C536" s="6" t="s">
        <v>72</v>
      </c>
      <c r="D536" s="6" t="s">
        <v>137</v>
      </c>
      <c r="E536" s="10" t="s">
        <v>734</v>
      </c>
      <c r="F536" s="6" t="s">
        <v>2987</v>
      </c>
      <c r="G536" s="6" t="s">
        <v>104</v>
      </c>
      <c r="H536" s="6" t="s">
        <v>5378</v>
      </c>
      <c r="I536" s="6" t="s">
        <v>7281</v>
      </c>
      <c r="J536" s="6" t="s">
        <v>7122</v>
      </c>
      <c r="K536" s="6" t="s">
        <v>9714</v>
      </c>
      <c r="L536" s="16" t="n">
        <v>43748</v>
      </c>
      <c r="M536" s="16" t="n">
        <v>45979</v>
      </c>
      <c r="N536" s="6" t="s">
        <v>104</v>
      </c>
      <c r="O536" s="21" t="s">
        <v>104</v>
      </c>
      <c r="P536" s="6" t="s">
        <v>104</v>
      </c>
      <c r="Q536" s="6" t="s">
        <v>104</v>
      </c>
      <c r="R536" s="6" t="s">
        <v>104</v>
      </c>
      <c r="S536" s="6" t="s">
        <v>104</v>
      </c>
      <c r="T536" s="21" t="s">
        <v>104</v>
      </c>
      <c r="U536" s="6" t="s">
        <v>104</v>
      </c>
      <c r="V536" s="6" t="s">
        <v>104</v>
      </c>
      <c r="W536" s="6" t="s">
        <v>104</v>
      </c>
      <c r="X536" s="6" t="s">
        <v>104</v>
      </c>
      <c r="Y536" s="21" t="s">
        <v>104</v>
      </c>
      <c r="Z536" s="6" t="s">
        <v>104</v>
      </c>
      <c r="AA536" s="6" t="s">
        <v>104</v>
      </c>
      <c r="AB536" s="6" t="s">
        <v>104</v>
      </c>
      <c r="AC536" s="6" t="s">
        <v>9714</v>
      </c>
      <c r="AD536" s="16" t="n">
        <v>43748</v>
      </c>
      <c r="AE536" s="6" t="s">
        <v>11007</v>
      </c>
      <c r="AF536" s="6" t="s">
        <v>104</v>
      </c>
      <c r="AG536" s="6" t="s">
        <v>12656</v>
      </c>
      <c r="AH536" s="6" t="s">
        <v>13643</v>
      </c>
      <c r="AI536" s="6" t="s">
        <v>104</v>
      </c>
      <c r="AJ536" s="6" t="s">
        <v>15491</v>
      </c>
      <c r="AK536" s="6" t="s">
        <v>15707</v>
      </c>
      <c r="AL536" s="6" t="s">
        <v>16766</v>
      </c>
      <c r="AM536" s="6" t="s">
        <v>104</v>
      </c>
      <c r="AN536" s="6" t="s">
        <v>104</v>
      </c>
      <c r="AO536" s="6" t="s">
        <v>104</v>
      </c>
      <c r="AP536" s="6" t="s">
        <v>104</v>
      </c>
      <c r="AQ536" s="6" t="s">
        <v>104</v>
      </c>
      <c r="AR536" s="6" t="s">
        <v>104</v>
      </c>
      <c r="AS536" s="6" t="s">
        <v>104</v>
      </c>
      <c r="AT536" s="6" t="s">
        <v>104</v>
      </c>
      <c r="AU536" s="6" t="s">
        <v>104</v>
      </c>
      <c r="AV536" s="6" t="s">
        <v>104</v>
      </c>
      <c r="AW536" s="6" t="s">
        <v>104</v>
      </c>
      <c r="AX536" s="6" t="s">
        <v>20530</v>
      </c>
      <c r="AY536" s="6" t="s">
        <v>22301</v>
      </c>
      <c r="AZ536" s="6" t="s">
        <v>104</v>
      </c>
      <c r="BA536" s="6" t="s">
        <v>24339</v>
      </c>
      <c r="BB536" s="6" t="s">
        <v>104</v>
      </c>
      <c r="BC536" s="26"/>
      <c r="BD536" s="26"/>
      <c r="BE536" s="26"/>
      <c r="BF536" s="26"/>
      <c r="BG536" s="26"/>
      <c r="BH536" s="26"/>
      <c r="BI536" s="26"/>
      <c r="BJ536" s="26"/>
      <c r="BK536" s="26"/>
      <c r="BL536" s="26"/>
      <c r="BM536" s="26"/>
      <c r="BN536" s="26"/>
      <c r="BO536" s="26"/>
      <c r="BP536" s="16" t="n">
        <v>45737</v>
      </c>
      <c r="BQ536" s="28" t="str">
        <f>HYPERLINK("https://organic.ams.usda.gov/Integrity/Certificate.aspx?cid=32&amp;nopid=2230006604")</f>
        <v>https://organic.ams.usda.gov/Integrity/Certificate.aspx?cid=32&amp;nopid=2230006604</v>
      </c>
    </row>
    <row r="537">
      <c r="A537" t="s">
        <v>3</v>
      </c>
      <c r="B537" s="6" t="s">
        <v>6</v>
      </c>
      <c r="C537" s="6" t="s">
        <v>72</v>
      </c>
      <c r="D537" s="6" t="s">
        <v>137</v>
      </c>
      <c r="E537" s="10" t="s">
        <v>735</v>
      </c>
      <c r="F537" s="6" t="s">
        <v>2988</v>
      </c>
      <c r="G537" s="6" t="s">
        <v>104</v>
      </c>
      <c r="H537" s="6" t="s">
        <v>5379</v>
      </c>
      <c r="I537" s="6" t="s">
        <v>7281</v>
      </c>
      <c r="J537" s="6" t="s">
        <v>7122</v>
      </c>
      <c r="K537" s="6" t="s">
        <v>9714</v>
      </c>
      <c r="L537" s="16" t="n">
        <v>45306</v>
      </c>
      <c r="M537" s="16" t="n">
        <v>45854</v>
      </c>
      <c r="N537" s="6" t="s">
        <v>104</v>
      </c>
      <c r="O537" s="21" t="s">
        <v>104</v>
      </c>
      <c r="P537" s="6" t="s">
        <v>104</v>
      </c>
      <c r="Q537" s="6" t="s">
        <v>104</v>
      </c>
      <c r="R537" s="6" t="s">
        <v>104</v>
      </c>
      <c r="S537" s="6" t="s">
        <v>104</v>
      </c>
      <c r="T537" s="21" t="s">
        <v>104</v>
      </c>
      <c r="U537" s="6" t="s">
        <v>104</v>
      </c>
      <c r="V537" s="6" t="s">
        <v>104</v>
      </c>
      <c r="W537" s="6" t="s">
        <v>104</v>
      </c>
      <c r="X537" s="6" t="s">
        <v>104</v>
      </c>
      <c r="Y537" s="21" t="s">
        <v>104</v>
      </c>
      <c r="Z537" s="6" t="s">
        <v>104</v>
      </c>
      <c r="AA537" s="6" t="s">
        <v>104</v>
      </c>
      <c r="AB537" s="6" t="s">
        <v>104</v>
      </c>
      <c r="AC537" s="6" t="s">
        <v>9714</v>
      </c>
      <c r="AD537" s="16" t="n">
        <v>45306</v>
      </c>
      <c r="AE537" s="6" t="s">
        <v>11008</v>
      </c>
      <c r="AF537" s="6" t="s">
        <v>104</v>
      </c>
      <c r="AG537" s="6" t="s">
        <v>12657</v>
      </c>
      <c r="AH537" s="6" t="s">
        <v>13644</v>
      </c>
      <c r="AI537" s="6" t="s">
        <v>104</v>
      </c>
      <c r="AJ537" s="6" t="s">
        <v>15715</v>
      </c>
      <c r="AK537" s="6" t="s">
        <v>16769</v>
      </c>
      <c r="AL537" s="6" t="s">
        <v>16766</v>
      </c>
      <c r="AM537" s="6" t="s">
        <v>17337</v>
      </c>
      <c r="AN537" s="6" t="s">
        <v>104</v>
      </c>
      <c r="AO537" s="6" t="s">
        <v>104</v>
      </c>
      <c r="AP537" s="6" t="s">
        <v>104</v>
      </c>
      <c r="AQ537" s="6" t="s">
        <v>104</v>
      </c>
      <c r="AR537" s="6" t="s">
        <v>104</v>
      </c>
      <c r="AS537" s="6" t="s">
        <v>104</v>
      </c>
      <c r="AT537" s="6" t="s">
        <v>104</v>
      </c>
      <c r="AU537" s="6" t="s">
        <v>104</v>
      </c>
      <c r="AV537" s="6" t="s">
        <v>104</v>
      </c>
      <c r="AW537" s="6" t="s">
        <v>104</v>
      </c>
      <c r="AX537" s="6" t="s">
        <v>20530</v>
      </c>
      <c r="AY537" s="6" t="s">
        <v>22301</v>
      </c>
      <c r="AZ537" s="6" t="s">
        <v>104</v>
      </c>
      <c r="BA537" s="6" t="s">
        <v>24258</v>
      </c>
      <c r="BB537" s="6" t="s">
        <v>104</v>
      </c>
      <c r="BC537" s="26"/>
      <c r="BD537" s="26"/>
      <c r="BE537" s="26"/>
      <c r="BF537" s="26"/>
      <c r="BG537" s="26"/>
      <c r="BH537" s="26"/>
      <c r="BI537" s="26"/>
      <c r="BJ537" s="26"/>
      <c r="BK537" s="26"/>
      <c r="BL537" s="26"/>
      <c r="BM537" s="26"/>
      <c r="BN537" s="26"/>
      <c r="BO537" s="26"/>
      <c r="BP537" s="16" t="n">
        <v>45737</v>
      </c>
      <c r="BQ537" s="28" t="str">
        <f>HYPERLINK("https://organic.ams.usda.gov/Integrity/Certificate.aspx?cid=32&amp;nopid=2230010718")</f>
        <v>https://organic.ams.usda.gov/Integrity/Certificate.aspx?cid=32&amp;nopid=2230010718</v>
      </c>
    </row>
    <row r="538">
      <c r="A538" t="s">
        <v>3</v>
      </c>
      <c r="B538" s="6" t="s">
        <v>6</v>
      </c>
      <c r="C538" s="6" t="s">
        <v>72</v>
      </c>
      <c r="D538" s="6" t="s">
        <v>137</v>
      </c>
      <c r="E538" s="10" t="s">
        <v>736</v>
      </c>
      <c r="F538" s="6" t="s">
        <v>2989</v>
      </c>
      <c r="G538" s="6" t="s">
        <v>104</v>
      </c>
      <c r="H538" s="6" t="s">
        <v>5380</v>
      </c>
      <c r="I538" s="6" t="s">
        <v>7289</v>
      </c>
      <c r="J538" s="6" t="s">
        <v>8544</v>
      </c>
      <c r="K538" s="6" t="s">
        <v>9714</v>
      </c>
      <c r="L538" s="16" t="n">
        <v>44890</v>
      </c>
      <c r="M538" s="16" t="n">
        <v>45910</v>
      </c>
      <c r="N538" s="6" t="s">
        <v>104</v>
      </c>
      <c r="O538" s="21" t="s">
        <v>104</v>
      </c>
      <c r="P538" s="6" t="s">
        <v>104</v>
      </c>
      <c r="Q538" s="6" t="s">
        <v>104</v>
      </c>
      <c r="R538" s="6" t="s">
        <v>104</v>
      </c>
      <c r="S538" s="6" t="s">
        <v>104</v>
      </c>
      <c r="T538" s="21" t="s">
        <v>104</v>
      </c>
      <c r="U538" s="6" t="s">
        <v>104</v>
      </c>
      <c r="V538" s="6" t="s">
        <v>104</v>
      </c>
      <c r="W538" s="6" t="s">
        <v>104</v>
      </c>
      <c r="X538" s="6" t="s">
        <v>104</v>
      </c>
      <c r="Y538" s="21" t="s">
        <v>104</v>
      </c>
      <c r="Z538" s="6" t="s">
        <v>104</v>
      </c>
      <c r="AA538" s="6" t="s">
        <v>104</v>
      </c>
      <c r="AB538" s="6" t="s">
        <v>104</v>
      </c>
      <c r="AC538" s="6" t="s">
        <v>9714</v>
      </c>
      <c r="AD538" s="16" t="n">
        <v>44890</v>
      </c>
      <c r="AE538" s="6" t="s">
        <v>11009</v>
      </c>
      <c r="AF538" s="6" t="s">
        <v>104</v>
      </c>
      <c r="AG538" s="6" t="s">
        <v>12658</v>
      </c>
      <c r="AH538" s="6" t="s">
        <v>13645</v>
      </c>
      <c r="AI538" s="6" t="s">
        <v>104</v>
      </c>
      <c r="AJ538" s="6" t="s">
        <v>15491</v>
      </c>
      <c r="AK538" s="6" t="s">
        <v>16783</v>
      </c>
      <c r="AL538" s="6" t="s">
        <v>16766</v>
      </c>
      <c r="AM538" s="6" t="s">
        <v>104</v>
      </c>
      <c r="AN538" s="6" t="s">
        <v>104</v>
      </c>
      <c r="AO538" s="6" t="s">
        <v>104</v>
      </c>
      <c r="AP538" s="6" t="s">
        <v>104</v>
      </c>
      <c r="AQ538" s="6" t="s">
        <v>104</v>
      </c>
      <c r="AR538" s="6" t="s">
        <v>104</v>
      </c>
      <c r="AS538" s="6" t="s">
        <v>104</v>
      </c>
      <c r="AT538" s="6" t="s">
        <v>104</v>
      </c>
      <c r="AU538" s="6" t="s">
        <v>104</v>
      </c>
      <c r="AV538" s="6" t="s">
        <v>104</v>
      </c>
      <c r="AW538" s="6" t="s">
        <v>104</v>
      </c>
      <c r="AX538" s="6" t="s">
        <v>20531</v>
      </c>
      <c r="AY538" s="6" t="s">
        <v>22302</v>
      </c>
      <c r="AZ538" s="6" t="s">
        <v>104</v>
      </c>
      <c r="BA538" s="6" t="s">
        <v>24258</v>
      </c>
      <c r="BB538" s="6" t="s">
        <v>104</v>
      </c>
      <c r="BC538" s="26"/>
      <c r="BD538" s="26"/>
      <c r="BE538" s="26"/>
      <c r="BF538" s="26"/>
      <c r="BG538" s="26"/>
      <c r="BH538" s="26"/>
      <c r="BI538" s="26"/>
      <c r="BJ538" s="26"/>
      <c r="BK538" s="26"/>
      <c r="BL538" s="26"/>
      <c r="BM538" s="26"/>
      <c r="BN538" s="26"/>
      <c r="BO538" s="26"/>
      <c r="BP538" s="16" t="n">
        <v>45737</v>
      </c>
      <c r="BQ538" s="28" t="str">
        <f>HYPERLINK("https://organic.ams.usda.gov/Integrity/Certificate.aspx?cid=32&amp;nopid=2230009644")</f>
        <v>https://organic.ams.usda.gov/Integrity/Certificate.aspx?cid=32&amp;nopid=2230009644</v>
      </c>
    </row>
    <row r="539">
      <c r="A539" t="s">
        <v>3</v>
      </c>
      <c r="B539" s="6" t="s">
        <v>6</v>
      </c>
      <c r="C539" s="6" t="s">
        <v>72</v>
      </c>
      <c r="D539" s="6" t="s">
        <v>137</v>
      </c>
      <c r="E539" s="10" t="s">
        <v>737</v>
      </c>
      <c r="F539" s="6" t="s">
        <v>2990</v>
      </c>
      <c r="G539" s="6" t="s">
        <v>104</v>
      </c>
      <c r="H539" s="6" t="s">
        <v>5381</v>
      </c>
      <c r="I539" s="6" t="s">
        <v>7289</v>
      </c>
      <c r="J539" s="6" t="s">
        <v>8544</v>
      </c>
      <c r="K539" s="6" t="s">
        <v>9714</v>
      </c>
      <c r="L539" s="16" t="n">
        <v>44890</v>
      </c>
      <c r="M539" s="16" t="n">
        <v>45898</v>
      </c>
      <c r="N539" s="6" t="s">
        <v>104</v>
      </c>
      <c r="O539" s="21" t="s">
        <v>104</v>
      </c>
      <c r="P539" s="6" t="s">
        <v>104</v>
      </c>
      <c r="Q539" s="6" t="s">
        <v>104</v>
      </c>
      <c r="R539" s="6" t="s">
        <v>104</v>
      </c>
      <c r="S539" s="6" t="s">
        <v>104</v>
      </c>
      <c r="T539" s="21" t="s">
        <v>104</v>
      </c>
      <c r="U539" s="6" t="s">
        <v>104</v>
      </c>
      <c r="V539" s="6" t="s">
        <v>104</v>
      </c>
      <c r="W539" s="6" t="s">
        <v>104</v>
      </c>
      <c r="X539" s="6" t="s">
        <v>104</v>
      </c>
      <c r="Y539" s="21" t="s">
        <v>104</v>
      </c>
      <c r="Z539" s="6" t="s">
        <v>104</v>
      </c>
      <c r="AA539" s="6" t="s">
        <v>104</v>
      </c>
      <c r="AB539" s="6" t="s">
        <v>104</v>
      </c>
      <c r="AC539" s="6" t="s">
        <v>9714</v>
      </c>
      <c r="AD539" s="16" t="n">
        <v>44890</v>
      </c>
      <c r="AE539" s="6" t="s">
        <v>11010</v>
      </c>
      <c r="AF539" s="6" t="s">
        <v>104</v>
      </c>
      <c r="AG539" s="6" t="s">
        <v>12659</v>
      </c>
      <c r="AH539" s="6" t="s">
        <v>13646</v>
      </c>
      <c r="AI539" s="6" t="s">
        <v>104</v>
      </c>
      <c r="AJ539" s="6" t="s">
        <v>15716</v>
      </c>
      <c r="AK539" s="6" t="s">
        <v>15717</v>
      </c>
      <c r="AL539" s="6" t="s">
        <v>16766</v>
      </c>
      <c r="AM539" s="6" t="s">
        <v>17338</v>
      </c>
      <c r="AN539" s="6" t="s">
        <v>104</v>
      </c>
      <c r="AO539" s="6" t="s">
        <v>104</v>
      </c>
      <c r="AP539" s="6" t="s">
        <v>104</v>
      </c>
      <c r="AQ539" s="6" t="s">
        <v>104</v>
      </c>
      <c r="AR539" s="6" t="s">
        <v>104</v>
      </c>
      <c r="AS539" s="6" t="s">
        <v>104</v>
      </c>
      <c r="AT539" s="6" t="s">
        <v>104</v>
      </c>
      <c r="AU539" s="6" t="s">
        <v>104</v>
      </c>
      <c r="AV539" s="6" t="s">
        <v>104</v>
      </c>
      <c r="AW539" s="6" t="s">
        <v>104</v>
      </c>
      <c r="AX539" s="6" t="s">
        <v>20531</v>
      </c>
      <c r="AY539" s="6" t="s">
        <v>22302</v>
      </c>
      <c r="AZ539" s="6" t="s">
        <v>104</v>
      </c>
      <c r="BA539" s="6" t="s">
        <v>24258</v>
      </c>
      <c r="BB539" s="6" t="s">
        <v>104</v>
      </c>
      <c r="BC539" s="26"/>
      <c r="BD539" s="26"/>
      <c r="BE539" s="26"/>
      <c r="BF539" s="26"/>
      <c r="BG539" s="26"/>
      <c r="BH539" s="26"/>
      <c r="BI539" s="26"/>
      <c r="BJ539" s="26"/>
      <c r="BK539" s="26"/>
      <c r="BL539" s="26"/>
      <c r="BM539" s="26"/>
      <c r="BN539" s="26"/>
      <c r="BO539" s="26"/>
      <c r="BP539" s="16" t="n">
        <v>45737</v>
      </c>
      <c r="BQ539" s="28" t="str">
        <f>HYPERLINK("https://organic.ams.usda.gov/Integrity/Certificate.aspx?cid=32&amp;nopid=2230009662")</f>
        <v>https://organic.ams.usda.gov/Integrity/Certificate.aspx?cid=32&amp;nopid=2230009662</v>
      </c>
    </row>
    <row r="540">
      <c r="A540" t="s">
        <v>3</v>
      </c>
      <c r="B540" s="6" t="s">
        <v>29</v>
      </c>
      <c r="C540" s="6" t="s">
        <v>95</v>
      </c>
      <c r="D540" s="6" t="s">
        <v>160</v>
      </c>
      <c r="E540" s="10" t="s">
        <v>738</v>
      </c>
      <c r="F540" s="6" t="s">
        <v>2991</v>
      </c>
      <c r="G540" s="6" t="s">
        <v>104</v>
      </c>
      <c r="H540" s="6" t="s">
        <v>5382</v>
      </c>
      <c r="I540" s="6" t="s">
        <v>104</v>
      </c>
      <c r="J540" s="6" t="s">
        <v>8545</v>
      </c>
      <c r="K540" s="6" t="s">
        <v>9714</v>
      </c>
      <c r="L540" s="16" t="n">
        <v>40172</v>
      </c>
      <c r="M540" s="16" t="n">
        <v>45870</v>
      </c>
      <c r="N540" s="6" t="s">
        <v>9714</v>
      </c>
      <c r="O540" s="16" t="n">
        <v>40172</v>
      </c>
      <c r="P540" s="6" t="s">
        <v>9866</v>
      </c>
      <c r="Q540" s="6" t="s">
        <v>104</v>
      </c>
      <c r="R540" s="6" t="s">
        <v>104</v>
      </c>
      <c r="S540" s="6" t="s">
        <v>104</v>
      </c>
      <c r="T540" s="21" t="s">
        <v>104</v>
      </c>
      <c r="U540" s="6" t="s">
        <v>104</v>
      </c>
      <c r="V540" s="6" t="s">
        <v>104</v>
      </c>
      <c r="W540" s="6" t="s">
        <v>104</v>
      </c>
      <c r="X540" s="6" t="s">
        <v>104</v>
      </c>
      <c r="Y540" s="21" t="s">
        <v>104</v>
      </c>
      <c r="Z540" s="6" t="s">
        <v>104</v>
      </c>
      <c r="AA540" s="6" t="s">
        <v>104</v>
      </c>
      <c r="AB540" s="6" t="s">
        <v>104</v>
      </c>
      <c r="AC540" s="6" t="s">
        <v>104</v>
      </c>
      <c r="AD540" s="21" t="s">
        <v>104</v>
      </c>
      <c r="AE540" s="6" t="s">
        <v>104</v>
      </c>
      <c r="AF540" s="6" t="s">
        <v>104</v>
      </c>
      <c r="AG540" s="6" t="s">
        <v>104</v>
      </c>
      <c r="AH540" s="6" t="s">
        <v>13647</v>
      </c>
      <c r="AI540" s="6" t="s">
        <v>15255</v>
      </c>
      <c r="AJ540" s="6" t="s">
        <v>15554</v>
      </c>
      <c r="AK540" s="6" t="s">
        <v>15707</v>
      </c>
      <c r="AL540" s="6" t="s">
        <v>16766</v>
      </c>
      <c r="AM540" s="6" t="s">
        <v>104</v>
      </c>
      <c r="AN540" s="6" t="s">
        <v>104</v>
      </c>
      <c r="AO540" s="6" t="s">
        <v>104</v>
      </c>
      <c r="AP540" s="6" t="s">
        <v>104</v>
      </c>
      <c r="AQ540" s="6" t="s">
        <v>104</v>
      </c>
      <c r="AR540" s="6" t="s">
        <v>104</v>
      </c>
      <c r="AS540" s="6" t="s">
        <v>104</v>
      </c>
      <c r="AT540" s="6" t="s">
        <v>104</v>
      </c>
      <c r="AU540" s="6" t="s">
        <v>104</v>
      </c>
      <c r="AV540" s="6" t="s">
        <v>104</v>
      </c>
      <c r="AW540" s="6" t="s">
        <v>104</v>
      </c>
      <c r="AX540" s="6" t="s">
        <v>20532</v>
      </c>
      <c r="AY540" s="6" t="s">
        <v>22303</v>
      </c>
      <c r="AZ540" s="6" t="s">
        <v>104</v>
      </c>
      <c r="BA540" s="6" t="s">
        <v>24269</v>
      </c>
      <c r="BB540" s="24" t="n">
        <v>0</v>
      </c>
      <c r="BC540" s="26"/>
      <c r="BD540" s="26"/>
      <c r="BE540" s="26"/>
      <c r="BF540" s="26"/>
      <c r="BG540" s="26"/>
      <c r="BH540" s="26"/>
      <c r="BI540" s="26"/>
      <c r="BJ540" s="26"/>
      <c r="BK540" s="26"/>
      <c r="BL540" s="26"/>
      <c r="BM540" s="26"/>
      <c r="BN540" s="26"/>
      <c r="BO540" s="26"/>
      <c r="BP540" s="16" t="n">
        <v>45680</v>
      </c>
      <c r="BQ540" s="28" t="str">
        <f>HYPERLINK("https://organic.ams.usda.gov/Integrity/Certificate.aspx?cid=24&amp;nopid=7886806000")</f>
        <v>https://organic.ams.usda.gov/Integrity/Certificate.aspx?cid=24&amp;nopid=7886806000</v>
      </c>
    </row>
    <row r="541">
      <c r="A541" t="s">
        <v>3</v>
      </c>
      <c r="B541" s="6" t="s">
        <v>48</v>
      </c>
      <c r="C541" s="6" t="s">
        <v>114</v>
      </c>
      <c r="D541" s="6" t="s">
        <v>178</v>
      </c>
      <c r="E541" s="10" t="s">
        <v>739</v>
      </c>
      <c r="F541" s="6" t="s">
        <v>2992</v>
      </c>
      <c r="G541" s="6" t="s">
        <v>104</v>
      </c>
      <c r="H541" s="6" t="s">
        <v>5383</v>
      </c>
      <c r="I541" s="6" t="s">
        <v>104</v>
      </c>
      <c r="J541" s="6" t="s">
        <v>104</v>
      </c>
      <c r="K541" s="6" t="s">
        <v>9714</v>
      </c>
      <c r="L541" s="16" t="n">
        <v>41296</v>
      </c>
      <c r="M541" s="16" t="n">
        <v>46022</v>
      </c>
      <c r="N541" s="6" t="s">
        <v>9714</v>
      </c>
      <c r="O541" s="16" t="n">
        <v>41296</v>
      </c>
      <c r="P541" s="6" t="s">
        <v>9867</v>
      </c>
      <c r="Q541" s="6" t="s">
        <v>104</v>
      </c>
      <c r="R541" s="6" t="s">
        <v>104</v>
      </c>
      <c r="S541" s="6" t="s">
        <v>104</v>
      </c>
      <c r="T541" s="21" t="s">
        <v>104</v>
      </c>
      <c r="U541" s="6" t="s">
        <v>104</v>
      </c>
      <c r="V541" s="6" t="s">
        <v>104</v>
      </c>
      <c r="W541" s="6" t="s">
        <v>104</v>
      </c>
      <c r="X541" s="6" t="s">
        <v>104</v>
      </c>
      <c r="Y541" s="21" t="s">
        <v>104</v>
      </c>
      <c r="Z541" s="6" t="s">
        <v>104</v>
      </c>
      <c r="AA541" s="6" t="s">
        <v>104</v>
      </c>
      <c r="AB541" s="6" t="s">
        <v>104</v>
      </c>
      <c r="AC541" s="6" t="s">
        <v>104</v>
      </c>
      <c r="AD541" s="21" t="s">
        <v>104</v>
      </c>
      <c r="AE541" s="6" t="s">
        <v>104</v>
      </c>
      <c r="AF541" s="6" t="s">
        <v>104</v>
      </c>
      <c r="AG541" s="6" t="s">
        <v>104</v>
      </c>
      <c r="AH541" s="6" t="s">
        <v>13648</v>
      </c>
      <c r="AI541" s="6" t="s">
        <v>104</v>
      </c>
      <c r="AJ541" s="6" t="s">
        <v>15717</v>
      </c>
      <c r="AK541" s="6" t="s">
        <v>104</v>
      </c>
      <c r="AL541" s="6" t="s">
        <v>16766</v>
      </c>
      <c r="AM541" s="6" t="s">
        <v>104</v>
      </c>
      <c r="AN541" s="6" t="s">
        <v>104</v>
      </c>
      <c r="AO541" s="6" t="s">
        <v>104</v>
      </c>
      <c r="AP541" s="6" t="s">
        <v>13648</v>
      </c>
      <c r="AQ541" s="6" t="s">
        <v>104</v>
      </c>
      <c r="AR541" s="6" t="s">
        <v>15717</v>
      </c>
      <c r="AS541" s="6" t="s">
        <v>104</v>
      </c>
      <c r="AT541" s="6" t="s">
        <v>16766</v>
      </c>
      <c r="AU541" s="6" t="s">
        <v>104</v>
      </c>
      <c r="AV541" s="6" t="s">
        <v>104</v>
      </c>
      <c r="AW541" s="6" t="s">
        <v>104</v>
      </c>
      <c r="AX541" s="6" t="s">
        <v>104</v>
      </c>
      <c r="AY541" s="6" t="s">
        <v>104</v>
      </c>
      <c r="AZ541" s="6" t="s">
        <v>104</v>
      </c>
      <c r="BA541" s="6" t="s">
        <v>104</v>
      </c>
      <c r="BB541" s="24" t="n">
        <v>3852</v>
      </c>
      <c r="BC541" s="26"/>
      <c r="BD541" s="26"/>
      <c r="BE541" s="26"/>
      <c r="BF541" s="26"/>
      <c r="BG541" s="26"/>
      <c r="BH541" s="26"/>
      <c r="BI541" s="26"/>
      <c r="BJ541" s="26"/>
      <c r="BK541" s="26"/>
      <c r="BL541" s="26"/>
      <c r="BM541" s="26"/>
      <c r="BN541" s="26"/>
      <c r="BO541" s="26"/>
      <c r="BP541" s="16" t="n">
        <v>45656</v>
      </c>
      <c r="BQ541" s="28" t="str">
        <f>HYPERLINK("https://organic.ams.usda.gov/Integrity/Certificate.aspx?cid=9&amp;nopid=1200647103")</f>
        <v>https://organic.ams.usda.gov/Integrity/Certificate.aspx?cid=9&amp;nopid=1200647103</v>
      </c>
    </row>
    <row r="542">
      <c r="A542" t="s">
        <v>3</v>
      </c>
      <c r="B542" s="6" t="s">
        <v>6</v>
      </c>
      <c r="C542" s="6" t="s">
        <v>72</v>
      </c>
      <c r="D542" s="6" t="s">
        <v>137</v>
      </c>
      <c r="E542" s="10" t="s">
        <v>740</v>
      </c>
      <c r="F542" s="6" t="s">
        <v>2993</v>
      </c>
      <c r="G542" s="6" t="s">
        <v>104</v>
      </c>
      <c r="H542" s="6" t="s">
        <v>5384</v>
      </c>
      <c r="I542" s="6" t="s">
        <v>7093</v>
      </c>
      <c r="J542" s="6" t="s">
        <v>8546</v>
      </c>
      <c r="K542" s="6" t="s">
        <v>9714</v>
      </c>
      <c r="L542" s="16" t="n">
        <v>44953</v>
      </c>
      <c r="M542" s="16" t="n">
        <v>45981</v>
      </c>
      <c r="N542" s="6" t="s">
        <v>104</v>
      </c>
      <c r="O542" s="21" t="s">
        <v>104</v>
      </c>
      <c r="P542" s="6" t="s">
        <v>104</v>
      </c>
      <c r="Q542" s="6" t="s">
        <v>104</v>
      </c>
      <c r="R542" s="6" t="s">
        <v>104</v>
      </c>
      <c r="S542" s="6" t="s">
        <v>104</v>
      </c>
      <c r="T542" s="21" t="s">
        <v>104</v>
      </c>
      <c r="U542" s="6" t="s">
        <v>104</v>
      </c>
      <c r="V542" s="6" t="s">
        <v>104</v>
      </c>
      <c r="W542" s="6" t="s">
        <v>104</v>
      </c>
      <c r="X542" s="6" t="s">
        <v>104</v>
      </c>
      <c r="Y542" s="21" t="s">
        <v>104</v>
      </c>
      <c r="Z542" s="6" t="s">
        <v>104</v>
      </c>
      <c r="AA542" s="6" t="s">
        <v>104</v>
      </c>
      <c r="AB542" s="6" t="s">
        <v>104</v>
      </c>
      <c r="AC542" s="6" t="s">
        <v>9714</v>
      </c>
      <c r="AD542" s="16" t="n">
        <v>44953</v>
      </c>
      <c r="AE542" s="6" t="s">
        <v>11011</v>
      </c>
      <c r="AF542" s="6" t="s">
        <v>104</v>
      </c>
      <c r="AG542" s="6" t="s">
        <v>12660</v>
      </c>
      <c r="AH542" s="6" t="s">
        <v>13649</v>
      </c>
      <c r="AI542" s="6" t="s">
        <v>104</v>
      </c>
      <c r="AJ542" s="6" t="s">
        <v>15718</v>
      </c>
      <c r="AK542" s="6" t="s">
        <v>16784</v>
      </c>
      <c r="AL542" s="6" t="s">
        <v>16766</v>
      </c>
      <c r="AM542" s="6" t="s">
        <v>17339</v>
      </c>
      <c r="AN542" s="6" t="s">
        <v>104</v>
      </c>
      <c r="AO542" s="6" t="s">
        <v>104</v>
      </c>
      <c r="AP542" s="6" t="s">
        <v>104</v>
      </c>
      <c r="AQ542" s="6" t="s">
        <v>104</v>
      </c>
      <c r="AR542" s="6" t="s">
        <v>104</v>
      </c>
      <c r="AS542" s="6" t="s">
        <v>104</v>
      </c>
      <c r="AT542" s="6" t="s">
        <v>104</v>
      </c>
      <c r="AU542" s="6" t="s">
        <v>104</v>
      </c>
      <c r="AV542" s="6" t="s">
        <v>104</v>
      </c>
      <c r="AW542" s="6" t="s">
        <v>104</v>
      </c>
      <c r="AX542" s="6" t="s">
        <v>104</v>
      </c>
      <c r="AY542" s="6" t="s">
        <v>22192</v>
      </c>
      <c r="AZ542" s="6" t="s">
        <v>104</v>
      </c>
      <c r="BA542" s="6" t="s">
        <v>24258</v>
      </c>
      <c r="BB542" s="6" t="s">
        <v>104</v>
      </c>
      <c r="BC542" s="26"/>
      <c r="BD542" s="26"/>
      <c r="BE542" s="26"/>
      <c r="BF542" s="26"/>
      <c r="BG542" s="26"/>
      <c r="BH542" s="26"/>
      <c r="BI542" s="26"/>
      <c r="BJ542" s="26"/>
      <c r="BK542" s="26"/>
      <c r="BL542" s="26"/>
      <c r="BM542" s="26"/>
      <c r="BN542" s="26"/>
      <c r="BO542" s="26"/>
      <c r="BP542" s="16" t="n">
        <v>45737</v>
      </c>
      <c r="BQ542" s="28" t="str">
        <f>HYPERLINK("https://organic.ams.usda.gov/Integrity/Certificate.aspx?cid=32&amp;nopid=2230009609")</f>
        <v>https://organic.ams.usda.gov/Integrity/Certificate.aspx?cid=32&amp;nopid=2230009609</v>
      </c>
    </row>
    <row r="543">
      <c r="A543" t="s">
        <v>3</v>
      </c>
      <c r="B543" s="6" t="s">
        <v>6</v>
      </c>
      <c r="C543" s="6" t="s">
        <v>72</v>
      </c>
      <c r="D543" s="6" t="s">
        <v>137</v>
      </c>
      <c r="E543" s="10" t="s">
        <v>741</v>
      </c>
      <c r="F543" s="6" t="s">
        <v>2994</v>
      </c>
      <c r="G543" s="6" t="s">
        <v>104</v>
      </c>
      <c r="H543" s="6" t="s">
        <v>5385</v>
      </c>
      <c r="I543" s="6" t="s">
        <v>7290</v>
      </c>
      <c r="J543" s="6" t="s">
        <v>8547</v>
      </c>
      <c r="K543" s="6" t="s">
        <v>9714</v>
      </c>
      <c r="L543" s="16" t="n">
        <v>44596</v>
      </c>
      <c r="M543" s="16" t="n">
        <v>45667</v>
      </c>
      <c r="N543" s="6" t="s">
        <v>104</v>
      </c>
      <c r="O543" s="21" t="s">
        <v>104</v>
      </c>
      <c r="P543" s="6" t="s">
        <v>104</v>
      </c>
      <c r="Q543" s="6" t="s">
        <v>104</v>
      </c>
      <c r="R543" s="6" t="s">
        <v>104</v>
      </c>
      <c r="S543" s="6" t="s">
        <v>104</v>
      </c>
      <c r="T543" s="21" t="s">
        <v>104</v>
      </c>
      <c r="U543" s="6" t="s">
        <v>104</v>
      </c>
      <c r="V543" s="6" t="s">
        <v>104</v>
      </c>
      <c r="W543" s="6" t="s">
        <v>104</v>
      </c>
      <c r="X543" s="6" t="s">
        <v>104</v>
      </c>
      <c r="Y543" s="21" t="s">
        <v>104</v>
      </c>
      <c r="Z543" s="6" t="s">
        <v>104</v>
      </c>
      <c r="AA543" s="6" t="s">
        <v>104</v>
      </c>
      <c r="AB543" s="6" t="s">
        <v>104</v>
      </c>
      <c r="AC543" s="6" t="s">
        <v>9714</v>
      </c>
      <c r="AD543" s="16" t="n">
        <v>44596</v>
      </c>
      <c r="AE543" s="6" t="s">
        <v>11012</v>
      </c>
      <c r="AF543" s="6" t="s">
        <v>104</v>
      </c>
      <c r="AG543" s="6" t="s">
        <v>104</v>
      </c>
      <c r="AH543" s="6" t="s">
        <v>13650</v>
      </c>
      <c r="AI543" s="6" t="s">
        <v>104</v>
      </c>
      <c r="AJ543" s="6" t="s">
        <v>15491</v>
      </c>
      <c r="AK543" s="6" t="s">
        <v>16779</v>
      </c>
      <c r="AL543" s="6" t="s">
        <v>16766</v>
      </c>
      <c r="AM543" s="6" t="s">
        <v>17108</v>
      </c>
      <c r="AN543" s="6" t="s">
        <v>104</v>
      </c>
      <c r="AO543" s="6" t="s">
        <v>104</v>
      </c>
      <c r="AP543" s="6" t="s">
        <v>104</v>
      </c>
      <c r="AQ543" s="6" t="s">
        <v>104</v>
      </c>
      <c r="AR543" s="6" t="s">
        <v>104</v>
      </c>
      <c r="AS543" s="6" t="s">
        <v>104</v>
      </c>
      <c r="AT543" s="6" t="s">
        <v>104</v>
      </c>
      <c r="AU543" s="6" t="s">
        <v>104</v>
      </c>
      <c r="AV543" s="6" t="s">
        <v>104</v>
      </c>
      <c r="AW543" s="6" t="s">
        <v>104</v>
      </c>
      <c r="AX543" s="6" t="s">
        <v>20533</v>
      </c>
      <c r="AY543" s="6" t="s">
        <v>22297</v>
      </c>
      <c r="AZ543" s="6" t="s">
        <v>104</v>
      </c>
      <c r="BA543" s="6" t="s">
        <v>24258</v>
      </c>
      <c r="BB543" s="6" t="s">
        <v>104</v>
      </c>
      <c r="BC543" s="26"/>
      <c r="BD543" s="26"/>
      <c r="BE543" s="26"/>
      <c r="BF543" s="26"/>
      <c r="BG543" s="26"/>
      <c r="BH543" s="26"/>
      <c r="BI543" s="26"/>
      <c r="BJ543" s="26"/>
      <c r="BK543" s="26"/>
      <c r="BL543" s="26"/>
      <c r="BM543" s="26"/>
      <c r="BN543" s="26"/>
      <c r="BO543" s="26"/>
      <c r="BP543" s="16" t="n">
        <v>45737</v>
      </c>
      <c r="BQ543" s="28" t="str">
        <f>HYPERLINK("https://organic.ams.usda.gov/Integrity/Certificate.aspx?cid=32&amp;nopid=2230009369")</f>
        <v>https://organic.ams.usda.gov/Integrity/Certificate.aspx?cid=32&amp;nopid=2230009369</v>
      </c>
    </row>
    <row r="544">
      <c r="A544" t="s">
        <v>3</v>
      </c>
      <c r="B544" s="6" t="s">
        <v>6</v>
      </c>
      <c r="C544" s="6" t="s">
        <v>72</v>
      </c>
      <c r="D544" s="6" t="s">
        <v>137</v>
      </c>
      <c r="E544" s="10" t="s">
        <v>742</v>
      </c>
      <c r="F544" s="6" t="s">
        <v>2995</v>
      </c>
      <c r="G544" s="6" t="s">
        <v>104</v>
      </c>
      <c r="H544" s="6" t="s">
        <v>5386</v>
      </c>
      <c r="I544" s="6" t="s">
        <v>7291</v>
      </c>
      <c r="J544" s="6" t="s">
        <v>7278</v>
      </c>
      <c r="K544" s="6" t="s">
        <v>9714</v>
      </c>
      <c r="L544" s="16" t="n">
        <v>43523</v>
      </c>
      <c r="M544" s="16" t="n">
        <v>45861</v>
      </c>
      <c r="N544" s="6" t="s">
        <v>104</v>
      </c>
      <c r="O544" s="21" t="s">
        <v>104</v>
      </c>
      <c r="P544" s="6" t="s">
        <v>104</v>
      </c>
      <c r="Q544" s="6" t="s">
        <v>104</v>
      </c>
      <c r="R544" s="6" t="s">
        <v>104</v>
      </c>
      <c r="S544" s="6" t="s">
        <v>104</v>
      </c>
      <c r="T544" s="21" t="s">
        <v>104</v>
      </c>
      <c r="U544" s="6" t="s">
        <v>104</v>
      </c>
      <c r="V544" s="6" t="s">
        <v>104</v>
      </c>
      <c r="W544" s="6" t="s">
        <v>104</v>
      </c>
      <c r="X544" s="6" t="s">
        <v>104</v>
      </c>
      <c r="Y544" s="21" t="s">
        <v>104</v>
      </c>
      <c r="Z544" s="6" t="s">
        <v>104</v>
      </c>
      <c r="AA544" s="6" t="s">
        <v>104</v>
      </c>
      <c r="AB544" s="6" t="s">
        <v>104</v>
      </c>
      <c r="AC544" s="6" t="s">
        <v>9714</v>
      </c>
      <c r="AD544" s="16" t="n">
        <v>43523</v>
      </c>
      <c r="AE544" s="6" t="s">
        <v>11013</v>
      </c>
      <c r="AF544" s="6" t="s">
        <v>104</v>
      </c>
      <c r="AG544" s="6" t="s">
        <v>12661</v>
      </c>
      <c r="AH544" s="6" t="s">
        <v>13651</v>
      </c>
      <c r="AI544" s="6" t="s">
        <v>104</v>
      </c>
      <c r="AJ544" s="6" t="s">
        <v>15554</v>
      </c>
      <c r="AK544" s="6" t="s">
        <v>15707</v>
      </c>
      <c r="AL544" s="6" t="s">
        <v>16766</v>
      </c>
      <c r="AM544" s="6" t="s">
        <v>104</v>
      </c>
      <c r="AN544" s="6" t="s">
        <v>104</v>
      </c>
      <c r="AO544" s="6" t="s">
        <v>104</v>
      </c>
      <c r="AP544" s="6" t="s">
        <v>104</v>
      </c>
      <c r="AQ544" s="6" t="s">
        <v>104</v>
      </c>
      <c r="AR544" s="6" t="s">
        <v>104</v>
      </c>
      <c r="AS544" s="6" t="s">
        <v>104</v>
      </c>
      <c r="AT544" s="6" t="s">
        <v>104</v>
      </c>
      <c r="AU544" s="6" t="s">
        <v>104</v>
      </c>
      <c r="AV544" s="6" t="s">
        <v>104</v>
      </c>
      <c r="AW544" s="6" t="s">
        <v>104</v>
      </c>
      <c r="AX544" s="6" t="s">
        <v>20534</v>
      </c>
      <c r="AY544" s="6" t="s">
        <v>22304</v>
      </c>
      <c r="AZ544" s="6" t="s">
        <v>104</v>
      </c>
      <c r="BA544" s="6" t="s">
        <v>24258</v>
      </c>
      <c r="BB544" s="6" t="s">
        <v>104</v>
      </c>
      <c r="BC544" s="26"/>
      <c r="BD544" s="26"/>
      <c r="BE544" s="26"/>
      <c r="BF544" s="26"/>
      <c r="BG544" s="26"/>
      <c r="BH544" s="26"/>
      <c r="BI544" s="26"/>
      <c r="BJ544" s="26"/>
      <c r="BK544" s="26"/>
      <c r="BL544" s="26"/>
      <c r="BM544" s="26"/>
      <c r="BN544" s="26"/>
      <c r="BO544" s="26"/>
      <c r="BP544" s="16" t="n">
        <v>45737</v>
      </c>
      <c r="BQ544" s="28" t="str">
        <f>HYPERLINK("https://organic.ams.usda.gov/Integrity/Certificate.aspx?cid=32&amp;nopid=2230009296")</f>
        <v>https://organic.ams.usda.gov/Integrity/Certificate.aspx?cid=32&amp;nopid=2230009296</v>
      </c>
    </row>
    <row r="545">
      <c r="A545" t="s">
        <v>3</v>
      </c>
      <c r="B545" s="6" t="s">
        <v>20</v>
      </c>
      <c r="C545" s="6" t="s">
        <v>86</v>
      </c>
      <c r="D545" s="6" t="s">
        <v>151</v>
      </c>
      <c r="E545" s="10" t="s">
        <v>743</v>
      </c>
      <c r="F545" s="6" t="s">
        <v>2996</v>
      </c>
      <c r="G545" s="6" t="s">
        <v>104</v>
      </c>
      <c r="H545" s="6" t="s">
        <v>5387</v>
      </c>
      <c r="I545" s="6" t="s">
        <v>7292</v>
      </c>
      <c r="J545" s="6" t="s">
        <v>7293</v>
      </c>
      <c r="K545" s="6" t="s">
        <v>9714</v>
      </c>
      <c r="L545" s="16" t="n">
        <v>45532</v>
      </c>
      <c r="M545" s="16" t="n">
        <v>45869</v>
      </c>
      <c r="N545" s="6" t="s">
        <v>104</v>
      </c>
      <c r="O545" s="21" t="s">
        <v>104</v>
      </c>
      <c r="P545" s="6" t="s">
        <v>104</v>
      </c>
      <c r="Q545" s="6" t="s">
        <v>104</v>
      </c>
      <c r="R545" s="6" t="s">
        <v>104</v>
      </c>
      <c r="S545" s="6" t="s">
        <v>104</v>
      </c>
      <c r="T545" s="21" t="s">
        <v>104</v>
      </c>
      <c r="U545" s="6" t="s">
        <v>104</v>
      </c>
      <c r="V545" s="6" t="s">
        <v>104</v>
      </c>
      <c r="W545" s="6" t="s">
        <v>104</v>
      </c>
      <c r="X545" s="6" t="s">
        <v>104</v>
      </c>
      <c r="Y545" s="21" t="s">
        <v>104</v>
      </c>
      <c r="Z545" s="6" t="s">
        <v>104</v>
      </c>
      <c r="AA545" s="6" t="s">
        <v>104</v>
      </c>
      <c r="AB545" s="6" t="s">
        <v>104</v>
      </c>
      <c r="AC545" s="6" t="s">
        <v>9714</v>
      </c>
      <c r="AD545" s="16" t="n">
        <v>45532</v>
      </c>
      <c r="AE545" s="6" t="s">
        <v>11014</v>
      </c>
      <c r="AF545" s="6" t="s">
        <v>104</v>
      </c>
      <c r="AG545" s="6" t="s">
        <v>12662</v>
      </c>
      <c r="AH545" s="6" t="s">
        <v>13652</v>
      </c>
      <c r="AI545" s="6" t="s">
        <v>104</v>
      </c>
      <c r="AJ545" s="6" t="s">
        <v>15554</v>
      </c>
      <c r="AK545" s="6" t="s">
        <v>16779</v>
      </c>
      <c r="AL545" s="6" t="s">
        <v>16766</v>
      </c>
      <c r="AM545" s="6" t="s">
        <v>17340</v>
      </c>
      <c r="AN545" s="6" t="s">
        <v>104</v>
      </c>
      <c r="AO545" s="6" t="s">
        <v>104</v>
      </c>
      <c r="AP545" s="6" t="s">
        <v>104</v>
      </c>
      <c r="AQ545" s="6" t="s">
        <v>104</v>
      </c>
      <c r="AR545" s="6" t="s">
        <v>104</v>
      </c>
      <c r="AS545" s="6" t="s">
        <v>104</v>
      </c>
      <c r="AT545" s="6" t="s">
        <v>104</v>
      </c>
      <c r="AU545" s="6" t="s">
        <v>104</v>
      </c>
      <c r="AV545" s="6" t="s">
        <v>104</v>
      </c>
      <c r="AW545" s="6" t="s">
        <v>104</v>
      </c>
      <c r="AX545" s="6" t="s">
        <v>20535</v>
      </c>
      <c r="AY545" s="6" t="s">
        <v>22305</v>
      </c>
      <c r="AZ545" s="6" t="s">
        <v>104</v>
      </c>
      <c r="BA545" s="6" t="s">
        <v>104</v>
      </c>
      <c r="BB545" s="6" t="s">
        <v>104</v>
      </c>
      <c r="BC545" s="26"/>
      <c r="BD545" s="26"/>
      <c r="BE545" s="26"/>
      <c r="BF545" s="26"/>
      <c r="BG545" s="26"/>
      <c r="BH545" s="26"/>
      <c r="BI545" s="26"/>
      <c r="BJ545" s="26"/>
      <c r="BK545" s="26"/>
      <c r="BL545" s="26"/>
      <c r="BM545" s="26"/>
      <c r="BN545" s="26"/>
      <c r="BO545" s="26"/>
      <c r="BP545" s="16" t="n">
        <v>45532</v>
      </c>
      <c r="BQ545" s="28" t="str">
        <f>HYPERLINK("https://organic.ams.usda.gov/Integrity/Certificate.aspx?cid=17&amp;nopid=4080208091")</f>
        <v>https://organic.ams.usda.gov/Integrity/Certificate.aspx?cid=17&amp;nopid=4080208091</v>
      </c>
    </row>
    <row r="546">
      <c r="A546" t="s">
        <v>3</v>
      </c>
      <c r="B546" s="6" t="s">
        <v>6</v>
      </c>
      <c r="C546" s="6" t="s">
        <v>72</v>
      </c>
      <c r="D546" s="6" t="s">
        <v>137</v>
      </c>
      <c r="E546" s="10" t="s">
        <v>744</v>
      </c>
      <c r="F546" s="6" t="s">
        <v>2997</v>
      </c>
      <c r="G546" s="6" t="s">
        <v>104</v>
      </c>
      <c r="H546" s="6" t="s">
        <v>5388</v>
      </c>
      <c r="I546" s="6" t="s">
        <v>7206</v>
      </c>
      <c r="J546" s="6" t="s">
        <v>8548</v>
      </c>
      <c r="K546" s="6" t="s">
        <v>9714</v>
      </c>
      <c r="L546" s="16" t="n">
        <v>45331</v>
      </c>
      <c r="M546" s="16" t="n">
        <v>45518</v>
      </c>
      <c r="N546" s="6" t="s">
        <v>104</v>
      </c>
      <c r="O546" s="21" t="s">
        <v>104</v>
      </c>
      <c r="P546" s="6" t="s">
        <v>104</v>
      </c>
      <c r="Q546" s="6" t="s">
        <v>104</v>
      </c>
      <c r="R546" s="6" t="s">
        <v>104</v>
      </c>
      <c r="S546" s="6" t="s">
        <v>104</v>
      </c>
      <c r="T546" s="21" t="s">
        <v>104</v>
      </c>
      <c r="U546" s="6" t="s">
        <v>104</v>
      </c>
      <c r="V546" s="6" t="s">
        <v>104</v>
      </c>
      <c r="W546" s="6" t="s">
        <v>104</v>
      </c>
      <c r="X546" s="6" t="s">
        <v>104</v>
      </c>
      <c r="Y546" s="21" t="s">
        <v>104</v>
      </c>
      <c r="Z546" s="6" t="s">
        <v>104</v>
      </c>
      <c r="AA546" s="6" t="s">
        <v>104</v>
      </c>
      <c r="AB546" s="6" t="s">
        <v>104</v>
      </c>
      <c r="AC546" s="6" t="s">
        <v>9714</v>
      </c>
      <c r="AD546" s="16" t="n">
        <v>45331</v>
      </c>
      <c r="AE546" s="6" t="s">
        <v>11015</v>
      </c>
      <c r="AF546" s="6" t="s">
        <v>104</v>
      </c>
      <c r="AG546" s="6" t="s">
        <v>12663</v>
      </c>
      <c r="AH546" s="6" t="s">
        <v>13653</v>
      </c>
      <c r="AI546" s="6" t="s">
        <v>104</v>
      </c>
      <c r="AJ546" s="6" t="s">
        <v>15719</v>
      </c>
      <c r="AK546" s="6" t="s">
        <v>16779</v>
      </c>
      <c r="AL546" s="6" t="s">
        <v>16766</v>
      </c>
      <c r="AM546" s="6" t="s">
        <v>104</v>
      </c>
      <c r="AN546" s="6" t="s">
        <v>104</v>
      </c>
      <c r="AO546" s="6" t="s">
        <v>104</v>
      </c>
      <c r="AP546" s="6" t="s">
        <v>104</v>
      </c>
      <c r="AQ546" s="6" t="s">
        <v>104</v>
      </c>
      <c r="AR546" s="6" t="s">
        <v>104</v>
      </c>
      <c r="AS546" s="6" t="s">
        <v>104</v>
      </c>
      <c r="AT546" s="6" t="s">
        <v>104</v>
      </c>
      <c r="AU546" s="6" t="s">
        <v>104</v>
      </c>
      <c r="AV546" s="6" t="s">
        <v>104</v>
      </c>
      <c r="AW546" s="6" t="s">
        <v>104</v>
      </c>
      <c r="AX546" s="6" t="s">
        <v>104</v>
      </c>
      <c r="AY546" s="6" t="s">
        <v>22306</v>
      </c>
      <c r="AZ546" s="6" t="s">
        <v>104</v>
      </c>
      <c r="BA546" s="6" t="s">
        <v>24258</v>
      </c>
      <c r="BB546" s="6" t="s">
        <v>104</v>
      </c>
      <c r="BC546" s="26"/>
      <c r="BD546" s="26"/>
      <c r="BE546" s="26"/>
      <c r="BF546" s="26"/>
      <c r="BG546" s="26"/>
      <c r="BH546" s="26"/>
      <c r="BI546" s="26"/>
      <c r="BJ546" s="26"/>
      <c r="BK546" s="26"/>
      <c r="BL546" s="26"/>
      <c r="BM546" s="26"/>
      <c r="BN546" s="26"/>
      <c r="BO546" s="26"/>
      <c r="BP546" s="16" t="n">
        <v>45737</v>
      </c>
      <c r="BQ546" s="28" t="str">
        <f>HYPERLINK("https://organic.ams.usda.gov/Integrity/Certificate.aspx?cid=32&amp;nopid=2230010778")</f>
        <v>https://organic.ams.usda.gov/Integrity/Certificate.aspx?cid=32&amp;nopid=2230010778</v>
      </c>
    </row>
    <row r="547">
      <c r="A547" t="s">
        <v>3</v>
      </c>
      <c r="B547" s="6" t="s">
        <v>6</v>
      </c>
      <c r="C547" s="6" t="s">
        <v>72</v>
      </c>
      <c r="D547" s="6" t="s">
        <v>137</v>
      </c>
      <c r="E547" s="10" t="s">
        <v>745</v>
      </c>
      <c r="F547" s="6" t="s">
        <v>2998</v>
      </c>
      <c r="G547" s="6" t="s">
        <v>104</v>
      </c>
      <c r="H547" s="6" t="s">
        <v>5389</v>
      </c>
      <c r="I547" s="6" t="s">
        <v>7293</v>
      </c>
      <c r="J547" s="6" t="s">
        <v>8549</v>
      </c>
      <c r="K547" s="6" t="s">
        <v>9714</v>
      </c>
      <c r="L547" s="16" t="n">
        <v>45372</v>
      </c>
      <c r="M547" s="16" t="n">
        <v>45867</v>
      </c>
      <c r="N547" s="6" t="s">
        <v>104</v>
      </c>
      <c r="O547" s="21" t="s">
        <v>104</v>
      </c>
      <c r="P547" s="6" t="s">
        <v>104</v>
      </c>
      <c r="Q547" s="6" t="s">
        <v>104</v>
      </c>
      <c r="R547" s="6" t="s">
        <v>104</v>
      </c>
      <c r="S547" s="6" t="s">
        <v>104</v>
      </c>
      <c r="T547" s="21" t="s">
        <v>104</v>
      </c>
      <c r="U547" s="6" t="s">
        <v>104</v>
      </c>
      <c r="V547" s="6" t="s">
        <v>104</v>
      </c>
      <c r="W547" s="6" t="s">
        <v>104</v>
      </c>
      <c r="X547" s="6" t="s">
        <v>104</v>
      </c>
      <c r="Y547" s="21" t="s">
        <v>104</v>
      </c>
      <c r="Z547" s="6" t="s">
        <v>104</v>
      </c>
      <c r="AA547" s="6" t="s">
        <v>104</v>
      </c>
      <c r="AB547" s="6" t="s">
        <v>104</v>
      </c>
      <c r="AC547" s="6" t="s">
        <v>9714</v>
      </c>
      <c r="AD547" s="16" t="n">
        <v>45372</v>
      </c>
      <c r="AE547" s="6" t="s">
        <v>11016</v>
      </c>
      <c r="AF547" s="6" t="s">
        <v>104</v>
      </c>
      <c r="AG547" s="6" t="s">
        <v>12664</v>
      </c>
      <c r="AH547" s="6" t="s">
        <v>13654</v>
      </c>
      <c r="AI547" s="6" t="s">
        <v>104</v>
      </c>
      <c r="AJ547" s="6" t="s">
        <v>15554</v>
      </c>
      <c r="AK547" s="6" t="s">
        <v>15707</v>
      </c>
      <c r="AL547" s="6" t="s">
        <v>16766</v>
      </c>
      <c r="AM547" s="6" t="s">
        <v>17339</v>
      </c>
      <c r="AN547" s="6" t="s">
        <v>104</v>
      </c>
      <c r="AO547" s="6" t="s">
        <v>104</v>
      </c>
      <c r="AP547" s="6" t="s">
        <v>104</v>
      </c>
      <c r="AQ547" s="6" t="s">
        <v>104</v>
      </c>
      <c r="AR547" s="6" t="s">
        <v>104</v>
      </c>
      <c r="AS547" s="6" t="s">
        <v>104</v>
      </c>
      <c r="AT547" s="6" t="s">
        <v>104</v>
      </c>
      <c r="AU547" s="6" t="s">
        <v>104</v>
      </c>
      <c r="AV547" s="6" t="s">
        <v>104</v>
      </c>
      <c r="AW547" s="6" t="s">
        <v>104</v>
      </c>
      <c r="AX547" s="6" t="s">
        <v>104</v>
      </c>
      <c r="AY547" s="6" t="s">
        <v>22306</v>
      </c>
      <c r="AZ547" s="6" t="s">
        <v>104</v>
      </c>
      <c r="BA547" s="6" t="s">
        <v>24340</v>
      </c>
      <c r="BB547" s="6" t="s">
        <v>104</v>
      </c>
      <c r="BC547" s="26"/>
      <c r="BD547" s="26"/>
      <c r="BE547" s="26"/>
      <c r="BF547" s="26"/>
      <c r="BG547" s="26"/>
      <c r="BH547" s="26"/>
      <c r="BI547" s="26"/>
      <c r="BJ547" s="26"/>
      <c r="BK547" s="26"/>
      <c r="BL547" s="26"/>
      <c r="BM547" s="26"/>
      <c r="BN547" s="26"/>
      <c r="BO547" s="26"/>
      <c r="BP547" s="16" t="n">
        <v>45737</v>
      </c>
      <c r="BQ547" s="28" t="str">
        <f>HYPERLINK("https://organic.ams.usda.gov/Integrity/Certificate.aspx?cid=32&amp;nopid=2230010419")</f>
        <v>https://organic.ams.usda.gov/Integrity/Certificate.aspx?cid=32&amp;nopid=2230010419</v>
      </c>
    </row>
    <row r="548">
      <c r="A548" t="s">
        <v>3</v>
      </c>
      <c r="B548" s="6" t="s">
        <v>6</v>
      </c>
      <c r="C548" s="6" t="s">
        <v>72</v>
      </c>
      <c r="D548" s="6" t="s">
        <v>137</v>
      </c>
      <c r="E548" s="10" t="s">
        <v>746</v>
      </c>
      <c r="F548" s="6" t="s">
        <v>2999</v>
      </c>
      <c r="G548" s="6" t="s">
        <v>104</v>
      </c>
      <c r="H548" s="6" t="s">
        <v>5390</v>
      </c>
      <c r="I548" s="6" t="s">
        <v>7294</v>
      </c>
      <c r="J548" s="6" t="s">
        <v>8550</v>
      </c>
      <c r="K548" s="6" t="s">
        <v>9714</v>
      </c>
      <c r="L548" s="16" t="n">
        <v>43091</v>
      </c>
      <c r="M548" s="16" t="n">
        <v>45826</v>
      </c>
      <c r="N548" s="6" t="s">
        <v>104</v>
      </c>
      <c r="O548" s="21" t="s">
        <v>104</v>
      </c>
      <c r="P548" s="6" t="s">
        <v>104</v>
      </c>
      <c r="Q548" s="6" t="s">
        <v>104</v>
      </c>
      <c r="R548" s="6" t="s">
        <v>104</v>
      </c>
      <c r="S548" s="6" t="s">
        <v>104</v>
      </c>
      <c r="T548" s="21" t="s">
        <v>104</v>
      </c>
      <c r="U548" s="6" t="s">
        <v>104</v>
      </c>
      <c r="V548" s="6" t="s">
        <v>104</v>
      </c>
      <c r="W548" s="6" t="s">
        <v>104</v>
      </c>
      <c r="X548" s="6" t="s">
        <v>104</v>
      </c>
      <c r="Y548" s="21" t="s">
        <v>104</v>
      </c>
      <c r="Z548" s="6" t="s">
        <v>104</v>
      </c>
      <c r="AA548" s="6" t="s">
        <v>104</v>
      </c>
      <c r="AB548" s="6" t="s">
        <v>104</v>
      </c>
      <c r="AC548" s="6" t="s">
        <v>9714</v>
      </c>
      <c r="AD548" s="16" t="n">
        <v>43091</v>
      </c>
      <c r="AE548" s="6" t="s">
        <v>11017</v>
      </c>
      <c r="AF548" s="6" t="s">
        <v>104</v>
      </c>
      <c r="AG548" s="6" t="s">
        <v>12665</v>
      </c>
      <c r="AH548" s="6" t="s">
        <v>13655</v>
      </c>
      <c r="AI548" s="6" t="s">
        <v>104</v>
      </c>
      <c r="AJ548" s="6" t="s">
        <v>15491</v>
      </c>
      <c r="AK548" s="6" t="s">
        <v>16779</v>
      </c>
      <c r="AL548" s="6" t="s">
        <v>16766</v>
      </c>
      <c r="AM548" s="6" t="s">
        <v>17108</v>
      </c>
      <c r="AN548" s="6" t="s">
        <v>104</v>
      </c>
      <c r="AO548" s="6" t="s">
        <v>104</v>
      </c>
      <c r="AP548" s="6" t="s">
        <v>104</v>
      </c>
      <c r="AQ548" s="6" t="s">
        <v>104</v>
      </c>
      <c r="AR548" s="6" t="s">
        <v>104</v>
      </c>
      <c r="AS548" s="6" t="s">
        <v>104</v>
      </c>
      <c r="AT548" s="6" t="s">
        <v>104</v>
      </c>
      <c r="AU548" s="6" t="s">
        <v>104</v>
      </c>
      <c r="AV548" s="6" t="s">
        <v>104</v>
      </c>
      <c r="AW548" s="6" t="s">
        <v>104</v>
      </c>
      <c r="AX548" s="6" t="s">
        <v>20536</v>
      </c>
      <c r="AY548" s="6" t="s">
        <v>22307</v>
      </c>
      <c r="AZ548" s="6" t="s">
        <v>104</v>
      </c>
      <c r="BA548" s="6" t="s">
        <v>24258</v>
      </c>
      <c r="BB548" s="6" t="s">
        <v>104</v>
      </c>
      <c r="BC548" s="26"/>
      <c r="BD548" s="26"/>
      <c r="BE548" s="26"/>
      <c r="BF548" s="26"/>
      <c r="BG548" s="26"/>
      <c r="BH548" s="26"/>
      <c r="BI548" s="26"/>
      <c r="BJ548" s="26"/>
      <c r="BK548" s="26"/>
      <c r="BL548" s="26"/>
      <c r="BM548" s="26"/>
      <c r="BN548" s="26"/>
      <c r="BO548" s="26"/>
      <c r="BP548" s="16" t="n">
        <v>45737</v>
      </c>
      <c r="BQ548" s="28" t="str">
        <f>HYPERLINK("https://organic.ams.usda.gov/Integrity/Certificate.aspx?cid=32&amp;nopid=2230009524")</f>
        <v>https://organic.ams.usda.gov/Integrity/Certificate.aspx?cid=32&amp;nopid=2230009524</v>
      </c>
    </row>
    <row r="549">
      <c r="A549" t="s">
        <v>3</v>
      </c>
      <c r="B549" s="6" t="s">
        <v>6</v>
      </c>
      <c r="C549" s="6" t="s">
        <v>72</v>
      </c>
      <c r="D549" s="6" t="s">
        <v>137</v>
      </c>
      <c r="E549" s="10" t="s">
        <v>747</v>
      </c>
      <c r="F549" s="6" t="s">
        <v>3000</v>
      </c>
      <c r="G549" s="6" t="s">
        <v>104</v>
      </c>
      <c r="H549" s="6" t="s">
        <v>5391</v>
      </c>
      <c r="I549" s="6" t="s">
        <v>7286</v>
      </c>
      <c r="J549" s="6" t="s">
        <v>7290</v>
      </c>
      <c r="K549" s="6" t="s">
        <v>9714</v>
      </c>
      <c r="L549" s="16" t="n">
        <v>44937</v>
      </c>
      <c r="M549" s="16" t="n">
        <v>45866</v>
      </c>
      <c r="N549" s="6" t="s">
        <v>104</v>
      </c>
      <c r="O549" s="21" t="s">
        <v>104</v>
      </c>
      <c r="P549" s="6" t="s">
        <v>104</v>
      </c>
      <c r="Q549" s="6" t="s">
        <v>104</v>
      </c>
      <c r="R549" s="6" t="s">
        <v>104</v>
      </c>
      <c r="S549" s="6" t="s">
        <v>104</v>
      </c>
      <c r="T549" s="21" t="s">
        <v>104</v>
      </c>
      <c r="U549" s="6" t="s">
        <v>104</v>
      </c>
      <c r="V549" s="6" t="s">
        <v>104</v>
      </c>
      <c r="W549" s="6" t="s">
        <v>104</v>
      </c>
      <c r="X549" s="6" t="s">
        <v>104</v>
      </c>
      <c r="Y549" s="21" t="s">
        <v>104</v>
      </c>
      <c r="Z549" s="6" t="s">
        <v>104</v>
      </c>
      <c r="AA549" s="6" t="s">
        <v>104</v>
      </c>
      <c r="AB549" s="6" t="s">
        <v>104</v>
      </c>
      <c r="AC549" s="6" t="s">
        <v>9714</v>
      </c>
      <c r="AD549" s="16" t="n">
        <v>44937</v>
      </c>
      <c r="AE549" s="6" t="s">
        <v>11018</v>
      </c>
      <c r="AF549" s="6" t="s">
        <v>104</v>
      </c>
      <c r="AG549" s="6" t="s">
        <v>12666</v>
      </c>
      <c r="AH549" s="6" t="s">
        <v>13656</v>
      </c>
      <c r="AI549" s="6" t="s">
        <v>104</v>
      </c>
      <c r="AJ549" s="6" t="s">
        <v>104</v>
      </c>
      <c r="AK549" s="6" t="s">
        <v>104</v>
      </c>
      <c r="AL549" s="6" t="s">
        <v>16766</v>
      </c>
      <c r="AM549" s="6" t="s">
        <v>104</v>
      </c>
      <c r="AN549" s="6" t="s">
        <v>104</v>
      </c>
      <c r="AO549" s="6" t="s">
        <v>104</v>
      </c>
      <c r="AP549" s="6" t="s">
        <v>104</v>
      </c>
      <c r="AQ549" s="6" t="s">
        <v>104</v>
      </c>
      <c r="AR549" s="6" t="s">
        <v>104</v>
      </c>
      <c r="AS549" s="6" t="s">
        <v>104</v>
      </c>
      <c r="AT549" s="6" t="s">
        <v>104</v>
      </c>
      <c r="AU549" s="6" t="s">
        <v>104</v>
      </c>
      <c r="AV549" s="6" t="s">
        <v>104</v>
      </c>
      <c r="AW549" s="6" t="s">
        <v>104</v>
      </c>
      <c r="AX549" s="6" t="s">
        <v>20537</v>
      </c>
      <c r="AY549" s="6" t="s">
        <v>22308</v>
      </c>
      <c r="AZ549" s="6" t="s">
        <v>104</v>
      </c>
      <c r="BA549" s="6" t="s">
        <v>24341</v>
      </c>
      <c r="BB549" s="6" t="s">
        <v>104</v>
      </c>
      <c r="BC549" s="26"/>
      <c r="BD549" s="26"/>
      <c r="BE549" s="26"/>
      <c r="BF549" s="26"/>
      <c r="BG549" s="26"/>
      <c r="BH549" s="26"/>
      <c r="BI549" s="26"/>
      <c r="BJ549" s="26"/>
      <c r="BK549" s="26"/>
      <c r="BL549" s="26"/>
      <c r="BM549" s="26"/>
      <c r="BN549" s="26"/>
      <c r="BO549" s="26"/>
      <c r="BP549" s="16" t="n">
        <v>45737</v>
      </c>
      <c r="BQ549" s="28" t="str">
        <f>HYPERLINK("https://organic.ams.usda.gov/Integrity/Certificate.aspx?cid=32&amp;nopid=2230010429")</f>
        <v>https://organic.ams.usda.gov/Integrity/Certificate.aspx?cid=32&amp;nopid=2230010429</v>
      </c>
    </row>
    <row r="550">
      <c r="A550" t="s">
        <v>3</v>
      </c>
      <c r="B550" s="6" t="s">
        <v>48</v>
      </c>
      <c r="C550" s="6" t="s">
        <v>114</v>
      </c>
      <c r="D550" s="6" t="s">
        <v>178</v>
      </c>
      <c r="E550" s="10" t="s">
        <v>748</v>
      </c>
      <c r="F550" s="6" t="s">
        <v>3001</v>
      </c>
      <c r="G550" s="6" t="s">
        <v>104</v>
      </c>
      <c r="H550" s="6" t="s">
        <v>5392</v>
      </c>
      <c r="I550" s="6" t="s">
        <v>104</v>
      </c>
      <c r="J550" s="6" t="s">
        <v>104</v>
      </c>
      <c r="K550" s="6" t="s">
        <v>9714</v>
      </c>
      <c r="L550" s="16" t="n">
        <v>44524</v>
      </c>
      <c r="M550" s="16" t="n">
        <v>45991</v>
      </c>
      <c r="N550" s="6" t="s">
        <v>9714</v>
      </c>
      <c r="O550" s="16" t="n">
        <v>44524</v>
      </c>
      <c r="P550" s="6" t="s">
        <v>9868</v>
      </c>
      <c r="Q550" s="6" t="s">
        <v>104</v>
      </c>
      <c r="R550" s="6" t="s">
        <v>104</v>
      </c>
      <c r="S550" s="6" t="s">
        <v>104</v>
      </c>
      <c r="T550" s="21" t="s">
        <v>104</v>
      </c>
      <c r="U550" s="6" t="s">
        <v>104</v>
      </c>
      <c r="V550" s="6" t="s">
        <v>104</v>
      </c>
      <c r="W550" s="6" t="s">
        <v>104</v>
      </c>
      <c r="X550" s="6" t="s">
        <v>104</v>
      </c>
      <c r="Y550" s="21" t="s">
        <v>104</v>
      </c>
      <c r="Z550" s="6" t="s">
        <v>104</v>
      </c>
      <c r="AA550" s="6" t="s">
        <v>104</v>
      </c>
      <c r="AB550" s="6" t="s">
        <v>104</v>
      </c>
      <c r="AC550" s="6" t="s">
        <v>104</v>
      </c>
      <c r="AD550" s="21" t="s">
        <v>104</v>
      </c>
      <c r="AE550" s="6" t="s">
        <v>104</v>
      </c>
      <c r="AF550" s="6" t="s">
        <v>104</v>
      </c>
      <c r="AG550" s="6" t="s">
        <v>104</v>
      </c>
      <c r="AH550" s="6" t="s">
        <v>13657</v>
      </c>
      <c r="AI550" s="6" t="s">
        <v>104</v>
      </c>
      <c r="AJ550" s="6" t="s">
        <v>15720</v>
      </c>
      <c r="AK550" s="6" t="s">
        <v>104</v>
      </c>
      <c r="AL550" s="6" t="s">
        <v>16766</v>
      </c>
      <c r="AM550" s="6" t="s">
        <v>17341</v>
      </c>
      <c r="AN550" s="6" t="s">
        <v>104</v>
      </c>
      <c r="AO550" s="6" t="s">
        <v>104</v>
      </c>
      <c r="AP550" s="6" t="s">
        <v>13657</v>
      </c>
      <c r="AQ550" s="6" t="s">
        <v>104</v>
      </c>
      <c r="AR550" s="6" t="s">
        <v>15720</v>
      </c>
      <c r="AS550" s="6" t="s">
        <v>104</v>
      </c>
      <c r="AT550" s="6" t="s">
        <v>16766</v>
      </c>
      <c r="AU550" s="6" t="s">
        <v>17341</v>
      </c>
      <c r="AV550" s="6" t="s">
        <v>104</v>
      </c>
      <c r="AW550" s="6" t="s">
        <v>104</v>
      </c>
      <c r="AX550" s="6" t="s">
        <v>104</v>
      </c>
      <c r="AY550" s="6" t="s">
        <v>104</v>
      </c>
      <c r="AZ550" s="6" t="s">
        <v>104</v>
      </c>
      <c r="BA550" s="6" t="s">
        <v>104</v>
      </c>
      <c r="BB550" s="24" t="n">
        <v>2450</v>
      </c>
      <c r="BC550" s="26"/>
      <c r="BD550" s="26"/>
      <c r="BE550" s="26"/>
      <c r="BF550" s="26"/>
      <c r="BG550" s="26"/>
      <c r="BH550" s="26"/>
      <c r="BI550" s="26"/>
      <c r="BJ550" s="26"/>
      <c r="BK550" s="26"/>
      <c r="BL550" s="26"/>
      <c r="BM550" s="26"/>
      <c r="BN550" s="26"/>
      <c r="BO550" s="26"/>
      <c r="BP550" s="16" t="n">
        <v>45656</v>
      </c>
      <c r="BQ550" s="28" t="str">
        <f>HYPERLINK("https://organic.ams.usda.gov/Integrity/Certificate.aspx?cid=9&amp;nopid=1202103510")</f>
        <v>https://organic.ams.usda.gov/Integrity/Certificate.aspx?cid=9&amp;nopid=1202103510</v>
      </c>
    </row>
    <row r="551">
      <c r="A551" t="s">
        <v>3</v>
      </c>
      <c r="B551" s="6" t="s">
        <v>6</v>
      </c>
      <c r="C551" s="6" t="s">
        <v>72</v>
      </c>
      <c r="D551" s="6" t="s">
        <v>137</v>
      </c>
      <c r="E551" s="10" t="s">
        <v>749</v>
      </c>
      <c r="F551" s="6" t="s">
        <v>3002</v>
      </c>
      <c r="G551" s="6" t="s">
        <v>104</v>
      </c>
      <c r="H551" s="6" t="s">
        <v>5393</v>
      </c>
      <c r="I551" s="6" t="s">
        <v>7281</v>
      </c>
      <c r="J551" s="6" t="s">
        <v>8551</v>
      </c>
      <c r="K551" s="6" t="s">
        <v>9714</v>
      </c>
      <c r="L551" s="16" t="n">
        <v>43581</v>
      </c>
      <c r="M551" s="16" t="n">
        <v>45994</v>
      </c>
      <c r="N551" s="6" t="s">
        <v>104</v>
      </c>
      <c r="O551" s="21" t="s">
        <v>104</v>
      </c>
      <c r="P551" s="6" t="s">
        <v>104</v>
      </c>
      <c r="Q551" s="6" t="s">
        <v>104</v>
      </c>
      <c r="R551" s="6" t="s">
        <v>104</v>
      </c>
      <c r="S551" s="6" t="s">
        <v>104</v>
      </c>
      <c r="T551" s="21" t="s">
        <v>104</v>
      </c>
      <c r="U551" s="6" t="s">
        <v>104</v>
      </c>
      <c r="V551" s="6" t="s">
        <v>104</v>
      </c>
      <c r="W551" s="6" t="s">
        <v>104</v>
      </c>
      <c r="X551" s="6" t="s">
        <v>104</v>
      </c>
      <c r="Y551" s="21" t="s">
        <v>104</v>
      </c>
      <c r="Z551" s="6" t="s">
        <v>104</v>
      </c>
      <c r="AA551" s="6" t="s">
        <v>104</v>
      </c>
      <c r="AB551" s="6" t="s">
        <v>104</v>
      </c>
      <c r="AC551" s="6" t="s">
        <v>9714</v>
      </c>
      <c r="AD551" s="16" t="n">
        <v>43581</v>
      </c>
      <c r="AE551" s="6" t="s">
        <v>11019</v>
      </c>
      <c r="AF551" s="6" t="s">
        <v>104</v>
      </c>
      <c r="AG551" s="6" t="s">
        <v>12667</v>
      </c>
      <c r="AH551" s="6" t="s">
        <v>13658</v>
      </c>
      <c r="AI551" s="6" t="s">
        <v>104</v>
      </c>
      <c r="AJ551" s="6" t="s">
        <v>15554</v>
      </c>
      <c r="AK551" s="6" t="s">
        <v>16779</v>
      </c>
      <c r="AL551" s="6" t="s">
        <v>16766</v>
      </c>
      <c r="AM551" s="6" t="s">
        <v>104</v>
      </c>
      <c r="AN551" s="6" t="s">
        <v>104</v>
      </c>
      <c r="AO551" s="6" t="s">
        <v>104</v>
      </c>
      <c r="AP551" s="6" t="s">
        <v>104</v>
      </c>
      <c r="AQ551" s="6" t="s">
        <v>104</v>
      </c>
      <c r="AR551" s="6" t="s">
        <v>104</v>
      </c>
      <c r="AS551" s="6" t="s">
        <v>104</v>
      </c>
      <c r="AT551" s="6" t="s">
        <v>104</v>
      </c>
      <c r="AU551" s="6" t="s">
        <v>104</v>
      </c>
      <c r="AV551" s="6" t="s">
        <v>104</v>
      </c>
      <c r="AW551" s="6" t="s">
        <v>104</v>
      </c>
      <c r="AX551" s="6" t="s">
        <v>104</v>
      </c>
      <c r="AY551" s="6" t="s">
        <v>22309</v>
      </c>
      <c r="AZ551" s="6" t="s">
        <v>104</v>
      </c>
      <c r="BA551" s="6" t="s">
        <v>24258</v>
      </c>
      <c r="BB551" s="6" t="s">
        <v>104</v>
      </c>
      <c r="BC551" s="26"/>
      <c r="BD551" s="26"/>
      <c r="BE551" s="26"/>
      <c r="BF551" s="26"/>
      <c r="BG551" s="26"/>
      <c r="BH551" s="26"/>
      <c r="BI551" s="26"/>
      <c r="BJ551" s="26"/>
      <c r="BK551" s="26"/>
      <c r="BL551" s="26"/>
      <c r="BM551" s="26"/>
      <c r="BN551" s="26"/>
      <c r="BO551" s="26"/>
      <c r="BP551" s="16" t="n">
        <v>45737</v>
      </c>
      <c r="BQ551" s="28" t="str">
        <f>HYPERLINK("https://organic.ams.usda.gov/Integrity/Certificate.aspx?cid=32&amp;nopid=2230008125")</f>
        <v>https://organic.ams.usda.gov/Integrity/Certificate.aspx?cid=32&amp;nopid=2230008125</v>
      </c>
    </row>
    <row r="552">
      <c r="A552" t="s">
        <v>3</v>
      </c>
      <c r="B552" s="6" t="s">
        <v>34</v>
      </c>
      <c r="C552" s="6" t="s">
        <v>100</v>
      </c>
      <c r="D552" s="6" t="s">
        <v>165</v>
      </c>
      <c r="E552" s="10" t="s">
        <v>750</v>
      </c>
      <c r="F552" s="6" t="s">
        <v>3003</v>
      </c>
      <c r="G552" s="6" t="s">
        <v>104</v>
      </c>
      <c r="H552" s="6" t="s">
        <v>5394</v>
      </c>
      <c r="I552" s="6" t="s">
        <v>7295</v>
      </c>
      <c r="J552" s="6" t="s">
        <v>8552</v>
      </c>
      <c r="K552" s="6" t="s">
        <v>9714</v>
      </c>
      <c r="L552" s="16" t="n">
        <v>41654</v>
      </c>
      <c r="M552" s="16" t="n">
        <v>45930</v>
      </c>
      <c r="N552" s="6" t="s">
        <v>104</v>
      </c>
      <c r="O552" s="21" t="s">
        <v>104</v>
      </c>
      <c r="P552" s="6" t="s">
        <v>104</v>
      </c>
      <c r="Q552" s="6" t="s">
        <v>104</v>
      </c>
      <c r="R552" s="6" t="s">
        <v>104</v>
      </c>
      <c r="S552" s="6" t="s">
        <v>104</v>
      </c>
      <c r="T552" s="21" t="s">
        <v>104</v>
      </c>
      <c r="U552" s="6" t="s">
        <v>104</v>
      </c>
      <c r="V552" s="6" t="s">
        <v>104</v>
      </c>
      <c r="W552" s="6" t="s">
        <v>104</v>
      </c>
      <c r="X552" s="6" t="s">
        <v>104</v>
      </c>
      <c r="Y552" s="21" t="s">
        <v>104</v>
      </c>
      <c r="Z552" s="6" t="s">
        <v>104</v>
      </c>
      <c r="AA552" s="6" t="s">
        <v>104</v>
      </c>
      <c r="AB552" s="6" t="s">
        <v>104</v>
      </c>
      <c r="AC552" s="6" t="s">
        <v>9714</v>
      </c>
      <c r="AD552" s="16" t="n">
        <v>41654</v>
      </c>
      <c r="AE552" s="6" t="s">
        <v>11020</v>
      </c>
      <c r="AF552" s="6" t="s">
        <v>104</v>
      </c>
      <c r="AG552" s="6" t="s">
        <v>12668</v>
      </c>
      <c r="AH552" s="6" t="s">
        <v>13659</v>
      </c>
      <c r="AI552" s="6" t="s">
        <v>104</v>
      </c>
      <c r="AJ552" s="6" t="s">
        <v>15721</v>
      </c>
      <c r="AK552" s="6" t="s">
        <v>16680</v>
      </c>
      <c r="AL552" s="6" t="s">
        <v>16931</v>
      </c>
      <c r="AM552" s="6" t="s">
        <v>17342</v>
      </c>
      <c r="AN552" s="6" t="s">
        <v>18463</v>
      </c>
      <c r="AO552" s="6" t="s">
        <v>18649</v>
      </c>
      <c r="AP552" s="6" t="s">
        <v>13659</v>
      </c>
      <c r="AQ552" s="6" t="s">
        <v>104</v>
      </c>
      <c r="AR552" s="6" t="s">
        <v>15721</v>
      </c>
      <c r="AS552" s="6" t="s">
        <v>16680</v>
      </c>
      <c r="AT552" s="6" t="s">
        <v>16931</v>
      </c>
      <c r="AU552" s="6" t="s">
        <v>17342</v>
      </c>
      <c r="AV552" s="6" t="s">
        <v>104</v>
      </c>
      <c r="AW552" s="6" t="s">
        <v>104</v>
      </c>
      <c r="AX552" s="6" t="s">
        <v>20259</v>
      </c>
      <c r="AY552" s="6" t="s">
        <v>22310</v>
      </c>
      <c r="AZ552" s="6" t="s">
        <v>23818</v>
      </c>
      <c r="BA552" s="6" t="s">
        <v>104</v>
      </c>
      <c r="BB552" s="6" t="s">
        <v>104</v>
      </c>
      <c r="BC552" s="26"/>
      <c r="BD552" s="26"/>
      <c r="BE552" s="26"/>
      <c r="BF552" s="26"/>
      <c r="BG552" s="26"/>
      <c r="BH552" s="26"/>
      <c r="BI552" s="26"/>
      <c r="BJ552" s="26"/>
      <c r="BK552" s="26"/>
      <c r="BL552" s="26"/>
      <c r="BM552" s="26"/>
      <c r="BN552" s="26"/>
      <c r="BO552" s="26"/>
      <c r="BP552" s="16" t="n">
        <v>45737</v>
      </c>
      <c r="BQ552" s="28" t="str">
        <f>HYPERLINK("https://organic.ams.usda.gov/Integrity/Certificate.aspx?cid=71&amp;nopid=5520178554")</f>
        <v>https://organic.ams.usda.gov/Integrity/Certificate.aspx?cid=71&amp;nopid=5520178554</v>
      </c>
    </row>
    <row r="553">
      <c r="A553" t="s">
        <v>3</v>
      </c>
      <c r="B553" s="6" t="s">
        <v>36</v>
      </c>
      <c r="C553" s="6" t="s">
        <v>102</v>
      </c>
      <c r="D553" s="6" t="s">
        <v>167</v>
      </c>
      <c r="E553" s="10" t="s">
        <v>751</v>
      </c>
      <c r="F553" s="6" t="s">
        <v>3004</v>
      </c>
      <c r="G553" s="6" t="s">
        <v>104</v>
      </c>
      <c r="H553" s="6" t="s">
        <v>5395</v>
      </c>
      <c r="I553" s="6" t="s">
        <v>7006</v>
      </c>
      <c r="J553" s="6" t="s">
        <v>8553</v>
      </c>
      <c r="K553" s="6" t="s">
        <v>9714</v>
      </c>
      <c r="L553" s="16" t="n">
        <v>42907</v>
      </c>
      <c r="M553" s="16" t="n">
        <v>45323</v>
      </c>
      <c r="N553" s="6" t="s">
        <v>9714</v>
      </c>
      <c r="O553" s="16" t="n">
        <v>42907</v>
      </c>
      <c r="P553" s="6" t="s">
        <v>9869</v>
      </c>
      <c r="Q553" s="6" t="s">
        <v>104</v>
      </c>
      <c r="R553" s="6" t="s">
        <v>104</v>
      </c>
      <c r="S553" s="6" t="s">
        <v>104</v>
      </c>
      <c r="T553" s="21" t="s">
        <v>104</v>
      </c>
      <c r="U553" s="6" t="s">
        <v>104</v>
      </c>
      <c r="V553" s="6" t="s">
        <v>104</v>
      </c>
      <c r="W553" s="6" t="s">
        <v>104</v>
      </c>
      <c r="X553" s="6" t="s">
        <v>104</v>
      </c>
      <c r="Y553" s="21" t="s">
        <v>104</v>
      </c>
      <c r="Z553" s="6" t="s">
        <v>104</v>
      </c>
      <c r="AA553" s="6" t="s">
        <v>104</v>
      </c>
      <c r="AB553" s="6" t="s">
        <v>104</v>
      </c>
      <c r="AC553" s="6" t="s">
        <v>9714</v>
      </c>
      <c r="AD553" s="16" t="n">
        <v>44736</v>
      </c>
      <c r="AE553" s="6" t="s">
        <v>11021</v>
      </c>
      <c r="AF553" s="6" t="s">
        <v>104</v>
      </c>
      <c r="AG553" s="6" t="s">
        <v>104</v>
      </c>
      <c r="AH553" s="6" t="s">
        <v>13660</v>
      </c>
      <c r="AI553" s="6" t="s">
        <v>104</v>
      </c>
      <c r="AJ553" s="6" t="s">
        <v>9255</v>
      </c>
      <c r="AK553" s="6" t="s">
        <v>16705</v>
      </c>
      <c r="AL553" s="6" t="s">
        <v>16931</v>
      </c>
      <c r="AM553" s="6" t="s">
        <v>17343</v>
      </c>
      <c r="AN553" s="6" t="s">
        <v>18517</v>
      </c>
      <c r="AO553" s="6" t="s">
        <v>18676</v>
      </c>
      <c r="AP553" s="6" t="s">
        <v>19088</v>
      </c>
      <c r="AQ553" s="6" t="s">
        <v>104</v>
      </c>
      <c r="AR553" s="6" t="s">
        <v>9255</v>
      </c>
      <c r="AS553" s="6" t="s">
        <v>16705</v>
      </c>
      <c r="AT553" s="6" t="s">
        <v>16931</v>
      </c>
      <c r="AU553" s="6" t="s">
        <v>17343</v>
      </c>
      <c r="AV553" s="6" t="s">
        <v>104</v>
      </c>
      <c r="AW553" s="6" t="s">
        <v>104</v>
      </c>
      <c r="AX553" s="6" t="s">
        <v>20538</v>
      </c>
      <c r="AY553" s="6" t="s">
        <v>22311</v>
      </c>
      <c r="AZ553" s="6" t="s">
        <v>104</v>
      </c>
      <c r="BA553" s="6" t="s">
        <v>24342</v>
      </c>
      <c r="BB553" s="24" t="n">
        <v>5698</v>
      </c>
      <c r="BC553" s="26"/>
      <c r="BD553" s="26"/>
      <c r="BE553" s="26"/>
      <c r="BF553" s="26"/>
      <c r="BG553" s="26"/>
      <c r="BH553" s="26"/>
      <c r="BI553" s="26"/>
      <c r="BJ553" s="26"/>
      <c r="BK553" s="26"/>
      <c r="BL553" s="26"/>
      <c r="BM553" s="26"/>
      <c r="BN553" s="26" t="s">
        <v>24533</v>
      </c>
      <c r="BO553" s="26"/>
      <c r="BP553" s="16" t="n">
        <v>45729</v>
      </c>
      <c r="BQ553" s="28" t="str">
        <f>HYPERLINK("https://organic.ams.usda.gov/Integrity/Certificate.aspx?cid=61&amp;nopid=7270001287")</f>
        <v>https://organic.ams.usda.gov/Integrity/Certificate.aspx?cid=61&amp;nopid=7270001287</v>
      </c>
    </row>
    <row r="554">
      <c r="A554" t="s">
        <v>3</v>
      </c>
      <c r="B554" s="6" t="s">
        <v>21</v>
      </c>
      <c r="C554" s="6" t="s">
        <v>87</v>
      </c>
      <c r="D554" s="6" t="s">
        <v>152</v>
      </c>
      <c r="E554" s="10" t="s">
        <v>752</v>
      </c>
      <c r="F554" s="6" t="s">
        <v>3005</v>
      </c>
      <c r="G554" s="6" t="s">
        <v>104</v>
      </c>
      <c r="H554" s="6" t="s">
        <v>5396</v>
      </c>
      <c r="I554" s="6" t="s">
        <v>7296</v>
      </c>
      <c r="J554" s="6" t="s">
        <v>8554</v>
      </c>
      <c r="K554" s="6" t="s">
        <v>9714</v>
      </c>
      <c r="L554" s="16" t="n">
        <v>40792</v>
      </c>
      <c r="M554" s="16" t="n">
        <v>46023</v>
      </c>
      <c r="N554" s="6" t="s">
        <v>104</v>
      </c>
      <c r="O554" s="21" t="s">
        <v>104</v>
      </c>
      <c r="P554" s="6" t="s">
        <v>104</v>
      </c>
      <c r="Q554" s="6" t="s">
        <v>104</v>
      </c>
      <c r="R554" s="6" t="s">
        <v>104</v>
      </c>
      <c r="S554" s="6" t="s">
        <v>104</v>
      </c>
      <c r="T554" s="21" t="s">
        <v>104</v>
      </c>
      <c r="U554" s="6" t="s">
        <v>104</v>
      </c>
      <c r="V554" s="6" t="s">
        <v>104</v>
      </c>
      <c r="W554" s="6" t="s">
        <v>104</v>
      </c>
      <c r="X554" s="6" t="s">
        <v>104</v>
      </c>
      <c r="Y554" s="21" t="s">
        <v>104</v>
      </c>
      <c r="Z554" s="6" t="s">
        <v>104</v>
      </c>
      <c r="AA554" s="6" t="s">
        <v>104</v>
      </c>
      <c r="AB554" s="6" t="s">
        <v>104</v>
      </c>
      <c r="AC554" s="6" t="s">
        <v>9714</v>
      </c>
      <c r="AD554" s="16" t="n">
        <v>40792</v>
      </c>
      <c r="AE554" s="6" t="s">
        <v>11022</v>
      </c>
      <c r="AF554" s="6" t="s">
        <v>104</v>
      </c>
      <c r="AG554" s="6" t="s">
        <v>104</v>
      </c>
      <c r="AH554" s="6" t="s">
        <v>13661</v>
      </c>
      <c r="AI554" s="6" t="s">
        <v>104</v>
      </c>
      <c r="AJ554" s="6" t="s">
        <v>15722</v>
      </c>
      <c r="AK554" s="6" t="s">
        <v>16687</v>
      </c>
      <c r="AL554" s="6" t="s">
        <v>16931</v>
      </c>
      <c r="AM554" s="6" t="s">
        <v>17344</v>
      </c>
      <c r="AN554" s="6" t="s">
        <v>18469</v>
      </c>
      <c r="AO554" s="6" t="s">
        <v>18677</v>
      </c>
      <c r="AP554" s="6" t="s">
        <v>13661</v>
      </c>
      <c r="AQ554" s="6" t="s">
        <v>104</v>
      </c>
      <c r="AR554" s="6" t="s">
        <v>15722</v>
      </c>
      <c r="AS554" s="6" t="s">
        <v>16687</v>
      </c>
      <c r="AT554" s="6" t="s">
        <v>16931</v>
      </c>
      <c r="AU554" s="6" t="s">
        <v>17344</v>
      </c>
      <c r="AV554" s="6" t="s">
        <v>104</v>
      </c>
      <c r="AW554" s="6" t="s">
        <v>104</v>
      </c>
      <c r="AX554" s="6" t="s">
        <v>20539</v>
      </c>
      <c r="AY554" s="6" t="s">
        <v>22312</v>
      </c>
      <c r="AZ554" s="6" t="s">
        <v>23819</v>
      </c>
      <c r="BA554" s="6" t="s">
        <v>24343</v>
      </c>
      <c r="BB554" s="6" t="s">
        <v>104</v>
      </c>
      <c r="BC554" s="26"/>
      <c r="BD554" s="26"/>
      <c r="BE554" s="26"/>
      <c r="BF554" s="26"/>
      <c r="BG554" s="26"/>
      <c r="BH554" s="26"/>
      <c r="BI554" s="26"/>
      <c r="BJ554" s="26"/>
      <c r="BK554" s="26"/>
      <c r="BL554" s="26"/>
      <c r="BM554" s="26"/>
      <c r="BN554" s="26"/>
      <c r="BO554" s="26"/>
      <c r="BP554" s="16" t="n">
        <v>45667</v>
      </c>
      <c r="BQ554" s="28" t="str">
        <f>HYPERLINK("https://organic.ams.usda.gov/Integrity/Certificate.aspx?cid=15&amp;nopid=5561002566")</f>
        <v>https://organic.ams.usda.gov/Integrity/Certificate.aspx?cid=15&amp;nopid=5561002566</v>
      </c>
    </row>
    <row r="555">
      <c r="A555" t="s">
        <v>3</v>
      </c>
      <c r="B555" s="6" t="s">
        <v>54</v>
      </c>
      <c r="C555" s="6" t="s">
        <v>120</v>
      </c>
      <c r="D555" s="6" t="s">
        <v>184</v>
      </c>
      <c r="E555" s="10" t="s">
        <v>753</v>
      </c>
      <c r="F555" s="6" t="s">
        <v>3006</v>
      </c>
      <c r="G555" s="6" t="s">
        <v>104</v>
      </c>
      <c r="H555" s="6" t="s">
        <v>5397</v>
      </c>
      <c r="I555" s="6" t="s">
        <v>7297</v>
      </c>
      <c r="J555" s="6" t="s">
        <v>8555</v>
      </c>
      <c r="K555" s="6" t="s">
        <v>9714</v>
      </c>
      <c r="L555" s="16" t="n">
        <v>45476</v>
      </c>
      <c r="M555" s="16" t="n">
        <v>45717</v>
      </c>
      <c r="N555" s="6" t="s">
        <v>9714</v>
      </c>
      <c r="O555" s="16" t="n">
        <v>45476</v>
      </c>
      <c r="P555" s="6" t="s">
        <v>9870</v>
      </c>
      <c r="Q555" s="6" t="s">
        <v>104</v>
      </c>
      <c r="R555" s="6" t="s">
        <v>104</v>
      </c>
      <c r="S555" s="6" t="s">
        <v>104</v>
      </c>
      <c r="T555" s="21" t="s">
        <v>104</v>
      </c>
      <c r="U555" s="6" t="s">
        <v>104</v>
      </c>
      <c r="V555" s="6" t="s">
        <v>104</v>
      </c>
      <c r="W555" s="6" t="s">
        <v>104</v>
      </c>
      <c r="X555" s="6" t="s">
        <v>104</v>
      </c>
      <c r="Y555" s="21" t="s">
        <v>104</v>
      </c>
      <c r="Z555" s="6" t="s">
        <v>104</v>
      </c>
      <c r="AA555" s="6" t="s">
        <v>104</v>
      </c>
      <c r="AB555" s="6" t="s">
        <v>104</v>
      </c>
      <c r="AC555" s="6" t="s">
        <v>9721</v>
      </c>
      <c r="AD555" s="16" t="n">
        <v>45686</v>
      </c>
      <c r="AE555" s="6" t="s">
        <v>104</v>
      </c>
      <c r="AF555" s="6" t="s">
        <v>104</v>
      </c>
      <c r="AG555" s="6" t="s">
        <v>104</v>
      </c>
      <c r="AH555" s="6" t="s">
        <v>13662</v>
      </c>
      <c r="AI555" s="6" t="s">
        <v>104</v>
      </c>
      <c r="AJ555" s="6" t="s">
        <v>15723</v>
      </c>
      <c r="AK555" s="6" t="s">
        <v>16681</v>
      </c>
      <c r="AL555" s="6" t="s">
        <v>16931</v>
      </c>
      <c r="AM555" s="6" t="s">
        <v>17345</v>
      </c>
      <c r="AN555" s="6" t="s">
        <v>104</v>
      </c>
      <c r="AO555" s="6" t="s">
        <v>104</v>
      </c>
      <c r="AP555" s="6" t="s">
        <v>19089</v>
      </c>
      <c r="AQ555" s="6" t="s">
        <v>104</v>
      </c>
      <c r="AR555" s="6" t="s">
        <v>15723</v>
      </c>
      <c r="AS555" s="6" t="s">
        <v>16681</v>
      </c>
      <c r="AT555" s="6" t="s">
        <v>16931</v>
      </c>
      <c r="AU555" s="6" t="s">
        <v>17345</v>
      </c>
      <c r="AV555" s="6" t="s">
        <v>104</v>
      </c>
      <c r="AW555" s="6" t="s">
        <v>104</v>
      </c>
      <c r="AX555" s="6" t="s">
        <v>104</v>
      </c>
      <c r="AY555" s="6" t="s">
        <v>22313</v>
      </c>
      <c r="AZ555" s="6" t="s">
        <v>104</v>
      </c>
      <c r="BA555" s="6" t="s">
        <v>24267</v>
      </c>
      <c r="BB555" s="24" t="n">
        <v>910</v>
      </c>
      <c r="BC555" s="26"/>
      <c r="BD555" s="26"/>
      <c r="BE555" s="26"/>
      <c r="BF555" s="26"/>
      <c r="BG555" s="26"/>
      <c r="BH555" s="26"/>
      <c r="BI555" s="26"/>
      <c r="BJ555" s="26"/>
      <c r="BK555" s="26"/>
      <c r="BL555" s="26"/>
      <c r="BM555" s="26"/>
      <c r="BN555" s="26"/>
      <c r="BO555" s="26"/>
      <c r="BP555" s="16" t="n">
        <v>45687</v>
      </c>
      <c r="BQ555" s="28" t="str">
        <f>HYPERLINK("https://organic.ams.usda.gov/Integrity/Certificate.aspx?cid=60&amp;nopid=2580006692")</f>
        <v>https://organic.ams.usda.gov/Integrity/Certificate.aspx?cid=60&amp;nopid=2580006692</v>
      </c>
    </row>
    <row r="556">
      <c r="A556" t="s">
        <v>3</v>
      </c>
      <c r="B556" s="6" t="s">
        <v>54</v>
      </c>
      <c r="C556" s="6" t="s">
        <v>120</v>
      </c>
      <c r="D556" s="6" t="s">
        <v>184</v>
      </c>
      <c r="E556" s="10" t="s">
        <v>754</v>
      </c>
      <c r="F556" s="6" t="s">
        <v>3007</v>
      </c>
      <c r="G556" s="6" t="s">
        <v>104</v>
      </c>
      <c r="H556" s="6" t="s">
        <v>5398</v>
      </c>
      <c r="I556" s="6" t="s">
        <v>7298</v>
      </c>
      <c r="J556" s="6" t="s">
        <v>8504</v>
      </c>
      <c r="K556" s="6" t="s">
        <v>9714</v>
      </c>
      <c r="L556" s="16" t="n">
        <v>41131</v>
      </c>
      <c r="M556" s="16" t="n">
        <v>45717</v>
      </c>
      <c r="N556" s="6" t="s">
        <v>9714</v>
      </c>
      <c r="O556" s="16" t="n">
        <v>41131</v>
      </c>
      <c r="P556" s="6" t="s">
        <v>9871</v>
      </c>
      <c r="Q556" s="6" t="s">
        <v>104</v>
      </c>
      <c r="R556" s="6" t="s">
        <v>104</v>
      </c>
      <c r="S556" s="6" t="s">
        <v>104</v>
      </c>
      <c r="T556" s="21" t="s">
        <v>104</v>
      </c>
      <c r="U556" s="6" t="s">
        <v>104</v>
      </c>
      <c r="V556" s="6" t="s">
        <v>104</v>
      </c>
      <c r="W556" s="6" t="s">
        <v>104</v>
      </c>
      <c r="X556" s="6" t="s">
        <v>104</v>
      </c>
      <c r="Y556" s="21" t="s">
        <v>104</v>
      </c>
      <c r="Z556" s="6" t="s">
        <v>104</v>
      </c>
      <c r="AA556" s="6" t="s">
        <v>104</v>
      </c>
      <c r="AB556" s="6" t="s">
        <v>104</v>
      </c>
      <c r="AC556" s="6" t="s">
        <v>104</v>
      </c>
      <c r="AD556" s="21" t="s">
        <v>104</v>
      </c>
      <c r="AE556" s="6" t="s">
        <v>104</v>
      </c>
      <c r="AF556" s="6" t="s">
        <v>104</v>
      </c>
      <c r="AG556" s="6" t="s">
        <v>104</v>
      </c>
      <c r="AH556" s="6" t="s">
        <v>13663</v>
      </c>
      <c r="AI556" s="6" t="s">
        <v>104</v>
      </c>
      <c r="AJ556" s="6" t="s">
        <v>15692</v>
      </c>
      <c r="AK556" s="6" t="s">
        <v>16704</v>
      </c>
      <c r="AL556" s="6" t="s">
        <v>16931</v>
      </c>
      <c r="AM556" s="6" t="s">
        <v>17311</v>
      </c>
      <c r="AN556" s="6" t="s">
        <v>18486</v>
      </c>
      <c r="AO556" s="6" t="s">
        <v>18670</v>
      </c>
      <c r="AP556" s="6" t="s">
        <v>104</v>
      </c>
      <c r="AQ556" s="6" t="s">
        <v>104</v>
      </c>
      <c r="AR556" s="6" t="s">
        <v>104</v>
      </c>
      <c r="AS556" s="6" t="s">
        <v>104</v>
      </c>
      <c r="AT556" s="6" t="s">
        <v>104</v>
      </c>
      <c r="AU556" s="6" t="s">
        <v>104</v>
      </c>
      <c r="AV556" s="6" t="s">
        <v>104</v>
      </c>
      <c r="AW556" s="6" t="s">
        <v>104</v>
      </c>
      <c r="AX556" s="6" t="s">
        <v>104</v>
      </c>
      <c r="AY556" s="6" t="s">
        <v>22314</v>
      </c>
      <c r="AZ556" s="6" t="s">
        <v>104</v>
      </c>
      <c r="BA556" s="6" t="s">
        <v>24267</v>
      </c>
      <c r="BB556" s="24" t="n">
        <v>509</v>
      </c>
      <c r="BC556" s="26"/>
      <c r="BD556" s="26"/>
      <c r="BE556" s="26"/>
      <c r="BF556" s="26"/>
      <c r="BG556" s="26"/>
      <c r="BH556" s="26"/>
      <c r="BI556" s="26"/>
      <c r="BJ556" s="26"/>
      <c r="BK556" s="26"/>
      <c r="BL556" s="26"/>
      <c r="BM556" s="26"/>
      <c r="BN556" s="26" t="s">
        <v>24533</v>
      </c>
      <c r="BO556" s="26"/>
      <c r="BP556" s="16" t="n">
        <v>45684</v>
      </c>
      <c r="BQ556" s="28" t="str">
        <f>HYPERLINK("https://organic.ams.usda.gov/Integrity/Certificate.aspx?cid=60&amp;nopid=2580001199")</f>
        <v>https://organic.ams.usda.gov/Integrity/Certificate.aspx?cid=60&amp;nopid=2580001199</v>
      </c>
    </row>
    <row r="557">
      <c r="A557" t="s">
        <v>3</v>
      </c>
      <c r="B557" s="6" t="s">
        <v>41</v>
      </c>
      <c r="C557" s="6" t="s">
        <v>107</v>
      </c>
      <c r="D557" s="6" t="s">
        <v>171</v>
      </c>
      <c r="E557" s="10" t="s">
        <v>755</v>
      </c>
      <c r="F557" s="6" t="s">
        <v>3008</v>
      </c>
      <c r="G557" s="6" t="s">
        <v>4721</v>
      </c>
      <c r="H557" s="6" t="s">
        <v>5399</v>
      </c>
      <c r="I557" s="6" t="s">
        <v>7299</v>
      </c>
      <c r="J557" s="6" t="s">
        <v>8556</v>
      </c>
      <c r="K557" s="6" t="s">
        <v>9714</v>
      </c>
      <c r="L557" s="16" t="n">
        <v>42929</v>
      </c>
      <c r="M557" s="16" t="n">
        <v>46157</v>
      </c>
      <c r="N557" s="6" t="s">
        <v>9714</v>
      </c>
      <c r="O557" s="16" t="n">
        <v>42929</v>
      </c>
      <c r="P557" s="6" t="s">
        <v>9872</v>
      </c>
      <c r="Q557" s="6" t="s">
        <v>104</v>
      </c>
      <c r="R557" s="6" t="s">
        <v>104</v>
      </c>
      <c r="S557" s="6" t="s">
        <v>104</v>
      </c>
      <c r="T557" s="21" t="s">
        <v>104</v>
      </c>
      <c r="U557" s="6" t="s">
        <v>104</v>
      </c>
      <c r="V557" s="6" t="s">
        <v>104</v>
      </c>
      <c r="W557" s="6" t="s">
        <v>104</v>
      </c>
      <c r="X557" s="6" t="s">
        <v>104</v>
      </c>
      <c r="Y557" s="21" t="s">
        <v>104</v>
      </c>
      <c r="Z557" s="6" t="s">
        <v>104</v>
      </c>
      <c r="AA557" s="6" t="s">
        <v>104</v>
      </c>
      <c r="AB557" s="6" t="s">
        <v>104</v>
      </c>
      <c r="AC557" s="6" t="s">
        <v>9714</v>
      </c>
      <c r="AD557" s="16" t="n">
        <v>42929</v>
      </c>
      <c r="AE557" s="6" t="s">
        <v>11023</v>
      </c>
      <c r="AF557" s="6" t="s">
        <v>104</v>
      </c>
      <c r="AG557" s="6" t="s">
        <v>104</v>
      </c>
      <c r="AH557" s="6" t="s">
        <v>13664</v>
      </c>
      <c r="AI557" s="6" t="s">
        <v>104</v>
      </c>
      <c r="AJ557" s="6" t="s">
        <v>15724</v>
      </c>
      <c r="AK557" s="6" t="s">
        <v>16686</v>
      </c>
      <c r="AL557" s="6" t="s">
        <v>16931</v>
      </c>
      <c r="AM557" s="6" t="s">
        <v>17346</v>
      </c>
      <c r="AN557" s="6" t="s">
        <v>18494</v>
      </c>
      <c r="AO557" s="6" t="s">
        <v>18678</v>
      </c>
      <c r="AP557" s="6" t="s">
        <v>13664</v>
      </c>
      <c r="AQ557" s="6" t="s">
        <v>104</v>
      </c>
      <c r="AR557" s="6" t="s">
        <v>15724</v>
      </c>
      <c r="AS557" s="6" t="s">
        <v>16686</v>
      </c>
      <c r="AT557" s="6" t="s">
        <v>16931</v>
      </c>
      <c r="AU557" s="6" t="s">
        <v>17346</v>
      </c>
      <c r="AV557" s="6" t="s">
        <v>104</v>
      </c>
      <c r="AW557" s="6" t="s">
        <v>104</v>
      </c>
      <c r="AX557" s="6" t="s">
        <v>20540</v>
      </c>
      <c r="AY557" s="6" t="s">
        <v>104</v>
      </c>
      <c r="AZ557" s="6" t="s">
        <v>104</v>
      </c>
      <c r="BA557" s="6" t="s">
        <v>104</v>
      </c>
      <c r="BB557" s="24" t="n">
        <v>142</v>
      </c>
      <c r="BC557" s="26"/>
      <c r="BD557" s="26"/>
      <c r="BE557" s="26"/>
      <c r="BF557" s="26"/>
      <c r="BG557" s="26" t="s">
        <v>24533</v>
      </c>
      <c r="BH557" s="26"/>
      <c r="BI557" s="26"/>
      <c r="BJ557" s="26"/>
      <c r="BK557" s="26"/>
      <c r="BL557" s="26"/>
      <c r="BM557" s="26"/>
      <c r="BN557" s="26" t="s">
        <v>24533</v>
      </c>
      <c r="BO557" s="26"/>
      <c r="BP557" s="16" t="n">
        <v>45737</v>
      </c>
      <c r="BQ557" s="28" t="str">
        <f>HYPERLINK("https://organic.ams.usda.gov/Integrity/Certificate.aspx?cid=58&amp;nopid=1600002911")</f>
        <v>https://organic.ams.usda.gov/Integrity/Certificate.aspx?cid=58&amp;nopid=1600002911</v>
      </c>
    </row>
    <row r="558">
      <c r="A558" t="s">
        <v>3</v>
      </c>
      <c r="B558" s="6" t="s">
        <v>41</v>
      </c>
      <c r="C558" s="6" t="s">
        <v>107</v>
      </c>
      <c r="D558" s="6" t="s">
        <v>171</v>
      </c>
      <c r="E558" s="10" t="s">
        <v>756</v>
      </c>
      <c r="F558" s="6" t="s">
        <v>3009</v>
      </c>
      <c r="G558" s="6" t="s">
        <v>4722</v>
      </c>
      <c r="H558" s="6" t="s">
        <v>5400</v>
      </c>
      <c r="I558" s="6" t="s">
        <v>7126</v>
      </c>
      <c r="J558" s="6" t="s">
        <v>8557</v>
      </c>
      <c r="K558" s="6" t="s">
        <v>9714</v>
      </c>
      <c r="L558" s="16" t="n">
        <v>45705</v>
      </c>
      <c r="M558" s="16" t="n">
        <v>46157</v>
      </c>
      <c r="N558" s="6" t="s">
        <v>9714</v>
      </c>
      <c r="O558" s="16" t="n">
        <v>45705</v>
      </c>
      <c r="P558" s="6" t="s">
        <v>9873</v>
      </c>
      <c r="Q558" s="6" t="s">
        <v>104</v>
      </c>
      <c r="R558" s="6" t="s">
        <v>104</v>
      </c>
      <c r="S558" s="6" t="s">
        <v>9714</v>
      </c>
      <c r="T558" s="16" t="n">
        <v>45705</v>
      </c>
      <c r="U558" s="6" t="s">
        <v>10477</v>
      </c>
      <c r="V558" s="6" t="s">
        <v>104</v>
      </c>
      <c r="W558" s="6" t="s">
        <v>104</v>
      </c>
      <c r="X558" s="6" t="s">
        <v>104</v>
      </c>
      <c r="Y558" s="21" t="s">
        <v>104</v>
      </c>
      <c r="Z558" s="6" t="s">
        <v>104</v>
      </c>
      <c r="AA558" s="6" t="s">
        <v>104</v>
      </c>
      <c r="AB558" s="6" t="s">
        <v>104</v>
      </c>
      <c r="AC558" s="6" t="s">
        <v>9714</v>
      </c>
      <c r="AD558" s="16" t="n">
        <v>45705</v>
      </c>
      <c r="AE558" s="6" t="s">
        <v>11024</v>
      </c>
      <c r="AF558" s="6" t="s">
        <v>104</v>
      </c>
      <c r="AG558" s="6" t="s">
        <v>104</v>
      </c>
      <c r="AH558" s="6" t="s">
        <v>13665</v>
      </c>
      <c r="AI558" s="6" t="s">
        <v>104</v>
      </c>
      <c r="AJ558" s="6" t="s">
        <v>15725</v>
      </c>
      <c r="AK558" s="6" t="s">
        <v>16686</v>
      </c>
      <c r="AL558" s="6" t="s">
        <v>16931</v>
      </c>
      <c r="AM558" s="6" t="s">
        <v>17347</v>
      </c>
      <c r="AN558" s="6" t="s">
        <v>104</v>
      </c>
      <c r="AO558" s="6" t="s">
        <v>104</v>
      </c>
      <c r="AP558" s="6" t="s">
        <v>13665</v>
      </c>
      <c r="AQ558" s="6" t="s">
        <v>104</v>
      </c>
      <c r="AR558" s="6" t="s">
        <v>15725</v>
      </c>
      <c r="AS558" s="6" t="s">
        <v>16686</v>
      </c>
      <c r="AT558" s="6" t="s">
        <v>16931</v>
      </c>
      <c r="AU558" s="6" t="s">
        <v>17347</v>
      </c>
      <c r="AV558" s="6" t="s">
        <v>104</v>
      </c>
      <c r="AW558" s="6" t="s">
        <v>104</v>
      </c>
      <c r="AX558" s="6" t="s">
        <v>104</v>
      </c>
      <c r="AY558" s="6" t="s">
        <v>22315</v>
      </c>
      <c r="AZ558" s="6" t="s">
        <v>104</v>
      </c>
      <c r="BA558" s="6" t="s">
        <v>104</v>
      </c>
      <c r="BB558" s="24" t="n">
        <v>137</v>
      </c>
      <c r="BC558" s="26"/>
      <c r="BD558" s="26"/>
      <c r="BE558" s="26"/>
      <c r="BF558" s="26"/>
      <c r="BG558" s="26" t="s">
        <v>24533</v>
      </c>
      <c r="BH558" s="26"/>
      <c r="BI558" s="26"/>
      <c r="BJ558" s="26"/>
      <c r="BK558" s="26" t="s">
        <v>24533</v>
      </c>
      <c r="BL558" s="26"/>
      <c r="BM558" s="26"/>
      <c r="BN558" s="26" t="s">
        <v>24533</v>
      </c>
      <c r="BO558" s="26"/>
      <c r="BP558" s="16" t="n">
        <v>45737</v>
      </c>
      <c r="BQ558" s="28" t="str">
        <f>HYPERLINK("https://organic.ams.usda.gov/Integrity/Certificate.aspx?cid=58&amp;nopid=1600003828")</f>
        <v>https://organic.ams.usda.gov/Integrity/Certificate.aspx?cid=58&amp;nopid=1600003828</v>
      </c>
    </row>
    <row r="559">
      <c r="A559" t="s">
        <v>3</v>
      </c>
      <c r="B559" s="6" t="s">
        <v>54</v>
      </c>
      <c r="C559" s="6" t="s">
        <v>120</v>
      </c>
      <c r="D559" s="6" t="s">
        <v>184</v>
      </c>
      <c r="E559" s="10" t="s">
        <v>757</v>
      </c>
      <c r="F559" s="6" t="s">
        <v>3010</v>
      </c>
      <c r="G559" s="6" t="s">
        <v>104</v>
      </c>
      <c r="H559" s="6" t="s">
        <v>5401</v>
      </c>
      <c r="I559" s="6" t="s">
        <v>7300</v>
      </c>
      <c r="J559" s="6" t="s">
        <v>8504</v>
      </c>
      <c r="K559" s="6" t="s">
        <v>9714</v>
      </c>
      <c r="L559" s="16" t="n">
        <v>44011</v>
      </c>
      <c r="M559" s="16" t="n">
        <v>45717</v>
      </c>
      <c r="N559" s="6" t="s">
        <v>9714</v>
      </c>
      <c r="O559" s="16" t="n">
        <v>44011</v>
      </c>
      <c r="P559" s="6" t="s">
        <v>9874</v>
      </c>
      <c r="Q559" s="6" t="s">
        <v>104</v>
      </c>
      <c r="R559" s="6" t="s">
        <v>104</v>
      </c>
      <c r="S559" s="6" t="s">
        <v>104</v>
      </c>
      <c r="T559" s="21" t="s">
        <v>104</v>
      </c>
      <c r="U559" s="6" t="s">
        <v>104</v>
      </c>
      <c r="V559" s="6" t="s">
        <v>104</v>
      </c>
      <c r="W559" s="6" t="s">
        <v>104</v>
      </c>
      <c r="X559" s="6" t="s">
        <v>104</v>
      </c>
      <c r="Y559" s="21" t="s">
        <v>104</v>
      </c>
      <c r="Z559" s="6" t="s">
        <v>104</v>
      </c>
      <c r="AA559" s="6" t="s">
        <v>104</v>
      </c>
      <c r="AB559" s="6" t="s">
        <v>104</v>
      </c>
      <c r="AC559" s="6" t="s">
        <v>104</v>
      </c>
      <c r="AD559" s="21" t="s">
        <v>104</v>
      </c>
      <c r="AE559" s="6" t="s">
        <v>104</v>
      </c>
      <c r="AF559" s="6" t="s">
        <v>104</v>
      </c>
      <c r="AG559" s="6" t="s">
        <v>104</v>
      </c>
      <c r="AH559" s="6" t="s">
        <v>13666</v>
      </c>
      <c r="AI559" s="6" t="s">
        <v>104</v>
      </c>
      <c r="AJ559" s="6" t="s">
        <v>15692</v>
      </c>
      <c r="AK559" s="6" t="s">
        <v>16704</v>
      </c>
      <c r="AL559" s="6" t="s">
        <v>16931</v>
      </c>
      <c r="AM559" s="6" t="s">
        <v>17311</v>
      </c>
      <c r="AN559" s="6" t="s">
        <v>18486</v>
      </c>
      <c r="AO559" s="6" t="s">
        <v>18670</v>
      </c>
      <c r="AP559" s="6" t="s">
        <v>19090</v>
      </c>
      <c r="AQ559" s="6" t="s">
        <v>104</v>
      </c>
      <c r="AR559" s="6" t="s">
        <v>19637</v>
      </c>
      <c r="AS559" s="6" t="s">
        <v>16730</v>
      </c>
      <c r="AT559" s="6" t="s">
        <v>16931</v>
      </c>
      <c r="AU559" s="6" t="s">
        <v>19866</v>
      </c>
      <c r="AV559" s="6" t="s">
        <v>104</v>
      </c>
      <c r="AW559" s="6" t="s">
        <v>104</v>
      </c>
      <c r="AX559" s="6" t="s">
        <v>20541</v>
      </c>
      <c r="AY559" s="6" t="s">
        <v>22316</v>
      </c>
      <c r="AZ559" s="6" t="s">
        <v>104</v>
      </c>
      <c r="BA559" s="6" t="s">
        <v>24267</v>
      </c>
      <c r="BB559" s="24" t="n">
        <v>300</v>
      </c>
      <c r="BC559" s="26"/>
      <c r="BD559" s="26"/>
      <c r="BE559" s="26"/>
      <c r="BF559" s="26"/>
      <c r="BG559" s="26"/>
      <c r="BH559" s="26"/>
      <c r="BI559" s="26"/>
      <c r="BJ559" s="26"/>
      <c r="BK559" s="26"/>
      <c r="BL559" s="26"/>
      <c r="BM559" s="26"/>
      <c r="BN559" s="26"/>
      <c r="BO559" s="26"/>
      <c r="BP559" s="16" t="n">
        <v>45672</v>
      </c>
      <c r="BQ559" s="28" t="str">
        <f>HYPERLINK("https://organic.ams.usda.gov/Integrity/Certificate.aspx?cid=60&amp;nopid=2580003690")</f>
        <v>https://organic.ams.usda.gov/Integrity/Certificate.aspx?cid=60&amp;nopid=2580003690</v>
      </c>
    </row>
    <row r="560">
      <c r="A560" t="s">
        <v>3</v>
      </c>
      <c r="B560" s="6" t="s">
        <v>19</v>
      </c>
      <c r="C560" s="6" t="s">
        <v>85</v>
      </c>
      <c r="D560" s="6" t="s">
        <v>150</v>
      </c>
      <c r="E560" s="10" t="s">
        <v>758</v>
      </c>
      <c r="F560" s="6" t="s">
        <v>3011</v>
      </c>
      <c r="G560" s="6" t="s">
        <v>104</v>
      </c>
      <c r="H560" s="6" t="s">
        <v>5402</v>
      </c>
      <c r="I560" s="6" t="s">
        <v>7301</v>
      </c>
      <c r="J560" s="6" t="s">
        <v>8558</v>
      </c>
      <c r="K560" s="6" t="s">
        <v>9714</v>
      </c>
      <c r="L560" s="16" t="n">
        <v>44272</v>
      </c>
      <c r="M560" s="16" t="n">
        <v>45717</v>
      </c>
      <c r="N560" s="6" t="s">
        <v>9714</v>
      </c>
      <c r="O560" s="16" t="n">
        <v>44272</v>
      </c>
      <c r="P560" s="6" t="s">
        <v>9875</v>
      </c>
      <c r="Q560" s="6" t="s">
        <v>104</v>
      </c>
      <c r="R560" s="6" t="s">
        <v>104</v>
      </c>
      <c r="S560" s="6" t="s">
        <v>9714</v>
      </c>
      <c r="T560" s="16" t="n">
        <v>44272</v>
      </c>
      <c r="U560" s="6" t="s">
        <v>10478</v>
      </c>
      <c r="V560" s="6" t="s">
        <v>104</v>
      </c>
      <c r="W560" s="6" t="s">
        <v>104</v>
      </c>
      <c r="X560" s="6" t="s">
        <v>104</v>
      </c>
      <c r="Y560" s="21" t="s">
        <v>104</v>
      </c>
      <c r="Z560" s="6" t="s">
        <v>104</v>
      </c>
      <c r="AA560" s="6" t="s">
        <v>104</v>
      </c>
      <c r="AB560" s="6" t="s">
        <v>104</v>
      </c>
      <c r="AC560" s="6" t="s">
        <v>9714</v>
      </c>
      <c r="AD560" s="16" t="n">
        <v>45255</v>
      </c>
      <c r="AE560" s="6" t="s">
        <v>11025</v>
      </c>
      <c r="AF560" s="6" t="s">
        <v>104</v>
      </c>
      <c r="AG560" s="6" t="s">
        <v>104</v>
      </c>
      <c r="AH560" s="6" t="s">
        <v>13667</v>
      </c>
      <c r="AI560" s="6" t="s">
        <v>104</v>
      </c>
      <c r="AJ560" s="6" t="s">
        <v>15726</v>
      </c>
      <c r="AK560" s="6" t="s">
        <v>16686</v>
      </c>
      <c r="AL560" s="6" t="s">
        <v>16931</v>
      </c>
      <c r="AM560" s="6" t="s">
        <v>17348</v>
      </c>
      <c r="AN560" s="6" t="s">
        <v>18456</v>
      </c>
      <c r="AO560" s="6" t="s">
        <v>18679</v>
      </c>
      <c r="AP560" s="6" t="s">
        <v>13667</v>
      </c>
      <c r="AQ560" s="6" t="s">
        <v>104</v>
      </c>
      <c r="AR560" s="6" t="s">
        <v>15726</v>
      </c>
      <c r="AS560" s="6" t="s">
        <v>16686</v>
      </c>
      <c r="AT560" s="6" t="s">
        <v>16931</v>
      </c>
      <c r="AU560" s="6" t="s">
        <v>17348</v>
      </c>
      <c r="AV560" s="6" t="s">
        <v>104</v>
      </c>
      <c r="AW560" s="6" t="s">
        <v>104</v>
      </c>
      <c r="AX560" s="6" t="s">
        <v>20542</v>
      </c>
      <c r="AY560" s="6" t="s">
        <v>22317</v>
      </c>
      <c r="AZ560" s="6" t="s">
        <v>104</v>
      </c>
      <c r="BA560" s="6" t="s">
        <v>104</v>
      </c>
      <c r="BB560" s="24" t="n">
        <v>306</v>
      </c>
      <c r="BC560" s="26"/>
      <c r="BD560" s="26"/>
      <c r="BE560" s="26"/>
      <c r="BF560" s="26"/>
      <c r="BG560" s="26"/>
      <c r="BH560" s="26"/>
      <c r="BI560" s="26"/>
      <c r="BJ560" s="26"/>
      <c r="BK560" s="26"/>
      <c r="BL560" s="26"/>
      <c r="BM560" s="26"/>
      <c r="BN560" s="26"/>
      <c r="BO560" s="26"/>
      <c r="BP560" s="16" t="n">
        <v>45721</v>
      </c>
      <c r="BQ560" s="28" t="str">
        <f>HYPERLINK("https://organic.ams.usda.gov/Integrity/Certificate.aspx?cid=68&amp;nopid=8210008038")</f>
        <v>https://organic.ams.usda.gov/Integrity/Certificate.aspx?cid=68&amp;nopid=8210008038</v>
      </c>
    </row>
    <row r="561">
      <c r="A561" t="s">
        <v>3</v>
      </c>
      <c r="B561" s="6" t="s">
        <v>21</v>
      </c>
      <c r="C561" s="6" t="s">
        <v>87</v>
      </c>
      <c r="D561" s="6" t="s">
        <v>152</v>
      </c>
      <c r="E561" s="10" t="s">
        <v>759</v>
      </c>
      <c r="F561" s="6" t="s">
        <v>3012</v>
      </c>
      <c r="G561" s="6" t="s">
        <v>4723</v>
      </c>
      <c r="H561" s="6" t="s">
        <v>5403</v>
      </c>
      <c r="I561" s="6" t="s">
        <v>7215</v>
      </c>
      <c r="J561" s="6" t="s">
        <v>8418</v>
      </c>
      <c r="K561" s="6" t="s">
        <v>9714</v>
      </c>
      <c r="L561" s="16" t="n">
        <v>40998</v>
      </c>
      <c r="M561" s="16" t="n">
        <v>46023</v>
      </c>
      <c r="N561" s="6" t="s">
        <v>9714</v>
      </c>
      <c r="O561" s="16" t="n">
        <v>40998</v>
      </c>
      <c r="P561" s="6" t="s">
        <v>9876</v>
      </c>
      <c r="Q561" s="6" t="s">
        <v>104</v>
      </c>
      <c r="R561" s="6" t="s">
        <v>104</v>
      </c>
      <c r="S561" s="6" t="s">
        <v>9721</v>
      </c>
      <c r="T561" s="16" t="n">
        <v>43496</v>
      </c>
      <c r="U561" s="6" t="s">
        <v>104</v>
      </c>
      <c r="V561" s="6" t="s">
        <v>104</v>
      </c>
      <c r="W561" s="6" t="s">
        <v>104</v>
      </c>
      <c r="X561" s="6" t="s">
        <v>104</v>
      </c>
      <c r="Y561" s="21" t="s">
        <v>104</v>
      </c>
      <c r="Z561" s="6" t="s">
        <v>104</v>
      </c>
      <c r="AA561" s="6" t="s">
        <v>104</v>
      </c>
      <c r="AB561" s="6" t="s">
        <v>104</v>
      </c>
      <c r="AC561" s="6" t="s">
        <v>104</v>
      </c>
      <c r="AD561" s="21" t="s">
        <v>104</v>
      </c>
      <c r="AE561" s="6" t="s">
        <v>104</v>
      </c>
      <c r="AF561" s="6" t="s">
        <v>104</v>
      </c>
      <c r="AG561" s="6" t="s">
        <v>104</v>
      </c>
      <c r="AH561" s="6" t="s">
        <v>13668</v>
      </c>
      <c r="AI561" s="6" t="s">
        <v>104</v>
      </c>
      <c r="AJ561" s="6" t="s">
        <v>15727</v>
      </c>
      <c r="AK561" s="6" t="s">
        <v>16706</v>
      </c>
      <c r="AL561" s="6" t="s">
        <v>16931</v>
      </c>
      <c r="AM561" s="6" t="s">
        <v>17349</v>
      </c>
      <c r="AN561" s="6" t="s">
        <v>18450</v>
      </c>
      <c r="AO561" s="6" t="s">
        <v>18624</v>
      </c>
      <c r="AP561" s="6" t="s">
        <v>19091</v>
      </c>
      <c r="AQ561" s="6" t="s">
        <v>104</v>
      </c>
      <c r="AR561" s="6" t="s">
        <v>19638</v>
      </c>
      <c r="AS561" s="6" t="s">
        <v>16706</v>
      </c>
      <c r="AT561" s="6" t="s">
        <v>16931</v>
      </c>
      <c r="AU561" s="6" t="s">
        <v>19867</v>
      </c>
      <c r="AV561" s="6" t="s">
        <v>104</v>
      </c>
      <c r="AW561" s="6" t="s">
        <v>104</v>
      </c>
      <c r="AX561" s="6" t="s">
        <v>20543</v>
      </c>
      <c r="AY561" s="6" t="s">
        <v>22318</v>
      </c>
      <c r="AZ561" s="6" t="s">
        <v>104</v>
      </c>
      <c r="BA561" s="6" t="s">
        <v>24263</v>
      </c>
      <c r="BB561" s="24" t="n">
        <v>1238</v>
      </c>
      <c r="BC561" s="26"/>
      <c r="BD561" s="26"/>
      <c r="BE561" s="26"/>
      <c r="BF561" s="26"/>
      <c r="BG561" s="26"/>
      <c r="BH561" s="26"/>
      <c r="BI561" s="26"/>
      <c r="BJ561" s="26"/>
      <c r="BK561" s="26"/>
      <c r="BL561" s="26"/>
      <c r="BM561" s="26"/>
      <c r="BN561" s="26"/>
      <c r="BO561" s="26"/>
      <c r="BP561" s="16" t="n">
        <v>45728</v>
      </c>
      <c r="BQ561" s="28" t="str">
        <f>HYPERLINK("https://organic.ams.usda.gov/Integrity/Certificate.aspx?cid=15&amp;nopid=5561000107")</f>
        <v>https://organic.ams.usda.gov/Integrity/Certificate.aspx?cid=15&amp;nopid=5561000107</v>
      </c>
    </row>
    <row r="562">
      <c r="A562" t="s">
        <v>3</v>
      </c>
      <c r="B562" s="6" t="s">
        <v>54</v>
      </c>
      <c r="C562" s="6" t="s">
        <v>120</v>
      </c>
      <c r="D562" s="6" t="s">
        <v>184</v>
      </c>
      <c r="E562" s="10" t="s">
        <v>760</v>
      </c>
      <c r="F562" s="6" t="s">
        <v>3013</v>
      </c>
      <c r="G562" s="6" t="s">
        <v>104</v>
      </c>
      <c r="H562" s="6" t="s">
        <v>5404</v>
      </c>
      <c r="I562" s="6" t="s">
        <v>6945</v>
      </c>
      <c r="J562" s="6" t="s">
        <v>8559</v>
      </c>
      <c r="K562" s="6" t="s">
        <v>9714</v>
      </c>
      <c r="L562" s="16" t="n">
        <v>44049</v>
      </c>
      <c r="M562" s="16" t="n">
        <v>45717</v>
      </c>
      <c r="N562" s="6" t="s">
        <v>9714</v>
      </c>
      <c r="O562" s="16" t="n">
        <v>44049</v>
      </c>
      <c r="P562" s="6" t="s">
        <v>9877</v>
      </c>
      <c r="Q562" s="6" t="s">
        <v>104</v>
      </c>
      <c r="R562" s="6" t="s">
        <v>104</v>
      </c>
      <c r="S562" s="6" t="s">
        <v>104</v>
      </c>
      <c r="T562" s="21" t="s">
        <v>104</v>
      </c>
      <c r="U562" s="6" t="s">
        <v>104</v>
      </c>
      <c r="V562" s="6" t="s">
        <v>104</v>
      </c>
      <c r="W562" s="6" t="s">
        <v>104</v>
      </c>
      <c r="X562" s="6" t="s">
        <v>104</v>
      </c>
      <c r="Y562" s="21" t="s">
        <v>104</v>
      </c>
      <c r="Z562" s="6" t="s">
        <v>104</v>
      </c>
      <c r="AA562" s="6" t="s">
        <v>104</v>
      </c>
      <c r="AB562" s="6" t="s">
        <v>104</v>
      </c>
      <c r="AC562" s="6" t="s">
        <v>104</v>
      </c>
      <c r="AD562" s="21" t="s">
        <v>104</v>
      </c>
      <c r="AE562" s="6" t="s">
        <v>104</v>
      </c>
      <c r="AF562" s="6" t="s">
        <v>104</v>
      </c>
      <c r="AG562" s="6" t="s">
        <v>104</v>
      </c>
      <c r="AH562" s="6" t="s">
        <v>13669</v>
      </c>
      <c r="AI562" s="6" t="s">
        <v>104</v>
      </c>
      <c r="AJ562" s="6" t="s">
        <v>15728</v>
      </c>
      <c r="AK562" s="6" t="s">
        <v>16743</v>
      </c>
      <c r="AL562" s="6" t="s">
        <v>16931</v>
      </c>
      <c r="AM562" s="6" t="s">
        <v>17350</v>
      </c>
      <c r="AN562" s="6" t="s">
        <v>18468</v>
      </c>
      <c r="AO562" s="6" t="s">
        <v>18680</v>
      </c>
      <c r="AP562" s="6" t="s">
        <v>19092</v>
      </c>
      <c r="AQ562" s="6" t="s">
        <v>104</v>
      </c>
      <c r="AR562" s="6" t="s">
        <v>15728</v>
      </c>
      <c r="AS562" s="6" t="s">
        <v>16743</v>
      </c>
      <c r="AT562" s="6" t="s">
        <v>16931</v>
      </c>
      <c r="AU562" s="6" t="s">
        <v>17350</v>
      </c>
      <c r="AV562" s="6" t="s">
        <v>104</v>
      </c>
      <c r="AW562" s="6" t="s">
        <v>104</v>
      </c>
      <c r="AX562" s="6" t="s">
        <v>20544</v>
      </c>
      <c r="AY562" s="6" t="s">
        <v>22319</v>
      </c>
      <c r="AZ562" s="6" t="s">
        <v>104</v>
      </c>
      <c r="BA562" s="6" t="s">
        <v>24323</v>
      </c>
      <c r="BB562" s="24" t="n">
        <v>6790</v>
      </c>
      <c r="BC562" s="26"/>
      <c r="BD562" s="26"/>
      <c r="BE562" s="26"/>
      <c r="BF562" s="26"/>
      <c r="BG562" s="26"/>
      <c r="BH562" s="26"/>
      <c r="BI562" s="26"/>
      <c r="BJ562" s="26"/>
      <c r="BK562" s="26"/>
      <c r="BL562" s="26"/>
      <c r="BM562" s="26"/>
      <c r="BN562" s="26"/>
      <c r="BO562" s="26"/>
      <c r="BP562" s="16" t="n">
        <v>45569</v>
      </c>
      <c r="BQ562" s="28" t="str">
        <f>HYPERLINK("https://organic.ams.usda.gov/Integrity/Certificate.aspx?cid=60&amp;nopid=2580003533")</f>
        <v>https://organic.ams.usda.gov/Integrity/Certificate.aspx?cid=60&amp;nopid=2580003533</v>
      </c>
    </row>
    <row r="563">
      <c r="A563" t="s">
        <v>3</v>
      </c>
      <c r="B563" s="6" t="s">
        <v>6</v>
      </c>
      <c r="C563" s="6" t="s">
        <v>72</v>
      </c>
      <c r="D563" s="6" t="s">
        <v>137</v>
      </c>
      <c r="E563" s="10" t="s">
        <v>761</v>
      </c>
      <c r="F563" s="6" t="s">
        <v>3014</v>
      </c>
      <c r="G563" s="6" t="s">
        <v>104</v>
      </c>
      <c r="H563" s="6" t="s">
        <v>5405</v>
      </c>
      <c r="I563" s="6" t="s">
        <v>7302</v>
      </c>
      <c r="J563" s="6" t="s">
        <v>104</v>
      </c>
      <c r="K563" s="6" t="s">
        <v>9714</v>
      </c>
      <c r="L563" s="16" t="n">
        <v>45394</v>
      </c>
      <c r="M563" s="16" t="n">
        <v>45986</v>
      </c>
      <c r="N563" s="6" t="s">
        <v>104</v>
      </c>
      <c r="O563" s="21" t="s">
        <v>104</v>
      </c>
      <c r="P563" s="6" t="s">
        <v>104</v>
      </c>
      <c r="Q563" s="6" t="s">
        <v>104</v>
      </c>
      <c r="R563" s="6" t="s">
        <v>104</v>
      </c>
      <c r="S563" s="6" t="s">
        <v>104</v>
      </c>
      <c r="T563" s="21" t="s">
        <v>104</v>
      </c>
      <c r="U563" s="6" t="s">
        <v>104</v>
      </c>
      <c r="V563" s="6" t="s">
        <v>104</v>
      </c>
      <c r="W563" s="6" t="s">
        <v>104</v>
      </c>
      <c r="X563" s="6" t="s">
        <v>104</v>
      </c>
      <c r="Y563" s="21" t="s">
        <v>104</v>
      </c>
      <c r="Z563" s="6" t="s">
        <v>104</v>
      </c>
      <c r="AA563" s="6" t="s">
        <v>104</v>
      </c>
      <c r="AB563" s="6" t="s">
        <v>104</v>
      </c>
      <c r="AC563" s="6" t="s">
        <v>9714</v>
      </c>
      <c r="AD563" s="16" t="n">
        <v>45394</v>
      </c>
      <c r="AE563" s="6" t="s">
        <v>11026</v>
      </c>
      <c r="AF563" s="6" t="s">
        <v>104</v>
      </c>
      <c r="AG563" s="6" t="s">
        <v>12669</v>
      </c>
      <c r="AH563" s="6" t="s">
        <v>13670</v>
      </c>
      <c r="AI563" s="6" t="s">
        <v>104</v>
      </c>
      <c r="AJ563" s="6" t="s">
        <v>15729</v>
      </c>
      <c r="AK563" s="6" t="s">
        <v>16741</v>
      </c>
      <c r="AL563" s="6" t="s">
        <v>16766</v>
      </c>
      <c r="AM563" s="6" t="s">
        <v>17351</v>
      </c>
      <c r="AN563" s="6" t="s">
        <v>104</v>
      </c>
      <c r="AO563" s="6" t="s">
        <v>104</v>
      </c>
      <c r="AP563" s="6" t="s">
        <v>104</v>
      </c>
      <c r="AQ563" s="6" t="s">
        <v>104</v>
      </c>
      <c r="AR563" s="6" t="s">
        <v>104</v>
      </c>
      <c r="AS563" s="6" t="s">
        <v>104</v>
      </c>
      <c r="AT563" s="6" t="s">
        <v>104</v>
      </c>
      <c r="AU563" s="6" t="s">
        <v>104</v>
      </c>
      <c r="AV563" s="6" t="s">
        <v>104</v>
      </c>
      <c r="AW563" s="6" t="s">
        <v>104</v>
      </c>
      <c r="AX563" s="6" t="s">
        <v>20545</v>
      </c>
      <c r="AY563" s="6" t="s">
        <v>22320</v>
      </c>
      <c r="AZ563" s="6" t="s">
        <v>104</v>
      </c>
      <c r="BA563" s="6" t="s">
        <v>104</v>
      </c>
      <c r="BB563" s="6" t="s">
        <v>104</v>
      </c>
      <c r="BC563" s="26"/>
      <c r="BD563" s="26"/>
      <c r="BE563" s="26"/>
      <c r="BF563" s="26"/>
      <c r="BG563" s="26"/>
      <c r="BH563" s="26"/>
      <c r="BI563" s="26"/>
      <c r="BJ563" s="26"/>
      <c r="BK563" s="26"/>
      <c r="BL563" s="26"/>
      <c r="BM563" s="26"/>
      <c r="BN563" s="26"/>
      <c r="BO563" s="26"/>
      <c r="BP563" s="16" t="n">
        <v>45737</v>
      </c>
      <c r="BQ563" s="28" t="str">
        <f>HYPERLINK("https://organic.ams.usda.gov/Integrity/Certificate.aspx?cid=32&amp;nopid=2230010784")</f>
        <v>https://organic.ams.usda.gov/Integrity/Certificate.aspx?cid=32&amp;nopid=2230010784</v>
      </c>
    </row>
    <row r="564">
      <c r="A564" t="s">
        <v>3</v>
      </c>
      <c r="B564" s="6" t="s">
        <v>6</v>
      </c>
      <c r="C564" s="6" t="s">
        <v>72</v>
      </c>
      <c r="D564" s="6" t="s">
        <v>137</v>
      </c>
      <c r="E564" s="10" t="s">
        <v>762</v>
      </c>
      <c r="F564" s="6" t="s">
        <v>3015</v>
      </c>
      <c r="G564" s="6" t="s">
        <v>104</v>
      </c>
      <c r="H564" s="6" t="s">
        <v>5406</v>
      </c>
      <c r="I564" s="6" t="s">
        <v>7138</v>
      </c>
      <c r="J564" s="6" t="s">
        <v>7281</v>
      </c>
      <c r="K564" s="6" t="s">
        <v>9714</v>
      </c>
      <c r="L564" s="16" t="n">
        <v>44987</v>
      </c>
      <c r="M564" s="16" t="n">
        <v>45882</v>
      </c>
      <c r="N564" s="6" t="s">
        <v>104</v>
      </c>
      <c r="O564" s="21" t="s">
        <v>104</v>
      </c>
      <c r="P564" s="6" t="s">
        <v>104</v>
      </c>
      <c r="Q564" s="6" t="s">
        <v>104</v>
      </c>
      <c r="R564" s="6" t="s">
        <v>104</v>
      </c>
      <c r="S564" s="6" t="s">
        <v>104</v>
      </c>
      <c r="T564" s="21" t="s">
        <v>104</v>
      </c>
      <c r="U564" s="6" t="s">
        <v>104</v>
      </c>
      <c r="V564" s="6" t="s">
        <v>104</v>
      </c>
      <c r="W564" s="6" t="s">
        <v>104</v>
      </c>
      <c r="X564" s="6" t="s">
        <v>104</v>
      </c>
      <c r="Y564" s="21" t="s">
        <v>104</v>
      </c>
      <c r="Z564" s="6" t="s">
        <v>104</v>
      </c>
      <c r="AA564" s="6" t="s">
        <v>104</v>
      </c>
      <c r="AB564" s="6" t="s">
        <v>104</v>
      </c>
      <c r="AC564" s="6" t="s">
        <v>9714</v>
      </c>
      <c r="AD564" s="16" t="n">
        <v>44987</v>
      </c>
      <c r="AE564" s="6" t="s">
        <v>11027</v>
      </c>
      <c r="AF564" s="6" t="s">
        <v>104</v>
      </c>
      <c r="AG564" s="6" t="s">
        <v>12670</v>
      </c>
      <c r="AH564" s="6" t="s">
        <v>13671</v>
      </c>
      <c r="AI564" s="6" t="s">
        <v>104</v>
      </c>
      <c r="AJ564" s="6" t="s">
        <v>15730</v>
      </c>
      <c r="AK564" s="6" t="s">
        <v>16785</v>
      </c>
      <c r="AL564" s="6" t="s">
        <v>16964</v>
      </c>
      <c r="AM564" s="6" t="s">
        <v>104</v>
      </c>
      <c r="AN564" s="6" t="s">
        <v>104</v>
      </c>
      <c r="AO564" s="6" t="s">
        <v>104</v>
      </c>
      <c r="AP564" s="6" t="s">
        <v>104</v>
      </c>
      <c r="AQ564" s="6" t="s">
        <v>104</v>
      </c>
      <c r="AR564" s="6" t="s">
        <v>104</v>
      </c>
      <c r="AS564" s="6" t="s">
        <v>104</v>
      </c>
      <c r="AT564" s="6" t="s">
        <v>104</v>
      </c>
      <c r="AU564" s="6" t="s">
        <v>104</v>
      </c>
      <c r="AV564" s="6" t="s">
        <v>104</v>
      </c>
      <c r="AW564" s="6" t="s">
        <v>104</v>
      </c>
      <c r="AX564" s="6" t="s">
        <v>20546</v>
      </c>
      <c r="AY564" s="6" t="s">
        <v>22192</v>
      </c>
      <c r="AZ564" s="6" t="s">
        <v>104</v>
      </c>
      <c r="BA564" s="6" t="s">
        <v>24258</v>
      </c>
      <c r="BB564" s="6" t="s">
        <v>104</v>
      </c>
      <c r="BC564" s="26"/>
      <c r="BD564" s="26"/>
      <c r="BE564" s="26"/>
      <c r="BF564" s="26"/>
      <c r="BG564" s="26"/>
      <c r="BH564" s="26"/>
      <c r="BI564" s="26"/>
      <c r="BJ564" s="26"/>
      <c r="BK564" s="26"/>
      <c r="BL564" s="26"/>
      <c r="BM564" s="26"/>
      <c r="BN564" s="26"/>
      <c r="BO564" s="26"/>
      <c r="BP564" s="16" t="n">
        <v>45737</v>
      </c>
      <c r="BQ564" s="28" t="str">
        <f>HYPERLINK("https://organic.ams.usda.gov/Integrity/Certificate.aspx?cid=32&amp;nopid=2230009725")</f>
        <v>https://organic.ams.usda.gov/Integrity/Certificate.aspx?cid=32&amp;nopid=2230009725</v>
      </c>
    </row>
    <row r="565">
      <c r="A565" t="s">
        <v>3</v>
      </c>
      <c r="B565" s="6" t="s">
        <v>49</v>
      </c>
      <c r="C565" s="6" t="s">
        <v>115</v>
      </c>
      <c r="D565" s="6" t="s">
        <v>179</v>
      </c>
      <c r="E565" s="10" t="s">
        <v>763</v>
      </c>
      <c r="F565" s="6" t="s">
        <v>3016</v>
      </c>
      <c r="G565" s="6" t="s">
        <v>104</v>
      </c>
      <c r="H565" s="6" t="s">
        <v>5407</v>
      </c>
      <c r="I565" s="6" t="s">
        <v>104</v>
      </c>
      <c r="J565" s="6" t="s">
        <v>104</v>
      </c>
      <c r="K565" s="6" t="s">
        <v>9714</v>
      </c>
      <c r="L565" s="16" t="n">
        <v>45257</v>
      </c>
      <c r="M565" s="16" t="n">
        <v>45859</v>
      </c>
      <c r="N565" s="6" t="s">
        <v>104</v>
      </c>
      <c r="O565" s="21" t="s">
        <v>104</v>
      </c>
      <c r="P565" s="6" t="s">
        <v>104</v>
      </c>
      <c r="Q565" s="6" t="s">
        <v>104</v>
      </c>
      <c r="R565" s="6" t="s">
        <v>104</v>
      </c>
      <c r="S565" s="6" t="s">
        <v>104</v>
      </c>
      <c r="T565" s="21" t="s">
        <v>104</v>
      </c>
      <c r="U565" s="6" t="s">
        <v>104</v>
      </c>
      <c r="V565" s="6" t="s">
        <v>104</v>
      </c>
      <c r="W565" s="6" t="s">
        <v>104</v>
      </c>
      <c r="X565" s="6" t="s">
        <v>104</v>
      </c>
      <c r="Y565" s="21" t="s">
        <v>104</v>
      </c>
      <c r="Z565" s="6" t="s">
        <v>104</v>
      </c>
      <c r="AA565" s="6" t="s">
        <v>104</v>
      </c>
      <c r="AB565" s="6" t="s">
        <v>104</v>
      </c>
      <c r="AC565" s="6" t="s">
        <v>9714</v>
      </c>
      <c r="AD565" s="16" t="n">
        <v>45257</v>
      </c>
      <c r="AE565" s="6" t="s">
        <v>11028</v>
      </c>
      <c r="AF565" s="6" t="s">
        <v>104</v>
      </c>
      <c r="AG565" s="6" t="s">
        <v>12671</v>
      </c>
      <c r="AH565" s="6" t="s">
        <v>13672</v>
      </c>
      <c r="AI565" s="6" t="s">
        <v>104</v>
      </c>
      <c r="AJ565" s="6" t="s">
        <v>15731</v>
      </c>
      <c r="AK565" s="6" t="s">
        <v>104</v>
      </c>
      <c r="AL565" s="6" t="s">
        <v>16932</v>
      </c>
      <c r="AM565" s="6" t="s">
        <v>17352</v>
      </c>
      <c r="AN565" s="6" t="s">
        <v>104</v>
      </c>
      <c r="AO565" s="6" t="s">
        <v>104</v>
      </c>
      <c r="AP565" s="6" t="s">
        <v>104</v>
      </c>
      <c r="AQ565" s="6" t="s">
        <v>104</v>
      </c>
      <c r="AR565" s="6" t="s">
        <v>104</v>
      </c>
      <c r="AS565" s="6" t="s">
        <v>104</v>
      </c>
      <c r="AT565" s="6" t="s">
        <v>104</v>
      </c>
      <c r="AU565" s="6" t="s">
        <v>104</v>
      </c>
      <c r="AV565" s="6" t="s">
        <v>104</v>
      </c>
      <c r="AW565" s="6" t="s">
        <v>104</v>
      </c>
      <c r="AX565" s="6" t="s">
        <v>104</v>
      </c>
      <c r="AY565" s="6" t="s">
        <v>22321</v>
      </c>
      <c r="AZ565" s="6" t="s">
        <v>104</v>
      </c>
      <c r="BA565" s="6" t="s">
        <v>104</v>
      </c>
      <c r="BB565" s="24" t="n">
        <v>0</v>
      </c>
      <c r="BC565" s="26"/>
      <c r="BD565" s="26"/>
      <c r="BE565" s="26"/>
      <c r="BF565" s="26"/>
      <c r="BG565" s="26"/>
      <c r="BH565" s="26"/>
      <c r="BI565" s="26"/>
      <c r="BJ565" s="26"/>
      <c r="BK565" s="26"/>
      <c r="BL565" s="26"/>
      <c r="BM565" s="26"/>
      <c r="BN565" s="26"/>
      <c r="BO565" s="26"/>
      <c r="BP565" s="16" t="n">
        <v>45625</v>
      </c>
      <c r="BQ565" s="28" t="str">
        <f>HYPERLINK("https://organic.ams.usda.gov/Integrity/Certificate.aspx?cid=12&amp;nopid=8699694385")</f>
        <v>https://organic.ams.usda.gov/Integrity/Certificate.aspx?cid=12&amp;nopid=8699694385</v>
      </c>
    </row>
    <row r="566">
      <c r="A566" t="s">
        <v>3</v>
      </c>
      <c r="B566" s="6" t="s">
        <v>29</v>
      </c>
      <c r="C566" s="6" t="s">
        <v>95</v>
      </c>
      <c r="D566" s="6" t="s">
        <v>160</v>
      </c>
      <c r="E566" s="10" t="s">
        <v>764</v>
      </c>
      <c r="F566" s="6" t="s">
        <v>3017</v>
      </c>
      <c r="G566" s="6" t="s">
        <v>104</v>
      </c>
      <c r="H566" s="6" t="s">
        <v>5408</v>
      </c>
      <c r="I566" s="6" t="s">
        <v>104</v>
      </c>
      <c r="J566" s="6" t="s">
        <v>8560</v>
      </c>
      <c r="K566" s="6" t="s">
        <v>9714</v>
      </c>
      <c r="L566" s="16" t="n">
        <v>43424</v>
      </c>
      <c r="M566" s="16" t="n">
        <v>46054</v>
      </c>
      <c r="N566" s="6" t="s">
        <v>9714</v>
      </c>
      <c r="O566" s="16" t="n">
        <v>43424</v>
      </c>
      <c r="P566" s="6" t="s">
        <v>9878</v>
      </c>
      <c r="Q566" s="6" t="s">
        <v>104</v>
      </c>
      <c r="R566" s="6" t="s">
        <v>104</v>
      </c>
      <c r="S566" s="6" t="s">
        <v>104</v>
      </c>
      <c r="T566" s="21" t="s">
        <v>104</v>
      </c>
      <c r="U566" s="6" t="s">
        <v>104</v>
      </c>
      <c r="V566" s="6" t="s">
        <v>104</v>
      </c>
      <c r="W566" s="6" t="s">
        <v>104</v>
      </c>
      <c r="X566" s="6" t="s">
        <v>104</v>
      </c>
      <c r="Y566" s="21" t="s">
        <v>104</v>
      </c>
      <c r="Z566" s="6" t="s">
        <v>104</v>
      </c>
      <c r="AA566" s="6" t="s">
        <v>104</v>
      </c>
      <c r="AB566" s="6" t="s">
        <v>104</v>
      </c>
      <c r="AC566" s="6" t="s">
        <v>9714</v>
      </c>
      <c r="AD566" s="16" t="n">
        <v>43424</v>
      </c>
      <c r="AE566" s="6" t="s">
        <v>11029</v>
      </c>
      <c r="AF566" s="6" t="s">
        <v>104</v>
      </c>
      <c r="AG566" s="6" t="s">
        <v>104</v>
      </c>
      <c r="AH566" s="6" t="s">
        <v>13673</v>
      </c>
      <c r="AI566" s="6" t="s">
        <v>15256</v>
      </c>
      <c r="AJ566" s="6" t="s">
        <v>15732</v>
      </c>
      <c r="AK566" s="6" t="s">
        <v>16786</v>
      </c>
      <c r="AL566" s="6" t="s">
        <v>16766</v>
      </c>
      <c r="AM566" s="6" t="s">
        <v>104</v>
      </c>
      <c r="AN566" s="6" t="s">
        <v>104</v>
      </c>
      <c r="AO566" s="6" t="s">
        <v>104</v>
      </c>
      <c r="AP566" s="6" t="s">
        <v>104</v>
      </c>
      <c r="AQ566" s="6" t="s">
        <v>104</v>
      </c>
      <c r="AR566" s="6" t="s">
        <v>104</v>
      </c>
      <c r="AS566" s="6" t="s">
        <v>104</v>
      </c>
      <c r="AT566" s="6" t="s">
        <v>104</v>
      </c>
      <c r="AU566" s="6" t="s">
        <v>104</v>
      </c>
      <c r="AV566" s="6" t="s">
        <v>104</v>
      </c>
      <c r="AW566" s="6" t="s">
        <v>104</v>
      </c>
      <c r="AX566" s="6" t="s">
        <v>20547</v>
      </c>
      <c r="AY566" s="6" t="s">
        <v>22322</v>
      </c>
      <c r="AZ566" s="6" t="s">
        <v>104</v>
      </c>
      <c r="BA566" s="6" t="s">
        <v>24269</v>
      </c>
      <c r="BB566" s="24" t="n">
        <v>0</v>
      </c>
      <c r="BC566" s="26"/>
      <c r="BD566" s="26"/>
      <c r="BE566" s="26"/>
      <c r="BF566" s="26"/>
      <c r="BG566" s="26"/>
      <c r="BH566" s="26"/>
      <c r="BI566" s="26"/>
      <c r="BJ566" s="26"/>
      <c r="BK566" s="26"/>
      <c r="BL566" s="26"/>
      <c r="BM566" s="26"/>
      <c r="BN566" s="26"/>
      <c r="BO566" s="26" t="s">
        <v>24533</v>
      </c>
      <c r="BP566" s="16" t="n">
        <v>45690</v>
      </c>
      <c r="BQ566" s="28" t="str">
        <f>HYPERLINK("https://organic.ams.usda.gov/Integrity/Certificate.aspx?cid=24&amp;nopid=7880188981")</f>
        <v>https://organic.ams.usda.gov/Integrity/Certificate.aspx?cid=24&amp;nopid=7880188981</v>
      </c>
    </row>
    <row r="567">
      <c r="A567" t="s">
        <v>3</v>
      </c>
      <c r="B567" s="6" t="s">
        <v>34</v>
      </c>
      <c r="C567" s="6" t="s">
        <v>100</v>
      </c>
      <c r="D567" s="6" t="s">
        <v>165</v>
      </c>
      <c r="E567" s="10" t="s">
        <v>765</v>
      </c>
      <c r="F567" s="6" t="s">
        <v>3018</v>
      </c>
      <c r="G567" s="6" t="s">
        <v>104</v>
      </c>
      <c r="H567" s="6" t="s">
        <v>5409</v>
      </c>
      <c r="I567" s="6" t="s">
        <v>7303</v>
      </c>
      <c r="J567" s="6" t="s">
        <v>8561</v>
      </c>
      <c r="K567" s="6" t="s">
        <v>9714</v>
      </c>
      <c r="L567" s="16" t="n">
        <v>37488</v>
      </c>
      <c r="M567" s="16" t="n">
        <v>45707</v>
      </c>
      <c r="N567" s="6" t="s">
        <v>104</v>
      </c>
      <c r="O567" s="21" t="s">
        <v>104</v>
      </c>
      <c r="P567" s="6" t="s">
        <v>104</v>
      </c>
      <c r="Q567" s="6" t="s">
        <v>104</v>
      </c>
      <c r="R567" s="6" t="s">
        <v>104</v>
      </c>
      <c r="S567" s="6" t="s">
        <v>104</v>
      </c>
      <c r="T567" s="21" t="s">
        <v>104</v>
      </c>
      <c r="U567" s="6" t="s">
        <v>104</v>
      </c>
      <c r="V567" s="6" t="s">
        <v>104</v>
      </c>
      <c r="W567" s="6" t="s">
        <v>104</v>
      </c>
      <c r="X567" s="6" t="s">
        <v>104</v>
      </c>
      <c r="Y567" s="21" t="s">
        <v>104</v>
      </c>
      <c r="Z567" s="6" t="s">
        <v>104</v>
      </c>
      <c r="AA567" s="6" t="s">
        <v>104</v>
      </c>
      <c r="AB567" s="6" t="s">
        <v>104</v>
      </c>
      <c r="AC567" s="6" t="s">
        <v>9714</v>
      </c>
      <c r="AD567" s="16" t="n">
        <v>37488</v>
      </c>
      <c r="AE567" s="6" t="s">
        <v>11030</v>
      </c>
      <c r="AF567" s="6" t="s">
        <v>104</v>
      </c>
      <c r="AG567" s="6" t="s">
        <v>12672</v>
      </c>
      <c r="AH567" s="6" t="s">
        <v>13674</v>
      </c>
      <c r="AI567" s="6" t="s">
        <v>104</v>
      </c>
      <c r="AJ567" s="6" t="s">
        <v>15574</v>
      </c>
      <c r="AK567" s="6" t="s">
        <v>16705</v>
      </c>
      <c r="AL567" s="6" t="s">
        <v>16931</v>
      </c>
      <c r="AM567" s="6" t="s">
        <v>17188</v>
      </c>
      <c r="AN567" s="6" t="s">
        <v>18500</v>
      </c>
      <c r="AO567" s="6" t="s">
        <v>18631</v>
      </c>
      <c r="AP567" s="6" t="s">
        <v>19093</v>
      </c>
      <c r="AQ567" s="6" t="s">
        <v>104</v>
      </c>
      <c r="AR567" s="6" t="s">
        <v>19639</v>
      </c>
      <c r="AS567" s="6" t="s">
        <v>16711</v>
      </c>
      <c r="AT567" s="6" t="s">
        <v>16931</v>
      </c>
      <c r="AU567" s="6" t="s">
        <v>19868</v>
      </c>
      <c r="AV567" s="6" t="s">
        <v>104</v>
      </c>
      <c r="AW567" s="6" t="s">
        <v>104</v>
      </c>
      <c r="AX567" s="6" t="s">
        <v>20548</v>
      </c>
      <c r="AY567" s="6" t="s">
        <v>22323</v>
      </c>
      <c r="AZ567" s="6" t="s">
        <v>104</v>
      </c>
      <c r="BA567" s="6" t="s">
        <v>104</v>
      </c>
      <c r="BB567" s="6" t="s">
        <v>104</v>
      </c>
      <c r="BC567" s="26"/>
      <c r="BD567" s="26"/>
      <c r="BE567" s="26"/>
      <c r="BF567" s="26"/>
      <c r="BG567" s="26"/>
      <c r="BH567" s="26"/>
      <c r="BI567" s="26"/>
      <c r="BJ567" s="26"/>
      <c r="BK567" s="26"/>
      <c r="BL567" s="26"/>
      <c r="BM567" s="26"/>
      <c r="BN567" s="26"/>
      <c r="BO567" s="26"/>
      <c r="BP567" s="16" t="n">
        <v>45737</v>
      </c>
      <c r="BQ567" s="28" t="str">
        <f>HYPERLINK("https://organic.ams.usda.gov/Integrity/Certificate.aspx?cid=71&amp;nopid=5520391746")</f>
        <v>https://organic.ams.usda.gov/Integrity/Certificate.aspx?cid=71&amp;nopid=5520391746</v>
      </c>
    </row>
    <row r="568">
      <c r="A568" t="s">
        <v>3</v>
      </c>
      <c r="B568" s="6" t="s">
        <v>13</v>
      </c>
      <c r="C568" s="6" t="s">
        <v>79</v>
      </c>
      <c r="D568" s="6" t="s">
        <v>144</v>
      </c>
      <c r="E568" s="10" t="s">
        <v>766</v>
      </c>
      <c r="F568" s="6" t="s">
        <v>3019</v>
      </c>
      <c r="G568" s="6" t="s">
        <v>104</v>
      </c>
      <c r="H568" s="6" t="s">
        <v>5410</v>
      </c>
      <c r="I568" s="6" t="s">
        <v>7304</v>
      </c>
      <c r="J568" s="6" t="s">
        <v>8562</v>
      </c>
      <c r="K568" s="6" t="s">
        <v>9714</v>
      </c>
      <c r="L568" s="16" t="n">
        <v>44609</v>
      </c>
      <c r="M568" s="16" t="n">
        <v>46023</v>
      </c>
      <c r="N568" s="6" t="s">
        <v>9714</v>
      </c>
      <c r="O568" s="16" t="n">
        <v>44609</v>
      </c>
      <c r="P568" s="6" t="s">
        <v>9879</v>
      </c>
      <c r="Q568" s="6" t="s">
        <v>104</v>
      </c>
      <c r="R568" s="6" t="s">
        <v>104</v>
      </c>
      <c r="S568" s="6" t="s">
        <v>104</v>
      </c>
      <c r="T568" s="21" t="s">
        <v>104</v>
      </c>
      <c r="U568" s="6" t="s">
        <v>104</v>
      </c>
      <c r="V568" s="6" t="s">
        <v>104</v>
      </c>
      <c r="W568" s="6" t="s">
        <v>104</v>
      </c>
      <c r="X568" s="6" t="s">
        <v>104</v>
      </c>
      <c r="Y568" s="21" t="s">
        <v>104</v>
      </c>
      <c r="Z568" s="6" t="s">
        <v>104</v>
      </c>
      <c r="AA568" s="6" t="s">
        <v>104</v>
      </c>
      <c r="AB568" s="6" t="s">
        <v>104</v>
      </c>
      <c r="AC568" s="6" t="s">
        <v>104</v>
      </c>
      <c r="AD568" s="21" t="s">
        <v>104</v>
      </c>
      <c r="AE568" s="6" t="s">
        <v>104</v>
      </c>
      <c r="AF568" s="6" t="s">
        <v>104</v>
      </c>
      <c r="AG568" s="6" t="s">
        <v>104</v>
      </c>
      <c r="AH568" s="6" t="s">
        <v>104</v>
      </c>
      <c r="AI568" s="6" t="s">
        <v>104</v>
      </c>
      <c r="AJ568" s="6" t="s">
        <v>104</v>
      </c>
      <c r="AK568" s="6" t="s">
        <v>104</v>
      </c>
      <c r="AL568" s="6" t="s">
        <v>104</v>
      </c>
      <c r="AM568" s="6" t="s">
        <v>104</v>
      </c>
      <c r="AN568" s="6" t="s">
        <v>104</v>
      </c>
      <c r="AO568" s="6" t="s">
        <v>104</v>
      </c>
      <c r="AP568" s="6" t="s">
        <v>19094</v>
      </c>
      <c r="AQ568" s="6" t="s">
        <v>104</v>
      </c>
      <c r="AR568" s="6" t="s">
        <v>19640</v>
      </c>
      <c r="AS568" s="6" t="s">
        <v>16705</v>
      </c>
      <c r="AT568" s="6" t="s">
        <v>16931</v>
      </c>
      <c r="AU568" s="6" t="s">
        <v>19869</v>
      </c>
      <c r="AV568" s="6" t="s">
        <v>18472</v>
      </c>
      <c r="AW568" s="6" t="s">
        <v>18648</v>
      </c>
      <c r="AX568" s="6" t="s">
        <v>20549</v>
      </c>
      <c r="AY568" s="6" t="s">
        <v>22324</v>
      </c>
      <c r="AZ568" s="6" t="s">
        <v>104</v>
      </c>
      <c r="BA568" s="6" t="s">
        <v>104</v>
      </c>
      <c r="BB568" s="24" t="n">
        <v>43</v>
      </c>
      <c r="BC568" s="26"/>
      <c r="BD568" s="26"/>
      <c r="BE568" s="26"/>
      <c r="BF568" s="26"/>
      <c r="BG568" s="26"/>
      <c r="BH568" s="26"/>
      <c r="BI568" s="26"/>
      <c r="BJ568" s="26"/>
      <c r="BK568" s="26"/>
      <c r="BL568" s="26"/>
      <c r="BM568" s="26"/>
      <c r="BN568" s="26"/>
      <c r="BO568" s="26"/>
      <c r="BP568" s="16" t="n">
        <v>45670</v>
      </c>
      <c r="BQ568" s="28" t="str">
        <f>HYPERLINK("https://organic.ams.usda.gov/Integrity/Certificate.aspx?cid=62&amp;nopid=8150018397")</f>
        <v>https://organic.ams.usda.gov/Integrity/Certificate.aspx?cid=62&amp;nopid=8150018397</v>
      </c>
    </row>
    <row r="569">
      <c r="A569" t="s">
        <v>3</v>
      </c>
      <c r="B569" s="6" t="s">
        <v>54</v>
      </c>
      <c r="C569" s="6" t="s">
        <v>120</v>
      </c>
      <c r="D569" s="6" t="s">
        <v>184</v>
      </c>
      <c r="E569" s="10" t="s">
        <v>767</v>
      </c>
      <c r="F569" s="6" t="s">
        <v>3020</v>
      </c>
      <c r="G569" s="6" t="s">
        <v>104</v>
      </c>
      <c r="H569" s="6" t="s">
        <v>5411</v>
      </c>
      <c r="I569" s="6" t="s">
        <v>7232</v>
      </c>
      <c r="J569" s="6" t="s">
        <v>8563</v>
      </c>
      <c r="K569" s="6" t="s">
        <v>9714</v>
      </c>
      <c r="L569" s="16" t="n">
        <v>41808</v>
      </c>
      <c r="M569" s="16" t="n">
        <v>45717</v>
      </c>
      <c r="N569" s="6" t="s">
        <v>9714</v>
      </c>
      <c r="O569" s="16" t="n">
        <v>41808</v>
      </c>
      <c r="P569" s="6" t="s">
        <v>9880</v>
      </c>
      <c r="Q569" s="6" t="s">
        <v>104</v>
      </c>
      <c r="R569" s="6" t="s">
        <v>104</v>
      </c>
      <c r="S569" s="6" t="s">
        <v>104</v>
      </c>
      <c r="T569" s="21" t="s">
        <v>104</v>
      </c>
      <c r="U569" s="6" t="s">
        <v>104</v>
      </c>
      <c r="V569" s="6" t="s">
        <v>104</v>
      </c>
      <c r="W569" s="6" t="s">
        <v>104</v>
      </c>
      <c r="X569" s="6" t="s">
        <v>104</v>
      </c>
      <c r="Y569" s="21" t="s">
        <v>104</v>
      </c>
      <c r="Z569" s="6" t="s">
        <v>104</v>
      </c>
      <c r="AA569" s="6" t="s">
        <v>104</v>
      </c>
      <c r="AB569" s="6" t="s">
        <v>104</v>
      </c>
      <c r="AC569" s="6" t="s">
        <v>104</v>
      </c>
      <c r="AD569" s="21" t="s">
        <v>104</v>
      </c>
      <c r="AE569" s="6" t="s">
        <v>104</v>
      </c>
      <c r="AF569" s="6" t="s">
        <v>104</v>
      </c>
      <c r="AG569" s="6" t="s">
        <v>104</v>
      </c>
      <c r="AH569" s="6" t="s">
        <v>13675</v>
      </c>
      <c r="AI569" s="6" t="s">
        <v>104</v>
      </c>
      <c r="AJ569" s="6" t="s">
        <v>15733</v>
      </c>
      <c r="AK569" s="6" t="s">
        <v>16704</v>
      </c>
      <c r="AL569" s="6" t="s">
        <v>16931</v>
      </c>
      <c r="AM569" s="6" t="s">
        <v>17353</v>
      </c>
      <c r="AN569" s="6" t="s">
        <v>18518</v>
      </c>
      <c r="AO569" s="6" t="s">
        <v>18681</v>
      </c>
      <c r="AP569" s="6" t="s">
        <v>104</v>
      </c>
      <c r="AQ569" s="6" t="s">
        <v>104</v>
      </c>
      <c r="AR569" s="6" t="s">
        <v>104</v>
      </c>
      <c r="AS569" s="6" t="s">
        <v>104</v>
      </c>
      <c r="AT569" s="6" t="s">
        <v>104</v>
      </c>
      <c r="AU569" s="6" t="s">
        <v>104</v>
      </c>
      <c r="AV569" s="6" t="s">
        <v>104</v>
      </c>
      <c r="AW569" s="6" t="s">
        <v>104</v>
      </c>
      <c r="AX569" s="6" t="s">
        <v>20550</v>
      </c>
      <c r="AY569" s="6" t="s">
        <v>22325</v>
      </c>
      <c r="AZ569" s="6" t="s">
        <v>104</v>
      </c>
      <c r="BA569" s="6" t="s">
        <v>24259</v>
      </c>
      <c r="BB569" s="24" t="n">
        <v>923</v>
      </c>
      <c r="BC569" s="26"/>
      <c r="BD569" s="26"/>
      <c r="BE569" s="26"/>
      <c r="BF569" s="26"/>
      <c r="BG569" s="26"/>
      <c r="BH569" s="26"/>
      <c r="BI569" s="26"/>
      <c r="BJ569" s="26"/>
      <c r="BK569" s="26"/>
      <c r="BL569" s="26"/>
      <c r="BM569" s="26"/>
      <c r="BN569" s="26"/>
      <c r="BO569" s="26"/>
      <c r="BP569" s="16" t="n">
        <v>45531</v>
      </c>
      <c r="BQ569" s="28" t="str">
        <f>HYPERLINK("https://organic.ams.usda.gov/Integrity/Certificate.aspx?cid=60&amp;nopid=2580001348")</f>
        <v>https://organic.ams.usda.gov/Integrity/Certificate.aspx?cid=60&amp;nopid=2580001348</v>
      </c>
    </row>
    <row r="570">
      <c r="A570" t="s">
        <v>3</v>
      </c>
      <c r="B570" s="6" t="s">
        <v>23</v>
      </c>
      <c r="C570" s="6" t="s">
        <v>89</v>
      </c>
      <c r="D570" s="6" t="s">
        <v>154</v>
      </c>
      <c r="E570" s="10" t="s">
        <v>768</v>
      </c>
      <c r="F570" s="6" t="s">
        <v>3021</v>
      </c>
      <c r="G570" s="6" t="s">
        <v>104</v>
      </c>
      <c r="H570" s="6" t="s">
        <v>5412</v>
      </c>
      <c r="I570" s="6" t="s">
        <v>7232</v>
      </c>
      <c r="J570" s="6" t="s">
        <v>8564</v>
      </c>
      <c r="K570" s="6" t="s">
        <v>9714</v>
      </c>
      <c r="L570" s="16" t="n">
        <v>44362</v>
      </c>
      <c r="M570" s="18" t="s">
        <v>104</v>
      </c>
      <c r="N570" s="6" t="s">
        <v>9714</v>
      </c>
      <c r="O570" s="16" t="n">
        <v>44362</v>
      </c>
      <c r="P570" s="6" t="s">
        <v>9881</v>
      </c>
      <c r="Q570" s="6" t="s">
        <v>104</v>
      </c>
      <c r="R570" s="6" t="s">
        <v>104</v>
      </c>
      <c r="S570" s="6" t="s">
        <v>104</v>
      </c>
      <c r="T570" s="21" t="s">
        <v>104</v>
      </c>
      <c r="U570" s="6" t="s">
        <v>104</v>
      </c>
      <c r="V570" s="6" t="s">
        <v>104</v>
      </c>
      <c r="W570" s="6" t="s">
        <v>104</v>
      </c>
      <c r="X570" s="6" t="s">
        <v>104</v>
      </c>
      <c r="Y570" s="21" t="s">
        <v>104</v>
      </c>
      <c r="Z570" s="6" t="s">
        <v>104</v>
      </c>
      <c r="AA570" s="6" t="s">
        <v>104</v>
      </c>
      <c r="AB570" s="6" t="s">
        <v>104</v>
      </c>
      <c r="AC570" s="6" t="s">
        <v>104</v>
      </c>
      <c r="AD570" s="21" t="s">
        <v>104</v>
      </c>
      <c r="AE570" s="6" t="s">
        <v>104</v>
      </c>
      <c r="AF570" s="6" t="s">
        <v>104</v>
      </c>
      <c r="AG570" s="6" t="s">
        <v>104</v>
      </c>
      <c r="AH570" s="6" t="s">
        <v>13676</v>
      </c>
      <c r="AI570" s="6" t="s">
        <v>104</v>
      </c>
      <c r="AJ570" s="6" t="s">
        <v>15734</v>
      </c>
      <c r="AK570" s="6" t="s">
        <v>16738</v>
      </c>
      <c r="AL570" s="6" t="s">
        <v>16931</v>
      </c>
      <c r="AM570" s="6" t="s">
        <v>17354</v>
      </c>
      <c r="AN570" s="6" t="s">
        <v>18502</v>
      </c>
      <c r="AO570" s="6" t="s">
        <v>18682</v>
      </c>
      <c r="AP570" s="6" t="s">
        <v>104</v>
      </c>
      <c r="AQ570" s="6" t="s">
        <v>104</v>
      </c>
      <c r="AR570" s="6" t="s">
        <v>104</v>
      </c>
      <c r="AS570" s="6" t="s">
        <v>104</v>
      </c>
      <c r="AT570" s="6" t="s">
        <v>104</v>
      </c>
      <c r="AU570" s="6" t="s">
        <v>104</v>
      </c>
      <c r="AV570" s="6" t="s">
        <v>104</v>
      </c>
      <c r="AW570" s="6" t="s">
        <v>104</v>
      </c>
      <c r="AX570" s="6" t="s">
        <v>104</v>
      </c>
      <c r="AY570" s="6" t="s">
        <v>104</v>
      </c>
      <c r="AZ570" s="6" t="s">
        <v>104</v>
      </c>
      <c r="BA570" s="6" t="s">
        <v>104</v>
      </c>
      <c r="BB570" s="24" t="n">
        <v>86</v>
      </c>
      <c r="BC570" s="26"/>
      <c r="BD570" s="26"/>
      <c r="BE570" s="26"/>
      <c r="BF570" s="26"/>
      <c r="BG570" s="26"/>
      <c r="BH570" s="26"/>
      <c r="BI570" s="26"/>
      <c r="BJ570" s="26"/>
      <c r="BK570" s="26"/>
      <c r="BL570" s="26"/>
      <c r="BM570" s="26"/>
      <c r="BN570" s="26"/>
      <c r="BO570" s="26"/>
      <c r="BP570" s="16" t="n">
        <v>45292</v>
      </c>
      <c r="BQ570" s="28" t="str">
        <f>HYPERLINK("https://organic.ams.usda.gov/Integrity/Certificate.aspx?cid=45&amp;nopid=9950011712")</f>
        <v>https://organic.ams.usda.gov/Integrity/Certificate.aspx?cid=45&amp;nopid=9950011712</v>
      </c>
    </row>
    <row r="571">
      <c r="A571" t="s">
        <v>3</v>
      </c>
      <c r="B571" s="6" t="s">
        <v>15</v>
      </c>
      <c r="C571" s="6" t="s">
        <v>81</v>
      </c>
      <c r="D571" s="6" t="s">
        <v>146</v>
      </c>
      <c r="E571" s="10" t="s">
        <v>769</v>
      </c>
      <c r="F571" s="6" t="s">
        <v>3022</v>
      </c>
      <c r="G571" s="6" t="s">
        <v>104</v>
      </c>
      <c r="H571" s="6" t="s">
        <v>5413</v>
      </c>
      <c r="I571" s="6" t="s">
        <v>7232</v>
      </c>
      <c r="J571" s="6" t="s">
        <v>8565</v>
      </c>
      <c r="K571" s="6" t="s">
        <v>9714</v>
      </c>
      <c r="L571" s="16" t="n">
        <v>44057</v>
      </c>
      <c r="M571" s="16" t="n">
        <v>46113</v>
      </c>
      <c r="N571" s="6" t="s">
        <v>9714</v>
      </c>
      <c r="O571" s="16" t="n">
        <v>44057</v>
      </c>
      <c r="P571" s="6" t="s">
        <v>104</v>
      </c>
      <c r="Q571" s="6" t="s">
        <v>104</v>
      </c>
      <c r="R571" s="6" t="s">
        <v>104</v>
      </c>
      <c r="S571" s="6" t="s">
        <v>104</v>
      </c>
      <c r="T571" s="21" t="s">
        <v>104</v>
      </c>
      <c r="U571" s="6" t="s">
        <v>104</v>
      </c>
      <c r="V571" s="6" t="s">
        <v>104</v>
      </c>
      <c r="W571" s="6" t="s">
        <v>104</v>
      </c>
      <c r="X571" s="6" t="s">
        <v>104</v>
      </c>
      <c r="Y571" s="21" t="s">
        <v>104</v>
      </c>
      <c r="Z571" s="6" t="s">
        <v>104</v>
      </c>
      <c r="AA571" s="6" t="s">
        <v>104</v>
      </c>
      <c r="AB571" s="6" t="s">
        <v>104</v>
      </c>
      <c r="AC571" s="6" t="s">
        <v>9714</v>
      </c>
      <c r="AD571" s="16" t="n">
        <v>44057</v>
      </c>
      <c r="AE571" s="6" t="s">
        <v>11031</v>
      </c>
      <c r="AF571" s="6" t="s">
        <v>104</v>
      </c>
      <c r="AG571" s="6" t="s">
        <v>12673</v>
      </c>
      <c r="AH571" s="6" t="s">
        <v>13677</v>
      </c>
      <c r="AI571" s="6" t="s">
        <v>104</v>
      </c>
      <c r="AJ571" s="6" t="s">
        <v>15735</v>
      </c>
      <c r="AK571" s="6" t="s">
        <v>16684</v>
      </c>
      <c r="AL571" s="6" t="s">
        <v>16931</v>
      </c>
      <c r="AM571" s="6" t="s">
        <v>17355</v>
      </c>
      <c r="AN571" s="6" t="s">
        <v>6040</v>
      </c>
      <c r="AO571" s="6" t="s">
        <v>18683</v>
      </c>
      <c r="AP571" s="6" t="s">
        <v>104</v>
      </c>
      <c r="AQ571" s="6" t="s">
        <v>104</v>
      </c>
      <c r="AR571" s="6" t="s">
        <v>104</v>
      </c>
      <c r="AS571" s="6" t="s">
        <v>104</v>
      </c>
      <c r="AT571" s="6" t="s">
        <v>104</v>
      </c>
      <c r="AU571" s="6" t="s">
        <v>104</v>
      </c>
      <c r="AV571" s="6" t="s">
        <v>104</v>
      </c>
      <c r="AW571" s="6" t="s">
        <v>104</v>
      </c>
      <c r="AX571" s="6" t="s">
        <v>20551</v>
      </c>
      <c r="AY571" s="6" t="s">
        <v>22326</v>
      </c>
      <c r="AZ571" s="6" t="s">
        <v>23820</v>
      </c>
      <c r="BA571" s="6" t="s">
        <v>104</v>
      </c>
      <c r="BB571" s="24" t="n">
        <v>470</v>
      </c>
      <c r="BC571" s="26"/>
      <c r="BD571" s="26"/>
      <c r="BE571" s="26"/>
      <c r="BF571" s="26"/>
      <c r="BG571" s="26"/>
      <c r="BH571" s="26"/>
      <c r="BI571" s="26"/>
      <c r="BJ571" s="26"/>
      <c r="BK571" s="26"/>
      <c r="BL571" s="26"/>
      <c r="BM571" s="26"/>
      <c r="BN571" s="26"/>
      <c r="BO571" s="26"/>
      <c r="BP571" s="16" t="n">
        <v>45738</v>
      </c>
      <c r="BQ571" s="28" t="str">
        <f>HYPERLINK("https://organic.ams.usda.gov/Integrity/Certificate.aspx?cid=52&amp;nopid=8432001828")</f>
        <v>https://organic.ams.usda.gov/Integrity/Certificate.aspx?cid=52&amp;nopid=8432001828</v>
      </c>
    </row>
    <row r="572">
      <c r="A572" t="s">
        <v>3</v>
      </c>
      <c r="B572" s="6" t="s">
        <v>41</v>
      </c>
      <c r="C572" s="6" t="s">
        <v>107</v>
      </c>
      <c r="D572" s="6" t="s">
        <v>171</v>
      </c>
      <c r="E572" s="10" t="s">
        <v>770</v>
      </c>
      <c r="F572" s="6" t="s">
        <v>3023</v>
      </c>
      <c r="G572" s="6" t="s">
        <v>4724</v>
      </c>
      <c r="H572" s="6" t="s">
        <v>5414</v>
      </c>
      <c r="I572" s="6" t="s">
        <v>7232</v>
      </c>
      <c r="J572" s="6" t="s">
        <v>8566</v>
      </c>
      <c r="K572" s="6" t="s">
        <v>9714</v>
      </c>
      <c r="L572" s="16" t="n">
        <v>41506</v>
      </c>
      <c r="M572" s="16" t="n">
        <v>45792</v>
      </c>
      <c r="N572" s="6" t="s">
        <v>9714</v>
      </c>
      <c r="O572" s="16" t="n">
        <v>41506</v>
      </c>
      <c r="P572" s="6" t="s">
        <v>9882</v>
      </c>
      <c r="Q572" s="6" t="s">
        <v>104</v>
      </c>
      <c r="R572" s="6" t="s">
        <v>104</v>
      </c>
      <c r="S572" s="6" t="s">
        <v>9714</v>
      </c>
      <c r="T572" s="16" t="n">
        <v>41506</v>
      </c>
      <c r="U572" s="6" t="s">
        <v>10479</v>
      </c>
      <c r="V572" s="6" t="s">
        <v>104</v>
      </c>
      <c r="W572" s="6" t="s">
        <v>104</v>
      </c>
      <c r="X572" s="6" t="s">
        <v>104</v>
      </c>
      <c r="Y572" s="21" t="s">
        <v>104</v>
      </c>
      <c r="Z572" s="6" t="s">
        <v>104</v>
      </c>
      <c r="AA572" s="6" t="s">
        <v>104</v>
      </c>
      <c r="AB572" s="6" t="s">
        <v>104</v>
      </c>
      <c r="AC572" s="6" t="s">
        <v>9714</v>
      </c>
      <c r="AD572" s="16" t="n">
        <v>41506</v>
      </c>
      <c r="AE572" s="6" t="s">
        <v>11032</v>
      </c>
      <c r="AF572" s="6" t="s">
        <v>104</v>
      </c>
      <c r="AG572" s="6" t="s">
        <v>104</v>
      </c>
      <c r="AH572" s="6" t="s">
        <v>13678</v>
      </c>
      <c r="AI572" s="6" t="s">
        <v>104</v>
      </c>
      <c r="AJ572" s="6" t="s">
        <v>15736</v>
      </c>
      <c r="AK572" s="6" t="s">
        <v>16686</v>
      </c>
      <c r="AL572" s="6" t="s">
        <v>16931</v>
      </c>
      <c r="AM572" s="6" t="s">
        <v>17356</v>
      </c>
      <c r="AN572" s="6" t="s">
        <v>18510</v>
      </c>
      <c r="AO572" s="6" t="s">
        <v>18684</v>
      </c>
      <c r="AP572" s="6" t="s">
        <v>13678</v>
      </c>
      <c r="AQ572" s="6" t="s">
        <v>104</v>
      </c>
      <c r="AR572" s="6" t="s">
        <v>15736</v>
      </c>
      <c r="AS572" s="6" t="s">
        <v>16686</v>
      </c>
      <c r="AT572" s="6" t="s">
        <v>16931</v>
      </c>
      <c r="AU572" s="6" t="s">
        <v>17356</v>
      </c>
      <c r="AV572" s="6" t="s">
        <v>104</v>
      </c>
      <c r="AW572" s="6" t="s">
        <v>104</v>
      </c>
      <c r="AX572" s="6" t="s">
        <v>20552</v>
      </c>
      <c r="AY572" s="6" t="s">
        <v>104</v>
      </c>
      <c r="AZ572" s="6" t="s">
        <v>104</v>
      </c>
      <c r="BA572" s="6" t="s">
        <v>104</v>
      </c>
      <c r="BB572" s="24" t="n">
        <v>108</v>
      </c>
      <c r="BC572" s="26"/>
      <c r="BD572" s="26"/>
      <c r="BE572" s="26"/>
      <c r="BF572" s="26" t="s">
        <v>24533</v>
      </c>
      <c r="BG572" s="26"/>
      <c r="BH572" s="26"/>
      <c r="BI572" s="26"/>
      <c r="BJ572" s="26"/>
      <c r="BK572" s="26"/>
      <c r="BL572" s="26"/>
      <c r="BM572" s="26"/>
      <c r="BN572" s="26"/>
      <c r="BO572" s="26"/>
      <c r="BP572" s="16" t="n">
        <v>45737</v>
      </c>
      <c r="BQ572" s="28" t="str">
        <f>HYPERLINK("https://organic.ams.usda.gov/Integrity/Certificate.aspx?cid=58&amp;nopid=1600002128")</f>
        <v>https://organic.ams.usda.gov/Integrity/Certificate.aspx?cid=58&amp;nopid=1600002128</v>
      </c>
    </row>
    <row r="573">
      <c r="A573" t="s">
        <v>3</v>
      </c>
      <c r="B573" s="6" t="s">
        <v>11</v>
      </c>
      <c r="C573" s="6" t="s">
        <v>77</v>
      </c>
      <c r="D573" s="6" t="s">
        <v>142</v>
      </c>
      <c r="E573" s="10" t="s">
        <v>771</v>
      </c>
      <c r="F573" s="6" t="s">
        <v>3024</v>
      </c>
      <c r="G573" s="6" t="s">
        <v>104</v>
      </c>
      <c r="H573" s="6" t="s">
        <v>771</v>
      </c>
      <c r="I573" s="6" t="s">
        <v>7305</v>
      </c>
      <c r="J573" s="6" t="s">
        <v>104</v>
      </c>
      <c r="K573" s="6" t="s">
        <v>9714</v>
      </c>
      <c r="L573" s="16" t="n">
        <v>43445</v>
      </c>
      <c r="M573" s="16" t="n">
        <v>45910</v>
      </c>
      <c r="N573" s="6" t="s">
        <v>104</v>
      </c>
      <c r="O573" s="21" t="s">
        <v>104</v>
      </c>
      <c r="P573" s="6" t="s">
        <v>104</v>
      </c>
      <c r="Q573" s="6" t="s">
        <v>104</v>
      </c>
      <c r="R573" s="6" t="s">
        <v>104</v>
      </c>
      <c r="S573" s="6" t="s">
        <v>104</v>
      </c>
      <c r="T573" s="21" t="s">
        <v>104</v>
      </c>
      <c r="U573" s="6" t="s">
        <v>104</v>
      </c>
      <c r="V573" s="6" t="s">
        <v>104</v>
      </c>
      <c r="W573" s="6" t="s">
        <v>104</v>
      </c>
      <c r="X573" s="6" t="s">
        <v>104</v>
      </c>
      <c r="Y573" s="21" t="s">
        <v>104</v>
      </c>
      <c r="Z573" s="6" t="s">
        <v>104</v>
      </c>
      <c r="AA573" s="6" t="s">
        <v>104</v>
      </c>
      <c r="AB573" s="6" t="s">
        <v>104</v>
      </c>
      <c r="AC573" s="6" t="s">
        <v>9714</v>
      </c>
      <c r="AD573" s="16" t="n">
        <v>43445</v>
      </c>
      <c r="AE573" s="6" t="s">
        <v>11033</v>
      </c>
      <c r="AF573" s="6" t="s">
        <v>104</v>
      </c>
      <c r="AG573" s="6" t="s">
        <v>12674</v>
      </c>
      <c r="AH573" s="6" t="s">
        <v>13679</v>
      </c>
      <c r="AI573" s="6" t="s">
        <v>104</v>
      </c>
      <c r="AJ573" s="6" t="s">
        <v>15737</v>
      </c>
      <c r="AK573" s="6" t="s">
        <v>15737</v>
      </c>
      <c r="AL573" s="6" t="s">
        <v>15737</v>
      </c>
      <c r="AM573" s="6" t="s">
        <v>17357</v>
      </c>
      <c r="AN573" s="6" t="s">
        <v>104</v>
      </c>
      <c r="AO573" s="6" t="s">
        <v>104</v>
      </c>
      <c r="AP573" s="6" t="s">
        <v>13679</v>
      </c>
      <c r="AQ573" s="6" t="s">
        <v>104</v>
      </c>
      <c r="AR573" s="6" t="s">
        <v>19641</v>
      </c>
      <c r="AS573" s="6" t="s">
        <v>19641</v>
      </c>
      <c r="AT573" s="6" t="s">
        <v>15737</v>
      </c>
      <c r="AU573" s="6" t="s">
        <v>17357</v>
      </c>
      <c r="AV573" s="6" t="s">
        <v>104</v>
      </c>
      <c r="AW573" s="6" t="s">
        <v>104</v>
      </c>
      <c r="AX573" s="6" t="s">
        <v>20553</v>
      </c>
      <c r="AY573" s="6" t="s">
        <v>22327</v>
      </c>
      <c r="AZ573" s="6" t="s">
        <v>104</v>
      </c>
      <c r="BA573" s="6" t="s">
        <v>104</v>
      </c>
      <c r="BB573" s="6" t="s">
        <v>104</v>
      </c>
      <c r="BC573" s="26"/>
      <c r="BD573" s="26"/>
      <c r="BE573" s="26"/>
      <c r="BF573" s="26"/>
      <c r="BG573" s="26"/>
      <c r="BH573" s="26"/>
      <c r="BI573" s="26"/>
      <c r="BJ573" s="26"/>
      <c r="BK573" s="26"/>
      <c r="BL573" s="26"/>
      <c r="BM573" s="26"/>
      <c r="BN573" s="26" t="s">
        <v>24533</v>
      </c>
      <c r="BO573" s="26"/>
      <c r="BP573" s="16" t="n">
        <v>45728</v>
      </c>
      <c r="BQ573" s="28" t="str">
        <f>HYPERLINK("https://organic.ams.usda.gov/Integrity/Certificate.aspx?cid=21&amp;nopid=1780861233")</f>
        <v>https://organic.ams.usda.gov/Integrity/Certificate.aspx?cid=21&amp;nopid=1780861233</v>
      </c>
    </row>
    <row r="574">
      <c r="A574" t="s">
        <v>3</v>
      </c>
      <c r="B574" s="6" t="s">
        <v>19</v>
      </c>
      <c r="C574" s="6" t="s">
        <v>85</v>
      </c>
      <c r="D574" s="6" t="s">
        <v>150</v>
      </c>
      <c r="E574" s="10" t="s">
        <v>772</v>
      </c>
      <c r="F574" s="6" t="s">
        <v>3025</v>
      </c>
      <c r="G574" s="6" t="s">
        <v>104</v>
      </c>
      <c r="H574" s="6" t="s">
        <v>5415</v>
      </c>
      <c r="I574" s="6" t="s">
        <v>7306</v>
      </c>
      <c r="J574" s="6" t="s">
        <v>8506</v>
      </c>
      <c r="K574" s="6" t="s">
        <v>9714</v>
      </c>
      <c r="L574" s="16" t="n">
        <v>42475</v>
      </c>
      <c r="M574" s="16" t="n">
        <v>45717</v>
      </c>
      <c r="N574" s="6" t="s">
        <v>104</v>
      </c>
      <c r="O574" s="21" t="s">
        <v>104</v>
      </c>
      <c r="P574" s="6" t="s">
        <v>104</v>
      </c>
      <c r="Q574" s="6" t="s">
        <v>104</v>
      </c>
      <c r="R574" s="6" t="s">
        <v>104</v>
      </c>
      <c r="S574" s="6" t="s">
        <v>104</v>
      </c>
      <c r="T574" s="21" t="s">
        <v>104</v>
      </c>
      <c r="U574" s="6" t="s">
        <v>104</v>
      </c>
      <c r="V574" s="6" t="s">
        <v>104</v>
      </c>
      <c r="W574" s="6" t="s">
        <v>104</v>
      </c>
      <c r="X574" s="6" t="s">
        <v>104</v>
      </c>
      <c r="Y574" s="21" t="s">
        <v>104</v>
      </c>
      <c r="Z574" s="6" t="s">
        <v>104</v>
      </c>
      <c r="AA574" s="6" t="s">
        <v>104</v>
      </c>
      <c r="AB574" s="6" t="s">
        <v>104</v>
      </c>
      <c r="AC574" s="6" t="s">
        <v>9714</v>
      </c>
      <c r="AD574" s="16" t="n">
        <v>42475</v>
      </c>
      <c r="AE574" s="6" t="s">
        <v>11034</v>
      </c>
      <c r="AF574" s="6" t="s">
        <v>104</v>
      </c>
      <c r="AG574" s="6" t="s">
        <v>104</v>
      </c>
      <c r="AH574" s="6" t="s">
        <v>13586</v>
      </c>
      <c r="AI574" s="6" t="s">
        <v>104</v>
      </c>
      <c r="AJ574" s="6" t="s">
        <v>15694</v>
      </c>
      <c r="AK574" s="6" t="s">
        <v>16337</v>
      </c>
      <c r="AL574" s="6" t="s">
        <v>16931</v>
      </c>
      <c r="AM574" s="6" t="s">
        <v>17313</v>
      </c>
      <c r="AN574" s="6" t="s">
        <v>18479</v>
      </c>
      <c r="AO574" s="6" t="s">
        <v>18598</v>
      </c>
      <c r="AP574" s="6" t="s">
        <v>13586</v>
      </c>
      <c r="AQ574" s="6" t="s">
        <v>104</v>
      </c>
      <c r="AR574" s="6" t="s">
        <v>15694</v>
      </c>
      <c r="AS574" s="6" t="s">
        <v>16337</v>
      </c>
      <c r="AT574" s="6" t="s">
        <v>16931</v>
      </c>
      <c r="AU574" s="6" t="s">
        <v>17313</v>
      </c>
      <c r="AV574" s="6" t="s">
        <v>104</v>
      </c>
      <c r="AW574" s="6" t="s">
        <v>104</v>
      </c>
      <c r="AX574" s="6" t="s">
        <v>20554</v>
      </c>
      <c r="AY574" s="6" t="s">
        <v>22260</v>
      </c>
      <c r="AZ574" s="6" t="s">
        <v>104</v>
      </c>
      <c r="BA574" s="6" t="s">
        <v>104</v>
      </c>
      <c r="BB574" s="6" t="s">
        <v>104</v>
      </c>
      <c r="BC574" s="26"/>
      <c r="BD574" s="26"/>
      <c r="BE574" s="26"/>
      <c r="BF574" s="26"/>
      <c r="BG574" s="26"/>
      <c r="BH574" s="26"/>
      <c r="BI574" s="26"/>
      <c r="BJ574" s="26"/>
      <c r="BK574" s="26"/>
      <c r="BL574" s="26"/>
      <c r="BM574" s="26"/>
      <c r="BN574" s="26"/>
      <c r="BO574" s="26"/>
      <c r="BP574" s="16" t="n">
        <v>45737</v>
      </c>
      <c r="BQ574" s="28" t="str">
        <f>HYPERLINK("https://organic.ams.usda.gov/Integrity/Certificate.aspx?cid=68&amp;nopid=8210001399")</f>
        <v>https://organic.ams.usda.gov/Integrity/Certificate.aspx?cid=68&amp;nopid=8210001399</v>
      </c>
    </row>
    <row r="575">
      <c r="A575" t="s">
        <v>3</v>
      </c>
      <c r="B575" s="6" t="s">
        <v>21</v>
      </c>
      <c r="C575" s="6" t="s">
        <v>87</v>
      </c>
      <c r="D575" s="6" t="s">
        <v>152</v>
      </c>
      <c r="E575" s="10" t="s">
        <v>773</v>
      </c>
      <c r="F575" s="6" t="s">
        <v>3026</v>
      </c>
      <c r="G575" s="6" t="s">
        <v>104</v>
      </c>
      <c r="H575" s="6" t="s">
        <v>5416</v>
      </c>
      <c r="I575" s="6" t="s">
        <v>7138</v>
      </c>
      <c r="J575" s="6" t="s">
        <v>8567</v>
      </c>
      <c r="K575" s="6" t="s">
        <v>9714</v>
      </c>
      <c r="L575" s="16" t="n">
        <v>44614</v>
      </c>
      <c r="M575" s="16" t="n">
        <v>46023</v>
      </c>
      <c r="N575" s="6" t="s">
        <v>104</v>
      </c>
      <c r="O575" s="21" t="s">
        <v>104</v>
      </c>
      <c r="P575" s="6" t="s">
        <v>104</v>
      </c>
      <c r="Q575" s="6" t="s">
        <v>104</v>
      </c>
      <c r="R575" s="6" t="s">
        <v>104</v>
      </c>
      <c r="S575" s="6" t="s">
        <v>104</v>
      </c>
      <c r="T575" s="21" t="s">
        <v>104</v>
      </c>
      <c r="U575" s="6" t="s">
        <v>104</v>
      </c>
      <c r="V575" s="6" t="s">
        <v>104</v>
      </c>
      <c r="W575" s="6" t="s">
        <v>104</v>
      </c>
      <c r="X575" s="6" t="s">
        <v>104</v>
      </c>
      <c r="Y575" s="21" t="s">
        <v>104</v>
      </c>
      <c r="Z575" s="6" t="s">
        <v>104</v>
      </c>
      <c r="AA575" s="6" t="s">
        <v>104</v>
      </c>
      <c r="AB575" s="6" t="s">
        <v>104</v>
      </c>
      <c r="AC575" s="6" t="s">
        <v>9714</v>
      </c>
      <c r="AD575" s="16" t="n">
        <v>44614</v>
      </c>
      <c r="AE575" s="6" t="s">
        <v>11035</v>
      </c>
      <c r="AF575" s="6" t="s">
        <v>104</v>
      </c>
      <c r="AG575" s="6" t="s">
        <v>104</v>
      </c>
      <c r="AH575" s="6" t="s">
        <v>13680</v>
      </c>
      <c r="AI575" s="6" t="s">
        <v>104</v>
      </c>
      <c r="AJ575" s="6" t="s">
        <v>15474</v>
      </c>
      <c r="AK575" s="6" t="s">
        <v>16687</v>
      </c>
      <c r="AL575" s="6" t="s">
        <v>16931</v>
      </c>
      <c r="AM575" s="6" t="s">
        <v>17099</v>
      </c>
      <c r="AN575" s="6" t="s">
        <v>5771</v>
      </c>
      <c r="AO575" s="6" t="s">
        <v>18563</v>
      </c>
      <c r="AP575" s="6" t="s">
        <v>14336</v>
      </c>
      <c r="AQ575" s="6" t="s">
        <v>104</v>
      </c>
      <c r="AR575" s="6" t="s">
        <v>16189</v>
      </c>
      <c r="AS575" s="6" t="s">
        <v>16687</v>
      </c>
      <c r="AT575" s="6" t="s">
        <v>16931</v>
      </c>
      <c r="AU575" s="6" t="s">
        <v>17852</v>
      </c>
      <c r="AV575" s="6" t="s">
        <v>104</v>
      </c>
      <c r="AW575" s="6" t="s">
        <v>104</v>
      </c>
      <c r="AX575" s="6" t="s">
        <v>20555</v>
      </c>
      <c r="AY575" s="6" t="s">
        <v>22328</v>
      </c>
      <c r="AZ575" s="6" t="s">
        <v>23821</v>
      </c>
      <c r="BA575" s="6" t="s">
        <v>24263</v>
      </c>
      <c r="BB575" s="6" t="s">
        <v>104</v>
      </c>
      <c r="BC575" s="26"/>
      <c r="BD575" s="26"/>
      <c r="BE575" s="26" t="s">
        <v>24533</v>
      </c>
      <c r="BF575" s="26"/>
      <c r="BG575" s="26"/>
      <c r="BH575" s="26"/>
      <c r="BI575" s="26"/>
      <c r="BJ575" s="26"/>
      <c r="BK575" s="26"/>
      <c r="BL575" s="26"/>
      <c r="BM575" s="26"/>
      <c r="BN575" s="26"/>
      <c r="BO575" s="26"/>
      <c r="BP575" s="16" t="n">
        <v>45720</v>
      </c>
      <c r="BQ575" s="28" t="str">
        <f>HYPERLINK("https://organic.ams.usda.gov/Integrity/Certificate.aspx?cid=15&amp;nopid=5561007221")</f>
        <v>https://organic.ams.usda.gov/Integrity/Certificate.aspx?cid=15&amp;nopid=5561007221</v>
      </c>
    </row>
    <row r="576">
      <c r="A576" t="s">
        <v>3</v>
      </c>
      <c r="B576" s="6" t="s">
        <v>39</v>
      </c>
      <c r="C576" s="6" t="s">
        <v>105</v>
      </c>
      <c r="D576" s="6" t="s">
        <v>169</v>
      </c>
      <c r="E576" s="10" t="s">
        <v>774</v>
      </c>
      <c r="F576" s="6" t="s">
        <v>3027</v>
      </c>
      <c r="G576" s="6" t="s">
        <v>104</v>
      </c>
      <c r="H576" s="6" t="s">
        <v>5417</v>
      </c>
      <c r="I576" s="6" t="s">
        <v>7307</v>
      </c>
      <c r="J576" s="6" t="s">
        <v>7192</v>
      </c>
      <c r="K576" s="6" t="s">
        <v>9714</v>
      </c>
      <c r="L576" s="16" t="n">
        <v>42304</v>
      </c>
      <c r="M576" s="16" t="n">
        <v>45747</v>
      </c>
      <c r="N576" s="6" t="s">
        <v>9714</v>
      </c>
      <c r="O576" s="16" t="n">
        <v>42304</v>
      </c>
      <c r="P576" s="6" t="s">
        <v>9883</v>
      </c>
      <c r="Q576" s="6" t="s">
        <v>104</v>
      </c>
      <c r="R576" s="6" t="s">
        <v>10341</v>
      </c>
      <c r="S576" s="6" t="s">
        <v>104</v>
      </c>
      <c r="T576" s="21" t="s">
        <v>104</v>
      </c>
      <c r="U576" s="6" t="s">
        <v>104</v>
      </c>
      <c r="V576" s="6" t="s">
        <v>104</v>
      </c>
      <c r="W576" s="6" t="s">
        <v>104</v>
      </c>
      <c r="X576" s="6" t="s">
        <v>104</v>
      </c>
      <c r="Y576" s="21" t="s">
        <v>104</v>
      </c>
      <c r="Z576" s="6" t="s">
        <v>104</v>
      </c>
      <c r="AA576" s="6" t="s">
        <v>104</v>
      </c>
      <c r="AB576" s="6" t="s">
        <v>104</v>
      </c>
      <c r="AC576" s="6" t="s">
        <v>104</v>
      </c>
      <c r="AD576" s="21" t="s">
        <v>104</v>
      </c>
      <c r="AE576" s="6" t="s">
        <v>104</v>
      </c>
      <c r="AF576" s="6" t="s">
        <v>104</v>
      </c>
      <c r="AG576" s="6" t="s">
        <v>104</v>
      </c>
      <c r="AH576" s="6" t="s">
        <v>13681</v>
      </c>
      <c r="AI576" s="6" t="s">
        <v>104</v>
      </c>
      <c r="AJ576" s="6" t="s">
        <v>15738</v>
      </c>
      <c r="AK576" s="6" t="s">
        <v>16711</v>
      </c>
      <c r="AL576" s="6" t="s">
        <v>16931</v>
      </c>
      <c r="AM576" s="6" t="s">
        <v>17358</v>
      </c>
      <c r="AN576" s="6" t="s">
        <v>18519</v>
      </c>
      <c r="AO576" s="6" t="s">
        <v>18685</v>
      </c>
      <c r="AP576" s="6" t="s">
        <v>104</v>
      </c>
      <c r="AQ576" s="6" t="s">
        <v>104</v>
      </c>
      <c r="AR576" s="6" t="s">
        <v>104</v>
      </c>
      <c r="AS576" s="6" t="s">
        <v>104</v>
      </c>
      <c r="AT576" s="6" t="s">
        <v>104</v>
      </c>
      <c r="AU576" s="6" t="s">
        <v>104</v>
      </c>
      <c r="AV576" s="6" t="s">
        <v>104</v>
      </c>
      <c r="AW576" s="6" t="s">
        <v>104</v>
      </c>
      <c r="AX576" s="6" t="s">
        <v>104</v>
      </c>
      <c r="AY576" s="6" t="s">
        <v>22329</v>
      </c>
      <c r="AZ576" s="6" t="s">
        <v>104</v>
      </c>
      <c r="BA576" s="6" t="s">
        <v>104</v>
      </c>
      <c r="BB576" s="24" t="n">
        <v>70</v>
      </c>
      <c r="BC576" s="26"/>
      <c r="BD576" s="26"/>
      <c r="BE576" s="26"/>
      <c r="BF576" s="26"/>
      <c r="BG576" s="26"/>
      <c r="BH576" s="26"/>
      <c r="BI576" s="26"/>
      <c r="BJ576" s="26"/>
      <c r="BK576" s="26"/>
      <c r="BL576" s="26"/>
      <c r="BM576" s="26"/>
      <c r="BN576" s="26"/>
      <c r="BO576" s="26"/>
      <c r="BP576" s="16" t="n">
        <v>45538</v>
      </c>
      <c r="BQ576" s="28" t="str">
        <f>HYPERLINK("https://organic.ams.usda.gov/Integrity/Certificate.aspx?cid=29&amp;nopid=1581102715")</f>
        <v>https://organic.ams.usda.gov/Integrity/Certificate.aspx?cid=29&amp;nopid=1581102715</v>
      </c>
    </row>
    <row r="577">
      <c r="A577" t="s">
        <v>3</v>
      </c>
      <c r="B577" s="6" t="s">
        <v>23</v>
      </c>
      <c r="C577" s="6" t="s">
        <v>89</v>
      </c>
      <c r="D577" s="6" t="s">
        <v>154</v>
      </c>
      <c r="E577" s="10" t="s">
        <v>775</v>
      </c>
      <c r="F577" s="6" t="s">
        <v>3028</v>
      </c>
      <c r="G577" s="6" t="s">
        <v>4725</v>
      </c>
      <c r="H577" s="6" t="s">
        <v>5418</v>
      </c>
      <c r="I577" s="6" t="s">
        <v>7308</v>
      </c>
      <c r="J577" s="6" t="s">
        <v>8568</v>
      </c>
      <c r="K577" s="6" t="s">
        <v>9714</v>
      </c>
      <c r="L577" s="16" t="n">
        <v>43031</v>
      </c>
      <c r="M577" s="16" t="n">
        <v>45748</v>
      </c>
      <c r="N577" s="6" t="s">
        <v>9714</v>
      </c>
      <c r="O577" s="16" t="n">
        <v>43031</v>
      </c>
      <c r="P577" s="6" t="s">
        <v>9884</v>
      </c>
      <c r="Q577" s="6" t="s">
        <v>104</v>
      </c>
      <c r="R577" s="6" t="s">
        <v>5418</v>
      </c>
      <c r="S577" s="6" t="s">
        <v>104</v>
      </c>
      <c r="T577" s="21" t="s">
        <v>104</v>
      </c>
      <c r="U577" s="6" t="s">
        <v>104</v>
      </c>
      <c r="V577" s="6" t="s">
        <v>104</v>
      </c>
      <c r="W577" s="6" t="s">
        <v>104</v>
      </c>
      <c r="X577" s="6" t="s">
        <v>104</v>
      </c>
      <c r="Y577" s="21" t="s">
        <v>104</v>
      </c>
      <c r="Z577" s="6" t="s">
        <v>104</v>
      </c>
      <c r="AA577" s="6" t="s">
        <v>104</v>
      </c>
      <c r="AB577" s="6" t="s">
        <v>104</v>
      </c>
      <c r="AC577" s="6" t="s">
        <v>9714</v>
      </c>
      <c r="AD577" s="16" t="n">
        <v>43031</v>
      </c>
      <c r="AE577" s="6" t="s">
        <v>11036</v>
      </c>
      <c r="AF577" s="6" t="s">
        <v>104</v>
      </c>
      <c r="AG577" s="6" t="s">
        <v>5418</v>
      </c>
      <c r="AH577" s="6" t="s">
        <v>13682</v>
      </c>
      <c r="AI577" s="6" t="s">
        <v>104</v>
      </c>
      <c r="AJ577" s="6" t="s">
        <v>15739</v>
      </c>
      <c r="AK577" s="6" t="s">
        <v>16714</v>
      </c>
      <c r="AL577" s="6" t="s">
        <v>16931</v>
      </c>
      <c r="AM577" s="6" t="s">
        <v>17359</v>
      </c>
      <c r="AN577" s="6" t="s">
        <v>18520</v>
      </c>
      <c r="AO577" s="6" t="s">
        <v>18686</v>
      </c>
      <c r="AP577" s="6" t="s">
        <v>19095</v>
      </c>
      <c r="AQ577" s="6" t="s">
        <v>104</v>
      </c>
      <c r="AR577" s="6" t="s">
        <v>15739</v>
      </c>
      <c r="AS577" s="6" t="s">
        <v>16714</v>
      </c>
      <c r="AT577" s="6" t="s">
        <v>16931</v>
      </c>
      <c r="AU577" s="6" t="s">
        <v>17359</v>
      </c>
      <c r="AV577" s="6" t="s">
        <v>104</v>
      </c>
      <c r="AW577" s="6" t="s">
        <v>104</v>
      </c>
      <c r="AX577" s="6" t="s">
        <v>104</v>
      </c>
      <c r="AY577" s="6" t="s">
        <v>22330</v>
      </c>
      <c r="AZ577" s="6" t="s">
        <v>104</v>
      </c>
      <c r="BA577" s="6" t="s">
        <v>24261</v>
      </c>
      <c r="BB577" s="24" t="n">
        <v>592</v>
      </c>
      <c r="BC577" s="26"/>
      <c r="BD577" s="26"/>
      <c r="BE577" s="26"/>
      <c r="BF577" s="26"/>
      <c r="BG577" s="26" t="s">
        <v>24533</v>
      </c>
      <c r="BH577" s="26"/>
      <c r="BI577" s="26"/>
      <c r="BJ577" s="26"/>
      <c r="BK577" s="26"/>
      <c r="BL577" s="26"/>
      <c r="BM577" s="26"/>
      <c r="BN577" s="26"/>
      <c r="BO577" s="26"/>
      <c r="BP577" s="16" t="n">
        <v>45667</v>
      </c>
      <c r="BQ577" s="28" t="str">
        <f>HYPERLINK("https://organic.ams.usda.gov/Integrity/Certificate.aspx?cid=45&amp;nopid=9950010459")</f>
        <v>https://organic.ams.usda.gov/Integrity/Certificate.aspx?cid=45&amp;nopid=9950010459</v>
      </c>
    </row>
    <row r="578">
      <c r="A578" t="s">
        <v>3</v>
      </c>
      <c r="B578" s="6" t="s">
        <v>11</v>
      </c>
      <c r="C578" s="6" t="s">
        <v>77</v>
      </c>
      <c r="D578" s="6" t="s">
        <v>142</v>
      </c>
      <c r="E578" s="10" t="s">
        <v>776</v>
      </c>
      <c r="F578" s="6" t="s">
        <v>3029</v>
      </c>
      <c r="G578" s="6" t="s">
        <v>104</v>
      </c>
      <c r="H578" s="6" t="s">
        <v>104</v>
      </c>
      <c r="I578" s="6" t="s">
        <v>7309</v>
      </c>
      <c r="J578" s="6" t="s">
        <v>8569</v>
      </c>
      <c r="K578" s="6" t="s">
        <v>9714</v>
      </c>
      <c r="L578" s="16" t="n">
        <v>43346</v>
      </c>
      <c r="M578" s="16" t="n">
        <v>45404</v>
      </c>
      <c r="N578" s="6" t="s">
        <v>9714</v>
      </c>
      <c r="O578" s="16" t="n">
        <v>43346</v>
      </c>
      <c r="P578" s="6" t="s">
        <v>9885</v>
      </c>
      <c r="Q578" s="6" t="s">
        <v>104</v>
      </c>
      <c r="R578" s="6" t="s">
        <v>104</v>
      </c>
      <c r="S578" s="6" t="s">
        <v>104</v>
      </c>
      <c r="T578" s="21" t="s">
        <v>104</v>
      </c>
      <c r="U578" s="6" t="s">
        <v>104</v>
      </c>
      <c r="V578" s="6" t="s">
        <v>104</v>
      </c>
      <c r="W578" s="6" t="s">
        <v>104</v>
      </c>
      <c r="X578" s="6" t="s">
        <v>104</v>
      </c>
      <c r="Y578" s="21" t="s">
        <v>104</v>
      </c>
      <c r="Z578" s="6" t="s">
        <v>104</v>
      </c>
      <c r="AA578" s="6" t="s">
        <v>104</v>
      </c>
      <c r="AB578" s="6" t="s">
        <v>104</v>
      </c>
      <c r="AC578" s="6" t="s">
        <v>9714</v>
      </c>
      <c r="AD578" s="16" t="n">
        <v>43346</v>
      </c>
      <c r="AE578" s="6" t="s">
        <v>11037</v>
      </c>
      <c r="AF578" s="6" t="s">
        <v>104</v>
      </c>
      <c r="AG578" s="6" t="s">
        <v>104</v>
      </c>
      <c r="AH578" s="6" t="s">
        <v>13683</v>
      </c>
      <c r="AI578" s="6" t="s">
        <v>104</v>
      </c>
      <c r="AJ578" s="6" t="s">
        <v>13683</v>
      </c>
      <c r="AK578" s="6" t="s">
        <v>16787</v>
      </c>
      <c r="AL578" s="6" t="s">
        <v>16938</v>
      </c>
      <c r="AM578" s="6" t="s">
        <v>104</v>
      </c>
      <c r="AN578" s="6" t="s">
        <v>104</v>
      </c>
      <c r="AO578" s="6" t="s">
        <v>104</v>
      </c>
      <c r="AP578" s="6" t="s">
        <v>104</v>
      </c>
      <c r="AQ578" s="6" t="s">
        <v>104</v>
      </c>
      <c r="AR578" s="6" t="s">
        <v>104</v>
      </c>
      <c r="AS578" s="6" t="s">
        <v>104</v>
      </c>
      <c r="AT578" s="6" t="s">
        <v>104</v>
      </c>
      <c r="AU578" s="6" t="s">
        <v>104</v>
      </c>
      <c r="AV578" s="6" t="s">
        <v>104</v>
      </c>
      <c r="AW578" s="6" t="s">
        <v>104</v>
      </c>
      <c r="AX578" s="6" t="s">
        <v>20556</v>
      </c>
      <c r="AY578" s="6" t="s">
        <v>22331</v>
      </c>
      <c r="AZ578" s="6" t="s">
        <v>104</v>
      </c>
      <c r="BA578" s="6" t="s">
        <v>24273</v>
      </c>
      <c r="BB578" s="24" t="n">
        <v>5665</v>
      </c>
      <c r="BC578" s="26"/>
      <c r="BD578" s="26"/>
      <c r="BE578" s="26"/>
      <c r="BF578" s="26"/>
      <c r="BG578" s="26"/>
      <c r="BH578" s="26"/>
      <c r="BI578" s="26"/>
      <c r="BJ578" s="26"/>
      <c r="BK578" s="26"/>
      <c r="BL578" s="26"/>
      <c r="BM578" s="26"/>
      <c r="BN578" s="26"/>
      <c r="BO578" s="26"/>
      <c r="BP578" s="16" t="n">
        <v>45471</v>
      </c>
      <c r="BQ578" s="28" t="str">
        <f>HYPERLINK("https://organic.ams.usda.gov/Integrity/Certificate.aspx?cid=21&amp;nopid=1780858928")</f>
        <v>https://organic.ams.usda.gov/Integrity/Certificate.aspx?cid=21&amp;nopid=1780858928</v>
      </c>
    </row>
    <row r="579">
      <c r="A579" t="s">
        <v>3</v>
      </c>
      <c r="B579" s="6" t="s">
        <v>44</v>
      </c>
      <c r="C579" s="6" t="s">
        <v>110</v>
      </c>
      <c r="D579" s="6" t="s">
        <v>174</v>
      </c>
      <c r="E579" s="10" t="s">
        <v>777</v>
      </c>
      <c r="F579" s="6" t="s">
        <v>3030</v>
      </c>
      <c r="G579" s="6" t="s">
        <v>104</v>
      </c>
      <c r="H579" s="6" t="s">
        <v>5419</v>
      </c>
      <c r="I579" s="6" t="s">
        <v>7253</v>
      </c>
      <c r="J579" s="6" t="s">
        <v>8570</v>
      </c>
      <c r="K579" s="6" t="s">
        <v>9714</v>
      </c>
      <c r="L579" s="16" t="n">
        <v>42585</v>
      </c>
      <c r="M579" s="16" t="n">
        <v>45672</v>
      </c>
      <c r="N579" s="6" t="s">
        <v>104</v>
      </c>
      <c r="O579" s="21" t="s">
        <v>104</v>
      </c>
      <c r="P579" s="6" t="s">
        <v>104</v>
      </c>
      <c r="Q579" s="6" t="s">
        <v>104</v>
      </c>
      <c r="R579" s="6" t="s">
        <v>104</v>
      </c>
      <c r="S579" s="6" t="s">
        <v>104</v>
      </c>
      <c r="T579" s="21" t="s">
        <v>104</v>
      </c>
      <c r="U579" s="6" t="s">
        <v>104</v>
      </c>
      <c r="V579" s="6" t="s">
        <v>104</v>
      </c>
      <c r="W579" s="6" t="s">
        <v>104</v>
      </c>
      <c r="X579" s="6" t="s">
        <v>104</v>
      </c>
      <c r="Y579" s="21" t="s">
        <v>104</v>
      </c>
      <c r="Z579" s="6" t="s">
        <v>104</v>
      </c>
      <c r="AA579" s="6" t="s">
        <v>104</v>
      </c>
      <c r="AB579" s="6" t="s">
        <v>104</v>
      </c>
      <c r="AC579" s="6" t="s">
        <v>9714</v>
      </c>
      <c r="AD579" s="16" t="n">
        <v>42585</v>
      </c>
      <c r="AE579" s="6" t="s">
        <v>11038</v>
      </c>
      <c r="AF579" s="6" t="s">
        <v>104</v>
      </c>
      <c r="AG579" s="6" t="s">
        <v>104</v>
      </c>
      <c r="AH579" s="6" t="s">
        <v>13684</v>
      </c>
      <c r="AI579" s="6" t="s">
        <v>104</v>
      </c>
      <c r="AJ579" s="6" t="s">
        <v>15740</v>
      </c>
      <c r="AK579" s="6" t="s">
        <v>15697</v>
      </c>
      <c r="AL579" s="6" t="s">
        <v>16931</v>
      </c>
      <c r="AM579" s="6" t="s">
        <v>17360</v>
      </c>
      <c r="AN579" s="6" t="s">
        <v>18486</v>
      </c>
      <c r="AO579" s="6" t="s">
        <v>18669</v>
      </c>
      <c r="AP579" s="6" t="s">
        <v>13684</v>
      </c>
      <c r="AQ579" s="6" t="s">
        <v>104</v>
      </c>
      <c r="AR579" s="6" t="s">
        <v>15740</v>
      </c>
      <c r="AS579" s="6" t="s">
        <v>15697</v>
      </c>
      <c r="AT579" s="6" t="s">
        <v>16931</v>
      </c>
      <c r="AU579" s="6" t="s">
        <v>17360</v>
      </c>
      <c r="AV579" s="6" t="s">
        <v>104</v>
      </c>
      <c r="AW579" s="6" t="s">
        <v>104</v>
      </c>
      <c r="AX579" s="6" t="s">
        <v>20557</v>
      </c>
      <c r="AY579" s="6" t="s">
        <v>22332</v>
      </c>
      <c r="AZ579" s="6" t="s">
        <v>23822</v>
      </c>
      <c r="BA579" s="6" t="s">
        <v>104</v>
      </c>
      <c r="BB579" s="24" t="n">
        <v>0</v>
      </c>
      <c r="BC579" s="26"/>
      <c r="BD579" s="26"/>
      <c r="BE579" s="26" t="s">
        <v>24533</v>
      </c>
      <c r="BF579" s="26"/>
      <c r="BG579" s="26"/>
      <c r="BH579" s="26"/>
      <c r="BI579" s="26"/>
      <c r="BJ579" s="26"/>
      <c r="BK579" s="26"/>
      <c r="BL579" s="26" t="s">
        <v>24533</v>
      </c>
      <c r="BM579" s="26"/>
      <c r="BN579" s="26"/>
      <c r="BO579" s="26"/>
      <c r="BP579" s="16" t="n">
        <v>45603</v>
      </c>
      <c r="BQ579" s="28" t="str">
        <f>HYPERLINK("https://organic.ams.usda.gov/Integrity/Certificate.aspx?cid=57&amp;nopid=3252016063")</f>
        <v>https://organic.ams.usda.gov/Integrity/Certificate.aspx?cid=57&amp;nopid=3252016063</v>
      </c>
    </row>
    <row r="580">
      <c r="A580" t="s">
        <v>3</v>
      </c>
      <c r="B580" s="6" t="s">
        <v>22</v>
      </c>
      <c r="C580" s="6" t="s">
        <v>88</v>
      </c>
      <c r="D580" s="6" t="s">
        <v>153</v>
      </c>
      <c r="E580" s="10" t="s">
        <v>778</v>
      </c>
      <c r="F580" s="6" t="s">
        <v>3031</v>
      </c>
      <c r="G580" s="6" t="s">
        <v>104</v>
      </c>
      <c r="H580" s="6" t="s">
        <v>5420</v>
      </c>
      <c r="I580" s="6" t="s">
        <v>7006</v>
      </c>
      <c r="J580" s="6" t="s">
        <v>8571</v>
      </c>
      <c r="K580" s="6" t="s">
        <v>9714</v>
      </c>
      <c r="L580" s="16" t="n">
        <v>40014</v>
      </c>
      <c r="M580" s="16" t="n">
        <v>45108</v>
      </c>
      <c r="N580" s="6" t="s">
        <v>104</v>
      </c>
      <c r="O580" s="21" t="s">
        <v>104</v>
      </c>
      <c r="P580" s="6" t="s">
        <v>104</v>
      </c>
      <c r="Q580" s="6" t="s">
        <v>104</v>
      </c>
      <c r="R580" s="6" t="s">
        <v>104</v>
      </c>
      <c r="S580" s="6" t="s">
        <v>104</v>
      </c>
      <c r="T580" s="21" t="s">
        <v>104</v>
      </c>
      <c r="U580" s="6" t="s">
        <v>104</v>
      </c>
      <c r="V580" s="6" t="s">
        <v>104</v>
      </c>
      <c r="W580" s="6" t="s">
        <v>104</v>
      </c>
      <c r="X580" s="6" t="s">
        <v>104</v>
      </c>
      <c r="Y580" s="21" t="s">
        <v>104</v>
      </c>
      <c r="Z580" s="6" t="s">
        <v>104</v>
      </c>
      <c r="AA580" s="6" t="s">
        <v>104</v>
      </c>
      <c r="AB580" s="6" t="s">
        <v>104</v>
      </c>
      <c r="AC580" s="6" t="s">
        <v>9714</v>
      </c>
      <c r="AD580" s="16" t="n">
        <v>40014</v>
      </c>
      <c r="AE580" s="6" t="s">
        <v>11039</v>
      </c>
      <c r="AF580" s="6" t="s">
        <v>104</v>
      </c>
      <c r="AG580" s="6" t="s">
        <v>104</v>
      </c>
      <c r="AH580" s="6" t="s">
        <v>13685</v>
      </c>
      <c r="AI580" s="6" t="s">
        <v>104</v>
      </c>
      <c r="AJ580" s="6" t="s">
        <v>15741</v>
      </c>
      <c r="AK580" s="6" t="s">
        <v>16684</v>
      </c>
      <c r="AL580" s="6" t="s">
        <v>16931</v>
      </c>
      <c r="AM580" s="6" t="s">
        <v>17361</v>
      </c>
      <c r="AN580" s="6" t="s">
        <v>18494</v>
      </c>
      <c r="AO580" s="6" t="s">
        <v>18687</v>
      </c>
      <c r="AP580" s="6" t="s">
        <v>13685</v>
      </c>
      <c r="AQ580" s="6" t="s">
        <v>104</v>
      </c>
      <c r="AR580" s="6" t="s">
        <v>15741</v>
      </c>
      <c r="AS580" s="6" t="s">
        <v>16684</v>
      </c>
      <c r="AT580" s="6" t="s">
        <v>16931</v>
      </c>
      <c r="AU580" s="6" t="s">
        <v>17361</v>
      </c>
      <c r="AV580" s="6" t="s">
        <v>104</v>
      </c>
      <c r="AW580" s="6" t="s">
        <v>104</v>
      </c>
      <c r="AX580" s="6" t="s">
        <v>20558</v>
      </c>
      <c r="AY580" s="6" t="s">
        <v>22333</v>
      </c>
      <c r="AZ580" s="6" t="s">
        <v>104</v>
      </c>
      <c r="BA580" s="6" t="s">
        <v>104</v>
      </c>
      <c r="BB580" s="6" t="s">
        <v>104</v>
      </c>
      <c r="BC580" s="26"/>
      <c r="BD580" s="26"/>
      <c r="BE580" s="26"/>
      <c r="BF580" s="26"/>
      <c r="BG580" s="26"/>
      <c r="BH580" s="26"/>
      <c r="BI580" s="26"/>
      <c r="BJ580" s="26"/>
      <c r="BK580" s="26"/>
      <c r="BL580" s="26"/>
      <c r="BM580" s="26"/>
      <c r="BN580" s="26"/>
      <c r="BO580" s="26"/>
      <c r="BP580" s="16" t="n">
        <v>44932</v>
      </c>
      <c r="BQ580" s="28" t="str">
        <f>HYPERLINK("https://organic.ams.usda.gov/Integrity/Certificate.aspx?cid=72&amp;nopid=5870001029")</f>
        <v>https://organic.ams.usda.gov/Integrity/Certificate.aspx?cid=72&amp;nopid=5870001029</v>
      </c>
    </row>
    <row r="581">
      <c r="A581" t="s">
        <v>3</v>
      </c>
      <c r="B581" s="6" t="s">
        <v>22</v>
      </c>
      <c r="C581" s="6" t="s">
        <v>88</v>
      </c>
      <c r="D581" s="6" t="s">
        <v>153</v>
      </c>
      <c r="E581" s="10" t="s">
        <v>779</v>
      </c>
      <c r="F581" s="6" t="s">
        <v>3032</v>
      </c>
      <c r="G581" s="6" t="s">
        <v>104</v>
      </c>
      <c r="H581" s="6" t="s">
        <v>5421</v>
      </c>
      <c r="I581" s="6" t="s">
        <v>7006</v>
      </c>
      <c r="J581" s="6" t="s">
        <v>8571</v>
      </c>
      <c r="K581" s="6" t="s">
        <v>9714</v>
      </c>
      <c r="L581" s="16" t="n">
        <v>40014</v>
      </c>
      <c r="M581" s="16" t="n">
        <v>45108</v>
      </c>
      <c r="N581" s="6" t="s">
        <v>104</v>
      </c>
      <c r="O581" s="21" t="s">
        <v>104</v>
      </c>
      <c r="P581" s="6" t="s">
        <v>104</v>
      </c>
      <c r="Q581" s="6" t="s">
        <v>104</v>
      </c>
      <c r="R581" s="6" t="s">
        <v>104</v>
      </c>
      <c r="S581" s="6" t="s">
        <v>104</v>
      </c>
      <c r="T581" s="21" t="s">
        <v>104</v>
      </c>
      <c r="U581" s="6" t="s">
        <v>104</v>
      </c>
      <c r="V581" s="6" t="s">
        <v>104</v>
      </c>
      <c r="W581" s="6" t="s">
        <v>104</v>
      </c>
      <c r="X581" s="6" t="s">
        <v>104</v>
      </c>
      <c r="Y581" s="21" t="s">
        <v>104</v>
      </c>
      <c r="Z581" s="6" t="s">
        <v>104</v>
      </c>
      <c r="AA581" s="6" t="s">
        <v>104</v>
      </c>
      <c r="AB581" s="6" t="s">
        <v>104</v>
      </c>
      <c r="AC581" s="6" t="s">
        <v>9714</v>
      </c>
      <c r="AD581" s="16" t="n">
        <v>40014</v>
      </c>
      <c r="AE581" s="6" t="s">
        <v>11040</v>
      </c>
      <c r="AF581" s="6" t="s">
        <v>104</v>
      </c>
      <c r="AG581" s="6" t="s">
        <v>104</v>
      </c>
      <c r="AH581" s="6" t="s">
        <v>13685</v>
      </c>
      <c r="AI581" s="6" t="s">
        <v>104</v>
      </c>
      <c r="AJ581" s="6" t="s">
        <v>15741</v>
      </c>
      <c r="AK581" s="6" t="s">
        <v>16684</v>
      </c>
      <c r="AL581" s="6" t="s">
        <v>16931</v>
      </c>
      <c r="AM581" s="6" t="s">
        <v>17361</v>
      </c>
      <c r="AN581" s="6" t="s">
        <v>18494</v>
      </c>
      <c r="AO581" s="6" t="s">
        <v>18687</v>
      </c>
      <c r="AP581" s="6" t="s">
        <v>13685</v>
      </c>
      <c r="AQ581" s="6" t="s">
        <v>104</v>
      </c>
      <c r="AR581" s="6" t="s">
        <v>15741</v>
      </c>
      <c r="AS581" s="6" t="s">
        <v>16684</v>
      </c>
      <c r="AT581" s="6" t="s">
        <v>16931</v>
      </c>
      <c r="AU581" s="6" t="s">
        <v>17361</v>
      </c>
      <c r="AV581" s="6" t="s">
        <v>104</v>
      </c>
      <c r="AW581" s="6" t="s">
        <v>104</v>
      </c>
      <c r="AX581" s="6" t="s">
        <v>20558</v>
      </c>
      <c r="AY581" s="6" t="s">
        <v>22333</v>
      </c>
      <c r="AZ581" s="6" t="s">
        <v>104</v>
      </c>
      <c r="BA581" s="6" t="s">
        <v>104</v>
      </c>
      <c r="BB581" s="6" t="s">
        <v>104</v>
      </c>
      <c r="BC581" s="26"/>
      <c r="BD581" s="26"/>
      <c r="BE581" s="26"/>
      <c r="BF581" s="26"/>
      <c r="BG581" s="26"/>
      <c r="BH581" s="26"/>
      <c r="BI581" s="26"/>
      <c r="BJ581" s="26"/>
      <c r="BK581" s="26"/>
      <c r="BL581" s="26"/>
      <c r="BM581" s="26"/>
      <c r="BN581" s="26"/>
      <c r="BO581" s="26"/>
      <c r="BP581" s="16" t="n">
        <v>44932</v>
      </c>
      <c r="BQ581" s="28" t="str">
        <f>HYPERLINK("https://organic.ams.usda.gov/Integrity/Certificate.aspx?cid=72&amp;nopid=5870001030")</f>
        <v>https://organic.ams.usda.gov/Integrity/Certificate.aspx?cid=72&amp;nopid=5870001030</v>
      </c>
    </row>
    <row r="582">
      <c r="A582" t="s">
        <v>3</v>
      </c>
      <c r="B582" s="6" t="s">
        <v>22</v>
      </c>
      <c r="C582" s="6" t="s">
        <v>88</v>
      </c>
      <c r="D582" s="6" t="s">
        <v>153</v>
      </c>
      <c r="E582" s="10" t="s">
        <v>780</v>
      </c>
      <c r="F582" s="6" t="s">
        <v>3033</v>
      </c>
      <c r="G582" s="6" t="s">
        <v>104</v>
      </c>
      <c r="H582" s="6" t="s">
        <v>5422</v>
      </c>
      <c r="I582" s="6" t="s">
        <v>7006</v>
      </c>
      <c r="J582" s="6" t="s">
        <v>8571</v>
      </c>
      <c r="K582" s="6" t="s">
        <v>9714</v>
      </c>
      <c r="L582" s="16" t="n">
        <v>40014</v>
      </c>
      <c r="M582" s="16" t="n">
        <v>45108</v>
      </c>
      <c r="N582" s="6" t="s">
        <v>104</v>
      </c>
      <c r="O582" s="21" t="s">
        <v>104</v>
      </c>
      <c r="P582" s="6" t="s">
        <v>104</v>
      </c>
      <c r="Q582" s="6" t="s">
        <v>104</v>
      </c>
      <c r="R582" s="6" t="s">
        <v>104</v>
      </c>
      <c r="S582" s="6" t="s">
        <v>104</v>
      </c>
      <c r="T582" s="21" t="s">
        <v>104</v>
      </c>
      <c r="U582" s="6" t="s">
        <v>104</v>
      </c>
      <c r="V582" s="6" t="s">
        <v>104</v>
      </c>
      <c r="W582" s="6" t="s">
        <v>104</v>
      </c>
      <c r="X582" s="6" t="s">
        <v>104</v>
      </c>
      <c r="Y582" s="21" t="s">
        <v>104</v>
      </c>
      <c r="Z582" s="6" t="s">
        <v>104</v>
      </c>
      <c r="AA582" s="6" t="s">
        <v>104</v>
      </c>
      <c r="AB582" s="6" t="s">
        <v>104</v>
      </c>
      <c r="AC582" s="6" t="s">
        <v>9714</v>
      </c>
      <c r="AD582" s="16" t="n">
        <v>40014</v>
      </c>
      <c r="AE582" s="6" t="s">
        <v>11041</v>
      </c>
      <c r="AF582" s="6" t="s">
        <v>104</v>
      </c>
      <c r="AG582" s="6" t="s">
        <v>104</v>
      </c>
      <c r="AH582" s="6" t="s">
        <v>13685</v>
      </c>
      <c r="AI582" s="6" t="s">
        <v>104</v>
      </c>
      <c r="AJ582" s="6" t="s">
        <v>15741</v>
      </c>
      <c r="AK582" s="6" t="s">
        <v>16684</v>
      </c>
      <c r="AL582" s="6" t="s">
        <v>16931</v>
      </c>
      <c r="AM582" s="6" t="s">
        <v>17361</v>
      </c>
      <c r="AN582" s="6" t="s">
        <v>18494</v>
      </c>
      <c r="AO582" s="6" t="s">
        <v>18687</v>
      </c>
      <c r="AP582" s="6" t="s">
        <v>13685</v>
      </c>
      <c r="AQ582" s="6" t="s">
        <v>104</v>
      </c>
      <c r="AR582" s="6" t="s">
        <v>15741</v>
      </c>
      <c r="AS582" s="6" t="s">
        <v>16684</v>
      </c>
      <c r="AT582" s="6" t="s">
        <v>16931</v>
      </c>
      <c r="AU582" s="6" t="s">
        <v>17361</v>
      </c>
      <c r="AV582" s="6" t="s">
        <v>104</v>
      </c>
      <c r="AW582" s="6" t="s">
        <v>104</v>
      </c>
      <c r="AX582" s="6" t="s">
        <v>20558</v>
      </c>
      <c r="AY582" s="6" t="s">
        <v>22333</v>
      </c>
      <c r="AZ582" s="6" t="s">
        <v>104</v>
      </c>
      <c r="BA582" s="6" t="s">
        <v>104</v>
      </c>
      <c r="BB582" s="6" t="s">
        <v>104</v>
      </c>
      <c r="BC582" s="26"/>
      <c r="BD582" s="26"/>
      <c r="BE582" s="26"/>
      <c r="BF582" s="26"/>
      <c r="BG582" s="26"/>
      <c r="BH582" s="26"/>
      <c r="BI582" s="26"/>
      <c r="BJ582" s="26"/>
      <c r="BK582" s="26"/>
      <c r="BL582" s="26"/>
      <c r="BM582" s="26"/>
      <c r="BN582" s="26"/>
      <c r="BO582" s="26"/>
      <c r="BP582" s="16" t="n">
        <v>44932</v>
      </c>
      <c r="BQ582" s="28" t="str">
        <f>HYPERLINK("https://organic.ams.usda.gov/Integrity/Certificate.aspx?cid=72&amp;nopid=5870001031")</f>
        <v>https://organic.ams.usda.gov/Integrity/Certificate.aspx?cid=72&amp;nopid=5870001031</v>
      </c>
    </row>
    <row r="583">
      <c r="A583" t="s">
        <v>3</v>
      </c>
      <c r="B583" s="6" t="s">
        <v>22</v>
      </c>
      <c r="C583" s="6" t="s">
        <v>88</v>
      </c>
      <c r="D583" s="6" t="s">
        <v>153</v>
      </c>
      <c r="E583" s="10" t="s">
        <v>781</v>
      </c>
      <c r="F583" s="6" t="s">
        <v>3034</v>
      </c>
      <c r="G583" s="6" t="s">
        <v>104</v>
      </c>
      <c r="H583" s="6" t="s">
        <v>5423</v>
      </c>
      <c r="I583" s="6" t="s">
        <v>7006</v>
      </c>
      <c r="J583" s="6" t="s">
        <v>8571</v>
      </c>
      <c r="K583" s="6" t="s">
        <v>9714</v>
      </c>
      <c r="L583" s="16" t="n">
        <v>40014</v>
      </c>
      <c r="M583" s="16" t="n">
        <v>45108</v>
      </c>
      <c r="N583" s="6" t="s">
        <v>104</v>
      </c>
      <c r="O583" s="21" t="s">
        <v>104</v>
      </c>
      <c r="P583" s="6" t="s">
        <v>104</v>
      </c>
      <c r="Q583" s="6" t="s">
        <v>104</v>
      </c>
      <c r="R583" s="6" t="s">
        <v>104</v>
      </c>
      <c r="S583" s="6" t="s">
        <v>104</v>
      </c>
      <c r="T583" s="21" t="s">
        <v>104</v>
      </c>
      <c r="U583" s="6" t="s">
        <v>104</v>
      </c>
      <c r="V583" s="6" t="s">
        <v>104</v>
      </c>
      <c r="W583" s="6" t="s">
        <v>104</v>
      </c>
      <c r="X583" s="6" t="s">
        <v>104</v>
      </c>
      <c r="Y583" s="21" t="s">
        <v>104</v>
      </c>
      <c r="Z583" s="6" t="s">
        <v>104</v>
      </c>
      <c r="AA583" s="6" t="s">
        <v>104</v>
      </c>
      <c r="AB583" s="6" t="s">
        <v>104</v>
      </c>
      <c r="AC583" s="6" t="s">
        <v>9714</v>
      </c>
      <c r="AD583" s="16" t="n">
        <v>40014</v>
      </c>
      <c r="AE583" s="6" t="s">
        <v>11042</v>
      </c>
      <c r="AF583" s="6" t="s">
        <v>104</v>
      </c>
      <c r="AG583" s="6" t="s">
        <v>104</v>
      </c>
      <c r="AH583" s="6" t="s">
        <v>13685</v>
      </c>
      <c r="AI583" s="6" t="s">
        <v>104</v>
      </c>
      <c r="AJ583" s="6" t="s">
        <v>15741</v>
      </c>
      <c r="AK583" s="6" t="s">
        <v>16684</v>
      </c>
      <c r="AL583" s="6" t="s">
        <v>16931</v>
      </c>
      <c r="AM583" s="6" t="s">
        <v>17361</v>
      </c>
      <c r="AN583" s="6" t="s">
        <v>18494</v>
      </c>
      <c r="AO583" s="6" t="s">
        <v>18687</v>
      </c>
      <c r="AP583" s="6" t="s">
        <v>13685</v>
      </c>
      <c r="AQ583" s="6" t="s">
        <v>104</v>
      </c>
      <c r="AR583" s="6" t="s">
        <v>15741</v>
      </c>
      <c r="AS583" s="6" t="s">
        <v>16684</v>
      </c>
      <c r="AT583" s="6" t="s">
        <v>16931</v>
      </c>
      <c r="AU583" s="6" t="s">
        <v>17361</v>
      </c>
      <c r="AV583" s="6" t="s">
        <v>104</v>
      </c>
      <c r="AW583" s="6" t="s">
        <v>104</v>
      </c>
      <c r="AX583" s="6" t="s">
        <v>20558</v>
      </c>
      <c r="AY583" s="6" t="s">
        <v>22333</v>
      </c>
      <c r="AZ583" s="6" t="s">
        <v>104</v>
      </c>
      <c r="BA583" s="6" t="s">
        <v>104</v>
      </c>
      <c r="BB583" s="6" t="s">
        <v>104</v>
      </c>
      <c r="BC583" s="26"/>
      <c r="BD583" s="26"/>
      <c r="BE583" s="26"/>
      <c r="BF583" s="26"/>
      <c r="BG583" s="26"/>
      <c r="BH583" s="26"/>
      <c r="BI583" s="26"/>
      <c r="BJ583" s="26"/>
      <c r="BK583" s="26"/>
      <c r="BL583" s="26"/>
      <c r="BM583" s="26"/>
      <c r="BN583" s="26"/>
      <c r="BO583" s="26"/>
      <c r="BP583" s="16" t="n">
        <v>44932</v>
      </c>
      <c r="BQ583" s="28" t="str">
        <f>HYPERLINK("https://organic.ams.usda.gov/Integrity/Certificate.aspx?cid=72&amp;nopid=5870001026")</f>
        <v>https://organic.ams.usda.gov/Integrity/Certificate.aspx?cid=72&amp;nopid=5870001026</v>
      </c>
    </row>
    <row r="584">
      <c r="A584" t="s">
        <v>3</v>
      </c>
      <c r="B584" s="6" t="s">
        <v>22</v>
      </c>
      <c r="C584" s="6" t="s">
        <v>88</v>
      </c>
      <c r="D584" s="6" t="s">
        <v>153</v>
      </c>
      <c r="E584" s="10" t="s">
        <v>782</v>
      </c>
      <c r="F584" s="6" t="s">
        <v>3035</v>
      </c>
      <c r="G584" s="6" t="s">
        <v>104</v>
      </c>
      <c r="H584" s="6" t="s">
        <v>5424</v>
      </c>
      <c r="I584" s="6" t="s">
        <v>7006</v>
      </c>
      <c r="J584" s="6" t="s">
        <v>8571</v>
      </c>
      <c r="K584" s="6" t="s">
        <v>9714</v>
      </c>
      <c r="L584" s="16" t="n">
        <v>40014</v>
      </c>
      <c r="M584" s="16" t="n">
        <v>45108</v>
      </c>
      <c r="N584" s="6" t="s">
        <v>104</v>
      </c>
      <c r="O584" s="21" t="s">
        <v>104</v>
      </c>
      <c r="P584" s="6" t="s">
        <v>104</v>
      </c>
      <c r="Q584" s="6" t="s">
        <v>104</v>
      </c>
      <c r="R584" s="6" t="s">
        <v>104</v>
      </c>
      <c r="S584" s="6" t="s">
        <v>104</v>
      </c>
      <c r="T584" s="21" t="s">
        <v>104</v>
      </c>
      <c r="U584" s="6" t="s">
        <v>104</v>
      </c>
      <c r="V584" s="6" t="s">
        <v>104</v>
      </c>
      <c r="W584" s="6" t="s">
        <v>104</v>
      </c>
      <c r="X584" s="6" t="s">
        <v>104</v>
      </c>
      <c r="Y584" s="21" t="s">
        <v>104</v>
      </c>
      <c r="Z584" s="6" t="s">
        <v>104</v>
      </c>
      <c r="AA584" s="6" t="s">
        <v>104</v>
      </c>
      <c r="AB584" s="6" t="s">
        <v>104</v>
      </c>
      <c r="AC584" s="6" t="s">
        <v>9714</v>
      </c>
      <c r="AD584" s="16" t="n">
        <v>40014</v>
      </c>
      <c r="AE584" s="6" t="s">
        <v>11043</v>
      </c>
      <c r="AF584" s="6" t="s">
        <v>104</v>
      </c>
      <c r="AG584" s="6" t="s">
        <v>104</v>
      </c>
      <c r="AH584" s="6" t="s">
        <v>13685</v>
      </c>
      <c r="AI584" s="6" t="s">
        <v>104</v>
      </c>
      <c r="AJ584" s="6" t="s">
        <v>15741</v>
      </c>
      <c r="AK584" s="6" t="s">
        <v>16684</v>
      </c>
      <c r="AL584" s="6" t="s">
        <v>16931</v>
      </c>
      <c r="AM584" s="6" t="s">
        <v>17361</v>
      </c>
      <c r="AN584" s="6" t="s">
        <v>18494</v>
      </c>
      <c r="AO584" s="6" t="s">
        <v>18687</v>
      </c>
      <c r="AP584" s="6" t="s">
        <v>13685</v>
      </c>
      <c r="AQ584" s="6" t="s">
        <v>104</v>
      </c>
      <c r="AR584" s="6" t="s">
        <v>15741</v>
      </c>
      <c r="AS584" s="6" t="s">
        <v>16684</v>
      </c>
      <c r="AT584" s="6" t="s">
        <v>16931</v>
      </c>
      <c r="AU584" s="6" t="s">
        <v>17361</v>
      </c>
      <c r="AV584" s="6" t="s">
        <v>104</v>
      </c>
      <c r="AW584" s="6" t="s">
        <v>104</v>
      </c>
      <c r="AX584" s="6" t="s">
        <v>20558</v>
      </c>
      <c r="AY584" s="6" t="s">
        <v>22333</v>
      </c>
      <c r="AZ584" s="6" t="s">
        <v>104</v>
      </c>
      <c r="BA584" s="6" t="s">
        <v>104</v>
      </c>
      <c r="BB584" s="6" t="s">
        <v>104</v>
      </c>
      <c r="BC584" s="26"/>
      <c r="BD584" s="26"/>
      <c r="BE584" s="26"/>
      <c r="BF584" s="26"/>
      <c r="BG584" s="26"/>
      <c r="BH584" s="26"/>
      <c r="BI584" s="26"/>
      <c r="BJ584" s="26"/>
      <c r="BK584" s="26"/>
      <c r="BL584" s="26"/>
      <c r="BM584" s="26"/>
      <c r="BN584" s="26"/>
      <c r="BO584" s="26"/>
      <c r="BP584" s="16" t="n">
        <v>44932</v>
      </c>
      <c r="BQ584" s="28" t="str">
        <f>HYPERLINK("https://organic.ams.usda.gov/Integrity/Certificate.aspx?cid=72&amp;nopid=5870001027")</f>
        <v>https://organic.ams.usda.gov/Integrity/Certificate.aspx?cid=72&amp;nopid=5870001027</v>
      </c>
    </row>
    <row r="585">
      <c r="A585" t="s">
        <v>3</v>
      </c>
      <c r="B585" s="6" t="s">
        <v>22</v>
      </c>
      <c r="C585" s="6" t="s">
        <v>88</v>
      </c>
      <c r="D585" s="6" t="s">
        <v>153</v>
      </c>
      <c r="E585" s="10" t="s">
        <v>783</v>
      </c>
      <c r="F585" s="6" t="s">
        <v>3036</v>
      </c>
      <c r="G585" s="6" t="s">
        <v>104</v>
      </c>
      <c r="H585" s="6" t="s">
        <v>5425</v>
      </c>
      <c r="I585" s="6" t="s">
        <v>7006</v>
      </c>
      <c r="J585" s="6" t="s">
        <v>8571</v>
      </c>
      <c r="K585" s="6" t="s">
        <v>9714</v>
      </c>
      <c r="L585" s="16" t="n">
        <v>40007</v>
      </c>
      <c r="M585" s="16" t="n">
        <v>45748</v>
      </c>
      <c r="N585" s="6" t="s">
        <v>104</v>
      </c>
      <c r="O585" s="21" t="s">
        <v>104</v>
      </c>
      <c r="P585" s="6" t="s">
        <v>104</v>
      </c>
      <c r="Q585" s="6" t="s">
        <v>104</v>
      </c>
      <c r="R585" s="6" t="s">
        <v>104</v>
      </c>
      <c r="S585" s="6" t="s">
        <v>104</v>
      </c>
      <c r="T585" s="21" t="s">
        <v>104</v>
      </c>
      <c r="U585" s="6" t="s">
        <v>104</v>
      </c>
      <c r="V585" s="6" t="s">
        <v>104</v>
      </c>
      <c r="W585" s="6" t="s">
        <v>104</v>
      </c>
      <c r="X585" s="6" t="s">
        <v>104</v>
      </c>
      <c r="Y585" s="21" t="s">
        <v>104</v>
      </c>
      <c r="Z585" s="6" t="s">
        <v>104</v>
      </c>
      <c r="AA585" s="6" t="s">
        <v>104</v>
      </c>
      <c r="AB585" s="6" t="s">
        <v>104</v>
      </c>
      <c r="AC585" s="6" t="s">
        <v>9714</v>
      </c>
      <c r="AD585" s="16" t="n">
        <v>41040</v>
      </c>
      <c r="AE585" s="6" t="s">
        <v>11044</v>
      </c>
      <c r="AF585" s="6" t="s">
        <v>104</v>
      </c>
      <c r="AG585" s="6" t="s">
        <v>12675</v>
      </c>
      <c r="AH585" s="6" t="s">
        <v>13686</v>
      </c>
      <c r="AI585" s="6" t="s">
        <v>104</v>
      </c>
      <c r="AJ585" s="6" t="s">
        <v>15741</v>
      </c>
      <c r="AK585" s="6" t="s">
        <v>16684</v>
      </c>
      <c r="AL585" s="6" t="s">
        <v>16931</v>
      </c>
      <c r="AM585" s="6" t="s">
        <v>17361</v>
      </c>
      <c r="AN585" s="6" t="s">
        <v>18494</v>
      </c>
      <c r="AO585" s="6" t="s">
        <v>18687</v>
      </c>
      <c r="AP585" s="6" t="s">
        <v>13685</v>
      </c>
      <c r="AQ585" s="6" t="s">
        <v>104</v>
      </c>
      <c r="AR585" s="6" t="s">
        <v>15741</v>
      </c>
      <c r="AS585" s="6" t="s">
        <v>16684</v>
      </c>
      <c r="AT585" s="6" t="s">
        <v>16931</v>
      </c>
      <c r="AU585" s="6" t="s">
        <v>17361</v>
      </c>
      <c r="AV585" s="6" t="s">
        <v>104</v>
      </c>
      <c r="AW585" s="6" t="s">
        <v>104</v>
      </c>
      <c r="AX585" s="6" t="s">
        <v>20558</v>
      </c>
      <c r="AY585" s="6" t="s">
        <v>22333</v>
      </c>
      <c r="AZ585" s="6" t="s">
        <v>104</v>
      </c>
      <c r="BA585" s="6" t="s">
        <v>104</v>
      </c>
      <c r="BB585" s="6" t="s">
        <v>104</v>
      </c>
      <c r="BC585" s="26"/>
      <c r="BD585" s="26"/>
      <c r="BE585" s="26"/>
      <c r="BF585" s="26"/>
      <c r="BG585" s="26"/>
      <c r="BH585" s="26"/>
      <c r="BI585" s="26"/>
      <c r="BJ585" s="26"/>
      <c r="BK585" s="26"/>
      <c r="BL585" s="26"/>
      <c r="BM585" s="26"/>
      <c r="BN585" s="26"/>
      <c r="BO585" s="26"/>
      <c r="BP585" s="16" t="n">
        <v>45667</v>
      </c>
      <c r="BQ585" s="28" t="str">
        <f>HYPERLINK("https://organic.ams.usda.gov/Integrity/Certificate.aspx?cid=72&amp;nopid=5870001021")</f>
        <v>https://organic.ams.usda.gov/Integrity/Certificate.aspx?cid=72&amp;nopid=5870001021</v>
      </c>
    </row>
    <row r="586">
      <c r="A586" t="s">
        <v>3</v>
      </c>
      <c r="B586" s="6" t="s">
        <v>22</v>
      </c>
      <c r="C586" s="6" t="s">
        <v>88</v>
      </c>
      <c r="D586" s="6" t="s">
        <v>153</v>
      </c>
      <c r="E586" s="10" t="s">
        <v>784</v>
      </c>
      <c r="F586" s="6" t="s">
        <v>3037</v>
      </c>
      <c r="G586" s="6" t="s">
        <v>4726</v>
      </c>
      <c r="H586" s="6" t="s">
        <v>5426</v>
      </c>
      <c r="I586" s="6" t="s">
        <v>7006</v>
      </c>
      <c r="J586" s="6" t="s">
        <v>8571</v>
      </c>
      <c r="K586" s="6" t="s">
        <v>9714</v>
      </c>
      <c r="L586" s="16" t="n">
        <v>40007</v>
      </c>
      <c r="M586" s="16" t="n">
        <v>45017</v>
      </c>
      <c r="N586" s="6" t="s">
        <v>104</v>
      </c>
      <c r="O586" s="21" t="s">
        <v>104</v>
      </c>
      <c r="P586" s="6" t="s">
        <v>104</v>
      </c>
      <c r="Q586" s="6" t="s">
        <v>104</v>
      </c>
      <c r="R586" s="6" t="s">
        <v>104</v>
      </c>
      <c r="S586" s="6" t="s">
        <v>104</v>
      </c>
      <c r="T586" s="21" t="s">
        <v>104</v>
      </c>
      <c r="U586" s="6" t="s">
        <v>104</v>
      </c>
      <c r="V586" s="6" t="s">
        <v>104</v>
      </c>
      <c r="W586" s="6" t="s">
        <v>104</v>
      </c>
      <c r="X586" s="6" t="s">
        <v>104</v>
      </c>
      <c r="Y586" s="21" t="s">
        <v>104</v>
      </c>
      <c r="Z586" s="6" t="s">
        <v>104</v>
      </c>
      <c r="AA586" s="6" t="s">
        <v>104</v>
      </c>
      <c r="AB586" s="6" t="s">
        <v>104</v>
      </c>
      <c r="AC586" s="6" t="s">
        <v>9714</v>
      </c>
      <c r="AD586" s="16" t="n">
        <v>40007</v>
      </c>
      <c r="AE586" s="6" t="s">
        <v>11045</v>
      </c>
      <c r="AF586" s="6" t="s">
        <v>104</v>
      </c>
      <c r="AG586" s="6" t="s">
        <v>104</v>
      </c>
      <c r="AH586" s="6" t="s">
        <v>13685</v>
      </c>
      <c r="AI586" s="6" t="s">
        <v>104</v>
      </c>
      <c r="AJ586" s="6" t="s">
        <v>15741</v>
      </c>
      <c r="AK586" s="6" t="s">
        <v>16684</v>
      </c>
      <c r="AL586" s="6" t="s">
        <v>16931</v>
      </c>
      <c r="AM586" s="6" t="s">
        <v>17361</v>
      </c>
      <c r="AN586" s="6" t="s">
        <v>18494</v>
      </c>
      <c r="AO586" s="6" t="s">
        <v>18687</v>
      </c>
      <c r="AP586" s="6" t="s">
        <v>13685</v>
      </c>
      <c r="AQ586" s="6" t="s">
        <v>104</v>
      </c>
      <c r="AR586" s="6" t="s">
        <v>15741</v>
      </c>
      <c r="AS586" s="6" t="s">
        <v>16684</v>
      </c>
      <c r="AT586" s="6" t="s">
        <v>16931</v>
      </c>
      <c r="AU586" s="6" t="s">
        <v>17361</v>
      </c>
      <c r="AV586" s="6" t="s">
        <v>104</v>
      </c>
      <c r="AW586" s="6" t="s">
        <v>104</v>
      </c>
      <c r="AX586" s="6" t="s">
        <v>20558</v>
      </c>
      <c r="AY586" s="6" t="s">
        <v>22333</v>
      </c>
      <c r="AZ586" s="6" t="s">
        <v>104</v>
      </c>
      <c r="BA586" s="6" t="s">
        <v>104</v>
      </c>
      <c r="BB586" s="6" t="s">
        <v>104</v>
      </c>
      <c r="BC586" s="26"/>
      <c r="BD586" s="26"/>
      <c r="BE586" s="26"/>
      <c r="BF586" s="26"/>
      <c r="BG586" s="26"/>
      <c r="BH586" s="26"/>
      <c r="BI586" s="26"/>
      <c r="BJ586" s="26"/>
      <c r="BK586" s="26"/>
      <c r="BL586" s="26"/>
      <c r="BM586" s="26"/>
      <c r="BN586" s="26"/>
      <c r="BO586" s="26"/>
      <c r="BP586" s="16" t="n">
        <v>44932</v>
      </c>
      <c r="BQ586" s="28" t="str">
        <f>HYPERLINK("https://organic.ams.usda.gov/Integrity/Certificate.aspx?cid=72&amp;nopid=5870001022")</f>
        <v>https://organic.ams.usda.gov/Integrity/Certificate.aspx?cid=72&amp;nopid=5870001022</v>
      </c>
    </row>
    <row r="587">
      <c r="A587" t="s">
        <v>3</v>
      </c>
      <c r="B587" s="6" t="s">
        <v>22</v>
      </c>
      <c r="C587" s="6" t="s">
        <v>88</v>
      </c>
      <c r="D587" s="6" t="s">
        <v>153</v>
      </c>
      <c r="E587" s="10" t="s">
        <v>785</v>
      </c>
      <c r="F587" s="6" t="s">
        <v>3038</v>
      </c>
      <c r="G587" s="6" t="s">
        <v>4727</v>
      </c>
      <c r="H587" s="6" t="s">
        <v>5427</v>
      </c>
      <c r="I587" s="6" t="s">
        <v>7006</v>
      </c>
      <c r="J587" s="6" t="s">
        <v>8571</v>
      </c>
      <c r="K587" s="6" t="s">
        <v>9714</v>
      </c>
      <c r="L587" s="16" t="n">
        <v>40007</v>
      </c>
      <c r="M587" s="16" t="n">
        <v>45017</v>
      </c>
      <c r="N587" s="6" t="s">
        <v>104</v>
      </c>
      <c r="O587" s="21" t="s">
        <v>104</v>
      </c>
      <c r="P587" s="6" t="s">
        <v>104</v>
      </c>
      <c r="Q587" s="6" t="s">
        <v>104</v>
      </c>
      <c r="R587" s="6" t="s">
        <v>104</v>
      </c>
      <c r="S587" s="6" t="s">
        <v>104</v>
      </c>
      <c r="T587" s="21" t="s">
        <v>104</v>
      </c>
      <c r="U587" s="6" t="s">
        <v>104</v>
      </c>
      <c r="V587" s="6" t="s">
        <v>104</v>
      </c>
      <c r="W587" s="6" t="s">
        <v>104</v>
      </c>
      <c r="X587" s="6" t="s">
        <v>104</v>
      </c>
      <c r="Y587" s="21" t="s">
        <v>104</v>
      </c>
      <c r="Z587" s="6" t="s">
        <v>104</v>
      </c>
      <c r="AA587" s="6" t="s">
        <v>104</v>
      </c>
      <c r="AB587" s="6" t="s">
        <v>104</v>
      </c>
      <c r="AC587" s="6" t="s">
        <v>9714</v>
      </c>
      <c r="AD587" s="16" t="n">
        <v>40007</v>
      </c>
      <c r="AE587" s="6" t="s">
        <v>11046</v>
      </c>
      <c r="AF587" s="6" t="s">
        <v>104</v>
      </c>
      <c r="AG587" s="6" t="s">
        <v>104</v>
      </c>
      <c r="AH587" s="6" t="s">
        <v>13685</v>
      </c>
      <c r="AI587" s="6" t="s">
        <v>104</v>
      </c>
      <c r="AJ587" s="6" t="s">
        <v>15741</v>
      </c>
      <c r="AK587" s="6" t="s">
        <v>16684</v>
      </c>
      <c r="AL587" s="6" t="s">
        <v>16931</v>
      </c>
      <c r="AM587" s="6" t="s">
        <v>17361</v>
      </c>
      <c r="AN587" s="6" t="s">
        <v>18494</v>
      </c>
      <c r="AO587" s="6" t="s">
        <v>18687</v>
      </c>
      <c r="AP587" s="6" t="s">
        <v>13685</v>
      </c>
      <c r="AQ587" s="6" t="s">
        <v>104</v>
      </c>
      <c r="AR587" s="6" t="s">
        <v>15741</v>
      </c>
      <c r="AS587" s="6" t="s">
        <v>16684</v>
      </c>
      <c r="AT587" s="6" t="s">
        <v>16931</v>
      </c>
      <c r="AU587" s="6" t="s">
        <v>17361</v>
      </c>
      <c r="AV587" s="6" t="s">
        <v>104</v>
      </c>
      <c r="AW587" s="6" t="s">
        <v>104</v>
      </c>
      <c r="AX587" s="6" t="s">
        <v>20558</v>
      </c>
      <c r="AY587" s="6" t="s">
        <v>22333</v>
      </c>
      <c r="AZ587" s="6" t="s">
        <v>104</v>
      </c>
      <c r="BA587" s="6" t="s">
        <v>104</v>
      </c>
      <c r="BB587" s="6" t="s">
        <v>104</v>
      </c>
      <c r="BC587" s="26"/>
      <c r="BD587" s="26"/>
      <c r="BE587" s="26"/>
      <c r="BF587" s="26"/>
      <c r="BG587" s="26"/>
      <c r="BH587" s="26"/>
      <c r="BI587" s="26"/>
      <c r="BJ587" s="26"/>
      <c r="BK587" s="26"/>
      <c r="BL587" s="26"/>
      <c r="BM587" s="26"/>
      <c r="BN587" s="26"/>
      <c r="BO587" s="26"/>
      <c r="BP587" s="16" t="n">
        <v>44932</v>
      </c>
      <c r="BQ587" s="28" t="str">
        <f>HYPERLINK("https://organic.ams.usda.gov/Integrity/Certificate.aspx?cid=72&amp;nopid=5870001023")</f>
        <v>https://organic.ams.usda.gov/Integrity/Certificate.aspx?cid=72&amp;nopid=5870001023</v>
      </c>
    </row>
    <row r="588">
      <c r="A588" t="s">
        <v>3</v>
      </c>
      <c r="B588" s="6" t="s">
        <v>41</v>
      </c>
      <c r="C588" s="6" t="s">
        <v>107</v>
      </c>
      <c r="D588" s="6" t="s">
        <v>171</v>
      </c>
      <c r="E588" s="10" t="s">
        <v>786</v>
      </c>
      <c r="F588" s="6" t="s">
        <v>3039</v>
      </c>
      <c r="G588" s="6" t="s">
        <v>4728</v>
      </c>
      <c r="H588" s="6" t="s">
        <v>5428</v>
      </c>
      <c r="I588" s="6" t="s">
        <v>7310</v>
      </c>
      <c r="J588" s="6" t="s">
        <v>8572</v>
      </c>
      <c r="K588" s="6" t="s">
        <v>9714</v>
      </c>
      <c r="L588" s="16" t="n">
        <v>40458</v>
      </c>
      <c r="M588" s="16" t="n">
        <v>46157</v>
      </c>
      <c r="N588" s="6" t="s">
        <v>9714</v>
      </c>
      <c r="O588" s="16" t="n">
        <v>40458</v>
      </c>
      <c r="P588" s="6" t="s">
        <v>9886</v>
      </c>
      <c r="Q588" s="6" t="s">
        <v>104</v>
      </c>
      <c r="R588" s="6" t="s">
        <v>104</v>
      </c>
      <c r="S588" s="6" t="s">
        <v>104</v>
      </c>
      <c r="T588" s="21" t="s">
        <v>104</v>
      </c>
      <c r="U588" s="6" t="s">
        <v>104</v>
      </c>
      <c r="V588" s="6" t="s">
        <v>104</v>
      </c>
      <c r="W588" s="6" t="s">
        <v>104</v>
      </c>
      <c r="X588" s="6" t="s">
        <v>104</v>
      </c>
      <c r="Y588" s="21" t="s">
        <v>104</v>
      </c>
      <c r="Z588" s="6" t="s">
        <v>104</v>
      </c>
      <c r="AA588" s="6" t="s">
        <v>104</v>
      </c>
      <c r="AB588" s="6" t="s">
        <v>104</v>
      </c>
      <c r="AC588" s="6" t="s">
        <v>9714</v>
      </c>
      <c r="AD588" s="16" t="n">
        <v>40458</v>
      </c>
      <c r="AE588" s="6" t="s">
        <v>11047</v>
      </c>
      <c r="AF588" s="6" t="s">
        <v>104</v>
      </c>
      <c r="AG588" s="6" t="s">
        <v>104</v>
      </c>
      <c r="AH588" s="6" t="s">
        <v>13687</v>
      </c>
      <c r="AI588" s="6" t="s">
        <v>104</v>
      </c>
      <c r="AJ588" s="6" t="s">
        <v>15742</v>
      </c>
      <c r="AK588" s="6" t="s">
        <v>16706</v>
      </c>
      <c r="AL588" s="6" t="s">
        <v>16931</v>
      </c>
      <c r="AM588" s="6" t="s">
        <v>17362</v>
      </c>
      <c r="AN588" s="6" t="s">
        <v>18458</v>
      </c>
      <c r="AO588" s="6" t="s">
        <v>18671</v>
      </c>
      <c r="AP588" s="6" t="s">
        <v>13687</v>
      </c>
      <c r="AQ588" s="6" t="s">
        <v>104</v>
      </c>
      <c r="AR588" s="6" t="s">
        <v>15742</v>
      </c>
      <c r="AS588" s="6" t="s">
        <v>16706</v>
      </c>
      <c r="AT588" s="6" t="s">
        <v>16931</v>
      </c>
      <c r="AU588" s="6" t="s">
        <v>17362</v>
      </c>
      <c r="AV588" s="6" t="s">
        <v>104</v>
      </c>
      <c r="AW588" s="6" t="s">
        <v>104</v>
      </c>
      <c r="AX588" s="6" t="s">
        <v>20559</v>
      </c>
      <c r="AY588" s="6" t="s">
        <v>22334</v>
      </c>
      <c r="AZ588" s="6" t="s">
        <v>104</v>
      </c>
      <c r="BA588" s="6" t="s">
        <v>104</v>
      </c>
      <c r="BB588" s="24" t="n">
        <v>322</v>
      </c>
      <c r="BC588" s="26"/>
      <c r="BD588" s="26"/>
      <c r="BE588" s="26"/>
      <c r="BF588" s="26"/>
      <c r="BG588" s="26"/>
      <c r="BH588" s="26"/>
      <c r="BI588" s="26"/>
      <c r="BJ588" s="26"/>
      <c r="BK588" s="26"/>
      <c r="BL588" s="26"/>
      <c r="BM588" s="26"/>
      <c r="BN588" s="26"/>
      <c r="BO588" s="26"/>
      <c r="BP588" s="16" t="n">
        <v>45737</v>
      </c>
      <c r="BQ588" s="28" t="str">
        <f>HYPERLINK("https://organic.ams.usda.gov/Integrity/Certificate.aspx?cid=58&amp;nopid=1600001786")</f>
        <v>https://organic.ams.usda.gov/Integrity/Certificate.aspx?cid=58&amp;nopid=1600001786</v>
      </c>
    </row>
    <row r="589">
      <c r="A589" t="s">
        <v>3</v>
      </c>
      <c r="B589" s="6" t="s">
        <v>59</v>
      </c>
      <c r="C589" s="6" t="s">
        <v>125</v>
      </c>
      <c r="D589" s="6" t="s">
        <v>189</v>
      </c>
      <c r="E589" s="10" t="s">
        <v>787</v>
      </c>
      <c r="F589" s="6" t="s">
        <v>3040</v>
      </c>
      <c r="G589" s="6" t="s">
        <v>104</v>
      </c>
      <c r="H589" s="6" t="s">
        <v>5429</v>
      </c>
      <c r="I589" s="6" t="s">
        <v>7006</v>
      </c>
      <c r="J589" s="6" t="s">
        <v>8573</v>
      </c>
      <c r="K589" s="6" t="s">
        <v>9714</v>
      </c>
      <c r="L589" s="16" t="n">
        <v>37503</v>
      </c>
      <c r="M589" s="16" t="n">
        <v>45748</v>
      </c>
      <c r="N589" s="6" t="s">
        <v>9714</v>
      </c>
      <c r="O589" s="16" t="n">
        <v>37503</v>
      </c>
      <c r="P589" s="6" t="s">
        <v>9887</v>
      </c>
      <c r="Q589" s="6" t="s">
        <v>104</v>
      </c>
      <c r="R589" s="6" t="s">
        <v>10342</v>
      </c>
      <c r="S589" s="6" t="s">
        <v>104</v>
      </c>
      <c r="T589" s="21" t="s">
        <v>104</v>
      </c>
      <c r="U589" s="6" t="s">
        <v>104</v>
      </c>
      <c r="V589" s="6" t="s">
        <v>104</v>
      </c>
      <c r="W589" s="6" t="s">
        <v>104</v>
      </c>
      <c r="X589" s="6" t="s">
        <v>104</v>
      </c>
      <c r="Y589" s="21" t="s">
        <v>104</v>
      </c>
      <c r="Z589" s="6" t="s">
        <v>104</v>
      </c>
      <c r="AA589" s="6" t="s">
        <v>104</v>
      </c>
      <c r="AB589" s="6" t="s">
        <v>104</v>
      </c>
      <c r="AC589" s="6" t="s">
        <v>104</v>
      </c>
      <c r="AD589" s="21" t="s">
        <v>104</v>
      </c>
      <c r="AE589" s="6" t="s">
        <v>104</v>
      </c>
      <c r="AF589" s="6" t="s">
        <v>104</v>
      </c>
      <c r="AG589" s="6" t="s">
        <v>104</v>
      </c>
      <c r="AH589" s="6" t="s">
        <v>13688</v>
      </c>
      <c r="AI589" s="6" t="s">
        <v>104</v>
      </c>
      <c r="AJ589" s="6" t="s">
        <v>15743</v>
      </c>
      <c r="AK589" s="6" t="s">
        <v>16337</v>
      </c>
      <c r="AL589" s="6" t="s">
        <v>16931</v>
      </c>
      <c r="AM589" s="6" t="s">
        <v>17363</v>
      </c>
      <c r="AN589" s="6" t="s">
        <v>5640</v>
      </c>
      <c r="AO589" s="6" t="s">
        <v>18688</v>
      </c>
      <c r="AP589" s="6" t="s">
        <v>13688</v>
      </c>
      <c r="AQ589" s="6" t="s">
        <v>104</v>
      </c>
      <c r="AR589" s="6" t="s">
        <v>15743</v>
      </c>
      <c r="AS589" s="6" t="s">
        <v>16337</v>
      </c>
      <c r="AT589" s="6" t="s">
        <v>16931</v>
      </c>
      <c r="AU589" s="6" t="s">
        <v>17363</v>
      </c>
      <c r="AV589" s="6" t="s">
        <v>104</v>
      </c>
      <c r="AW589" s="6" t="s">
        <v>104</v>
      </c>
      <c r="AX589" s="6" t="s">
        <v>20560</v>
      </c>
      <c r="AY589" s="6" t="s">
        <v>22335</v>
      </c>
      <c r="AZ589" s="6" t="s">
        <v>104</v>
      </c>
      <c r="BA589" s="6" t="s">
        <v>104</v>
      </c>
      <c r="BB589" s="24" t="n">
        <v>83</v>
      </c>
      <c r="BC589" s="26"/>
      <c r="BD589" s="26"/>
      <c r="BE589" s="26"/>
      <c r="BF589" s="26"/>
      <c r="BG589" s="26"/>
      <c r="BH589" s="26"/>
      <c r="BI589" s="26"/>
      <c r="BJ589" s="26"/>
      <c r="BK589" s="26"/>
      <c r="BL589" s="26"/>
      <c r="BM589" s="26"/>
      <c r="BN589" s="26"/>
      <c r="BO589" s="26"/>
      <c r="BP589" s="16" t="n">
        <v>45378</v>
      </c>
      <c r="BQ589" s="28" t="str">
        <f>HYPERLINK("https://organic.ams.usda.gov/Integrity/Certificate.aspx?cid=42&amp;nopid=6780000033")</f>
        <v>https://organic.ams.usda.gov/Integrity/Certificate.aspx?cid=42&amp;nopid=6780000033</v>
      </c>
    </row>
    <row r="590">
      <c r="A590" t="s">
        <v>3</v>
      </c>
      <c r="B590" s="6" t="s">
        <v>45</v>
      </c>
      <c r="C590" s="6" t="s">
        <v>111</v>
      </c>
      <c r="D590" s="6" t="s">
        <v>175</v>
      </c>
      <c r="E590" s="10" t="s">
        <v>788</v>
      </c>
      <c r="F590" s="6" t="s">
        <v>3041</v>
      </c>
      <c r="G590" s="6" t="s">
        <v>104</v>
      </c>
      <c r="H590" s="6" t="s">
        <v>5430</v>
      </c>
      <c r="I590" s="6" t="s">
        <v>7311</v>
      </c>
      <c r="J590" s="6" t="s">
        <v>8574</v>
      </c>
      <c r="K590" s="6" t="s">
        <v>9714</v>
      </c>
      <c r="L590" s="16" t="n">
        <v>41390</v>
      </c>
      <c r="M590" s="16" t="n">
        <v>46082</v>
      </c>
      <c r="N590" s="6" t="s">
        <v>9714</v>
      </c>
      <c r="O590" s="16" t="n">
        <v>41390</v>
      </c>
      <c r="P590" s="6" t="s">
        <v>9888</v>
      </c>
      <c r="Q590" s="6" t="s">
        <v>104</v>
      </c>
      <c r="R590" s="6" t="s">
        <v>4667</v>
      </c>
      <c r="S590" s="6" t="s">
        <v>104</v>
      </c>
      <c r="T590" s="21" t="s">
        <v>104</v>
      </c>
      <c r="U590" s="6" t="s">
        <v>104</v>
      </c>
      <c r="V590" s="6" t="s">
        <v>104</v>
      </c>
      <c r="W590" s="6" t="s">
        <v>104</v>
      </c>
      <c r="X590" s="6" t="s">
        <v>104</v>
      </c>
      <c r="Y590" s="21" t="s">
        <v>104</v>
      </c>
      <c r="Z590" s="6" t="s">
        <v>104</v>
      </c>
      <c r="AA590" s="6" t="s">
        <v>104</v>
      </c>
      <c r="AB590" s="6" t="s">
        <v>104</v>
      </c>
      <c r="AC590" s="6" t="s">
        <v>9714</v>
      </c>
      <c r="AD590" s="16" t="n">
        <v>41390</v>
      </c>
      <c r="AE590" s="6" t="s">
        <v>11048</v>
      </c>
      <c r="AF590" s="6" t="s">
        <v>104</v>
      </c>
      <c r="AG590" s="6" t="s">
        <v>4667</v>
      </c>
      <c r="AH590" s="6" t="s">
        <v>13689</v>
      </c>
      <c r="AI590" s="6" t="s">
        <v>104</v>
      </c>
      <c r="AJ590" s="6" t="s">
        <v>15744</v>
      </c>
      <c r="AK590" s="6" t="s">
        <v>16382</v>
      </c>
      <c r="AL590" s="6" t="s">
        <v>16931</v>
      </c>
      <c r="AM590" s="6" t="s">
        <v>17364</v>
      </c>
      <c r="AN590" s="6" t="s">
        <v>104</v>
      </c>
      <c r="AO590" s="6" t="s">
        <v>104</v>
      </c>
      <c r="AP590" s="6" t="s">
        <v>19096</v>
      </c>
      <c r="AQ590" s="6" t="s">
        <v>104</v>
      </c>
      <c r="AR590" s="6" t="s">
        <v>15744</v>
      </c>
      <c r="AS590" s="6" t="s">
        <v>16382</v>
      </c>
      <c r="AT590" s="6" t="s">
        <v>16931</v>
      </c>
      <c r="AU590" s="6" t="s">
        <v>17364</v>
      </c>
      <c r="AV590" s="6" t="s">
        <v>18509</v>
      </c>
      <c r="AW590" s="6" t="s">
        <v>20083</v>
      </c>
      <c r="AX590" s="6" t="s">
        <v>20561</v>
      </c>
      <c r="AY590" s="6" t="s">
        <v>22336</v>
      </c>
      <c r="AZ590" s="6" t="s">
        <v>23823</v>
      </c>
      <c r="BA590" s="6" t="s">
        <v>104</v>
      </c>
      <c r="BB590" s="24" t="n">
        <v>10</v>
      </c>
      <c r="BC590" s="26"/>
      <c r="BD590" s="26"/>
      <c r="BE590" s="26"/>
      <c r="BF590" s="26"/>
      <c r="BG590" s="26"/>
      <c r="BH590" s="26"/>
      <c r="BI590" s="26"/>
      <c r="BJ590" s="26"/>
      <c r="BK590" s="26"/>
      <c r="BL590" s="26"/>
      <c r="BM590" s="26"/>
      <c r="BN590" s="26"/>
      <c r="BO590" s="26"/>
      <c r="BP590" s="16" t="n">
        <v>45739</v>
      </c>
      <c r="BQ590" s="28" t="str">
        <f>HYPERLINK("https://organic.ams.usda.gov/Integrity/Certificate.aspx?cid=82&amp;nopid=2780002762")</f>
        <v>https://organic.ams.usda.gov/Integrity/Certificate.aspx?cid=82&amp;nopid=2780002762</v>
      </c>
    </row>
    <row r="591">
      <c r="A591" t="s">
        <v>3</v>
      </c>
      <c r="B591" s="6" t="s">
        <v>60</v>
      </c>
      <c r="C591" s="6" t="s">
        <v>126</v>
      </c>
      <c r="D591" s="6" t="s">
        <v>190</v>
      </c>
      <c r="E591" s="10" t="s">
        <v>789</v>
      </c>
      <c r="F591" s="6" t="s">
        <v>3042</v>
      </c>
      <c r="G591" s="6" t="s">
        <v>104</v>
      </c>
      <c r="H591" s="6" t="s">
        <v>5431</v>
      </c>
      <c r="I591" s="6" t="s">
        <v>7312</v>
      </c>
      <c r="J591" s="6" t="s">
        <v>8575</v>
      </c>
      <c r="K591" s="6" t="s">
        <v>9714</v>
      </c>
      <c r="L591" s="16" t="n">
        <v>41011</v>
      </c>
      <c r="M591" s="16" t="n">
        <v>45975</v>
      </c>
      <c r="N591" s="6" t="s">
        <v>104</v>
      </c>
      <c r="O591" s="21" t="s">
        <v>104</v>
      </c>
      <c r="P591" s="6" t="s">
        <v>104</v>
      </c>
      <c r="Q591" s="6" t="s">
        <v>104</v>
      </c>
      <c r="R591" s="6" t="s">
        <v>104</v>
      </c>
      <c r="S591" s="6" t="s">
        <v>104</v>
      </c>
      <c r="T591" s="21" t="s">
        <v>104</v>
      </c>
      <c r="U591" s="6" t="s">
        <v>104</v>
      </c>
      <c r="V591" s="6" t="s">
        <v>104</v>
      </c>
      <c r="W591" s="6" t="s">
        <v>104</v>
      </c>
      <c r="X591" s="6" t="s">
        <v>104</v>
      </c>
      <c r="Y591" s="21" t="s">
        <v>104</v>
      </c>
      <c r="Z591" s="6" t="s">
        <v>104</v>
      </c>
      <c r="AA591" s="6" t="s">
        <v>104</v>
      </c>
      <c r="AB591" s="6" t="s">
        <v>104</v>
      </c>
      <c r="AC591" s="6" t="s">
        <v>9714</v>
      </c>
      <c r="AD591" s="16" t="n">
        <v>41011</v>
      </c>
      <c r="AE591" s="6" t="s">
        <v>11049</v>
      </c>
      <c r="AF591" s="6" t="s">
        <v>104</v>
      </c>
      <c r="AG591" s="6" t="s">
        <v>12676</v>
      </c>
      <c r="AH591" s="6" t="s">
        <v>13690</v>
      </c>
      <c r="AI591" s="6" t="s">
        <v>104</v>
      </c>
      <c r="AJ591" s="6" t="s">
        <v>15745</v>
      </c>
      <c r="AK591" s="6" t="s">
        <v>16370</v>
      </c>
      <c r="AL591" s="6" t="s">
        <v>16931</v>
      </c>
      <c r="AM591" s="6" t="s">
        <v>17365</v>
      </c>
      <c r="AN591" s="6" t="s">
        <v>18520</v>
      </c>
      <c r="AO591" s="6" t="s">
        <v>18689</v>
      </c>
      <c r="AP591" s="6" t="s">
        <v>13690</v>
      </c>
      <c r="AQ591" s="6" t="s">
        <v>104</v>
      </c>
      <c r="AR591" s="6" t="s">
        <v>15745</v>
      </c>
      <c r="AS591" s="6" t="s">
        <v>16370</v>
      </c>
      <c r="AT591" s="6" t="s">
        <v>16931</v>
      </c>
      <c r="AU591" s="6" t="s">
        <v>17365</v>
      </c>
      <c r="AV591" s="6" t="s">
        <v>18520</v>
      </c>
      <c r="AW591" s="6" t="s">
        <v>18689</v>
      </c>
      <c r="AX591" s="6" t="s">
        <v>20562</v>
      </c>
      <c r="AY591" s="6" t="s">
        <v>22337</v>
      </c>
      <c r="AZ591" s="6" t="s">
        <v>23824</v>
      </c>
      <c r="BA591" s="6" t="s">
        <v>104</v>
      </c>
      <c r="BB591" s="6" t="s">
        <v>104</v>
      </c>
      <c r="BC591" s="26"/>
      <c r="BD591" s="26"/>
      <c r="BE591" s="26" t="s">
        <v>24533</v>
      </c>
      <c r="BF591" s="26"/>
      <c r="BG591" s="26"/>
      <c r="BH591" s="26"/>
      <c r="BI591" s="26"/>
      <c r="BJ591" s="26"/>
      <c r="BK591" s="26"/>
      <c r="BL591" s="26"/>
      <c r="BM591" s="26"/>
      <c r="BN591" s="26"/>
      <c r="BO591" s="26"/>
      <c r="BP591" s="16" t="n">
        <v>45705</v>
      </c>
      <c r="BQ591" s="28" t="str">
        <f>HYPERLINK("https://organic.ams.usda.gov/Integrity/Certificate.aspx?cid=4&amp;nopid=6240025040")</f>
        <v>https://organic.ams.usda.gov/Integrity/Certificate.aspx?cid=4&amp;nopid=6240025040</v>
      </c>
    </row>
    <row r="592">
      <c r="A592" t="s">
        <v>3</v>
      </c>
      <c r="B592" s="6" t="s">
        <v>25</v>
      </c>
      <c r="C592" s="6" t="s">
        <v>91</v>
      </c>
      <c r="D592" s="6" t="s">
        <v>156</v>
      </c>
      <c r="E592" s="10" t="s">
        <v>790</v>
      </c>
      <c r="F592" s="6" t="s">
        <v>3043</v>
      </c>
      <c r="G592" s="6" t="s">
        <v>104</v>
      </c>
      <c r="H592" s="6" t="s">
        <v>5432</v>
      </c>
      <c r="I592" s="6" t="s">
        <v>6982</v>
      </c>
      <c r="J592" s="6" t="s">
        <v>8196</v>
      </c>
      <c r="K592" s="6" t="s">
        <v>9714</v>
      </c>
      <c r="L592" s="16" t="n">
        <v>43964</v>
      </c>
      <c r="M592" s="16" t="n">
        <v>45834</v>
      </c>
      <c r="N592" s="6" t="s">
        <v>104</v>
      </c>
      <c r="O592" s="21" t="s">
        <v>104</v>
      </c>
      <c r="P592" s="6" t="s">
        <v>104</v>
      </c>
      <c r="Q592" s="6" t="s">
        <v>104</v>
      </c>
      <c r="R592" s="6" t="s">
        <v>104</v>
      </c>
      <c r="S592" s="6" t="s">
        <v>104</v>
      </c>
      <c r="T592" s="21" t="s">
        <v>104</v>
      </c>
      <c r="U592" s="6" t="s">
        <v>104</v>
      </c>
      <c r="V592" s="6" t="s">
        <v>104</v>
      </c>
      <c r="W592" s="6" t="s">
        <v>104</v>
      </c>
      <c r="X592" s="6" t="s">
        <v>104</v>
      </c>
      <c r="Y592" s="21" t="s">
        <v>104</v>
      </c>
      <c r="Z592" s="6" t="s">
        <v>104</v>
      </c>
      <c r="AA592" s="6" t="s">
        <v>104</v>
      </c>
      <c r="AB592" s="6" t="s">
        <v>104</v>
      </c>
      <c r="AC592" s="6" t="s">
        <v>9714</v>
      </c>
      <c r="AD592" s="16" t="n">
        <v>43964</v>
      </c>
      <c r="AE592" s="6" t="s">
        <v>11050</v>
      </c>
      <c r="AF592" s="6" t="s">
        <v>104</v>
      </c>
      <c r="AG592" s="6" t="s">
        <v>104</v>
      </c>
      <c r="AH592" s="6" t="s">
        <v>13691</v>
      </c>
      <c r="AI592" s="6" t="s">
        <v>104</v>
      </c>
      <c r="AJ592" s="6" t="s">
        <v>15746</v>
      </c>
      <c r="AK592" s="6" t="s">
        <v>16708</v>
      </c>
      <c r="AL592" s="6" t="s">
        <v>16935</v>
      </c>
      <c r="AM592" s="6" t="s">
        <v>17366</v>
      </c>
      <c r="AN592" s="6" t="s">
        <v>104</v>
      </c>
      <c r="AO592" s="6" t="s">
        <v>104</v>
      </c>
      <c r="AP592" s="6" t="s">
        <v>13691</v>
      </c>
      <c r="AQ592" s="6" t="s">
        <v>104</v>
      </c>
      <c r="AR592" s="6" t="s">
        <v>15746</v>
      </c>
      <c r="AS592" s="6" t="s">
        <v>16708</v>
      </c>
      <c r="AT592" s="6" t="s">
        <v>16935</v>
      </c>
      <c r="AU592" s="6" t="s">
        <v>17366</v>
      </c>
      <c r="AV592" s="6" t="s">
        <v>104</v>
      </c>
      <c r="AW592" s="6" t="s">
        <v>104</v>
      </c>
      <c r="AX592" s="6" t="s">
        <v>20185</v>
      </c>
      <c r="AY592" s="6" t="s">
        <v>21923</v>
      </c>
      <c r="AZ592" s="6" t="s">
        <v>104</v>
      </c>
      <c r="BA592" s="6" t="s">
        <v>24264</v>
      </c>
      <c r="BB592" s="6" t="s">
        <v>104</v>
      </c>
      <c r="BC592" s="26"/>
      <c r="BD592" s="26"/>
      <c r="BE592" s="26"/>
      <c r="BF592" s="26"/>
      <c r="BG592" s="26"/>
      <c r="BH592" s="26" t="s">
        <v>24533</v>
      </c>
      <c r="BI592" s="26"/>
      <c r="BJ592" s="26"/>
      <c r="BK592" s="26"/>
      <c r="BL592" s="26"/>
      <c r="BM592" s="26"/>
      <c r="BN592" s="26"/>
      <c r="BO592" s="26"/>
      <c r="BP592" s="16" t="n">
        <v>45727</v>
      </c>
      <c r="BQ592" s="28" t="str">
        <f>HYPERLINK("https://organic.ams.usda.gov/Integrity/Certificate.aspx?cid=66&amp;nopid=5500006325")</f>
        <v>https://organic.ams.usda.gov/Integrity/Certificate.aspx?cid=66&amp;nopid=5500006325</v>
      </c>
    </row>
    <row r="593">
      <c r="A593" t="s">
        <v>3</v>
      </c>
      <c r="B593" s="6" t="s">
        <v>21</v>
      </c>
      <c r="C593" s="6" t="s">
        <v>87</v>
      </c>
      <c r="D593" s="6" t="s">
        <v>152</v>
      </c>
      <c r="E593" s="10" t="s">
        <v>791</v>
      </c>
      <c r="F593" s="6" t="s">
        <v>3044</v>
      </c>
      <c r="G593" s="6" t="s">
        <v>4729</v>
      </c>
      <c r="H593" s="6" t="s">
        <v>5433</v>
      </c>
      <c r="I593" s="6" t="s">
        <v>7313</v>
      </c>
      <c r="J593" s="6" t="s">
        <v>8576</v>
      </c>
      <c r="K593" s="6" t="s">
        <v>9714</v>
      </c>
      <c r="L593" s="16" t="n">
        <v>40669</v>
      </c>
      <c r="M593" s="16" t="n">
        <v>46023</v>
      </c>
      <c r="N593" s="6" t="s">
        <v>104</v>
      </c>
      <c r="O593" s="21" t="s">
        <v>104</v>
      </c>
      <c r="P593" s="6" t="s">
        <v>104</v>
      </c>
      <c r="Q593" s="6" t="s">
        <v>104</v>
      </c>
      <c r="R593" s="6" t="s">
        <v>104</v>
      </c>
      <c r="S593" s="6" t="s">
        <v>104</v>
      </c>
      <c r="T593" s="21" t="s">
        <v>104</v>
      </c>
      <c r="U593" s="6" t="s">
        <v>104</v>
      </c>
      <c r="V593" s="6" t="s">
        <v>104</v>
      </c>
      <c r="W593" s="6" t="s">
        <v>104</v>
      </c>
      <c r="X593" s="6" t="s">
        <v>104</v>
      </c>
      <c r="Y593" s="21" t="s">
        <v>104</v>
      </c>
      <c r="Z593" s="6" t="s">
        <v>104</v>
      </c>
      <c r="AA593" s="6" t="s">
        <v>104</v>
      </c>
      <c r="AB593" s="6" t="s">
        <v>104</v>
      </c>
      <c r="AC593" s="6" t="s">
        <v>9714</v>
      </c>
      <c r="AD593" s="16" t="n">
        <v>40669</v>
      </c>
      <c r="AE593" s="6" t="s">
        <v>11051</v>
      </c>
      <c r="AF593" s="6" t="s">
        <v>104</v>
      </c>
      <c r="AG593" s="6" t="s">
        <v>104</v>
      </c>
      <c r="AH593" s="6" t="s">
        <v>13692</v>
      </c>
      <c r="AI593" s="6" t="s">
        <v>15257</v>
      </c>
      <c r="AJ593" s="6" t="s">
        <v>15747</v>
      </c>
      <c r="AK593" s="6" t="s">
        <v>16687</v>
      </c>
      <c r="AL593" s="6" t="s">
        <v>16931</v>
      </c>
      <c r="AM593" s="6" t="s">
        <v>17367</v>
      </c>
      <c r="AN593" s="6" t="s">
        <v>18487</v>
      </c>
      <c r="AO593" s="6" t="s">
        <v>18601</v>
      </c>
      <c r="AP593" s="6" t="s">
        <v>13692</v>
      </c>
      <c r="AQ593" s="6" t="s">
        <v>15257</v>
      </c>
      <c r="AR593" s="6" t="s">
        <v>15747</v>
      </c>
      <c r="AS593" s="6" t="s">
        <v>16687</v>
      </c>
      <c r="AT593" s="6" t="s">
        <v>16931</v>
      </c>
      <c r="AU593" s="6" t="s">
        <v>17367</v>
      </c>
      <c r="AV593" s="6" t="s">
        <v>104</v>
      </c>
      <c r="AW593" s="6" t="s">
        <v>104</v>
      </c>
      <c r="AX593" s="6" t="s">
        <v>20563</v>
      </c>
      <c r="AY593" s="6" t="s">
        <v>22338</v>
      </c>
      <c r="AZ593" s="6" t="s">
        <v>23825</v>
      </c>
      <c r="BA593" s="6" t="s">
        <v>24344</v>
      </c>
      <c r="BB593" s="6" t="s">
        <v>104</v>
      </c>
      <c r="BC593" s="26"/>
      <c r="BD593" s="26"/>
      <c r="BE593" s="26"/>
      <c r="BF593" s="26"/>
      <c r="BG593" s="26"/>
      <c r="BH593" s="26"/>
      <c r="BI593" s="26"/>
      <c r="BJ593" s="26"/>
      <c r="BK593" s="26"/>
      <c r="BL593" s="26"/>
      <c r="BM593" s="26"/>
      <c r="BN593" s="26"/>
      <c r="BO593" s="26"/>
      <c r="BP593" s="16" t="n">
        <v>45667</v>
      </c>
      <c r="BQ593" s="28" t="str">
        <f>HYPERLINK("https://organic.ams.usda.gov/Integrity/Certificate.aspx?cid=15&amp;nopid=5561001664")</f>
        <v>https://organic.ams.usda.gov/Integrity/Certificate.aspx?cid=15&amp;nopid=5561001664</v>
      </c>
    </row>
    <row r="594">
      <c r="A594" t="s">
        <v>3</v>
      </c>
      <c r="B594" s="6" t="s">
        <v>21</v>
      </c>
      <c r="C594" s="6" t="s">
        <v>87</v>
      </c>
      <c r="D594" s="6" t="s">
        <v>152</v>
      </c>
      <c r="E594" s="10" t="s">
        <v>792</v>
      </c>
      <c r="F594" s="6" t="s">
        <v>3045</v>
      </c>
      <c r="G594" s="6" t="s">
        <v>4730</v>
      </c>
      <c r="H594" s="6" t="s">
        <v>5434</v>
      </c>
      <c r="I594" s="6" t="s">
        <v>7314</v>
      </c>
      <c r="J594" s="6" t="s">
        <v>8577</v>
      </c>
      <c r="K594" s="6" t="s">
        <v>9714</v>
      </c>
      <c r="L594" s="16" t="n">
        <v>45321</v>
      </c>
      <c r="M594" s="16" t="n">
        <v>46023</v>
      </c>
      <c r="N594" s="6" t="s">
        <v>104</v>
      </c>
      <c r="O594" s="21" t="s">
        <v>104</v>
      </c>
      <c r="P594" s="6" t="s">
        <v>104</v>
      </c>
      <c r="Q594" s="6" t="s">
        <v>104</v>
      </c>
      <c r="R594" s="6" t="s">
        <v>104</v>
      </c>
      <c r="S594" s="6" t="s">
        <v>104</v>
      </c>
      <c r="T594" s="21" t="s">
        <v>104</v>
      </c>
      <c r="U594" s="6" t="s">
        <v>104</v>
      </c>
      <c r="V594" s="6" t="s">
        <v>104</v>
      </c>
      <c r="W594" s="6" t="s">
        <v>104</v>
      </c>
      <c r="X594" s="6" t="s">
        <v>104</v>
      </c>
      <c r="Y594" s="21" t="s">
        <v>104</v>
      </c>
      <c r="Z594" s="6" t="s">
        <v>104</v>
      </c>
      <c r="AA594" s="6" t="s">
        <v>104</v>
      </c>
      <c r="AB594" s="6" t="s">
        <v>104</v>
      </c>
      <c r="AC594" s="6" t="s">
        <v>9714</v>
      </c>
      <c r="AD594" s="16" t="n">
        <v>45321</v>
      </c>
      <c r="AE594" s="6" t="s">
        <v>11052</v>
      </c>
      <c r="AF594" s="6" t="s">
        <v>104</v>
      </c>
      <c r="AG594" s="6" t="s">
        <v>104</v>
      </c>
      <c r="AH594" s="6" t="s">
        <v>104</v>
      </c>
      <c r="AI594" s="6" t="s">
        <v>104</v>
      </c>
      <c r="AJ594" s="6" t="s">
        <v>104</v>
      </c>
      <c r="AK594" s="6" t="s">
        <v>104</v>
      </c>
      <c r="AL594" s="6" t="s">
        <v>104</v>
      </c>
      <c r="AM594" s="6" t="s">
        <v>104</v>
      </c>
      <c r="AN594" s="6" t="s">
        <v>104</v>
      </c>
      <c r="AO594" s="6" t="s">
        <v>104</v>
      </c>
      <c r="AP594" s="6" t="s">
        <v>19097</v>
      </c>
      <c r="AQ594" s="6" t="s">
        <v>104</v>
      </c>
      <c r="AR594" s="6" t="s">
        <v>15586</v>
      </c>
      <c r="AS594" s="6" t="s">
        <v>16206</v>
      </c>
      <c r="AT594" s="6" t="s">
        <v>16958</v>
      </c>
      <c r="AU594" s="6" t="s">
        <v>19870</v>
      </c>
      <c r="AV594" s="6" t="s">
        <v>104</v>
      </c>
      <c r="AW594" s="6" t="s">
        <v>104</v>
      </c>
      <c r="AX594" s="6" t="s">
        <v>20564</v>
      </c>
      <c r="AY594" s="6" t="s">
        <v>22339</v>
      </c>
      <c r="AZ594" s="6" t="s">
        <v>23826</v>
      </c>
      <c r="BA594" s="6" t="s">
        <v>104</v>
      </c>
      <c r="BB594" s="6" t="s">
        <v>104</v>
      </c>
      <c r="BC594" s="26"/>
      <c r="BD594" s="26"/>
      <c r="BE594" s="26"/>
      <c r="BF594" s="26"/>
      <c r="BG594" s="26"/>
      <c r="BH594" s="26"/>
      <c r="BI594" s="26"/>
      <c r="BJ594" s="26"/>
      <c r="BK594" s="26"/>
      <c r="BL594" s="26"/>
      <c r="BM594" s="26"/>
      <c r="BN594" s="26"/>
      <c r="BO594" s="26"/>
      <c r="BP594" s="16" t="n">
        <v>45667</v>
      </c>
      <c r="BQ594" s="28" t="str">
        <f>HYPERLINK("https://organic.ams.usda.gov/Integrity/Certificate.aspx?cid=15&amp;nopid=5561008081")</f>
        <v>https://organic.ams.usda.gov/Integrity/Certificate.aspx?cid=15&amp;nopid=5561008081</v>
      </c>
    </row>
    <row r="595">
      <c r="A595" t="s">
        <v>3</v>
      </c>
      <c r="B595" s="6" t="s">
        <v>31</v>
      </c>
      <c r="C595" s="6" t="s">
        <v>97</v>
      </c>
      <c r="D595" s="6" t="s">
        <v>162</v>
      </c>
      <c r="E595" s="10" t="s">
        <v>793</v>
      </c>
      <c r="F595" s="6" t="s">
        <v>3046</v>
      </c>
      <c r="G595" s="6" t="s">
        <v>104</v>
      </c>
      <c r="H595" s="6" t="s">
        <v>5435</v>
      </c>
      <c r="I595" s="6" t="s">
        <v>7315</v>
      </c>
      <c r="J595" s="6" t="s">
        <v>8578</v>
      </c>
      <c r="K595" s="6" t="s">
        <v>9714</v>
      </c>
      <c r="L595" s="16" t="n">
        <v>45167</v>
      </c>
      <c r="M595" s="16" t="n">
        <v>45898</v>
      </c>
      <c r="N595" s="6" t="s">
        <v>104</v>
      </c>
      <c r="O595" s="21" t="s">
        <v>104</v>
      </c>
      <c r="P595" s="6" t="s">
        <v>104</v>
      </c>
      <c r="Q595" s="6" t="s">
        <v>104</v>
      </c>
      <c r="R595" s="6" t="s">
        <v>104</v>
      </c>
      <c r="S595" s="6" t="s">
        <v>104</v>
      </c>
      <c r="T595" s="21" t="s">
        <v>104</v>
      </c>
      <c r="U595" s="6" t="s">
        <v>104</v>
      </c>
      <c r="V595" s="6" t="s">
        <v>104</v>
      </c>
      <c r="W595" s="6" t="s">
        <v>104</v>
      </c>
      <c r="X595" s="6" t="s">
        <v>104</v>
      </c>
      <c r="Y595" s="21" t="s">
        <v>104</v>
      </c>
      <c r="Z595" s="6" t="s">
        <v>104</v>
      </c>
      <c r="AA595" s="6" t="s">
        <v>104</v>
      </c>
      <c r="AB595" s="6" t="s">
        <v>104</v>
      </c>
      <c r="AC595" s="6" t="s">
        <v>9714</v>
      </c>
      <c r="AD595" s="16" t="n">
        <v>45167</v>
      </c>
      <c r="AE595" s="6" t="s">
        <v>11053</v>
      </c>
      <c r="AF595" s="6" t="s">
        <v>104</v>
      </c>
      <c r="AG595" s="6" t="s">
        <v>12677</v>
      </c>
      <c r="AH595" s="6" t="s">
        <v>13693</v>
      </c>
      <c r="AI595" s="6" t="s">
        <v>104</v>
      </c>
      <c r="AJ595" s="6" t="s">
        <v>15748</v>
      </c>
      <c r="AK595" s="6" t="s">
        <v>104</v>
      </c>
      <c r="AL595" s="6" t="s">
        <v>16898</v>
      </c>
      <c r="AM595" s="6" t="s">
        <v>17368</v>
      </c>
      <c r="AN595" s="6" t="s">
        <v>104</v>
      </c>
      <c r="AO595" s="6" t="s">
        <v>104</v>
      </c>
      <c r="AP595" s="6" t="s">
        <v>13693</v>
      </c>
      <c r="AQ595" s="6" t="s">
        <v>104</v>
      </c>
      <c r="AR595" s="6" t="s">
        <v>15748</v>
      </c>
      <c r="AS595" s="6" t="s">
        <v>104</v>
      </c>
      <c r="AT595" s="6" t="s">
        <v>16898</v>
      </c>
      <c r="AU595" s="6" t="s">
        <v>17368</v>
      </c>
      <c r="AV595" s="6" t="s">
        <v>104</v>
      </c>
      <c r="AW595" s="6" t="s">
        <v>104</v>
      </c>
      <c r="AX595" s="6" t="s">
        <v>20565</v>
      </c>
      <c r="AY595" s="6" t="s">
        <v>22340</v>
      </c>
      <c r="AZ595" s="6" t="s">
        <v>104</v>
      </c>
      <c r="BA595" s="6" t="s">
        <v>104</v>
      </c>
      <c r="BB595" s="6" t="s">
        <v>104</v>
      </c>
      <c r="BC595" s="26"/>
      <c r="BD595" s="26"/>
      <c r="BE595" s="26"/>
      <c r="BF595" s="26"/>
      <c r="BG595" s="26"/>
      <c r="BH595" s="26"/>
      <c r="BI595" s="26"/>
      <c r="BJ595" s="26"/>
      <c r="BK595" s="26"/>
      <c r="BL595" s="26"/>
      <c r="BM595" s="26"/>
      <c r="BN595" s="26"/>
      <c r="BO595" s="26"/>
      <c r="BP595" s="16" t="n">
        <v>45541</v>
      </c>
      <c r="BQ595" s="28" t="str">
        <f>HYPERLINK("https://organic.ams.usda.gov/Integrity/Certificate.aspx?cid=43&amp;nopid=3532023666")</f>
        <v>https://organic.ams.usda.gov/Integrity/Certificate.aspx?cid=43&amp;nopid=3532023666</v>
      </c>
    </row>
    <row r="596">
      <c r="A596" t="s">
        <v>3</v>
      </c>
      <c r="B596" s="6" t="s">
        <v>31</v>
      </c>
      <c r="C596" s="6" t="s">
        <v>97</v>
      </c>
      <c r="D596" s="6" t="s">
        <v>162</v>
      </c>
      <c r="E596" s="10" t="s">
        <v>794</v>
      </c>
      <c r="F596" s="6" t="s">
        <v>3047</v>
      </c>
      <c r="G596" s="6" t="s">
        <v>104</v>
      </c>
      <c r="H596" s="6" t="s">
        <v>5436</v>
      </c>
      <c r="I596" s="6" t="s">
        <v>104</v>
      </c>
      <c r="J596" s="6" t="s">
        <v>104</v>
      </c>
      <c r="K596" s="6" t="s">
        <v>9714</v>
      </c>
      <c r="L596" s="16" t="n">
        <v>43879</v>
      </c>
      <c r="M596" s="16" t="n">
        <v>45339</v>
      </c>
      <c r="N596" s="6" t="s">
        <v>9714</v>
      </c>
      <c r="O596" s="16" t="n">
        <v>43879</v>
      </c>
      <c r="P596" s="6" t="s">
        <v>9889</v>
      </c>
      <c r="Q596" s="6" t="s">
        <v>104</v>
      </c>
      <c r="R596" s="6" t="s">
        <v>10343</v>
      </c>
      <c r="S596" s="6" t="s">
        <v>104</v>
      </c>
      <c r="T596" s="21" t="s">
        <v>104</v>
      </c>
      <c r="U596" s="6" t="s">
        <v>104</v>
      </c>
      <c r="V596" s="6" t="s">
        <v>104</v>
      </c>
      <c r="W596" s="6" t="s">
        <v>104</v>
      </c>
      <c r="X596" s="6" t="s">
        <v>104</v>
      </c>
      <c r="Y596" s="21" t="s">
        <v>104</v>
      </c>
      <c r="Z596" s="6" t="s">
        <v>104</v>
      </c>
      <c r="AA596" s="6" t="s">
        <v>104</v>
      </c>
      <c r="AB596" s="6" t="s">
        <v>104</v>
      </c>
      <c r="AC596" s="6" t="s">
        <v>9714</v>
      </c>
      <c r="AD596" s="16" t="n">
        <v>43879</v>
      </c>
      <c r="AE596" s="6" t="s">
        <v>11054</v>
      </c>
      <c r="AF596" s="6" t="s">
        <v>104</v>
      </c>
      <c r="AG596" s="6" t="s">
        <v>10343</v>
      </c>
      <c r="AH596" s="6" t="s">
        <v>13694</v>
      </c>
      <c r="AI596" s="6" t="s">
        <v>104</v>
      </c>
      <c r="AJ596" s="6" t="s">
        <v>15749</v>
      </c>
      <c r="AK596" s="6" t="s">
        <v>16080</v>
      </c>
      <c r="AL596" s="6" t="s">
        <v>16943</v>
      </c>
      <c r="AM596" s="6" t="s">
        <v>104</v>
      </c>
      <c r="AN596" s="6" t="s">
        <v>104</v>
      </c>
      <c r="AO596" s="6" t="s">
        <v>104</v>
      </c>
      <c r="AP596" s="6" t="s">
        <v>13694</v>
      </c>
      <c r="AQ596" s="6" t="s">
        <v>104</v>
      </c>
      <c r="AR596" s="6" t="s">
        <v>15749</v>
      </c>
      <c r="AS596" s="6" t="s">
        <v>16080</v>
      </c>
      <c r="AT596" s="6" t="s">
        <v>16943</v>
      </c>
      <c r="AU596" s="6" t="s">
        <v>104</v>
      </c>
      <c r="AV596" s="6" t="s">
        <v>104</v>
      </c>
      <c r="AW596" s="6" t="s">
        <v>104</v>
      </c>
      <c r="AX596" s="6" t="s">
        <v>104</v>
      </c>
      <c r="AY596" s="6" t="s">
        <v>104</v>
      </c>
      <c r="AZ596" s="6" t="s">
        <v>104</v>
      </c>
      <c r="BA596" s="6" t="s">
        <v>104</v>
      </c>
      <c r="BB596" s="24" t="n">
        <v>185</v>
      </c>
      <c r="BC596" s="26"/>
      <c r="BD596" s="26"/>
      <c r="BE596" s="26"/>
      <c r="BF596" s="26"/>
      <c r="BG596" s="26"/>
      <c r="BH596" s="26"/>
      <c r="BI596" s="26"/>
      <c r="BJ596" s="26"/>
      <c r="BK596" s="26"/>
      <c r="BL596" s="26"/>
      <c r="BM596" s="26"/>
      <c r="BN596" s="26"/>
      <c r="BO596" s="26"/>
      <c r="BP596" s="16" t="n">
        <v>45365</v>
      </c>
      <c r="BQ596" s="28" t="str">
        <f>HYPERLINK("https://organic.ams.usda.gov/Integrity/Certificate.aspx?cid=43&amp;nopid=3532020137")</f>
        <v>https://organic.ams.usda.gov/Integrity/Certificate.aspx?cid=43&amp;nopid=3532020137</v>
      </c>
    </row>
    <row r="597">
      <c r="A597" t="s">
        <v>3</v>
      </c>
      <c r="B597" s="6" t="s">
        <v>6</v>
      </c>
      <c r="C597" s="6" t="s">
        <v>72</v>
      </c>
      <c r="D597" s="6" t="s">
        <v>137</v>
      </c>
      <c r="E597" s="10" t="s">
        <v>795</v>
      </c>
      <c r="F597" s="6" t="s">
        <v>3048</v>
      </c>
      <c r="G597" s="6" t="s">
        <v>104</v>
      </c>
      <c r="H597" s="6" t="s">
        <v>5437</v>
      </c>
      <c r="I597" s="6" t="s">
        <v>7316</v>
      </c>
      <c r="J597" s="6" t="s">
        <v>8579</v>
      </c>
      <c r="K597" s="6" t="s">
        <v>9714</v>
      </c>
      <c r="L597" s="16" t="n">
        <v>45420</v>
      </c>
      <c r="M597" s="16" t="n">
        <v>45614</v>
      </c>
      <c r="N597" s="6" t="s">
        <v>104</v>
      </c>
      <c r="O597" s="21" t="s">
        <v>104</v>
      </c>
      <c r="P597" s="6" t="s">
        <v>104</v>
      </c>
      <c r="Q597" s="6" t="s">
        <v>104</v>
      </c>
      <c r="R597" s="6" t="s">
        <v>104</v>
      </c>
      <c r="S597" s="6" t="s">
        <v>104</v>
      </c>
      <c r="T597" s="21" t="s">
        <v>104</v>
      </c>
      <c r="U597" s="6" t="s">
        <v>104</v>
      </c>
      <c r="V597" s="6" t="s">
        <v>104</v>
      </c>
      <c r="W597" s="6" t="s">
        <v>104</v>
      </c>
      <c r="X597" s="6" t="s">
        <v>104</v>
      </c>
      <c r="Y597" s="21" t="s">
        <v>104</v>
      </c>
      <c r="Z597" s="6" t="s">
        <v>104</v>
      </c>
      <c r="AA597" s="6" t="s">
        <v>104</v>
      </c>
      <c r="AB597" s="6" t="s">
        <v>104</v>
      </c>
      <c r="AC597" s="6" t="s">
        <v>9714</v>
      </c>
      <c r="AD597" s="16" t="n">
        <v>45420</v>
      </c>
      <c r="AE597" s="6" t="s">
        <v>11055</v>
      </c>
      <c r="AF597" s="6" t="s">
        <v>104</v>
      </c>
      <c r="AG597" s="6" t="s">
        <v>104</v>
      </c>
      <c r="AH597" s="6" t="s">
        <v>13695</v>
      </c>
      <c r="AI597" s="6" t="s">
        <v>104</v>
      </c>
      <c r="AJ597" s="6" t="s">
        <v>15750</v>
      </c>
      <c r="AK597" s="6" t="s">
        <v>16788</v>
      </c>
      <c r="AL597" s="6" t="s">
        <v>16932</v>
      </c>
      <c r="AM597" s="6" t="s">
        <v>17369</v>
      </c>
      <c r="AN597" s="6" t="s">
        <v>104</v>
      </c>
      <c r="AO597" s="6" t="s">
        <v>104</v>
      </c>
      <c r="AP597" s="6" t="s">
        <v>104</v>
      </c>
      <c r="AQ597" s="6" t="s">
        <v>104</v>
      </c>
      <c r="AR597" s="6" t="s">
        <v>104</v>
      </c>
      <c r="AS597" s="6" t="s">
        <v>104</v>
      </c>
      <c r="AT597" s="6" t="s">
        <v>104</v>
      </c>
      <c r="AU597" s="6" t="s">
        <v>104</v>
      </c>
      <c r="AV597" s="6" t="s">
        <v>104</v>
      </c>
      <c r="AW597" s="6" t="s">
        <v>104</v>
      </c>
      <c r="AX597" s="6" t="s">
        <v>20566</v>
      </c>
      <c r="AY597" s="6" t="s">
        <v>22341</v>
      </c>
      <c r="AZ597" s="6" t="s">
        <v>104</v>
      </c>
      <c r="BA597" s="6" t="s">
        <v>104</v>
      </c>
      <c r="BB597" s="6" t="s">
        <v>104</v>
      </c>
      <c r="BC597" s="26"/>
      <c r="BD597" s="26"/>
      <c r="BE597" s="26"/>
      <c r="BF597" s="26"/>
      <c r="BG597" s="26"/>
      <c r="BH597" s="26"/>
      <c r="BI597" s="26"/>
      <c r="BJ597" s="26"/>
      <c r="BK597" s="26"/>
      <c r="BL597" s="26"/>
      <c r="BM597" s="26"/>
      <c r="BN597" s="26"/>
      <c r="BO597" s="26"/>
      <c r="BP597" s="16" t="n">
        <v>45737</v>
      </c>
      <c r="BQ597" s="28" t="str">
        <f>HYPERLINK("https://organic.ams.usda.gov/Integrity/Certificate.aspx?cid=32&amp;nopid=2230010971")</f>
        <v>https://organic.ams.usda.gov/Integrity/Certificate.aspx?cid=32&amp;nopid=2230010971</v>
      </c>
    </row>
    <row r="598">
      <c r="A598" t="s">
        <v>3</v>
      </c>
      <c r="B598" s="6" t="s">
        <v>20</v>
      </c>
      <c r="C598" s="6" t="s">
        <v>86</v>
      </c>
      <c r="D598" s="6" t="s">
        <v>151</v>
      </c>
      <c r="E598" s="10" t="s">
        <v>796</v>
      </c>
      <c r="F598" s="6" t="s">
        <v>3049</v>
      </c>
      <c r="G598" s="6" t="s">
        <v>104</v>
      </c>
      <c r="H598" s="6" t="s">
        <v>5438</v>
      </c>
      <c r="I598" s="6" t="s">
        <v>7317</v>
      </c>
      <c r="J598" s="6" t="s">
        <v>7281</v>
      </c>
      <c r="K598" s="6" t="s">
        <v>9714</v>
      </c>
      <c r="L598" s="16" t="n">
        <v>42282</v>
      </c>
      <c r="M598" s="16" t="n">
        <v>45930</v>
      </c>
      <c r="N598" s="6" t="s">
        <v>104</v>
      </c>
      <c r="O598" s="21" t="s">
        <v>104</v>
      </c>
      <c r="P598" s="6" t="s">
        <v>104</v>
      </c>
      <c r="Q598" s="6" t="s">
        <v>104</v>
      </c>
      <c r="R598" s="6" t="s">
        <v>104</v>
      </c>
      <c r="S598" s="6" t="s">
        <v>104</v>
      </c>
      <c r="T598" s="21" t="s">
        <v>104</v>
      </c>
      <c r="U598" s="6" t="s">
        <v>104</v>
      </c>
      <c r="V598" s="6" t="s">
        <v>104</v>
      </c>
      <c r="W598" s="6" t="s">
        <v>104</v>
      </c>
      <c r="X598" s="6" t="s">
        <v>104</v>
      </c>
      <c r="Y598" s="21" t="s">
        <v>104</v>
      </c>
      <c r="Z598" s="6" t="s">
        <v>104</v>
      </c>
      <c r="AA598" s="6" t="s">
        <v>104</v>
      </c>
      <c r="AB598" s="6" t="s">
        <v>104</v>
      </c>
      <c r="AC598" s="6" t="s">
        <v>9714</v>
      </c>
      <c r="AD598" s="16" t="n">
        <v>42282</v>
      </c>
      <c r="AE598" s="6" t="s">
        <v>11056</v>
      </c>
      <c r="AF598" s="6" t="s">
        <v>104</v>
      </c>
      <c r="AG598" s="6" t="s">
        <v>12678</v>
      </c>
      <c r="AH598" s="6" t="s">
        <v>13696</v>
      </c>
      <c r="AI598" s="6" t="s">
        <v>104</v>
      </c>
      <c r="AJ598" s="6" t="s">
        <v>15751</v>
      </c>
      <c r="AK598" s="6" t="s">
        <v>16789</v>
      </c>
      <c r="AL598" s="6" t="s">
        <v>16766</v>
      </c>
      <c r="AM598" s="6" t="s">
        <v>17370</v>
      </c>
      <c r="AN598" s="6" t="s">
        <v>104</v>
      </c>
      <c r="AO598" s="6" t="s">
        <v>104</v>
      </c>
      <c r="AP598" s="6" t="s">
        <v>104</v>
      </c>
      <c r="AQ598" s="6" t="s">
        <v>104</v>
      </c>
      <c r="AR598" s="6" t="s">
        <v>104</v>
      </c>
      <c r="AS598" s="6" t="s">
        <v>104</v>
      </c>
      <c r="AT598" s="6" t="s">
        <v>104</v>
      </c>
      <c r="AU598" s="6" t="s">
        <v>104</v>
      </c>
      <c r="AV598" s="6" t="s">
        <v>104</v>
      </c>
      <c r="AW598" s="6" t="s">
        <v>104</v>
      </c>
      <c r="AX598" s="6" t="s">
        <v>20567</v>
      </c>
      <c r="AY598" s="6" t="s">
        <v>22342</v>
      </c>
      <c r="AZ598" s="6" t="s">
        <v>104</v>
      </c>
      <c r="BA598" s="6" t="s">
        <v>104</v>
      </c>
      <c r="BB598" s="6" t="s">
        <v>104</v>
      </c>
      <c r="BC598" s="26"/>
      <c r="BD598" s="26"/>
      <c r="BE598" s="26"/>
      <c r="BF598" s="26"/>
      <c r="BG598" s="26"/>
      <c r="BH598" s="26"/>
      <c r="BI598" s="26"/>
      <c r="BJ598" s="26"/>
      <c r="BK598" s="26"/>
      <c r="BL598" s="26"/>
      <c r="BM598" s="26"/>
      <c r="BN598" s="26"/>
      <c r="BO598" s="26"/>
      <c r="BP598" s="16" t="n">
        <v>45553</v>
      </c>
      <c r="BQ598" s="28" t="str">
        <f>HYPERLINK("https://organic.ams.usda.gov/Integrity/Certificate.aspx?cid=17&amp;nopid=4080800264")</f>
        <v>https://organic.ams.usda.gov/Integrity/Certificate.aspx?cid=17&amp;nopid=4080800264</v>
      </c>
    </row>
    <row r="599">
      <c r="A599" t="s">
        <v>3</v>
      </c>
      <c r="B599" s="6" t="s">
        <v>18</v>
      </c>
      <c r="C599" s="6" t="s">
        <v>84</v>
      </c>
      <c r="D599" s="6" t="s">
        <v>149</v>
      </c>
      <c r="E599" s="10" t="s">
        <v>797</v>
      </c>
      <c r="F599" s="6" t="s">
        <v>3050</v>
      </c>
      <c r="G599" s="6" t="s">
        <v>104</v>
      </c>
      <c r="H599" s="6" t="s">
        <v>5439</v>
      </c>
      <c r="I599" s="6" t="s">
        <v>7318</v>
      </c>
      <c r="J599" s="6" t="s">
        <v>8580</v>
      </c>
      <c r="K599" s="6" t="s">
        <v>9714</v>
      </c>
      <c r="L599" s="16" t="n">
        <v>45726</v>
      </c>
      <c r="M599" s="16" t="n">
        <v>46091</v>
      </c>
      <c r="N599" s="6" t="s">
        <v>104</v>
      </c>
      <c r="O599" s="21" t="s">
        <v>104</v>
      </c>
      <c r="P599" s="6" t="s">
        <v>104</v>
      </c>
      <c r="Q599" s="6" t="s">
        <v>104</v>
      </c>
      <c r="R599" s="6" t="s">
        <v>104</v>
      </c>
      <c r="S599" s="6" t="s">
        <v>104</v>
      </c>
      <c r="T599" s="21" t="s">
        <v>104</v>
      </c>
      <c r="U599" s="6" t="s">
        <v>104</v>
      </c>
      <c r="V599" s="6" t="s">
        <v>104</v>
      </c>
      <c r="W599" s="6" t="s">
        <v>104</v>
      </c>
      <c r="X599" s="6" t="s">
        <v>104</v>
      </c>
      <c r="Y599" s="21" t="s">
        <v>104</v>
      </c>
      <c r="Z599" s="6" t="s">
        <v>104</v>
      </c>
      <c r="AA599" s="6" t="s">
        <v>104</v>
      </c>
      <c r="AB599" s="6" t="s">
        <v>104</v>
      </c>
      <c r="AC599" s="6" t="s">
        <v>9714</v>
      </c>
      <c r="AD599" s="16" t="n">
        <v>45726</v>
      </c>
      <c r="AE599" s="6" t="s">
        <v>11057</v>
      </c>
      <c r="AF599" s="6" t="s">
        <v>104</v>
      </c>
      <c r="AG599" s="6" t="s">
        <v>12679</v>
      </c>
      <c r="AH599" s="6" t="s">
        <v>13697</v>
      </c>
      <c r="AI599" s="6" t="s">
        <v>104</v>
      </c>
      <c r="AJ599" s="6" t="s">
        <v>15752</v>
      </c>
      <c r="AK599" s="6" t="s">
        <v>16738</v>
      </c>
      <c r="AL599" s="6" t="s">
        <v>16931</v>
      </c>
      <c r="AM599" s="6" t="s">
        <v>17371</v>
      </c>
      <c r="AN599" s="6" t="s">
        <v>104</v>
      </c>
      <c r="AO599" s="6" t="s">
        <v>104</v>
      </c>
      <c r="AP599" s="6" t="s">
        <v>19098</v>
      </c>
      <c r="AQ599" s="6" t="s">
        <v>104</v>
      </c>
      <c r="AR599" s="6" t="s">
        <v>19642</v>
      </c>
      <c r="AS599" s="6" t="s">
        <v>16738</v>
      </c>
      <c r="AT599" s="6" t="s">
        <v>16931</v>
      </c>
      <c r="AU599" s="6" t="s">
        <v>19871</v>
      </c>
      <c r="AV599" s="6" t="s">
        <v>104</v>
      </c>
      <c r="AW599" s="6" t="s">
        <v>104</v>
      </c>
      <c r="AX599" s="6" t="s">
        <v>20568</v>
      </c>
      <c r="AY599" s="6" t="s">
        <v>22343</v>
      </c>
      <c r="AZ599" s="6" t="s">
        <v>104</v>
      </c>
      <c r="BA599" s="6" t="s">
        <v>104</v>
      </c>
      <c r="BB599" s="6" t="s">
        <v>104</v>
      </c>
      <c r="BC599" s="26"/>
      <c r="BD599" s="26"/>
      <c r="BE599" s="26"/>
      <c r="BF599" s="26"/>
      <c r="BG599" s="26"/>
      <c r="BH599" s="26"/>
      <c r="BI599" s="26"/>
      <c r="BJ599" s="26"/>
      <c r="BK599" s="26"/>
      <c r="BL599" s="26"/>
      <c r="BM599" s="26"/>
      <c r="BN599" s="26"/>
      <c r="BO599" s="26"/>
      <c r="BP599" s="16" t="n">
        <v>45737</v>
      </c>
      <c r="BQ599" s="28" t="str">
        <f>HYPERLINK("https://organic.ams.usda.gov/Integrity/Certificate.aspx?cid=31&amp;nopid=3928972505")</f>
        <v>https://organic.ams.usda.gov/Integrity/Certificate.aspx?cid=31&amp;nopid=3928972505</v>
      </c>
    </row>
    <row r="600">
      <c r="A600" t="s">
        <v>3</v>
      </c>
      <c r="B600" s="6" t="s">
        <v>55</v>
      </c>
      <c r="C600" s="6" t="s">
        <v>121</v>
      </c>
      <c r="D600" s="6" t="s">
        <v>185</v>
      </c>
      <c r="E600" s="10" t="s">
        <v>798</v>
      </c>
      <c r="F600" s="6" t="s">
        <v>3051</v>
      </c>
      <c r="G600" s="6" t="s">
        <v>104</v>
      </c>
      <c r="H600" s="6" t="s">
        <v>104</v>
      </c>
      <c r="I600" s="6" t="s">
        <v>7319</v>
      </c>
      <c r="J600" s="6" t="s">
        <v>8581</v>
      </c>
      <c r="K600" s="6" t="s">
        <v>9714</v>
      </c>
      <c r="L600" s="16" t="n">
        <v>44293</v>
      </c>
      <c r="M600" s="16" t="n">
        <v>45695</v>
      </c>
      <c r="N600" s="6" t="s">
        <v>104</v>
      </c>
      <c r="O600" s="21" t="s">
        <v>104</v>
      </c>
      <c r="P600" s="6" t="s">
        <v>104</v>
      </c>
      <c r="Q600" s="6" t="s">
        <v>104</v>
      </c>
      <c r="R600" s="6" t="s">
        <v>104</v>
      </c>
      <c r="S600" s="6" t="s">
        <v>104</v>
      </c>
      <c r="T600" s="21" t="s">
        <v>104</v>
      </c>
      <c r="U600" s="6" t="s">
        <v>104</v>
      </c>
      <c r="V600" s="6" t="s">
        <v>104</v>
      </c>
      <c r="W600" s="6" t="s">
        <v>104</v>
      </c>
      <c r="X600" s="6" t="s">
        <v>104</v>
      </c>
      <c r="Y600" s="21" t="s">
        <v>104</v>
      </c>
      <c r="Z600" s="6" t="s">
        <v>104</v>
      </c>
      <c r="AA600" s="6" t="s">
        <v>104</v>
      </c>
      <c r="AB600" s="6" t="s">
        <v>104</v>
      </c>
      <c r="AC600" s="6" t="s">
        <v>9714</v>
      </c>
      <c r="AD600" s="16" t="n">
        <v>44293</v>
      </c>
      <c r="AE600" s="6" t="s">
        <v>11058</v>
      </c>
      <c r="AF600" s="6" t="s">
        <v>104</v>
      </c>
      <c r="AG600" s="6" t="s">
        <v>104</v>
      </c>
      <c r="AH600" s="6" t="s">
        <v>13698</v>
      </c>
      <c r="AI600" s="6" t="s">
        <v>104</v>
      </c>
      <c r="AJ600" s="6" t="s">
        <v>15586</v>
      </c>
      <c r="AK600" s="6" t="s">
        <v>16206</v>
      </c>
      <c r="AL600" s="6" t="s">
        <v>16958</v>
      </c>
      <c r="AM600" s="6" t="s">
        <v>17372</v>
      </c>
      <c r="AN600" s="6" t="s">
        <v>104</v>
      </c>
      <c r="AO600" s="6" t="s">
        <v>104</v>
      </c>
      <c r="AP600" s="6" t="s">
        <v>13698</v>
      </c>
      <c r="AQ600" s="6" t="s">
        <v>104</v>
      </c>
      <c r="AR600" s="6" t="s">
        <v>15586</v>
      </c>
      <c r="AS600" s="6" t="s">
        <v>16206</v>
      </c>
      <c r="AT600" s="6" t="s">
        <v>16958</v>
      </c>
      <c r="AU600" s="6" t="s">
        <v>17372</v>
      </c>
      <c r="AV600" s="6" t="s">
        <v>104</v>
      </c>
      <c r="AW600" s="6" t="s">
        <v>104</v>
      </c>
      <c r="AX600" s="6" t="s">
        <v>20569</v>
      </c>
      <c r="AY600" s="6" t="s">
        <v>22344</v>
      </c>
      <c r="AZ600" s="6" t="s">
        <v>23827</v>
      </c>
      <c r="BA600" s="6" t="s">
        <v>104</v>
      </c>
      <c r="BB600" s="6" t="s">
        <v>104</v>
      </c>
      <c r="BC600" s="26"/>
      <c r="BD600" s="26"/>
      <c r="BE600" s="26"/>
      <c r="BF600" s="26"/>
      <c r="BG600" s="26"/>
      <c r="BH600" s="26" t="s">
        <v>24533</v>
      </c>
      <c r="BI600" s="26"/>
      <c r="BJ600" s="26"/>
      <c r="BK600" s="26"/>
      <c r="BL600" s="26"/>
      <c r="BM600" s="26"/>
      <c r="BN600" s="26"/>
      <c r="BO600" s="26"/>
      <c r="BP600" s="16" t="n">
        <v>45551</v>
      </c>
      <c r="BQ600" s="28" t="str">
        <f>HYPERLINK("https://organic.ams.usda.gov/Integrity/Certificate.aspx?cid=70&amp;nopid=6432117240")</f>
        <v>https://organic.ams.usda.gov/Integrity/Certificate.aspx?cid=70&amp;nopid=6432117240</v>
      </c>
    </row>
    <row r="601">
      <c r="A601" t="s">
        <v>3</v>
      </c>
      <c r="B601" s="6" t="s">
        <v>13</v>
      </c>
      <c r="C601" s="6" t="s">
        <v>79</v>
      </c>
      <c r="D601" s="6" t="s">
        <v>144</v>
      </c>
      <c r="E601" s="10" t="s">
        <v>799</v>
      </c>
      <c r="F601" s="6" t="s">
        <v>3052</v>
      </c>
      <c r="G601" s="6" t="s">
        <v>104</v>
      </c>
      <c r="H601" s="6" t="s">
        <v>5440</v>
      </c>
      <c r="I601" s="6" t="s">
        <v>6991</v>
      </c>
      <c r="J601" s="6" t="s">
        <v>8582</v>
      </c>
      <c r="K601" s="6" t="s">
        <v>9714</v>
      </c>
      <c r="L601" s="16" t="n">
        <v>41698</v>
      </c>
      <c r="M601" s="16" t="n">
        <v>46023</v>
      </c>
      <c r="N601" s="6" t="s">
        <v>104</v>
      </c>
      <c r="O601" s="21" t="s">
        <v>104</v>
      </c>
      <c r="P601" s="6" t="s">
        <v>104</v>
      </c>
      <c r="Q601" s="6" t="s">
        <v>104</v>
      </c>
      <c r="R601" s="6" t="s">
        <v>104</v>
      </c>
      <c r="S601" s="6" t="s">
        <v>104</v>
      </c>
      <c r="T601" s="21" t="s">
        <v>104</v>
      </c>
      <c r="U601" s="6" t="s">
        <v>104</v>
      </c>
      <c r="V601" s="6" t="s">
        <v>104</v>
      </c>
      <c r="W601" s="6" t="s">
        <v>104</v>
      </c>
      <c r="X601" s="6" t="s">
        <v>104</v>
      </c>
      <c r="Y601" s="21" t="s">
        <v>104</v>
      </c>
      <c r="Z601" s="6" t="s">
        <v>104</v>
      </c>
      <c r="AA601" s="6" t="s">
        <v>104</v>
      </c>
      <c r="AB601" s="6" t="s">
        <v>104</v>
      </c>
      <c r="AC601" s="6" t="s">
        <v>9714</v>
      </c>
      <c r="AD601" s="16" t="n">
        <v>41698</v>
      </c>
      <c r="AE601" s="6" t="s">
        <v>11059</v>
      </c>
      <c r="AF601" s="6" t="s">
        <v>104</v>
      </c>
      <c r="AG601" s="6" t="s">
        <v>104</v>
      </c>
      <c r="AH601" s="6" t="s">
        <v>104</v>
      </c>
      <c r="AI601" s="6" t="s">
        <v>104</v>
      </c>
      <c r="AJ601" s="6" t="s">
        <v>104</v>
      </c>
      <c r="AK601" s="6" t="s">
        <v>104</v>
      </c>
      <c r="AL601" s="6" t="s">
        <v>104</v>
      </c>
      <c r="AM601" s="6" t="s">
        <v>104</v>
      </c>
      <c r="AN601" s="6" t="s">
        <v>104</v>
      </c>
      <c r="AO601" s="6" t="s">
        <v>104</v>
      </c>
      <c r="AP601" s="6" t="s">
        <v>19099</v>
      </c>
      <c r="AQ601" s="6" t="s">
        <v>104</v>
      </c>
      <c r="AR601" s="6" t="s">
        <v>19643</v>
      </c>
      <c r="AS601" s="6" t="s">
        <v>16738</v>
      </c>
      <c r="AT601" s="6" t="s">
        <v>16931</v>
      </c>
      <c r="AU601" s="6" t="s">
        <v>19872</v>
      </c>
      <c r="AV601" s="6" t="s">
        <v>18515</v>
      </c>
      <c r="AW601" s="6" t="s">
        <v>18671</v>
      </c>
      <c r="AX601" s="6" t="s">
        <v>20570</v>
      </c>
      <c r="AY601" s="6" t="s">
        <v>22345</v>
      </c>
      <c r="AZ601" s="6" t="s">
        <v>104</v>
      </c>
      <c r="BA601" s="6" t="s">
        <v>104</v>
      </c>
      <c r="BB601" s="6" t="s">
        <v>104</v>
      </c>
      <c r="BC601" s="26"/>
      <c r="BD601" s="26"/>
      <c r="BE601" s="26"/>
      <c r="BF601" s="26"/>
      <c r="BG601" s="26" t="s">
        <v>24533</v>
      </c>
      <c r="BH601" s="26"/>
      <c r="BI601" s="26"/>
      <c r="BJ601" s="26"/>
      <c r="BK601" s="26"/>
      <c r="BL601" s="26"/>
      <c r="BM601" s="26"/>
      <c r="BN601" s="26"/>
      <c r="BO601" s="26"/>
      <c r="BP601" s="16" t="n">
        <v>45721</v>
      </c>
      <c r="BQ601" s="28" t="str">
        <f>HYPERLINK("https://organic.ams.usda.gov/Integrity/Certificate.aspx?cid=62&amp;nopid=8150000788")</f>
        <v>https://organic.ams.usda.gov/Integrity/Certificate.aspx?cid=62&amp;nopid=8150000788</v>
      </c>
    </row>
    <row r="602">
      <c r="A602" t="s">
        <v>3</v>
      </c>
      <c r="B602" s="6" t="s">
        <v>20</v>
      </c>
      <c r="C602" s="6" t="s">
        <v>86</v>
      </c>
      <c r="D602" s="6" t="s">
        <v>151</v>
      </c>
      <c r="E602" s="10" t="s">
        <v>800</v>
      </c>
      <c r="F602" s="6" t="s">
        <v>3053</v>
      </c>
      <c r="G602" s="6" t="s">
        <v>104</v>
      </c>
      <c r="H602" s="6" t="s">
        <v>5441</v>
      </c>
      <c r="I602" s="6" t="s">
        <v>7320</v>
      </c>
      <c r="J602" s="6" t="s">
        <v>8583</v>
      </c>
      <c r="K602" s="6" t="s">
        <v>9714</v>
      </c>
      <c r="L602" s="16" t="n">
        <v>45628</v>
      </c>
      <c r="M602" s="16" t="n">
        <v>45930</v>
      </c>
      <c r="N602" s="6" t="s">
        <v>104</v>
      </c>
      <c r="O602" s="21" t="s">
        <v>104</v>
      </c>
      <c r="P602" s="6" t="s">
        <v>104</v>
      </c>
      <c r="Q602" s="6" t="s">
        <v>104</v>
      </c>
      <c r="R602" s="6" t="s">
        <v>104</v>
      </c>
      <c r="S602" s="6" t="s">
        <v>104</v>
      </c>
      <c r="T602" s="21" t="s">
        <v>104</v>
      </c>
      <c r="U602" s="6" t="s">
        <v>104</v>
      </c>
      <c r="V602" s="6" t="s">
        <v>104</v>
      </c>
      <c r="W602" s="6" t="s">
        <v>104</v>
      </c>
      <c r="X602" s="6" t="s">
        <v>104</v>
      </c>
      <c r="Y602" s="21" t="s">
        <v>104</v>
      </c>
      <c r="Z602" s="6" t="s">
        <v>104</v>
      </c>
      <c r="AA602" s="6" t="s">
        <v>104</v>
      </c>
      <c r="AB602" s="6" t="s">
        <v>104</v>
      </c>
      <c r="AC602" s="6" t="s">
        <v>9714</v>
      </c>
      <c r="AD602" s="16" t="n">
        <v>45628</v>
      </c>
      <c r="AE602" s="6" t="s">
        <v>11060</v>
      </c>
      <c r="AF602" s="6" t="s">
        <v>104</v>
      </c>
      <c r="AG602" s="6" t="s">
        <v>12680</v>
      </c>
      <c r="AH602" s="6" t="s">
        <v>13699</v>
      </c>
      <c r="AI602" s="6" t="s">
        <v>104</v>
      </c>
      <c r="AJ602" s="6" t="s">
        <v>15394</v>
      </c>
      <c r="AK602" s="6" t="s">
        <v>15748</v>
      </c>
      <c r="AL602" s="6" t="s">
        <v>16898</v>
      </c>
      <c r="AM602" s="6" t="s">
        <v>17373</v>
      </c>
      <c r="AN602" s="6" t="s">
        <v>104</v>
      </c>
      <c r="AO602" s="6" t="s">
        <v>104</v>
      </c>
      <c r="AP602" s="6" t="s">
        <v>104</v>
      </c>
      <c r="AQ602" s="6" t="s">
        <v>104</v>
      </c>
      <c r="AR602" s="6" t="s">
        <v>104</v>
      </c>
      <c r="AS602" s="6" t="s">
        <v>104</v>
      </c>
      <c r="AT602" s="6" t="s">
        <v>104</v>
      </c>
      <c r="AU602" s="6" t="s">
        <v>104</v>
      </c>
      <c r="AV602" s="6" t="s">
        <v>104</v>
      </c>
      <c r="AW602" s="6" t="s">
        <v>104</v>
      </c>
      <c r="AX602" s="6" t="s">
        <v>20571</v>
      </c>
      <c r="AY602" s="6" t="s">
        <v>22346</v>
      </c>
      <c r="AZ602" s="6" t="s">
        <v>104</v>
      </c>
      <c r="BA602" s="6" t="s">
        <v>24345</v>
      </c>
      <c r="BB602" s="6" t="s">
        <v>104</v>
      </c>
      <c r="BC602" s="26"/>
      <c r="BD602" s="26"/>
      <c r="BE602" s="26"/>
      <c r="BF602" s="26"/>
      <c r="BG602" s="26"/>
      <c r="BH602" s="26"/>
      <c r="BI602" s="26"/>
      <c r="BJ602" s="26"/>
      <c r="BK602" s="26"/>
      <c r="BL602" s="26"/>
      <c r="BM602" s="26"/>
      <c r="BN602" s="26"/>
      <c r="BO602" s="26"/>
      <c r="BP602" s="16" t="n">
        <v>45632</v>
      </c>
      <c r="BQ602" s="28" t="str">
        <f>HYPERLINK("https://organic.ams.usda.gov/Integrity/Certificate.aspx?cid=17&amp;nopid=4080208358")</f>
        <v>https://organic.ams.usda.gov/Integrity/Certificate.aspx?cid=17&amp;nopid=4080208358</v>
      </c>
    </row>
    <row r="603">
      <c r="A603" t="s">
        <v>3</v>
      </c>
      <c r="B603" s="6" t="s">
        <v>21</v>
      </c>
      <c r="C603" s="6" t="s">
        <v>87</v>
      </c>
      <c r="D603" s="6" t="s">
        <v>152</v>
      </c>
      <c r="E603" s="10" t="s">
        <v>801</v>
      </c>
      <c r="F603" s="6" t="s">
        <v>3054</v>
      </c>
      <c r="G603" s="6" t="s">
        <v>4731</v>
      </c>
      <c r="H603" s="6" t="s">
        <v>5442</v>
      </c>
      <c r="I603" s="6" t="s">
        <v>6933</v>
      </c>
      <c r="J603" s="6" t="s">
        <v>8584</v>
      </c>
      <c r="K603" s="6" t="s">
        <v>9714</v>
      </c>
      <c r="L603" s="16" t="n">
        <v>36300</v>
      </c>
      <c r="M603" s="16" t="n">
        <v>46023</v>
      </c>
      <c r="N603" s="6" t="s">
        <v>9714</v>
      </c>
      <c r="O603" s="16" t="n">
        <v>36300</v>
      </c>
      <c r="P603" s="6" t="s">
        <v>9890</v>
      </c>
      <c r="Q603" s="6" t="s">
        <v>104</v>
      </c>
      <c r="R603" s="6" t="s">
        <v>104</v>
      </c>
      <c r="S603" s="6" t="s">
        <v>104</v>
      </c>
      <c r="T603" s="21" t="s">
        <v>104</v>
      </c>
      <c r="U603" s="6" t="s">
        <v>104</v>
      </c>
      <c r="V603" s="6" t="s">
        <v>104</v>
      </c>
      <c r="W603" s="6" t="s">
        <v>104</v>
      </c>
      <c r="X603" s="6" t="s">
        <v>104</v>
      </c>
      <c r="Y603" s="21" t="s">
        <v>104</v>
      </c>
      <c r="Z603" s="6" t="s">
        <v>104</v>
      </c>
      <c r="AA603" s="6" t="s">
        <v>104</v>
      </c>
      <c r="AB603" s="6" t="s">
        <v>104</v>
      </c>
      <c r="AC603" s="6" t="s">
        <v>104</v>
      </c>
      <c r="AD603" s="21" t="s">
        <v>104</v>
      </c>
      <c r="AE603" s="6" t="s">
        <v>104</v>
      </c>
      <c r="AF603" s="6" t="s">
        <v>104</v>
      </c>
      <c r="AG603" s="6" t="s">
        <v>104</v>
      </c>
      <c r="AH603" s="6" t="s">
        <v>13700</v>
      </c>
      <c r="AI603" s="6" t="s">
        <v>104</v>
      </c>
      <c r="AJ603" s="6" t="s">
        <v>15753</v>
      </c>
      <c r="AK603" s="6" t="s">
        <v>16687</v>
      </c>
      <c r="AL603" s="6" t="s">
        <v>16931</v>
      </c>
      <c r="AM603" s="6" t="s">
        <v>17374</v>
      </c>
      <c r="AN603" s="6" t="s">
        <v>18469</v>
      </c>
      <c r="AO603" s="6" t="s">
        <v>18677</v>
      </c>
      <c r="AP603" s="6" t="s">
        <v>19100</v>
      </c>
      <c r="AQ603" s="6" t="s">
        <v>104</v>
      </c>
      <c r="AR603" s="6" t="s">
        <v>15753</v>
      </c>
      <c r="AS603" s="6" t="s">
        <v>16687</v>
      </c>
      <c r="AT603" s="6" t="s">
        <v>16931</v>
      </c>
      <c r="AU603" s="6" t="s">
        <v>17374</v>
      </c>
      <c r="AV603" s="6" t="s">
        <v>104</v>
      </c>
      <c r="AW603" s="6" t="s">
        <v>104</v>
      </c>
      <c r="AX603" s="6" t="s">
        <v>20572</v>
      </c>
      <c r="AY603" s="6" t="s">
        <v>22347</v>
      </c>
      <c r="AZ603" s="6" t="s">
        <v>104</v>
      </c>
      <c r="BA603" s="6" t="s">
        <v>24263</v>
      </c>
      <c r="BB603" s="24" t="n">
        <v>644</v>
      </c>
      <c r="BC603" s="26"/>
      <c r="BD603" s="26"/>
      <c r="BE603" s="26"/>
      <c r="BF603" s="26"/>
      <c r="BG603" s="26"/>
      <c r="BH603" s="26"/>
      <c r="BI603" s="26"/>
      <c r="BJ603" s="26"/>
      <c r="BK603" s="26"/>
      <c r="BL603" s="26"/>
      <c r="BM603" s="26"/>
      <c r="BN603" s="26"/>
      <c r="BO603" s="26"/>
      <c r="BP603" s="16" t="n">
        <v>45721</v>
      </c>
      <c r="BQ603" s="28" t="str">
        <f>HYPERLINK("https://organic.ams.usda.gov/Integrity/Certificate.aspx?cid=15&amp;nopid=5561000758")</f>
        <v>https://organic.ams.usda.gov/Integrity/Certificate.aspx?cid=15&amp;nopid=5561000758</v>
      </c>
    </row>
    <row r="604">
      <c r="A604" t="s">
        <v>3</v>
      </c>
      <c r="B604" s="6" t="s">
        <v>32</v>
      </c>
      <c r="C604" s="6" t="s">
        <v>98</v>
      </c>
      <c r="D604" s="6" t="s">
        <v>163</v>
      </c>
      <c r="E604" s="10" t="s">
        <v>802</v>
      </c>
      <c r="F604" s="6" t="s">
        <v>3055</v>
      </c>
      <c r="G604" s="6" t="s">
        <v>104</v>
      </c>
      <c r="H604" s="6" t="s">
        <v>5443</v>
      </c>
      <c r="I604" s="6" t="s">
        <v>7321</v>
      </c>
      <c r="J604" s="6" t="s">
        <v>8585</v>
      </c>
      <c r="K604" s="6" t="s">
        <v>9714</v>
      </c>
      <c r="L604" s="16" t="n">
        <v>36965</v>
      </c>
      <c r="M604" s="16" t="n">
        <v>45839</v>
      </c>
      <c r="N604" s="6" t="s">
        <v>104</v>
      </c>
      <c r="O604" s="21" t="s">
        <v>104</v>
      </c>
      <c r="P604" s="6" t="s">
        <v>104</v>
      </c>
      <c r="Q604" s="6" t="s">
        <v>104</v>
      </c>
      <c r="R604" s="6" t="s">
        <v>104</v>
      </c>
      <c r="S604" s="6" t="s">
        <v>104</v>
      </c>
      <c r="T604" s="21" t="s">
        <v>104</v>
      </c>
      <c r="U604" s="6" t="s">
        <v>104</v>
      </c>
      <c r="V604" s="6" t="s">
        <v>104</v>
      </c>
      <c r="W604" s="6" t="s">
        <v>104</v>
      </c>
      <c r="X604" s="6" t="s">
        <v>104</v>
      </c>
      <c r="Y604" s="21" t="s">
        <v>104</v>
      </c>
      <c r="Z604" s="6" t="s">
        <v>104</v>
      </c>
      <c r="AA604" s="6" t="s">
        <v>104</v>
      </c>
      <c r="AB604" s="6" t="s">
        <v>104</v>
      </c>
      <c r="AC604" s="6" t="s">
        <v>9714</v>
      </c>
      <c r="AD604" s="16" t="n">
        <v>36965</v>
      </c>
      <c r="AE604" s="6" t="s">
        <v>11061</v>
      </c>
      <c r="AF604" s="6" t="s">
        <v>104</v>
      </c>
      <c r="AG604" s="6" t="s">
        <v>104</v>
      </c>
      <c r="AH604" s="6" t="s">
        <v>13701</v>
      </c>
      <c r="AI604" s="6" t="s">
        <v>104</v>
      </c>
      <c r="AJ604" s="6" t="s">
        <v>15754</v>
      </c>
      <c r="AK604" s="6" t="s">
        <v>16790</v>
      </c>
      <c r="AL604" s="6" t="s">
        <v>16943</v>
      </c>
      <c r="AM604" s="6" t="s">
        <v>17375</v>
      </c>
      <c r="AN604" s="6" t="s">
        <v>104</v>
      </c>
      <c r="AO604" s="6" t="s">
        <v>104</v>
      </c>
      <c r="AP604" s="6" t="s">
        <v>104</v>
      </c>
      <c r="AQ604" s="6" t="s">
        <v>104</v>
      </c>
      <c r="AR604" s="6" t="s">
        <v>104</v>
      </c>
      <c r="AS604" s="6" t="s">
        <v>104</v>
      </c>
      <c r="AT604" s="6" t="s">
        <v>104</v>
      </c>
      <c r="AU604" s="6" t="s">
        <v>104</v>
      </c>
      <c r="AV604" s="6" t="s">
        <v>104</v>
      </c>
      <c r="AW604" s="6" t="s">
        <v>104</v>
      </c>
      <c r="AX604" s="6" t="s">
        <v>20573</v>
      </c>
      <c r="AY604" s="6" t="s">
        <v>22348</v>
      </c>
      <c r="AZ604" s="6" t="s">
        <v>23828</v>
      </c>
      <c r="BA604" s="6" t="s">
        <v>104</v>
      </c>
      <c r="BB604" s="6" t="s">
        <v>104</v>
      </c>
      <c r="BC604" s="26"/>
      <c r="BD604" s="26"/>
      <c r="BE604" s="26"/>
      <c r="BF604" s="26"/>
      <c r="BG604" s="26"/>
      <c r="BH604" s="26"/>
      <c r="BI604" s="26"/>
      <c r="BJ604" s="26"/>
      <c r="BK604" s="26"/>
      <c r="BL604" s="26"/>
      <c r="BM604" s="26"/>
      <c r="BN604" s="26"/>
      <c r="BO604" s="26"/>
      <c r="BP604" s="16" t="n">
        <v>45603</v>
      </c>
      <c r="BQ604" s="28" t="str">
        <f>HYPERLINK("https://organic.ams.usda.gov/Integrity/Certificate.aspx?cid=64&amp;nopid=8830000006")</f>
        <v>https://organic.ams.usda.gov/Integrity/Certificate.aspx?cid=64&amp;nopid=8830000006</v>
      </c>
    </row>
    <row r="605">
      <c r="A605" t="s">
        <v>3</v>
      </c>
      <c r="B605" s="6" t="s">
        <v>13</v>
      </c>
      <c r="C605" s="6" t="s">
        <v>79</v>
      </c>
      <c r="D605" s="6" t="s">
        <v>144</v>
      </c>
      <c r="E605" s="10" t="s">
        <v>803</v>
      </c>
      <c r="F605" s="6" t="s">
        <v>3056</v>
      </c>
      <c r="G605" s="6" t="s">
        <v>104</v>
      </c>
      <c r="H605" s="6" t="s">
        <v>5444</v>
      </c>
      <c r="I605" s="6" t="s">
        <v>7322</v>
      </c>
      <c r="J605" s="6" t="s">
        <v>8586</v>
      </c>
      <c r="K605" s="6" t="s">
        <v>9714</v>
      </c>
      <c r="L605" s="16" t="n">
        <v>37375</v>
      </c>
      <c r="M605" s="16" t="n">
        <v>46113</v>
      </c>
      <c r="N605" s="6" t="s">
        <v>104</v>
      </c>
      <c r="O605" s="21" t="s">
        <v>104</v>
      </c>
      <c r="P605" s="6" t="s">
        <v>104</v>
      </c>
      <c r="Q605" s="6" t="s">
        <v>104</v>
      </c>
      <c r="R605" s="6" t="s">
        <v>104</v>
      </c>
      <c r="S605" s="6" t="s">
        <v>104</v>
      </c>
      <c r="T605" s="21" t="s">
        <v>104</v>
      </c>
      <c r="U605" s="6" t="s">
        <v>104</v>
      </c>
      <c r="V605" s="6" t="s">
        <v>104</v>
      </c>
      <c r="W605" s="6" t="s">
        <v>104</v>
      </c>
      <c r="X605" s="6" t="s">
        <v>104</v>
      </c>
      <c r="Y605" s="21" t="s">
        <v>104</v>
      </c>
      <c r="Z605" s="6" t="s">
        <v>104</v>
      </c>
      <c r="AA605" s="6" t="s">
        <v>104</v>
      </c>
      <c r="AB605" s="6" t="s">
        <v>104</v>
      </c>
      <c r="AC605" s="6" t="s">
        <v>9714</v>
      </c>
      <c r="AD605" s="16" t="n">
        <v>37375</v>
      </c>
      <c r="AE605" s="6" t="s">
        <v>11062</v>
      </c>
      <c r="AF605" s="6" t="s">
        <v>104</v>
      </c>
      <c r="AG605" s="6" t="s">
        <v>104</v>
      </c>
      <c r="AH605" s="6" t="s">
        <v>104</v>
      </c>
      <c r="AI605" s="6" t="s">
        <v>104</v>
      </c>
      <c r="AJ605" s="6" t="s">
        <v>104</v>
      </c>
      <c r="AK605" s="6" t="s">
        <v>104</v>
      </c>
      <c r="AL605" s="6" t="s">
        <v>104</v>
      </c>
      <c r="AM605" s="6" t="s">
        <v>104</v>
      </c>
      <c r="AN605" s="6" t="s">
        <v>104</v>
      </c>
      <c r="AO605" s="6" t="s">
        <v>104</v>
      </c>
      <c r="AP605" s="6" t="s">
        <v>19101</v>
      </c>
      <c r="AQ605" s="6" t="s">
        <v>104</v>
      </c>
      <c r="AR605" s="6" t="s">
        <v>19644</v>
      </c>
      <c r="AS605" s="6" t="s">
        <v>16678</v>
      </c>
      <c r="AT605" s="6" t="s">
        <v>16931</v>
      </c>
      <c r="AU605" s="6" t="s">
        <v>19873</v>
      </c>
      <c r="AV605" s="6" t="s">
        <v>17550</v>
      </c>
      <c r="AW605" s="6" t="s">
        <v>18559</v>
      </c>
      <c r="AX605" s="6" t="s">
        <v>20574</v>
      </c>
      <c r="AY605" s="6" t="s">
        <v>22349</v>
      </c>
      <c r="AZ605" s="6" t="s">
        <v>104</v>
      </c>
      <c r="BA605" s="6" t="s">
        <v>104</v>
      </c>
      <c r="BB605" s="6" t="s">
        <v>104</v>
      </c>
      <c r="BC605" s="26"/>
      <c r="BD605" s="26"/>
      <c r="BE605" s="26" t="s">
        <v>24533</v>
      </c>
      <c r="BF605" s="26"/>
      <c r="BG605" s="26"/>
      <c r="BH605" s="26"/>
      <c r="BI605" s="26"/>
      <c r="BJ605" s="26"/>
      <c r="BK605" s="26"/>
      <c r="BL605" s="26"/>
      <c r="BM605" s="26"/>
      <c r="BN605" s="26"/>
      <c r="BO605" s="26"/>
      <c r="BP605" s="16" t="n">
        <v>45701</v>
      </c>
      <c r="BQ605" s="28" t="str">
        <f>HYPERLINK("https://organic.ams.usda.gov/Integrity/Certificate.aspx?cid=62&amp;nopid=8150001013")</f>
        <v>https://organic.ams.usda.gov/Integrity/Certificate.aspx?cid=62&amp;nopid=8150001013</v>
      </c>
    </row>
    <row r="606">
      <c r="A606" t="s">
        <v>3</v>
      </c>
      <c r="B606" s="6" t="s">
        <v>13</v>
      </c>
      <c r="C606" s="6" t="s">
        <v>79</v>
      </c>
      <c r="D606" s="6" t="s">
        <v>144</v>
      </c>
      <c r="E606" s="10" t="s">
        <v>804</v>
      </c>
      <c r="F606" s="6" t="s">
        <v>3057</v>
      </c>
      <c r="G606" s="6" t="s">
        <v>104</v>
      </c>
      <c r="H606" s="6" t="s">
        <v>5445</v>
      </c>
      <c r="I606" s="6" t="s">
        <v>7151</v>
      </c>
      <c r="J606" s="6" t="s">
        <v>8587</v>
      </c>
      <c r="K606" s="6" t="s">
        <v>9714</v>
      </c>
      <c r="L606" s="16" t="n">
        <v>45671</v>
      </c>
      <c r="M606" s="16" t="n">
        <v>46023</v>
      </c>
      <c r="N606" s="6" t="s">
        <v>104</v>
      </c>
      <c r="O606" s="21" t="s">
        <v>104</v>
      </c>
      <c r="P606" s="6" t="s">
        <v>104</v>
      </c>
      <c r="Q606" s="6" t="s">
        <v>104</v>
      </c>
      <c r="R606" s="6" t="s">
        <v>104</v>
      </c>
      <c r="S606" s="6" t="s">
        <v>104</v>
      </c>
      <c r="T606" s="21" t="s">
        <v>104</v>
      </c>
      <c r="U606" s="6" t="s">
        <v>104</v>
      </c>
      <c r="V606" s="6" t="s">
        <v>104</v>
      </c>
      <c r="W606" s="6" t="s">
        <v>104</v>
      </c>
      <c r="X606" s="6" t="s">
        <v>104</v>
      </c>
      <c r="Y606" s="21" t="s">
        <v>104</v>
      </c>
      <c r="Z606" s="6" t="s">
        <v>104</v>
      </c>
      <c r="AA606" s="6" t="s">
        <v>104</v>
      </c>
      <c r="AB606" s="6" t="s">
        <v>104</v>
      </c>
      <c r="AC606" s="6" t="s">
        <v>9714</v>
      </c>
      <c r="AD606" s="16" t="n">
        <v>45671</v>
      </c>
      <c r="AE606" s="6" t="s">
        <v>11063</v>
      </c>
      <c r="AF606" s="6" t="s">
        <v>104</v>
      </c>
      <c r="AG606" s="6" t="s">
        <v>104</v>
      </c>
      <c r="AH606" s="6" t="s">
        <v>104</v>
      </c>
      <c r="AI606" s="6" t="s">
        <v>104</v>
      </c>
      <c r="AJ606" s="6" t="s">
        <v>104</v>
      </c>
      <c r="AK606" s="6" t="s">
        <v>104</v>
      </c>
      <c r="AL606" s="6" t="s">
        <v>104</v>
      </c>
      <c r="AM606" s="6" t="s">
        <v>104</v>
      </c>
      <c r="AN606" s="6" t="s">
        <v>104</v>
      </c>
      <c r="AO606" s="6" t="s">
        <v>104</v>
      </c>
      <c r="AP606" s="6" t="s">
        <v>19102</v>
      </c>
      <c r="AQ606" s="6" t="s">
        <v>104</v>
      </c>
      <c r="AR606" s="6" t="s">
        <v>19645</v>
      </c>
      <c r="AS606" s="6" t="s">
        <v>16694</v>
      </c>
      <c r="AT606" s="6" t="s">
        <v>16931</v>
      </c>
      <c r="AU606" s="6" t="s">
        <v>19874</v>
      </c>
      <c r="AV606" s="6" t="s">
        <v>104</v>
      </c>
      <c r="AW606" s="6" t="s">
        <v>104</v>
      </c>
      <c r="AX606" s="6" t="s">
        <v>20575</v>
      </c>
      <c r="AY606" s="6" t="s">
        <v>22350</v>
      </c>
      <c r="AZ606" s="6" t="s">
        <v>104</v>
      </c>
      <c r="BA606" s="6" t="s">
        <v>104</v>
      </c>
      <c r="BB606" s="6" t="s">
        <v>104</v>
      </c>
      <c r="BC606" s="26" t="s">
        <v>24533</v>
      </c>
      <c r="BD606" s="26"/>
      <c r="BE606" s="26"/>
      <c r="BF606" s="26"/>
      <c r="BG606" s="26"/>
      <c r="BH606" s="26"/>
      <c r="BI606" s="26"/>
      <c r="BJ606" s="26"/>
      <c r="BK606" s="26"/>
      <c r="BL606" s="26"/>
      <c r="BM606" s="26"/>
      <c r="BN606" s="26"/>
      <c r="BO606" s="26"/>
      <c r="BP606" s="16" t="n">
        <v>45691</v>
      </c>
      <c r="BQ606" s="28" t="str">
        <f>HYPERLINK("https://organic.ams.usda.gov/Integrity/Certificate.aspx?cid=62&amp;nopid=8150025811")</f>
        <v>https://organic.ams.usda.gov/Integrity/Certificate.aspx?cid=62&amp;nopid=8150025811</v>
      </c>
    </row>
    <row r="607">
      <c r="A607" t="s">
        <v>3</v>
      </c>
      <c r="B607" s="6" t="s">
        <v>14</v>
      </c>
      <c r="C607" s="6" t="s">
        <v>80</v>
      </c>
      <c r="D607" s="6" t="s">
        <v>145</v>
      </c>
      <c r="E607" s="10" t="s">
        <v>805</v>
      </c>
      <c r="F607" s="6" t="s">
        <v>3058</v>
      </c>
      <c r="G607" s="6" t="s">
        <v>104</v>
      </c>
      <c r="H607" s="6" t="s">
        <v>5446</v>
      </c>
      <c r="I607" s="6" t="s">
        <v>7323</v>
      </c>
      <c r="J607" s="6" t="s">
        <v>8158</v>
      </c>
      <c r="K607" s="6" t="s">
        <v>9714</v>
      </c>
      <c r="L607" s="16" t="n">
        <v>44840</v>
      </c>
      <c r="M607" s="16" t="n">
        <v>45762</v>
      </c>
      <c r="N607" s="6" t="s">
        <v>104</v>
      </c>
      <c r="O607" s="21" t="s">
        <v>104</v>
      </c>
      <c r="P607" s="6" t="s">
        <v>104</v>
      </c>
      <c r="Q607" s="6" t="s">
        <v>104</v>
      </c>
      <c r="R607" s="6" t="s">
        <v>104</v>
      </c>
      <c r="S607" s="6" t="s">
        <v>104</v>
      </c>
      <c r="T607" s="21" t="s">
        <v>104</v>
      </c>
      <c r="U607" s="6" t="s">
        <v>104</v>
      </c>
      <c r="V607" s="6" t="s">
        <v>104</v>
      </c>
      <c r="W607" s="6" t="s">
        <v>104</v>
      </c>
      <c r="X607" s="6" t="s">
        <v>104</v>
      </c>
      <c r="Y607" s="21" t="s">
        <v>104</v>
      </c>
      <c r="Z607" s="6" t="s">
        <v>104</v>
      </c>
      <c r="AA607" s="6" t="s">
        <v>104</v>
      </c>
      <c r="AB607" s="6" t="s">
        <v>104</v>
      </c>
      <c r="AC607" s="6" t="s">
        <v>9714</v>
      </c>
      <c r="AD607" s="16" t="n">
        <v>44840</v>
      </c>
      <c r="AE607" s="6" t="s">
        <v>10562</v>
      </c>
      <c r="AF607" s="6" t="s">
        <v>104</v>
      </c>
      <c r="AG607" s="6" t="s">
        <v>104</v>
      </c>
      <c r="AH607" s="6" t="s">
        <v>13702</v>
      </c>
      <c r="AI607" s="6" t="s">
        <v>104</v>
      </c>
      <c r="AJ607" s="6" t="s">
        <v>15384</v>
      </c>
      <c r="AK607" s="6" t="s">
        <v>15462</v>
      </c>
      <c r="AL607" s="6" t="s">
        <v>16936</v>
      </c>
      <c r="AM607" s="6" t="s">
        <v>104</v>
      </c>
      <c r="AN607" s="6" t="s">
        <v>104</v>
      </c>
      <c r="AO607" s="6" t="s">
        <v>104</v>
      </c>
      <c r="AP607" s="6" t="s">
        <v>104</v>
      </c>
      <c r="AQ607" s="6" t="s">
        <v>104</v>
      </c>
      <c r="AR607" s="6" t="s">
        <v>104</v>
      </c>
      <c r="AS607" s="6" t="s">
        <v>104</v>
      </c>
      <c r="AT607" s="6" t="s">
        <v>104</v>
      </c>
      <c r="AU607" s="6" t="s">
        <v>104</v>
      </c>
      <c r="AV607" s="6" t="s">
        <v>104</v>
      </c>
      <c r="AW607" s="6" t="s">
        <v>104</v>
      </c>
      <c r="AX607" s="6" t="s">
        <v>104</v>
      </c>
      <c r="AY607" s="6" t="s">
        <v>22351</v>
      </c>
      <c r="AZ607" s="6" t="s">
        <v>104</v>
      </c>
      <c r="BA607" s="6" t="s">
        <v>24259</v>
      </c>
      <c r="BB607" s="6" t="s">
        <v>104</v>
      </c>
      <c r="BC607" s="26"/>
      <c r="BD607" s="26"/>
      <c r="BE607" s="26"/>
      <c r="BF607" s="26"/>
      <c r="BG607" s="26"/>
      <c r="BH607" s="26"/>
      <c r="BI607" s="26"/>
      <c r="BJ607" s="26"/>
      <c r="BK607" s="26"/>
      <c r="BL607" s="26"/>
      <c r="BM607" s="26"/>
      <c r="BN607" s="26"/>
      <c r="BO607" s="26"/>
      <c r="BP607" s="16" t="n">
        <v>45520</v>
      </c>
      <c r="BQ607" s="28" t="str">
        <f>HYPERLINK("https://organic.ams.usda.gov/Integrity/Certificate.aspx?cid=89&amp;nopid=4920006036")</f>
        <v>https://organic.ams.usda.gov/Integrity/Certificate.aspx?cid=89&amp;nopid=4920006036</v>
      </c>
    </row>
    <row r="608">
      <c r="A608" t="s">
        <v>3</v>
      </c>
      <c r="B608" s="6" t="s">
        <v>21</v>
      </c>
      <c r="C608" s="6" t="s">
        <v>87</v>
      </c>
      <c r="D608" s="6" t="s">
        <v>152</v>
      </c>
      <c r="E608" s="10" t="s">
        <v>806</v>
      </c>
      <c r="F608" s="6" t="s">
        <v>3059</v>
      </c>
      <c r="G608" s="6" t="s">
        <v>104</v>
      </c>
      <c r="H608" s="6" t="s">
        <v>5447</v>
      </c>
      <c r="I608" s="6" t="s">
        <v>7240</v>
      </c>
      <c r="J608" s="6" t="s">
        <v>8588</v>
      </c>
      <c r="K608" s="6" t="s">
        <v>9714</v>
      </c>
      <c r="L608" s="16" t="n">
        <v>41900</v>
      </c>
      <c r="M608" s="16" t="n">
        <v>46023</v>
      </c>
      <c r="N608" s="6" t="s">
        <v>104</v>
      </c>
      <c r="O608" s="21" t="s">
        <v>104</v>
      </c>
      <c r="P608" s="6" t="s">
        <v>104</v>
      </c>
      <c r="Q608" s="6" t="s">
        <v>104</v>
      </c>
      <c r="R608" s="6" t="s">
        <v>104</v>
      </c>
      <c r="S608" s="6" t="s">
        <v>104</v>
      </c>
      <c r="T608" s="21" t="s">
        <v>104</v>
      </c>
      <c r="U608" s="6" t="s">
        <v>104</v>
      </c>
      <c r="V608" s="6" t="s">
        <v>104</v>
      </c>
      <c r="W608" s="6" t="s">
        <v>104</v>
      </c>
      <c r="X608" s="6" t="s">
        <v>104</v>
      </c>
      <c r="Y608" s="21" t="s">
        <v>104</v>
      </c>
      <c r="Z608" s="6" t="s">
        <v>104</v>
      </c>
      <c r="AA608" s="6" t="s">
        <v>104</v>
      </c>
      <c r="AB608" s="6" t="s">
        <v>104</v>
      </c>
      <c r="AC608" s="6" t="s">
        <v>9714</v>
      </c>
      <c r="AD608" s="16" t="n">
        <v>41900</v>
      </c>
      <c r="AE608" s="6" t="s">
        <v>11064</v>
      </c>
      <c r="AF608" s="6" t="s">
        <v>104</v>
      </c>
      <c r="AG608" s="6" t="s">
        <v>104</v>
      </c>
      <c r="AH608" s="6" t="s">
        <v>13703</v>
      </c>
      <c r="AI608" s="6" t="s">
        <v>104</v>
      </c>
      <c r="AJ608" s="6" t="s">
        <v>7055</v>
      </c>
      <c r="AK608" s="6" t="s">
        <v>16687</v>
      </c>
      <c r="AL608" s="6" t="s">
        <v>16931</v>
      </c>
      <c r="AM608" s="6" t="s">
        <v>17376</v>
      </c>
      <c r="AN608" s="6" t="s">
        <v>18492</v>
      </c>
      <c r="AO608" s="6" t="s">
        <v>18614</v>
      </c>
      <c r="AP608" s="6" t="s">
        <v>13703</v>
      </c>
      <c r="AQ608" s="6" t="s">
        <v>104</v>
      </c>
      <c r="AR608" s="6" t="s">
        <v>7055</v>
      </c>
      <c r="AS608" s="6" t="s">
        <v>16687</v>
      </c>
      <c r="AT608" s="6" t="s">
        <v>16931</v>
      </c>
      <c r="AU608" s="6" t="s">
        <v>17376</v>
      </c>
      <c r="AV608" s="6" t="s">
        <v>104</v>
      </c>
      <c r="AW608" s="6" t="s">
        <v>104</v>
      </c>
      <c r="AX608" s="6" t="s">
        <v>20576</v>
      </c>
      <c r="AY608" s="6" t="s">
        <v>22352</v>
      </c>
      <c r="AZ608" s="6" t="s">
        <v>23829</v>
      </c>
      <c r="BA608" s="6" t="s">
        <v>24346</v>
      </c>
      <c r="BB608" s="6" t="s">
        <v>104</v>
      </c>
      <c r="BC608" s="26"/>
      <c r="BD608" s="26"/>
      <c r="BE608" s="26"/>
      <c r="BF608" s="26"/>
      <c r="BG608" s="26"/>
      <c r="BH608" s="26"/>
      <c r="BI608" s="26"/>
      <c r="BJ608" s="26"/>
      <c r="BK608" s="26"/>
      <c r="BL608" s="26"/>
      <c r="BM608" s="26"/>
      <c r="BN608" s="26"/>
      <c r="BO608" s="26"/>
      <c r="BP608" s="16" t="n">
        <v>45667</v>
      </c>
      <c r="BQ608" s="28" t="str">
        <f>HYPERLINK("https://organic.ams.usda.gov/Integrity/Certificate.aspx?cid=15&amp;nopid=5561001920")</f>
        <v>https://organic.ams.usda.gov/Integrity/Certificate.aspx?cid=15&amp;nopid=5561001920</v>
      </c>
    </row>
    <row r="609">
      <c r="A609" t="s">
        <v>3</v>
      </c>
      <c r="B609" s="6" t="s">
        <v>11</v>
      </c>
      <c r="C609" s="6" t="s">
        <v>77</v>
      </c>
      <c r="D609" s="6" t="s">
        <v>142</v>
      </c>
      <c r="E609" s="10" t="s">
        <v>807</v>
      </c>
      <c r="F609" s="6" t="s">
        <v>3060</v>
      </c>
      <c r="G609" s="6" t="s">
        <v>104</v>
      </c>
      <c r="H609" s="6" t="s">
        <v>104</v>
      </c>
      <c r="I609" s="6" t="s">
        <v>7324</v>
      </c>
      <c r="J609" s="6" t="s">
        <v>8589</v>
      </c>
      <c r="K609" s="6" t="s">
        <v>9714</v>
      </c>
      <c r="L609" s="16" t="n">
        <v>45149</v>
      </c>
      <c r="M609" s="16" t="n">
        <v>45703</v>
      </c>
      <c r="N609" s="6" t="s">
        <v>104</v>
      </c>
      <c r="O609" s="21" t="s">
        <v>104</v>
      </c>
      <c r="P609" s="6" t="s">
        <v>104</v>
      </c>
      <c r="Q609" s="6" t="s">
        <v>104</v>
      </c>
      <c r="R609" s="6" t="s">
        <v>104</v>
      </c>
      <c r="S609" s="6" t="s">
        <v>104</v>
      </c>
      <c r="T609" s="21" t="s">
        <v>104</v>
      </c>
      <c r="U609" s="6" t="s">
        <v>104</v>
      </c>
      <c r="V609" s="6" t="s">
        <v>104</v>
      </c>
      <c r="W609" s="6" t="s">
        <v>104</v>
      </c>
      <c r="X609" s="6" t="s">
        <v>104</v>
      </c>
      <c r="Y609" s="21" t="s">
        <v>104</v>
      </c>
      <c r="Z609" s="6" t="s">
        <v>104</v>
      </c>
      <c r="AA609" s="6" t="s">
        <v>104</v>
      </c>
      <c r="AB609" s="6" t="s">
        <v>104</v>
      </c>
      <c r="AC609" s="6" t="s">
        <v>9714</v>
      </c>
      <c r="AD609" s="16" t="n">
        <v>45149</v>
      </c>
      <c r="AE609" s="6" t="s">
        <v>11065</v>
      </c>
      <c r="AF609" s="6" t="s">
        <v>104</v>
      </c>
      <c r="AG609" s="6" t="s">
        <v>104</v>
      </c>
      <c r="AH609" s="6" t="s">
        <v>13704</v>
      </c>
      <c r="AI609" s="6" t="s">
        <v>104</v>
      </c>
      <c r="AJ609" s="6" t="s">
        <v>15755</v>
      </c>
      <c r="AK609" s="6" t="s">
        <v>15755</v>
      </c>
      <c r="AL609" s="6" t="s">
        <v>16955</v>
      </c>
      <c r="AM609" s="6" t="s">
        <v>17377</v>
      </c>
      <c r="AN609" s="6" t="s">
        <v>104</v>
      </c>
      <c r="AO609" s="6" t="s">
        <v>104</v>
      </c>
      <c r="AP609" s="6" t="s">
        <v>104</v>
      </c>
      <c r="AQ609" s="6" t="s">
        <v>104</v>
      </c>
      <c r="AR609" s="6" t="s">
        <v>104</v>
      </c>
      <c r="AS609" s="6" t="s">
        <v>104</v>
      </c>
      <c r="AT609" s="6" t="s">
        <v>104</v>
      </c>
      <c r="AU609" s="6" t="s">
        <v>104</v>
      </c>
      <c r="AV609" s="6" t="s">
        <v>104</v>
      </c>
      <c r="AW609" s="6" t="s">
        <v>104</v>
      </c>
      <c r="AX609" s="6" t="s">
        <v>20577</v>
      </c>
      <c r="AY609" s="6" t="s">
        <v>22353</v>
      </c>
      <c r="AZ609" s="6" t="s">
        <v>23830</v>
      </c>
      <c r="BA609" s="6" t="s">
        <v>24347</v>
      </c>
      <c r="BB609" s="6" t="s">
        <v>104</v>
      </c>
      <c r="BC609" s="26"/>
      <c r="BD609" s="26"/>
      <c r="BE609" s="26"/>
      <c r="BF609" s="26"/>
      <c r="BG609" s="26"/>
      <c r="BH609" s="26"/>
      <c r="BI609" s="26"/>
      <c r="BJ609" s="26"/>
      <c r="BK609" s="26"/>
      <c r="BL609" s="26"/>
      <c r="BM609" s="26"/>
      <c r="BN609" s="26"/>
      <c r="BO609" s="26"/>
      <c r="BP609" s="16" t="n">
        <v>45632</v>
      </c>
      <c r="BQ609" s="28" t="str">
        <f>HYPERLINK("https://organic.ams.usda.gov/Integrity/Certificate.aspx?cid=21&amp;nopid=1780895850")</f>
        <v>https://organic.ams.usda.gov/Integrity/Certificate.aspx?cid=21&amp;nopid=1780895850</v>
      </c>
    </row>
    <row r="610">
      <c r="A610" t="s">
        <v>3</v>
      </c>
      <c r="B610" s="6" t="s">
        <v>18</v>
      </c>
      <c r="C610" s="6" t="s">
        <v>84</v>
      </c>
      <c r="D610" s="6" t="s">
        <v>149</v>
      </c>
      <c r="E610" s="10" t="s">
        <v>808</v>
      </c>
      <c r="F610" s="6" t="s">
        <v>3061</v>
      </c>
      <c r="G610" s="6" t="s">
        <v>104</v>
      </c>
      <c r="H610" s="6" t="s">
        <v>5448</v>
      </c>
      <c r="I610" s="6" t="s">
        <v>7255</v>
      </c>
      <c r="J610" s="6" t="s">
        <v>8590</v>
      </c>
      <c r="K610" s="6" t="s">
        <v>9714</v>
      </c>
      <c r="L610" s="16" t="n">
        <v>40486</v>
      </c>
      <c r="M610" s="16" t="n">
        <v>45505</v>
      </c>
      <c r="N610" s="6" t="s">
        <v>9714</v>
      </c>
      <c r="O610" s="16" t="n">
        <v>40486</v>
      </c>
      <c r="P610" s="6" t="s">
        <v>9891</v>
      </c>
      <c r="Q610" s="6" t="s">
        <v>104</v>
      </c>
      <c r="R610" s="6" t="s">
        <v>10344</v>
      </c>
      <c r="S610" s="6" t="s">
        <v>104</v>
      </c>
      <c r="T610" s="21" t="s">
        <v>104</v>
      </c>
      <c r="U610" s="6" t="s">
        <v>104</v>
      </c>
      <c r="V610" s="6" t="s">
        <v>104</v>
      </c>
      <c r="W610" s="6" t="s">
        <v>104</v>
      </c>
      <c r="X610" s="6" t="s">
        <v>104</v>
      </c>
      <c r="Y610" s="21" t="s">
        <v>104</v>
      </c>
      <c r="Z610" s="6" t="s">
        <v>104</v>
      </c>
      <c r="AA610" s="6" t="s">
        <v>104</v>
      </c>
      <c r="AB610" s="6" t="s">
        <v>104</v>
      </c>
      <c r="AC610" s="6" t="s">
        <v>9714</v>
      </c>
      <c r="AD610" s="16" t="n">
        <v>40486</v>
      </c>
      <c r="AE610" s="6" t="s">
        <v>11066</v>
      </c>
      <c r="AF610" s="6" t="s">
        <v>104</v>
      </c>
      <c r="AG610" s="6" t="s">
        <v>12681</v>
      </c>
      <c r="AH610" s="6" t="s">
        <v>13705</v>
      </c>
      <c r="AI610" s="6" t="s">
        <v>104</v>
      </c>
      <c r="AJ610" s="6" t="s">
        <v>15756</v>
      </c>
      <c r="AK610" s="6" t="s">
        <v>16738</v>
      </c>
      <c r="AL610" s="6" t="s">
        <v>16931</v>
      </c>
      <c r="AM610" s="6" t="s">
        <v>17378</v>
      </c>
      <c r="AN610" s="6" t="s">
        <v>18489</v>
      </c>
      <c r="AO610" s="6" t="s">
        <v>18690</v>
      </c>
      <c r="AP610" s="6" t="s">
        <v>104</v>
      </c>
      <c r="AQ610" s="6" t="s">
        <v>104</v>
      </c>
      <c r="AR610" s="6" t="s">
        <v>104</v>
      </c>
      <c r="AS610" s="6" t="s">
        <v>104</v>
      </c>
      <c r="AT610" s="6" t="s">
        <v>104</v>
      </c>
      <c r="AU610" s="6" t="s">
        <v>104</v>
      </c>
      <c r="AV610" s="6" t="s">
        <v>104</v>
      </c>
      <c r="AW610" s="6" t="s">
        <v>104</v>
      </c>
      <c r="AX610" s="6" t="s">
        <v>20578</v>
      </c>
      <c r="AY610" s="6" t="s">
        <v>22354</v>
      </c>
      <c r="AZ610" s="6" t="s">
        <v>104</v>
      </c>
      <c r="BA610" s="6" t="s">
        <v>104</v>
      </c>
      <c r="BB610" s="24" t="n">
        <v>369</v>
      </c>
      <c r="BC610" s="26"/>
      <c r="BD610" s="26"/>
      <c r="BE610" s="26"/>
      <c r="BF610" s="26"/>
      <c r="BG610" s="26"/>
      <c r="BH610" s="26"/>
      <c r="BI610" s="26"/>
      <c r="BJ610" s="26"/>
      <c r="BK610" s="26"/>
      <c r="BL610" s="26"/>
      <c r="BM610" s="26"/>
      <c r="BN610" s="26"/>
      <c r="BO610" s="26"/>
      <c r="BP610" s="16" t="n">
        <v>45737</v>
      </c>
      <c r="BQ610" s="28" t="str">
        <f>HYPERLINK("https://organic.ams.usda.gov/Integrity/Certificate.aspx?cid=31&amp;nopid=3928971011")</f>
        <v>https://organic.ams.usda.gov/Integrity/Certificate.aspx?cid=31&amp;nopid=3928971011</v>
      </c>
    </row>
    <row r="611">
      <c r="A611" t="s">
        <v>3</v>
      </c>
      <c r="B611" s="6" t="s">
        <v>18</v>
      </c>
      <c r="C611" s="6" t="s">
        <v>84</v>
      </c>
      <c r="D611" s="6" t="s">
        <v>149</v>
      </c>
      <c r="E611" s="10" t="s">
        <v>809</v>
      </c>
      <c r="F611" s="6" t="s">
        <v>3062</v>
      </c>
      <c r="G611" s="6" t="s">
        <v>810</v>
      </c>
      <c r="H611" s="6" t="s">
        <v>5449</v>
      </c>
      <c r="I611" s="6" t="s">
        <v>7325</v>
      </c>
      <c r="J611" s="6" t="s">
        <v>8591</v>
      </c>
      <c r="K611" s="6" t="s">
        <v>9714</v>
      </c>
      <c r="L611" s="16" t="n">
        <v>45707</v>
      </c>
      <c r="M611" s="16" t="n">
        <v>46072</v>
      </c>
      <c r="N611" s="6" t="s">
        <v>104</v>
      </c>
      <c r="O611" s="21" t="s">
        <v>104</v>
      </c>
      <c r="P611" s="6" t="s">
        <v>104</v>
      </c>
      <c r="Q611" s="6" t="s">
        <v>104</v>
      </c>
      <c r="R611" s="6" t="s">
        <v>104</v>
      </c>
      <c r="S611" s="6" t="s">
        <v>104</v>
      </c>
      <c r="T611" s="21" t="s">
        <v>104</v>
      </c>
      <c r="U611" s="6" t="s">
        <v>104</v>
      </c>
      <c r="V611" s="6" t="s">
        <v>104</v>
      </c>
      <c r="W611" s="6" t="s">
        <v>104</v>
      </c>
      <c r="X611" s="6" t="s">
        <v>104</v>
      </c>
      <c r="Y611" s="21" t="s">
        <v>104</v>
      </c>
      <c r="Z611" s="6" t="s">
        <v>104</v>
      </c>
      <c r="AA611" s="6" t="s">
        <v>104</v>
      </c>
      <c r="AB611" s="6" t="s">
        <v>104</v>
      </c>
      <c r="AC611" s="6" t="s">
        <v>9714</v>
      </c>
      <c r="AD611" s="16" t="n">
        <v>45707</v>
      </c>
      <c r="AE611" s="6" t="s">
        <v>11067</v>
      </c>
      <c r="AF611" s="6" t="s">
        <v>104</v>
      </c>
      <c r="AG611" s="6" t="s">
        <v>12682</v>
      </c>
      <c r="AH611" s="6" t="s">
        <v>13706</v>
      </c>
      <c r="AI611" s="6" t="s">
        <v>104</v>
      </c>
      <c r="AJ611" s="6" t="s">
        <v>15757</v>
      </c>
      <c r="AK611" s="6" t="s">
        <v>16706</v>
      </c>
      <c r="AL611" s="6" t="s">
        <v>16931</v>
      </c>
      <c r="AM611" s="6" t="s">
        <v>17379</v>
      </c>
      <c r="AN611" s="6" t="s">
        <v>104</v>
      </c>
      <c r="AO611" s="6" t="s">
        <v>104</v>
      </c>
      <c r="AP611" s="6" t="s">
        <v>104</v>
      </c>
      <c r="AQ611" s="6" t="s">
        <v>104</v>
      </c>
      <c r="AR611" s="6" t="s">
        <v>104</v>
      </c>
      <c r="AS611" s="6" t="s">
        <v>104</v>
      </c>
      <c r="AT611" s="6" t="s">
        <v>104</v>
      </c>
      <c r="AU611" s="6" t="s">
        <v>104</v>
      </c>
      <c r="AV611" s="6" t="s">
        <v>104</v>
      </c>
      <c r="AW611" s="6" t="s">
        <v>104</v>
      </c>
      <c r="AX611" s="6" t="s">
        <v>20579</v>
      </c>
      <c r="AY611" s="6" t="s">
        <v>22355</v>
      </c>
      <c r="AZ611" s="6" t="s">
        <v>104</v>
      </c>
      <c r="BA611" s="6" t="s">
        <v>104</v>
      </c>
      <c r="BB611" s="6" t="s">
        <v>104</v>
      </c>
      <c r="BC611" s="26"/>
      <c r="BD611" s="26"/>
      <c r="BE611" s="26"/>
      <c r="BF611" s="26"/>
      <c r="BG611" s="26"/>
      <c r="BH611" s="26"/>
      <c r="BI611" s="26"/>
      <c r="BJ611" s="26"/>
      <c r="BK611" s="26"/>
      <c r="BL611" s="26"/>
      <c r="BM611" s="26"/>
      <c r="BN611" s="26" t="s">
        <v>24533</v>
      </c>
      <c r="BO611" s="26"/>
      <c r="BP611" s="16" t="n">
        <v>45737</v>
      </c>
      <c r="BQ611" s="28" t="str">
        <f>HYPERLINK("https://organic.ams.usda.gov/Integrity/Certificate.aspx?cid=31&amp;nopid=3928972499")</f>
        <v>https://organic.ams.usda.gov/Integrity/Certificate.aspx?cid=31&amp;nopid=3928972499</v>
      </c>
    </row>
    <row r="612">
      <c r="A612" t="s">
        <v>3</v>
      </c>
      <c r="B612" s="6" t="s">
        <v>41</v>
      </c>
      <c r="C612" s="6" t="s">
        <v>107</v>
      </c>
      <c r="D612" s="6" t="s">
        <v>171</v>
      </c>
      <c r="E612" s="10" t="s">
        <v>810</v>
      </c>
      <c r="F612" s="6" t="s">
        <v>3062</v>
      </c>
      <c r="G612" s="6" t="s">
        <v>4732</v>
      </c>
      <c r="H612" s="6" t="s">
        <v>5450</v>
      </c>
      <c r="I612" s="6" t="s">
        <v>7326</v>
      </c>
      <c r="J612" s="6" t="s">
        <v>8591</v>
      </c>
      <c r="K612" s="6" t="s">
        <v>9714</v>
      </c>
      <c r="L612" s="16" t="n">
        <v>41149</v>
      </c>
      <c r="M612" s="16" t="n">
        <v>45901</v>
      </c>
      <c r="N612" s="6" t="s">
        <v>104</v>
      </c>
      <c r="O612" s="21" t="s">
        <v>104</v>
      </c>
      <c r="P612" s="6" t="s">
        <v>104</v>
      </c>
      <c r="Q612" s="6" t="s">
        <v>104</v>
      </c>
      <c r="R612" s="6" t="s">
        <v>104</v>
      </c>
      <c r="S612" s="6" t="s">
        <v>104</v>
      </c>
      <c r="T612" s="21" t="s">
        <v>104</v>
      </c>
      <c r="U612" s="6" t="s">
        <v>104</v>
      </c>
      <c r="V612" s="6" t="s">
        <v>104</v>
      </c>
      <c r="W612" s="6" t="s">
        <v>104</v>
      </c>
      <c r="X612" s="6" t="s">
        <v>104</v>
      </c>
      <c r="Y612" s="21" t="s">
        <v>104</v>
      </c>
      <c r="Z612" s="6" t="s">
        <v>104</v>
      </c>
      <c r="AA612" s="6" t="s">
        <v>104</v>
      </c>
      <c r="AB612" s="6" t="s">
        <v>104</v>
      </c>
      <c r="AC612" s="6" t="s">
        <v>9714</v>
      </c>
      <c r="AD612" s="16" t="n">
        <v>41149</v>
      </c>
      <c r="AE612" s="6" t="s">
        <v>11068</v>
      </c>
      <c r="AF612" s="6" t="s">
        <v>104</v>
      </c>
      <c r="AG612" s="6" t="s">
        <v>104</v>
      </c>
      <c r="AH612" s="6" t="s">
        <v>13706</v>
      </c>
      <c r="AI612" s="6" t="s">
        <v>104</v>
      </c>
      <c r="AJ612" s="6" t="s">
        <v>15757</v>
      </c>
      <c r="AK612" s="6" t="s">
        <v>16706</v>
      </c>
      <c r="AL612" s="6" t="s">
        <v>16931</v>
      </c>
      <c r="AM612" s="6" t="s">
        <v>17379</v>
      </c>
      <c r="AN612" s="6" t="s">
        <v>18458</v>
      </c>
      <c r="AO612" s="6" t="s">
        <v>18671</v>
      </c>
      <c r="AP612" s="6" t="s">
        <v>13706</v>
      </c>
      <c r="AQ612" s="6" t="s">
        <v>104</v>
      </c>
      <c r="AR612" s="6" t="s">
        <v>15757</v>
      </c>
      <c r="AS612" s="6" t="s">
        <v>16706</v>
      </c>
      <c r="AT612" s="6" t="s">
        <v>16931</v>
      </c>
      <c r="AU612" s="6" t="s">
        <v>17379</v>
      </c>
      <c r="AV612" s="6" t="s">
        <v>104</v>
      </c>
      <c r="AW612" s="6" t="s">
        <v>104</v>
      </c>
      <c r="AX612" s="6" t="s">
        <v>20580</v>
      </c>
      <c r="AY612" s="6" t="s">
        <v>22355</v>
      </c>
      <c r="AZ612" s="6" t="s">
        <v>23831</v>
      </c>
      <c r="BA612" s="6" t="s">
        <v>104</v>
      </c>
      <c r="BB612" s="6" t="s">
        <v>104</v>
      </c>
      <c r="BC612" s="26"/>
      <c r="BD612" s="26"/>
      <c r="BE612" s="26"/>
      <c r="BF612" s="26"/>
      <c r="BG612" s="26"/>
      <c r="BH612" s="26"/>
      <c r="BI612" s="26"/>
      <c r="BJ612" s="26"/>
      <c r="BK612" s="26"/>
      <c r="BL612" s="26"/>
      <c r="BM612" s="26"/>
      <c r="BN612" s="26"/>
      <c r="BO612" s="26"/>
      <c r="BP612" s="16" t="n">
        <v>45737</v>
      </c>
      <c r="BQ612" s="28" t="str">
        <f>HYPERLINK("https://organic.ams.usda.gov/Integrity/Certificate.aspx?cid=58&amp;nopid=1600002079")</f>
        <v>https://organic.ams.usda.gov/Integrity/Certificate.aspx?cid=58&amp;nopid=1600002079</v>
      </c>
    </row>
    <row r="613">
      <c r="A613" t="s">
        <v>3</v>
      </c>
      <c r="B613" s="6" t="s">
        <v>25</v>
      </c>
      <c r="C613" s="6" t="s">
        <v>91</v>
      </c>
      <c r="D613" s="6" t="s">
        <v>156</v>
      </c>
      <c r="E613" s="10" t="s">
        <v>811</v>
      </c>
      <c r="F613" s="6" t="s">
        <v>3063</v>
      </c>
      <c r="G613" s="6" t="s">
        <v>104</v>
      </c>
      <c r="H613" s="6" t="s">
        <v>5451</v>
      </c>
      <c r="I613" s="6" t="s">
        <v>7002</v>
      </c>
      <c r="J613" s="6" t="s">
        <v>8592</v>
      </c>
      <c r="K613" s="6" t="s">
        <v>9714</v>
      </c>
      <c r="L613" s="16" t="n">
        <v>42958</v>
      </c>
      <c r="M613" s="16" t="n">
        <v>45766</v>
      </c>
      <c r="N613" s="6" t="s">
        <v>104</v>
      </c>
      <c r="O613" s="21" t="s">
        <v>104</v>
      </c>
      <c r="P613" s="6" t="s">
        <v>104</v>
      </c>
      <c r="Q613" s="6" t="s">
        <v>104</v>
      </c>
      <c r="R613" s="6" t="s">
        <v>104</v>
      </c>
      <c r="S613" s="6" t="s">
        <v>104</v>
      </c>
      <c r="T613" s="21" t="s">
        <v>104</v>
      </c>
      <c r="U613" s="6" t="s">
        <v>104</v>
      </c>
      <c r="V613" s="6" t="s">
        <v>104</v>
      </c>
      <c r="W613" s="6" t="s">
        <v>104</v>
      </c>
      <c r="X613" s="6" t="s">
        <v>104</v>
      </c>
      <c r="Y613" s="21" t="s">
        <v>104</v>
      </c>
      <c r="Z613" s="6" t="s">
        <v>104</v>
      </c>
      <c r="AA613" s="6" t="s">
        <v>104</v>
      </c>
      <c r="AB613" s="6" t="s">
        <v>104</v>
      </c>
      <c r="AC613" s="6" t="s">
        <v>9714</v>
      </c>
      <c r="AD613" s="16" t="n">
        <v>42958</v>
      </c>
      <c r="AE613" s="6" t="s">
        <v>11069</v>
      </c>
      <c r="AF613" s="6" t="s">
        <v>104</v>
      </c>
      <c r="AG613" s="6" t="s">
        <v>104</v>
      </c>
      <c r="AH613" s="6" t="s">
        <v>13707</v>
      </c>
      <c r="AI613" s="6" t="s">
        <v>104</v>
      </c>
      <c r="AJ613" s="6" t="s">
        <v>15758</v>
      </c>
      <c r="AK613" s="6" t="s">
        <v>16701</v>
      </c>
      <c r="AL613" s="6" t="s">
        <v>16935</v>
      </c>
      <c r="AM613" s="6" t="s">
        <v>17380</v>
      </c>
      <c r="AN613" s="6" t="s">
        <v>104</v>
      </c>
      <c r="AO613" s="6" t="s">
        <v>104</v>
      </c>
      <c r="AP613" s="6" t="s">
        <v>19103</v>
      </c>
      <c r="AQ613" s="6" t="s">
        <v>104</v>
      </c>
      <c r="AR613" s="6" t="s">
        <v>19646</v>
      </c>
      <c r="AS613" s="6" t="s">
        <v>16701</v>
      </c>
      <c r="AT613" s="6" t="s">
        <v>16935</v>
      </c>
      <c r="AU613" s="6" t="s">
        <v>17380</v>
      </c>
      <c r="AV613" s="6" t="s">
        <v>104</v>
      </c>
      <c r="AW613" s="6" t="s">
        <v>104</v>
      </c>
      <c r="AX613" s="6" t="s">
        <v>20581</v>
      </c>
      <c r="AY613" s="6" t="s">
        <v>22356</v>
      </c>
      <c r="AZ613" s="6" t="s">
        <v>104</v>
      </c>
      <c r="BA613" s="6" t="s">
        <v>24264</v>
      </c>
      <c r="BB613" s="6" t="s">
        <v>104</v>
      </c>
      <c r="BC613" s="26"/>
      <c r="BD613" s="26"/>
      <c r="BE613" s="26"/>
      <c r="BF613" s="26"/>
      <c r="BG613" s="26"/>
      <c r="BH613" s="26"/>
      <c r="BI613" s="26"/>
      <c r="BJ613" s="26"/>
      <c r="BK613" s="26"/>
      <c r="BL613" s="26"/>
      <c r="BM613" s="26"/>
      <c r="BN613" s="26"/>
      <c r="BO613" s="26"/>
      <c r="BP613" s="16" t="n">
        <v>45545</v>
      </c>
      <c r="BQ613" s="28" t="str">
        <f>HYPERLINK("https://organic.ams.usda.gov/Integrity/Certificate.aspx?cid=66&amp;nopid=5500005395")</f>
        <v>https://organic.ams.usda.gov/Integrity/Certificate.aspx?cid=66&amp;nopid=5500005395</v>
      </c>
    </row>
    <row r="614">
      <c r="A614" t="s">
        <v>3</v>
      </c>
      <c r="B614" s="6" t="s">
        <v>21</v>
      </c>
      <c r="C614" s="6" t="s">
        <v>87</v>
      </c>
      <c r="D614" s="6" t="s">
        <v>152</v>
      </c>
      <c r="E614" s="10" t="s">
        <v>812</v>
      </c>
      <c r="F614" s="6" t="s">
        <v>3064</v>
      </c>
      <c r="G614" s="6" t="s">
        <v>104</v>
      </c>
      <c r="H614" s="6" t="s">
        <v>5452</v>
      </c>
      <c r="I614" s="6" t="s">
        <v>7145</v>
      </c>
      <c r="J614" s="6" t="s">
        <v>8593</v>
      </c>
      <c r="K614" s="6" t="s">
        <v>9714</v>
      </c>
      <c r="L614" s="16" t="n">
        <v>40786</v>
      </c>
      <c r="M614" s="16" t="n">
        <v>46023</v>
      </c>
      <c r="N614" s="6" t="s">
        <v>104</v>
      </c>
      <c r="O614" s="21" t="s">
        <v>104</v>
      </c>
      <c r="P614" s="6" t="s">
        <v>104</v>
      </c>
      <c r="Q614" s="6" t="s">
        <v>104</v>
      </c>
      <c r="R614" s="6" t="s">
        <v>104</v>
      </c>
      <c r="S614" s="6" t="s">
        <v>104</v>
      </c>
      <c r="T614" s="21" t="s">
        <v>104</v>
      </c>
      <c r="U614" s="6" t="s">
        <v>104</v>
      </c>
      <c r="V614" s="6" t="s">
        <v>104</v>
      </c>
      <c r="W614" s="6" t="s">
        <v>104</v>
      </c>
      <c r="X614" s="6" t="s">
        <v>104</v>
      </c>
      <c r="Y614" s="21" t="s">
        <v>104</v>
      </c>
      <c r="Z614" s="6" t="s">
        <v>104</v>
      </c>
      <c r="AA614" s="6" t="s">
        <v>104</v>
      </c>
      <c r="AB614" s="6" t="s">
        <v>104</v>
      </c>
      <c r="AC614" s="6" t="s">
        <v>9714</v>
      </c>
      <c r="AD614" s="16" t="n">
        <v>40786</v>
      </c>
      <c r="AE614" s="6" t="s">
        <v>11070</v>
      </c>
      <c r="AF614" s="6" t="s">
        <v>104</v>
      </c>
      <c r="AG614" s="6" t="s">
        <v>104</v>
      </c>
      <c r="AH614" s="6" t="s">
        <v>13708</v>
      </c>
      <c r="AI614" s="6" t="s">
        <v>104</v>
      </c>
      <c r="AJ614" s="6" t="s">
        <v>15759</v>
      </c>
      <c r="AK614" s="6" t="s">
        <v>16684</v>
      </c>
      <c r="AL614" s="6" t="s">
        <v>16931</v>
      </c>
      <c r="AM614" s="6" t="s">
        <v>17381</v>
      </c>
      <c r="AN614" s="6" t="s">
        <v>18454</v>
      </c>
      <c r="AO614" s="6" t="s">
        <v>18559</v>
      </c>
      <c r="AP614" s="6" t="s">
        <v>13708</v>
      </c>
      <c r="AQ614" s="6" t="s">
        <v>104</v>
      </c>
      <c r="AR614" s="6" t="s">
        <v>15759</v>
      </c>
      <c r="AS614" s="6" t="s">
        <v>16684</v>
      </c>
      <c r="AT614" s="6" t="s">
        <v>16931</v>
      </c>
      <c r="AU614" s="6" t="s">
        <v>17381</v>
      </c>
      <c r="AV614" s="6" t="s">
        <v>104</v>
      </c>
      <c r="AW614" s="6" t="s">
        <v>104</v>
      </c>
      <c r="AX614" s="6" t="s">
        <v>20582</v>
      </c>
      <c r="AY614" s="6" t="s">
        <v>22357</v>
      </c>
      <c r="AZ614" s="6" t="s">
        <v>23832</v>
      </c>
      <c r="BA614" s="6" t="s">
        <v>24348</v>
      </c>
      <c r="BB614" s="6" t="s">
        <v>104</v>
      </c>
      <c r="BC614" s="26"/>
      <c r="BD614" s="26"/>
      <c r="BE614" s="26"/>
      <c r="BF614" s="26"/>
      <c r="BG614" s="26"/>
      <c r="BH614" s="26"/>
      <c r="BI614" s="26"/>
      <c r="BJ614" s="26"/>
      <c r="BK614" s="26"/>
      <c r="BL614" s="26"/>
      <c r="BM614" s="26"/>
      <c r="BN614" s="26"/>
      <c r="BO614" s="26"/>
      <c r="BP614" s="16" t="n">
        <v>45667</v>
      </c>
      <c r="BQ614" s="28" t="str">
        <f>HYPERLINK("https://organic.ams.usda.gov/Integrity/Certificate.aspx?cid=15&amp;nopid=5561001682")</f>
        <v>https://organic.ams.usda.gov/Integrity/Certificate.aspx?cid=15&amp;nopid=5561001682</v>
      </c>
    </row>
    <row r="615">
      <c r="A615" t="s">
        <v>3</v>
      </c>
      <c r="B615" s="6" t="s">
        <v>34</v>
      </c>
      <c r="C615" s="6" t="s">
        <v>100</v>
      </c>
      <c r="D615" s="6" t="s">
        <v>165</v>
      </c>
      <c r="E615" s="10" t="s">
        <v>813</v>
      </c>
      <c r="F615" s="6" t="s">
        <v>3065</v>
      </c>
      <c r="G615" s="6" t="s">
        <v>104</v>
      </c>
      <c r="H615" s="6" t="s">
        <v>5453</v>
      </c>
      <c r="I615" s="6" t="s">
        <v>7327</v>
      </c>
      <c r="J615" s="6" t="s">
        <v>8594</v>
      </c>
      <c r="K615" s="6" t="s">
        <v>9714</v>
      </c>
      <c r="L615" s="16" t="n">
        <v>45604</v>
      </c>
      <c r="M615" s="16" t="n">
        <v>45881</v>
      </c>
      <c r="N615" s="6" t="s">
        <v>104</v>
      </c>
      <c r="O615" s="21" t="s">
        <v>104</v>
      </c>
      <c r="P615" s="6" t="s">
        <v>104</v>
      </c>
      <c r="Q615" s="6" t="s">
        <v>104</v>
      </c>
      <c r="R615" s="6" t="s">
        <v>104</v>
      </c>
      <c r="S615" s="6" t="s">
        <v>104</v>
      </c>
      <c r="T615" s="21" t="s">
        <v>104</v>
      </c>
      <c r="U615" s="6" t="s">
        <v>104</v>
      </c>
      <c r="V615" s="6" t="s">
        <v>104</v>
      </c>
      <c r="W615" s="6" t="s">
        <v>104</v>
      </c>
      <c r="X615" s="6" t="s">
        <v>104</v>
      </c>
      <c r="Y615" s="21" t="s">
        <v>104</v>
      </c>
      <c r="Z615" s="6" t="s">
        <v>104</v>
      </c>
      <c r="AA615" s="6" t="s">
        <v>104</v>
      </c>
      <c r="AB615" s="6" t="s">
        <v>104</v>
      </c>
      <c r="AC615" s="6" t="s">
        <v>9714</v>
      </c>
      <c r="AD615" s="16" t="n">
        <v>45604</v>
      </c>
      <c r="AE615" s="6" t="s">
        <v>11071</v>
      </c>
      <c r="AF615" s="6" t="s">
        <v>104</v>
      </c>
      <c r="AG615" s="6" t="s">
        <v>12683</v>
      </c>
      <c r="AH615" s="6" t="s">
        <v>13709</v>
      </c>
      <c r="AI615" s="6" t="s">
        <v>15258</v>
      </c>
      <c r="AJ615" s="6" t="s">
        <v>15760</v>
      </c>
      <c r="AK615" s="6" t="s">
        <v>16370</v>
      </c>
      <c r="AL615" s="6" t="s">
        <v>16931</v>
      </c>
      <c r="AM615" s="6" t="s">
        <v>17382</v>
      </c>
      <c r="AN615" s="6" t="s">
        <v>104</v>
      </c>
      <c r="AO615" s="6" t="s">
        <v>104</v>
      </c>
      <c r="AP615" s="6" t="s">
        <v>13709</v>
      </c>
      <c r="AQ615" s="6" t="s">
        <v>15258</v>
      </c>
      <c r="AR615" s="6" t="s">
        <v>15760</v>
      </c>
      <c r="AS615" s="6" t="s">
        <v>16370</v>
      </c>
      <c r="AT615" s="6" t="s">
        <v>16931</v>
      </c>
      <c r="AU615" s="6" t="s">
        <v>17382</v>
      </c>
      <c r="AV615" s="6" t="s">
        <v>104</v>
      </c>
      <c r="AW615" s="6" t="s">
        <v>104</v>
      </c>
      <c r="AX615" s="6" t="s">
        <v>20583</v>
      </c>
      <c r="AY615" s="6" t="s">
        <v>104</v>
      </c>
      <c r="AZ615" s="6" t="s">
        <v>104</v>
      </c>
      <c r="BA615" s="6" t="s">
        <v>104</v>
      </c>
      <c r="BB615" s="6" t="s">
        <v>104</v>
      </c>
      <c r="BC615" s="26"/>
      <c r="BD615" s="26"/>
      <c r="BE615" s="26"/>
      <c r="BF615" s="26"/>
      <c r="BG615" s="26"/>
      <c r="BH615" s="26"/>
      <c r="BI615" s="26"/>
      <c r="BJ615" s="26"/>
      <c r="BK615" s="26"/>
      <c r="BL615" s="26"/>
      <c r="BM615" s="26"/>
      <c r="BN615" s="26"/>
      <c r="BO615" s="26"/>
      <c r="BP615" s="16" t="n">
        <v>45737</v>
      </c>
      <c r="BQ615" s="28" t="str">
        <f>HYPERLINK("https://organic.ams.usda.gov/Integrity/Certificate.aspx?cid=71&amp;nopid=5520834118")</f>
        <v>https://organic.ams.usda.gov/Integrity/Certificate.aspx?cid=71&amp;nopid=5520834118</v>
      </c>
    </row>
    <row r="616">
      <c r="A616" t="s">
        <v>3</v>
      </c>
      <c r="B616" s="6" t="s">
        <v>42</v>
      </c>
      <c r="C616" s="6" t="s">
        <v>108</v>
      </c>
      <c r="D616" s="6" t="s">
        <v>172</v>
      </c>
      <c r="E616" s="10" t="s">
        <v>814</v>
      </c>
      <c r="F616" s="6" t="s">
        <v>3066</v>
      </c>
      <c r="G616" s="6" t="s">
        <v>104</v>
      </c>
      <c r="H616" s="6" t="s">
        <v>5454</v>
      </c>
      <c r="I616" s="6" t="s">
        <v>7304</v>
      </c>
      <c r="J616" s="6" t="s">
        <v>8595</v>
      </c>
      <c r="K616" s="6" t="s">
        <v>9714</v>
      </c>
      <c r="L616" s="16" t="n">
        <v>44848</v>
      </c>
      <c r="M616" s="16" t="n">
        <v>45213</v>
      </c>
      <c r="N616" s="6" t="s">
        <v>104</v>
      </c>
      <c r="O616" s="21" t="s">
        <v>104</v>
      </c>
      <c r="P616" s="6" t="s">
        <v>104</v>
      </c>
      <c r="Q616" s="6" t="s">
        <v>104</v>
      </c>
      <c r="R616" s="6" t="s">
        <v>104</v>
      </c>
      <c r="S616" s="6" t="s">
        <v>104</v>
      </c>
      <c r="T616" s="21" t="s">
        <v>104</v>
      </c>
      <c r="U616" s="6" t="s">
        <v>104</v>
      </c>
      <c r="V616" s="6" t="s">
        <v>104</v>
      </c>
      <c r="W616" s="6" t="s">
        <v>104</v>
      </c>
      <c r="X616" s="6" t="s">
        <v>104</v>
      </c>
      <c r="Y616" s="21" t="s">
        <v>104</v>
      </c>
      <c r="Z616" s="6" t="s">
        <v>104</v>
      </c>
      <c r="AA616" s="6" t="s">
        <v>104</v>
      </c>
      <c r="AB616" s="6" t="s">
        <v>104</v>
      </c>
      <c r="AC616" s="6" t="s">
        <v>9714</v>
      </c>
      <c r="AD616" s="16" t="n">
        <v>44848</v>
      </c>
      <c r="AE616" s="6" t="s">
        <v>11072</v>
      </c>
      <c r="AF616" s="6" t="s">
        <v>104</v>
      </c>
      <c r="AG616" s="6" t="s">
        <v>5454</v>
      </c>
      <c r="AH616" s="6" t="s">
        <v>13710</v>
      </c>
      <c r="AI616" s="6" t="s">
        <v>104</v>
      </c>
      <c r="AJ616" s="6" t="s">
        <v>15761</v>
      </c>
      <c r="AK616" s="6" t="s">
        <v>16751</v>
      </c>
      <c r="AL616" s="6" t="s">
        <v>16931</v>
      </c>
      <c r="AM616" s="6" t="s">
        <v>17383</v>
      </c>
      <c r="AN616" s="6" t="s">
        <v>5640</v>
      </c>
      <c r="AO616" s="6" t="s">
        <v>18567</v>
      </c>
      <c r="AP616" s="6" t="s">
        <v>104</v>
      </c>
      <c r="AQ616" s="6" t="s">
        <v>104</v>
      </c>
      <c r="AR616" s="6" t="s">
        <v>104</v>
      </c>
      <c r="AS616" s="6" t="s">
        <v>104</v>
      </c>
      <c r="AT616" s="6" t="s">
        <v>104</v>
      </c>
      <c r="AU616" s="6" t="s">
        <v>104</v>
      </c>
      <c r="AV616" s="6" t="s">
        <v>104</v>
      </c>
      <c r="AW616" s="6" t="s">
        <v>104</v>
      </c>
      <c r="AX616" s="6" t="s">
        <v>20584</v>
      </c>
      <c r="AY616" s="6" t="s">
        <v>22358</v>
      </c>
      <c r="AZ616" s="6" t="s">
        <v>104</v>
      </c>
      <c r="BA616" s="6" t="s">
        <v>104</v>
      </c>
      <c r="BB616" s="6" t="s">
        <v>104</v>
      </c>
      <c r="BC616" s="26"/>
      <c r="BD616" s="26"/>
      <c r="BE616" s="26"/>
      <c r="BF616" s="26"/>
      <c r="BG616" s="26"/>
      <c r="BH616" s="26"/>
      <c r="BI616" s="26"/>
      <c r="BJ616" s="26"/>
      <c r="BK616" s="26"/>
      <c r="BL616" s="26"/>
      <c r="BM616" s="26"/>
      <c r="BN616" s="26" t="s">
        <v>24533</v>
      </c>
      <c r="BO616" s="26"/>
      <c r="BP616" s="16" t="n">
        <v>44931</v>
      </c>
      <c r="BQ616" s="28" t="str">
        <f>HYPERLINK("https://organic.ams.usda.gov/Integrity/Certificate.aspx?cid=69&amp;nopid=1564562000")</f>
        <v>https://organic.ams.usda.gov/Integrity/Certificate.aspx?cid=69&amp;nopid=1564562000</v>
      </c>
    </row>
    <row r="617">
      <c r="A617" t="s">
        <v>3</v>
      </c>
      <c r="B617" s="6" t="s">
        <v>54</v>
      </c>
      <c r="C617" s="6" t="s">
        <v>120</v>
      </c>
      <c r="D617" s="6" t="s">
        <v>184</v>
      </c>
      <c r="E617" s="10" t="s">
        <v>815</v>
      </c>
      <c r="F617" s="6" t="s">
        <v>3067</v>
      </c>
      <c r="G617" s="6" t="s">
        <v>104</v>
      </c>
      <c r="H617" s="6" t="s">
        <v>5455</v>
      </c>
      <c r="I617" s="6" t="s">
        <v>7219</v>
      </c>
      <c r="J617" s="6" t="s">
        <v>8596</v>
      </c>
      <c r="K617" s="6" t="s">
        <v>9714</v>
      </c>
      <c r="L617" s="16" t="n">
        <v>43336</v>
      </c>
      <c r="M617" s="16" t="n">
        <v>45717</v>
      </c>
      <c r="N617" s="6" t="s">
        <v>9714</v>
      </c>
      <c r="O617" s="16" t="n">
        <v>43336</v>
      </c>
      <c r="P617" s="6" t="s">
        <v>9892</v>
      </c>
      <c r="Q617" s="6" t="s">
        <v>104</v>
      </c>
      <c r="R617" s="6" t="s">
        <v>104</v>
      </c>
      <c r="S617" s="6" t="s">
        <v>104</v>
      </c>
      <c r="T617" s="21" t="s">
        <v>104</v>
      </c>
      <c r="U617" s="6" t="s">
        <v>104</v>
      </c>
      <c r="V617" s="6" t="s">
        <v>104</v>
      </c>
      <c r="W617" s="6" t="s">
        <v>104</v>
      </c>
      <c r="X617" s="6" t="s">
        <v>104</v>
      </c>
      <c r="Y617" s="21" t="s">
        <v>104</v>
      </c>
      <c r="Z617" s="6" t="s">
        <v>104</v>
      </c>
      <c r="AA617" s="6" t="s">
        <v>104</v>
      </c>
      <c r="AB617" s="6" t="s">
        <v>104</v>
      </c>
      <c r="AC617" s="6" t="s">
        <v>104</v>
      </c>
      <c r="AD617" s="21" t="s">
        <v>104</v>
      </c>
      <c r="AE617" s="6" t="s">
        <v>104</v>
      </c>
      <c r="AF617" s="6" t="s">
        <v>104</v>
      </c>
      <c r="AG617" s="6" t="s">
        <v>104</v>
      </c>
      <c r="AH617" s="6" t="s">
        <v>13711</v>
      </c>
      <c r="AI617" s="6" t="s">
        <v>104</v>
      </c>
      <c r="AJ617" s="6" t="s">
        <v>15762</v>
      </c>
      <c r="AK617" s="6" t="s">
        <v>16743</v>
      </c>
      <c r="AL617" s="6" t="s">
        <v>16931</v>
      </c>
      <c r="AM617" s="6" t="s">
        <v>17384</v>
      </c>
      <c r="AN617" s="6" t="s">
        <v>18459</v>
      </c>
      <c r="AO617" s="6" t="s">
        <v>18691</v>
      </c>
      <c r="AP617" s="6" t="s">
        <v>19104</v>
      </c>
      <c r="AQ617" s="6" t="s">
        <v>104</v>
      </c>
      <c r="AR617" s="6" t="s">
        <v>19647</v>
      </c>
      <c r="AS617" s="6" t="s">
        <v>16730</v>
      </c>
      <c r="AT617" s="6" t="s">
        <v>16931</v>
      </c>
      <c r="AU617" s="6" t="s">
        <v>19875</v>
      </c>
      <c r="AV617" s="6" t="s">
        <v>104</v>
      </c>
      <c r="AW617" s="6" t="s">
        <v>104</v>
      </c>
      <c r="AX617" s="6" t="s">
        <v>104</v>
      </c>
      <c r="AY617" s="6" t="s">
        <v>22359</v>
      </c>
      <c r="AZ617" s="6" t="s">
        <v>104</v>
      </c>
      <c r="BA617" s="6" t="s">
        <v>24267</v>
      </c>
      <c r="BB617" s="24" t="n">
        <v>232</v>
      </c>
      <c r="BC617" s="26"/>
      <c r="BD617" s="26"/>
      <c r="BE617" s="26"/>
      <c r="BF617" s="26"/>
      <c r="BG617" s="26"/>
      <c r="BH617" s="26"/>
      <c r="BI617" s="26"/>
      <c r="BJ617" s="26"/>
      <c r="BK617" s="26"/>
      <c r="BL617" s="26"/>
      <c r="BM617" s="26"/>
      <c r="BN617" s="26"/>
      <c r="BO617" s="26"/>
      <c r="BP617" s="16" t="n">
        <v>45642</v>
      </c>
      <c r="BQ617" s="28" t="str">
        <f>HYPERLINK("https://organic.ams.usda.gov/Integrity/Certificate.aspx?cid=60&amp;nopid=2580002586")</f>
        <v>https://organic.ams.usda.gov/Integrity/Certificate.aspx?cid=60&amp;nopid=2580002586</v>
      </c>
    </row>
    <row r="618">
      <c r="A618" t="s">
        <v>3</v>
      </c>
      <c r="B618" s="6" t="s">
        <v>54</v>
      </c>
      <c r="C618" s="6" t="s">
        <v>120</v>
      </c>
      <c r="D618" s="6" t="s">
        <v>184</v>
      </c>
      <c r="E618" s="10" t="s">
        <v>816</v>
      </c>
      <c r="F618" s="6" t="s">
        <v>3068</v>
      </c>
      <c r="G618" s="6" t="s">
        <v>104</v>
      </c>
      <c r="H618" s="6" t="s">
        <v>5456</v>
      </c>
      <c r="I618" s="6" t="s">
        <v>7328</v>
      </c>
      <c r="J618" s="6" t="s">
        <v>8597</v>
      </c>
      <c r="K618" s="6" t="s">
        <v>9714</v>
      </c>
      <c r="L618" s="16" t="n">
        <v>41458</v>
      </c>
      <c r="M618" s="16" t="n">
        <v>45717</v>
      </c>
      <c r="N618" s="6" t="s">
        <v>9714</v>
      </c>
      <c r="O618" s="16" t="n">
        <v>41458</v>
      </c>
      <c r="P618" s="6" t="s">
        <v>9893</v>
      </c>
      <c r="Q618" s="6" t="s">
        <v>104</v>
      </c>
      <c r="R618" s="6" t="s">
        <v>104</v>
      </c>
      <c r="S618" s="6" t="s">
        <v>104</v>
      </c>
      <c r="T618" s="21" t="s">
        <v>104</v>
      </c>
      <c r="U618" s="6" t="s">
        <v>104</v>
      </c>
      <c r="V618" s="6" t="s">
        <v>104</v>
      </c>
      <c r="W618" s="6" t="s">
        <v>104</v>
      </c>
      <c r="X618" s="6" t="s">
        <v>104</v>
      </c>
      <c r="Y618" s="21" t="s">
        <v>104</v>
      </c>
      <c r="Z618" s="6" t="s">
        <v>104</v>
      </c>
      <c r="AA618" s="6" t="s">
        <v>104</v>
      </c>
      <c r="AB618" s="6" t="s">
        <v>104</v>
      </c>
      <c r="AC618" s="6" t="s">
        <v>104</v>
      </c>
      <c r="AD618" s="21" t="s">
        <v>104</v>
      </c>
      <c r="AE618" s="6" t="s">
        <v>104</v>
      </c>
      <c r="AF618" s="6" t="s">
        <v>104</v>
      </c>
      <c r="AG618" s="6" t="s">
        <v>104</v>
      </c>
      <c r="AH618" s="6" t="s">
        <v>13712</v>
      </c>
      <c r="AI618" s="6" t="s">
        <v>104</v>
      </c>
      <c r="AJ618" s="6" t="s">
        <v>15763</v>
      </c>
      <c r="AK618" s="6" t="s">
        <v>16791</v>
      </c>
      <c r="AL618" s="6" t="s">
        <v>16931</v>
      </c>
      <c r="AM618" s="6" t="s">
        <v>17385</v>
      </c>
      <c r="AN618" s="6" t="s">
        <v>18492</v>
      </c>
      <c r="AO618" s="6" t="s">
        <v>18692</v>
      </c>
      <c r="AP618" s="6" t="s">
        <v>19105</v>
      </c>
      <c r="AQ618" s="6" t="s">
        <v>104</v>
      </c>
      <c r="AR618" s="6" t="s">
        <v>19648</v>
      </c>
      <c r="AS618" s="6" t="s">
        <v>16684</v>
      </c>
      <c r="AT618" s="6" t="s">
        <v>16931</v>
      </c>
      <c r="AU618" s="6" t="s">
        <v>19876</v>
      </c>
      <c r="AV618" s="6" t="s">
        <v>104</v>
      </c>
      <c r="AW618" s="6" t="s">
        <v>104</v>
      </c>
      <c r="AX618" s="6" t="s">
        <v>104</v>
      </c>
      <c r="AY618" s="6" t="s">
        <v>22360</v>
      </c>
      <c r="AZ618" s="6" t="s">
        <v>104</v>
      </c>
      <c r="BA618" s="6" t="s">
        <v>24267</v>
      </c>
      <c r="BB618" s="24" t="n">
        <v>2352</v>
      </c>
      <c r="BC618" s="26"/>
      <c r="BD618" s="26"/>
      <c r="BE618" s="26"/>
      <c r="BF618" s="26"/>
      <c r="BG618" s="26"/>
      <c r="BH618" s="26"/>
      <c r="BI618" s="26"/>
      <c r="BJ618" s="26"/>
      <c r="BK618" s="26"/>
      <c r="BL618" s="26"/>
      <c r="BM618" s="26"/>
      <c r="BN618" s="26"/>
      <c r="BO618" s="26"/>
      <c r="BP618" s="16" t="n">
        <v>45671</v>
      </c>
      <c r="BQ618" s="28" t="str">
        <f>HYPERLINK("https://organic.ams.usda.gov/Integrity/Certificate.aspx?cid=60&amp;nopid=2580001305")</f>
        <v>https://organic.ams.usda.gov/Integrity/Certificate.aspx?cid=60&amp;nopid=2580001305</v>
      </c>
    </row>
    <row r="619">
      <c r="A619" t="s">
        <v>3</v>
      </c>
      <c r="B619" s="6" t="s">
        <v>21</v>
      </c>
      <c r="C619" s="6" t="s">
        <v>87</v>
      </c>
      <c r="D619" s="6" t="s">
        <v>152</v>
      </c>
      <c r="E619" s="10" t="s">
        <v>817</v>
      </c>
      <c r="F619" s="6" t="s">
        <v>3069</v>
      </c>
      <c r="G619" s="6" t="s">
        <v>104</v>
      </c>
      <c r="H619" s="6" t="s">
        <v>5457</v>
      </c>
      <c r="I619" s="6" t="s">
        <v>7329</v>
      </c>
      <c r="J619" s="6" t="s">
        <v>8598</v>
      </c>
      <c r="K619" s="6" t="s">
        <v>9714</v>
      </c>
      <c r="L619" s="16" t="n">
        <v>39294</v>
      </c>
      <c r="M619" s="16" t="n">
        <v>46023</v>
      </c>
      <c r="N619" s="6" t="s">
        <v>9714</v>
      </c>
      <c r="O619" s="16" t="n">
        <v>39294</v>
      </c>
      <c r="P619" s="6" t="s">
        <v>9894</v>
      </c>
      <c r="Q619" s="6" t="s">
        <v>104</v>
      </c>
      <c r="R619" s="6" t="s">
        <v>104</v>
      </c>
      <c r="S619" s="6" t="s">
        <v>9721</v>
      </c>
      <c r="T619" s="16" t="n">
        <v>44984</v>
      </c>
      <c r="U619" s="6" t="s">
        <v>104</v>
      </c>
      <c r="V619" s="6" t="s">
        <v>104</v>
      </c>
      <c r="W619" s="6" t="s">
        <v>104</v>
      </c>
      <c r="X619" s="6" t="s">
        <v>9721</v>
      </c>
      <c r="Y619" s="16" t="n">
        <v>45240</v>
      </c>
      <c r="Z619" s="6" t="s">
        <v>104</v>
      </c>
      <c r="AA619" s="6" t="s">
        <v>104</v>
      </c>
      <c r="AB619" s="6" t="s">
        <v>104</v>
      </c>
      <c r="AC619" s="6" t="s">
        <v>9714</v>
      </c>
      <c r="AD619" s="16" t="n">
        <v>44882</v>
      </c>
      <c r="AE619" s="6" t="s">
        <v>104</v>
      </c>
      <c r="AF619" s="6" t="s">
        <v>104</v>
      </c>
      <c r="AG619" s="6" t="s">
        <v>104</v>
      </c>
      <c r="AH619" s="6" t="s">
        <v>13713</v>
      </c>
      <c r="AI619" s="6" t="s">
        <v>104</v>
      </c>
      <c r="AJ619" s="6" t="s">
        <v>15764</v>
      </c>
      <c r="AK619" s="6" t="s">
        <v>16687</v>
      </c>
      <c r="AL619" s="6" t="s">
        <v>16931</v>
      </c>
      <c r="AM619" s="6" t="s">
        <v>17386</v>
      </c>
      <c r="AN619" s="6" t="s">
        <v>18477</v>
      </c>
      <c r="AO619" s="6" t="s">
        <v>18586</v>
      </c>
      <c r="AP619" s="6" t="s">
        <v>19106</v>
      </c>
      <c r="AQ619" s="6" t="s">
        <v>104</v>
      </c>
      <c r="AR619" s="6" t="s">
        <v>15764</v>
      </c>
      <c r="AS619" s="6" t="s">
        <v>16687</v>
      </c>
      <c r="AT619" s="6" t="s">
        <v>16931</v>
      </c>
      <c r="AU619" s="6" t="s">
        <v>17386</v>
      </c>
      <c r="AV619" s="6" t="s">
        <v>104</v>
      </c>
      <c r="AW619" s="6" t="s">
        <v>104</v>
      </c>
      <c r="AX619" s="6" t="s">
        <v>20585</v>
      </c>
      <c r="AY619" s="6" t="s">
        <v>22361</v>
      </c>
      <c r="AZ619" s="6" t="s">
        <v>23833</v>
      </c>
      <c r="BA619" s="6" t="s">
        <v>24349</v>
      </c>
      <c r="BB619" s="24" t="n">
        <v>7236</v>
      </c>
      <c r="BC619" s="26"/>
      <c r="BD619" s="26"/>
      <c r="BE619" s="26"/>
      <c r="BF619" s="26"/>
      <c r="BG619" s="26"/>
      <c r="BH619" s="26"/>
      <c r="BI619" s="26"/>
      <c r="BJ619" s="26"/>
      <c r="BK619" s="26"/>
      <c r="BL619" s="26"/>
      <c r="BM619" s="26"/>
      <c r="BN619" s="26"/>
      <c r="BO619" s="26"/>
      <c r="BP619" s="16" t="n">
        <v>45667</v>
      </c>
      <c r="BQ619" s="28" t="str">
        <f>HYPERLINK("https://organic.ams.usda.gov/Integrity/Certificate.aspx?cid=15&amp;nopid=5561000502")</f>
        <v>https://organic.ams.usda.gov/Integrity/Certificate.aspx?cid=15&amp;nopid=5561000502</v>
      </c>
    </row>
    <row r="620">
      <c r="A620" t="s">
        <v>3</v>
      </c>
      <c r="B620" s="6" t="s">
        <v>12</v>
      </c>
      <c r="C620" s="6" t="s">
        <v>78</v>
      </c>
      <c r="D620" s="6" t="s">
        <v>143</v>
      </c>
      <c r="E620" s="10" t="s">
        <v>818</v>
      </c>
      <c r="F620" s="6" t="s">
        <v>3070</v>
      </c>
      <c r="G620" s="6" t="s">
        <v>104</v>
      </c>
      <c r="H620" s="6" t="s">
        <v>104</v>
      </c>
      <c r="I620" s="6" t="s">
        <v>7330</v>
      </c>
      <c r="J620" s="6" t="s">
        <v>8599</v>
      </c>
      <c r="K620" s="6" t="s">
        <v>9714</v>
      </c>
      <c r="L620" s="16" t="n">
        <v>44378</v>
      </c>
      <c r="M620" s="16" t="n">
        <v>45809</v>
      </c>
      <c r="N620" s="6" t="s">
        <v>9714</v>
      </c>
      <c r="O620" s="16" t="n">
        <v>44378</v>
      </c>
      <c r="P620" s="6" t="s">
        <v>9895</v>
      </c>
      <c r="Q620" s="6" t="s">
        <v>104</v>
      </c>
      <c r="R620" s="6" t="s">
        <v>10345</v>
      </c>
      <c r="S620" s="6" t="s">
        <v>9714</v>
      </c>
      <c r="T620" s="16" t="n">
        <v>44378</v>
      </c>
      <c r="U620" s="6" t="s">
        <v>10480</v>
      </c>
      <c r="V620" s="6" t="s">
        <v>104</v>
      </c>
      <c r="W620" s="6" t="s">
        <v>104</v>
      </c>
      <c r="X620" s="6" t="s">
        <v>104</v>
      </c>
      <c r="Y620" s="21" t="s">
        <v>104</v>
      </c>
      <c r="Z620" s="6" t="s">
        <v>104</v>
      </c>
      <c r="AA620" s="6" t="s">
        <v>104</v>
      </c>
      <c r="AB620" s="6" t="s">
        <v>104</v>
      </c>
      <c r="AC620" s="6" t="s">
        <v>9714</v>
      </c>
      <c r="AD620" s="16" t="n">
        <v>44378</v>
      </c>
      <c r="AE620" s="6" t="s">
        <v>11073</v>
      </c>
      <c r="AF620" s="6" t="s">
        <v>104</v>
      </c>
      <c r="AG620" s="6" t="s">
        <v>10345</v>
      </c>
      <c r="AH620" s="6" t="s">
        <v>13714</v>
      </c>
      <c r="AI620" s="6" t="s">
        <v>104</v>
      </c>
      <c r="AJ620" s="6" t="s">
        <v>15765</v>
      </c>
      <c r="AK620" s="6" t="s">
        <v>16678</v>
      </c>
      <c r="AL620" s="6" t="s">
        <v>16931</v>
      </c>
      <c r="AM620" s="6" t="s">
        <v>17387</v>
      </c>
      <c r="AN620" s="6" t="s">
        <v>18450</v>
      </c>
      <c r="AO620" s="6" t="s">
        <v>18555</v>
      </c>
      <c r="AP620" s="6" t="s">
        <v>19107</v>
      </c>
      <c r="AQ620" s="6" t="s">
        <v>104</v>
      </c>
      <c r="AR620" s="6" t="s">
        <v>15765</v>
      </c>
      <c r="AS620" s="6" t="s">
        <v>16678</v>
      </c>
      <c r="AT620" s="6" t="s">
        <v>16931</v>
      </c>
      <c r="AU620" s="6" t="s">
        <v>17387</v>
      </c>
      <c r="AV620" s="6" t="s">
        <v>104</v>
      </c>
      <c r="AW620" s="6" t="s">
        <v>104</v>
      </c>
      <c r="AX620" s="6" t="s">
        <v>104</v>
      </c>
      <c r="AY620" s="6" t="s">
        <v>22362</v>
      </c>
      <c r="AZ620" s="6" t="s">
        <v>104</v>
      </c>
      <c r="BA620" s="6" t="s">
        <v>104</v>
      </c>
      <c r="BB620" s="24" t="n">
        <v>11087</v>
      </c>
      <c r="BC620" s="26"/>
      <c r="BD620" s="26"/>
      <c r="BE620" s="26"/>
      <c r="BF620" s="26"/>
      <c r="BG620" s="26"/>
      <c r="BH620" s="26"/>
      <c r="BI620" s="26"/>
      <c r="BJ620" s="26"/>
      <c r="BK620" s="26"/>
      <c r="BL620" s="26"/>
      <c r="BM620" s="26"/>
      <c r="BN620" s="26"/>
      <c r="BO620" s="26"/>
      <c r="BP620" s="16" t="n">
        <v>45723</v>
      </c>
      <c r="BQ620" s="28" t="str">
        <f>HYPERLINK("https://organic.ams.usda.gov/Integrity/Certificate.aspx?cid=1&amp;nopid=9092117201")</f>
        <v>https://organic.ams.usda.gov/Integrity/Certificate.aspx?cid=1&amp;nopid=9092117201</v>
      </c>
    </row>
    <row r="621">
      <c r="A621" t="s">
        <v>3</v>
      </c>
      <c r="B621" s="6" t="s">
        <v>18</v>
      </c>
      <c r="C621" s="6" t="s">
        <v>84</v>
      </c>
      <c r="D621" s="6" t="s">
        <v>149</v>
      </c>
      <c r="E621" s="10" t="s">
        <v>819</v>
      </c>
      <c r="F621" s="6" t="s">
        <v>3071</v>
      </c>
      <c r="G621" s="6" t="s">
        <v>104</v>
      </c>
      <c r="H621" s="6" t="s">
        <v>5458</v>
      </c>
      <c r="I621" s="6" t="s">
        <v>7331</v>
      </c>
      <c r="J621" s="6" t="s">
        <v>8600</v>
      </c>
      <c r="K621" s="6" t="s">
        <v>9714</v>
      </c>
      <c r="L621" s="16" t="n">
        <v>45446</v>
      </c>
      <c r="M621" s="16" t="n">
        <v>45811</v>
      </c>
      <c r="N621" s="6" t="s">
        <v>104</v>
      </c>
      <c r="O621" s="21" t="s">
        <v>104</v>
      </c>
      <c r="P621" s="6" t="s">
        <v>104</v>
      </c>
      <c r="Q621" s="6" t="s">
        <v>104</v>
      </c>
      <c r="R621" s="6" t="s">
        <v>104</v>
      </c>
      <c r="S621" s="6" t="s">
        <v>104</v>
      </c>
      <c r="T621" s="21" t="s">
        <v>104</v>
      </c>
      <c r="U621" s="6" t="s">
        <v>104</v>
      </c>
      <c r="V621" s="6" t="s">
        <v>104</v>
      </c>
      <c r="W621" s="6" t="s">
        <v>104</v>
      </c>
      <c r="X621" s="6" t="s">
        <v>104</v>
      </c>
      <c r="Y621" s="21" t="s">
        <v>104</v>
      </c>
      <c r="Z621" s="6" t="s">
        <v>104</v>
      </c>
      <c r="AA621" s="6" t="s">
        <v>104</v>
      </c>
      <c r="AB621" s="6" t="s">
        <v>104</v>
      </c>
      <c r="AC621" s="6" t="s">
        <v>9714</v>
      </c>
      <c r="AD621" s="16" t="n">
        <v>45446</v>
      </c>
      <c r="AE621" s="6" t="s">
        <v>11074</v>
      </c>
      <c r="AF621" s="6" t="s">
        <v>104</v>
      </c>
      <c r="AG621" s="6" t="s">
        <v>12684</v>
      </c>
      <c r="AH621" s="6" t="s">
        <v>13715</v>
      </c>
      <c r="AI621" s="6" t="s">
        <v>104</v>
      </c>
      <c r="AJ621" s="6" t="s">
        <v>15766</v>
      </c>
      <c r="AK621" s="6" t="s">
        <v>16686</v>
      </c>
      <c r="AL621" s="6" t="s">
        <v>16931</v>
      </c>
      <c r="AM621" s="6" t="s">
        <v>17388</v>
      </c>
      <c r="AN621" s="6" t="s">
        <v>104</v>
      </c>
      <c r="AO621" s="6" t="s">
        <v>104</v>
      </c>
      <c r="AP621" s="6" t="s">
        <v>104</v>
      </c>
      <c r="AQ621" s="6" t="s">
        <v>104</v>
      </c>
      <c r="AR621" s="6" t="s">
        <v>104</v>
      </c>
      <c r="AS621" s="6" t="s">
        <v>104</v>
      </c>
      <c r="AT621" s="6" t="s">
        <v>104</v>
      </c>
      <c r="AU621" s="6" t="s">
        <v>104</v>
      </c>
      <c r="AV621" s="6" t="s">
        <v>104</v>
      </c>
      <c r="AW621" s="6" t="s">
        <v>104</v>
      </c>
      <c r="AX621" s="6" t="s">
        <v>104</v>
      </c>
      <c r="AY621" s="6" t="s">
        <v>104</v>
      </c>
      <c r="AZ621" s="6" t="s">
        <v>104</v>
      </c>
      <c r="BA621" s="6" t="s">
        <v>104</v>
      </c>
      <c r="BB621" s="6" t="s">
        <v>104</v>
      </c>
      <c r="BC621" s="26"/>
      <c r="BD621" s="26"/>
      <c r="BE621" s="26"/>
      <c r="BF621" s="26"/>
      <c r="BG621" s="26"/>
      <c r="BH621" s="26"/>
      <c r="BI621" s="26"/>
      <c r="BJ621" s="26"/>
      <c r="BK621" s="26"/>
      <c r="BL621" s="26"/>
      <c r="BM621" s="26"/>
      <c r="BN621" s="26" t="s">
        <v>24533</v>
      </c>
      <c r="BO621" s="26"/>
      <c r="BP621" s="16" t="n">
        <v>45737</v>
      </c>
      <c r="BQ621" s="28" t="str">
        <f>HYPERLINK("https://organic.ams.usda.gov/Integrity/Certificate.aspx?cid=31&amp;nopid=3928972402")</f>
        <v>https://organic.ams.usda.gov/Integrity/Certificate.aspx?cid=31&amp;nopid=3928972402</v>
      </c>
    </row>
    <row r="622">
      <c r="A622" t="s">
        <v>3</v>
      </c>
      <c r="B622" s="6" t="s">
        <v>23</v>
      </c>
      <c r="C622" s="6" t="s">
        <v>89</v>
      </c>
      <c r="D622" s="6" t="s">
        <v>154</v>
      </c>
      <c r="E622" s="10" t="s">
        <v>820</v>
      </c>
      <c r="F622" s="6" t="s">
        <v>3072</v>
      </c>
      <c r="G622" s="6" t="s">
        <v>4733</v>
      </c>
      <c r="H622" s="6" t="s">
        <v>5459</v>
      </c>
      <c r="I622" s="6" t="s">
        <v>7041</v>
      </c>
      <c r="J622" s="6" t="s">
        <v>8601</v>
      </c>
      <c r="K622" s="6" t="s">
        <v>9714</v>
      </c>
      <c r="L622" s="16" t="n">
        <v>40835</v>
      </c>
      <c r="M622" s="16" t="n">
        <v>45689</v>
      </c>
      <c r="N622" s="6" t="s">
        <v>9714</v>
      </c>
      <c r="O622" s="16" t="n">
        <v>40835</v>
      </c>
      <c r="P622" s="6" t="s">
        <v>9896</v>
      </c>
      <c r="Q622" s="6" t="s">
        <v>104</v>
      </c>
      <c r="R622" s="6" t="s">
        <v>5459</v>
      </c>
      <c r="S622" s="6" t="s">
        <v>104</v>
      </c>
      <c r="T622" s="21" t="s">
        <v>104</v>
      </c>
      <c r="U622" s="6" t="s">
        <v>104</v>
      </c>
      <c r="V622" s="6" t="s">
        <v>104</v>
      </c>
      <c r="W622" s="6" t="s">
        <v>104</v>
      </c>
      <c r="X622" s="6" t="s">
        <v>104</v>
      </c>
      <c r="Y622" s="21" t="s">
        <v>104</v>
      </c>
      <c r="Z622" s="6" t="s">
        <v>104</v>
      </c>
      <c r="AA622" s="6" t="s">
        <v>104</v>
      </c>
      <c r="AB622" s="6" t="s">
        <v>104</v>
      </c>
      <c r="AC622" s="6" t="s">
        <v>9714</v>
      </c>
      <c r="AD622" s="16" t="n">
        <v>40835</v>
      </c>
      <c r="AE622" s="6" t="s">
        <v>11075</v>
      </c>
      <c r="AF622" s="6" t="s">
        <v>104</v>
      </c>
      <c r="AG622" s="6" t="s">
        <v>5459</v>
      </c>
      <c r="AH622" s="6" t="s">
        <v>13716</v>
      </c>
      <c r="AI622" s="6" t="s">
        <v>104</v>
      </c>
      <c r="AJ622" s="6" t="s">
        <v>15767</v>
      </c>
      <c r="AK622" s="6" t="s">
        <v>16714</v>
      </c>
      <c r="AL622" s="6" t="s">
        <v>16931</v>
      </c>
      <c r="AM622" s="6" t="s">
        <v>17389</v>
      </c>
      <c r="AN622" s="6" t="s">
        <v>17469</v>
      </c>
      <c r="AO622" s="6" t="s">
        <v>18693</v>
      </c>
      <c r="AP622" s="6" t="s">
        <v>19108</v>
      </c>
      <c r="AQ622" s="6" t="s">
        <v>104</v>
      </c>
      <c r="AR622" s="6" t="s">
        <v>15767</v>
      </c>
      <c r="AS622" s="6" t="s">
        <v>16714</v>
      </c>
      <c r="AT622" s="6" t="s">
        <v>16931</v>
      </c>
      <c r="AU622" s="6" t="s">
        <v>17389</v>
      </c>
      <c r="AV622" s="6" t="s">
        <v>104</v>
      </c>
      <c r="AW622" s="6" t="s">
        <v>104</v>
      </c>
      <c r="AX622" s="6" t="s">
        <v>20586</v>
      </c>
      <c r="AY622" s="6" t="s">
        <v>22363</v>
      </c>
      <c r="AZ622" s="6" t="s">
        <v>23834</v>
      </c>
      <c r="BA622" s="6" t="s">
        <v>24350</v>
      </c>
      <c r="BB622" s="24" t="n">
        <v>1345</v>
      </c>
      <c r="BC622" s="26"/>
      <c r="BD622" s="26"/>
      <c r="BE622" s="26"/>
      <c r="BF622" s="26"/>
      <c r="BG622" s="26"/>
      <c r="BH622" s="26"/>
      <c r="BI622" s="26"/>
      <c r="BJ622" s="26"/>
      <c r="BK622" s="26"/>
      <c r="BL622" s="26"/>
      <c r="BM622" s="26"/>
      <c r="BN622" s="26"/>
      <c r="BO622" s="26"/>
      <c r="BP622" s="16" t="n">
        <v>45688</v>
      </c>
      <c r="BQ622" s="28" t="str">
        <f>HYPERLINK("https://organic.ams.usda.gov/Integrity/Certificate.aspx?cid=45&amp;nopid=9950004514")</f>
        <v>https://organic.ams.usda.gov/Integrity/Certificate.aspx?cid=45&amp;nopid=9950004514</v>
      </c>
    </row>
    <row r="623">
      <c r="A623" t="s">
        <v>3</v>
      </c>
      <c r="B623" s="6" t="s">
        <v>13</v>
      </c>
      <c r="C623" s="6" t="s">
        <v>79</v>
      </c>
      <c r="D623" s="6" t="s">
        <v>144</v>
      </c>
      <c r="E623" s="10" t="s">
        <v>821</v>
      </c>
      <c r="F623" s="6" t="s">
        <v>3073</v>
      </c>
      <c r="G623" s="6" t="s">
        <v>104</v>
      </c>
      <c r="H623" s="6" t="s">
        <v>5460</v>
      </c>
      <c r="I623" s="6" t="s">
        <v>7332</v>
      </c>
      <c r="J623" s="6" t="s">
        <v>8602</v>
      </c>
      <c r="K623" s="6" t="s">
        <v>9714</v>
      </c>
      <c r="L623" s="16" t="n">
        <v>44406</v>
      </c>
      <c r="M623" s="16" t="n">
        <v>46023</v>
      </c>
      <c r="N623" s="6" t="s">
        <v>9714</v>
      </c>
      <c r="O623" s="16" t="n">
        <v>44406</v>
      </c>
      <c r="P623" s="6" t="s">
        <v>9897</v>
      </c>
      <c r="Q623" s="6" t="s">
        <v>104</v>
      </c>
      <c r="R623" s="6" t="s">
        <v>104</v>
      </c>
      <c r="S623" s="6" t="s">
        <v>104</v>
      </c>
      <c r="T623" s="21" t="s">
        <v>104</v>
      </c>
      <c r="U623" s="6" t="s">
        <v>104</v>
      </c>
      <c r="V623" s="6" t="s">
        <v>104</v>
      </c>
      <c r="W623" s="6" t="s">
        <v>104</v>
      </c>
      <c r="X623" s="6" t="s">
        <v>104</v>
      </c>
      <c r="Y623" s="21" t="s">
        <v>104</v>
      </c>
      <c r="Z623" s="6" t="s">
        <v>104</v>
      </c>
      <c r="AA623" s="6" t="s">
        <v>104</v>
      </c>
      <c r="AB623" s="6" t="s">
        <v>104</v>
      </c>
      <c r="AC623" s="6" t="s">
        <v>104</v>
      </c>
      <c r="AD623" s="21" t="s">
        <v>104</v>
      </c>
      <c r="AE623" s="6" t="s">
        <v>104</v>
      </c>
      <c r="AF623" s="6" t="s">
        <v>104</v>
      </c>
      <c r="AG623" s="6" t="s">
        <v>104</v>
      </c>
      <c r="AH623" s="6" t="s">
        <v>104</v>
      </c>
      <c r="AI623" s="6" t="s">
        <v>104</v>
      </c>
      <c r="AJ623" s="6" t="s">
        <v>104</v>
      </c>
      <c r="AK623" s="6" t="s">
        <v>104</v>
      </c>
      <c r="AL623" s="6" t="s">
        <v>104</v>
      </c>
      <c r="AM623" s="6" t="s">
        <v>104</v>
      </c>
      <c r="AN623" s="6" t="s">
        <v>104</v>
      </c>
      <c r="AO623" s="6" t="s">
        <v>104</v>
      </c>
      <c r="AP623" s="6" t="s">
        <v>19109</v>
      </c>
      <c r="AQ623" s="6" t="s">
        <v>104</v>
      </c>
      <c r="AR623" s="6" t="s">
        <v>19649</v>
      </c>
      <c r="AS623" s="6" t="s">
        <v>16705</v>
      </c>
      <c r="AT623" s="6" t="s">
        <v>16931</v>
      </c>
      <c r="AU623" s="6" t="s">
        <v>19877</v>
      </c>
      <c r="AV623" s="6" t="s">
        <v>18487</v>
      </c>
      <c r="AW623" s="6" t="s">
        <v>18632</v>
      </c>
      <c r="AX623" s="6" t="s">
        <v>20587</v>
      </c>
      <c r="AY623" s="6" t="s">
        <v>22364</v>
      </c>
      <c r="AZ623" s="6" t="s">
        <v>104</v>
      </c>
      <c r="BA623" s="6" t="s">
        <v>104</v>
      </c>
      <c r="BB623" s="24" t="n">
        <v>241</v>
      </c>
      <c r="BC623" s="26"/>
      <c r="BD623" s="26"/>
      <c r="BE623" s="26"/>
      <c r="BF623" s="26"/>
      <c r="BG623" s="26"/>
      <c r="BH623" s="26"/>
      <c r="BI623" s="26"/>
      <c r="BJ623" s="26"/>
      <c r="BK623" s="26"/>
      <c r="BL623" s="26"/>
      <c r="BM623" s="26"/>
      <c r="BN623" s="26"/>
      <c r="BO623" s="26"/>
      <c r="BP623" s="16" t="n">
        <v>45670</v>
      </c>
      <c r="BQ623" s="28" t="str">
        <f>HYPERLINK("https://organic.ams.usda.gov/Integrity/Certificate.aspx?cid=62&amp;nopid=8150016974")</f>
        <v>https://organic.ams.usda.gov/Integrity/Certificate.aspx?cid=62&amp;nopid=8150016974</v>
      </c>
    </row>
    <row r="624">
      <c r="A624" t="s">
        <v>3</v>
      </c>
      <c r="B624" s="6" t="s">
        <v>22</v>
      </c>
      <c r="C624" s="6" t="s">
        <v>88</v>
      </c>
      <c r="D624" s="6" t="s">
        <v>153</v>
      </c>
      <c r="E624" s="10" t="s">
        <v>822</v>
      </c>
      <c r="F624" s="6" t="s">
        <v>3074</v>
      </c>
      <c r="G624" s="6" t="s">
        <v>104</v>
      </c>
      <c r="H624" s="6" t="s">
        <v>5461</v>
      </c>
      <c r="I624" s="6" t="s">
        <v>7249</v>
      </c>
      <c r="J624" s="6" t="s">
        <v>8603</v>
      </c>
      <c r="K624" s="6" t="s">
        <v>9714</v>
      </c>
      <c r="L624" s="16" t="n">
        <v>42468</v>
      </c>
      <c r="M624" s="16" t="n">
        <v>46024</v>
      </c>
      <c r="N624" s="6" t="s">
        <v>104</v>
      </c>
      <c r="O624" s="21" t="s">
        <v>104</v>
      </c>
      <c r="P624" s="6" t="s">
        <v>104</v>
      </c>
      <c r="Q624" s="6" t="s">
        <v>104</v>
      </c>
      <c r="R624" s="6" t="s">
        <v>104</v>
      </c>
      <c r="S624" s="6" t="s">
        <v>104</v>
      </c>
      <c r="T624" s="21" t="s">
        <v>104</v>
      </c>
      <c r="U624" s="6" t="s">
        <v>104</v>
      </c>
      <c r="V624" s="6" t="s">
        <v>104</v>
      </c>
      <c r="W624" s="6" t="s">
        <v>104</v>
      </c>
      <c r="X624" s="6" t="s">
        <v>104</v>
      </c>
      <c r="Y624" s="21" t="s">
        <v>104</v>
      </c>
      <c r="Z624" s="6" t="s">
        <v>104</v>
      </c>
      <c r="AA624" s="6" t="s">
        <v>104</v>
      </c>
      <c r="AB624" s="6" t="s">
        <v>104</v>
      </c>
      <c r="AC624" s="6" t="s">
        <v>9714</v>
      </c>
      <c r="AD624" s="16" t="n">
        <v>42468</v>
      </c>
      <c r="AE624" s="6" t="s">
        <v>11076</v>
      </c>
      <c r="AF624" s="6" t="s">
        <v>104</v>
      </c>
      <c r="AG624" s="6" t="s">
        <v>12685</v>
      </c>
      <c r="AH624" s="6" t="s">
        <v>13717</v>
      </c>
      <c r="AI624" s="6" t="s">
        <v>104</v>
      </c>
      <c r="AJ624" s="6" t="s">
        <v>15768</v>
      </c>
      <c r="AK624" s="6" t="s">
        <v>16725</v>
      </c>
      <c r="AL624" s="6" t="s">
        <v>16931</v>
      </c>
      <c r="AM624" s="6" t="s">
        <v>17390</v>
      </c>
      <c r="AN624" s="6" t="s">
        <v>18461</v>
      </c>
      <c r="AO624" s="6" t="s">
        <v>18694</v>
      </c>
      <c r="AP624" s="6" t="s">
        <v>13717</v>
      </c>
      <c r="AQ624" s="6" t="s">
        <v>104</v>
      </c>
      <c r="AR624" s="6" t="s">
        <v>15768</v>
      </c>
      <c r="AS624" s="6" t="s">
        <v>16725</v>
      </c>
      <c r="AT624" s="6" t="s">
        <v>16931</v>
      </c>
      <c r="AU624" s="6" t="s">
        <v>17390</v>
      </c>
      <c r="AV624" s="6" t="s">
        <v>104</v>
      </c>
      <c r="AW624" s="6" t="s">
        <v>104</v>
      </c>
      <c r="AX624" s="6" t="s">
        <v>20588</v>
      </c>
      <c r="AY624" s="6" t="s">
        <v>22365</v>
      </c>
      <c r="AZ624" s="6" t="s">
        <v>104</v>
      </c>
      <c r="BA624" s="6" t="s">
        <v>104</v>
      </c>
      <c r="BB624" s="6" t="s">
        <v>104</v>
      </c>
      <c r="BC624" s="26"/>
      <c r="BD624" s="26"/>
      <c r="BE624" s="26" t="s">
        <v>24533</v>
      </c>
      <c r="BF624" s="26"/>
      <c r="BG624" s="26" t="s">
        <v>24533</v>
      </c>
      <c r="BH624" s="26"/>
      <c r="BI624" s="26"/>
      <c r="BJ624" s="26"/>
      <c r="BK624" s="26"/>
      <c r="BL624" s="26"/>
      <c r="BM624" s="26"/>
      <c r="BN624" s="26"/>
      <c r="BO624" s="26"/>
      <c r="BP624" s="16" t="n">
        <v>45681</v>
      </c>
      <c r="BQ624" s="28" t="str">
        <f>HYPERLINK("https://organic.ams.usda.gov/Integrity/Certificate.aspx?cid=72&amp;nopid=5870002307")</f>
        <v>https://organic.ams.usda.gov/Integrity/Certificate.aspx?cid=72&amp;nopid=5870002307</v>
      </c>
    </row>
    <row r="625">
      <c r="A625" t="s">
        <v>3</v>
      </c>
      <c r="B625" s="6" t="s">
        <v>14</v>
      </c>
      <c r="C625" s="6" t="s">
        <v>80</v>
      </c>
      <c r="D625" s="6" t="s">
        <v>145</v>
      </c>
      <c r="E625" s="10" t="s">
        <v>823</v>
      </c>
      <c r="F625" s="6" t="s">
        <v>3075</v>
      </c>
      <c r="G625" s="6" t="s">
        <v>104</v>
      </c>
      <c r="H625" s="6" t="s">
        <v>5462</v>
      </c>
      <c r="I625" s="6" t="s">
        <v>7333</v>
      </c>
      <c r="J625" s="6" t="s">
        <v>8604</v>
      </c>
      <c r="K625" s="6" t="s">
        <v>9714</v>
      </c>
      <c r="L625" s="16" t="n">
        <v>45061</v>
      </c>
      <c r="M625" s="16" t="n">
        <v>45705</v>
      </c>
      <c r="N625" s="6" t="s">
        <v>104</v>
      </c>
      <c r="O625" s="21" t="s">
        <v>104</v>
      </c>
      <c r="P625" s="6" t="s">
        <v>104</v>
      </c>
      <c r="Q625" s="6" t="s">
        <v>104</v>
      </c>
      <c r="R625" s="6" t="s">
        <v>104</v>
      </c>
      <c r="S625" s="6" t="s">
        <v>104</v>
      </c>
      <c r="T625" s="21" t="s">
        <v>104</v>
      </c>
      <c r="U625" s="6" t="s">
        <v>104</v>
      </c>
      <c r="V625" s="6" t="s">
        <v>104</v>
      </c>
      <c r="W625" s="6" t="s">
        <v>104</v>
      </c>
      <c r="X625" s="6" t="s">
        <v>104</v>
      </c>
      <c r="Y625" s="21" t="s">
        <v>104</v>
      </c>
      <c r="Z625" s="6" t="s">
        <v>104</v>
      </c>
      <c r="AA625" s="6" t="s">
        <v>104</v>
      </c>
      <c r="AB625" s="6" t="s">
        <v>104</v>
      </c>
      <c r="AC625" s="6" t="s">
        <v>9714</v>
      </c>
      <c r="AD625" s="16" t="n">
        <v>45061</v>
      </c>
      <c r="AE625" s="6" t="s">
        <v>11077</v>
      </c>
      <c r="AF625" s="6" t="s">
        <v>104</v>
      </c>
      <c r="AG625" s="6" t="s">
        <v>104</v>
      </c>
      <c r="AH625" s="6" t="s">
        <v>13718</v>
      </c>
      <c r="AI625" s="6" t="s">
        <v>104</v>
      </c>
      <c r="AJ625" s="6" t="s">
        <v>15769</v>
      </c>
      <c r="AK625" s="6" t="s">
        <v>16699</v>
      </c>
      <c r="AL625" s="6" t="s">
        <v>16932</v>
      </c>
      <c r="AM625" s="6" t="s">
        <v>17391</v>
      </c>
      <c r="AN625" s="6" t="s">
        <v>104</v>
      </c>
      <c r="AO625" s="6" t="s">
        <v>104</v>
      </c>
      <c r="AP625" s="6" t="s">
        <v>104</v>
      </c>
      <c r="AQ625" s="6" t="s">
        <v>104</v>
      </c>
      <c r="AR625" s="6" t="s">
        <v>104</v>
      </c>
      <c r="AS625" s="6" t="s">
        <v>104</v>
      </c>
      <c r="AT625" s="6" t="s">
        <v>104</v>
      </c>
      <c r="AU625" s="6" t="s">
        <v>104</v>
      </c>
      <c r="AV625" s="6" t="s">
        <v>104</v>
      </c>
      <c r="AW625" s="6" t="s">
        <v>104</v>
      </c>
      <c r="AX625" s="6" t="s">
        <v>20589</v>
      </c>
      <c r="AY625" s="6" t="s">
        <v>22366</v>
      </c>
      <c r="AZ625" s="6" t="s">
        <v>104</v>
      </c>
      <c r="BA625" s="6" t="s">
        <v>24267</v>
      </c>
      <c r="BB625" s="6" t="s">
        <v>104</v>
      </c>
      <c r="BC625" s="26"/>
      <c r="BD625" s="26"/>
      <c r="BE625" s="26"/>
      <c r="BF625" s="26"/>
      <c r="BG625" s="26"/>
      <c r="BH625" s="26"/>
      <c r="BI625" s="26"/>
      <c r="BJ625" s="26"/>
      <c r="BK625" s="26"/>
      <c r="BL625" s="26"/>
      <c r="BM625" s="26"/>
      <c r="BN625" s="26"/>
      <c r="BO625" s="26"/>
      <c r="BP625" s="16" t="n">
        <v>45639</v>
      </c>
      <c r="BQ625" s="28" t="str">
        <f>HYPERLINK("https://organic.ams.usda.gov/Integrity/Certificate.aspx?cid=89&amp;nopid=4920005478")</f>
        <v>https://organic.ams.usda.gov/Integrity/Certificate.aspx?cid=89&amp;nopid=4920005478</v>
      </c>
    </row>
    <row r="626">
      <c r="A626" t="s">
        <v>3</v>
      </c>
      <c r="B626" s="6" t="s">
        <v>33</v>
      </c>
      <c r="C626" s="6" t="s">
        <v>99</v>
      </c>
      <c r="D626" s="6" t="s">
        <v>164</v>
      </c>
      <c r="E626" s="10" t="s">
        <v>824</v>
      </c>
      <c r="F626" s="6" t="s">
        <v>3076</v>
      </c>
      <c r="G626" s="6" t="s">
        <v>104</v>
      </c>
      <c r="H626" s="6" t="s">
        <v>104</v>
      </c>
      <c r="I626" s="6" t="s">
        <v>7219</v>
      </c>
      <c r="J626" s="6" t="s">
        <v>7329</v>
      </c>
      <c r="K626" s="6" t="s">
        <v>9714</v>
      </c>
      <c r="L626" s="16" t="n">
        <v>43560</v>
      </c>
      <c r="M626" s="16" t="n">
        <v>45337</v>
      </c>
      <c r="N626" s="6" t="s">
        <v>104</v>
      </c>
      <c r="O626" s="21" t="s">
        <v>104</v>
      </c>
      <c r="P626" s="6" t="s">
        <v>104</v>
      </c>
      <c r="Q626" s="6" t="s">
        <v>104</v>
      </c>
      <c r="R626" s="6" t="s">
        <v>104</v>
      </c>
      <c r="S626" s="6" t="s">
        <v>104</v>
      </c>
      <c r="T626" s="21" t="s">
        <v>104</v>
      </c>
      <c r="U626" s="6" t="s">
        <v>104</v>
      </c>
      <c r="V626" s="6" t="s">
        <v>104</v>
      </c>
      <c r="W626" s="6" t="s">
        <v>104</v>
      </c>
      <c r="X626" s="6" t="s">
        <v>104</v>
      </c>
      <c r="Y626" s="21" t="s">
        <v>104</v>
      </c>
      <c r="Z626" s="6" t="s">
        <v>104</v>
      </c>
      <c r="AA626" s="6" t="s">
        <v>104</v>
      </c>
      <c r="AB626" s="6" t="s">
        <v>104</v>
      </c>
      <c r="AC626" s="6" t="s">
        <v>9714</v>
      </c>
      <c r="AD626" s="16" t="n">
        <v>43560</v>
      </c>
      <c r="AE626" s="6" t="s">
        <v>11078</v>
      </c>
      <c r="AF626" s="6" t="s">
        <v>104</v>
      </c>
      <c r="AG626" s="6" t="s">
        <v>104</v>
      </c>
      <c r="AH626" s="6" t="s">
        <v>13719</v>
      </c>
      <c r="AI626" s="6" t="s">
        <v>104</v>
      </c>
      <c r="AJ626" s="6" t="s">
        <v>15770</v>
      </c>
      <c r="AK626" s="6" t="s">
        <v>16683</v>
      </c>
      <c r="AL626" s="6" t="s">
        <v>16931</v>
      </c>
      <c r="AM626" s="6" t="s">
        <v>17392</v>
      </c>
      <c r="AN626" s="6" t="s">
        <v>18521</v>
      </c>
      <c r="AO626" s="6" t="s">
        <v>18695</v>
      </c>
      <c r="AP626" s="6" t="s">
        <v>19110</v>
      </c>
      <c r="AQ626" s="6" t="s">
        <v>104</v>
      </c>
      <c r="AR626" s="6" t="s">
        <v>15879</v>
      </c>
      <c r="AS626" s="6" t="s">
        <v>16683</v>
      </c>
      <c r="AT626" s="6" t="s">
        <v>16931</v>
      </c>
      <c r="AU626" s="6" t="s">
        <v>17809</v>
      </c>
      <c r="AV626" s="6" t="s">
        <v>104</v>
      </c>
      <c r="AW626" s="6" t="s">
        <v>104</v>
      </c>
      <c r="AX626" s="6" t="s">
        <v>20590</v>
      </c>
      <c r="AY626" s="6" t="s">
        <v>22367</v>
      </c>
      <c r="AZ626" s="6" t="s">
        <v>23835</v>
      </c>
      <c r="BA626" s="6" t="s">
        <v>104</v>
      </c>
      <c r="BB626" s="6" t="s">
        <v>104</v>
      </c>
      <c r="BC626" s="26"/>
      <c r="BD626" s="26"/>
      <c r="BE626" s="26"/>
      <c r="BF626" s="26"/>
      <c r="BG626" s="26"/>
      <c r="BH626" s="26"/>
      <c r="BI626" s="26"/>
      <c r="BJ626" s="26"/>
      <c r="BK626" s="26"/>
      <c r="BL626" s="26"/>
      <c r="BM626" s="26"/>
      <c r="BN626" s="26"/>
      <c r="BO626" s="26"/>
      <c r="BP626" s="16" t="n">
        <v>45702</v>
      </c>
      <c r="BQ626" s="28" t="str">
        <f>HYPERLINK("https://organic.ams.usda.gov/Integrity/Certificate.aspx?cid=46&amp;nopid=3670000012")</f>
        <v>https://organic.ams.usda.gov/Integrity/Certificate.aspx?cid=46&amp;nopid=3670000012</v>
      </c>
    </row>
    <row r="627">
      <c r="A627" t="s">
        <v>3</v>
      </c>
      <c r="B627" s="6" t="s">
        <v>23</v>
      </c>
      <c r="C627" s="6" t="s">
        <v>89</v>
      </c>
      <c r="D627" s="6" t="s">
        <v>154</v>
      </c>
      <c r="E627" s="10" t="s">
        <v>825</v>
      </c>
      <c r="F627" s="6" t="s">
        <v>3077</v>
      </c>
      <c r="G627" s="6" t="s">
        <v>4734</v>
      </c>
      <c r="H627" s="6" t="s">
        <v>5463</v>
      </c>
      <c r="I627" s="6" t="s">
        <v>7334</v>
      </c>
      <c r="J627" s="6" t="s">
        <v>8605</v>
      </c>
      <c r="K627" s="6" t="s">
        <v>9714</v>
      </c>
      <c r="L627" s="16" t="n">
        <v>43353</v>
      </c>
      <c r="M627" s="16" t="n">
        <v>45748</v>
      </c>
      <c r="N627" s="6" t="s">
        <v>104</v>
      </c>
      <c r="O627" s="21" t="s">
        <v>104</v>
      </c>
      <c r="P627" s="6" t="s">
        <v>104</v>
      </c>
      <c r="Q627" s="6" t="s">
        <v>104</v>
      </c>
      <c r="R627" s="6" t="s">
        <v>104</v>
      </c>
      <c r="S627" s="6" t="s">
        <v>104</v>
      </c>
      <c r="T627" s="21" t="s">
        <v>104</v>
      </c>
      <c r="U627" s="6" t="s">
        <v>104</v>
      </c>
      <c r="V627" s="6" t="s">
        <v>104</v>
      </c>
      <c r="W627" s="6" t="s">
        <v>104</v>
      </c>
      <c r="X627" s="6" t="s">
        <v>104</v>
      </c>
      <c r="Y627" s="21" t="s">
        <v>104</v>
      </c>
      <c r="Z627" s="6" t="s">
        <v>104</v>
      </c>
      <c r="AA627" s="6" t="s">
        <v>104</v>
      </c>
      <c r="AB627" s="6" t="s">
        <v>104</v>
      </c>
      <c r="AC627" s="6" t="s">
        <v>9714</v>
      </c>
      <c r="AD627" s="16" t="n">
        <v>43353</v>
      </c>
      <c r="AE627" s="6" t="s">
        <v>11079</v>
      </c>
      <c r="AF627" s="6" t="s">
        <v>104</v>
      </c>
      <c r="AG627" s="6" t="s">
        <v>5463</v>
      </c>
      <c r="AH627" s="6" t="s">
        <v>13720</v>
      </c>
      <c r="AI627" s="6" t="s">
        <v>104</v>
      </c>
      <c r="AJ627" s="6" t="s">
        <v>15771</v>
      </c>
      <c r="AK627" s="6" t="s">
        <v>16714</v>
      </c>
      <c r="AL627" s="6" t="s">
        <v>16931</v>
      </c>
      <c r="AM627" s="6" t="s">
        <v>17393</v>
      </c>
      <c r="AN627" s="6" t="s">
        <v>18512</v>
      </c>
      <c r="AO627" s="6" t="s">
        <v>18696</v>
      </c>
      <c r="AP627" s="6" t="s">
        <v>104</v>
      </c>
      <c r="AQ627" s="6" t="s">
        <v>104</v>
      </c>
      <c r="AR627" s="6" t="s">
        <v>104</v>
      </c>
      <c r="AS627" s="6" t="s">
        <v>104</v>
      </c>
      <c r="AT627" s="6" t="s">
        <v>104</v>
      </c>
      <c r="AU627" s="6" t="s">
        <v>104</v>
      </c>
      <c r="AV627" s="6" t="s">
        <v>104</v>
      </c>
      <c r="AW627" s="6" t="s">
        <v>104</v>
      </c>
      <c r="AX627" s="6" t="s">
        <v>20591</v>
      </c>
      <c r="AY627" s="6" t="s">
        <v>22368</v>
      </c>
      <c r="AZ627" s="6" t="s">
        <v>23836</v>
      </c>
      <c r="BA627" s="6" t="s">
        <v>104</v>
      </c>
      <c r="BB627" s="24" t="n">
        <v>0</v>
      </c>
      <c r="BC627" s="26"/>
      <c r="BD627" s="26"/>
      <c r="BE627" s="26"/>
      <c r="BF627" s="26"/>
      <c r="BG627" s="26"/>
      <c r="BH627" s="26"/>
      <c r="BI627" s="26"/>
      <c r="BJ627" s="26"/>
      <c r="BK627" s="26"/>
      <c r="BL627" s="26"/>
      <c r="BM627" s="26"/>
      <c r="BN627" s="26"/>
      <c r="BO627" s="26"/>
      <c r="BP627" s="16" t="n">
        <v>45642</v>
      </c>
      <c r="BQ627" s="28" t="str">
        <f>HYPERLINK("https://organic.ams.usda.gov/Integrity/Certificate.aspx?cid=45&amp;nopid=9950011011")</f>
        <v>https://organic.ams.usda.gov/Integrity/Certificate.aspx?cid=45&amp;nopid=9950011011</v>
      </c>
    </row>
    <row r="628">
      <c r="A628" t="s">
        <v>3</v>
      </c>
      <c r="B628" s="6" t="s">
        <v>54</v>
      </c>
      <c r="C628" s="6" t="s">
        <v>120</v>
      </c>
      <c r="D628" s="6" t="s">
        <v>184</v>
      </c>
      <c r="E628" s="10" t="s">
        <v>826</v>
      </c>
      <c r="F628" s="6" t="s">
        <v>3078</v>
      </c>
      <c r="G628" s="6" t="s">
        <v>104</v>
      </c>
      <c r="H628" s="6" t="s">
        <v>5464</v>
      </c>
      <c r="I628" s="6" t="s">
        <v>7310</v>
      </c>
      <c r="J628" s="6" t="s">
        <v>8305</v>
      </c>
      <c r="K628" s="6" t="s">
        <v>9714</v>
      </c>
      <c r="L628" s="16" t="n">
        <v>44370</v>
      </c>
      <c r="M628" s="16" t="n">
        <v>45717</v>
      </c>
      <c r="N628" s="6" t="s">
        <v>9714</v>
      </c>
      <c r="O628" s="16" t="n">
        <v>44370</v>
      </c>
      <c r="P628" s="6" t="s">
        <v>9898</v>
      </c>
      <c r="Q628" s="6" t="s">
        <v>104</v>
      </c>
      <c r="R628" s="6" t="s">
        <v>104</v>
      </c>
      <c r="S628" s="6" t="s">
        <v>104</v>
      </c>
      <c r="T628" s="21" t="s">
        <v>104</v>
      </c>
      <c r="U628" s="6" t="s">
        <v>104</v>
      </c>
      <c r="V628" s="6" t="s">
        <v>104</v>
      </c>
      <c r="W628" s="6" t="s">
        <v>104</v>
      </c>
      <c r="X628" s="6" t="s">
        <v>104</v>
      </c>
      <c r="Y628" s="21" t="s">
        <v>104</v>
      </c>
      <c r="Z628" s="6" t="s">
        <v>104</v>
      </c>
      <c r="AA628" s="6" t="s">
        <v>104</v>
      </c>
      <c r="AB628" s="6" t="s">
        <v>104</v>
      </c>
      <c r="AC628" s="6" t="s">
        <v>104</v>
      </c>
      <c r="AD628" s="21" t="s">
        <v>104</v>
      </c>
      <c r="AE628" s="6" t="s">
        <v>104</v>
      </c>
      <c r="AF628" s="6" t="s">
        <v>104</v>
      </c>
      <c r="AG628" s="6" t="s">
        <v>104</v>
      </c>
      <c r="AH628" s="6" t="s">
        <v>13721</v>
      </c>
      <c r="AI628" s="6" t="s">
        <v>104</v>
      </c>
      <c r="AJ628" s="6" t="s">
        <v>15689</v>
      </c>
      <c r="AK628" s="6" t="s">
        <v>16743</v>
      </c>
      <c r="AL628" s="6" t="s">
        <v>16931</v>
      </c>
      <c r="AM628" s="6" t="s">
        <v>17394</v>
      </c>
      <c r="AN628" s="6" t="s">
        <v>18472</v>
      </c>
      <c r="AO628" s="6" t="s">
        <v>18697</v>
      </c>
      <c r="AP628" s="6" t="s">
        <v>104</v>
      </c>
      <c r="AQ628" s="6" t="s">
        <v>104</v>
      </c>
      <c r="AR628" s="6" t="s">
        <v>104</v>
      </c>
      <c r="AS628" s="6" t="s">
        <v>104</v>
      </c>
      <c r="AT628" s="6" t="s">
        <v>104</v>
      </c>
      <c r="AU628" s="6" t="s">
        <v>104</v>
      </c>
      <c r="AV628" s="6" t="s">
        <v>104</v>
      </c>
      <c r="AW628" s="6" t="s">
        <v>104</v>
      </c>
      <c r="AX628" s="6" t="s">
        <v>104</v>
      </c>
      <c r="AY628" s="6" t="s">
        <v>22369</v>
      </c>
      <c r="AZ628" s="6" t="s">
        <v>104</v>
      </c>
      <c r="BA628" s="6" t="s">
        <v>24351</v>
      </c>
      <c r="BB628" s="24" t="n">
        <v>130</v>
      </c>
      <c r="BC628" s="26"/>
      <c r="BD628" s="26"/>
      <c r="BE628" s="26"/>
      <c r="BF628" s="26"/>
      <c r="BG628" s="26"/>
      <c r="BH628" s="26"/>
      <c r="BI628" s="26"/>
      <c r="BJ628" s="26"/>
      <c r="BK628" s="26"/>
      <c r="BL628" s="26"/>
      <c r="BM628" s="26"/>
      <c r="BN628" s="26"/>
      <c r="BO628" s="26"/>
      <c r="BP628" s="16" t="n">
        <v>45582</v>
      </c>
      <c r="BQ628" s="28" t="str">
        <f>HYPERLINK("https://organic.ams.usda.gov/Integrity/Certificate.aspx?cid=60&amp;nopid=2580004193")</f>
        <v>https://organic.ams.usda.gov/Integrity/Certificate.aspx?cid=60&amp;nopid=2580004193</v>
      </c>
    </row>
    <row r="629">
      <c r="A629" t="s">
        <v>3</v>
      </c>
      <c r="B629" s="6" t="s">
        <v>6</v>
      </c>
      <c r="C629" s="6" t="s">
        <v>72</v>
      </c>
      <c r="D629" s="6" t="s">
        <v>137</v>
      </c>
      <c r="E629" s="10" t="s">
        <v>827</v>
      </c>
      <c r="F629" s="6" t="s">
        <v>3079</v>
      </c>
      <c r="G629" s="6" t="s">
        <v>104</v>
      </c>
      <c r="H629" s="6" t="s">
        <v>5465</v>
      </c>
      <c r="I629" s="6" t="s">
        <v>7335</v>
      </c>
      <c r="J629" s="6" t="s">
        <v>8606</v>
      </c>
      <c r="K629" s="6" t="s">
        <v>9714</v>
      </c>
      <c r="L629" s="16" t="n">
        <v>45386</v>
      </c>
      <c r="M629" s="16" t="n">
        <v>45683</v>
      </c>
      <c r="N629" s="6" t="s">
        <v>104</v>
      </c>
      <c r="O629" s="21" t="s">
        <v>104</v>
      </c>
      <c r="P629" s="6" t="s">
        <v>104</v>
      </c>
      <c r="Q629" s="6" t="s">
        <v>104</v>
      </c>
      <c r="R629" s="6" t="s">
        <v>104</v>
      </c>
      <c r="S629" s="6" t="s">
        <v>104</v>
      </c>
      <c r="T629" s="21" t="s">
        <v>104</v>
      </c>
      <c r="U629" s="6" t="s">
        <v>104</v>
      </c>
      <c r="V629" s="6" t="s">
        <v>104</v>
      </c>
      <c r="W629" s="6" t="s">
        <v>104</v>
      </c>
      <c r="X629" s="6" t="s">
        <v>104</v>
      </c>
      <c r="Y629" s="21" t="s">
        <v>104</v>
      </c>
      <c r="Z629" s="6" t="s">
        <v>104</v>
      </c>
      <c r="AA629" s="6" t="s">
        <v>104</v>
      </c>
      <c r="AB629" s="6" t="s">
        <v>104</v>
      </c>
      <c r="AC629" s="6" t="s">
        <v>9714</v>
      </c>
      <c r="AD629" s="16" t="n">
        <v>45386</v>
      </c>
      <c r="AE629" s="6" t="s">
        <v>11080</v>
      </c>
      <c r="AF629" s="6" t="s">
        <v>104</v>
      </c>
      <c r="AG629" s="6" t="s">
        <v>12686</v>
      </c>
      <c r="AH629" s="6" t="s">
        <v>13722</v>
      </c>
      <c r="AI629" s="6" t="s">
        <v>104</v>
      </c>
      <c r="AJ629" s="6" t="s">
        <v>15772</v>
      </c>
      <c r="AK629" s="6" t="s">
        <v>16756</v>
      </c>
      <c r="AL629" s="6" t="s">
        <v>16930</v>
      </c>
      <c r="AM629" s="6" t="s">
        <v>17395</v>
      </c>
      <c r="AN629" s="6" t="s">
        <v>104</v>
      </c>
      <c r="AO629" s="6" t="s">
        <v>104</v>
      </c>
      <c r="AP629" s="6" t="s">
        <v>104</v>
      </c>
      <c r="AQ629" s="6" t="s">
        <v>104</v>
      </c>
      <c r="AR629" s="6" t="s">
        <v>104</v>
      </c>
      <c r="AS629" s="6" t="s">
        <v>104</v>
      </c>
      <c r="AT629" s="6" t="s">
        <v>104</v>
      </c>
      <c r="AU629" s="6" t="s">
        <v>104</v>
      </c>
      <c r="AV629" s="6" t="s">
        <v>104</v>
      </c>
      <c r="AW629" s="6" t="s">
        <v>104</v>
      </c>
      <c r="AX629" s="6" t="s">
        <v>20592</v>
      </c>
      <c r="AY629" s="6" t="s">
        <v>22370</v>
      </c>
      <c r="AZ629" s="6" t="s">
        <v>104</v>
      </c>
      <c r="BA629" s="6" t="s">
        <v>104</v>
      </c>
      <c r="BB629" s="6" t="s">
        <v>104</v>
      </c>
      <c r="BC629" s="26"/>
      <c r="BD629" s="26"/>
      <c r="BE629" s="26"/>
      <c r="BF629" s="26"/>
      <c r="BG629" s="26"/>
      <c r="BH629" s="26"/>
      <c r="BI629" s="26"/>
      <c r="BJ629" s="26"/>
      <c r="BK629" s="26"/>
      <c r="BL629" s="26"/>
      <c r="BM629" s="26"/>
      <c r="BN629" s="26"/>
      <c r="BO629" s="26"/>
      <c r="BP629" s="16" t="n">
        <v>45737</v>
      </c>
      <c r="BQ629" s="28" t="str">
        <f>HYPERLINK("https://organic.ams.usda.gov/Integrity/Certificate.aspx?cid=32&amp;nopid=2230010998")</f>
        <v>https://organic.ams.usda.gov/Integrity/Certificate.aspx?cid=32&amp;nopid=2230010998</v>
      </c>
    </row>
    <row r="630">
      <c r="A630" t="s">
        <v>3</v>
      </c>
      <c r="B630" s="6" t="s">
        <v>6</v>
      </c>
      <c r="C630" s="6" t="s">
        <v>72</v>
      </c>
      <c r="D630" s="6" t="s">
        <v>137</v>
      </c>
      <c r="E630" s="10" t="s">
        <v>828</v>
      </c>
      <c r="F630" s="6" t="s">
        <v>3079</v>
      </c>
      <c r="G630" s="6" t="s">
        <v>104</v>
      </c>
      <c r="H630" s="6" t="s">
        <v>5466</v>
      </c>
      <c r="I630" s="6" t="s">
        <v>7335</v>
      </c>
      <c r="J630" s="6" t="s">
        <v>8607</v>
      </c>
      <c r="K630" s="6" t="s">
        <v>9714</v>
      </c>
      <c r="L630" s="16" t="n">
        <v>45345</v>
      </c>
      <c r="M630" s="16" t="n">
        <v>45683</v>
      </c>
      <c r="N630" s="6" t="s">
        <v>104</v>
      </c>
      <c r="O630" s="21" t="s">
        <v>104</v>
      </c>
      <c r="P630" s="6" t="s">
        <v>104</v>
      </c>
      <c r="Q630" s="6" t="s">
        <v>104</v>
      </c>
      <c r="R630" s="6" t="s">
        <v>104</v>
      </c>
      <c r="S630" s="6" t="s">
        <v>104</v>
      </c>
      <c r="T630" s="21" t="s">
        <v>104</v>
      </c>
      <c r="U630" s="6" t="s">
        <v>104</v>
      </c>
      <c r="V630" s="6" t="s">
        <v>104</v>
      </c>
      <c r="W630" s="6" t="s">
        <v>104</v>
      </c>
      <c r="X630" s="6" t="s">
        <v>104</v>
      </c>
      <c r="Y630" s="21" t="s">
        <v>104</v>
      </c>
      <c r="Z630" s="6" t="s">
        <v>104</v>
      </c>
      <c r="AA630" s="6" t="s">
        <v>104</v>
      </c>
      <c r="AB630" s="6" t="s">
        <v>104</v>
      </c>
      <c r="AC630" s="6" t="s">
        <v>9714</v>
      </c>
      <c r="AD630" s="16" t="n">
        <v>45345</v>
      </c>
      <c r="AE630" s="6" t="s">
        <v>11081</v>
      </c>
      <c r="AF630" s="6" t="s">
        <v>104</v>
      </c>
      <c r="AG630" s="6" t="s">
        <v>12687</v>
      </c>
      <c r="AH630" s="6" t="s">
        <v>13723</v>
      </c>
      <c r="AI630" s="6" t="s">
        <v>104</v>
      </c>
      <c r="AJ630" s="6" t="s">
        <v>15772</v>
      </c>
      <c r="AK630" s="6" t="s">
        <v>16756</v>
      </c>
      <c r="AL630" s="6" t="s">
        <v>16930</v>
      </c>
      <c r="AM630" s="6" t="s">
        <v>17395</v>
      </c>
      <c r="AN630" s="6" t="s">
        <v>104</v>
      </c>
      <c r="AO630" s="6" t="s">
        <v>104</v>
      </c>
      <c r="AP630" s="6" t="s">
        <v>104</v>
      </c>
      <c r="AQ630" s="6" t="s">
        <v>104</v>
      </c>
      <c r="AR630" s="6" t="s">
        <v>104</v>
      </c>
      <c r="AS630" s="6" t="s">
        <v>104</v>
      </c>
      <c r="AT630" s="6" t="s">
        <v>104</v>
      </c>
      <c r="AU630" s="6" t="s">
        <v>104</v>
      </c>
      <c r="AV630" s="6" t="s">
        <v>104</v>
      </c>
      <c r="AW630" s="6" t="s">
        <v>104</v>
      </c>
      <c r="AX630" s="6" t="s">
        <v>20593</v>
      </c>
      <c r="AY630" s="6" t="s">
        <v>22371</v>
      </c>
      <c r="AZ630" s="6" t="s">
        <v>104</v>
      </c>
      <c r="BA630" s="6" t="s">
        <v>104</v>
      </c>
      <c r="BB630" s="6" t="s">
        <v>104</v>
      </c>
      <c r="BC630" s="26"/>
      <c r="BD630" s="26"/>
      <c r="BE630" s="26"/>
      <c r="BF630" s="26"/>
      <c r="BG630" s="26"/>
      <c r="BH630" s="26"/>
      <c r="BI630" s="26"/>
      <c r="BJ630" s="26"/>
      <c r="BK630" s="26"/>
      <c r="BL630" s="26"/>
      <c r="BM630" s="26"/>
      <c r="BN630" s="26"/>
      <c r="BO630" s="26"/>
      <c r="BP630" s="16" t="n">
        <v>45737</v>
      </c>
      <c r="BQ630" s="28" t="str">
        <f>HYPERLINK("https://organic.ams.usda.gov/Integrity/Certificate.aspx?cid=32&amp;nopid=2230010976")</f>
        <v>https://organic.ams.usda.gov/Integrity/Certificate.aspx?cid=32&amp;nopid=2230010976</v>
      </c>
    </row>
    <row r="631">
      <c r="A631" t="s">
        <v>3</v>
      </c>
      <c r="B631" s="6" t="s">
        <v>41</v>
      </c>
      <c r="C631" s="6" t="s">
        <v>107</v>
      </c>
      <c r="D631" s="6" t="s">
        <v>171</v>
      </c>
      <c r="E631" s="10" t="s">
        <v>829</v>
      </c>
      <c r="F631" s="6" t="s">
        <v>3080</v>
      </c>
      <c r="G631" s="6" t="s">
        <v>4735</v>
      </c>
      <c r="H631" s="6" t="s">
        <v>5467</v>
      </c>
      <c r="I631" s="6" t="s">
        <v>7336</v>
      </c>
      <c r="J631" s="6" t="s">
        <v>8608</v>
      </c>
      <c r="K631" s="6" t="s">
        <v>9714</v>
      </c>
      <c r="L631" s="16" t="n">
        <v>45490</v>
      </c>
      <c r="M631" s="16" t="n">
        <v>46112</v>
      </c>
      <c r="N631" s="6" t="s">
        <v>104</v>
      </c>
      <c r="O631" s="21" t="s">
        <v>104</v>
      </c>
      <c r="P631" s="6" t="s">
        <v>104</v>
      </c>
      <c r="Q631" s="6" t="s">
        <v>104</v>
      </c>
      <c r="R631" s="6" t="s">
        <v>104</v>
      </c>
      <c r="S631" s="6" t="s">
        <v>104</v>
      </c>
      <c r="T631" s="21" t="s">
        <v>104</v>
      </c>
      <c r="U631" s="6" t="s">
        <v>104</v>
      </c>
      <c r="V631" s="6" t="s">
        <v>104</v>
      </c>
      <c r="W631" s="6" t="s">
        <v>104</v>
      </c>
      <c r="X631" s="6" t="s">
        <v>104</v>
      </c>
      <c r="Y631" s="21" t="s">
        <v>104</v>
      </c>
      <c r="Z631" s="6" t="s">
        <v>104</v>
      </c>
      <c r="AA631" s="6" t="s">
        <v>104</v>
      </c>
      <c r="AB631" s="6" t="s">
        <v>104</v>
      </c>
      <c r="AC631" s="6" t="s">
        <v>9714</v>
      </c>
      <c r="AD631" s="16" t="n">
        <v>45490</v>
      </c>
      <c r="AE631" s="6" t="s">
        <v>11082</v>
      </c>
      <c r="AF631" s="6" t="s">
        <v>104</v>
      </c>
      <c r="AG631" s="6" t="s">
        <v>104</v>
      </c>
      <c r="AH631" s="6" t="s">
        <v>13724</v>
      </c>
      <c r="AI631" s="6" t="s">
        <v>104</v>
      </c>
      <c r="AJ631" s="6" t="s">
        <v>15773</v>
      </c>
      <c r="AK631" s="6" t="s">
        <v>16706</v>
      </c>
      <c r="AL631" s="6" t="s">
        <v>16931</v>
      </c>
      <c r="AM631" s="6" t="s">
        <v>17396</v>
      </c>
      <c r="AN631" s="6" t="s">
        <v>104</v>
      </c>
      <c r="AO631" s="6" t="s">
        <v>104</v>
      </c>
      <c r="AP631" s="6" t="s">
        <v>13724</v>
      </c>
      <c r="AQ631" s="6" t="s">
        <v>104</v>
      </c>
      <c r="AR631" s="6" t="s">
        <v>15773</v>
      </c>
      <c r="AS631" s="6" t="s">
        <v>16706</v>
      </c>
      <c r="AT631" s="6" t="s">
        <v>16931</v>
      </c>
      <c r="AU631" s="6" t="s">
        <v>17396</v>
      </c>
      <c r="AV631" s="6" t="s">
        <v>104</v>
      </c>
      <c r="AW631" s="6" t="s">
        <v>104</v>
      </c>
      <c r="AX631" s="6" t="s">
        <v>20594</v>
      </c>
      <c r="AY631" s="6" t="s">
        <v>22372</v>
      </c>
      <c r="AZ631" s="6" t="s">
        <v>104</v>
      </c>
      <c r="BA631" s="6" t="s">
        <v>104</v>
      </c>
      <c r="BB631" s="6" t="s">
        <v>104</v>
      </c>
      <c r="BC631" s="26"/>
      <c r="BD631" s="26"/>
      <c r="BE631" s="26"/>
      <c r="BF631" s="26"/>
      <c r="BG631" s="26" t="s">
        <v>24533</v>
      </c>
      <c r="BH631" s="26"/>
      <c r="BI631" s="26"/>
      <c r="BJ631" s="26"/>
      <c r="BK631" s="26"/>
      <c r="BL631" s="26"/>
      <c r="BM631" s="26"/>
      <c r="BN631" s="26"/>
      <c r="BO631" s="26"/>
      <c r="BP631" s="16" t="n">
        <v>45737</v>
      </c>
      <c r="BQ631" s="28" t="str">
        <f>HYPERLINK("https://organic.ams.usda.gov/Integrity/Certificate.aspx?cid=58&amp;nopid=1600003796")</f>
        <v>https://organic.ams.usda.gov/Integrity/Certificate.aspx?cid=58&amp;nopid=1600003796</v>
      </c>
    </row>
    <row r="632">
      <c r="A632" t="s">
        <v>3</v>
      </c>
      <c r="B632" s="6" t="s">
        <v>6</v>
      </c>
      <c r="C632" s="6" t="s">
        <v>72</v>
      </c>
      <c r="D632" s="6" t="s">
        <v>137</v>
      </c>
      <c r="E632" s="10" t="s">
        <v>830</v>
      </c>
      <c r="F632" s="6" t="s">
        <v>3081</v>
      </c>
      <c r="G632" s="6" t="s">
        <v>104</v>
      </c>
      <c r="H632" s="6" t="s">
        <v>5468</v>
      </c>
      <c r="I632" s="6" t="s">
        <v>7202</v>
      </c>
      <c r="J632" s="6" t="s">
        <v>8609</v>
      </c>
      <c r="K632" s="6" t="s">
        <v>9714</v>
      </c>
      <c r="L632" s="16" t="n">
        <v>44729</v>
      </c>
      <c r="M632" s="16" t="n">
        <v>45814</v>
      </c>
      <c r="N632" s="6" t="s">
        <v>104</v>
      </c>
      <c r="O632" s="21" t="s">
        <v>104</v>
      </c>
      <c r="P632" s="6" t="s">
        <v>104</v>
      </c>
      <c r="Q632" s="6" t="s">
        <v>104</v>
      </c>
      <c r="R632" s="6" t="s">
        <v>104</v>
      </c>
      <c r="S632" s="6" t="s">
        <v>104</v>
      </c>
      <c r="T632" s="21" t="s">
        <v>104</v>
      </c>
      <c r="U632" s="6" t="s">
        <v>104</v>
      </c>
      <c r="V632" s="6" t="s">
        <v>104</v>
      </c>
      <c r="W632" s="6" t="s">
        <v>104</v>
      </c>
      <c r="X632" s="6" t="s">
        <v>104</v>
      </c>
      <c r="Y632" s="21" t="s">
        <v>104</v>
      </c>
      <c r="Z632" s="6" t="s">
        <v>104</v>
      </c>
      <c r="AA632" s="6" t="s">
        <v>104</v>
      </c>
      <c r="AB632" s="6" t="s">
        <v>104</v>
      </c>
      <c r="AC632" s="6" t="s">
        <v>9714</v>
      </c>
      <c r="AD632" s="16" t="n">
        <v>44729</v>
      </c>
      <c r="AE632" s="6" t="s">
        <v>11083</v>
      </c>
      <c r="AF632" s="6" t="s">
        <v>104</v>
      </c>
      <c r="AG632" s="6" t="s">
        <v>12688</v>
      </c>
      <c r="AH632" s="6" t="s">
        <v>13725</v>
      </c>
      <c r="AI632" s="6" t="s">
        <v>104</v>
      </c>
      <c r="AJ632" s="6" t="s">
        <v>15774</v>
      </c>
      <c r="AK632" s="6" t="s">
        <v>16740</v>
      </c>
      <c r="AL632" s="6" t="s">
        <v>16766</v>
      </c>
      <c r="AM632" s="6" t="s">
        <v>104</v>
      </c>
      <c r="AN632" s="6" t="s">
        <v>104</v>
      </c>
      <c r="AO632" s="6" t="s">
        <v>104</v>
      </c>
      <c r="AP632" s="6" t="s">
        <v>104</v>
      </c>
      <c r="AQ632" s="6" t="s">
        <v>104</v>
      </c>
      <c r="AR632" s="6" t="s">
        <v>104</v>
      </c>
      <c r="AS632" s="6" t="s">
        <v>104</v>
      </c>
      <c r="AT632" s="6" t="s">
        <v>104</v>
      </c>
      <c r="AU632" s="6" t="s">
        <v>104</v>
      </c>
      <c r="AV632" s="6" t="s">
        <v>104</v>
      </c>
      <c r="AW632" s="6" t="s">
        <v>104</v>
      </c>
      <c r="AX632" s="6" t="s">
        <v>20595</v>
      </c>
      <c r="AY632" s="6" t="s">
        <v>22373</v>
      </c>
      <c r="AZ632" s="6" t="s">
        <v>104</v>
      </c>
      <c r="BA632" s="6" t="s">
        <v>24258</v>
      </c>
      <c r="BB632" s="6" t="s">
        <v>104</v>
      </c>
      <c r="BC632" s="26"/>
      <c r="BD632" s="26"/>
      <c r="BE632" s="26"/>
      <c r="BF632" s="26"/>
      <c r="BG632" s="26"/>
      <c r="BH632" s="26"/>
      <c r="BI632" s="26"/>
      <c r="BJ632" s="26"/>
      <c r="BK632" s="26"/>
      <c r="BL632" s="26"/>
      <c r="BM632" s="26"/>
      <c r="BN632" s="26"/>
      <c r="BO632" s="26"/>
      <c r="BP632" s="16" t="n">
        <v>45737</v>
      </c>
      <c r="BQ632" s="28" t="str">
        <f>HYPERLINK("https://organic.ams.usda.gov/Integrity/Certificate.aspx?cid=32&amp;nopid=2230007270")</f>
        <v>https://organic.ams.usda.gov/Integrity/Certificate.aspx?cid=32&amp;nopid=2230007270</v>
      </c>
    </row>
    <row r="633">
      <c r="A633" t="s">
        <v>3</v>
      </c>
      <c r="B633" s="6" t="s">
        <v>58</v>
      </c>
      <c r="C633" s="6" t="s">
        <v>124</v>
      </c>
      <c r="D633" s="6" t="s">
        <v>188</v>
      </c>
      <c r="E633" s="10" t="s">
        <v>831</v>
      </c>
      <c r="F633" s="6" t="s">
        <v>3082</v>
      </c>
      <c r="G633" s="6" t="s">
        <v>104</v>
      </c>
      <c r="H633" s="6" t="s">
        <v>5469</v>
      </c>
      <c r="I633" s="6" t="s">
        <v>7337</v>
      </c>
      <c r="J633" s="6" t="s">
        <v>8610</v>
      </c>
      <c r="K633" s="6" t="s">
        <v>9714</v>
      </c>
      <c r="L633" s="16" t="n">
        <v>42706</v>
      </c>
      <c r="M633" s="16" t="n">
        <v>45740</v>
      </c>
      <c r="N633" s="6" t="s">
        <v>104</v>
      </c>
      <c r="O633" s="21" t="s">
        <v>104</v>
      </c>
      <c r="P633" s="6" t="s">
        <v>104</v>
      </c>
      <c r="Q633" s="6" t="s">
        <v>104</v>
      </c>
      <c r="R633" s="6" t="s">
        <v>104</v>
      </c>
      <c r="S633" s="6" t="s">
        <v>104</v>
      </c>
      <c r="T633" s="21" t="s">
        <v>104</v>
      </c>
      <c r="U633" s="6" t="s">
        <v>104</v>
      </c>
      <c r="V633" s="6" t="s">
        <v>104</v>
      </c>
      <c r="W633" s="6" t="s">
        <v>104</v>
      </c>
      <c r="X633" s="6" t="s">
        <v>104</v>
      </c>
      <c r="Y633" s="21" t="s">
        <v>104</v>
      </c>
      <c r="Z633" s="6" t="s">
        <v>104</v>
      </c>
      <c r="AA633" s="6" t="s">
        <v>104</v>
      </c>
      <c r="AB633" s="6" t="s">
        <v>104</v>
      </c>
      <c r="AC633" s="6" t="s">
        <v>9714</v>
      </c>
      <c r="AD633" s="16" t="n">
        <v>42706</v>
      </c>
      <c r="AE633" s="6" t="s">
        <v>11084</v>
      </c>
      <c r="AF633" s="6" t="s">
        <v>104</v>
      </c>
      <c r="AG633" s="6" t="s">
        <v>12689</v>
      </c>
      <c r="AH633" s="6" t="s">
        <v>13726</v>
      </c>
      <c r="AI633" s="6" t="s">
        <v>15259</v>
      </c>
      <c r="AJ633" s="6" t="s">
        <v>104</v>
      </c>
      <c r="AK633" s="6" t="s">
        <v>15749</v>
      </c>
      <c r="AL633" s="6" t="s">
        <v>16943</v>
      </c>
      <c r="AM633" s="6" t="s">
        <v>17397</v>
      </c>
      <c r="AN633" s="6" t="s">
        <v>104</v>
      </c>
      <c r="AO633" s="6" t="s">
        <v>104</v>
      </c>
      <c r="AP633" s="6" t="s">
        <v>13726</v>
      </c>
      <c r="AQ633" s="6" t="s">
        <v>15259</v>
      </c>
      <c r="AR633" s="6" t="s">
        <v>104</v>
      </c>
      <c r="AS633" s="6" t="s">
        <v>15749</v>
      </c>
      <c r="AT633" s="6" t="s">
        <v>16943</v>
      </c>
      <c r="AU633" s="6" t="s">
        <v>17397</v>
      </c>
      <c r="AV633" s="6" t="s">
        <v>104</v>
      </c>
      <c r="AW633" s="6" t="s">
        <v>104</v>
      </c>
      <c r="AX633" s="6" t="s">
        <v>20596</v>
      </c>
      <c r="AY633" s="6" t="s">
        <v>22374</v>
      </c>
      <c r="AZ633" s="6" t="s">
        <v>23837</v>
      </c>
      <c r="BA633" s="6" t="s">
        <v>104</v>
      </c>
      <c r="BB633" s="6" t="s">
        <v>104</v>
      </c>
      <c r="BC633" s="26"/>
      <c r="BD633" s="26"/>
      <c r="BE633" s="26"/>
      <c r="BF633" s="26"/>
      <c r="BG633" s="26"/>
      <c r="BH633" s="26"/>
      <c r="BI633" s="26"/>
      <c r="BJ633" s="26"/>
      <c r="BK633" s="26"/>
      <c r="BL633" s="26"/>
      <c r="BM633" s="26"/>
      <c r="BN633" s="26"/>
      <c r="BO633" s="26"/>
      <c r="BP633" s="16" t="n">
        <v>45681</v>
      </c>
      <c r="BQ633" s="28" t="str">
        <f>HYPERLINK("https://organic.ams.usda.gov/Integrity/Certificate.aspx?cid=16&amp;nopid=7281690762")</f>
        <v>https://organic.ams.usda.gov/Integrity/Certificate.aspx?cid=16&amp;nopid=7281690762</v>
      </c>
    </row>
    <row r="634">
      <c r="A634" t="s">
        <v>3</v>
      </c>
      <c r="B634" s="6" t="s">
        <v>13</v>
      </c>
      <c r="C634" s="6" t="s">
        <v>79</v>
      </c>
      <c r="D634" s="6" t="s">
        <v>144</v>
      </c>
      <c r="E634" s="10" t="s">
        <v>832</v>
      </c>
      <c r="F634" s="6" t="s">
        <v>3083</v>
      </c>
      <c r="G634" s="6" t="s">
        <v>104</v>
      </c>
      <c r="H634" s="6" t="s">
        <v>5470</v>
      </c>
      <c r="I634" s="6" t="s">
        <v>7338</v>
      </c>
      <c r="J634" s="6" t="s">
        <v>8611</v>
      </c>
      <c r="K634" s="6" t="s">
        <v>9714</v>
      </c>
      <c r="L634" s="16" t="n">
        <v>38993</v>
      </c>
      <c r="M634" s="16" t="n">
        <v>46023</v>
      </c>
      <c r="N634" s="6" t="s">
        <v>104</v>
      </c>
      <c r="O634" s="21" t="s">
        <v>104</v>
      </c>
      <c r="P634" s="6" t="s">
        <v>104</v>
      </c>
      <c r="Q634" s="6" t="s">
        <v>104</v>
      </c>
      <c r="R634" s="6" t="s">
        <v>104</v>
      </c>
      <c r="S634" s="6" t="s">
        <v>104</v>
      </c>
      <c r="T634" s="21" t="s">
        <v>104</v>
      </c>
      <c r="U634" s="6" t="s">
        <v>104</v>
      </c>
      <c r="V634" s="6" t="s">
        <v>104</v>
      </c>
      <c r="W634" s="6" t="s">
        <v>104</v>
      </c>
      <c r="X634" s="6" t="s">
        <v>104</v>
      </c>
      <c r="Y634" s="21" t="s">
        <v>104</v>
      </c>
      <c r="Z634" s="6" t="s">
        <v>104</v>
      </c>
      <c r="AA634" s="6" t="s">
        <v>104</v>
      </c>
      <c r="AB634" s="6" t="s">
        <v>104</v>
      </c>
      <c r="AC634" s="6" t="s">
        <v>9714</v>
      </c>
      <c r="AD634" s="16" t="n">
        <v>38993</v>
      </c>
      <c r="AE634" s="6" t="s">
        <v>11085</v>
      </c>
      <c r="AF634" s="6" t="s">
        <v>104</v>
      </c>
      <c r="AG634" s="6" t="s">
        <v>104</v>
      </c>
      <c r="AH634" s="6" t="s">
        <v>104</v>
      </c>
      <c r="AI634" s="6" t="s">
        <v>104</v>
      </c>
      <c r="AJ634" s="6" t="s">
        <v>104</v>
      </c>
      <c r="AK634" s="6" t="s">
        <v>104</v>
      </c>
      <c r="AL634" s="6" t="s">
        <v>104</v>
      </c>
      <c r="AM634" s="6" t="s">
        <v>104</v>
      </c>
      <c r="AN634" s="6" t="s">
        <v>104</v>
      </c>
      <c r="AO634" s="6" t="s">
        <v>104</v>
      </c>
      <c r="AP634" s="6" t="s">
        <v>19111</v>
      </c>
      <c r="AQ634" s="6" t="s">
        <v>104</v>
      </c>
      <c r="AR634" s="6" t="s">
        <v>19650</v>
      </c>
      <c r="AS634" s="6" t="s">
        <v>16710</v>
      </c>
      <c r="AT634" s="6" t="s">
        <v>16931</v>
      </c>
      <c r="AU634" s="6" t="s">
        <v>19878</v>
      </c>
      <c r="AV634" s="6" t="s">
        <v>18531</v>
      </c>
      <c r="AW634" s="6" t="s">
        <v>18751</v>
      </c>
      <c r="AX634" s="6" t="s">
        <v>20597</v>
      </c>
      <c r="AY634" s="6" t="s">
        <v>22375</v>
      </c>
      <c r="AZ634" s="6" t="s">
        <v>23838</v>
      </c>
      <c r="BA634" s="6" t="s">
        <v>104</v>
      </c>
      <c r="BB634" s="6" t="s">
        <v>104</v>
      </c>
      <c r="BC634" s="26"/>
      <c r="BD634" s="26"/>
      <c r="BE634" s="26"/>
      <c r="BF634" s="26"/>
      <c r="BG634" s="26"/>
      <c r="BH634" s="26"/>
      <c r="BI634" s="26"/>
      <c r="BJ634" s="26"/>
      <c r="BK634" s="26"/>
      <c r="BL634" s="26" t="s">
        <v>24533</v>
      </c>
      <c r="BM634" s="26"/>
      <c r="BN634" s="26"/>
      <c r="BO634" s="26"/>
      <c r="BP634" s="16" t="n">
        <v>45738</v>
      </c>
      <c r="BQ634" s="28" t="str">
        <f>HYPERLINK("https://organic.ams.usda.gov/Integrity/Certificate.aspx?cid=62&amp;nopid=8150001581")</f>
        <v>https://organic.ams.usda.gov/Integrity/Certificate.aspx?cid=62&amp;nopid=8150001581</v>
      </c>
    </row>
    <row r="635">
      <c r="A635" t="s">
        <v>3</v>
      </c>
      <c r="B635" s="6" t="s">
        <v>34</v>
      </c>
      <c r="C635" s="6" t="s">
        <v>100</v>
      </c>
      <c r="D635" s="6" t="s">
        <v>165</v>
      </c>
      <c r="E635" s="10" t="s">
        <v>833</v>
      </c>
      <c r="F635" s="6" t="s">
        <v>3084</v>
      </c>
      <c r="G635" s="6" t="s">
        <v>104</v>
      </c>
      <c r="H635" s="6" t="s">
        <v>5471</v>
      </c>
      <c r="I635" s="6" t="s">
        <v>7339</v>
      </c>
      <c r="J635" s="6" t="s">
        <v>8612</v>
      </c>
      <c r="K635" s="6" t="s">
        <v>9714</v>
      </c>
      <c r="L635" s="16" t="n">
        <v>42514</v>
      </c>
      <c r="M635" s="16" t="n">
        <v>45652</v>
      </c>
      <c r="N635" s="6" t="s">
        <v>104</v>
      </c>
      <c r="O635" s="21" t="s">
        <v>104</v>
      </c>
      <c r="P635" s="6" t="s">
        <v>104</v>
      </c>
      <c r="Q635" s="6" t="s">
        <v>104</v>
      </c>
      <c r="R635" s="6" t="s">
        <v>104</v>
      </c>
      <c r="S635" s="6" t="s">
        <v>104</v>
      </c>
      <c r="T635" s="21" t="s">
        <v>104</v>
      </c>
      <c r="U635" s="6" t="s">
        <v>104</v>
      </c>
      <c r="V635" s="6" t="s">
        <v>104</v>
      </c>
      <c r="W635" s="6" t="s">
        <v>104</v>
      </c>
      <c r="X635" s="6" t="s">
        <v>104</v>
      </c>
      <c r="Y635" s="21" t="s">
        <v>104</v>
      </c>
      <c r="Z635" s="6" t="s">
        <v>104</v>
      </c>
      <c r="AA635" s="6" t="s">
        <v>104</v>
      </c>
      <c r="AB635" s="6" t="s">
        <v>104</v>
      </c>
      <c r="AC635" s="6" t="s">
        <v>9714</v>
      </c>
      <c r="AD635" s="16" t="n">
        <v>42514</v>
      </c>
      <c r="AE635" s="6" t="s">
        <v>11086</v>
      </c>
      <c r="AF635" s="6" t="s">
        <v>104</v>
      </c>
      <c r="AG635" s="6" t="s">
        <v>12690</v>
      </c>
      <c r="AH635" s="6" t="s">
        <v>13727</v>
      </c>
      <c r="AI635" s="6" t="s">
        <v>104</v>
      </c>
      <c r="AJ635" s="6" t="s">
        <v>15456</v>
      </c>
      <c r="AK635" s="6" t="s">
        <v>16714</v>
      </c>
      <c r="AL635" s="6" t="s">
        <v>16931</v>
      </c>
      <c r="AM635" s="6" t="s">
        <v>17398</v>
      </c>
      <c r="AN635" s="6" t="s">
        <v>5640</v>
      </c>
      <c r="AO635" s="6" t="s">
        <v>18589</v>
      </c>
      <c r="AP635" s="6" t="s">
        <v>13727</v>
      </c>
      <c r="AQ635" s="6" t="s">
        <v>104</v>
      </c>
      <c r="AR635" s="6" t="s">
        <v>15456</v>
      </c>
      <c r="AS635" s="6" t="s">
        <v>16714</v>
      </c>
      <c r="AT635" s="6" t="s">
        <v>16931</v>
      </c>
      <c r="AU635" s="6" t="s">
        <v>17398</v>
      </c>
      <c r="AV635" s="6" t="s">
        <v>104</v>
      </c>
      <c r="AW635" s="6" t="s">
        <v>104</v>
      </c>
      <c r="AX635" s="6" t="s">
        <v>20598</v>
      </c>
      <c r="AY635" s="6" t="s">
        <v>22376</v>
      </c>
      <c r="AZ635" s="6" t="s">
        <v>23839</v>
      </c>
      <c r="BA635" s="6" t="s">
        <v>104</v>
      </c>
      <c r="BB635" s="6" t="s">
        <v>104</v>
      </c>
      <c r="BC635" s="26"/>
      <c r="BD635" s="26"/>
      <c r="BE635" s="26" t="s">
        <v>24533</v>
      </c>
      <c r="BF635" s="26"/>
      <c r="BG635" s="26"/>
      <c r="BH635" s="26"/>
      <c r="BI635" s="26"/>
      <c r="BJ635" s="26"/>
      <c r="BK635" s="26"/>
      <c r="BL635" s="26"/>
      <c r="BM635" s="26"/>
      <c r="BN635" s="26"/>
      <c r="BO635" s="26"/>
      <c r="BP635" s="16" t="n">
        <v>45737</v>
      </c>
      <c r="BQ635" s="28" t="str">
        <f>HYPERLINK("https://organic.ams.usda.gov/Integrity/Certificate.aspx?cid=71&amp;nopid=5520286885")</f>
        <v>https://organic.ams.usda.gov/Integrity/Certificate.aspx?cid=71&amp;nopid=5520286885</v>
      </c>
    </row>
    <row r="636">
      <c r="A636" t="s">
        <v>3</v>
      </c>
      <c r="B636" s="6" t="s">
        <v>41</v>
      </c>
      <c r="C636" s="6" t="s">
        <v>107</v>
      </c>
      <c r="D636" s="6" t="s">
        <v>171</v>
      </c>
      <c r="E636" s="10" t="s">
        <v>834</v>
      </c>
      <c r="F636" s="6" t="s">
        <v>3085</v>
      </c>
      <c r="G636" s="6" t="s">
        <v>4736</v>
      </c>
      <c r="H636" s="6" t="s">
        <v>5472</v>
      </c>
      <c r="I636" s="6" t="s">
        <v>7340</v>
      </c>
      <c r="J636" s="6" t="s">
        <v>8613</v>
      </c>
      <c r="K636" s="6" t="s">
        <v>9714</v>
      </c>
      <c r="L636" s="16" t="n">
        <v>45469</v>
      </c>
      <c r="M636" s="16" t="n">
        <v>45747</v>
      </c>
      <c r="N636" s="6" t="s">
        <v>104</v>
      </c>
      <c r="O636" s="21" t="s">
        <v>104</v>
      </c>
      <c r="P636" s="6" t="s">
        <v>104</v>
      </c>
      <c r="Q636" s="6" t="s">
        <v>104</v>
      </c>
      <c r="R636" s="6" t="s">
        <v>104</v>
      </c>
      <c r="S636" s="6" t="s">
        <v>104</v>
      </c>
      <c r="T636" s="21" t="s">
        <v>104</v>
      </c>
      <c r="U636" s="6" t="s">
        <v>104</v>
      </c>
      <c r="V636" s="6" t="s">
        <v>104</v>
      </c>
      <c r="W636" s="6" t="s">
        <v>104</v>
      </c>
      <c r="X636" s="6" t="s">
        <v>104</v>
      </c>
      <c r="Y636" s="21" t="s">
        <v>104</v>
      </c>
      <c r="Z636" s="6" t="s">
        <v>104</v>
      </c>
      <c r="AA636" s="6" t="s">
        <v>104</v>
      </c>
      <c r="AB636" s="6" t="s">
        <v>104</v>
      </c>
      <c r="AC636" s="6" t="s">
        <v>9714</v>
      </c>
      <c r="AD636" s="16" t="n">
        <v>45469</v>
      </c>
      <c r="AE636" s="6" t="s">
        <v>11087</v>
      </c>
      <c r="AF636" s="6" t="s">
        <v>104</v>
      </c>
      <c r="AG636" s="6" t="s">
        <v>104</v>
      </c>
      <c r="AH636" s="6" t="s">
        <v>13728</v>
      </c>
      <c r="AI636" s="6" t="s">
        <v>104</v>
      </c>
      <c r="AJ636" s="6" t="s">
        <v>15775</v>
      </c>
      <c r="AK636" s="6" t="s">
        <v>16686</v>
      </c>
      <c r="AL636" s="6" t="s">
        <v>16931</v>
      </c>
      <c r="AM636" s="6" t="s">
        <v>17399</v>
      </c>
      <c r="AN636" s="6" t="s">
        <v>104</v>
      </c>
      <c r="AO636" s="6" t="s">
        <v>104</v>
      </c>
      <c r="AP636" s="6" t="s">
        <v>13728</v>
      </c>
      <c r="AQ636" s="6" t="s">
        <v>104</v>
      </c>
      <c r="AR636" s="6" t="s">
        <v>15775</v>
      </c>
      <c r="AS636" s="6" t="s">
        <v>16686</v>
      </c>
      <c r="AT636" s="6" t="s">
        <v>16931</v>
      </c>
      <c r="AU636" s="6" t="s">
        <v>17399</v>
      </c>
      <c r="AV636" s="6" t="s">
        <v>104</v>
      </c>
      <c r="AW636" s="6" t="s">
        <v>104</v>
      </c>
      <c r="AX636" s="6" t="s">
        <v>20599</v>
      </c>
      <c r="AY636" s="6" t="s">
        <v>22377</v>
      </c>
      <c r="AZ636" s="6" t="s">
        <v>104</v>
      </c>
      <c r="BA636" s="6" t="s">
        <v>104</v>
      </c>
      <c r="BB636" s="6" t="s">
        <v>104</v>
      </c>
      <c r="BC636" s="26"/>
      <c r="BD636" s="26"/>
      <c r="BE636" s="26"/>
      <c r="BF636" s="26"/>
      <c r="BG636" s="26"/>
      <c r="BH636" s="26"/>
      <c r="BI636" s="26"/>
      <c r="BJ636" s="26"/>
      <c r="BK636" s="26"/>
      <c r="BL636" s="26"/>
      <c r="BM636" s="26"/>
      <c r="BN636" s="26"/>
      <c r="BO636" s="26"/>
      <c r="BP636" s="16" t="n">
        <v>45737</v>
      </c>
      <c r="BQ636" s="28" t="str">
        <f>HYPERLINK("https://organic.ams.usda.gov/Integrity/Certificate.aspx?cid=58&amp;nopid=1600003731")</f>
        <v>https://organic.ams.usda.gov/Integrity/Certificate.aspx?cid=58&amp;nopid=1600003731</v>
      </c>
    </row>
    <row r="637">
      <c r="A637" t="s">
        <v>3</v>
      </c>
      <c r="B637" s="6" t="s">
        <v>34</v>
      </c>
      <c r="C637" s="6" t="s">
        <v>100</v>
      </c>
      <c r="D637" s="6" t="s">
        <v>165</v>
      </c>
      <c r="E637" s="10" t="s">
        <v>835</v>
      </c>
      <c r="F637" s="6" t="s">
        <v>3086</v>
      </c>
      <c r="G637" s="6" t="s">
        <v>104</v>
      </c>
      <c r="H637" s="6" t="s">
        <v>5473</v>
      </c>
      <c r="I637" s="6" t="s">
        <v>7341</v>
      </c>
      <c r="J637" s="6" t="s">
        <v>8614</v>
      </c>
      <c r="K637" s="6" t="s">
        <v>9714</v>
      </c>
      <c r="L637" s="16" t="n">
        <v>42220</v>
      </c>
      <c r="M637" s="16" t="n">
        <v>45700</v>
      </c>
      <c r="N637" s="6" t="s">
        <v>104</v>
      </c>
      <c r="O637" s="21" t="s">
        <v>104</v>
      </c>
      <c r="P637" s="6" t="s">
        <v>104</v>
      </c>
      <c r="Q637" s="6" t="s">
        <v>104</v>
      </c>
      <c r="R637" s="6" t="s">
        <v>104</v>
      </c>
      <c r="S637" s="6" t="s">
        <v>104</v>
      </c>
      <c r="T637" s="21" t="s">
        <v>104</v>
      </c>
      <c r="U637" s="6" t="s">
        <v>104</v>
      </c>
      <c r="V637" s="6" t="s">
        <v>104</v>
      </c>
      <c r="W637" s="6" t="s">
        <v>104</v>
      </c>
      <c r="X637" s="6" t="s">
        <v>104</v>
      </c>
      <c r="Y637" s="21" t="s">
        <v>104</v>
      </c>
      <c r="Z637" s="6" t="s">
        <v>104</v>
      </c>
      <c r="AA637" s="6" t="s">
        <v>104</v>
      </c>
      <c r="AB637" s="6" t="s">
        <v>104</v>
      </c>
      <c r="AC637" s="6" t="s">
        <v>9714</v>
      </c>
      <c r="AD637" s="16" t="n">
        <v>42220</v>
      </c>
      <c r="AE637" s="6" t="s">
        <v>11088</v>
      </c>
      <c r="AF637" s="6" t="s">
        <v>104</v>
      </c>
      <c r="AG637" s="6" t="s">
        <v>12691</v>
      </c>
      <c r="AH637" s="6" t="s">
        <v>13729</v>
      </c>
      <c r="AI637" s="6" t="s">
        <v>104</v>
      </c>
      <c r="AJ637" s="6" t="s">
        <v>15776</v>
      </c>
      <c r="AK637" s="6" t="s">
        <v>16694</v>
      </c>
      <c r="AL637" s="6" t="s">
        <v>16931</v>
      </c>
      <c r="AM637" s="6" t="s">
        <v>17400</v>
      </c>
      <c r="AN637" s="6" t="s">
        <v>18522</v>
      </c>
      <c r="AO637" s="6" t="s">
        <v>18698</v>
      </c>
      <c r="AP637" s="6" t="s">
        <v>13729</v>
      </c>
      <c r="AQ637" s="6" t="s">
        <v>104</v>
      </c>
      <c r="AR637" s="6" t="s">
        <v>15776</v>
      </c>
      <c r="AS637" s="6" t="s">
        <v>16694</v>
      </c>
      <c r="AT637" s="6" t="s">
        <v>16931</v>
      </c>
      <c r="AU637" s="6" t="s">
        <v>17400</v>
      </c>
      <c r="AV637" s="6" t="s">
        <v>104</v>
      </c>
      <c r="AW637" s="6" t="s">
        <v>104</v>
      </c>
      <c r="AX637" s="6" t="s">
        <v>20600</v>
      </c>
      <c r="AY637" s="6" t="s">
        <v>22378</v>
      </c>
      <c r="AZ637" s="6" t="s">
        <v>104</v>
      </c>
      <c r="BA637" s="6" t="s">
        <v>104</v>
      </c>
      <c r="BB637" s="6" t="s">
        <v>104</v>
      </c>
      <c r="BC637" s="26"/>
      <c r="BD637" s="26"/>
      <c r="BE637" s="26"/>
      <c r="BF637" s="26"/>
      <c r="BG637" s="26"/>
      <c r="BH637" s="26"/>
      <c r="BI637" s="26"/>
      <c r="BJ637" s="26"/>
      <c r="BK637" s="26"/>
      <c r="BL637" s="26"/>
      <c r="BM637" s="26"/>
      <c r="BN637" s="26"/>
      <c r="BO637" s="26"/>
      <c r="BP637" s="16" t="n">
        <v>45737</v>
      </c>
      <c r="BQ637" s="28" t="str">
        <f>HYPERLINK("https://organic.ams.usda.gov/Integrity/Certificate.aspx?cid=71&amp;nopid=5520250478")</f>
        <v>https://organic.ams.usda.gov/Integrity/Certificate.aspx?cid=71&amp;nopid=5520250478</v>
      </c>
    </row>
    <row r="638">
      <c r="A638" t="s">
        <v>3</v>
      </c>
      <c r="B638" s="6" t="s">
        <v>50</v>
      </c>
      <c r="C638" s="6" t="s">
        <v>116</v>
      </c>
      <c r="D638" s="6" t="s">
        <v>180</v>
      </c>
      <c r="E638" s="10" t="s">
        <v>836</v>
      </c>
      <c r="F638" s="6" t="s">
        <v>3087</v>
      </c>
      <c r="G638" s="6" t="s">
        <v>104</v>
      </c>
      <c r="H638" s="6" t="s">
        <v>5474</v>
      </c>
      <c r="I638" s="6" t="s">
        <v>7342</v>
      </c>
      <c r="J638" s="6" t="s">
        <v>8102</v>
      </c>
      <c r="K638" s="6" t="s">
        <v>9714</v>
      </c>
      <c r="L638" s="16" t="n">
        <v>43245</v>
      </c>
      <c r="M638" s="16" t="n">
        <v>46054</v>
      </c>
      <c r="N638" s="6" t="s">
        <v>104</v>
      </c>
      <c r="O638" s="21" t="s">
        <v>104</v>
      </c>
      <c r="P638" s="6" t="s">
        <v>104</v>
      </c>
      <c r="Q638" s="6" t="s">
        <v>104</v>
      </c>
      <c r="R638" s="6" t="s">
        <v>104</v>
      </c>
      <c r="S638" s="6" t="s">
        <v>104</v>
      </c>
      <c r="T638" s="21" t="s">
        <v>104</v>
      </c>
      <c r="U638" s="6" t="s">
        <v>104</v>
      </c>
      <c r="V638" s="6" t="s">
        <v>104</v>
      </c>
      <c r="W638" s="6" t="s">
        <v>104</v>
      </c>
      <c r="X638" s="6" t="s">
        <v>104</v>
      </c>
      <c r="Y638" s="21" t="s">
        <v>104</v>
      </c>
      <c r="Z638" s="6" t="s">
        <v>104</v>
      </c>
      <c r="AA638" s="6" t="s">
        <v>104</v>
      </c>
      <c r="AB638" s="6" t="s">
        <v>104</v>
      </c>
      <c r="AC638" s="6" t="s">
        <v>9714</v>
      </c>
      <c r="AD638" s="16" t="n">
        <v>43245</v>
      </c>
      <c r="AE638" s="6" t="s">
        <v>11089</v>
      </c>
      <c r="AF638" s="6" t="s">
        <v>104</v>
      </c>
      <c r="AG638" s="6" t="s">
        <v>5474</v>
      </c>
      <c r="AH638" s="6" t="s">
        <v>13730</v>
      </c>
      <c r="AI638" s="6" t="s">
        <v>104</v>
      </c>
      <c r="AJ638" s="6" t="s">
        <v>15777</v>
      </c>
      <c r="AK638" s="6" t="s">
        <v>16745</v>
      </c>
      <c r="AL638" s="6" t="s">
        <v>16931</v>
      </c>
      <c r="AM638" s="6" t="s">
        <v>17401</v>
      </c>
      <c r="AN638" s="6" t="s">
        <v>18472</v>
      </c>
      <c r="AO638" s="6" t="s">
        <v>18650</v>
      </c>
      <c r="AP638" s="6" t="s">
        <v>13730</v>
      </c>
      <c r="AQ638" s="6" t="s">
        <v>104</v>
      </c>
      <c r="AR638" s="6" t="s">
        <v>15777</v>
      </c>
      <c r="AS638" s="6" t="s">
        <v>16745</v>
      </c>
      <c r="AT638" s="6" t="s">
        <v>16931</v>
      </c>
      <c r="AU638" s="6" t="s">
        <v>17401</v>
      </c>
      <c r="AV638" s="6" t="s">
        <v>104</v>
      </c>
      <c r="AW638" s="6" t="s">
        <v>104</v>
      </c>
      <c r="AX638" s="6" t="s">
        <v>20601</v>
      </c>
      <c r="AY638" s="6" t="s">
        <v>22379</v>
      </c>
      <c r="AZ638" s="6" t="s">
        <v>23840</v>
      </c>
      <c r="BA638" s="6" t="s">
        <v>104</v>
      </c>
      <c r="BB638" s="24" t="n">
        <v>0</v>
      </c>
      <c r="BC638" s="26"/>
      <c r="BD638" s="26"/>
      <c r="BE638" s="26"/>
      <c r="BF638" s="26"/>
      <c r="BG638" s="26" t="s">
        <v>24533</v>
      </c>
      <c r="BH638" s="26"/>
      <c r="BI638" s="26"/>
      <c r="BJ638" s="26"/>
      <c r="BK638" s="26"/>
      <c r="BL638" s="26"/>
      <c r="BM638" s="26"/>
      <c r="BN638" s="26"/>
      <c r="BO638" s="26"/>
      <c r="BP638" s="16" t="n">
        <v>45699</v>
      </c>
      <c r="BQ638" s="28" t="str">
        <f>HYPERLINK("https://organic.ams.usda.gov/Integrity/Certificate.aspx?cid=80&amp;nopid=5090311941")</f>
        <v>https://organic.ams.usda.gov/Integrity/Certificate.aspx?cid=80&amp;nopid=5090311941</v>
      </c>
    </row>
    <row r="639">
      <c r="A639" t="s">
        <v>3</v>
      </c>
      <c r="B639" s="6" t="s">
        <v>21</v>
      </c>
      <c r="C639" s="6" t="s">
        <v>87</v>
      </c>
      <c r="D639" s="6" t="s">
        <v>152</v>
      </c>
      <c r="E639" s="10" t="s">
        <v>837</v>
      </c>
      <c r="F639" s="6" t="s">
        <v>3088</v>
      </c>
      <c r="G639" s="6" t="s">
        <v>104</v>
      </c>
      <c r="H639" s="6" t="s">
        <v>5475</v>
      </c>
      <c r="I639" s="6" t="s">
        <v>7240</v>
      </c>
      <c r="J639" s="6" t="s">
        <v>8615</v>
      </c>
      <c r="K639" s="6" t="s">
        <v>9714</v>
      </c>
      <c r="L639" s="16" t="n">
        <v>45204</v>
      </c>
      <c r="M639" s="16" t="n">
        <v>46023</v>
      </c>
      <c r="N639" s="6" t="s">
        <v>104</v>
      </c>
      <c r="O639" s="21" t="s">
        <v>104</v>
      </c>
      <c r="P639" s="6" t="s">
        <v>104</v>
      </c>
      <c r="Q639" s="6" t="s">
        <v>104</v>
      </c>
      <c r="R639" s="6" t="s">
        <v>104</v>
      </c>
      <c r="S639" s="6" t="s">
        <v>104</v>
      </c>
      <c r="T639" s="21" t="s">
        <v>104</v>
      </c>
      <c r="U639" s="6" t="s">
        <v>104</v>
      </c>
      <c r="V639" s="6" t="s">
        <v>104</v>
      </c>
      <c r="W639" s="6" t="s">
        <v>104</v>
      </c>
      <c r="X639" s="6" t="s">
        <v>104</v>
      </c>
      <c r="Y639" s="21" t="s">
        <v>104</v>
      </c>
      <c r="Z639" s="6" t="s">
        <v>104</v>
      </c>
      <c r="AA639" s="6" t="s">
        <v>104</v>
      </c>
      <c r="AB639" s="6" t="s">
        <v>104</v>
      </c>
      <c r="AC639" s="6" t="s">
        <v>9714</v>
      </c>
      <c r="AD639" s="16" t="n">
        <v>45204</v>
      </c>
      <c r="AE639" s="6" t="s">
        <v>11090</v>
      </c>
      <c r="AF639" s="6" t="s">
        <v>104</v>
      </c>
      <c r="AG639" s="6" t="s">
        <v>104</v>
      </c>
      <c r="AH639" s="6" t="s">
        <v>13731</v>
      </c>
      <c r="AI639" s="6" t="s">
        <v>104</v>
      </c>
      <c r="AJ639" s="6" t="s">
        <v>15778</v>
      </c>
      <c r="AK639" s="6" t="s">
        <v>16687</v>
      </c>
      <c r="AL639" s="6" t="s">
        <v>16931</v>
      </c>
      <c r="AM639" s="6" t="s">
        <v>17402</v>
      </c>
      <c r="AN639" s="6" t="s">
        <v>18508</v>
      </c>
      <c r="AO639" s="6" t="s">
        <v>18699</v>
      </c>
      <c r="AP639" s="6" t="s">
        <v>13731</v>
      </c>
      <c r="AQ639" s="6" t="s">
        <v>104</v>
      </c>
      <c r="AR639" s="6" t="s">
        <v>15778</v>
      </c>
      <c r="AS639" s="6" t="s">
        <v>16687</v>
      </c>
      <c r="AT639" s="6" t="s">
        <v>16931</v>
      </c>
      <c r="AU639" s="6" t="s">
        <v>17402</v>
      </c>
      <c r="AV639" s="6" t="s">
        <v>104</v>
      </c>
      <c r="AW639" s="6" t="s">
        <v>104</v>
      </c>
      <c r="AX639" s="6" t="s">
        <v>20602</v>
      </c>
      <c r="AY639" s="6" t="s">
        <v>22380</v>
      </c>
      <c r="AZ639" s="6" t="s">
        <v>23841</v>
      </c>
      <c r="BA639" s="6" t="s">
        <v>24352</v>
      </c>
      <c r="BB639" s="6" t="s">
        <v>104</v>
      </c>
      <c r="BC639" s="26"/>
      <c r="BD639" s="26"/>
      <c r="BE639" s="26"/>
      <c r="BF639" s="26"/>
      <c r="BG639" s="26"/>
      <c r="BH639" s="26"/>
      <c r="BI639" s="26"/>
      <c r="BJ639" s="26"/>
      <c r="BK639" s="26"/>
      <c r="BL639" s="26"/>
      <c r="BM639" s="26"/>
      <c r="BN639" s="26"/>
      <c r="BO639" s="26"/>
      <c r="BP639" s="16" t="n">
        <v>45667</v>
      </c>
      <c r="BQ639" s="28" t="str">
        <f>HYPERLINK("https://organic.ams.usda.gov/Integrity/Certificate.aspx?cid=15&amp;nopid=5561006685")</f>
        <v>https://organic.ams.usda.gov/Integrity/Certificate.aspx?cid=15&amp;nopid=5561006685</v>
      </c>
    </row>
    <row r="640">
      <c r="A640" t="s">
        <v>3</v>
      </c>
      <c r="B640" s="6" t="s">
        <v>52</v>
      </c>
      <c r="C640" s="6" t="s">
        <v>118</v>
      </c>
      <c r="D640" s="6" t="s">
        <v>182</v>
      </c>
      <c r="E640" s="10" t="s">
        <v>838</v>
      </c>
      <c r="F640" s="6" t="s">
        <v>3089</v>
      </c>
      <c r="G640" s="6" t="s">
        <v>104</v>
      </c>
      <c r="H640" s="6" t="s">
        <v>5476</v>
      </c>
      <c r="I640" s="6" t="s">
        <v>7189</v>
      </c>
      <c r="J640" s="6" t="s">
        <v>8616</v>
      </c>
      <c r="K640" s="6" t="s">
        <v>9714</v>
      </c>
      <c r="L640" s="16" t="n">
        <v>41213</v>
      </c>
      <c r="M640" s="16" t="n">
        <v>46068</v>
      </c>
      <c r="N640" s="6" t="s">
        <v>104</v>
      </c>
      <c r="O640" s="21" t="s">
        <v>104</v>
      </c>
      <c r="P640" s="6" t="s">
        <v>104</v>
      </c>
      <c r="Q640" s="6" t="s">
        <v>104</v>
      </c>
      <c r="R640" s="6" t="s">
        <v>104</v>
      </c>
      <c r="S640" s="6" t="s">
        <v>104</v>
      </c>
      <c r="T640" s="21" t="s">
        <v>104</v>
      </c>
      <c r="U640" s="6" t="s">
        <v>104</v>
      </c>
      <c r="V640" s="6" t="s">
        <v>104</v>
      </c>
      <c r="W640" s="6" t="s">
        <v>104</v>
      </c>
      <c r="X640" s="6" t="s">
        <v>104</v>
      </c>
      <c r="Y640" s="21" t="s">
        <v>104</v>
      </c>
      <c r="Z640" s="6" t="s">
        <v>104</v>
      </c>
      <c r="AA640" s="6" t="s">
        <v>104</v>
      </c>
      <c r="AB640" s="6" t="s">
        <v>104</v>
      </c>
      <c r="AC640" s="6" t="s">
        <v>9714</v>
      </c>
      <c r="AD640" s="16" t="n">
        <v>41213</v>
      </c>
      <c r="AE640" s="6" t="s">
        <v>11091</v>
      </c>
      <c r="AF640" s="6" t="s">
        <v>104</v>
      </c>
      <c r="AG640" s="6" t="s">
        <v>5476</v>
      </c>
      <c r="AH640" s="6" t="s">
        <v>13732</v>
      </c>
      <c r="AI640" s="6" t="s">
        <v>104</v>
      </c>
      <c r="AJ640" s="6" t="s">
        <v>15779</v>
      </c>
      <c r="AK640" s="6" t="s">
        <v>16681</v>
      </c>
      <c r="AL640" s="6" t="s">
        <v>16931</v>
      </c>
      <c r="AM640" s="6" t="s">
        <v>17403</v>
      </c>
      <c r="AN640" s="6" t="s">
        <v>18476</v>
      </c>
      <c r="AO640" s="6" t="s">
        <v>18700</v>
      </c>
      <c r="AP640" s="6" t="s">
        <v>13732</v>
      </c>
      <c r="AQ640" s="6" t="s">
        <v>104</v>
      </c>
      <c r="AR640" s="6" t="s">
        <v>15779</v>
      </c>
      <c r="AS640" s="6" t="s">
        <v>16681</v>
      </c>
      <c r="AT640" s="6" t="s">
        <v>16931</v>
      </c>
      <c r="AU640" s="6" t="s">
        <v>17403</v>
      </c>
      <c r="AV640" s="6" t="s">
        <v>104</v>
      </c>
      <c r="AW640" s="6" t="s">
        <v>104</v>
      </c>
      <c r="AX640" s="6" t="s">
        <v>20603</v>
      </c>
      <c r="AY640" s="6" t="s">
        <v>104</v>
      </c>
      <c r="AZ640" s="6" t="s">
        <v>104</v>
      </c>
      <c r="BA640" s="6" t="s">
        <v>104</v>
      </c>
      <c r="BB640" s="6" t="s">
        <v>104</v>
      </c>
      <c r="BC640" s="26"/>
      <c r="BD640" s="26"/>
      <c r="BE640" s="26"/>
      <c r="BF640" s="26"/>
      <c r="BG640" s="26"/>
      <c r="BH640" s="26"/>
      <c r="BI640" s="26"/>
      <c r="BJ640" s="26"/>
      <c r="BK640" s="26"/>
      <c r="BL640" s="26"/>
      <c r="BM640" s="26"/>
      <c r="BN640" s="26"/>
      <c r="BO640" s="26"/>
      <c r="BP640" s="16" t="n">
        <v>45707</v>
      </c>
      <c r="BQ640" s="28" t="str">
        <f>HYPERLINK("https://organic.ams.usda.gov/Integrity/Certificate.aspx?cid=36&amp;nopid=5400000623")</f>
        <v>https://organic.ams.usda.gov/Integrity/Certificate.aspx?cid=36&amp;nopid=5400000623</v>
      </c>
    </row>
    <row r="641">
      <c r="A641" t="s">
        <v>3</v>
      </c>
      <c r="B641" s="6" t="s">
        <v>22</v>
      </c>
      <c r="C641" s="6" t="s">
        <v>88</v>
      </c>
      <c r="D641" s="6" t="s">
        <v>153</v>
      </c>
      <c r="E641" s="10" t="s">
        <v>839</v>
      </c>
      <c r="F641" s="6" t="s">
        <v>3090</v>
      </c>
      <c r="G641" s="6" t="s">
        <v>104</v>
      </c>
      <c r="H641" s="6" t="s">
        <v>5477</v>
      </c>
      <c r="I641" s="6" t="s">
        <v>7343</v>
      </c>
      <c r="J641" s="6" t="s">
        <v>8617</v>
      </c>
      <c r="K641" s="6" t="s">
        <v>9714</v>
      </c>
      <c r="L641" s="16" t="n">
        <v>39216</v>
      </c>
      <c r="M641" s="16" t="n">
        <v>45748</v>
      </c>
      <c r="N641" s="6" t="s">
        <v>104</v>
      </c>
      <c r="O641" s="21" t="s">
        <v>104</v>
      </c>
      <c r="P641" s="6" t="s">
        <v>104</v>
      </c>
      <c r="Q641" s="6" t="s">
        <v>104</v>
      </c>
      <c r="R641" s="6" t="s">
        <v>104</v>
      </c>
      <c r="S641" s="6" t="s">
        <v>104</v>
      </c>
      <c r="T641" s="21" t="s">
        <v>104</v>
      </c>
      <c r="U641" s="6" t="s">
        <v>104</v>
      </c>
      <c r="V641" s="6" t="s">
        <v>104</v>
      </c>
      <c r="W641" s="6" t="s">
        <v>104</v>
      </c>
      <c r="X641" s="6" t="s">
        <v>104</v>
      </c>
      <c r="Y641" s="21" t="s">
        <v>104</v>
      </c>
      <c r="Z641" s="6" t="s">
        <v>104</v>
      </c>
      <c r="AA641" s="6" t="s">
        <v>104</v>
      </c>
      <c r="AB641" s="6" t="s">
        <v>104</v>
      </c>
      <c r="AC641" s="6" t="s">
        <v>9714</v>
      </c>
      <c r="AD641" s="16" t="n">
        <v>39216</v>
      </c>
      <c r="AE641" s="6" t="s">
        <v>11092</v>
      </c>
      <c r="AF641" s="6" t="s">
        <v>104</v>
      </c>
      <c r="AG641" s="6" t="s">
        <v>12692</v>
      </c>
      <c r="AH641" s="6" t="s">
        <v>13733</v>
      </c>
      <c r="AI641" s="6" t="s">
        <v>104</v>
      </c>
      <c r="AJ641" s="6" t="s">
        <v>15780</v>
      </c>
      <c r="AK641" s="6" t="s">
        <v>16370</v>
      </c>
      <c r="AL641" s="6" t="s">
        <v>16931</v>
      </c>
      <c r="AM641" s="6" t="s">
        <v>17404</v>
      </c>
      <c r="AN641" s="6" t="s">
        <v>18492</v>
      </c>
      <c r="AO641" s="6" t="s">
        <v>18701</v>
      </c>
      <c r="AP641" s="6" t="s">
        <v>13733</v>
      </c>
      <c r="AQ641" s="6" t="s">
        <v>104</v>
      </c>
      <c r="AR641" s="6" t="s">
        <v>15780</v>
      </c>
      <c r="AS641" s="6" t="s">
        <v>16370</v>
      </c>
      <c r="AT641" s="6" t="s">
        <v>16931</v>
      </c>
      <c r="AU641" s="6" t="s">
        <v>17404</v>
      </c>
      <c r="AV641" s="6" t="s">
        <v>104</v>
      </c>
      <c r="AW641" s="6" t="s">
        <v>104</v>
      </c>
      <c r="AX641" s="6" t="s">
        <v>20604</v>
      </c>
      <c r="AY641" s="6" t="s">
        <v>22381</v>
      </c>
      <c r="AZ641" s="6" t="s">
        <v>23842</v>
      </c>
      <c r="BA641" s="6" t="s">
        <v>104</v>
      </c>
      <c r="BB641" s="6" t="s">
        <v>104</v>
      </c>
      <c r="BC641" s="26"/>
      <c r="BD641" s="26"/>
      <c r="BE641" s="26"/>
      <c r="BF641" s="26"/>
      <c r="BG641" s="26"/>
      <c r="BH641" s="26"/>
      <c r="BI641" s="26"/>
      <c r="BJ641" s="26"/>
      <c r="BK641" s="26"/>
      <c r="BL641" s="26"/>
      <c r="BM641" s="26"/>
      <c r="BN641" s="26"/>
      <c r="BO641" s="26"/>
      <c r="BP641" s="16" t="n">
        <v>45730</v>
      </c>
      <c r="BQ641" s="28" t="str">
        <f>HYPERLINK("https://organic.ams.usda.gov/Integrity/Certificate.aspx?cid=72&amp;nopid=5870000809")</f>
        <v>https://organic.ams.usda.gov/Integrity/Certificate.aspx?cid=72&amp;nopid=5870000809</v>
      </c>
    </row>
    <row r="642">
      <c r="A642" t="s">
        <v>3</v>
      </c>
      <c r="B642" s="6" t="s">
        <v>36</v>
      </c>
      <c r="C642" s="6" t="s">
        <v>102</v>
      </c>
      <c r="D642" s="6" t="s">
        <v>167</v>
      </c>
      <c r="E642" s="10" t="s">
        <v>840</v>
      </c>
      <c r="F642" s="6" t="s">
        <v>3091</v>
      </c>
      <c r="G642" s="6" t="s">
        <v>104</v>
      </c>
      <c r="H642" s="6" t="s">
        <v>5478</v>
      </c>
      <c r="I642" s="6" t="s">
        <v>7344</v>
      </c>
      <c r="J642" s="6" t="s">
        <v>8618</v>
      </c>
      <c r="K642" s="6" t="s">
        <v>9714</v>
      </c>
      <c r="L642" s="16" t="n">
        <v>42600</v>
      </c>
      <c r="M642" s="16" t="n">
        <v>45808</v>
      </c>
      <c r="N642" s="6" t="s">
        <v>104</v>
      </c>
      <c r="O642" s="21" t="s">
        <v>104</v>
      </c>
      <c r="P642" s="6" t="s">
        <v>104</v>
      </c>
      <c r="Q642" s="6" t="s">
        <v>104</v>
      </c>
      <c r="R642" s="6" t="s">
        <v>104</v>
      </c>
      <c r="S642" s="6" t="s">
        <v>104</v>
      </c>
      <c r="T642" s="21" t="s">
        <v>104</v>
      </c>
      <c r="U642" s="6" t="s">
        <v>104</v>
      </c>
      <c r="V642" s="6" t="s">
        <v>104</v>
      </c>
      <c r="W642" s="6" t="s">
        <v>104</v>
      </c>
      <c r="X642" s="6" t="s">
        <v>104</v>
      </c>
      <c r="Y642" s="21" t="s">
        <v>104</v>
      </c>
      <c r="Z642" s="6" t="s">
        <v>104</v>
      </c>
      <c r="AA642" s="6" t="s">
        <v>104</v>
      </c>
      <c r="AB642" s="6" t="s">
        <v>104</v>
      </c>
      <c r="AC642" s="6" t="s">
        <v>9714</v>
      </c>
      <c r="AD642" s="16" t="n">
        <v>42600</v>
      </c>
      <c r="AE642" s="6" t="s">
        <v>11093</v>
      </c>
      <c r="AF642" s="6" t="s">
        <v>104</v>
      </c>
      <c r="AG642" s="6" t="s">
        <v>104</v>
      </c>
      <c r="AH642" s="6" t="s">
        <v>13734</v>
      </c>
      <c r="AI642" s="6" t="s">
        <v>104</v>
      </c>
      <c r="AJ642" s="6" t="s">
        <v>15415</v>
      </c>
      <c r="AK642" s="6" t="s">
        <v>16705</v>
      </c>
      <c r="AL642" s="6" t="s">
        <v>16931</v>
      </c>
      <c r="AM642" s="6" t="s">
        <v>17405</v>
      </c>
      <c r="AN642" s="6" t="s">
        <v>17550</v>
      </c>
      <c r="AO642" s="6" t="s">
        <v>18702</v>
      </c>
      <c r="AP642" s="6" t="s">
        <v>13734</v>
      </c>
      <c r="AQ642" s="6" t="s">
        <v>104</v>
      </c>
      <c r="AR642" s="6" t="s">
        <v>15415</v>
      </c>
      <c r="AS642" s="6" t="s">
        <v>16705</v>
      </c>
      <c r="AT642" s="6" t="s">
        <v>16931</v>
      </c>
      <c r="AU642" s="6" t="s">
        <v>17405</v>
      </c>
      <c r="AV642" s="6" t="s">
        <v>104</v>
      </c>
      <c r="AW642" s="6" t="s">
        <v>104</v>
      </c>
      <c r="AX642" s="6" t="s">
        <v>20605</v>
      </c>
      <c r="AY642" s="6" t="s">
        <v>22382</v>
      </c>
      <c r="AZ642" s="6" t="s">
        <v>23843</v>
      </c>
      <c r="BA642" s="6" t="s">
        <v>104</v>
      </c>
      <c r="BB642" s="6" t="s">
        <v>104</v>
      </c>
      <c r="BC642" s="26"/>
      <c r="BD642" s="26"/>
      <c r="BE642" s="26"/>
      <c r="BF642" s="26"/>
      <c r="BG642" s="26"/>
      <c r="BH642" s="26"/>
      <c r="BI642" s="26"/>
      <c r="BJ642" s="26"/>
      <c r="BK642" s="26"/>
      <c r="BL642" s="26"/>
      <c r="BM642" s="26"/>
      <c r="BN642" s="26"/>
      <c r="BO642" s="26"/>
      <c r="BP642" s="16" t="n">
        <v>45729</v>
      </c>
      <c r="BQ642" s="28" t="str">
        <f>HYPERLINK("https://organic.ams.usda.gov/Integrity/Certificate.aspx?cid=61&amp;nopid=7270001187")</f>
        <v>https://organic.ams.usda.gov/Integrity/Certificate.aspx?cid=61&amp;nopid=7270001187</v>
      </c>
    </row>
    <row r="643">
      <c r="A643" t="s">
        <v>3</v>
      </c>
      <c r="B643" s="6" t="s">
        <v>45</v>
      </c>
      <c r="C643" s="6" t="s">
        <v>111</v>
      </c>
      <c r="D643" s="6" t="s">
        <v>175</v>
      </c>
      <c r="E643" s="10" t="s">
        <v>841</v>
      </c>
      <c r="F643" s="6" t="s">
        <v>3092</v>
      </c>
      <c r="G643" s="6" t="s">
        <v>104</v>
      </c>
      <c r="H643" s="6" t="s">
        <v>5479</v>
      </c>
      <c r="I643" s="6" t="s">
        <v>7345</v>
      </c>
      <c r="J643" s="6" t="s">
        <v>8300</v>
      </c>
      <c r="K643" s="6" t="s">
        <v>9714</v>
      </c>
      <c r="L643" s="16" t="n">
        <v>39563</v>
      </c>
      <c r="M643" s="16" t="n">
        <v>46082</v>
      </c>
      <c r="N643" s="6" t="s">
        <v>104</v>
      </c>
      <c r="O643" s="21" t="s">
        <v>104</v>
      </c>
      <c r="P643" s="6" t="s">
        <v>104</v>
      </c>
      <c r="Q643" s="6" t="s">
        <v>104</v>
      </c>
      <c r="R643" s="6" t="s">
        <v>104</v>
      </c>
      <c r="S643" s="6" t="s">
        <v>104</v>
      </c>
      <c r="T643" s="21" t="s">
        <v>104</v>
      </c>
      <c r="U643" s="6" t="s">
        <v>104</v>
      </c>
      <c r="V643" s="6" t="s">
        <v>104</v>
      </c>
      <c r="W643" s="6" t="s">
        <v>104</v>
      </c>
      <c r="X643" s="6" t="s">
        <v>104</v>
      </c>
      <c r="Y643" s="21" t="s">
        <v>104</v>
      </c>
      <c r="Z643" s="6" t="s">
        <v>104</v>
      </c>
      <c r="AA643" s="6" t="s">
        <v>104</v>
      </c>
      <c r="AB643" s="6" t="s">
        <v>104</v>
      </c>
      <c r="AC643" s="6" t="s">
        <v>9714</v>
      </c>
      <c r="AD643" s="16" t="n">
        <v>39563</v>
      </c>
      <c r="AE643" s="6" t="s">
        <v>11094</v>
      </c>
      <c r="AF643" s="6" t="s">
        <v>104</v>
      </c>
      <c r="AG643" s="6" t="s">
        <v>4667</v>
      </c>
      <c r="AH643" s="6" t="s">
        <v>13735</v>
      </c>
      <c r="AI643" s="6" t="s">
        <v>104</v>
      </c>
      <c r="AJ643" s="6" t="s">
        <v>15700</v>
      </c>
      <c r="AK643" s="6" t="s">
        <v>16382</v>
      </c>
      <c r="AL643" s="6" t="s">
        <v>16931</v>
      </c>
      <c r="AM643" s="6" t="s">
        <v>17406</v>
      </c>
      <c r="AN643" s="6" t="s">
        <v>104</v>
      </c>
      <c r="AO643" s="6" t="s">
        <v>104</v>
      </c>
      <c r="AP643" s="6" t="s">
        <v>13735</v>
      </c>
      <c r="AQ643" s="6" t="s">
        <v>104</v>
      </c>
      <c r="AR643" s="6" t="s">
        <v>15700</v>
      </c>
      <c r="AS643" s="6" t="s">
        <v>16382</v>
      </c>
      <c r="AT643" s="6" t="s">
        <v>16931</v>
      </c>
      <c r="AU643" s="6" t="s">
        <v>17406</v>
      </c>
      <c r="AV643" s="6" t="s">
        <v>18456</v>
      </c>
      <c r="AW643" s="6" t="s">
        <v>18723</v>
      </c>
      <c r="AX643" s="6" t="s">
        <v>20606</v>
      </c>
      <c r="AY643" s="6" t="s">
        <v>22383</v>
      </c>
      <c r="AZ643" s="6" t="s">
        <v>23844</v>
      </c>
      <c r="BA643" s="6" t="s">
        <v>104</v>
      </c>
      <c r="BB643" s="6" t="s">
        <v>104</v>
      </c>
      <c r="BC643" s="26"/>
      <c r="BD643" s="26"/>
      <c r="BE643" s="26"/>
      <c r="BF643" s="26"/>
      <c r="BG643" s="26"/>
      <c r="BH643" s="26"/>
      <c r="BI643" s="26"/>
      <c r="BJ643" s="26"/>
      <c r="BK643" s="26"/>
      <c r="BL643" s="26"/>
      <c r="BM643" s="26"/>
      <c r="BN643" s="26"/>
      <c r="BO643" s="26"/>
      <c r="BP643" s="16" t="n">
        <v>45739</v>
      </c>
      <c r="BQ643" s="28" t="str">
        <f>HYPERLINK("https://organic.ams.usda.gov/Integrity/Certificate.aspx?cid=82&amp;nopid=2780002141")</f>
        <v>https://organic.ams.usda.gov/Integrity/Certificate.aspx?cid=82&amp;nopid=2780002141</v>
      </c>
    </row>
    <row r="644">
      <c r="A644" t="s">
        <v>3</v>
      </c>
      <c r="B644" s="6" t="s">
        <v>22</v>
      </c>
      <c r="C644" s="6" t="s">
        <v>88</v>
      </c>
      <c r="D644" s="6" t="s">
        <v>153</v>
      </c>
      <c r="E644" s="10" t="s">
        <v>842</v>
      </c>
      <c r="F644" s="6" t="s">
        <v>3093</v>
      </c>
      <c r="G644" s="6" t="s">
        <v>104</v>
      </c>
      <c r="H644" s="6" t="s">
        <v>5480</v>
      </c>
      <c r="I644" s="6" t="s">
        <v>6935</v>
      </c>
      <c r="J644" s="6" t="s">
        <v>8619</v>
      </c>
      <c r="K644" s="6" t="s">
        <v>9714</v>
      </c>
      <c r="L644" s="16" t="n">
        <v>40440</v>
      </c>
      <c r="M644" s="16" t="n">
        <v>45992</v>
      </c>
      <c r="N644" s="6" t="s">
        <v>104</v>
      </c>
      <c r="O644" s="21" t="s">
        <v>104</v>
      </c>
      <c r="P644" s="6" t="s">
        <v>104</v>
      </c>
      <c r="Q644" s="6" t="s">
        <v>104</v>
      </c>
      <c r="R644" s="6" t="s">
        <v>104</v>
      </c>
      <c r="S644" s="6" t="s">
        <v>104</v>
      </c>
      <c r="T644" s="21" t="s">
        <v>104</v>
      </c>
      <c r="U644" s="6" t="s">
        <v>104</v>
      </c>
      <c r="V644" s="6" t="s">
        <v>104</v>
      </c>
      <c r="W644" s="6" t="s">
        <v>104</v>
      </c>
      <c r="X644" s="6" t="s">
        <v>104</v>
      </c>
      <c r="Y644" s="21" t="s">
        <v>104</v>
      </c>
      <c r="Z644" s="6" t="s">
        <v>104</v>
      </c>
      <c r="AA644" s="6" t="s">
        <v>104</v>
      </c>
      <c r="AB644" s="6" t="s">
        <v>104</v>
      </c>
      <c r="AC644" s="6" t="s">
        <v>9714</v>
      </c>
      <c r="AD644" s="16" t="n">
        <v>40440</v>
      </c>
      <c r="AE644" s="6" t="s">
        <v>11095</v>
      </c>
      <c r="AF644" s="6" t="s">
        <v>104</v>
      </c>
      <c r="AG644" s="6" t="s">
        <v>12693</v>
      </c>
      <c r="AH644" s="6" t="s">
        <v>13736</v>
      </c>
      <c r="AI644" s="6" t="s">
        <v>15260</v>
      </c>
      <c r="AJ644" s="6" t="s">
        <v>15781</v>
      </c>
      <c r="AK644" s="6" t="s">
        <v>16725</v>
      </c>
      <c r="AL644" s="6" t="s">
        <v>16931</v>
      </c>
      <c r="AM644" s="6" t="s">
        <v>17407</v>
      </c>
      <c r="AN644" s="6" t="s">
        <v>18512</v>
      </c>
      <c r="AO644" s="6" t="s">
        <v>18703</v>
      </c>
      <c r="AP644" s="6" t="s">
        <v>13736</v>
      </c>
      <c r="AQ644" s="6" t="s">
        <v>15260</v>
      </c>
      <c r="AR644" s="6" t="s">
        <v>15781</v>
      </c>
      <c r="AS644" s="6" t="s">
        <v>16725</v>
      </c>
      <c r="AT644" s="6" t="s">
        <v>16931</v>
      </c>
      <c r="AU644" s="6" t="s">
        <v>17407</v>
      </c>
      <c r="AV644" s="6" t="s">
        <v>104</v>
      </c>
      <c r="AW644" s="6" t="s">
        <v>104</v>
      </c>
      <c r="AX644" s="6" t="s">
        <v>20607</v>
      </c>
      <c r="AY644" s="6" t="s">
        <v>22384</v>
      </c>
      <c r="AZ644" s="6" t="s">
        <v>104</v>
      </c>
      <c r="BA644" s="6" t="s">
        <v>104</v>
      </c>
      <c r="BB644" s="6" t="s">
        <v>104</v>
      </c>
      <c r="BC644" s="26"/>
      <c r="BD644" s="26"/>
      <c r="BE644" s="26"/>
      <c r="BF644" s="26"/>
      <c r="BG644" s="26" t="s">
        <v>24533</v>
      </c>
      <c r="BH644" s="26"/>
      <c r="BI644" s="26"/>
      <c r="BJ644" s="26"/>
      <c r="BK644" s="26"/>
      <c r="BL644" s="26"/>
      <c r="BM644" s="26"/>
      <c r="BN644" s="26"/>
      <c r="BO644" s="26"/>
      <c r="BP644" s="16" t="n">
        <v>45663</v>
      </c>
      <c r="BQ644" s="28" t="str">
        <f>HYPERLINK("https://organic.ams.usda.gov/Integrity/Certificate.aspx?cid=72&amp;nopid=5870001178")</f>
        <v>https://organic.ams.usda.gov/Integrity/Certificate.aspx?cid=72&amp;nopid=5870001178</v>
      </c>
    </row>
    <row r="645">
      <c r="A645" t="s">
        <v>3</v>
      </c>
      <c r="B645" s="6" t="s">
        <v>23</v>
      </c>
      <c r="C645" s="6" t="s">
        <v>89</v>
      </c>
      <c r="D645" s="6" t="s">
        <v>154</v>
      </c>
      <c r="E645" s="10" t="s">
        <v>843</v>
      </c>
      <c r="F645" s="6" t="s">
        <v>3094</v>
      </c>
      <c r="G645" s="6" t="s">
        <v>104</v>
      </c>
      <c r="H645" s="6" t="s">
        <v>5481</v>
      </c>
      <c r="I645" s="6" t="s">
        <v>7346</v>
      </c>
      <c r="J645" s="6" t="s">
        <v>8620</v>
      </c>
      <c r="K645" s="6" t="s">
        <v>9714</v>
      </c>
      <c r="L645" s="16" t="n">
        <v>43518</v>
      </c>
      <c r="M645" s="16" t="n">
        <v>45383</v>
      </c>
      <c r="N645" s="6" t="s">
        <v>104</v>
      </c>
      <c r="O645" s="21" t="s">
        <v>104</v>
      </c>
      <c r="P645" s="6" t="s">
        <v>104</v>
      </c>
      <c r="Q645" s="6" t="s">
        <v>104</v>
      </c>
      <c r="R645" s="6" t="s">
        <v>104</v>
      </c>
      <c r="S645" s="6" t="s">
        <v>104</v>
      </c>
      <c r="T645" s="21" t="s">
        <v>104</v>
      </c>
      <c r="U645" s="6" t="s">
        <v>104</v>
      </c>
      <c r="V645" s="6" t="s">
        <v>104</v>
      </c>
      <c r="W645" s="6" t="s">
        <v>104</v>
      </c>
      <c r="X645" s="6" t="s">
        <v>104</v>
      </c>
      <c r="Y645" s="21" t="s">
        <v>104</v>
      </c>
      <c r="Z645" s="6" t="s">
        <v>104</v>
      </c>
      <c r="AA645" s="6" t="s">
        <v>104</v>
      </c>
      <c r="AB645" s="6" t="s">
        <v>104</v>
      </c>
      <c r="AC645" s="6" t="s">
        <v>9714</v>
      </c>
      <c r="AD645" s="16" t="n">
        <v>43518</v>
      </c>
      <c r="AE645" s="6" t="s">
        <v>11096</v>
      </c>
      <c r="AF645" s="6" t="s">
        <v>104</v>
      </c>
      <c r="AG645" s="6" t="s">
        <v>5481</v>
      </c>
      <c r="AH645" s="6" t="s">
        <v>13737</v>
      </c>
      <c r="AI645" s="6" t="s">
        <v>104</v>
      </c>
      <c r="AJ645" s="6" t="s">
        <v>15782</v>
      </c>
      <c r="AK645" s="6" t="s">
        <v>16714</v>
      </c>
      <c r="AL645" s="6" t="s">
        <v>16931</v>
      </c>
      <c r="AM645" s="6" t="s">
        <v>17408</v>
      </c>
      <c r="AN645" s="6" t="s">
        <v>18481</v>
      </c>
      <c r="AO645" s="6" t="s">
        <v>18704</v>
      </c>
      <c r="AP645" s="6" t="s">
        <v>19112</v>
      </c>
      <c r="AQ645" s="6" t="s">
        <v>104</v>
      </c>
      <c r="AR645" s="6" t="s">
        <v>15782</v>
      </c>
      <c r="AS645" s="6" t="s">
        <v>16714</v>
      </c>
      <c r="AT645" s="6" t="s">
        <v>16931</v>
      </c>
      <c r="AU645" s="6" t="s">
        <v>17408</v>
      </c>
      <c r="AV645" s="6" t="s">
        <v>104</v>
      </c>
      <c r="AW645" s="6" t="s">
        <v>104</v>
      </c>
      <c r="AX645" s="6" t="s">
        <v>20608</v>
      </c>
      <c r="AY645" s="6" t="s">
        <v>22385</v>
      </c>
      <c r="AZ645" s="6" t="s">
        <v>23845</v>
      </c>
      <c r="BA645" s="6" t="s">
        <v>104</v>
      </c>
      <c r="BB645" s="24" t="n">
        <v>0</v>
      </c>
      <c r="BC645" s="26"/>
      <c r="BD645" s="26"/>
      <c r="BE645" s="26"/>
      <c r="BF645" s="26"/>
      <c r="BG645" s="26"/>
      <c r="BH645" s="26"/>
      <c r="BI645" s="26"/>
      <c r="BJ645" s="26"/>
      <c r="BK645" s="26"/>
      <c r="BL645" s="26" t="s">
        <v>24533</v>
      </c>
      <c r="BM645" s="26"/>
      <c r="BN645" s="26"/>
      <c r="BO645" s="26"/>
      <c r="BP645" s="16" t="n">
        <v>45418</v>
      </c>
      <c r="BQ645" s="28" t="str">
        <f>HYPERLINK("https://organic.ams.usda.gov/Integrity/Certificate.aspx?cid=45&amp;nopid=9950011218")</f>
        <v>https://organic.ams.usda.gov/Integrity/Certificate.aspx?cid=45&amp;nopid=9950011218</v>
      </c>
    </row>
    <row r="646">
      <c r="A646" t="s">
        <v>3</v>
      </c>
      <c r="B646" s="6" t="s">
        <v>20</v>
      </c>
      <c r="C646" s="6" t="s">
        <v>86</v>
      </c>
      <c r="D646" s="6" t="s">
        <v>151</v>
      </c>
      <c r="E646" s="10" t="s">
        <v>844</v>
      </c>
      <c r="F646" s="6" t="s">
        <v>3095</v>
      </c>
      <c r="G646" s="6" t="s">
        <v>104</v>
      </c>
      <c r="H646" s="6" t="s">
        <v>5482</v>
      </c>
      <c r="I646" s="6" t="s">
        <v>7347</v>
      </c>
      <c r="J646" s="6" t="s">
        <v>8621</v>
      </c>
      <c r="K646" s="6" t="s">
        <v>9714</v>
      </c>
      <c r="L646" s="16" t="n">
        <v>45443</v>
      </c>
      <c r="M646" s="16" t="n">
        <v>45777</v>
      </c>
      <c r="N646" s="6" t="s">
        <v>104</v>
      </c>
      <c r="O646" s="21" t="s">
        <v>104</v>
      </c>
      <c r="P646" s="6" t="s">
        <v>104</v>
      </c>
      <c r="Q646" s="6" t="s">
        <v>104</v>
      </c>
      <c r="R646" s="6" t="s">
        <v>104</v>
      </c>
      <c r="S646" s="6" t="s">
        <v>104</v>
      </c>
      <c r="T646" s="21" t="s">
        <v>104</v>
      </c>
      <c r="U646" s="6" t="s">
        <v>104</v>
      </c>
      <c r="V646" s="6" t="s">
        <v>104</v>
      </c>
      <c r="W646" s="6" t="s">
        <v>104</v>
      </c>
      <c r="X646" s="6" t="s">
        <v>104</v>
      </c>
      <c r="Y646" s="21" t="s">
        <v>104</v>
      </c>
      <c r="Z646" s="6" t="s">
        <v>104</v>
      </c>
      <c r="AA646" s="6" t="s">
        <v>104</v>
      </c>
      <c r="AB646" s="6" t="s">
        <v>104</v>
      </c>
      <c r="AC646" s="6" t="s">
        <v>9714</v>
      </c>
      <c r="AD646" s="16" t="n">
        <v>45443</v>
      </c>
      <c r="AE646" s="6" t="s">
        <v>11097</v>
      </c>
      <c r="AF646" s="6" t="s">
        <v>104</v>
      </c>
      <c r="AG646" s="6" t="s">
        <v>12694</v>
      </c>
      <c r="AH646" s="6" t="s">
        <v>13738</v>
      </c>
      <c r="AI646" s="6" t="s">
        <v>104</v>
      </c>
      <c r="AJ646" s="6" t="s">
        <v>15373</v>
      </c>
      <c r="AK646" s="6" t="s">
        <v>15373</v>
      </c>
      <c r="AL646" s="6" t="s">
        <v>16933</v>
      </c>
      <c r="AM646" s="6" t="s">
        <v>17409</v>
      </c>
      <c r="AN646" s="6" t="s">
        <v>104</v>
      </c>
      <c r="AO646" s="6" t="s">
        <v>104</v>
      </c>
      <c r="AP646" s="6" t="s">
        <v>104</v>
      </c>
      <c r="AQ646" s="6" t="s">
        <v>104</v>
      </c>
      <c r="AR646" s="6" t="s">
        <v>104</v>
      </c>
      <c r="AS646" s="6" t="s">
        <v>104</v>
      </c>
      <c r="AT646" s="6" t="s">
        <v>104</v>
      </c>
      <c r="AU646" s="6" t="s">
        <v>104</v>
      </c>
      <c r="AV646" s="6" t="s">
        <v>104</v>
      </c>
      <c r="AW646" s="6" t="s">
        <v>104</v>
      </c>
      <c r="AX646" s="6" t="s">
        <v>20609</v>
      </c>
      <c r="AY646" s="6" t="s">
        <v>22386</v>
      </c>
      <c r="AZ646" s="6" t="s">
        <v>23846</v>
      </c>
      <c r="BA646" s="6" t="s">
        <v>24353</v>
      </c>
      <c r="BB646" s="6" t="s">
        <v>104</v>
      </c>
      <c r="BC646" s="26"/>
      <c r="BD646" s="26"/>
      <c r="BE646" s="26"/>
      <c r="BF646" s="26"/>
      <c r="BG646" s="26"/>
      <c r="BH646" s="26"/>
      <c r="BI646" s="26"/>
      <c r="BJ646" s="26"/>
      <c r="BK646" s="26"/>
      <c r="BL646" s="26"/>
      <c r="BM646" s="26"/>
      <c r="BN646" s="26"/>
      <c r="BO646" s="26"/>
      <c r="BP646" s="16" t="n">
        <v>45548</v>
      </c>
      <c r="BQ646" s="28" t="str">
        <f>HYPERLINK("https://organic.ams.usda.gov/Integrity/Certificate.aspx?cid=17&amp;nopid=4080207880")</f>
        <v>https://organic.ams.usda.gov/Integrity/Certificate.aspx?cid=17&amp;nopid=4080207880</v>
      </c>
    </row>
    <row r="647">
      <c r="A647" t="s">
        <v>3</v>
      </c>
      <c r="B647" s="6" t="s">
        <v>45</v>
      </c>
      <c r="C647" s="6" t="s">
        <v>111</v>
      </c>
      <c r="D647" s="6" t="s">
        <v>175</v>
      </c>
      <c r="E647" s="10" t="s">
        <v>845</v>
      </c>
      <c r="F647" s="6" t="s">
        <v>3096</v>
      </c>
      <c r="G647" s="6" t="s">
        <v>104</v>
      </c>
      <c r="H647" s="6" t="s">
        <v>5483</v>
      </c>
      <c r="I647" s="6" t="s">
        <v>7348</v>
      </c>
      <c r="J647" s="6" t="s">
        <v>8622</v>
      </c>
      <c r="K647" s="6" t="s">
        <v>9714</v>
      </c>
      <c r="L647" s="16" t="n">
        <v>42878</v>
      </c>
      <c r="M647" s="16" t="n">
        <v>46082</v>
      </c>
      <c r="N647" s="6" t="s">
        <v>9714</v>
      </c>
      <c r="O647" s="16" t="n">
        <v>42878</v>
      </c>
      <c r="P647" s="6" t="s">
        <v>9899</v>
      </c>
      <c r="Q647" s="6" t="s">
        <v>104</v>
      </c>
      <c r="R647" s="6" t="s">
        <v>4667</v>
      </c>
      <c r="S647" s="6" t="s">
        <v>104</v>
      </c>
      <c r="T647" s="21" t="s">
        <v>104</v>
      </c>
      <c r="U647" s="6" t="s">
        <v>104</v>
      </c>
      <c r="V647" s="6" t="s">
        <v>104</v>
      </c>
      <c r="W647" s="6" t="s">
        <v>104</v>
      </c>
      <c r="X647" s="6" t="s">
        <v>104</v>
      </c>
      <c r="Y647" s="21" t="s">
        <v>104</v>
      </c>
      <c r="Z647" s="6" t="s">
        <v>104</v>
      </c>
      <c r="AA647" s="6" t="s">
        <v>104</v>
      </c>
      <c r="AB647" s="6" t="s">
        <v>104</v>
      </c>
      <c r="AC647" s="6" t="s">
        <v>104</v>
      </c>
      <c r="AD647" s="21" t="s">
        <v>104</v>
      </c>
      <c r="AE647" s="6" t="s">
        <v>104</v>
      </c>
      <c r="AF647" s="6" t="s">
        <v>104</v>
      </c>
      <c r="AG647" s="6" t="s">
        <v>104</v>
      </c>
      <c r="AH647" s="6" t="s">
        <v>13739</v>
      </c>
      <c r="AI647" s="6" t="s">
        <v>104</v>
      </c>
      <c r="AJ647" s="6" t="s">
        <v>15783</v>
      </c>
      <c r="AK647" s="6" t="s">
        <v>16382</v>
      </c>
      <c r="AL647" s="6" t="s">
        <v>16931</v>
      </c>
      <c r="AM647" s="6" t="s">
        <v>17410</v>
      </c>
      <c r="AN647" s="6" t="s">
        <v>104</v>
      </c>
      <c r="AO647" s="6" t="s">
        <v>104</v>
      </c>
      <c r="AP647" s="6" t="s">
        <v>19113</v>
      </c>
      <c r="AQ647" s="6" t="s">
        <v>104</v>
      </c>
      <c r="AR647" s="6" t="s">
        <v>19651</v>
      </c>
      <c r="AS647" s="6" t="s">
        <v>16382</v>
      </c>
      <c r="AT647" s="6" t="s">
        <v>16931</v>
      </c>
      <c r="AU647" s="6" t="s">
        <v>19879</v>
      </c>
      <c r="AV647" s="6" t="s">
        <v>5429</v>
      </c>
      <c r="AW647" s="6" t="s">
        <v>18724</v>
      </c>
      <c r="AX647" s="6" t="s">
        <v>20610</v>
      </c>
      <c r="AY647" s="6" t="s">
        <v>22387</v>
      </c>
      <c r="AZ647" s="6" t="s">
        <v>104</v>
      </c>
      <c r="BA647" s="6" t="s">
        <v>104</v>
      </c>
      <c r="BB647" s="24" t="n">
        <v>26</v>
      </c>
      <c r="BC647" s="26"/>
      <c r="BD647" s="26"/>
      <c r="BE647" s="26"/>
      <c r="BF647" s="26"/>
      <c r="BG647" s="26"/>
      <c r="BH647" s="26"/>
      <c r="BI647" s="26"/>
      <c r="BJ647" s="26"/>
      <c r="BK647" s="26"/>
      <c r="BL647" s="26"/>
      <c r="BM647" s="26"/>
      <c r="BN647" s="26"/>
      <c r="BO647" s="26"/>
      <c r="BP647" s="16" t="n">
        <v>45739</v>
      </c>
      <c r="BQ647" s="28" t="str">
        <f>HYPERLINK("https://organic.ams.usda.gov/Integrity/Certificate.aspx?cid=82&amp;nopid=2780003256")</f>
        <v>https://organic.ams.usda.gov/Integrity/Certificate.aspx?cid=82&amp;nopid=2780003256</v>
      </c>
    </row>
    <row r="648">
      <c r="A648" t="s">
        <v>3</v>
      </c>
      <c r="B648" s="6" t="s">
        <v>31</v>
      </c>
      <c r="C648" s="6" t="s">
        <v>97</v>
      </c>
      <c r="D648" s="6" t="s">
        <v>162</v>
      </c>
      <c r="E648" s="10" t="s">
        <v>846</v>
      </c>
      <c r="F648" s="6" t="s">
        <v>3097</v>
      </c>
      <c r="G648" s="6" t="s">
        <v>104</v>
      </c>
      <c r="H648" s="6" t="s">
        <v>5484</v>
      </c>
      <c r="I648" s="6" t="s">
        <v>7349</v>
      </c>
      <c r="J648" s="6" t="s">
        <v>8623</v>
      </c>
      <c r="K648" s="6" t="s">
        <v>9714</v>
      </c>
      <c r="L648" s="16" t="n">
        <v>44708</v>
      </c>
      <c r="M648" s="16" t="n">
        <v>45804</v>
      </c>
      <c r="N648" s="6" t="s">
        <v>104</v>
      </c>
      <c r="O648" s="21" t="s">
        <v>104</v>
      </c>
      <c r="P648" s="6" t="s">
        <v>104</v>
      </c>
      <c r="Q648" s="6" t="s">
        <v>104</v>
      </c>
      <c r="R648" s="6" t="s">
        <v>104</v>
      </c>
      <c r="S648" s="6" t="s">
        <v>104</v>
      </c>
      <c r="T648" s="21" t="s">
        <v>104</v>
      </c>
      <c r="U648" s="6" t="s">
        <v>104</v>
      </c>
      <c r="V648" s="6" t="s">
        <v>104</v>
      </c>
      <c r="W648" s="6" t="s">
        <v>104</v>
      </c>
      <c r="X648" s="6" t="s">
        <v>104</v>
      </c>
      <c r="Y648" s="21" t="s">
        <v>104</v>
      </c>
      <c r="Z648" s="6" t="s">
        <v>104</v>
      </c>
      <c r="AA648" s="6" t="s">
        <v>104</v>
      </c>
      <c r="AB648" s="6" t="s">
        <v>104</v>
      </c>
      <c r="AC648" s="6" t="s">
        <v>9714</v>
      </c>
      <c r="AD648" s="16" t="n">
        <v>44708</v>
      </c>
      <c r="AE648" s="6" t="s">
        <v>11098</v>
      </c>
      <c r="AF648" s="6" t="s">
        <v>104</v>
      </c>
      <c r="AG648" s="6" t="s">
        <v>12695</v>
      </c>
      <c r="AH648" s="6" t="s">
        <v>13740</v>
      </c>
      <c r="AI648" s="6" t="s">
        <v>15261</v>
      </c>
      <c r="AJ648" s="6" t="s">
        <v>15784</v>
      </c>
      <c r="AK648" s="6" t="s">
        <v>16792</v>
      </c>
      <c r="AL648" s="6" t="s">
        <v>16932</v>
      </c>
      <c r="AM648" s="6" t="s">
        <v>17316</v>
      </c>
      <c r="AN648" s="6" t="s">
        <v>104</v>
      </c>
      <c r="AO648" s="6" t="s">
        <v>104</v>
      </c>
      <c r="AP648" s="6" t="s">
        <v>13740</v>
      </c>
      <c r="AQ648" s="6" t="s">
        <v>15261</v>
      </c>
      <c r="AR648" s="6" t="s">
        <v>15784</v>
      </c>
      <c r="AS648" s="6" t="s">
        <v>16792</v>
      </c>
      <c r="AT648" s="6" t="s">
        <v>16932</v>
      </c>
      <c r="AU648" s="6" t="s">
        <v>17316</v>
      </c>
      <c r="AV648" s="6" t="s">
        <v>104</v>
      </c>
      <c r="AW648" s="6" t="s">
        <v>104</v>
      </c>
      <c r="AX648" s="6" t="s">
        <v>20611</v>
      </c>
      <c r="AY648" s="6" t="s">
        <v>22388</v>
      </c>
      <c r="AZ648" s="6" t="s">
        <v>104</v>
      </c>
      <c r="BA648" s="6" t="s">
        <v>104</v>
      </c>
      <c r="BB648" s="6" t="s">
        <v>104</v>
      </c>
      <c r="BC648" s="26"/>
      <c r="BD648" s="26"/>
      <c r="BE648" s="26"/>
      <c r="BF648" s="26"/>
      <c r="BG648" s="26"/>
      <c r="BH648" s="26"/>
      <c r="BI648" s="26"/>
      <c r="BJ648" s="26"/>
      <c r="BK648" s="26"/>
      <c r="BL648" s="26"/>
      <c r="BM648" s="26"/>
      <c r="BN648" s="26"/>
      <c r="BO648" s="26"/>
      <c r="BP648" s="16" t="n">
        <v>45649</v>
      </c>
      <c r="BQ648" s="28" t="str">
        <f>HYPERLINK("https://organic.ams.usda.gov/Integrity/Certificate.aspx?cid=43&amp;nopid=3532121030")</f>
        <v>https://organic.ams.usda.gov/Integrity/Certificate.aspx?cid=43&amp;nopid=3532121030</v>
      </c>
    </row>
    <row r="649">
      <c r="A649" t="s">
        <v>3</v>
      </c>
      <c r="B649" s="6" t="s">
        <v>14</v>
      </c>
      <c r="C649" s="6" t="s">
        <v>80</v>
      </c>
      <c r="D649" s="6" t="s">
        <v>145</v>
      </c>
      <c r="E649" s="10" t="s">
        <v>847</v>
      </c>
      <c r="F649" s="6" t="s">
        <v>3098</v>
      </c>
      <c r="G649" s="6" t="s">
        <v>104</v>
      </c>
      <c r="H649" s="6" t="s">
        <v>5485</v>
      </c>
      <c r="I649" s="6" t="s">
        <v>7350</v>
      </c>
      <c r="J649" s="6" t="s">
        <v>8284</v>
      </c>
      <c r="K649" s="6" t="s">
        <v>9714</v>
      </c>
      <c r="L649" s="16" t="n">
        <v>44704</v>
      </c>
      <c r="M649" s="16" t="n">
        <v>45738</v>
      </c>
      <c r="N649" s="6" t="s">
        <v>104</v>
      </c>
      <c r="O649" s="21" t="s">
        <v>104</v>
      </c>
      <c r="P649" s="6" t="s">
        <v>104</v>
      </c>
      <c r="Q649" s="6" t="s">
        <v>104</v>
      </c>
      <c r="R649" s="6" t="s">
        <v>104</v>
      </c>
      <c r="S649" s="6" t="s">
        <v>104</v>
      </c>
      <c r="T649" s="21" t="s">
        <v>104</v>
      </c>
      <c r="U649" s="6" t="s">
        <v>104</v>
      </c>
      <c r="V649" s="6" t="s">
        <v>104</v>
      </c>
      <c r="W649" s="6" t="s">
        <v>104</v>
      </c>
      <c r="X649" s="6" t="s">
        <v>104</v>
      </c>
      <c r="Y649" s="21" t="s">
        <v>104</v>
      </c>
      <c r="Z649" s="6" t="s">
        <v>104</v>
      </c>
      <c r="AA649" s="6" t="s">
        <v>104</v>
      </c>
      <c r="AB649" s="6" t="s">
        <v>104</v>
      </c>
      <c r="AC649" s="6" t="s">
        <v>9714</v>
      </c>
      <c r="AD649" s="16" t="n">
        <v>44704</v>
      </c>
      <c r="AE649" s="6" t="s">
        <v>11099</v>
      </c>
      <c r="AF649" s="6" t="s">
        <v>104</v>
      </c>
      <c r="AG649" s="6" t="s">
        <v>104</v>
      </c>
      <c r="AH649" s="6" t="s">
        <v>13741</v>
      </c>
      <c r="AI649" s="6" t="s">
        <v>104</v>
      </c>
      <c r="AJ649" s="6" t="s">
        <v>15785</v>
      </c>
      <c r="AK649" s="6" t="s">
        <v>16685</v>
      </c>
      <c r="AL649" s="6" t="s">
        <v>16932</v>
      </c>
      <c r="AM649" s="6" t="s">
        <v>17411</v>
      </c>
      <c r="AN649" s="6" t="s">
        <v>104</v>
      </c>
      <c r="AO649" s="6" t="s">
        <v>104</v>
      </c>
      <c r="AP649" s="6" t="s">
        <v>19114</v>
      </c>
      <c r="AQ649" s="6" t="s">
        <v>104</v>
      </c>
      <c r="AR649" s="6" t="s">
        <v>19652</v>
      </c>
      <c r="AS649" s="6" t="s">
        <v>16793</v>
      </c>
      <c r="AT649" s="6" t="s">
        <v>16932</v>
      </c>
      <c r="AU649" s="6" t="s">
        <v>19880</v>
      </c>
      <c r="AV649" s="6" t="s">
        <v>104</v>
      </c>
      <c r="AW649" s="6" t="s">
        <v>104</v>
      </c>
      <c r="AX649" s="6" t="s">
        <v>20612</v>
      </c>
      <c r="AY649" s="6" t="s">
        <v>22263</v>
      </c>
      <c r="AZ649" s="6" t="s">
        <v>104</v>
      </c>
      <c r="BA649" s="6" t="s">
        <v>24354</v>
      </c>
      <c r="BB649" s="6" t="s">
        <v>104</v>
      </c>
      <c r="BC649" s="26"/>
      <c r="BD649" s="26"/>
      <c r="BE649" s="26"/>
      <c r="BF649" s="26"/>
      <c r="BG649" s="26"/>
      <c r="BH649" s="26"/>
      <c r="BI649" s="26"/>
      <c r="BJ649" s="26"/>
      <c r="BK649" s="26"/>
      <c r="BL649" s="26"/>
      <c r="BM649" s="26"/>
      <c r="BN649" s="26"/>
      <c r="BO649" s="26"/>
      <c r="BP649" s="16" t="n">
        <v>45688</v>
      </c>
      <c r="BQ649" s="28" t="str">
        <f>HYPERLINK("https://organic.ams.usda.gov/Integrity/Certificate.aspx?cid=89&amp;nopid=4920004701")</f>
        <v>https://organic.ams.usda.gov/Integrity/Certificate.aspx?cid=89&amp;nopid=4920004701</v>
      </c>
    </row>
    <row r="650">
      <c r="A650" t="s">
        <v>3</v>
      </c>
      <c r="B650" s="6" t="s">
        <v>29</v>
      </c>
      <c r="C650" s="6" t="s">
        <v>95</v>
      </c>
      <c r="D650" s="6" t="s">
        <v>160</v>
      </c>
      <c r="E650" s="10" t="s">
        <v>848</v>
      </c>
      <c r="F650" s="6" t="s">
        <v>3099</v>
      </c>
      <c r="G650" s="6" t="s">
        <v>104</v>
      </c>
      <c r="H650" s="6" t="s">
        <v>5486</v>
      </c>
      <c r="I650" s="6" t="s">
        <v>104</v>
      </c>
      <c r="J650" s="6" t="s">
        <v>8624</v>
      </c>
      <c r="K650" s="6" t="s">
        <v>9714</v>
      </c>
      <c r="L650" s="16" t="n">
        <v>44987</v>
      </c>
      <c r="M650" s="16" t="n">
        <v>45962</v>
      </c>
      <c r="N650" s="6" t="s">
        <v>104</v>
      </c>
      <c r="O650" s="21" t="s">
        <v>104</v>
      </c>
      <c r="P650" s="6" t="s">
        <v>104</v>
      </c>
      <c r="Q650" s="6" t="s">
        <v>104</v>
      </c>
      <c r="R650" s="6" t="s">
        <v>104</v>
      </c>
      <c r="S650" s="6" t="s">
        <v>104</v>
      </c>
      <c r="T650" s="21" t="s">
        <v>104</v>
      </c>
      <c r="U650" s="6" t="s">
        <v>104</v>
      </c>
      <c r="V650" s="6" t="s">
        <v>104</v>
      </c>
      <c r="W650" s="6" t="s">
        <v>104</v>
      </c>
      <c r="X650" s="6" t="s">
        <v>104</v>
      </c>
      <c r="Y650" s="21" t="s">
        <v>104</v>
      </c>
      <c r="Z650" s="6" t="s">
        <v>104</v>
      </c>
      <c r="AA650" s="6" t="s">
        <v>104</v>
      </c>
      <c r="AB650" s="6" t="s">
        <v>104</v>
      </c>
      <c r="AC650" s="6" t="s">
        <v>9714</v>
      </c>
      <c r="AD650" s="16" t="n">
        <v>44987</v>
      </c>
      <c r="AE650" s="6" t="s">
        <v>11100</v>
      </c>
      <c r="AF650" s="6" t="s">
        <v>104</v>
      </c>
      <c r="AG650" s="6" t="s">
        <v>104</v>
      </c>
      <c r="AH650" s="6" t="s">
        <v>13742</v>
      </c>
      <c r="AI650" s="6" t="s">
        <v>104</v>
      </c>
      <c r="AJ650" s="6" t="s">
        <v>104</v>
      </c>
      <c r="AK650" s="6" t="s">
        <v>104</v>
      </c>
      <c r="AL650" s="6" t="s">
        <v>16936</v>
      </c>
      <c r="AM650" s="6" t="s">
        <v>104</v>
      </c>
      <c r="AN650" s="6" t="s">
        <v>104</v>
      </c>
      <c r="AO650" s="6" t="s">
        <v>104</v>
      </c>
      <c r="AP650" s="6" t="s">
        <v>104</v>
      </c>
      <c r="AQ650" s="6" t="s">
        <v>104</v>
      </c>
      <c r="AR650" s="6" t="s">
        <v>104</v>
      </c>
      <c r="AS650" s="6" t="s">
        <v>104</v>
      </c>
      <c r="AT650" s="6" t="s">
        <v>104</v>
      </c>
      <c r="AU650" s="6" t="s">
        <v>104</v>
      </c>
      <c r="AV650" s="6" t="s">
        <v>104</v>
      </c>
      <c r="AW650" s="6" t="s">
        <v>104</v>
      </c>
      <c r="AX650" s="6" t="s">
        <v>20613</v>
      </c>
      <c r="AY650" s="6" t="s">
        <v>22389</v>
      </c>
      <c r="AZ650" s="6" t="s">
        <v>104</v>
      </c>
      <c r="BA650" s="6" t="s">
        <v>24269</v>
      </c>
      <c r="BB650" s="24" t="n">
        <v>0</v>
      </c>
      <c r="BC650" s="26"/>
      <c r="BD650" s="26"/>
      <c r="BE650" s="26"/>
      <c r="BF650" s="26"/>
      <c r="BG650" s="26"/>
      <c r="BH650" s="26"/>
      <c r="BI650" s="26"/>
      <c r="BJ650" s="26"/>
      <c r="BK650" s="26"/>
      <c r="BL650" s="26"/>
      <c r="BM650" s="26"/>
      <c r="BN650" s="26"/>
      <c r="BO650" s="26"/>
      <c r="BP650" s="16" t="n">
        <v>45692</v>
      </c>
      <c r="BQ650" s="28" t="str">
        <f>HYPERLINK("https://organic.ams.usda.gov/Integrity/Certificate.aspx?cid=24&amp;nopid=7880275023")</f>
        <v>https://organic.ams.usda.gov/Integrity/Certificate.aspx?cid=24&amp;nopid=7880275023</v>
      </c>
    </row>
    <row r="651">
      <c r="A651" t="s">
        <v>3</v>
      </c>
      <c r="B651" s="6" t="s">
        <v>27</v>
      </c>
      <c r="C651" s="6" t="s">
        <v>93</v>
      </c>
      <c r="D651" s="6" t="s">
        <v>158</v>
      </c>
      <c r="E651" s="10" t="s">
        <v>849</v>
      </c>
      <c r="F651" s="6" t="s">
        <v>3100</v>
      </c>
      <c r="G651" s="6" t="s">
        <v>104</v>
      </c>
      <c r="H651" s="6" t="s">
        <v>5487</v>
      </c>
      <c r="I651" s="6" t="s">
        <v>7351</v>
      </c>
      <c r="J651" s="6" t="s">
        <v>8625</v>
      </c>
      <c r="K651" s="6" t="s">
        <v>9714</v>
      </c>
      <c r="L651" s="16" t="n">
        <v>45347</v>
      </c>
      <c r="M651" s="16" t="n">
        <v>45504</v>
      </c>
      <c r="N651" s="6" t="s">
        <v>104</v>
      </c>
      <c r="O651" s="21" t="s">
        <v>104</v>
      </c>
      <c r="P651" s="6" t="s">
        <v>104</v>
      </c>
      <c r="Q651" s="6" t="s">
        <v>104</v>
      </c>
      <c r="R651" s="6" t="s">
        <v>104</v>
      </c>
      <c r="S651" s="6" t="s">
        <v>104</v>
      </c>
      <c r="T651" s="21" t="s">
        <v>104</v>
      </c>
      <c r="U651" s="6" t="s">
        <v>104</v>
      </c>
      <c r="V651" s="6" t="s">
        <v>104</v>
      </c>
      <c r="W651" s="6" t="s">
        <v>104</v>
      </c>
      <c r="X651" s="6" t="s">
        <v>104</v>
      </c>
      <c r="Y651" s="21" t="s">
        <v>104</v>
      </c>
      <c r="Z651" s="6" t="s">
        <v>104</v>
      </c>
      <c r="AA651" s="6" t="s">
        <v>104</v>
      </c>
      <c r="AB651" s="6" t="s">
        <v>104</v>
      </c>
      <c r="AC651" s="6" t="s">
        <v>9714</v>
      </c>
      <c r="AD651" s="16" t="n">
        <v>45347</v>
      </c>
      <c r="AE651" s="6" t="s">
        <v>11101</v>
      </c>
      <c r="AF651" s="6" t="s">
        <v>104</v>
      </c>
      <c r="AG651" s="6" t="s">
        <v>12696</v>
      </c>
      <c r="AH651" s="6" t="s">
        <v>13743</v>
      </c>
      <c r="AI651" s="6" t="s">
        <v>15262</v>
      </c>
      <c r="AJ651" s="6" t="s">
        <v>104</v>
      </c>
      <c r="AK651" s="6" t="s">
        <v>16793</v>
      </c>
      <c r="AL651" s="6" t="s">
        <v>16932</v>
      </c>
      <c r="AM651" s="6" t="s">
        <v>17412</v>
      </c>
      <c r="AN651" s="6" t="s">
        <v>104</v>
      </c>
      <c r="AO651" s="6" t="s">
        <v>104</v>
      </c>
      <c r="AP651" s="6" t="s">
        <v>13743</v>
      </c>
      <c r="AQ651" s="6" t="s">
        <v>15262</v>
      </c>
      <c r="AR651" s="6" t="s">
        <v>104</v>
      </c>
      <c r="AS651" s="6" t="s">
        <v>16793</v>
      </c>
      <c r="AT651" s="6" t="s">
        <v>16932</v>
      </c>
      <c r="AU651" s="6" t="s">
        <v>17412</v>
      </c>
      <c r="AV651" s="6" t="s">
        <v>104</v>
      </c>
      <c r="AW651" s="6" t="s">
        <v>104</v>
      </c>
      <c r="AX651" s="6" t="s">
        <v>20613</v>
      </c>
      <c r="AY651" s="6" t="s">
        <v>22389</v>
      </c>
      <c r="AZ651" s="6" t="s">
        <v>23847</v>
      </c>
      <c r="BA651" s="6" t="s">
        <v>24355</v>
      </c>
      <c r="BB651" s="6" t="s">
        <v>104</v>
      </c>
      <c r="BC651" s="26"/>
      <c r="BD651" s="26"/>
      <c r="BE651" s="26"/>
      <c r="BF651" s="26"/>
      <c r="BG651" s="26"/>
      <c r="BH651" s="26"/>
      <c r="BI651" s="26"/>
      <c r="BJ651" s="26"/>
      <c r="BK651" s="26"/>
      <c r="BL651" s="26"/>
      <c r="BM651" s="26"/>
      <c r="BN651" s="26"/>
      <c r="BO651" s="26"/>
      <c r="BP651" s="16" t="n">
        <v>45357</v>
      </c>
      <c r="BQ651" s="28" t="str">
        <f>HYPERLINK("https://organic.ams.usda.gov/Integrity/Certificate.aspx?cid=93&amp;nopid=6361008406")</f>
        <v>https://organic.ams.usda.gov/Integrity/Certificate.aspx?cid=93&amp;nopid=6361008406</v>
      </c>
    </row>
    <row r="652">
      <c r="A652" t="s">
        <v>3</v>
      </c>
      <c r="B652" s="6" t="s">
        <v>38</v>
      </c>
      <c r="C652" s="6" t="s">
        <v>104</v>
      </c>
      <c r="D652" s="6" t="s">
        <v>104</v>
      </c>
      <c r="E652" s="10" t="s">
        <v>850</v>
      </c>
      <c r="F652" s="6" t="s">
        <v>3101</v>
      </c>
      <c r="G652" s="6" t="s">
        <v>4737</v>
      </c>
      <c r="H652" s="6" t="s">
        <v>5488</v>
      </c>
      <c r="I652" s="6" t="s">
        <v>7352</v>
      </c>
      <c r="J652" s="6" t="s">
        <v>7211</v>
      </c>
      <c r="K652" s="6" t="s">
        <v>9714</v>
      </c>
      <c r="L652" s="16" t="n">
        <v>40033</v>
      </c>
      <c r="M652" s="16" t="n">
        <v>45877</v>
      </c>
      <c r="N652" s="6" t="s">
        <v>9714</v>
      </c>
      <c r="O652" s="16" t="n">
        <v>40033</v>
      </c>
      <c r="P652" s="6" t="s">
        <v>9900</v>
      </c>
      <c r="Q652" s="6" t="s">
        <v>104</v>
      </c>
      <c r="R652" s="6" t="s">
        <v>5488</v>
      </c>
      <c r="S652" s="6" t="s">
        <v>104</v>
      </c>
      <c r="T652" s="21" t="s">
        <v>104</v>
      </c>
      <c r="U652" s="6" t="s">
        <v>104</v>
      </c>
      <c r="V652" s="6" t="s">
        <v>104</v>
      </c>
      <c r="W652" s="6" t="s">
        <v>104</v>
      </c>
      <c r="X652" s="6" t="s">
        <v>104</v>
      </c>
      <c r="Y652" s="21" t="s">
        <v>104</v>
      </c>
      <c r="Z652" s="6" t="s">
        <v>104</v>
      </c>
      <c r="AA652" s="6" t="s">
        <v>104</v>
      </c>
      <c r="AB652" s="6" t="s">
        <v>104</v>
      </c>
      <c r="AC652" s="6" t="s">
        <v>104</v>
      </c>
      <c r="AD652" s="21" t="s">
        <v>104</v>
      </c>
      <c r="AE652" s="6" t="s">
        <v>104</v>
      </c>
      <c r="AF652" s="6" t="s">
        <v>104</v>
      </c>
      <c r="AG652" s="6" t="s">
        <v>104</v>
      </c>
      <c r="AH652" s="6" t="s">
        <v>13744</v>
      </c>
      <c r="AI652" s="6" t="s">
        <v>104</v>
      </c>
      <c r="AJ652" s="6" t="s">
        <v>15786</v>
      </c>
      <c r="AK652" s="6" t="s">
        <v>16705</v>
      </c>
      <c r="AL652" s="6" t="s">
        <v>16931</v>
      </c>
      <c r="AM652" s="6" t="s">
        <v>17413</v>
      </c>
      <c r="AN652" s="6" t="s">
        <v>104</v>
      </c>
      <c r="AO652" s="6" t="s">
        <v>104</v>
      </c>
      <c r="AP652" s="6" t="s">
        <v>19115</v>
      </c>
      <c r="AQ652" s="6" t="s">
        <v>104</v>
      </c>
      <c r="AR652" s="6" t="s">
        <v>15786</v>
      </c>
      <c r="AS652" s="6" t="s">
        <v>16705</v>
      </c>
      <c r="AT652" s="6" t="s">
        <v>16931</v>
      </c>
      <c r="AU652" s="6" t="s">
        <v>17413</v>
      </c>
      <c r="AV652" s="6" t="s">
        <v>104</v>
      </c>
      <c r="AW652" s="6" t="s">
        <v>104</v>
      </c>
      <c r="AX652" s="6" t="s">
        <v>20614</v>
      </c>
      <c r="AY652" s="6" t="s">
        <v>104</v>
      </c>
      <c r="AZ652" s="6" t="s">
        <v>104</v>
      </c>
      <c r="BA652" s="6" t="s">
        <v>24285</v>
      </c>
      <c r="BB652" s="24" t="n">
        <v>741</v>
      </c>
      <c r="BC652" s="26"/>
      <c r="BD652" s="26"/>
      <c r="BE652" s="26"/>
      <c r="BF652" s="26"/>
      <c r="BG652" s="26"/>
      <c r="BH652" s="26"/>
      <c r="BI652" s="26"/>
      <c r="BJ652" s="26"/>
      <c r="BK652" s="26"/>
      <c r="BL652" s="26"/>
      <c r="BM652" s="26"/>
      <c r="BN652" s="26"/>
      <c r="BO652" s="26"/>
      <c r="BP652" s="16" t="n">
        <v>45733</v>
      </c>
      <c r="BQ652" s="28" t="str">
        <f>HYPERLINK("")</f>
      </c>
    </row>
    <row r="653">
      <c r="A653" t="s">
        <v>3</v>
      </c>
      <c r="B653" s="6" t="s">
        <v>32</v>
      </c>
      <c r="C653" s="6" t="s">
        <v>98</v>
      </c>
      <c r="D653" s="6" t="s">
        <v>163</v>
      </c>
      <c r="E653" s="10" t="s">
        <v>851</v>
      </c>
      <c r="F653" s="6" t="s">
        <v>3102</v>
      </c>
      <c r="G653" s="6" t="s">
        <v>104</v>
      </c>
      <c r="H653" s="6" t="s">
        <v>5489</v>
      </c>
      <c r="I653" s="6" t="s">
        <v>7030</v>
      </c>
      <c r="J653" s="6" t="s">
        <v>8626</v>
      </c>
      <c r="K653" s="6" t="s">
        <v>9714</v>
      </c>
      <c r="L653" s="16" t="n">
        <v>37825</v>
      </c>
      <c r="M653" s="16" t="n">
        <v>45717</v>
      </c>
      <c r="N653" s="6" t="s">
        <v>104</v>
      </c>
      <c r="O653" s="21" t="s">
        <v>104</v>
      </c>
      <c r="P653" s="6" t="s">
        <v>104</v>
      </c>
      <c r="Q653" s="6" t="s">
        <v>104</v>
      </c>
      <c r="R653" s="6" t="s">
        <v>104</v>
      </c>
      <c r="S653" s="6" t="s">
        <v>104</v>
      </c>
      <c r="T653" s="21" t="s">
        <v>104</v>
      </c>
      <c r="U653" s="6" t="s">
        <v>104</v>
      </c>
      <c r="V653" s="6" t="s">
        <v>104</v>
      </c>
      <c r="W653" s="6" t="s">
        <v>104</v>
      </c>
      <c r="X653" s="6" t="s">
        <v>104</v>
      </c>
      <c r="Y653" s="21" t="s">
        <v>104</v>
      </c>
      <c r="Z653" s="6" t="s">
        <v>104</v>
      </c>
      <c r="AA653" s="6" t="s">
        <v>104</v>
      </c>
      <c r="AB653" s="6" t="s">
        <v>104</v>
      </c>
      <c r="AC653" s="6" t="s">
        <v>9714</v>
      </c>
      <c r="AD653" s="16" t="n">
        <v>37825</v>
      </c>
      <c r="AE653" s="6" t="s">
        <v>11102</v>
      </c>
      <c r="AF653" s="6" t="s">
        <v>104</v>
      </c>
      <c r="AG653" s="6" t="s">
        <v>104</v>
      </c>
      <c r="AH653" s="6" t="s">
        <v>13745</v>
      </c>
      <c r="AI653" s="6" t="s">
        <v>104</v>
      </c>
      <c r="AJ653" s="6" t="s">
        <v>15787</v>
      </c>
      <c r="AK653" s="6" t="s">
        <v>16693</v>
      </c>
      <c r="AL653" s="6" t="s">
        <v>16931</v>
      </c>
      <c r="AM653" s="6" t="s">
        <v>17414</v>
      </c>
      <c r="AN653" s="6" t="s">
        <v>18473</v>
      </c>
      <c r="AO653" s="6" t="s">
        <v>18705</v>
      </c>
      <c r="AP653" s="6" t="s">
        <v>104</v>
      </c>
      <c r="AQ653" s="6" t="s">
        <v>104</v>
      </c>
      <c r="AR653" s="6" t="s">
        <v>104</v>
      </c>
      <c r="AS653" s="6" t="s">
        <v>104</v>
      </c>
      <c r="AT653" s="6" t="s">
        <v>104</v>
      </c>
      <c r="AU653" s="6" t="s">
        <v>104</v>
      </c>
      <c r="AV653" s="6" t="s">
        <v>104</v>
      </c>
      <c r="AW653" s="6" t="s">
        <v>104</v>
      </c>
      <c r="AX653" s="6" t="s">
        <v>20615</v>
      </c>
      <c r="AY653" s="6" t="s">
        <v>22390</v>
      </c>
      <c r="AZ653" s="6" t="s">
        <v>23848</v>
      </c>
      <c r="BA653" s="6" t="s">
        <v>104</v>
      </c>
      <c r="BB653" s="6" t="s">
        <v>104</v>
      </c>
      <c r="BC653" s="26"/>
      <c r="BD653" s="26"/>
      <c r="BE653" s="26"/>
      <c r="BF653" s="26"/>
      <c r="BG653" s="26"/>
      <c r="BH653" s="26"/>
      <c r="BI653" s="26"/>
      <c r="BJ653" s="26"/>
      <c r="BK653" s="26"/>
      <c r="BL653" s="26" t="s">
        <v>24533</v>
      </c>
      <c r="BM653" s="26"/>
      <c r="BN653" s="26"/>
      <c r="BO653" s="26"/>
      <c r="BP653" s="16" t="n">
        <v>45670</v>
      </c>
      <c r="BQ653" s="28" t="str">
        <f>HYPERLINK("https://organic.ams.usda.gov/Integrity/Certificate.aspx?cid=64&amp;nopid=8830000391")</f>
        <v>https://organic.ams.usda.gov/Integrity/Certificate.aspx?cid=64&amp;nopid=8830000391</v>
      </c>
    </row>
    <row r="654">
      <c r="A654" t="s">
        <v>3</v>
      </c>
      <c r="B654" s="6" t="s">
        <v>32</v>
      </c>
      <c r="C654" s="6" t="s">
        <v>98</v>
      </c>
      <c r="D654" s="6" t="s">
        <v>163</v>
      </c>
      <c r="E654" s="10" t="s">
        <v>852</v>
      </c>
      <c r="F654" s="6" t="s">
        <v>3103</v>
      </c>
      <c r="G654" s="6" t="s">
        <v>104</v>
      </c>
      <c r="H654" s="6" t="s">
        <v>5490</v>
      </c>
      <c r="I654" s="6" t="s">
        <v>7030</v>
      </c>
      <c r="J654" s="6" t="s">
        <v>8626</v>
      </c>
      <c r="K654" s="6" t="s">
        <v>9714</v>
      </c>
      <c r="L654" s="16" t="n">
        <v>37417</v>
      </c>
      <c r="M654" s="16" t="n">
        <v>45717</v>
      </c>
      <c r="N654" s="6" t="s">
        <v>104</v>
      </c>
      <c r="O654" s="21" t="s">
        <v>104</v>
      </c>
      <c r="P654" s="6" t="s">
        <v>104</v>
      </c>
      <c r="Q654" s="6" t="s">
        <v>104</v>
      </c>
      <c r="R654" s="6" t="s">
        <v>104</v>
      </c>
      <c r="S654" s="6" t="s">
        <v>104</v>
      </c>
      <c r="T654" s="21" t="s">
        <v>104</v>
      </c>
      <c r="U654" s="6" t="s">
        <v>104</v>
      </c>
      <c r="V654" s="6" t="s">
        <v>104</v>
      </c>
      <c r="W654" s="6" t="s">
        <v>104</v>
      </c>
      <c r="X654" s="6" t="s">
        <v>104</v>
      </c>
      <c r="Y654" s="21" t="s">
        <v>104</v>
      </c>
      <c r="Z654" s="6" t="s">
        <v>104</v>
      </c>
      <c r="AA654" s="6" t="s">
        <v>104</v>
      </c>
      <c r="AB654" s="6" t="s">
        <v>104</v>
      </c>
      <c r="AC654" s="6" t="s">
        <v>9714</v>
      </c>
      <c r="AD654" s="16" t="n">
        <v>37417</v>
      </c>
      <c r="AE654" s="6" t="s">
        <v>11103</v>
      </c>
      <c r="AF654" s="6" t="s">
        <v>104</v>
      </c>
      <c r="AG654" s="6" t="s">
        <v>104</v>
      </c>
      <c r="AH654" s="6" t="s">
        <v>13746</v>
      </c>
      <c r="AI654" s="6" t="s">
        <v>104</v>
      </c>
      <c r="AJ654" s="6" t="s">
        <v>7473</v>
      </c>
      <c r="AK654" s="6" t="s">
        <v>16738</v>
      </c>
      <c r="AL654" s="6" t="s">
        <v>16931</v>
      </c>
      <c r="AM654" s="6" t="s">
        <v>17415</v>
      </c>
      <c r="AN654" s="6" t="s">
        <v>18505</v>
      </c>
      <c r="AO654" s="6" t="s">
        <v>18706</v>
      </c>
      <c r="AP654" s="6" t="s">
        <v>104</v>
      </c>
      <c r="AQ654" s="6" t="s">
        <v>104</v>
      </c>
      <c r="AR654" s="6" t="s">
        <v>104</v>
      </c>
      <c r="AS654" s="6" t="s">
        <v>104</v>
      </c>
      <c r="AT654" s="6" t="s">
        <v>104</v>
      </c>
      <c r="AU654" s="6" t="s">
        <v>104</v>
      </c>
      <c r="AV654" s="6" t="s">
        <v>104</v>
      </c>
      <c r="AW654" s="6" t="s">
        <v>104</v>
      </c>
      <c r="AX654" s="6" t="s">
        <v>20615</v>
      </c>
      <c r="AY654" s="6" t="s">
        <v>22390</v>
      </c>
      <c r="AZ654" s="6" t="s">
        <v>23848</v>
      </c>
      <c r="BA654" s="6" t="s">
        <v>104</v>
      </c>
      <c r="BB654" s="6" t="s">
        <v>104</v>
      </c>
      <c r="BC654" s="26"/>
      <c r="BD654" s="26"/>
      <c r="BE654" s="26"/>
      <c r="BF654" s="26"/>
      <c r="BG654" s="26"/>
      <c r="BH654" s="26"/>
      <c r="BI654" s="26"/>
      <c r="BJ654" s="26"/>
      <c r="BK654" s="26"/>
      <c r="BL654" s="26" t="s">
        <v>24533</v>
      </c>
      <c r="BM654" s="26"/>
      <c r="BN654" s="26"/>
      <c r="BO654" s="26"/>
      <c r="BP654" s="16" t="n">
        <v>45714</v>
      </c>
      <c r="BQ654" s="28" t="str">
        <f>HYPERLINK("https://organic.ams.usda.gov/Integrity/Certificate.aspx?cid=64&amp;nopid=8830000657")</f>
        <v>https://organic.ams.usda.gov/Integrity/Certificate.aspx?cid=64&amp;nopid=8830000657</v>
      </c>
    </row>
    <row r="655">
      <c r="A655" t="s">
        <v>3</v>
      </c>
      <c r="B655" s="6" t="s">
        <v>32</v>
      </c>
      <c r="C655" s="6" t="s">
        <v>98</v>
      </c>
      <c r="D655" s="6" t="s">
        <v>163</v>
      </c>
      <c r="E655" s="10" t="s">
        <v>853</v>
      </c>
      <c r="F655" s="6" t="s">
        <v>3104</v>
      </c>
      <c r="G655" s="6" t="s">
        <v>104</v>
      </c>
      <c r="H655" s="6" t="s">
        <v>5491</v>
      </c>
      <c r="I655" s="6" t="s">
        <v>7030</v>
      </c>
      <c r="J655" s="6" t="s">
        <v>8626</v>
      </c>
      <c r="K655" s="6" t="s">
        <v>9714</v>
      </c>
      <c r="L655" s="16" t="n">
        <v>37418</v>
      </c>
      <c r="M655" s="16" t="n">
        <v>45717</v>
      </c>
      <c r="N655" s="6" t="s">
        <v>104</v>
      </c>
      <c r="O655" s="21" t="s">
        <v>104</v>
      </c>
      <c r="P655" s="6" t="s">
        <v>104</v>
      </c>
      <c r="Q655" s="6" t="s">
        <v>104</v>
      </c>
      <c r="R655" s="6" t="s">
        <v>104</v>
      </c>
      <c r="S655" s="6" t="s">
        <v>104</v>
      </c>
      <c r="T655" s="21" t="s">
        <v>104</v>
      </c>
      <c r="U655" s="6" t="s">
        <v>104</v>
      </c>
      <c r="V655" s="6" t="s">
        <v>104</v>
      </c>
      <c r="W655" s="6" t="s">
        <v>104</v>
      </c>
      <c r="X655" s="6" t="s">
        <v>104</v>
      </c>
      <c r="Y655" s="21" t="s">
        <v>104</v>
      </c>
      <c r="Z655" s="6" t="s">
        <v>104</v>
      </c>
      <c r="AA655" s="6" t="s">
        <v>104</v>
      </c>
      <c r="AB655" s="6" t="s">
        <v>104</v>
      </c>
      <c r="AC655" s="6" t="s">
        <v>9714</v>
      </c>
      <c r="AD655" s="16" t="n">
        <v>37418</v>
      </c>
      <c r="AE655" s="6" t="s">
        <v>11104</v>
      </c>
      <c r="AF655" s="6" t="s">
        <v>104</v>
      </c>
      <c r="AG655" s="6" t="s">
        <v>104</v>
      </c>
      <c r="AH655" s="6" t="s">
        <v>13747</v>
      </c>
      <c r="AI655" s="6" t="s">
        <v>104</v>
      </c>
      <c r="AJ655" s="6" t="s">
        <v>15788</v>
      </c>
      <c r="AK655" s="6" t="s">
        <v>16738</v>
      </c>
      <c r="AL655" s="6" t="s">
        <v>16931</v>
      </c>
      <c r="AM655" s="6" t="s">
        <v>17416</v>
      </c>
      <c r="AN655" s="6" t="s">
        <v>18515</v>
      </c>
      <c r="AO655" s="6" t="s">
        <v>18671</v>
      </c>
      <c r="AP655" s="6" t="s">
        <v>104</v>
      </c>
      <c r="AQ655" s="6" t="s">
        <v>104</v>
      </c>
      <c r="AR655" s="6" t="s">
        <v>104</v>
      </c>
      <c r="AS655" s="6" t="s">
        <v>104</v>
      </c>
      <c r="AT655" s="6" t="s">
        <v>104</v>
      </c>
      <c r="AU655" s="6" t="s">
        <v>104</v>
      </c>
      <c r="AV655" s="6" t="s">
        <v>104</v>
      </c>
      <c r="AW655" s="6" t="s">
        <v>104</v>
      </c>
      <c r="AX655" s="6" t="s">
        <v>20615</v>
      </c>
      <c r="AY655" s="6" t="s">
        <v>22390</v>
      </c>
      <c r="AZ655" s="6" t="s">
        <v>23848</v>
      </c>
      <c r="BA655" s="6" t="s">
        <v>104</v>
      </c>
      <c r="BB655" s="6" t="s">
        <v>104</v>
      </c>
      <c r="BC655" s="26"/>
      <c r="BD655" s="26"/>
      <c r="BE655" s="26"/>
      <c r="BF655" s="26"/>
      <c r="BG655" s="26"/>
      <c r="BH655" s="26"/>
      <c r="BI655" s="26"/>
      <c r="BJ655" s="26"/>
      <c r="BK655" s="26"/>
      <c r="BL655" s="26"/>
      <c r="BM655" s="26"/>
      <c r="BN655" s="26"/>
      <c r="BO655" s="26"/>
      <c r="BP655" s="16" t="n">
        <v>45670</v>
      </c>
      <c r="BQ655" s="28" t="str">
        <f>HYPERLINK("https://organic.ams.usda.gov/Integrity/Certificate.aspx?cid=64&amp;nopid=8830000658")</f>
        <v>https://organic.ams.usda.gov/Integrity/Certificate.aspx?cid=64&amp;nopid=8830000658</v>
      </c>
    </row>
    <row r="656">
      <c r="A656" t="s">
        <v>3</v>
      </c>
      <c r="B656" s="6" t="s">
        <v>9</v>
      </c>
      <c r="C656" s="6" t="s">
        <v>75</v>
      </c>
      <c r="D656" s="6" t="s">
        <v>140</v>
      </c>
      <c r="E656" s="10" t="s">
        <v>854</v>
      </c>
      <c r="F656" s="6" t="s">
        <v>3105</v>
      </c>
      <c r="G656" s="6" t="s">
        <v>104</v>
      </c>
      <c r="H656" s="6" t="s">
        <v>5492</v>
      </c>
      <c r="I656" s="6" t="s">
        <v>7353</v>
      </c>
      <c r="J656" s="6" t="s">
        <v>8627</v>
      </c>
      <c r="K656" s="6" t="s">
        <v>9714</v>
      </c>
      <c r="L656" s="16" t="n">
        <v>44916</v>
      </c>
      <c r="M656" s="16" t="n">
        <v>46012</v>
      </c>
      <c r="N656" s="6" t="s">
        <v>104</v>
      </c>
      <c r="O656" s="21" t="s">
        <v>104</v>
      </c>
      <c r="P656" s="6" t="s">
        <v>104</v>
      </c>
      <c r="Q656" s="6" t="s">
        <v>104</v>
      </c>
      <c r="R656" s="6" t="s">
        <v>104</v>
      </c>
      <c r="S656" s="6" t="s">
        <v>104</v>
      </c>
      <c r="T656" s="21" t="s">
        <v>104</v>
      </c>
      <c r="U656" s="6" t="s">
        <v>104</v>
      </c>
      <c r="V656" s="6" t="s">
        <v>104</v>
      </c>
      <c r="W656" s="6" t="s">
        <v>104</v>
      </c>
      <c r="X656" s="6" t="s">
        <v>104</v>
      </c>
      <c r="Y656" s="21" t="s">
        <v>104</v>
      </c>
      <c r="Z656" s="6" t="s">
        <v>104</v>
      </c>
      <c r="AA656" s="6" t="s">
        <v>104</v>
      </c>
      <c r="AB656" s="6" t="s">
        <v>104</v>
      </c>
      <c r="AC656" s="6" t="s">
        <v>9714</v>
      </c>
      <c r="AD656" s="16" t="n">
        <v>44916</v>
      </c>
      <c r="AE656" s="6" t="s">
        <v>11105</v>
      </c>
      <c r="AF656" s="6" t="s">
        <v>104</v>
      </c>
      <c r="AG656" s="6" t="s">
        <v>104</v>
      </c>
      <c r="AH656" s="6" t="s">
        <v>13748</v>
      </c>
      <c r="AI656" s="6" t="s">
        <v>15263</v>
      </c>
      <c r="AJ656" s="6" t="s">
        <v>15789</v>
      </c>
      <c r="AK656" s="6" t="s">
        <v>16687</v>
      </c>
      <c r="AL656" s="6" t="s">
        <v>16931</v>
      </c>
      <c r="AM656" s="6" t="s">
        <v>17417</v>
      </c>
      <c r="AN656" s="6" t="s">
        <v>104</v>
      </c>
      <c r="AO656" s="6" t="s">
        <v>104</v>
      </c>
      <c r="AP656" s="6" t="s">
        <v>19116</v>
      </c>
      <c r="AQ656" s="6" t="s">
        <v>104</v>
      </c>
      <c r="AR656" s="6" t="s">
        <v>15789</v>
      </c>
      <c r="AS656" s="6" t="s">
        <v>16687</v>
      </c>
      <c r="AT656" s="6" t="s">
        <v>16931</v>
      </c>
      <c r="AU656" s="6" t="s">
        <v>17417</v>
      </c>
      <c r="AV656" s="6" t="s">
        <v>18533</v>
      </c>
      <c r="AW656" s="6" t="s">
        <v>18842</v>
      </c>
      <c r="AX656" s="6" t="s">
        <v>20616</v>
      </c>
      <c r="AY656" s="6" t="s">
        <v>22391</v>
      </c>
      <c r="AZ656" s="6" t="s">
        <v>104</v>
      </c>
      <c r="BA656" s="6" t="s">
        <v>104</v>
      </c>
      <c r="BB656" s="6" t="s">
        <v>104</v>
      </c>
      <c r="BC656" s="26"/>
      <c r="BD656" s="26"/>
      <c r="BE656" s="26"/>
      <c r="BF656" s="26"/>
      <c r="BG656" s="26"/>
      <c r="BH656" s="26"/>
      <c r="BI656" s="26"/>
      <c r="BJ656" s="26"/>
      <c r="BK656" s="26"/>
      <c r="BL656" s="26"/>
      <c r="BM656" s="26"/>
      <c r="BN656" s="26"/>
      <c r="BO656" s="26"/>
      <c r="BP656" s="16" t="n">
        <v>45664</v>
      </c>
      <c r="BQ656" s="28" t="str">
        <f>HYPERLINK("https://organic.ams.usda.gov/Integrity/Certificate.aspx?cid=63&amp;nopid=6220009166")</f>
        <v>https://organic.ams.usda.gov/Integrity/Certificate.aspx?cid=63&amp;nopid=6220009166</v>
      </c>
    </row>
    <row r="657">
      <c r="A657" t="s">
        <v>3</v>
      </c>
      <c r="B657" s="6" t="s">
        <v>33</v>
      </c>
      <c r="C657" s="6" t="s">
        <v>99</v>
      </c>
      <c r="D657" s="6" t="s">
        <v>164</v>
      </c>
      <c r="E657" s="10" t="s">
        <v>855</v>
      </c>
      <c r="F657" s="6" t="s">
        <v>3106</v>
      </c>
      <c r="G657" s="6" t="s">
        <v>104</v>
      </c>
      <c r="H657" s="6" t="s">
        <v>104</v>
      </c>
      <c r="I657" s="6" t="s">
        <v>7354</v>
      </c>
      <c r="J657" s="6" t="s">
        <v>8628</v>
      </c>
      <c r="K657" s="6" t="s">
        <v>9714</v>
      </c>
      <c r="L657" s="16" t="n">
        <v>44993</v>
      </c>
      <c r="M657" s="16" t="n">
        <v>45748</v>
      </c>
      <c r="N657" s="6" t="s">
        <v>9714</v>
      </c>
      <c r="O657" s="16" t="n">
        <v>44993</v>
      </c>
      <c r="P657" s="6" t="s">
        <v>9901</v>
      </c>
      <c r="Q657" s="6" t="s">
        <v>104</v>
      </c>
      <c r="R657" s="6" t="s">
        <v>104</v>
      </c>
      <c r="S657" s="6" t="s">
        <v>104</v>
      </c>
      <c r="T657" s="21" t="s">
        <v>104</v>
      </c>
      <c r="U657" s="6" t="s">
        <v>104</v>
      </c>
      <c r="V657" s="6" t="s">
        <v>104</v>
      </c>
      <c r="W657" s="6" t="s">
        <v>104</v>
      </c>
      <c r="X657" s="6" t="s">
        <v>104</v>
      </c>
      <c r="Y657" s="21" t="s">
        <v>104</v>
      </c>
      <c r="Z657" s="6" t="s">
        <v>104</v>
      </c>
      <c r="AA657" s="6" t="s">
        <v>104</v>
      </c>
      <c r="AB657" s="6" t="s">
        <v>104</v>
      </c>
      <c r="AC657" s="6" t="s">
        <v>9714</v>
      </c>
      <c r="AD657" s="16" t="n">
        <v>44993</v>
      </c>
      <c r="AE657" s="6" t="s">
        <v>11106</v>
      </c>
      <c r="AF657" s="6" t="s">
        <v>104</v>
      </c>
      <c r="AG657" s="6" t="s">
        <v>104</v>
      </c>
      <c r="AH657" s="6" t="s">
        <v>13749</v>
      </c>
      <c r="AI657" s="6" t="s">
        <v>104</v>
      </c>
      <c r="AJ657" s="6" t="s">
        <v>15790</v>
      </c>
      <c r="AK657" s="6" t="s">
        <v>16714</v>
      </c>
      <c r="AL657" s="6" t="s">
        <v>16931</v>
      </c>
      <c r="AM657" s="6" t="s">
        <v>17418</v>
      </c>
      <c r="AN657" s="6" t="s">
        <v>18507</v>
      </c>
      <c r="AO657" s="6" t="s">
        <v>18646</v>
      </c>
      <c r="AP657" s="6" t="s">
        <v>13749</v>
      </c>
      <c r="AQ657" s="6" t="s">
        <v>104</v>
      </c>
      <c r="AR657" s="6" t="s">
        <v>15790</v>
      </c>
      <c r="AS657" s="6" t="s">
        <v>16714</v>
      </c>
      <c r="AT657" s="6" t="s">
        <v>16931</v>
      </c>
      <c r="AU657" s="6" t="s">
        <v>17418</v>
      </c>
      <c r="AV657" s="6" t="s">
        <v>104</v>
      </c>
      <c r="AW657" s="6" t="s">
        <v>104</v>
      </c>
      <c r="AX657" s="6" t="s">
        <v>20617</v>
      </c>
      <c r="AY657" s="6" t="s">
        <v>104</v>
      </c>
      <c r="AZ657" s="6" t="s">
        <v>104</v>
      </c>
      <c r="BA657" s="6" t="s">
        <v>24264</v>
      </c>
      <c r="BB657" s="24" t="n">
        <v>202</v>
      </c>
      <c r="BC657" s="26"/>
      <c r="BD657" s="26"/>
      <c r="BE657" s="26"/>
      <c r="BF657" s="26"/>
      <c r="BG657" s="26"/>
      <c r="BH657" s="26"/>
      <c r="BI657" s="26"/>
      <c r="BJ657" s="26"/>
      <c r="BK657" s="26"/>
      <c r="BL657" s="26"/>
      <c r="BM657" s="26"/>
      <c r="BN657" s="26"/>
      <c r="BO657" s="26"/>
      <c r="BP657" s="16" t="n">
        <v>45681</v>
      </c>
      <c r="BQ657" s="28" t="str">
        <f>HYPERLINK("https://organic.ams.usda.gov/Integrity/Certificate.aspx?cid=46&amp;nopid=3672300002")</f>
        <v>https://organic.ams.usda.gov/Integrity/Certificate.aspx?cid=46&amp;nopid=3672300002</v>
      </c>
    </row>
    <row r="658">
      <c r="A658" t="s">
        <v>3</v>
      </c>
      <c r="B658" s="6" t="s">
        <v>44</v>
      </c>
      <c r="C658" s="6" t="s">
        <v>110</v>
      </c>
      <c r="D658" s="6" t="s">
        <v>174</v>
      </c>
      <c r="E658" s="10" t="s">
        <v>856</v>
      </c>
      <c r="F658" s="6" t="s">
        <v>3107</v>
      </c>
      <c r="G658" s="6" t="s">
        <v>104</v>
      </c>
      <c r="H658" s="6" t="s">
        <v>5493</v>
      </c>
      <c r="I658" s="6" t="s">
        <v>7355</v>
      </c>
      <c r="J658" s="6" t="s">
        <v>8629</v>
      </c>
      <c r="K658" s="6" t="s">
        <v>9714</v>
      </c>
      <c r="L658" s="16" t="n">
        <v>37844</v>
      </c>
      <c r="M658" s="16" t="n">
        <v>46081</v>
      </c>
      <c r="N658" s="6" t="s">
        <v>9714</v>
      </c>
      <c r="O658" s="16" t="n">
        <v>37844</v>
      </c>
      <c r="P658" s="6" t="s">
        <v>9902</v>
      </c>
      <c r="Q658" s="6" t="s">
        <v>104</v>
      </c>
      <c r="R658" s="6" t="s">
        <v>104</v>
      </c>
      <c r="S658" s="6" t="s">
        <v>104</v>
      </c>
      <c r="T658" s="21" t="s">
        <v>104</v>
      </c>
      <c r="U658" s="6" t="s">
        <v>104</v>
      </c>
      <c r="V658" s="6" t="s">
        <v>104</v>
      </c>
      <c r="W658" s="6" t="s">
        <v>104</v>
      </c>
      <c r="X658" s="6" t="s">
        <v>104</v>
      </c>
      <c r="Y658" s="21" t="s">
        <v>104</v>
      </c>
      <c r="Z658" s="6" t="s">
        <v>104</v>
      </c>
      <c r="AA658" s="6" t="s">
        <v>104</v>
      </c>
      <c r="AB658" s="6" t="s">
        <v>104</v>
      </c>
      <c r="AC658" s="6" t="s">
        <v>9714</v>
      </c>
      <c r="AD658" s="16" t="n">
        <v>45673</v>
      </c>
      <c r="AE658" s="6" t="s">
        <v>11107</v>
      </c>
      <c r="AF658" s="6" t="s">
        <v>104</v>
      </c>
      <c r="AG658" s="6" t="s">
        <v>104</v>
      </c>
      <c r="AH658" s="6" t="s">
        <v>13750</v>
      </c>
      <c r="AI658" s="6" t="s">
        <v>104</v>
      </c>
      <c r="AJ658" s="6" t="s">
        <v>15667</v>
      </c>
      <c r="AK658" s="6" t="s">
        <v>15697</v>
      </c>
      <c r="AL658" s="6" t="s">
        <v>16931</v>
      </c>
      <c r="AM658" s="6" t="s">
        <v>17285</v>
      </c>
      <c r="AN658" s="6" t="s">
        <v>18491</v>
      </c>
      <c r="AO658" s="6" t="s">
        <v>18659</v>
      </c>
      <c r="AP658" s="6" t="s">
        <v>13750</v>
      </c>
      <c r="AQ658" s="6" t="s">
        <v>104</v>
      </c>
      <c r="AR658" s="6" t="s">
        <v>15667</v>
      </c>
      <c r="AS658" s="6" t="s">
        <v>15697</v>
      </c>
      <c r="AT658" s="6" t="s">
        <v>16931</v>
      </c>
      <c r="AU658" s="6" t="s">
        <v>17285</v>
      </c>
      <c r="AV658" s="6" t="s">
        <v>104</v>
      </c>
      <c r="AW658" s="6" t="s">
        <v>104</v>
      </c>
      <c r="AX658" s="6" t="s">
        <v>20618</v>
      </c>
      <c r="AY658" s="6" t="s">
        <v>104</v>
      </c>
      <c r="AZ658" s="6" t="s">
        <v>104</v>
      </c>
      <c r="BA658" s="6" t="s">
        <v>104</v>
      </c>
      <c r="BB658" s="24" t="n">
        <v>366</v>
      </c>
      <c r="BC658" s="26"/>
      <c r="BD658" s="26"/>
      <c r="BE658" s="26"/>
      <c r="BF658" s="26"/>
      <c r="BG658" s="26"/>
      <c r="BH658" s="26"/>
      <c r="BI658" s="26"/>
      <c r="BJ658" s="26"/>
      <c r="BK658" s="26"/>
      <c r="BL658" s="26"/>
      <c r="BM658" s="26"/>
      <c r="BN658" s="26"/>
      <c r="BO658" s="26"/>
      <c r="BP658" s="16" t="n">
        <v>45723</v>
      </c>
      <c r="BQ658" s="28" t="str">
        <f>HYPERLINK("https://organic.ams.usda.gov/Integrity/Certificate.aspx?cid=57&amp;nopid=3250200338")</f>
        <v>https://organic.ams.usda.gov/Integrity/Certificate.aspx?cid=57&amp;nopid=3250200338</v>
      </c>
    </row>
    <row r="659">
      <c r="A659" t="s">
        <v>3</v>
      </c>
      <c r="B659" s="6" t="s">
        <v>21</v>
      </c>
      <c r="C659" s="6" t="s">
        <v>87</v>
      </c>
      <c r="D659" s="6" t="s">
        <v>152</v>
      </c>
      <c r="E659" s="10" t="s">
        <v>857</v>
      </c>
      <c r="F659" s="6" t="s">
        <v>3108</v>
      </c>
      <c r="G659" s="6" t="s">
        <v>104</v>
      </c>
      <c r="H659" s="6" t="s">
        <v>5494</v>
      </c>
      <c r="I659" s="6" t="s">
        <v>6985</v>
      </c>
      <c r="J659" s="6" t="s">
        <v>8630</v>
      </c>
      <c r="K659" s="6" t="s">
        <v>9714</v>
      </c>
      <c r="L659" s="16" t="n">
        <v>36599</v>
      </c>
      <c r="M659" s="16" t="n">
        <v>46023</v>
      </c>
      <c r="N659" s="6" t="s">
        <v>104</v>
      </c>
      <c r="O659" s="21" t="s">
        <v>104</v>
      </c>
      <c r="P659" s="6" t="s">
        <v>104</v>
      </c>
      <c r="Q659" s="6" t="s">
        <v>104</v>
      </c>
      <c r="R659" s="6" t="s">
        <v>104</v>
      </c>
      <c r="S659" s="6" t="s">
        <v>104</v>
      </c>
      <c r="T659" s="21" t="s">
        <v>104</v>
      </c>
      <c r="U659" s="6" t="s">
        <v>104</v>
      </c>
      <c r="V659" s="6" t="s">
        <v>104</v>
      </c>
      <c r="W659" s="6" t="s">
        <v>104</v>
      </c>
      <c r="X659" s="6" t="s">
        <v>104</v>
      </c>
      <c r="Y659" s="21" t="s">
        <v>104</v>
      </c>
      <c r="Z659" s="6" t="s">
        <v>104</v>
      </c>
      <c r="AA659" s="6" t="s">
        <v>104</v>
      </c>
      <c r="AB659" s="6" t="s">
        <v>104</v>
      </c>
      <c r="AC659" s="6" t="s">
        <v>9714</v>
      </c>
      <c r="AD659" s="16" t="n">
        <v>36599</v>
      </c>
      <c r="AE659" s="6" t="s">
        <v>11108</v>
      </c>
      <c r="AF659" s="6" t="s">
        <v>104</v>
      </c>
      <c r="AG659" s="6" t="s">
        <v>104</v>
      </c>
      <c r="AH659" s="6" t="s">
        <v>13751</v>
      </c>
      <c r="AI659" s="6" t="s">
        <v>104</v>
      </c>
      <c r="AJ659" s="6" t="s">
        <v>15791</v>
      </c>
      <c r="AK659" s="6" t="s">
        <v>16687</v>
      </c>
      <c r="AL659" s="6" t="s">
        <v>16931</v>
      </c>
      <c r="AM659" s="6" t="s">
        <v>17419</v>
      </c>
      <c r="AN659" s="6" t="s">
        <v>18523</v>
      </c>
      <c r="AO659" s="6" t="s">
        <v>18707</v>
      </c>
      <c r="AP659" s="6" t="s">
        <v>13751</v>
      </c>
      <c r="AQ659" s="6" t="s">
        <v>104</v>
      </c>
      <c r="AR659" s="6" t="s">
        <v>15791</v>
      </c>
      <c r="AS659" s="6" t="s">
        <v>16687</v>
      </c>
      <c r="AT659" s="6" t="s">
        <v>16931</v>
      </c>
      <c r="AU659" s="6" t="s">
        <v>17419</v>
      </c>
      <c r="AV659" s="6" t="s">
        <v>104</v>
      </c>
      <c r="AW659" s="6" t="s">
        <v>104</v>
      </c>
      <c r="AX659" s="6" t="s">
        <v>20619</v>
      </c>
      <c r="AY659" s="6" t="s">
        <v>22392</v>
      </c>
      <c r="AZ659" s="6" t="s">
        <v>23849</v>
      </c>
      <c r="BA659" s="6" t="s">
        <v>24356</v>
      </c>
      <c r="BB659" s="6" t="s">
        <v>104</v>
      </c>
      <c r="BC659" s="26"/>
      <c r="BD659" s="26"/>
      <c r="BE659" s="26"/>
      <c r="BF659" s="26"/>
      <c r="BG659" s="26"/>
      <c r="BH659" s="26"/>
      <c r="BI659" s="26"/>
      <c r="BJ659" s="26"/>
      <c r="BK659" s="26"/>
      <c r="BL659" s="26"/>
      <c r="BM659" s="26"/>
      <c r="BN659" s="26"/>
      <c r="BO659" s="26"/>
      <c r="BP659" s="16" t="n">
        <v>45720</v>
      </c>
      <c r="BQ659" s="28" t="str">
        <f>HYPERLINK("https://organic.ams.usda.gov/Integrity/Certificate.aspx?cid=15&amp;nopid=5561002148")</f>
        <v>https://organic.ams.usda.gov/Integrity/Certificate.aspx?cid=15&amp;nopid=5561002148</v>
      </c>
    </row>
    <row r="660">
      <c r="A660" t="s">
        <v>3</v>
      </c>
      <c r="B660" s="6" t="s">
        <v>20</v>
      </c>
      <c r="C660" s="6" t="s">
        <v>86</v>
      </c>
      <c r="D660" s="6" t="s">
        <v>151</v>
      </c>
      <c r="E660" s="10" t="s">
        <v>858</v>
      </c>
      <c r="F660" s="6" t="s">
        <v>3109</v>
      </c>
      <c r="G660" s="6" t="s">
        <v>104</v>
      </c>
      <c r="H660" s="6" t="s">
        <v>5495</v>
      </c>
      <c r="I660" s="6" t="s">
        <v>6951</v>
      </c>
      <c r="J660" s="6" t="s">
        <v>8631</v>
      </c>
      <c r="K660" s="6" t="s">
        <v>9714</v>
      </c>
      <c r="L660" s="16" t="n">
        <v>45134</v>
      </c>
      <c r="M660" s="16" t="n">
        <v>46022</v>
      </c>
      <c r="N660" s="6" t="s">
        <v>104</v>
      </c>
      <c r="O660" s="21" t="s">
        <v>104</v>
      </c>
      <c r="P660" s="6" t="s">
        <v>104</v>
      </c>
      <c r="Q660" s="6" t="s">
        <v>104</v>
      </c>
      <c r="R660" s="6" t="s">
        <v>104</v>
      </c>
      <c r="S660" s="6" t="s">
        <v>104</v>
      </c>
      <c r="T660" s="21" t="s">
        <v>104</v>
      </c>
      <c r="U660" s="6" t="s">
        <v>104</v>
      </c>
      <c r="V660" s="6" t="s">
        <v>104</v>
      </c>
      <c r="W660" s="6" t="s">
        <v>104</v>
      </c>
      <c r="X660" s="6" t="s">
        <v>104</v>
      </c>
      <c r="Y660" s="21" t="s">
        <v>104</v>
      </c>
      <c r="Z660" s="6" t="s">
        <v>104</v>
      </c>
      <c r="AA660" s="6" t="s">
        <v>104</v>
      </c>
      <c r="AB660" s="6" t="s">
        <v>104</v>
      </c>
      <c r="AC660" s="6" t="s">
        <v>9714</v>
      </c>
      <c r="AD660" s="16" t="n">
        <v>45134</v>
      </c>
      <c r="AE660" s="6" t="s">
        <v>11109</v>
      </c>
      <c r="AF660" s="6" t="s">
        <v>104</v>
      </c>
      <c r="AG660" s="6" t="s">
        <v>12697</v>
      </c>
      <c r="AH660" s="6" t="s">
        <v>13752</v>
      </c>
      <c r="AI660" s="6" t="s">
        <v>104</v>
      </c>
      <c r="AJ660" s="6" t="s">
        <v>15792</v>
      </c>
      <c r="AK660" s="6" t="s">
        <v>104</v>
      </c>
      <c r="AL660" s="6" t="s">
        <v>16703</v>
      </c>
      <c r="AM660" s="6" t="s">
        <v>17420</v>
      </c>
      <c r="AN660" s="6" t="s">
        <v>104</v>
      </c>
      <c r="AO660" s="6" t="s">
        <v>104</v>
      </c>
      <c r="AP660" s="6" t="s">
        <v>104</v>
      </c>
      <c r="AQ660" s="6" t="s">
        <v>104</v>
      </c>
      <c r="AR660" s="6" t="s">
        <v>104</v>
      </c>
      <c r="AS660" s="6" t="s">
        <v>104</v>
      </c>
      <c r="AT660" s="6" t="s">
        <v>104</v>
      </c>
      <c r="AU660" s="6" t="s">
        <v>104</v>
      </c>
      <c r="AV660" s="6" t="s">
        <v>104</v>
      </c>
      <c r="AW660" s="6" t="s">
        <v>104</v>
      </c>
      <c r="AX660" s="6" t="s">
        <v>20620</v>
      </c>
      <c r="AY660" s="6" t="s">
        <v>22393</v>
      </c>
      <c r="AZ660" s="6" t="s">
        <v>104</v>
      </c>
      <c r="BA660" s="6" t="s">
        <v>104</v>
      </c>
      <c r="BB660" s="6" t="s">
        <v>104</v>
      </c>
      <c r="BC660" s="26"/>
      <c r="BD660" s="26"/>
      <c r="BE660" s="26"/>
      <c r="BF660" s="26"/>
      <c r="BG660" s="26"/>
      <c r="BH660" s="26"/>
      <c r="BI660" s="26"/>
      <c r="BJ660" s="26"/>
      <c r="BK660" s="26"/>
      <c r="BL660" s="26"/>
      <c r="BM660" s="26"/>
      <c r="BN660" s="26"/>
      <c r="BO660" s="26"/>
      <c r="BP660" s="16" t="n">
        <v>45673</v>
      </c>
      <c r="BQ660" s="28" t="str">
        <f>HYPERLINK("https://organic.ams.usda.gov/Integrity/Certificate.aspx?cid=17&amp;nopid=4080206796")</f>
        <v>https://organic.ams.usda.gov/Integrity/Certificate.aspx?cid=17&amp;nopid=4080206796</v>
      </c>
    </row>
    <row r="661">
      <c r="A661" t="s">
        <v>3</v>
      </c>
      <c r="B661" s="6" t="s">
        <v>35</v>
      </c>
      <c r="C661" s="6" t="s">
        <v>101</v>
      </c>
      <c r="D661" s="6" t="s">
        <v>166</v>
      </c>
      <c r="E661" s="10" t="s">
        <v>859</v>
      </c>
      <c r="F661" s="6" t="s">
        <v>3110</v>
      </c>
      <c r="G661" s="6" t="s">
        <v>104</v>
      </c>
      <c r="H661" s="6" t="s">
        <v>5496</v>
      </c>
      <c r="I661" s="6" t="s">
        <v>7356</v>
      </c>
      <c r="J661" s="6" t="s">
        <v>8632</v>
      </c>
      <c r="K661" s="6" t="s">
        <v>9714</v>
      </c>
      <c r="L661" s="16" t="n">
        <v>45233</v>
      </c>
      <c r="M661" s="16" t="n">
        <v>45716</v>
      </c>
      <c r="N661" s="6" t="s">
        <v>104</v>
      </c>
      <c r="O661" s="21" t="s">
        <v>104</v>
      </c>
      <c r="P661" s="6" t="s">
        <v>104</v>
      </c>
      <c r="Q661" s="6" t="s">
        <v>104</v>
      </c>
      <c r="R661" s="6" t="s">
        <v>104</v>
      </c>
      <c r="S661" s="6" t="s">
        <v>104</v>
      </c>
      <c r="T661" s="21" t="s">
        <v>104</v>
      </c>
      <c r="U661" s="6" t="s">
        <v>104</v>
      </c>
      <c r="V661" s="6" t="s">
        <v>104</v>
      </c>
      <c r="W661" s="6" t="s">
        <v>104</v>
      </c>
      <c r="X661" s="6" t="s">
        <v>104</v>
      </c>
      <c r="Y661" s="21" t="s">
        <v>104</v>
      </c>
      <c r="Z661" s="6" t="s">
        <v>104</v>
      </c>
      <c r="AA661" s="6" t="s">
        <v>104</v>
      </c>
      <c r="AB661" s="6" t="s">
        <v>104</v>
      </c>
      <c r="AC661" s="6" t="s">
        <v>9714</v>
      </c>
      <c r="AD661" s="16" t="n">
        <v>45233</v>
      </c>
      <c r="AE661" s="6" t="s">
        <v>11110</v>
      </c>
      <c r="AF661" s="6" t="s">
        <v>104</v>
      </c>
      <c r="AG661" s="6" t="s">
        <v>104</v>
      </c>
      <c r="AH661" s="6" t="s">
        <v>13753</v>
      </c>
      <c r="AI661" s="6" t="s">
        <v>104</v>
      </c>
      <c r="AJ661" s="6" t="s">
        <v>15793</v>
      </c>
      <c r="AK661" s="6" t="s">
        <v>104</v>
      </c>
      <c r="AL661" s="6" t="s">
        <v>16898</v>
      </c>
      <c r="AM661" s="6" t="s">
        <v>104</v>
      </c>
      <c r="AN661" s="6" t="s">
        <v>104</v>
      </c>
      <c r="AO661" s="6" t="s">
        <v>104</v>
      </c>
      <c r="AP661" s="6" t="s">
        <v>13753</v>
      </c>
      <c r="AQ661" s="6" t="s">
        <v>104</v>
      </c>
      <c r="AR661" s="6" t="s">
        <v>15793</v>
      </c>
      <c r="AS661" s="6" t="s">
        <v>104</v>
      </c>
      <c r="AT661" s="6" t="s">
        <v>16898</v>
      </c>
      <c r="AU661" s="6" t="s">
        <v>104</v>
      </c>
      <c r="AV661" s="6" t="s">
        <v>104</v>
      </c>
      <c r="AW661" s="6" t="s">
        <v>104</v>
      </c>
      <c r="AX661" s="6" t="s">
        <v>20621</v>
      </c>
      <c r="AY661" s="6" t="s">
        <v>22394</v>
      </c>
      <c r="AZ661" s="6" t="s">
        <v>23850</v>
      </c>
      <c r="BA661" s="6" t="s">
        <v>24357</v>
      </c>
      <c r="BB661" s="6" t="s">
        <v>104</v>
      </c>
      <c r="BC661" s="26"/>
      <c r="BD661" s="26"/>
      <c r="BE661" s="26"/>
      <c r="BF661" s="26"/>
      <c r="BG661" s="26"/>
      <c r="BH661" s="26"/>
      <c r="BI661" s="26"/>
      <c r="BJ661" s="26"/>
      <c r="BK661" s="26"/>
      <c r="BL661" s="26"/>
      <c r="BM661" s="26"/>
      <c r="BN661" s="26"/>
      <c r="BO661" s="26"/>
      <c r="BP661" s="16" t="n">
        <v>45471</v>
      </c>
      <c r="BQ661" s="28" t="str">
        <f>HYPERLINK("https://organic.ams.usda.gov/Integrity/Certificate.aspx?cid=84&amp;nopid=5380000670")</f>
        <v>https://organic.ams.usda.gov/Integrity/Certificate.aspx?cid=84&amp;nopid=5380000670</v>
      </c>
    </row>
    <row r="662">
      <c r="A662" t="s">
        <v>3</v>
      </c>
      <c r="B662" s="6" t="s">
        <v>21</v>
      </c>
      <c r="C662" s="6" t="s">
        <v>87</v>
      </c>
      <c r="D662" s="6" t="s">
        <v>152</v>
      </c>
      <c r="E662" s="10" t="s">
        <v>860</v>
      </c>
      <c r="F662" s="6" t="s">
        <v>3111</v>
      </c>
      <c r="G662" s="6" t="s">
        <v>4738</v>
      </c>
      <c r="H662" s="6" t="s">
        <v>5497</v>
      </c>
      <c r="I662" s="6" t="s">
        <v>7357</v>
      </c>
      <c r="J662" s="6" t="s">
        <v>8633</v>
      </c>
      <c r="K662" s="6" t="s">
        <v>9714</v>
      </c>
      <c r="L662" s="16" t="n">
        <v>42936</v>
      </c>
      <c r="M662" s="16" t="n">
        <v>46023</v>
      </c>
      <c r="N662" s="6" t="s">
        <v>104</v>
      </c>
      <c r="O662" s="21" t="s">
        <v>104</v>
      </c>
      <c r="P662" s="6" t="s">
        <v>104</v>
      </c>
      <c r="Q662" s="6" t="s">
        <v>104</v>
      </c>
      <c r="R662" s="6" t="s">
        <v>104</v>
      </c>
      <c r="S662" s="6" t="s">
        <v>104</v>
      </c>
      <c r="T662" s="21" t="s">
        <v>104</v>
      </c>
      <c r="U662" s="6" t="s">
        <v>104</v>
      </c>
      <c r="V662" s="6" t="s">
        <v>104</v>
      </c>
      <c r="W662" s="6" t="s">
        <v>104</v>
      </c>
      <c r="X662" s="6" t="s">
        <v>104</v>
      </c>
      <c r="Y662" s="21" t="s">
        <v>104</v>
      </c>
      <c r="Z662" s="6" t="s">
        <v>104</v>
      </c>
      <c r="AA662" s="6" t="s">
        <v>104</v>
      </c>
      <c r="AB662" s="6" t="s">
        <v>104</v>
      </c>
      <c r="AC662" s="6" t="s">
        <v>9714</v>
      </c>
      <c r="AD662" s="16" t="n">
        <v>42936</v>
      </c>
      <c r="AE662" s="6" t="s">
        <v>11111</v>
      </c>
      <c r="AF662" s="6" t="s">
        <v>12483</v>
      </c>
      <c r="AG662" s="6" t="s">
        <v>104</v>
      </c>
      <c r="AH662" s="6" t="s">
        <v>13754</v>
      </c>
      <c r="AI662" s="6" t="s">
        <v>104</v>
      </c>
      <c r="AJ662" s="6" t="s">
        <v>15794</v>
      </c>
      <c r="AK662" s="6" t="s">
        <v>16680</v>
      </c>
      <c r="AL662" s="6" t="s">
        <v>16931</v>
      </c>
      <c r="AM662" s="6" t="s">
        <v>17421</v>
      </c>
      <c r="AN662" s="6" t="s">
        <v>18468</v>
      </c>
      <c r="AO662" s="6" t="s">
        <v>18708</v>
      </c>
      <c r="AP662" s="6" t="s">
        <v>13754</v>
      </c>
      <c r="AQ662" s="6" t="s">
        <v>104</v>
      </c>
      <c r="AR662" s="6" t="s">
        <v>15794</v>
      </c>
      <c r="AS662" s="6" t="s">
        <v>16680</v>
      </c>
      <c r="AT662" s="6" t="s">
        <v>16931</v>
      </c>
      <c r="AU662" s="6" t="s">
        <v>17421</v>
      </c>
      <c r="AV662" s="6" t="s">
        <v>104</v>
      </c>
      <c r="AW662" s="6" t="s">
        <v>104</v>
      </c>
      <c r="AX662" s="6" t="s">
        <v>20622</v>
      </c>
      <c r="AY662" s="6" t="s">
        <v>22395</v>
      </c>
      <c r="AZ662" s="6" t="s">
        <v>23851</v>
      </c>
      <c r="BA662" s="6" t="s">
        <v>24358</v>
      </c>
      <c r="BB662" s="6" t="s">
        <v>104</v>
      </c>
      <c r="BC662" s="26"/>
      <c r="BD662" s="26"/>
      <c r="BE662" s="26"/>
      <c r="BF662" s="26"/>
      <c r="BG662" s="26"/>
      <c r="BH662" s="26"/>
      <c r="BI662" s="26"/>
      <c r="BJ662" s="26"/>
      <c r="BK662" s="26"/>
      <c r="BL662" s="26"/>
      <c r="BM662" s="26"/>
      <c r="BN662" s="26"/>
      <c r="BO662" s="26"/>
      <c r="BP662" s="16" t="n">
        <v>45667</v>
      </c>
      <c r="BQ662" s="28" t="str">
        <f>HYPERLINK("https://organic.ams.usda.gov/Integrity/Certificate.aspx?cid=15&amp;nopid=5561004710")</f>
        <v>https://organic.ams.usda.gov/Integrity/Certificate.aspx?cid=15&amp;nopid=5561004710</v>
      </c>
    </row>
    <row r="663">
      <c r="A663" t="s">
        <v>3</v>
      </c>
      <c r="B663" s="6" t="s">
        <v>23</v>
      </c>
      <c r="C663" s="6" t="s">
        <v>89</v>
      </c>
      <c r="D663" s="6" t="s">
        <v>154</v>
      </c>
      <c r="E663" s="10" t="s">
        <v>861</v>
      </c>
      <c r="F663" s="6" t="s">
        <v>3112</v>
      </c>
      <c r="G663" s="6" t="s">
        <v>104</v>
      </c>
      <c r="H663" s="6" t="s">
        <v>5498</v>
      </c>
      <c r="I663" s="6" t="s">
        <v>6991</v>
      </c>
      <c r="J663" s="6" t="s">
        <v>8634</v>
      </c>
      <c r="K663" s="6" t="s">
        <v>9714</v>
      </c>
      <c r="L663" s="16" t="n">
        <v>43025</v>
      </c>
      <c r="M663" s="16" t="n">
        <v>45689</v>
      </c>
      <c r="N663" s="6" t="s">
        <v>104</v>
      </c>
      <c r="O663" s="21" t="s">
        <v>104</v>
      </c>
      <c r="P663" s="6" t="s">
        <v>104</v>
      </c>
      <c r="Q663" s="6" t="s">
        <v>104</v>
      </c>
      <c r="R663" s="6" t="s">
        <v>104</v>
      </c>
      <c r="S663" s="6" t="s">
        <v>104</v>
      </c>
      <c r="T663" s="21" t="s">
        <v>104</v>
      </c>
      <c r="U663" s="6" t="s">
        <v>104</v>
      </c>
      <c r="V663" s="6" t="s">
        <v>104</v>
      </c>
      <c r="W663" s="6" t="s">
        <v>104</v>
      </c>
      <c r="X663" s="6" t="s">
        <v>104</v>
      </c>
      <c r="Y663" s="21" t="s">
        <v>104</v>
      </c>
      <c r="Z663" s="6" t="s">
        <v>104</v>
      </c>
      <c r="AA663" s="6" t="s">
        <v>104</v>
      </c>
      <c r="AB663" s="6" t="s">
        <v>104</v>
      </c>
      <c r="AC663" s="6" t="s">
        <v>9714</v>
      </c>
      <c r="AD663" s="16" t="n">
        <v>43025</v>
      </c>
      <c r="AE663" s="6" t="s">
        <v>11112</v>
      </c>
      <c r="AF663" s="6" t="s">
        <v>104</v>
      </c>
      <c r="AG663" s="6" t="s">
        <v>5498</v>
      </c>
      <c r="AH663" s="6" t="s">
        <v>13755</v>
      </c>
      <c r="AI663" s="6" t="s">
        <v>104</v>
      </c>
      <c r="AJ663" s="6" t="s">
        <v>15795</v>
      </c>
      <c r="AK663" s="6" t="s">
        <v>16683</v>
      </c>
      <c r="AL663" s="6" t="s">
        <v>16931</v>
      </c>
      <c r="AM663" s="6" t="s">
        <v>17422</v>
      </c>
      <c r="AN663" s="6" t="s">
        <v>18504</v>
      </c>
      <c r="AO663" s="6" t="s">
        <v>18709</v>
      </c>
      <c r="AP663" s="6" t="s">
        <v>19117</v>
      </c>
      <c r="AQ663" s="6" t="s">
        <v>104</v>
      </c>
      <c r="AR663" s="6" t="s">
        <v>15795</v>
      </c>
      <c r="AS663" s="6" t="s">
        <v>16683</v>
      </c>
      <c r="AT663" s="6" t="s">
        <v>16931</v>
      </c>
      <c r="AU663" s="6" t="s">
        <v>17422</v>
      </c>
      <c r="AV663" s="6" t="s">
        <v>104</v>
      </c>
      <c r="AW663" s="6" t="s">
        <v>104</v>
      </c>
      <c r="AX663" s="6" t="s">
        <v>104</v>
      </c>
      <c r="AY663" s="6" t="s">
        <v>22396</v>
      </c>
      <c r="AZ663" s="6" t="s">
        <v>23852</v>
      </c>
      <c r="BA663" s="6" t="s">
        <v>24261</v>
      </c>
      <c r="BB663" s="24" t="n">
        <v>0</v>
      </c>
      <c r="BC663" s="26"/>
      <c r="BD663" s="26"/>
      <c r="BE663" s="26"/>
      <c r="BF663" s="26"/>
      <c r="BG663" s="26" t="s">
        <v>24533</v>
      </c>
      <c r="BH663" s="26"/>
      <c r="BI663" s="26"/>
      <c r="BJ663" s="26"/>
      <c r="BK663" s="26"/>
      <c r="BL663" s="26"/>
      <c r="BM663" s="26"/>
      <c r="BN663" s="26" t="s">
        <v>24533</v>
      </c>
      <c r="BO663" s="26"/>
      <c r="BP663" s="16" t="n">
        <v>45737</v>
      </c>
      <c r="BQ663" s="28" t="str">
        <f>HYPERLINK("https://organic.ams.usda.gov/Integrity/Certificate.aspx?cid=45&amp;nopid=9950010608")</f>
        <v>https://organic.ams.usda.gov/Integrity/Certificate.aspx?cid=45&amp;nopid=9950010608</v>
      </c>
    </row>
    <row r="664">
      <c r="A664" t="s">
        <v>3</v>
      </c>
      <c r="B664" s="6" t="s">
        <v>29</v>
      </c>
      <c r="C664" s="6" t="s">
        <v>95</v>
      </c>
      <c r="D664" s="6" t="s">
        <v>160</v>
      </c>
      <c r="E664" s="10" t="s">
        <v>862</v>
      </c>
      <c r="F664" s="6" t="s">
        <v>3113</v>
      </c>
      <c r="G664" s="6" t="s">
        <v>104</v>
      </c>
      <c r="H664" s="6" t="s">
        <v>5499</v>
      </c>
      <c r="I664" s="6" t="s">
        <v>104</v>
      </c>
      <c r="J664" s="6" t="s">
        <v>8635</v>
      </c>
      <c r="K664" s="6" t="s">
        <v>9714</v>
      </c>
      <c r="L664" s="16" t="n">
        <v>44609</v>
      </c>
      <c r="M664" s="16" t="n">
        <v>45870</v>
      </c>
      <c r="N664" s="6" t="s">
        <v>104</v>
      </c>
      <c r="O664" s="21" t="s">
        <v>104</v>
      </c>
      <c r="P664" s="6" t="s">
        <v>104</v>
      </c>
      <c r="Q664" s="6" t="s">
        <v>104</v>
      </c>
      <c r="R664" s="6" t="s">
        <v>104</v>
      </c>
      <c r="S664" s="6" t="s">
        <v>104</v>
      </c>
      <c r="T664" s="21" t="s">
        <v>104</v>
      </c>
      <c r="U664" s="6" t="s">
        <v>104</v>
      </c>
      <c r="V664" s="6" t="s">
        <v>104</v>
      </c>
      <c r="W664" s="6" t="s">
        <v>104</v>
      </c>
      <c r="X664" s="6" t="s">
        <v>104</v>
      </c>
      <c r="Y664" s="21" t="s">
        <v>104</v>
      </c>
      <c r="Z664" s="6" t="s">
        <v>104</v>
      </c>
      <c r="AA664" s="6" t="s">
        <v>104</v>
      </c>
      <c r="AB664" s="6" t="s">
        <v>104</v>
      </c>
      <c r="AC664" s="6" t="s">
        <v>9714</v>
      </c>
      <c r="AD664" s="16" t="n">
        <v>44609</v>
      </c>
      <c r="AE664" s="6" t="s">
        <v>11113</v>
      </c>
      <c r="AF664" s="6" t="s">
        <v>104</v>
      </c>
      <c r="AG664" s="6" t="s">
        <v>104</v>
      </c>
      <c r="AH664" s="6" t="s">
        <v>13756</v>
      </c>
      <c r="AI664" s="6" t="s">
        <v>104</v>
      </c>
      <c r="AJ664" s="6" t="s">
        <v>15796</v>
      </c>
      <c r="AK664" s="6" t="s">
        <v>16001</v>
      </c>
      <c r="AL664" s="6" t="s">
        <v>16932</v>
      </c>
      <c r="AM664" s="6" t="s">
        <v>17423</v>
      </c>
      <c r="AN664" s="6" t="s">
        <v>104</v>
      </c>
      <c r="AO664" s="6" t="s">
        <v>104</v>
      </c>
      <c r="AP664" s="6" t="s">
        <v>104</v>
      </c>
      <c r="AQ664" s="6" t="s">
        <v>104</v>
      </c>
      <c r="AR664" s="6" t="s">
        <v>104</v>
      </c>
      <c r="AS664" s="6" t="s">
        <v>104</v>
      </c>
      <c r="AT664" s="6" t="s">
        <v>104</v>
      </c>
      <c r="AU664" s="6" t="s">
        <v>104</v>
      </c>
      <c r="AV664" s="6" t="s">
        <v>104</v>
      </c>
      <c r="AW664" s="6" t="s">
        <v>104</v>
      </c>
      <c r="AX664" s="6" t="s">
        <v>20623</v>
      </c>
      <c r="AY664" s="6" t="s">
        <v>22397</v>
      </c>
      <c r="AZ664" s="6" t="s">
        <v>104</v>
      </c>
      <c r="BA664" s="6" t="s">
        <v>24269</v>
      </c>
      <c r="BB664" s="24" t="n">
        <v>0</v>
      </c>
      <c r="BC664" s="26"/>
      <c r="BD664" s="26"/>
      <c r="BE664" s="26"/>
      <c r="BF664" s="26"/>
      <c r="BG664" s="26"/>
      <c r="BH664" s="26"/>
      <c r="BI664" s="26"/>
      <c r="BJ664" s="26"/>
      <c r="BK664" s="26"/>
      <c r="BL664" s="26"/>
      <c r="BM664" s="26"/>
      <c r="BN664" s="26"/>
      <c r="BO664" s="26"/>
      <c r="BP664" s="16" t="n">
        <v>45680</v>
      </c>
      <c r="BQ664" s="28" t="str">
        <f>HYPERLINK("https://organic.ams.usda.gov/Integrity/Certificate.aspx?cid=24&amp;nopid=7880167663")</f>
        <v>https://organic.ams.usda.gov/Integrity/Certificate.aspx?cid=24&amp;nopid=7880167663</v>
      </c>
    </row>
    <row r="665">
      <c r="A665" t="s">
        <v>3</v>
      </c>
      <c r="B665" s="6" t="s">
        <v>21</v>
      </c>
      <c r="C665" s="6" t="s">
        <v>87</v>
      </c>
      <c r="D665" s="6" t="s">
        <v>152</v>
      </c>
      <c r="E665" s="10" t="s">
        <v>863</v>
      </c>
      <c r="F665" s="6" t="s">
        <v>3114</v>
      </c>
      <c r="G665" s="6" t="s">
        <v>4739</v>
      </c>
      <c r="H665" s="6" t="s">
        <v>5500</v>
      </c>
      <c r="I665" s="6" t="s">
        <v>7358</v>
      </c>
      <c r="J665" s="6" t="s">
        <v>8636</v>
      </c>
      <c r="K665" s="6" t="s">
        <v>9714</v>
      </c>
      <c r="L665" s="16" t="n">
        <v>45611</v>
      </c>
      <c r="M665" s="16" t="n">
        <v>46023</v>
      </c>
      <c r="N665" s="6" t="s">
        <v>104</v>
      </c>
      <c r="O665" s="21" t="s">
        <v>104</v>
      </c>
      <c r="P665" s="6" t="s">
        <v>104</v>
      </c>
      <c r="Q665" s="6" t="s">
        <v>104</v>
      </c>
      <c r="R665" s="6" t="s">
        <v>104</v>
      </c>
      <c r="S665" s="6" t="s">
        <v>104</v>
      </c>
      <c r="T665" s="21" t="s">
        <v>104</v>
      </c>
      <c r="U665" s="6" t="s">
        <v>104</v>
      </c>
      <c r="V665" s="6" t="s">
        <v>104</v>
      </c>
      <c r="W665" s="6" t="s">
        <v>104</v>
      </c>
      <c r="X665" s="6" t="s">
        <v>104</v>
      </c>
      <c r="Y665" s="21" t="s">
        <v>104</v>
      </c>
      <c r="Z665" s="6" t="s">
        <v>104</v>
      </c>
      <c r="AA665" s="6" t="s">
        <v>104</v>
      </c>
      <c r="AB665" s="6" t="s">
        <v>104</v>
      </c>
      <c r="AC665" s="6" t="s">
        <v>9714</v>
      </c>
      <c r="AD665" s="16" t="n">
        <v>45611</v>
      </c>
      <c r="AE665" s="6" t="s">
        <v>11114</v>
      </c>
      <c r="AF665" s="6" t="s">
        <v>104</v>
      </c>
      <c r="AG665" s="6" t="s">
        <v>104</v>
      </c>
      <c r="AH665" s="6" t="s">
        <v>13757</v>
      </c>
      <c r="AI665" s="6" t="s">
        <v>104</v>
      </c>
      <c r="AJ665" s="6" t="s">
        <v>15506</v>
      </c>
      <c r="AK665" s="6" t="s">
        <v>15697</v>
      </c>
      <c r="AL665" s="6" t="s">
        <v>16931</v>
      </c>
      <c r="AM665" s="6" t="s">
        <v>17424</v>
      </c>
      <c r="AN665" s="6" t="s">
        <v>104</v>
      </c>
      <c r="AO665" s="6" t="s">
        <v>104</v>
      </c>
      <c r="AP665" s="6" t="s">
        <v>19118</v>
      </c>
      <c r="AQ665" s="6" t="s">
        <v>19552</v>
      </c>
      <c r="AR665" s="6" t="s">
        <v>19653</v>
      </c>
      <c r="AS665" s="6" t="s">
        <v>15697</v>
      </c>
      <c r="AT665" s="6" t="s">
        <v>16931</v>
      </c>
      <c r="AU665" s="6" t="s">
        <v>19881</v>
      </c>
      <c r="AV665" s="6" t="s">
        <v>104</v>
      </c>
      <c r="AW665" s="6" t="s">
        <v>104</v>
      </c>
      <c r="AX665" s="6" t="s">
        <v>20624</v>
      </c>
      <c r="AY665" s="6" t="s">
        <v>22398</v>
      </c>
      <c r="AZ665" s="6" t="s">
        <v>23853</v>
      </c>
      <c r="BA665" s="6" t="s">
        <v>104</v>
      </c>
      <c r="BB665" s="6" t="s">
        <v>104</v>
      </c>
      <c r="BC665" s="26"/>
      <c r="BD665" s="26"/>
      <c r="BE665" s="26"/>
      <c r="BF665" s="26"/>
      <c r="BG665" s="26"/>
      <c r="BH665" s="26"/>
      <c r="BI665" s="26"/>
      <c r="BJ665" s="26"/>
      <c r="BK665" s="26"/>
      <c r="BL665" s="26"/>
      <c r="BM665" s="26"/>
      <c r="BN665" s="26"/>
      <c r="BO665" s="26"/>
      <c r="BP665" s="16" t="n">
        <v>45667</v>
      </c>
      <c r="BQ665" s="28" t="str">
        <f>HYPERLINK("https://organic.ams.usda.gov/Integrity/Certificate.aspx?cid=15&amp;nopid=5561008448")</f>
        <v>https://organic.ams.usda.gov/Integrity/Certificate.aspx?cid=15&amp;nopid=5561008448</v>
      </c>
    </row>
    <row r="666">
      <c r="A666" t="s">
        <v>3</v>
      </c>
      <c r="B666" s="6" t="s">
        <v>13</v>
      </c>
      <c r="C666" s="6" t="s">
        <v>79</v>
      </c>
      <c r="D666" s="6" t="s">
        <v>144</v>
      </c>
      <c r="E666" s="10" t="s">
        <v>864</v>
      </c>
      <c r="F666" s="6" t="s">
        <v>3115</v>
      </c>
      <c r="G666" s="6" t="s">
        <v>104</v>
      </c>
      <c r="H666" s="6" t="s">
        <v>5501</v>
      </c>
      <c r="I666" s="6" t="s">
        <v>7359</v>
      </c>
      <c r="J666" s="6" t="s">
        <v>8637</v>
      </c>
      <c r="K666" s="6" t="s">
        <v>9714</v>
      </c>
      <c r="L666" s="16" t="n">
        <v>44144</v>
      </c>
      <c r="M666" s="16" t="n">
        <v>46023</v>
      </c>
      <c r="N666" s="6" t="s">
        <v>104</v>
      </c>
      <c r="O666" s="21" t="s">
        <v>104</v>
      </c>
      <c r="P666" s="6" t="s">
        <v>104</v>
      </c>
      <c r="Q666" s="6" t="s">
        <v>104</v>
      </c>
      <c r="R666" s="6" t="s">
        <v>104</v>
      </c>
      <c r="S666" s="6" t="s">
        <v>104</v>
      </c>
      <c r="T666" s="21" t="s">
        <v>104</v>
      </c>
      <c r="U666" s="6" t="s">
        <v>104</v>
      </c>
      <c r="V666" s="6" t="s">
        <v>104</v>
      </c>
      <c r="W666" s="6" t="s">
        <v>104</v>
      </c>
      <c r="X666" s="6" t="s">
        <v>104</v>
      </c>
      <c r="Y666" s="21" t="s">
        <v>104</v>
      </c>
      <c r="Z666" s="6" t="s">
        <v>104</v>
      </c>
      <c r="AA666" s="6" t="s">
        <v>104</v>
      </c>
      <c r="AB666" s="6" t="s">
        <v>104</v>
      </c>
      <c r="AC666" s="6" t="s">
        <v>9714</v>
      </c>
      <c r="AD666" s="16" t="n">
        <v>44144</v>
      </c>
      <c r="AE666" s="6" t="s">
        <v>11115</v>
      </c>
      <c r="AF666" s="6" t="s">
        <v>104</v>
      </c>
      <c r="AG666" s="6" t="s">
        <v>104</v>
      </c>
      <c r="AH666" s="6" t="s">
        <v>104</v>
      </c>
      <c r="AI666" s="6" t="s">
        <v>104</v>
      </c>
      <c r="AJ666" s="6" t="s">
        <v>104</v>
      </c>
      <c r="AK666" s="6" t="s">
        <v>104</v>
      </c>
      <c r="AL666" s="6" t="s">
        <v>104</v>
      </c>
      <c r="AM666" s="6" t="s">
        <v>104</v>
      </c>
      <c r="AN666" s="6" t="s">
        <v>104</v>
      </c>
      <c r="AO666" s="6" t="s">
        <v>104</v>
      </c>
      <c r="AP666" s="6" t="s">
        <v>19119</v>
      </c>
      <c r="AQ666" s="6" t="s">
        <v>104</v>
      </c>
      <c r="AR666" s="6" t="s">
        <v>19654</v>
      </c>
      <c r="AS666" s="6" t="s">
        <v>16687</v>
      </c>
      <c r="AT666" s="6" t="s">
        <v>16931</v>
      </c>
      <c r="AU666" s="6" t="s">
        <v>19882</v>
      </c>
      <c r="AV666" s="6" t="s">
        <v>18484</v>
      </c>
      <c r="AW666" s="6" t="s">
        <v>18597</v>
      </c>
      <c r="AX666" s="6" t="s">
        <v>20625</v>
      </c>
      <c r="AY666" s="6" t="s">
        <v>22399</v>
      </c>
      <c r="AZ666" s="6" t="s">
        <v>104</v>
      </c>
      <c r="BA666" s="6" t="s">
        <v>104</v>
      </c>
      <c r="BB666" s="6" t="s">
        <v>104</v>
      </c>
      <c r="BC666" s="26"/>
      <c r="BD666" s="26"/>
      <c r="BE666" s="26" t="s">
        <v>24533</v>
      </c>
      <c r="BF666" s="26"/>
      <c r="BG666" s="26"/>
      <c r="BH666" s="26"/>
      <c r="BI666" s="26"/>
      <c r="BJ666" s="26"/>
      <c r="BK666" s="26"/>
      <c r="BL666" s="26"/>
      <c r="BM666" s="26"/>
      <c r="BN666" s="26"/>
      <c r="BO666" s="26"/>
      <c r="BP666" s="16" t="n">
        <v>45720</v>
      </c>
      <c r="BQ666" s="28" t="str">
        <f>HYPERLINK("https://organic.ams.usda.gov/Integrity/Certificate.aspx?cid=62&amp;nopid=8150014772")</f>
        <v>https://organic.ams.usda.gov/Integrity/Certificate.aspx?cid=62&amp;nopid=8150014772</v>
      </c>
    </row>
    <row r="667">
      <c r="A667" t="s">
        <v>3</v>
      </c>
      <c r="B667" s="6" t="s">
        <v>57</v>
      </c>
      <c r="C667" s="6" t="s">
        <v>123</v>
      </c>
      <c r="D667" s="6" t="s">
        <v>187</v>
      </c>
      <c r="E667" s="10" t="s">
        <v>865</v>
      </c>
      <c r="F667" s="6" t="s">
        <v>3116</v>
      </c>
      <c r="G667" s="6" t="s">
        <v>104</v>
      </c>
      <c r="H667" s="6" t="s">
        <v>5502</v>
      </c>
      <c r="I667" s="6" t="s">
        <v>7107</v>
      </c>
      <c r="J667" s="6" t="s">
        <v>8638</v>
      </c>
      <c r="K667" s="6" t="s">
        <v>9714</v>
      </c>
      <c r="L667" s="16" t="n">
        <v>39729</v>
      </c>
      <c r="M667" s="16" t="n">
        <v>45931</v>
      </c>
      <c r="N667" s="6" t="s">
        <v>104</v>
      </c>
      <c r="O667" s="21" t="s">
        <v>104</v>
      </c>
      <c r="P667" s="6" t="s">
        <v>104</v>
      </c>
      <c r="Q667" s="6" t="s">
        <v>104</v>
      </c>
      <c r="R667" s="6" t="s">
        <v>104</v>
      </c>
      <c r="S667" s="6" t="s">
        <v>104</v>
      </c>
      <c r="T667" s="21" t="s">
        <v>104</v>
      </c>
      <c r="U667" s="6" t="s">
        <v>104</v>
      </c>
      <c r="V667" s="6" t="s">
        <v>104</v>
      </c>
      <c r="W667" s="6" t="s">
        <v>104</v>
      </c>
      <c r="X667" s="6" t="s">
        <v>104</v>
      </c>
      <c r="Y667" s="21" t="s">
        <v>104</v>
      </c>
      <c r="Z667" s="6" t="s">
        <v>104</v>
      </c>
      <c r="AA667" s="6" t="s">
        <v>104</v>
      </c>
      <c r="AB667" s="6" t="s">
        <v>104</v>
      </c>
      <c r="AC667" s="6" t="s">
        <v>9714</v>
      </c>
      <c r="AD667" s="16" t="n">
        <v>39729</v>
      </c>
      <c r="AE667" s="6" t="s">
        <v>11116</v>
      </c>
      <c r="AF667" s="6" t="s">
        <v>104</v>
      </c>
      <c r="AG667" s="6" t="s">
        <v>104</v>
      </c>
      <c r="AH667" s="6" t="s">
        <v>13758</v>
      </c>
      <c r="AI667" s="6" t="s">
        <v>15264</v>
      </c>
      <c r="AJ667" s="6" t="s">
        <v>15797</v>
      </c>
      <c r="AK667" s="6" t="s">
        <v>16730</v>
      </c>
      <c r="AL667" s="6" t="s">
        <v>16931</v>
      </c>
      <c r="AM667" s="6" t="s">
        <v>17425</v>
      </c>
      <c r="AN667" s="6" t="s">
        <v>18477</v>
      </c>
      <c r="AO667" s="6" t="s">
        <v>18710</v>
      </c>
      <c r="AP667" s="6" t="s">
        <v>13758</v>
      </c>
      <c r="AQ667" s="6" t="s">
        <v>15264</v>
      </c>
      <c r="AR667" s="6" t="s">
        <v>15797</v>
      </c>
      <c r="AS667" s="6" t="s">
        <v>16730</v>
      </c>
      <c r="AT667" s="6" t="s">
        <v>16931</v>
      </c>
      <c r="AU667" s="6" t="s">
        <v>17425</v>
      </c>
      <c r="AV667" s="6" t="s">
        <v>104</v>
      </c>
      <c r="AW667" s="6" t="s">
        <v>104</v>
      </c>
      <c r="AX667" s="6" t="s">
        <v>20626</v>
      </c>
      <c r="AY667" s="6" t="s">
        <v>22400</v>
      </c>
      <c r="AZ667" s="6" t="s">
        <v>104</v>
      </c>
      <c r="BA667" s="6" t="s">
        <v>104</v>
      </c>
      <c r="BB667" s="6" t="s">
        <v>104</v>
      </c>
      <c r="BC667" s="26"/>
      <c r="BD667" s="26"/>
      <c r="BE667" s="26"/>
      <c r="BF667" s="26"/>
      <c r="BG667" s="26"/>
      <c r="BH667" s="26"/>
      <c r="BI667" s="26"/>
      <c r="BJ667" s="26"/>
      <c r="BK667" s="26"/>
      <c r="BL667" s="26"/>
      <c r="BM667" s="26"/>
      <c r="BN667" s="26"/>
      <c r="BO667" s="26"/>
      <c r="BP667" s="16" t="n">
        <v>45735</v>
      </c>
      <c r="BQ667" s="28" t="str">
        <f>HYPERLINK("https://organic.ams.usda.gov/Integrity/Certificate.aspx?cid=19&amp;nopid=6350000281")</f>
        <v>https://organic.ams.usda.gov/Integrity/Certificate.aspx?cid=19&amp;nopid=6350000281</v>
      </c>
    </row>
    <row r="668">
      <c r="A668" t="s">
        <v>3</v>
      </c>
      <c r="B668" s="6" t="s">
        <v>20</v>
      </c>
      <c r="C668" s="6" t="s">
        <v>86</v>
      </c>
      <c r="D668" s="6" t="s">
        <v>151</v>
      </c>
      <c r="E668" s="10" t="s">
        <v>866</v>
      </c>
      <c r="F668" s="6" t="s">
        <v>3117</v>
      </c>
      <c r="G668" s="6" t="s">
        <v>104</v>
      </c>
      <c r="H668" s="6" t="s">
        <v>5503</v>
      </c>
      <c r="I668" s="6" t="s">
        <v>7360</v>
      </c>
      <c r="J668" s="6" t="s">
        <v>8639</v>
      </c>
      <c r="K668" s="6" t="s">
        <v>9714</v>
      </c>
      <c r="L668" s="16" t="n">
        <v>40582</v>
      </c>
      <c r="M668" s="16" t="n">
        <v>46022</v>
      </c>
      <c r="N668" s="6" t="s">
        <v>104</v>
      </c>
      <c r="O668" s="21" t="s">
        <v>104</v>
      </c>
      <c r="P668" s="6" t="s">
        <v>104</v>
      </c>
      <c r="Q668" s="6" t="s">
        <v>104</v>
      </c>
      <c r="R668" s="6" t="s">
        <v>104</v>
      </c>
      <c r="S668" s="6" t="s">
        <v>104</v>
      </c>
      <c r="T668" s="21" t="s">
        <v>104</v>
      </c>
      <c r="U668" s="6" t="s">
        <v>104</v>
      </c>
      <c r="V668" s="6" t="s">
        <v>104</v>
      </c>
      <c r="W668" s="6" t="s">
        <v>104</v>
      </c>
      <c r="X668" s="6" t="s">
        <v>104</v>
      </c>
      <c r="Y668" s="21" t="s">
        <v>104</v>
      </c>
      <c r="Z668" s="6" t="s">
        <v>104</v>
      </c>
      <c r="AA668" s="6" t="s">
        <v>104</v>
      </c>
      <c r="AB668" s="6" t="s">
        <v>104</v>
      </c>
      <c r="AC668" s="6" t="s">
        <v>9714</v>
      </c>
      <c r="AD668" s="16" t="n">
        <v>40582</v>
      </c>
      <c r="AE668" s="6" t="s">
        <v>11117</v>
      </c>
      <c r="AF668" s="6" t="s">
        <v>104</v>
      </c>
      <c r="AG668" s="6" t="s">
        <v>12698</v>
      </c>
      <c r="AH668" s="6" t="s">
        <v>13759</v>
      </c>
      <c r="AI668" s="6" t="s">
        <v>104</v>
      </c>
      <c r="AJ668" s="6" t="s">
        <v>15661</v>
      </c>
      <c r="AK668" s="6" t="s">
        <v>15661</v>
      </c>
      <c r="AL668" s="6" t="s">
        <v>16939</v>
      </c>
      <c r="AM668" s="6" t="s">
        <v>17426</v>
      </c>
      <c r="AN668" s="6" t="s">
        <v>104</v>
      </c>
      <c r="AO668" s="6" t="s">
        <v>104</v>
      </c>
      <c r="AP668" s="6" t="s">
        <v>104</v>
      </c>
      <c r="AQ668" s="6" t="s">
        <v>104</v>
      </c>
      <c r="AR668" s="6" t="s">
        <v>104</v>
      </c>
      <c r="AS668" s="6" t="s">
        <v>104</v>
      </c>
      <c r="AT668" s="6" t="s">
        <v>104</v>
      </c>
      <c r="AU668" s="6" t="s">
        <v>104</v>
      </c>
      <c r="AV668" s="6" t="s">
        <v>104</v>
      </c>
      <c r="AW668" s="6" t="s">
        <v>104</v>
      </c>
      <c r="AX668" s="6" t="s">
        <v>20627</v>
      </c>
      <c r="AY668" s="6" t="s">
        <v>22401</v>
      </c>
      <c r="AZ668" s="6" t="s">
        <v>23854</v>
      </c>
      <c r="BA668" s="6" t="s">
        <v>24359</v>
      </c>
      <c r="BB668" s="6" t="s">
        <v>104</v>
      </c>
      <c r="BC668" s="26"/>
      <c r="BD668" s="26"/>
      <c r="BE668" s="26"/>
      <c r="BF668" s="26"/>
      <c r="BG668" s="26"/>
      <c r="BH668" s="26"/>
      <c r="BI668" s="26"/>
      <c r="BJ668" s="26"/>
      <c r="BK668" s="26"/>
      <c r="BL668" s="26"/>
      <c r="BM668" s="26"/>
      <c r="BN668" s="26"/>
      <c r="BO668" s="26"/>
      <c r="BP668" s="16" t="n">
        <v>45581</v>
      </c>
      <c r="BQ668" s="28" t="str">
        <f>HYPERLINK("https://organic.ams.usda.gov/Integrity/Certificate.aspx?cid=17&amp;nopid=4080400021")</f>
        <v>https://organic.ams.usda.gov/Integrity/Certificate.aspx?cid=17&amp;nopid=4080400021</v>
      </c>
    </row>
    <row r="669">
      <c r="A669" t="s">
        <v>3</v>
      </c>
      <c r="B669" s="6" t="s">
        <v>20</v>
      </c>
      <c r="C669" s="6" t="s">
        <v>86</v>
      </c>
      <c r="D669" s="6" t="s">
        <v>151</v>
      </c>
      <c r="E669" s="10" t="s">
        <v>867</v>
      </c>
      <c r="F669" s="6" t="s">
        <v>3118</v>
      </c>
      <c r="G669" s="6" t="s">
        <v>104</v>
      </c>
      <c r="H669" s="6" t="s">
        <v>5504</v>
      </c>
      <c r="I669" s="6" t="s">
        <v>7361</v>
      </c>
      <c r="J669" s="6" t="s">
        <v>8640</v>
      </c>
      <c r="K669" s="6" t="s">
        <v>9714</v>
      </c>
      <c r="L669" s="16" t="n">
        <v>41987</v>
      </c>
      <c r="M669" s="16" t="n">
        <v>45945</v>
      </c>
      <c r="N669" s="6" t="s">
        <v>104</v>
      </c>
      <c r="O669" s="21" t="s">
        <v>104</v>
      </c>
      <c r="P669" s="6" t="s">
        <v>104</v>
      </c>
      <c r="Q669" s="6" t="s">
        <v>104</v>
      </c>
      <c r="R669" s="6" t="s">
        <v>104</v>
      </c>
      <c r="S669" s="6" t="s">
        <v>104</v>
      </c>
      <c r="T669" s="21" t="s">
        <v>104</v>
      </c>
      <c r="U669" s="6" t="s">
        <v>104</v>
      </c>
      <c r="V669" s="6" t="s">
        <v>104</v>
      </c>
      <c r="W669" s="6" t="s">
        <v>104</v>
      </c>
      <c r="X669" s="6" t="s">
        <v>104</v>
      </c>
      <c r="Y669" s="21" t="s">
        <v>104</v>
      </c>
      <c r="Z669" s="6" t="s">
        <v>104</v>
      </c>
      <c r="AA669" s="6" t="s">
        <v>104</v>
      </c>
      <c r="AB669" s="6" t="s">
        <v>104</v>
      </c>
      <c r="AC669" s="6" t="s">
        <v>9714</v>
      </c>
      <c r="AD669" s="16" t="n">
        <v>41987</v>
      </c>
      <c r="AE669" s="6" t="s">
        <v>11118</v>
      </c>
      <c r="AF669" s="6" t="s">
        <v>104</v>
      </c>
      <c r="AG669" s="6" t="s">
        <v>12699</v>
      </c>
      <c r="AH669" s="6" t="s">
        <v>13760</v>
      </c>
      <c r="AI669" s="6" t="s">
        <v>104</v>
      </c>
      <c r="AJ669" s="6" t="s">
        <v>15363</v>
      </c>
      <c r="AK669" s="6" t="s">
        <v>15363</v>
      </c>
      <c r="AL669" s="6" t="s">
        <v>15513</v>
      </c>
      <c r="AM669" s="6" t="s">
        <v>17427</v>
      </c>
      <c r="AN669" s="6" t="s">
        <v>104</v>
      </c>
      <c r="AO669" s="6" t="s">
        <v>104</v>
      </c>
      <c r="AP669" s="6" t="s">
        <v>104</v>
      </c>
      <c r="AQ669" s="6" t="s">
        <v>104</v>
      </c>
      <c r="AR669" s="6" t="s">
        <v>104</v>
      </c>
      <c r="AS669" s="6" t="s">
        <v>104</v>
      </c>
      <c r="AT669" s="6" t="s">
        <v>104</v>
      </c>
      <c r="AU669" s="6" t="s">
        <v>104</v>
      </c>
      <c r="AV669" s="6" t="s">
        <v>104</v>
      </c>
      <c r="AW669" s="6" t="s">
        <v>104</v>
      </c>
      <c r="AX669" s="6" t="s">
        <v>20628</v>
      </c>
      <c r="AY669" s="6" t="s">
        <v>22402</v>
      </c>
      <c r="AZ669" s="6" t="s">
        <v>104</v>
      </c>
      <c r="BA669" s="6" t="s">
        <v>104</v>
      </c>
      <c r="BB669" s="6" t="s">
        <v>104</v>
      </c>
      <c r="BC669" s="26"/>
      <c r="BD669" s="26"/>
      <c r="BE669" s="26"/>
      <c r="BF669" s="26"/>
      <c r="BG669" s="26"/>
      <c r="BH669" s="26"/>
      <c r="BI669" s="26"/>
      <c r="BJ669" s="26"/>
      <c r="BK669" s="26"/>
      <c r="BL669" s="26"/>
      <c r="BM669" s="26"/>
      <c r="BN669" s="26"/>
      <c r="BO669" s="26"/>
      <c r="BP669" s="16" t="n">
        <v>45708</v>
      </c>
      <c r="BQ669" s="28" t="str">
        <f>HYPERLINK("https://organic.ams.usda.gov/Integrity/Certificate.aspx?cid=17&amp;nopid=4083800005")</f>
        <v>https://organic.ams.usda.gov/Integrity/Certificate.aspx?cid=17&amp;nopid=4083800005</v>
      </c>
    </row>
    <row r="670">
      <c r="A670" t="s">
        <v>3</v>
      </c>
      <c r="B670" s="6" t="s">
        <v>20</v>
      </c>
      <c r="C670" s="6" t="s">
        <v>86</v>
      </c>
      <c r="D670" s="6" t="s">
        <v>151</v>
      </c>
      <c r="E670" s="10" t="s">
        <v>868</v>
      </c>
      <c r="F670" s="6" t="s">
        <v>3119</v>
      </c>
      <c r="G670" s="6" t="s">
        <v>104</v>
      </c>
      <c r="H670" s="6" t="s">
        <v>5505</v>
      </c>
      <c r="I670" s="6" t="s">
        <v>7362</v>
      </c>
      <c r="J670" s="6" t="s">
        <v>8641</v>
      </c>
      <c r="K670" s="6" t="s">
        <v>9714</v>
      </c>
      <c r="L670" s="16" t="n">
        <v>44193</v>
      </c>
      <c r="M670" s="16" t="n">
        <v>45900</v>
      </c>
      <c r="N670" s="6" t="s">
        <v>9714</v>
      </c>
      <c r="O670" s="16" t="n">
        <v>44193</v>
      </c>
      <c r="P670" s="6" t="s">
        <v>9903</v>
      </c>
      <c r="Q670" s="6" t="s">
        <v>104</v>
      </c>
      <c r="R670" s="6" t="s">
        <v>10346</v>
      </c>
      <c r="S670" s="6" t="s">
        <v>104</v>
      </c>
      <c r="T670" s="21" t="s">
        <v>104</v>
      </c>
      <c r="U670" s="6" t="s">
        <v>104</v>
      </c>
      <c r="V670" s="6" t="s">
        <v>104</v>
      </c>
      <c r="W670" s="6" t="s">
        <v>104</v>
      </c>
      <c r="X670" s="6" t="s">
        <v>104</v>
      </c>
      <c r="Y670" s="21" t="s">
        <v>104</v>
      </c>
      <c r="Z670" s="6" t="s">
        <v>104</v>
      </c>
      <c r="AA670" s="6" t="s">
        <v>104</v>
      </c>
      <c r="AB670" s="6" t="s">
        <v>104</v>
      </c>
      <c r="AC670" s="6" t="s">
        <v>9714</v>
      </c>
      <c r="AD670" s="16" t="n">
        <v>44193</v>
      </c>
      <c r="AE670" s="6" t="s">
        <v>11119</v>
      </c>
      <c r="AF670" s="6" t="s">
        <v>104</v>
      </c>
      <c r="AG670" s="6" t="s">
        <v>10346</v>
      </c>
      <c r="AH670" s="6" t="s">
        <v>13761</v>
      </c>
      <c r="AI670" s="6" t="s">
        <v>104</v>
      </c>
      <c r="AJ670" s="6" t="s">
        <v>15798</v>
      </c>
      <c r="AK670" s="6" t="s">
        <v>16794</v>
      </c>
      <c r="AL670" s="6" t="s">
        <v>16965</v>
      </c>
      <c r="AM670" s="6" t="s">
        <v>17428</v>
      </c>
      <c r="AN670" s="6" t="s">
        <v>104</v>
      </c>
      <c r="AO670" s="6" t="s">
        <v>104</v>
      </c>
      <c r="AP670" s="6" t="s">
        <v>104</v>
      </c>
      <c r="AQ670" s="6" t="s">
        <v>104</v>
      </c>
      <c r="AR670" s="6" t="s">
        <v>104</v>
      </c>
      <c r="AS670" s="6" t="s">
        <v>104</v>
      </c>
      <c r="AT670" s="6" t="s">
        <v>104</v>
      </c>
      <c r="AU670" s="6" t="s">
        <v>104</v>
      </c>
      <c r="AV670" s="6" t="s">
        <v>104</v>
      </c>
      <c r="AW670" s="6" t="s">
        <v>104</v>
      </c>
      <c r="AX670" s="6" t="s">
        <v>20629</v>
      </c>
      <c r="AY670" s="6" t="s">
        <v>22403</v>
      </c>
      <c r="AZ670" s="6" t="s">
        <v>104</v>
      </c>
      <c r="BA670" s="6" t="s">
        <v>104</v>
      </c>
      <c r="BB670" s="24" t="n">
        <v>12044</v>
      </c>
      <c r="BC670" s="26"/>
      <c r="BD670" s="26"/>
      <c r="BE670" s="26"/>
      <c r="BF670" s="26"/>
      <c r="BG670" s="26"/>
      <c r="BH670" s="26"/>
      <c r="BI670" s="26"/>
      <c r="BJ670" s="26"/>
      <c r="BK670" s="26"/>
      <c r="BL670" s="26"/>
      <c r="BM670" s="26"/>
      <c r="BN670" s="26"/>
      <c r="BO670" s="26"/>
      <c r="BP670" s="16" t="n">
        <v>45693</v>
      </c>
      <c r="BQ670" s="28" t="str">
        <f>HYPERLINK("https://organic.ams.usda.gov/Integrity/Certificate.aspx?cid=17&amp;nopid=4087186412")</f>
        <v>https://organic.ams.usda.gov/Integrity/Certificate.aspx?cid=17&amp;nopid=4087186412</v>
      </c>
    </row>
    <row r="671">
      <c r="A671" t="s">
        <v>3</v>
      </c>
      <c r="B671" s="6" t="s">
        <v>11</v>
      </c>
      <c r="C671" s="6" t="s">
        <v>77</v>
      </c>
      <c r="D671" s="6" t="s">
        <v>142</v>
      </c>
      <c r="E671" s="10" t="s">
        <v>869</v>
      </c>
      <c r="F671" s="6" t="s">
        <v>3120</v>
      </c>
      <c r="G671" s="6" t="s">
        <v>104</v>
      </c>
      <c r="H671" s="6" t="s">
        <v>104</v>
      </c>
      <c r="I671" s="6" t="s">
        <v>7363</v>
      </c>
      <c r="J671" s="6" t="s">
        <v>8642</v>
      </c>
      <c r="K671" s="6" t="s">
        <v>9714</v>
      </c>
      <c r="L671" s="16" t="n">
        <v>43817</v>
      </c>
      <c r="M671" s="16" t="n">
        <v>45933</v>
      </c>
      <c r="N671" s="6" t="s">
        <v>9714</v>
      </c>
      <c r="O671" s="16" t="n">
        <v>45624</v>
      </c>
      <c r="P671" s="6" t="s">
        <v>9904</v>
      </c>
      <c r="Q671" s="6" t="s">
        <v>104</v>
      </c>
      <c r="R671" s="6" t="s">
        <v>104</v>
      </c>
      <c r="S671" s="6" t="s">
        <v>104</v>
      </c>
      <c r="T671" s="21" t="s">
        <v>104</v>
      </c>
      <c r="U671" s="6" t="s">
        <v>104</v>
      </c>
      <c r="V671" s="6" t="s">
        <v>104</v>
      </c>
      <c r="W671" s="6" t="s">
        <v>104</v>
      </c>
      <c r="X671" s="6" t="s">
        <v>104</v>
      </c>
      <c r="Y671" s="21" t="s">
        <v>104</v>
      </c>
      <c r="Z671" s="6" t="s">
        <v>104</v>
      </c>
      <c r="AA671" s="6" t="s">
        <v>104</v>
      </c>
      <c r="AB671" s="6" t="s">
        <v>104</v>
      </c>
      <c r="AC671" s="6" t="s">
        <v>9714</v>
      </c>
      <c r="AD671" s="16" t="n">
        <v>43817</v>
      </c>
      <c r="AE671" s="6" t="s">
        <v>11120</v>
      </c>
      <c r="AF671" s="6" t="s">
        <v>104</v>
      </c>
      <c r="AG671" s="6" t="s">
        <v>104</v>
      </c>
      <c r="AH671" s="6" t="s">
        <v>13762</v>
      </c>
      <c r="AI671" s="6" t="s">
        <v>104</v>
      </c>
      <c r="AJ671" s="6" t="s">
        <v>15799</v>
      </c>
      <c r="AK671" s="6" t="s">
        <v>16795</v>
      </c>
      <c r="AL671" s="6" t="s">
        <v>16966</v>
      </c>
      <c r="AM671" s="6" t="s">
        <v>17429</v>
      </c>
      <c r="AN671" s="6" t="s">
        <v>104</v>
      </c>
      <c r="AO671" s="6" t="s">
        <v>104</v>
      </c>
      <c r="AP671" s="6" t="s">
        <v>104</v>
      </c>
      <c r="AQ671" s="6" t="s">
        <v>104</v>
      </c>
      <c r="AR671" s="6" t="s">
        <v>104</v>
      </c>
      <c r="AS671" s="6" t="s">
        <v>104</v>
      </c>
      <c r="AT671" s="6" t="s">
        <v>104</v>
      </c>
      <c r="AU671" s="6" t="s">
        <v>104</v>
      </c>
      <c r="AV671" s="6" t="s">
        <v>104</v>
      </c>
      <c r="AW671" s="6" t="s">
        <v>104</v>
      </c>
      <c r="AX671" s="6" t="s">
        <v>20630</v>
      </c>
      <c r="AY671" s="6" t="s">
        <v>22404</v>
      </c>
      <c r="AZ671" s="6" t="s">
        <v>104</v>
      </c>
      <c r="BA671" s="6" t="s">
        <v>24360</v>
      </c>
      <c r="BB671" s="24" t="n">
        <v>63</v>
      </c>
      <c r="BC671" s="26"/>
      <c r="BD671" s="26"/>
      <c r="BE671" s="26"/>
      <c r="BF671" s="26"/>
      <c r="BG671" s="26"/>
      <c r="BH671" s="26"/>
      <c r="BI671" s="26"/>
      <c r="BJ671" s="26"/>
      <c r="BK671" s="26"/>
      <c r="BL671" s="26"/>
      <c r="BM671" s="26"/>
      <c r="BN671" s="26"/>
      <c r="BO671" s="26"/>
      <c r="BP671" s="16" t="n">
        <v>45625</v>
      </c>
      <c r="BQ671" s="28" t="str">
        <f>HYPERLINK("https://organic.ams.usda.gov/Integrity/Certificate.aspx?cid=21&amp;nopid=1780867858")</f>
        <v>https://organic.ams.usda.gov/Integrity/Certificate.aspx?cid=21&amp;nopid=1780867858</v>
      </c>
    </row>
    <row r="672">
      <c r="A672" t="s">
        <v>3</v>
      </c>
      <c r="B672" s="6" t="s">
        <v>13</v>
      </c>
      <c r="C672" s="6" t="s">
        <v>79</v>
      </c>
      <c r="D672" s="6" t="s">
        <v>144</v>
      </c>
      <c r="E672" s="10" t="s">
        <v>870</v>
      </c>
      <c r="F672" s="6" t="s">
        <v>3121</v>
      </c>
      <c r="G672" s="6" t="s">
        <v>104</v>
      </c>
      <c r="H672" s="6" t="s">
        <v>5506</v>
      </c>
      <c r="I672" s="6" t="s">
        <v>7364</v>
      </c>
      <c r="J672" s="6" t="s">
        <v>8643</v>
      </c>
      <c r="K672" s="6" t="s">
        <v>9714</v>
      </c>
      <c r="L672" s="16" t="n">
        <v>41138</v>
      </c>
      <c r="M672" s="16" t="n">
        <v>45748</v>
      </c>
      <c r="N672" s="6" t="s">
        <v>104</v>
      </c>
      <c r="O672" s="21" t="s">
        <v>104</v>
      </c>
      <c r="P672" s="6" t="s">
        <v>104</v>
      </c>
      <c r="Q672" s="6" t="s">
        <v>104</v>
      </c>
      <c r="R672" s="6" t="s">
        <v>104</v>
      </c>
      <c r="S672" s="6" t="s">
        <v>104</v>
      </c>
      <c r="T672" s="21" t="s">
        <v>104</v>
      </c>
      <c r="U672" s="6" t="s">
        <v>104</v>
      </c>
      <c r="V672" s="6" t="s">
        <v>104</v>
      </c>
      <c r="W672" s="6" t="s">
        <v>104</v>
      </c>
      <c r="X672" s="6" t="s">
        <v>104</v>
      </c>
      <c r="Y672" s="21" t="s">
        <v>104</v>
      </c>
      <c r="Z672" s="6" t="s">
        <v>104</v>
      </c>
      <c r="AA672" s="6" t="s">
        <v>104</v>
      </c>
      <c r="AB672" s="6" t="s">
        <v>104</v>
      </c>
      <c r="AC672" s="6" t="s">
        <v>9714</v>
      </c>
      <c r="AD672" s="16" t="n">
        <v>41138</v>
      </c>
      <c r="AE672" s="6" t="s">
        <v>11121</v>
      </c>
      <c r="AF672" s="6" t="s">
        <v>104</v>
      </c>
      <c r="AG672" s="6" t="s">
        <v>104</v>
      </c>
      <c r="AH672" s="6" t="s">
        <v>104</v>
      </c>
      <c r="AI672" s="6" t="s">
        <v>104</v>
      </c>
      <c r="AJ672" s="6" t="s">
        <v>104</v>
      </c>
      <c r="AK672" s="6" t="s">
        <v>104</v>
      </c>
      <c r="AL672" s="6" t="s">
        <v>104</v>
      </c>
      <c r="AM672" s="6" t="s">
        <v>104</v>
      </c>
      <c r="AN672" s="6" t="s">
        <v>104</v>
      </c>
      <c r="AO672" s="6" t="s">
        <v>104</v>
      </c>
      <c r="AP672" s="6" t="s">
        <v>19120</v>
      </c>
      <c r="AQ672" s="6" t="s">
        <v>104</v>
      </c>
      <c r="AR672" s="6" t="s">
        <v>15490</v>
      </c>
      <c r="AS672" s="6" t="s">
        <v>16730</v>
      </c>
      <c r="AT672" s="6" t="s">
        <v>16931</v>
      </c>
      <c r="AU672" s="6" t="s">
        <v>17752</v>
      </c>
      <c r="AV672" s="6" t="s">
        <v>18491</v>
      </c>
      <c r="AW672" s="6" t="s">
        <v>18739</v>
      </c>
      <c r="AX672" s="6" t="s">
        <v>20631</v>
      </c>
      <c r="AY672" s="6" t="s">
        <v>22405</v>
      </c>
      <c r="AZ672" s="6" t="s">
        <v>23855</v>
      </c>
      <c r="BA672" s="6" t="s">
        <v>104</v>
      </c>
      <c r="BB672" s="6" t="s">
        <v>104</v>
      </c>
      <c r="BC672" s="26"/>
      <c r="BD672" s="26"/>
      <c r="BE672" s="26"/>
      <c r="BF672" s="26"/>
      <c r="BG672" s="26"/>
      <c r="BH672" s="26"/>
      <c r="BI672" s="26"/>
      <c r="BJ672" s="26"/>
      <c r="BK672" s="26"/>
      <c r="BL672" s="26"/>
      <c r="BM672" s="26"/>
      <c r="BN672" s="26"/>
      <c r="BO672" s="26"/>
      <c r="BP672" s="16" t="n">
        <v>45520</v>
      </c>
      <c r="BQ672" s="28" t="str">
        <f>HYPERLINK("https://organic.ams.usda.gov/Integrity/Certificate.aspx?cid=62&amp;nopid=8150000091")</f>
        <v>https://organic.ams.usda.gov/Integrity/Certificate.aspx?cid=62&amp;nopid=8150000091</v>
      </c>
    </row>
    <row r="673">
      <c r="A673" t="s">
        <v>3</v>
      </c>
      <c r="B673" s="6" t="s">
        <v>26</v>
      </c>
      <c r="C673" s="6" t="s">
        <v>92</v>
      </c>
      <c r="D673" s="6" t="s">
        <v>157</v>
      </c>
      <c r="E673" s="10" t="s">
        <v>871</v>
      </c>
      <c r="F673" s="6" t="s">
        <v>3122</v>
      </c>
      <c r="G673" s="6" t="s">
        <v>4740</v>
      </c>
      <c r="H673" s="6" t="s">
        <v>5507</v>
      </c>
      <c r="I673" s="6" t="s">
        <v>7056</v>
      </c>
      <c r="J673" s="6" t="s">
        <v>8644</v>
      </c>
      <c r="K673" s="6" t="s">
        <v>9714</v>
      </c>
      <c r="L673" s="16" t="n">
        <v>37378</v>
      </c>
      <c r="M673" s="16" t="n">
        <v>45731</v>
      </c>
      <c r="N673" s="6" t="s">
        <v>9714</v>
      </c>
      <c r="O673" s="16" t="n">
        <v>37378</v>
      </c>
      <c r="P673" s="6" t="s">
        <v>9905</v>
      </c>
      <c r="Q673" s="6" t="s">
        <v>104</v>
      </c>
      <c r="R673" s="6" t="s">
        <v>104</v>
      </c>
      <c r="S673" s="6" t="s">
        <v>9714</v>
      </c>
      <c r="T673" s="16" t="n">
        <v>37378</v>
      </c>
      <c r="U673" s="6" t="s">
        <v>10481</v>
      </c>
      <c r="V673" s="6" t="s">
        <v>104</v>
      </c>
      <c r="W673" s="6" t="s">
        <v>104</v>
      </c>
      <c r="X673" s="6" t="s">
        <v>104</v>
      </c>
      <c r="Y673" s="21" t="s">
        <v>104</v>
      </c>
      <c r="Z673" s="6" t="s">
        <v>104</v>
      </c>
      <c r="AA673" s="6" t="s">
        <v>104</v>
      </c>
      <c r="AB673" s="6" t="s">
        <v>104</v>
      </c>
      <c r="AC673" s="6" t="s">
        <v>9714</v>
      </c>
      <c r="AD673" s="16" t="n">
        <v>37378</v>
      </c>
      <c r="AE673" s="6" t="s">
        <v>11122</v>
      </c>
      <c r="AF673" s="6" t="s">
        <v>104</v>
      </c>
      <c r="AG673" s="6" t="s">
        <v>104</v>
      </c>
      <c r="AH673" s="6" t="s">
        <v>13763</v>
      </c>
      <c r="AI673" s="6" t="s">
        <v>104</v>
      </c>
      <c r="AJ673" s="6" t="s">
        <v>8722</v>
      </c>
      <c r="AK673" s="6" t="s">
        <v>15697</v>
      </c>
      <c r="AL673" s="6" t="s">
        <v>16931</v>
      </c>
      <c r="AM673" s="6" t="s">
        <v>17430</v>
      </c>
      <c r="AN673" s="6" t="s">
        <v>5759</v>
      </c>
      <c r="AO673" s="6" t="s">
        <v>18711</v>
      </c>
      <c r="AP673" s="6" t="s">
        <v>104</v>
      </c>
      <c r="AQ673" s="6" t="s">
        <v>104</v>
      </c>
      <c r="AR673" s="6" t="s">
        <v>104</v>
      </c>
      <c r="AS673" s="6" t="s">
        <v>104</v>
      </c>
      <c r="AT673" s="6" t="s">
        <v>104</v>
      </c>
      <c r="AU673" s="6" t="s">
        <v>104</v>
      </c>
      <c r="AV673" s="6" t="s">
        <v>104</v>
      </c>
      <c r="AW673" s="6" t="s">
        <v>104</v>
      </c>
      <c r="AX673" s="6" t="s">
        <v>20632</v>
      </c>
      <c r="AY673" s="6" t="s">
        <v>104</v>
      </c>
      <c r="AZ673" s="6" t="s">
        <v>23856</v>
      </c>
      <c r="BA673" s="6" t="s">
        <v>104</v>
      </c>
      <c r="BB673" s="24" t="n">
        <v>1809</v>
      </c>
      <c r="BC673" s="26"/>
      <c r="BD673" s="26"/>
      <c r="BE673" s="26"/>
      <c r="BF673" s="26"/>
      <c r="BG673" s="26"/>
      <c r="BH673" s="26"/>
      <c r="BI673" s="26"/>
      <c r="BJ673" s="26"/>
      <c r="BK673" s="26"/>
      <c r="BL673" s="26"/>
      <c r="BM673" s="26"/>
      <c r="BN673" s="26"/>
      <c r="BO673" s="26"/>
      <c r="BP673" s="16" t="n">
        <v>45701</v>
      </c>
      <c r="BQ673" s="28" t="str">
        <f>HYPERLINK("https://organic.ams.usda.gov/Integrity/Certificate.aspx?cid=81&amp;nopid=4210019106")</f>
        <v>https://organic.ams.usda.gov/Integrity/Certificate.aspx?cid=81&amp;nopid=4210019106</v>
      </c>
    </row>
    <row r="674">
      <c r="A674" t="s">
        <v>3</v>
      </c>
      <c r="B674" s="6" t="s">
        <v>34</v>
      </c>
      <c r="C674" s="6" t="s">
        <v>100</v>
      </c>
      <c r="D674" s="6" t="s">
        <v>165</v>
      </c>
      <c r="E674" s="10" t="s">
        <v>872</v>
      </c>
      <c r="F674" s="6" t="s">
        <v>3123</v>
      </c>
      <c r="G674" s="6" t="s">
        <v>104</v>
      </c>
      <c r="H674" s="6" t="s">
        <v>5508</v>
      </c>
      <c r="I674" s="6" t="s">
        <v>7365</v>
      </c>
      <c r="J674" s="6" t="s">
        <v>8645</v>
      </c>
      <c r="K674" s="6" t="s">
        <v>9714</v>
      </c>
      <c r="L674" s="16" t="n">
        <v>42671</v>
      </c>
      <c r="M674" s="16" t="n">
        <v>45766</v>
      </c>
      <c r="N674" s="6" t="s">
        <v>9714</v>
      </c>
      <c r="O674" s="16" t="n">
        <v>41415</v>
      </c>
      <c r="P674" s="6" t="s">
        <v>9906</v>
      </c>
      <c r="Q674" s="6" t="s">
        <v>104</v>
      </c>
      <c r="R674" s="6" t="s">
        <v>10347</v>
      </c>
      <c r="S674" s="6" t="s">
        <v>104</v>
      </c>
      <c r="T674" s="21" t="s">
        <v>104</v>
      </c>
      <c r="U674" s="6" t="s">
        <v>104</v>
      </c>
      <c r="V674" s="6" t="s">
        <v>104</v>
      </c>
      <c r="W674" s="6" t="s">
        <v>104</v>
      </c>
      <c r="X674" s="6" t="s">
        <v>104</v>
      </c>
      <c r="Y674" s="21" t="s">
        <v>104</v>
      </c>
      <c r="Z674" s="6" t="s">
        <v>104</v>
      </c>
      <c r="AA674" s="6" t="s">
        <v>104</v>
      </c>
      <c r="AB674" s="6" t="s">
        <v>104</v>
      </c>
      <c r="AC674" s="6" t="s">
        <v>9714</v>
      </c>
      <c r="AD674" s="16" t="n">
        <v>42671</v>
      </c>
      <c r="AE674" s="6" t="s">
        <v>11123</v>
      </c>
      <c r="AF674" s="6" t="s">
        <v>104</v>
      </c>
      <c r="AG674" s="6" t="s">
        <v>12700</v>
      </c>
      <c r="AH674" s="6" t="s">
        <v>13764</v>
      </c>
      <c r="AI674" s="6" t="s">
        <v>104</v>
      </c>
      <c r="AJ674" s="6" t="s">
        <v>7460</v>
      </c>
      <c r="AK674" s="6" t="s">
        <v>16684</v>
      </c>
      <c r="AL674" s="6" t="s">
        <v>16931</v>
      </c>
      <c r="AM674" s="6" t="s">
        <v>17431</v>
      </c>
      <c r="AN674" s="6" t="s">
        <v>18524</v>
      </c>
      <c r="AO674" s="6" t="s">
        <v>18712</v>
      </c>
      <c r="AP674" s="6" t="s">
        <v>19121</v>
      </c>
      <c r="AQ674" s="6" t="s">
        <v>104</v>
      </c>
      <c r="AR674" s="6" t="s">
        <v>7460</v>
      </c>
      <c r="AS674" s="6" t="s">
        <v>16684</v>
      </c>
      <c r="AT674" s="6" t="s">
        <v>16931</v>
      </c>
      <c r="AU674" s="6" t="s">
        <v>17431</v>
      </c>
      <c r="AV674" s="6" t="s">
        <v>104</v>
      </c>
      <c r="AW674" s="6" t="s">
        <v>104</v>
      </c>
      <c r="AX674" s="6" t="s">
        <v>20633</v>
      </c>
      <c r="AY674" s="6" t="s">
        <v>22406</v>
      </c>
      <c r="AZ674" s="6" t="s">
        <v>104</v>
      </c>
      <c r="BA674" s="6" t="s">
        <v>104</v>
      </c>
      <c r="BB674" s="24" t="n">
        <v>3248</v>
      </c>
      <c r="BC674" s="26"/>
      <c r="BD674" s="26"/>
      <c r="BE674" s="26"/>
      <c r="BF674" s="26"/>
      <c r="BG674" s="26"/>
      <c r="BH674" s="26"/>
      <c r="BI674" s="26"/>
      <c r="BJ674" s="26"/>
      <c r="BK674" s="26"/>
      <c r="BL674" s="26"/>
      <c r="BM674" s="26"/>
      <c r="BN674" s="26"/>
      <c r="BO674" s="26"/>
      <c r="BP674" s="16" t="n">
        <v>45737</v>
      </c>
      <c r="BQ674" s="28" t="str">
        <f>HYPERLINK("https://organic.ams.usda.gov/Integrity/Certificate.aspx?cid=71&amp;nopid=5520164034")</f>
        <v>https://organic.ams.usda.gov/Integrity/Certificate.aspx?cid=71&amp;nopid=5520164034</v>
      </c>
    </row>
    <row r="675">
      <c r="A675" t="s">
        <v>3</v>
      </c>
      <c r="B675" s="6" t="s">
        <v>30</v>
      </c>
      <c r="C675" s="6" t="s">
        <v>96</v>
      </c>
      <c r="D675" s="6" t="s">
        <v>161</v>
      </c>
      <c r="E675" s="10" t="s">
        <v>873</v>
      </c>
      <c r="F675" s="6" t="s">
        <v>3124</v>
      </c>
      <c r="G675" s="6" t="s">
        <v>104</v>
      </c>
      <c r="H675" s="6" t="s">
        <v>5509</v>
      </c>
      <c r="I675" s="6" t="s">
        <v>7366</v>
      </c>
      <c r="J675" s="6" t="s">
        <v>8646</v>
      </c>
      <c r="K675" s="6" t="s">
        <v>9714</v>
      </c>
      <c r="L675" s="16" t="n">
        <v>45433</v>
      </c>
      <c r="M675" s="16" t="n">
        <v>45742</v>
      </c>
      <c r="N675" s="6" t="s">
        <v>104</v>
      </c>
      <c r="O675" s="21" t="s">
        <v>104</v>
      </c>
      <c r="P675" s="6" t="s">
        <v>104</v>
      </c>
      <c r="Q675" s="6" t="s">
        <v>104</v>
      </c>
      <c r="R675" s="6" t="s">
        <v>104</v>
      </c>
      <c r="S675" s="6" t="s">
        <v>104</v>
      </c>
      <c r="T675" s="21" t="s">
        <v>104</v>
      </c>
      <c r="U675" s="6" t="s">
        <v>104</v>
      </c>
      <c r="V675" s="6" t="s">
        <v>104</v>
      </c>
      <c r="W675" s="6" t="s">
        <v>104</v>
      </c>
      <c r="X675" s="6" t="s">
        <v>104</v>
      </c>
      <c r="Y675" s="21" t="s">
        <v>104</v>
      </c>
      <c r="Z675" s="6" t="s">
        <v>104</v>
      </c>
      <c r="AA675" s="6" t="s">
        <v>104</v>
      </c>
      <c r="AB675" s="6" t="s">
        <v>104</v>
      </c>
      <c r="AC675" s="6" t="s">
        <v>9714</v>
      </c>
      <c r="AD675" s="16" t="n">
        <v>45433</v>
      </c>
      <c r="AE675" s="6" t="s">
        <v>11124</v>
      </c>
      <c r="AF675" s="6" t="s">
        <v>104</v>
      </c>
      <c r="AG675" s="6" t="s">
        <v>12701</v>
      </c>
      <c r="AH675" s="6" t="s">
        <v>13765</v>
      </c>
      <c r="AI675" s="6" t="s">
        <v>104</v>
      </c>
      <c r="AJ675" s="6" t="s">
        <v>15800</v>
      </c>
      <c r="AK675" s="6" t="s">
        <v>16796</v>
      </c>
      <c r="AL675" s="6" t="s">
        <v>16933</v>
      </c>
      <c r="AM675" s="6" t="s">
        <v>17432</v>
      </c>
      <c r="AN675" s="6" t="s">
        <v>104</v>
      </c>
      <c r="AO675" s="6" t="s">
        <v>104</v>
      </c>
      <c r="AP675" s="6" t="s">
        <v>13765</v>
      </c>
      <c r="AQ675" s="6" t="s">
        <v>104</v>
      </c>
      <c r="AR675" s="6" t="s">
        <v>15800</v>
      </c>
      <c r="AS675" s="6" t="s">
        <v>16796</v>
      </c>
      <c r="AT675" s="6" t="s">
        <v>16933</v>
      </c>
      <c r="AU675" s="6" t="s">
        <v>17432</v>
      </c>
      <c r="AV675" s="6" t="s">
        <v>104</v>
      </c>
      <c r="AW675" s="6" t="s">
        <v>104</v>
      </c>
      <c r="AX675" s="6" t="s">
        <v>20634</v>
      </c>
      <c r="AY675" s="6" t="s">
        <v>22407</v>
      </c>
      <c r="AZ675" s="6" t="s">
        <v>104</v>
      </c>
      <c r="BA675" s="6" t="s">
        <v>104</v>
      </c>
      <c r="BB675" s="6" t="s">
        <v>104</v>
      </c>
      <c r="BC675" s="26"/>
      <c r="BD675" s="26"/>
      <c r="BE675" s="26"/>
      <c r="BF675" s="26"/>
      <c r="BG675" s="26"/>
      <c r="BH675" s="26"/>
      <c r="BI675" s="26"/>
      <c r="BJ675" s="26"/>
      <c r="BK675" s="26"/>
      <c r="BL675" s="26"/>
      <c r="BM675" s="26"/>
      <c r="BN675" s="26"/>
      <c r="BO675" s="26"/>
      <c r="BP675" s="16" t="n">
        <v>45433</v>
      </c>
      <c r="BQ675" s="28" t="str">
        <f>HYPERLINK("https://organic.ams.usda.gov/Integrity/Certificate.aspx?cid=14&amp;nopid=6250042172")</f>
        <v>https://organic.ams.usda.gov/Integrity/Certificate.aspx?cid=14&amp;nopid=6250042172</v>
      </c>
    </row>
    <row r="676">
      <c r="A676" t="s">
        <v>3</v>
      </c>
      <c r="B676" s="6" t="s">
        <v>20</v>
      </c>
      <c r="C676" s="6" t="s">
        <v>86</v>
      </c>
      <c r="D676" s="6" t="s">
        <v>151</v>
      </c>
      <c r="E676" s="10" t="s">
        <v>874</v>
      </c>
      <c r="F676" s="6" t="s">
        <v>3125</v>
      </c>
      <c r="G676" s="6" t="s">
        <v>104</v>
      </c>
      <c r="H676" s="6" t="s">
        <v>5510</v>
      </c>
      <c r="I676" s="6" t="s">
        <v>7367</v>
      </c>
      <c r="J676" s="6" t="s">
        <v>8647</v>
      </c>
      <c r="K676" s="6" t="s">
        <v>9714</v>
      </c>
      <c r="L676" s="16" t="n">
        <v>43774</v>
      </c>
      <c r="M676" s="16" t="n">
        <v>45961</v>
      </c>
      <c r="N676" s="6" t="s">
        <v>104</v>
      </c>
      <c r="O676" s="21" t="s">
        <v>104</v>
      </c>
      <c r="P676" s="6" t="s">
        <v>104</v>
      </c>
      <c r="Q676" s="6" t="s">
        <v>104</v>
      </c>
      <c r="R676" s="6" t="s">
        <v>104</v>
      </c>
      <c r="S676" s="6" t="s">
        <v>104</v>
      </c>
      <c r="T676" s="21" t="s">
        <v>104</v>
      </c>
      <c r="U676" s="6" t="s">
        <v>104</v>
      </c>
      <c r="V676" s="6" t="s">
        <v>104</v>
      </c>
      <c r="W676" s="6" t="s">
        <v>104</v>
      </c>
      <c r="X676" s="6" t="s">
        <v>104</v>
      </c>
      <c r="Y676" s="21" t="s">
        <v>104</v>
      </c>
      <c r="Z676" s="6" t="s">
        <v>104</v>
      </c>
      <c r="AA676" s="6" t="s">
        <v>104</v>
      </c>
      <c r="AB676" s="6" t="s">
        <v>104</v>
      </c>
      <c r="AC676" s="6" t="s">
        <v>9714</v>
      </c>
      <c r="AD676" s="16" t="n">
        <v>43774</v>
      </c>
      <c r="AE676" s="6" t="s">
        <v>11125</v>
      </c>
      <c r="AF676" s="6" t="s">
        <v>104</v>
      </c>
      <c r="AG676" s="6" t="s">
        <v>12702</v>
      </c>
      <c r="AH676" s="6" t="s">
        <v>13766</v>
      </c>
      <c r="AI676" s="6" t="s">
        <v>104</v>
      </c>
      <c r="AJ676" s="6" t="s">
        <v>15801</v>
      </c>
      <c r="AK676" s="6" t="s">
        <v>15801</v>
      </c>
      <c r="AL676" s="6" t="s">
        <v>16939</v>
      </c>
      <c r="AM676" s="6" t="s">
        <v>104</v>
      </c>
      <c r="AN676" s="6" t="s">
        <v>104</v>
      </c>
      <c r="AO676" s="6" t="s">
        <v>104</v>
      </c>
      <c r="AP676" s="6" t="s">
        <v>104</v>
      </c>
      <c r="AQ676" s="6" t="s">
        <v>104</v>
      </c>
      <c r="AR676" s="6" t="s">
        <v>104</v>
      </c>
      <c r="AS676" s="6" t="s">
        <v>104</v>
      </c>
      <c r="AT676" s="6" t="s">
        <v>104</v>
      </c>
      <c r="AU676" s="6" t="s">
        <v>104</v>
      </c>
      <c r="AV676" s="6" t="s">
        <v>104</v>
      </c>
      <c r="AW676" s="6" t="s">
        <v>104</v>
      </c>
      <c r="AX676" s="6" t="s">
        <v>20635</v>
      </c>
      <c r="AY676" s="6" t="s">
        <v>22408</v>
      </c>
      <c r="AZ676" s="6" t="s">
        <v>104</v>
      </c>
      <c r="BA676" s="6" t="s">
        <v>24361</v>
      </c>
      <c r="BB676" s="6" t="s">
        <v>104</v>
      </c>
      <c r="BC676" s="26"/>
      <c r="BD676" s="26"/>
      <c r="BE676" s="26"/>
      <c r="BF676" s="26"/>
      <c r="BG676" s="26"/>
      <c r="BH676" s="26"/>
      <c r="BI676" s="26"/>
      <c r="BJ676" s="26"/>
      <c r="BK676" s="26"/>
      <c r="BL676" s="26"/>
      <c r="BM676" s="26"/>
      <c r="BN676" s="26"/>
      <c r="BO676" s="26"/>
      <c r="BP676" s="16" t="n">
        <v>45602</v>
      </c>
      <c r="BQ676" s="28" t="str">
        <f>HYPERLINK("https://organic.ams.usda.gov/Integrity/Certificate.aspx?cid=17&amp;nopid=4087184095")</f>
        <v>https://organic.ams.usda.gov/Integrity/Certificate.aspx?cid=17&amp;nopid=4087184095</v>
      </c>
    </row>
    <row r="677">
      <c r="A677" t="s">
        <v>3</v>
      </c>
      <c r="B677" s="6" t="s">
        <v>29</v>
      </c>
      <c r="C677" s="6" t="s">
        <v>95</v>
      </c>
      <c r="D677" s="6" t="s">
        <v>160</v>
      </c>
      <c r="E677" s="10" t="s">
        <v>875</v>
      </c>
      <c r="F677" s="6" t="s">
        <v>3126</v>
      </c>
      <c r="G677" s="6" t="s">
        <v>104</v>
      </c>
      <c r="H677" s="6" t="s">
        <v>5511</v>
      </c>
      <c r="I677" s="6" t="s">
        <v>104</v>
      </c>
      <c r="J677" s="6" t="s">
        <v>8648</v>
      </c>
      <c r="K677" s="6" t="s">
        <v>9714</v>
      </c>
      <c r="L677" s="16" t="n">
        <v>45572</v>
      </c>
      <c r="M677" s="16" t="n">
        <v>46054</v>
      </c>
      <c r="N677" s="6" t="s">
        <v>104</v>
      </c>
      <c r="O677" s="21" t="s">
        <v>104</v>
      </c>
      <c r="P677" s="6" t="s">
        <v>104</v>
      </c>
      <c r="Q677" s="6" t="s">
        <v>104</v>
      </c>
      <c r="R677" s="6" t="s">
        <v>104</v>
      </c>
      <c r="S677" s="6" t="s">
        <v>104</v>
      </c>
      <c r="T677" s="21" t="s">
        <v>104</v>
      </c>
      <c r="U677" s="6" t="s">
        <v>104</v>
      </c>
      <c r="V677" s="6" t="s">
        <v>104</v>
      </c>
      <c r="W677" s="6" t="s">
        <v>104</v>
      </c>
      <c r="X677" s="6" t="s">
        <v>104</v>
      </c>
      <c r="Y677" s="21" t="s">
        <v>104</v>
      </c>
      <c r="Z677" s="6" t="s">
        <v>104</v>
      </c>
      <c r="AA677" s="6" t="s">
        <v>104</v>
      </c>
      <c r="AB677" s="6" t="s">
        <v>104</v>
      </c>
      <c r="AC677" s="6" t="s">
        <v>9714</v>
      </c>
      <c r="AD677" s="16" t="n">
        <v>45572</v>
      </c>
      <c r="AE677" s="6" t="s">
        <v>11126</v>
      </c>
      <c r="AF677" s="6" t="s">
        <v>104</v>
      </c>
      <c r="AG677" s="6" t="s">
        <v>104</v>
      </c>
      <c r="AH677" s="6" t="s">
        <v>13767</v>
      </c>
      <c r="AI677" s="6" t="s">
        <v>104</v>
      </c>
      <c r="AJ677" s="6" t="s">
        <v>15802</v>
      </c>
      <c r="AK677" s="6" t="s">
        <v>16370</v>
      </c>
      <c r="AL677" s="6" t="s">
        <v>16931</v>
      </c>
      <c r="AM677" s="6" t="s">
        <v>17433</v>
      </c>
      <c r="AN677" s="6" t="s">
        <v>104</v>
      </c>
      <c r="AO677" s="6" t="s">
        <v>104</v>
      </c>
      <c r="AP677" s="6" t="s">
        <v>104</v>
      </c>
      <c r="AQ677" s="6" t="s">
        <v>104</v>
      </c>
      <c r="AR677" s="6" t="s">
        <v>104</v>
      </c>
      <c r="AS677" s="6" t="s">
        <v>104</v>
      </c>
      <c r="AT677" s="6" t="s">
        <v>104</v>
      </c>
      <c r="AU677" s="6" t="s">
        <v>104</v>
      </c>
      <c r="AV677" s="6" t="s">
        <v>104</v>
      </c>
      <c r="AW677" s="6" t="s">
        <v>104</v>
      </c>
      <c r="AX677" s="6" t="s">
        <v>20636</v>
      </c>
      <c r="AY677" s="6" t="s">
        <v>22409</v>
      </c>
      <c r="AZ677" s="6" t="s">
        <v>104</v>
      </c>
      <c r="BA677" s="6" t="s">
        <v>104</v>
      </c>
      <c r="BB677" s="24" t="n">
        <v>0</v>
      </c>
      <c r="BC677" s="26"/>
      <c r="BD677" s="26"/>
      <c r="BE677" s="26"/>
      <c r="BF677" s="26"/>
      <c r="BG677" s="26" t="s">
        <v>24533</v>
      </c>
      <c r="BH677" s="26"/>
      <c r="BI677" s="26"/>
      <c r="BJ677" s="26"/>
      <c r="BK677" s="26"/>
      <c r="BL677" s="26"/>
      <c r="BM677" s="26"/>
      <c r="BN677" s="26"/>
      <c r="BO677" s="26"/>
      <c r="BP677" s="16" t="n">
        <v>45691</v>
      </c>
      <c r="BQ677" s="28" t="str">
        <f>HYPERLINK("https://organic.ams.usda.gov/Integrity/Certificate.aspx?cid=24&amp;nopid=7880292195")</f>
        <v>https://organic.ams.usda.gov/Integrity/Certificate.aspx?cid=24&amp;nopid=7880292195</v>
      </c>
    </row>
    <row r="678">
      <c r="A678" t="s">
        <v>3</v>
      </c>
      <c r="B678" s="6" t="s">
        <v>29</v>
      </c>
      <c r="C678" s="6" t="s">
        <v>95</v>
      </c>
      <c r="D678" s="6" t="s">
        <v>160</v>
      </c>
      <c r="E678" s="10" t="s">
        <v>876</v>
      </c>
      <c r="F678" s="6" t="s">
        <v>3127</v>
      </c>
      <c r="G678" s="6" t="s">
        <v>104</v>
      </c>
      <c r="H678" s="6" t="s">
        <v>5512</v>
      </c>
      <c r="I678" s="6" t="s">
        <v>104</v>
      </c>
      <c r="J678" s="6" t="s">
        <v>8649</v>
      </c>
      <c r="K678" s="6" t="s">
        <v>9714</v>
      </c>
      <c r="L678" s="16" t="n">
        <v>41231</v>
      </c>
      <c r="M678" s="16" t="n">
        <v>45870</v>
      </c>
      <c r="N678" s="6" t="s">
        <v>104</v>
      </c>
      <c r="O678" s="21" t="s">
        <v>104</v>
      </c>
      <c r="P678" s="6" t="s">
        <v>104</v>
      </c>
      <c r="Q678" s="6" t="s">
        <v>104</v>
      </c>
      <c r="R678" s="6" t="s">
        <v>104</v>
      </c>
      <c r="S678" s="6" t="s">
        <v>104</v>
      </c>
      <c r="T678" s="21" t="s">
        <v>104</v>
      </c>
      <c r="U678" s="6" t="s">
        <v>104</v>
      </c>
      <c r="V678" s="6" t="s">
        <v>104</v>
      </c>
      <c r="W678" s="6" t="s">
        <v>104</v>
      </c>
      <c r="X678" s="6" t="s">
        <v>104</v>
      </c>
      <c r="Y678" s="21" t="s">
        <v>104</v>
      </c>
      <c r="Z678" s="6" t="s">
        <v>104</v>
      </c>
      <c r="AA678" s="6" t="s">
        <v>104</v>
      </c>
      <c r="AB678" s="6" t="s">
        <v>104</v>
      </c>
      <c r="AC678" s="6" t="s">
        <v>9714</v>
      </c>
      <c r="AD678" s="16" t="n">
        <v>41231</v>
      </c>
      <c r="AE678" s="6" t="s">
        <v>11127</v>
      </c>
      <c r="AF678" s="6" t="s">
        <v>104</v>
      </c>
      <c r="AG678" s="6" t="s">
        <v>104</v>
      </c>
      <c r="AH678" s="6" t="s">
        <v>13768</v>
      </c>
      <c r="AI678" s="6" t="s">
        <v>104</v>
      </c>
      <c r="AJ678" s="6" t="s">
        <v>15803</v>
      </c>
      <c r="AK678" s="6" t="s">
        <v>16797</v>
      </c>
      <c r="AL678" s="6" t="s">
        <v>16966</v>
      </c>
      <c r="AM678" s="6" t="s">
        <v>17434</v>
      </c>
      <c r="AN678" s="6" t="s">
        <v>104</v>
      </c>
      <c r="AO678" s="6" t="s">
        <v>104</v>
      </c>
      <c r="AP678" s="6" t="s">
        <v>104</v>
      </c>
      <c r="AQ678" s="6" t="s">
        <v>104</v>
      </c>
      <c r="AR678" s="6" t="s">
        <v>104</v>
      </c>
      <c r="AS678" s="6" t="s">
        <v>104</v>
      </c>
      <c r="AT678" s="6" t="s">
        <v>104</v>
      </c>
      <c r="AU678" s="6" t="s">
        <v>104</v>
      </c>
      <c r="AV678" s="6" t="s">
        <v>104</v>
      </c>
      <c r="AW678" s="6" t="s">
        <v>104</v>
      </c>
      <c r="AX678" s="6" t="s">
        <v>20637</v>
      </c>
      <c r="AY678" s="6" t="s">
        <v>22410</v>
      </c>
      <c r="AZ678" s="6" t="s">
        <v>104</v>
      </c>
      <c r="BA678" s="6" t="s">
        <v>104</v>
      </c>
      <c r="BB678" s="24" t="n">
        <v>0</v>
      </c>
      <c r="BC678" s="26"/>
      <c r="BD678" s="26"/>
      <c r="BE678" s="26"/>
      <c r="BF678" s="26"/>
      <c r="BG678" s="26"/>
      <c r="BH678" s="26"/>
      <c r="BI678" s="26"/>
      <c r="BJ678" s="26"/>
      <c r="BK678" s="26"/>
      <c r="BL678" s="26"/>
      <c r="BM678" s="26"/>
      <c r="BN678" s="26"/>
      <c r="BO678" s="26"/>
      <c r="BP678" s="16" t="n">
        <v>45712</v>
      </c>
      <c r="BQ678" s="28" t="str">
        <f>HYPERLINK("https://organic.ams.usda.gov/Integrity/Certificate.aspx?cid=24&amp;nopid=7881904000")</f>
        <v>https://organic.ams.usda.gov/Integrity/Certificate.aspx?cid=24&amp;nopid=7881904000</v>
      </c>
    </row>
    <row r="679">
      <c r="A679" t="s">
        <v>3</v>
      </c>
      <c r="B679" s="6" t="s">
        <v>21</v>
      </c>
      <c r="C679" s="6" t="s">
        <v>87</v>
      </c>
      <c r="D679" s="6" t="s">
        <v>152</v>
      </c>
      <c r="E679" s="10" t="s">
        <v>877</v>
      </c>
      <c r="F679" s="6" t="s">
        <v>3128</v>
      </c>
      <c r="G679" s="6" t="s">
        <v>104</v>
      </c>
      <c r="H679" s="6" t="s">
        <v>5513</v>
      </c>
      <c r="I679" s="6" t="s">
        <v>7194</v>
      </c>
      <c r="J679" s="6" t="s">
        <v>8650</v>
      </c>
      <c r="K679" s="6" t="s">
        <v>9714</v>
      </c>
      <c r="L679" s="16" t="n">
        <v>39864</v>
      </c>
      <c r="M679" s="16" t="n">
        <v>46023</v>
      </c>
      <c r="N679" s="6" t="s">
        <v>104</v>
      </c>
      <c r="O679" s="21" t="s">
        <v>104</v>
      </c>
      <c r="P679" s="6" t="s">
        <v>104</v>
      </c>
      <c r="Q679" s="6" t="s">
        <v>104</v>
      </c>
      <c r="R679" s="6" t="s">
        <v>104</v>
      </c>
      <c r="S679" s="6" t="s">
        <v>104</v>
      </c>
      <c r="T679" s="21" t="s">
        <v>104</v>
      </c>
      <c r="U679" s="6" t="s">
        <v>104</v>
      </c>
      <c r="V679" s="6" t="s">
        <v>104</v>
      </c>
      <c r="W679" s="6" t="s">
        <v>104</v>
      </c>
      <c r="X679" s="6" t="s">
        <v>104</v>
      </c>
      <c r="Y679" s="21" t="s">
        <v>104</v>
      </c>
      <c r="Z679" s="6" t="s">
        <v>104</v>
      </c>
      <c r="AA679" s="6" t="s">
        <v>104</v>
      </c>
      <c r="AB679" s="6" t="s">
        <v>104</v>
      </c>
      <c r="AC679" s="6" t="s">
        <v>9714</v>
      </c>
      <c r="AD679" s="16" t="n">
        <v>39864</v>
      </c>
      <c r="AE679" s="6" t="s">
        <v>11128</v>
      </c>
      <c r="AF679" s="6" t="s">
        <v>104</v>
      </c>
      <c r="AG679" s="6" t="s">
        <v>104</v>
      </c>
      <c r="AH679" s="6" t="s">
        <v>13769</v>
      </c>
      <c r="AI679" s="6" t="s">
        <v>104</v>
      </c>
      <c r="AJ679" s="6" t="s">
        <v>15804</v>
      </c>
      <c r="AK679" s="6" t="s">
        <v>16687</v>
      </c>
      <c r="AL679" s="6" t="s">
        <v>16931</v>
      </c>
      <c r="AM679" s="6" t="s">
        <v>17435</v>
      </c>
      <c r="AN679" s="6" t="s">
        <v>18481</v>
      </c>
      <c r="AO679" s="6" t="s">
        <v>18592</v>
      </c>
      <c r="AP679" s="6" t="s">
        <v>19122</v>
      </c>
      <c r="AQ679" s="6" t="s">
        <v>104</v>
      </c>
      <c r="AR679" s="6" t="s">
        <v>15804</v>
      </c>
      <c r="AS679" s="6" t="s">
        <v>16687</v>
      </c>
      <c r="AT679" s="6" t="s">
        <v>16931</v>
      </c>
      <c r="AU679" s="6" t="s">
        <v>17435</v>
      </c>
      <c r="AV679" s="6" t="s">
        <v>104</v>
      </c>
      <c r="AW679" s="6" t="s">
        <v>104</v>
      </c>
      <c r="AX679" s="6" t="s">
        <v>20638</v>
      </c>
      <c r="AY679" s="6" t="s">
        <v>22411</v>
      </c>
      <c r="AZ679" s="6" t="s">
        <v>23857</v>
      </c>
      <c r="BA679" s="6" t="s">
        <v>24362</v>
      </c>
      <c r="BB679" s="6" t="s">
        <v>104</v>
      </c>
      <c r="BC679" s="26"/>
      <c r="BD679" s="26"/>
      <c r="BE679" s="26" t="s">
        <v>24533</v>
      </c>
      <c r="BF679" s="26"/>
      <c r="BG679" s="26"/>
      <c r="BH679" s="26"/>
      <c r="BI679" s="26"/>
      <c r="BJ679" s="26"/>
      <c r="BK679" s="26"/>
      <c r="BL679" s="26"/>
      <c r="BM679" s="26"/>
      <c r="BN679" s="26"/>
      <c r="BO679" s="26"/>
      <c r="BP679" s="16" t="n">
        <v>45733</v>
      </c>
      <c r="BQ679" s="28" t="str">
        <f>HYPERLINK("https://organic.ams.usda.gov/Integrity/Certificate.aspx?cid=15&amp;nopid=5561002474")</f>
        <v>https://organic.ams.usda.gov/Integrity/Certificate.aspx?cid=15&amp;nopid=5561002474</v>
      </c>
    </row>
    <row r="680">
      <c r="A680" t="s">
        <v>3</v>
      </c>
      <c r="B680" s="6" t="s">
        <v>7</v>
      </c>
      <c r="C680" s="6" t="s">
        <v>73</v>
      </c>
      <c r="D680" s="6" t="s">
        <v>138</v>
      </c>
      <c r="E680" s="10" t="s">
        <v>878</v>
      </c>
      <c r="F680" s="6" t="s">
        <v>3129</v>
      </c>
      <c r="G680" s="6" t="s">
        <v>4741</v>
      </c>
      <c r="H680" s="6" t="s">
        <v>5514</v>
      </c>
      <c r="I680" s="6" t="s">
        <v>7368</v>
      </c>
      <c r="J680" s="6" t="s">
        <v>8651</v>
      </c>
      <c r="K680" s="6" t="s">
        <v>9714</v>
      </c>
      <c r="L680" s="16" t="n">
        <v>37561</v>
      </c>
      <c r="M680" s="16" t="n">
        <v>45717</v>
      </c>
      <c r="N680" s="6" t="s">
        <v>9714</v>
      </c>
      <c r="O680" s="16" t="n">
        <v>37562</v>
      </c>
      <c r="P680" s="6" t="s">
        <v>9907</v>
      </c>
      <c r="Q680" s="6" t="s">
        <v>104</v>
      </c>
      <c r="R680" s="6" t="s">
        <v>104</v>
      </c>
      <c r="S680" s="6" t="s">
        <v>104</v>
      </c>
      <c r="T680" s="21" t="s">
        <v>104</v>
      </c>
      <c r="U680" s="6" t="s">
        <v>104</v>
      </c>
      <c r="V680" s="6" t="s">
        <v>104</v>
      </c>
      <c r="W680" s="6" t="s">
        <v>104</v>
      </c>
      <c r="X680" s="6" t="s">
        <v>104</v>
      </c>
      <c r="Y680" s="21" t="s">
        <v>104</v>
      </c>
      <c r="Z680" s="6" t="s">
        <v>104</v>
      </c>
      <c r="AA680" s="6" t="s">
        <v>104</v>
      </c>
      <c r="AB680" s="6" t="s">
        <v>104</v>
      </c>
      <c r="AC680" s="6" t="s">
        <v>104</v>
      </c>
      <c r="AD680" s="21" t="s">
        <v>104</v>
      </c>
      <c r="AE680" s="6" t="s">
        <v>104</v>
      </c>
      <c r="AF680" s="6" t="s">
        <v>104</v>
      </c>
      <c r="AG680" s="6" t="s">
        <v>104</v>
      </c>
      <c r="AH680" s="6" t="s">
        <v>13770</v>
      </c>
      <c r="AI680" s="6" t="s">
        <v>104</v>
      </c>
      <c r="AJ680" s="6" t="s">
        <v>15805</v>
      </c>
      <c r="AK680" s="6" t="s">
        <v>16678</v>
      </c>
      <c r="AL680" s="6" t="s">
        <v>16931</v>
      </c>
      <c r="AM680" s="6" t="s">
        <v>17436</v>
      </c>
      <c r="AN680" s="6" t="s">
        <v>18512</v>
      </c>
      <c r="AO680" s="6" t="s">
        <v>18713</v>
      </c>
      <c r="AP680" s="6" t="s">
        <v>19045</v>
      </c>
      <c r="AQ680" s="6" t="s">
        <v>104</v>
      </c>
      <c r="AR680" s="6" t="s">
        <v>15805</v>
      </c>
      <c r="AS680" s="6" t="s">
        <v>16678</v>
      </c>
      <c r="AT680" s="6" t="s">
        <v>16931</v>
      </c>
      <c r="AU680" s="6" t="s">
        <v>17436</v>
      </c>
      <c r="AV680" s="6" t="s">
        <v>104</v>
      </c>
      <c r="AW680" s="6" t="s">
        <v>104</v>
      </c>
      <c r="AX680" s="6" t="s">
        <v>20639</v>
      </c>
      <c r="AY680" s="6" t="s">
        <v>22412</v>
      </c>
      <c r="AZ680" s="6" t="s">
        <v>104</v>
      </c>
      <c r="BA680" s="6" t="s">
        <v>104</v>
      </c>
      <c r="BB680" s="24" t="n">
        <v>290</v>
      </c>
      <c r="BC680" s="26"/>
      <c r="BD680" s="26"/>
      <c r="BE680" s="26"/>
      <c r="BF680" s="26"/>
      <c r="BG680" s="26"/>
      <c r="BH680" s="26"/>
      <c r="BI680" s="26"/>
      <c r="BJ680" s="26"/>
      <c r="BK680" s="26"/>
      <c r="BL680" s="26"/>
      <c r="BM680" s="26"/>
      <c r="BN680" s="26"/>
      <c r="BO680" s="26"/>
      <c r="BP680" s="16" t="n">
        <v>45665</v>
      </c>
      <c r="BQ680" s="28" t="str">
        <f>HYPERLINK("https://organic.ams.usda.gov/Integrity/Certificate.aspx?cid=33&amp;nopid=2170032112")</f>
        <v>https://organic.ams.usda.gov/Integrity/Certificate.aspx?cid=33&amp;nopid=2170032112</v>
      </c>
    </row>
    <row r="681">
      <c r="A681" t="s">
        <v>3</v>
      </c>
      <c r="B681" s="6" t="s">
        <v>29</v>
      </c>
      <c r="C681" s="6" t="s">
        <v>95</v>
      </c>
      <c r="D681" s="6" t="s">
        <v>160</v>
      </c>
      <c r="E681" s="10" t="s">
        <v>879</v>
      </c>
      <c r="F681" s="6" t="s">
        <v>3130</v>
      </c>
      <c r="G681" s="6" t="s">
        <v>104</v>
      </c>
      <c r="H681" s="6" t="s">
        <v>5515</v>
      </c>
      <c r="I681" s="6" t="s">
        <v>104</v>
      </c>
      <c r="J681" s="6" t="s">
        <v>8652</v>
      </c>
      <c r="K681" s="6" t="s">
        <v>9714</v>
      </c>
      <c r="L681" s="16" t="n">
        <v>45226</v>
      </c>
      <c r="M681" s="16" t="n">
        <v>46054</v>
      </c>
      <c r="N681" s="6" t="s">
        <v>9714</v>
      </c>
      <c r="O681" s="16" t="n">
        <v>45226</v>
      </c>
      <c r="P681" s="6" t="s">
        <v>9908</v>
      </c>
      <c r="Q681" s="6" t="s">
        <v>104</v>
      </c>
      <c r="R681" s="6" t="s">
        <v>104</v>
      </c>
      <c r="S681" s="6" t="s">
        <v>104</v>
      </c>
      <c r="T681" s="21" t="s">
        <v>104</v>
      </c>
      <c r="U681" s="6" t="s">
        <v>104</v>
      </c>
      <c r="V681" s="6" t="s">
        <v>104</v>
      </c>
      <c r="W681" s="6" t="s">
        <v>104</v>
      </c>
      <c r="X681" s="6" t="s">
        <v>104</v>
      </c>
      <c r="Y681" s="21" t="s">
        <v>104</v>
      </c>
      <c r="Z681" s="6" t="s">
        <v>104</v>
      </c>
      <c r="AA681" s="6" t="s">
        <v>104</v>
      </c>
      <c r="AB681" s="6" t="s">
        <v>104</v>
      </c>
      <c r="AC681" s="6" t="s">
        <v>9714</v>
      </c>
      <c r="AD681" s="16" t="n">
        <v>45226</v>
      </c>
      <c r="AE681" s="6" t="s">
        <v>11129</v>
      </c>
      <c r="AF681" s="6" t="s">
        <v>104</v>
      </c>
      <c r="AG681" s="6" t="s">
        <v>104</v>
      </c>
      <c r="AH681" s="6" t="s">
        <v>13771</v>
      </c>
      <c r="AI681" s="6" t="s">
        <v>104</v>
      </c>
      <c r="AJ681" s="6" t="s">
        <v>15806</v>
      </c>
      <c r="AK681" s="6" t="s">
        <v>104</v>
      </c>
      <c r="AL681" s="6" t="s">
        <v>16967</v>
      </c>
      <c r="AM681" s="6" t="s">
        <v>17437</v>
      </c>
      <c r="AN681" s="6" t="s">
        <v>104</v>
      </c>
      <c r="AO681" s="6" t="s">
        <v>104</v>
      </c>
      <c r="AP681" s="6" t="s">
        <v>104</v>
      </c>
      <c r="AQ681" s="6" t="s">
        <v>104</v>
      </c>
      <c r="AR681" s="6" t="s">
        <v>104</v>
      </c>
      <c r="AS681" s="6" t="s">
        <v>104</v>
      </c>
      <c r="AT681" s="6" t="s">
        <v>104</v>
      </c>
      <c r="AU681" s="6" t="s">
        <v>104</v>
      </c>
      <c r="AV681" s="6" t="s">
        <v>104</v>
      </c>
      <c r="AW681" s="6" t="s">
        <v>104</v>
      </c>
      <c r="AX681" s="6" t="s">
        <v>20640</v>
      </c>
      <c r="AY681" s="6" t="s">
        <v>22413</v>
      </c>
      <c r="AZ681" s="6" t="s">
        <v>104</v>
      </c>
      <c r="BA681" s="6" t="s">
        <v>104</v>
      </c>
      <c r="BB681" s="24" t="n">
        <v>20</v>
      </c>
      <c r="BC681" s="26"/>
      <c r="BD681" s="26"/>
      <c r="BE681" s="26"/>
      <c r="BF681" s="26"/>
      <c r="BG681" s="26"/>
      <c r="BH681" s="26"/>
      <c r="BI681" s="26"/>
      <c r="BJ681" s="26"/>
      <c r="BK681" s="26"/>
      <c r="BL681" s="26"/>
      <c r="BM681" s="26"/>
      <c r="BN681" s="26"/>
      <c r="BO681" s="26" t="s">
        <v>24533</v>
      </c>
      <c r="BP681" s="16" t="n">
        <v>45690</v>
      </c>
      <c r="BQ681" s="28" t="str">
        <f>HYPERLINK("https://organic.ams.usda.gov/Integrity/Certificate.aspx?cid=24&amp;nopid=7880186635")</f>
        <v>https://organic.ams.usda.gov/Integrity/Certificate.aspx?cid=24&amp;nopid=7880186635</v>
      </c>
    </row>
    <row r="682">
      <c r="A682" t="s">
        <v>3</v>
      </c>
      <c r="B682" s="6" t="s">
        <v>25</v>
      </c>
      <c r="C682" s="6" t="s">
        <v>91</v>
      </c>
      <c r="D682" s="6" t="s">
        <v>156</v>
      </c>
      <c r="E682" s="10" t="s">
        <v>880</v>
      </c>
      <c r="F682" s="6" t="s">
        <v>3131</v>
      </c>
      <c r="G682" s="6" t="s">
        <v>104</v>
      </c>
      <c r="H682" s="6" t="s">
        <v>5516</v>
      </c>
      <c r="I682" s="6" t="s">
        <v>7369</v>
      </c>
      <c r="J682" s="6" t="s">
        <v>8653</v>
      </c>
      <c r="K682" s="6" t="s">
        <v>9714</v>
      </c>
      <c r="L682" s="16" t="n">
        <v>44547</v>
      </c>
      <c r="M682" s="16" t="n">
        <v>45932</v>
      </c>
      <c r="N682" s="6" t="s">
        <v>104</v>
      </c>
      <c r="O682" s="21" t="s">
        <v>104</v>
      </c>
      <c r="P682" s="6" t="s">
        <v>104</v>
      </c>
      <c r="Q682" s="6" t="s">
        <v>104</v>
      </c>
      <c r="R682" s="6" t="s">
        <v>104</v>
      </c>
      <c r="S682" s="6" t="s">
        <v>104</v>
      </c>
      <c r="T682" s="21" t="s">
        <v>104</v>
      </c>
      <c r="U682" s="6" t="s">
        <v>104</v>
      </c>
      <c r="V682" s="6" t="s">
        <v>104</v>
      </c>
      <c r="W682" s="6" t="s">
        <v>104</v>
      </c>
      <c r="X682" s="6" t="s">
        <v>104</v>
      </c>
      <c r="Y682" s="21" t="s">
        <v>104</v>
      </c>
      <c r="Z682" s="6" t="s">
        <v>104</v>
      </c>
      <c r="AA682" s="6" t="s">
        <v>104</v>
      </c>
      <c r="AB682" s="6" t="s">
        <v>104</v>
      </c>
      <c r="AC682" s="6" t="s">
        <v>9714</v>
      </c>
      <c r="AD682" s="16" t="n">
        <v>44547</v>
      </c>
      <c r="AE682" s="6" t="s">
        <v>11130</v>
      </c>
      <c r="AF682" s="6" t="s">
        <v>104</v>
      </c>
      <c r="AG682" s="6" t="s">
        <v>104</v>
      </c>
      <c r="AH682" s="6" t="s">
        <v>13772</v>
      </c>
      <c r="AI682" s="6" t="s">
        <v>104</v>
      </c>
      <c r="AJ682" s="6" t="s">
        <v>15807</v>
      </c>
      <c r="AK682" s="6" t="s">
        <v>16708</v>
      </c>
      <c r="AL682" s="6" t="s">
        <v>16935</v>
      </c>
      <c r="AM682" s="6" t="s">
        <v>17366</v>
      </c>
      <c r="AN682" s="6" t="s">
        <v>104</v>
      </c>
      <c r="AO682" s="6" t="s">
        <v>104</v>
      </c>
      <c r="AP682" s="6" t="s">
        <v>19123</v>
      </c>
      <c r="AQ682" s="6" t="s">
        <v>104</v>
      </c>
      <c r="AR682" s="6" t="s">
        <v>15746</v>
      </c>
      <c r="AS682" s="6" t="s">
        <v>16708</v>
      </c>
      <c r="AT682" s="6" t="s">
        <v>16935</v>
      </c>
      <c r="AU682" s="6" t="s">
        <v>17366</v>
      </c>
      <c r="AV682" s="6" t="s">
        <v>104</v>
      </c>
      <c r="AW682" s="6" t="s">
        <v>104</v>
      </c>
      <c r="AX682" s="6" t="s">
        <v>20641</v>
      </c>
      <c r="AY682" s="6" t="s">
        <v>22414</v>
      </c>
      <c r="AZ682" s="6" t="s">
        <v>104</v>
      </c>
      <c r="BA682" s="6" t="s">
        <v>24264</v>
      </c>
      <c r="BB682" s="6" t="s">
        <v>104</v>
      </c>
      <c r="BC682" s="26"/>
      <c r="BD682" s="26"/>
      <c r="BE682" s="26"/>
      <c r="BF682" s="26"/>
      <c r="BG682" s="26"/>
      <c r="BH682" s="26" t="s">
        <v>24533</v>
      </c>
      <c r="BI682" s="26"/>
      <c r="BJ682" s="26"/>
      <c r="BK682" s="26"/>
      <c r="BL682" s="26"/>
      <c r="BM682" s="26"/>
      <c r="BN682" s="26"/>
      <c r="BO682" s="26"/>
      <c r="BP682" s="16" t="n">
        <v>45652</v>
      </c>
      <c r="BQ682" s="28" t="str">
        <f>HYPERLINK("https://organic.ams.usda.gov/Integrity/Certificate.aspx?cid=66&amp;nopid=5500006613")</f>
        <v>https://organic.ams.usda.gov/Integrity/Certificate.aspx?cid=66&amp;nopid=5500006613</v>
      </c>
    </row>
    <row r="683">
      <c r="A683" t="s">
        <v>3</v>
      </c>
      <c r="B683" s="6" t="s">
        <v>21</v>
      </c>
      <c r="C683" s="6" t="s">
        <v>87</v>
      </c>
      <c r="D683" s="6" t="s">
        <v>152</v>
      </c>
      <c r="E683" s="10" t="s">
        <v>881</v>
      </c>
      <c r="F683" s="6" t="s">
        <v>3132</v>
      </c>
      <c r="G683" s="6" t="s">
        <v>4742</v>
      </c>
      <c r="H683" s="6" t="s">
        <v>5517</v>
      </c>
      <c r="I683" s="6" t="s">
        <v>6920</v>
      </c>
      <c r="J683" s="6" t="s">
        <v>8654</v>
      </c>
      <c r="K683" s="6" t="s">
        <v>9714</v>
      </c>
      <c r="L683" s="16" t="n">
        <v>45398</v>
      </c>
      <c r="M683" s="16" t="n">
        <v>46023</v>
      </c>
      <c r="N683" s="6" t="s">
        <v>104</v>
      </c>
      <c r="O683" s="21" t="s">
        <v>104</v>
      </c>
      <c r="P683" s="6" t="s">
        <v>104</v>
      </c>
      <c r="Q683" s="6" t="s">
        <v>104</v>
      </c>
      <c r="R683" s="6" t="s">
        <v>104</v>
      </c>
      <c r="S683" s="6" t="s">
        <v>104</v>
      </c>
      <c r="T683" s="21" t="s">
        <v>104</v>
      </c>
      <c r="U683" s="6" t="s">
        <v>104</v>
      </c>
      <c r="V683" s="6" t="s">
        <v>104</v>
      </c>
      <c r="W683" s="6" t="s">
        <v>104</v>
      </c>
      <c r="X683" s="6" t="s">
        <v>104</v>
      </c>
      <c r="Y683" s="21" t="s">
        <v>104</v>
      </c>
      <c r="Z683" s="6" t="s">
        <v>104</v>
      </c>
      <c r="AA683" s="6" t="s">
        <v>104</v>
      </c>
      <c r="AB683" s="6" t="s">
        <v>104</v>
      </c>
      <c r="AC683" s="6" t="s">
        <v>9714</v>
      </c>
      <c r="AD683" s="16" t="n">
        <v>45398</v>
      </c>
      <c r="AE683" s="6" t="s">
        <v>11131</v>
      </c>
      <c r="AF683" s="6" t="s">
        <v>104</v>
      </c>
      <c r="AG683" s="6" t="s">
        <v>104</v>
      </c>
      <c r="AH683" s="6" t="s">
        <v>13773</v>
      </c>
      <c r="AI683" s="6" t="s">
        <v>104</v>
      </c>
      <c r="AJ683" s="6" t="s">
        <v>15808</v>
      </c>
      <c r="AK683" s="6" t="s">
        <v>16686</v>
      </c>
      <c r="AL683" s="6" t="s">
        <v>16931</v>
      </c>
      <c r="AM683" s="6" t="s">
        <v>17438</v>
      </c>
      <c r="AN683" s="6" t="s">
        <v>104</v>
      </c>
      <c r="AO683" s="6" t="s">
        <v>104</v>
      </c>
      <c r="AP683" s="6" t="s">
        <v>13773</v>
      </c>
      <c r="AQ683" s="6" t="s">
        <v>104</v>
      </c>
      <c r="AR683" s="6" t="s">
        <v>15808</v>
      </c>
      <c r="AS683" s="6" t="s">
        <v>16686</v>
      </c>
      <c r="AT683" s="6" t="s">
        <v>16931</v>
      </c>
      <c r="AU683" s="6" t="s">
        <v>17438</v>
      </c>
      <c r="AV683" s="6" t="s">
        <v>104</v>
      </c>
      <c r="AW683" s="6" t="s">
        <v>104</v>
      </c>
      <c r="AX683" s="6" t="s">
        <v>20642</v>
      </c>
      <c r="AY683" s="6" t="s">
        <v>22415</v>
      </c>
      <c r="AZ683" s="6" t="s">
        <v>23858</v>
      </c>
      <c r="BA683" s="6" t="s">
        <v>24263</v>
      </c>
      <c r="BB683" s="6" t="s">
        <v>104</v>
      </c>
      <c r="BC683" s="26"/>
      <c r="BD683" s="26"/>
      <c r="BE683" s="26"/>
      <c r="BF683" s="26"/>
      <c r="BG683" s="26"/>
      <c r="BH683" s="26"/>
      <c r="BI683" s="26"/>
      <c r="BJ683" s="26"/>
      <c r="BK683" s="26"/>
      <c r="BL683" s="26"/>
      <c r="BM683" s="26"/>
      <c r="BN683" s="26"/>
      <c r="BO683" s="26"/>
      <c r="BP683" s="16" t="n">
        <v>45687</v>
      </c>
      <c r="BQ683" s="28" t="str">
        <f>HYPERLINK("https://organic.ams.usda.gov/Integrity/Certificate.aspx?cid=15&amp;nopid=5561008170")</f>
        <v>https://organic.ams.usda.gov/Integrity/Certificate.aspx?cid=15&amp;nopid=5561008170</v>
      </c>
    </row>
    <row r="684">
      <c r="A684" t="s">
        <v>3</v>
      </c>
      <c r="B684" s="6" t="s">
        <v>24</v>
      </c>
      <c r="C684" s="6" t="s">
        <v>90</v>
      </c>
      <c r="D684" s="6" t="s">
        <v>155</v>
      </c>
      <c r="E684" s="10" t="s">
        <v>882</v>
      </c>
      <c r="F684" s="6" t="s">
        <v>3133</v>
      </c>
      <c r="G684" s="6" t="s">
        <v>104</v>
      </c>
      <c r="H684" s="6" t="s">
        <v>5518</v>
      </c>
      <c r="I684" s="6" t="s">
        <v>7370</v>
      </c>
      <c r="J684" s="6" t="s">
        <v>7094</v>
      </c>
      <c r="K684" s="6" t="s">
        <v>9714</v>
      </c>
      <c r="L684" s="16" t="n">
        <v>45492</v>
      </c>
      <c r="M684" s="16" t="n">
        <v>45716</v>
      </c>
      <c r="N684" s="6" t="s">
        <v>104</v>
      </c>
      <c r="O684" s="21" t="s">
        <v>104</v>
      </c>
      <c r="P684" s="6" t="s">
        <v>104</v>
      </c>
      <c r="Q684" s="6" t="s">
        <v>104</v>
      </c>
      <c r="R684" s="6" t="s">
        <v>104</v>
      </c>
      <c r="S684" s="6" t="s">
        <v>104</v>
      </c>
      <c r="T684" s="21" t="s">
        <v>104</v>
      </c>
      <c r="U684" s="6" t="s">
        <v>104</v>
      </c>
      <c r="V684" s="6" t="s">
        <v>104</v>
      </c>
      <c r="W684" s="6" t="s">
        <v>104</v>
      </c>
      <c r="X684" s="6" t="s">
        <v>104</v>
      </c>
      <c r="Y684" s="21" t="s">
        <v>104</v>
      </c>
      <c r="Z684" s="6" t="s">
        <v>104</v>
      </c>
      <c r="AA684" s="6" t="s">
        <v>104</v>
      </c>
      <c r="AB684" s="6" t="s">
        <v>104</v>
      </c>
      <c r="AC684" s="6" t="s">
        <v>9714</v>
      </c>
      <c r="AD684" s="16" t="n">
        <v>45492</v>
      </c>
      <c r="AE684" s="6" t="s">
        <v>11132</v>
      </c>
      <c r="AF684" s="6" t="s">
        <v>104</v>
      </c>
      <c r="AG684" s="6" t="s">
        <v>5518</v>
      </c>
      <c r="AH684" s="6" t="s">
        <v>13774</v>
      </c>
      <c r="AI684" s="6" t="s">
        <v>104</v>
      </c>
      <c r="AJ684" s="6" t="s">
        <v>15809</v>
      </c>
      <c r="AK684" s="6" t="s">
        <v>16798</v>
      </c>
      <c r="AL684" s="6" t="s">
        <v>16766</v>
      </c>
      <c r="AM684" s="6" t="s">
        <v>17439</v>
      </c>
      <c r="AN684" s="6" t="s">
        <v>104</v>
      </c>
      <c r="AO684" s="6" t="s">
        <v>104</v>
      </c>
      <c r="AP684" s="6" t="s">
        <v>13774</v>
      </c>
      <c r="AQ684" s="6" t="s">
        <v>104</v>
      </c>
      <c r="AR684" s="6" t="s">
        <v>15809</v>
      </c>
      <c r="AS684" s="6" t="s">
        <v>16798</v>
      </c>
      <c r="AT684" s="6" t="s">
        <v>16766</v>
      </c>
      <c r="AU684" s="6" t="s">
        <v>17439</v>
      </c>
      <c r="AV684" s="6" t="s">
        <v>104</v>
      </c>
      <c r="AW684" s="6" t="s">
        <v>104</v>
      </c>
      <c r="AX684" s="6" t="s">
        <v>20643</v>
      </c>
      <c r="AY684" s="6" t="s">
        <v>22416</v>
      </c>
      <c r="AZ684" s="6" t="s">
        <v>104</v>
      </c>
      <c r="BA684" s="6" t="s">
        <v>24306</v>
      </c>
      <c r="BB684" s="6" t="s">
        <v>104</v>
      </c>
      <c r="BC684" s="26"/>
      <c r="BD684" s="26"/>
      <c r="BE684" s="26"/>
      <c r="BF684" s="26"/>
      <c r="BG684" s="26"/>
      <c r="BH684" s="26"/>
      <c r="BI684" s="26"/>
      <c r="BJ684" s="26"/>
      <c r="BK684" s="26"/>
      <c r="BL684" s="26"/>
      <c r="BM684" s="26"/>
      <c r="BN684" s="26"/>
      <c r="BO684" s="26"/>
      <c r="BP684" s="16" t="n">
        <v>45714</v>
      </c>
      <c r="BQ684" s="28" t="str">
        <f>HYPERLINK("https://organic.ams.usda.gov/Integrity/Certificate.aspx?cid=7&amp;nopid=3950001170")</f>
        <v>https://organic.ams.usda.gov/Integrity/Certificate.aspx?cid=7&amp;nopid=3950001170</v>
      </c>
    </row>
    <row r="685">
      <c r="A685" t="s">
        <v>3</v>
      </c>
      <c r="B685" s="6" t="s">
        <v>48</v>
      </c>
      <c r="C685" s="6" t="s">
        <v>114</v>
      </c>
      <c r="D685" s="6" t="s">
        <v>178</v>
      </c>
      <c r="E685" s="10" t="s">
        <v>883</v>
      </c>
      <c r="F685" s="6" t="s">
        <v>3134</v>
      </c>
      <c r="G685" s="6" t="s">
        <v>104</v>
      </c>
      <c r="H685" s="6" t="s">
        <v>5519</v>
      </c>
      <c r="I685" s="6" t="s">
        <v>7371</v>
      </c>
      <c r="J685" s="6" t="s">
        <v>8655</v>
      </c>
      <c r="K685" s="6" t="s">
        <v>9714</v>
      </c>
      <c r="L685" s="16" t="n">
        <v>44062</v>
      </c>
      <c r="M685" s="16" t="n">
        <v>45862</v>
      </c>
      <c r="N685" s="6" t="s">
        <v>104</v>
      </c>
      <c r="O685" s="21" t="s">
        <v>104</v>
      </c>
      <c r="P685" s="6" t="s">
        <v>104</v>
      </c>
      <c r="Q685" s="6" t="s">
        <v>104</v>
      </c>
      <c r="R685" s="6" t="s">
        <v>104</v>
      </c>
      <c r="S685" s="6" t="s">
        <v>104</v>
      </c>
      <c r="T685" s="21" t="s">
        <v>104</v>
      </c>
      <c r="U685" s="6" t="s">
        <v>104</v>
      </c>
      <c r="V685" s="6" t="s">
        <v>104</v>
      </c>
      <c r="W685" s="6" t="s">
        <v>104</v>
      </c>
      <c r="X685" s="6" t="s">
        <v>104</v>
      </c>
      <c r="Y685" s="21" t="s">
        <v>104</v>
      </c>
      <c r="Z685" s="6" t="s">
        <v>104</v>
      </c>
      <c r="AA685" s="6" t="s">
        <v>104</v>
      </c>
      <c r="AB685" s="6" t="s">
        <v>104</v>
      </c>
      <c r="AC685" s="6" t="s">
        <v>9714</v>
      </c>
      <c r="AD685" s="16" t="n">
        <v>44062</v>
      </c>
      <c r="AE685" s="6" t="s">
        <v>11133</v>
      </c>
      <c r="AF685" s="6" t="s">
        <v>104</v>
      </c>
      <c r="AG685" s="6" t="s">
        <v>104</v>
      </c>
      <c r="AH685" s="6" t="s">
        <v>13775</v>
      </c>
      <c r="AI685" s="6" t="s">
        <v>104</v>
      </c>
      <c r="AJ685" s="6" t="s">
        <v>15810</v>
      </c>
      <c r="AK685" s="6" t="s">
        <v>104</v>
      </c>
      <c r="AL685" s="6" t="s">
        <v>16968</v>
      </c>
      <c r="AM685" s="6" t="s">
        <v>17440</v>
      </c>
      <c r="AN685" s="6" t="s">
        <v>104</v>
      </c>
      <c r="AO685" s="6" t="s">
        <v>104</v>
      </c>
      <c r="AP685" s="6" t="s">
        <v>13775</v>
      </c>
      <c r="AQ685" s="6" t="s">
        <v>104</v>
      </c>
      <c r="AR685" s="6" t="s">
        <v>15810</v>
      </c>
      <c r="AS685" s="6" t="s">
        <v>104</v>
      </c>
      <c r="AT685" s="6" t="s">
        <v>16968</v>
      </c>
      <c r="AU685" s="6" t="s">
        <v>17440</v>
      </c>
      <c r="AV685" s="6" t="s">
        <v>104</v>
      </c>
      <c r="AW685" s="6" t="s">
        <v>104</v>
      </c>
      <c r="AX685" s="6" t="s">
        <v>20644</v>
      </c>
      <c r="AY685" s="6" t="s">
        <v>22417</v>
      </c>
      <c r="AZ685" s="6" t="s">
        <v>23859</v>
      </c>
      <c r="BA685" s="6" t="s">
        <v>104</v>
      </c>
      <c r="BB685" s="6" t="s">
        <v>104</v>
      </c>
      <c r="BC685" s="26"/>
      <c r="BD685" s="26"/>
      <c r="BE685" s="26"/>
      <c r="BF685" s="26"/>
      <c r="BG685" s="26"/>
      <c r="BH685" s="26"/>
      <c r="BI685" s="26"/>
      <c r="BJ685" s="26"/>
      <c r="BK685" s="26"/>
      <c r="BL685" s="26"/>
      <c r="BM685" s="26"/>
      <c r="BN685" s="26"/>
      <c r="BO685" s="26"/>
      <c r="BP685" s="16" t="n">
        <v>45720</v>
      </c>
      <c r="BQ685" s="28" t="str">
        <f>HYPERLINK("https://organic.ams.usda.gov/Integrity/Certificate.aspx?cid=9&amp;nopid=1203646000")</f>
        <v>https://organic.ams.usda.gov/Integrity/Certificate.aspx?cid=9&amp;nopid=1203646000</v>
      </c>
    </row>
    <row r="686">
      <c r="A686" t="s">
        <v>3</v>
      </c>
      <c r="B686" s="6" t="s">
        <v>11</v>
      </c>
      <c r="C686" s="6" t="s">
        <v>77</v>
      </c>
      <c r="D686" s="6" t="s">
        <v>142</v>
      </c>
      <c r="E686" s="10" t="s">
        <v>884</v>
      </c>
      <c r="F686" s="6" t="s">
        <v>3135</v>
      </c>
      <c r="G686" s="6" t="s">
        <v>104</v>
      </c>
      <c r="H686" s="6" t="s">
        <v>5520</v>
      </c>
      <c r="I686" s="6" t="s">
        <v>7372</v>
      </c>
      <c r="J686" s="6" t="s">
        <v>7372</v>
      </c>
      <c r="K686" s="6" t="s">
        <v>9714</v>
      </c>
      <c r="L686" s="16" t="n">
        <v>45720</v>
      </c>
      <c r="M686" s="16" t="n">
        <v>46039</v>
      </c>
      <c r="N686" s="6" t="s">
        <v>9714</v>
      </c>
      <c r="O686" s="16" t="n">
        <v>45720</v>
      </c>
      <c r="P686" s="6" t="s">
        <v>9909</v>
      </c>
      <c r="Q686" s="6" t="s">
        <v>104</v>
      </c>
      <c r="R686" s="6" t="s">
        <v>104</v>
      </c>
      <c r="S686" s="6" t="s">
        <v>104</v>
      </c>
      <c r="T686" s="21" t="s">
        <v>104</v>
      </c>
      <c r="U686" s="6" t="s">
        <v>104</v>
      </c>
      <c r="V686" s="6" t="s">
        <v>104</v>
      </c>
      <c r="W686" s="6" t="s">
        <v>104</v>
      </c>
      <c r="X686" s="6" t="s">
        <v>104</v>
      </c>
      <c r="Y686" s="21" t="s">
        <v>104</v>
      </c>
      <c r="Z686" s="6" t="s">
        <v>104</v>
      </c>
      <c r="AA686" s="6" t="s">
        <v>104</v>
      </c>
      <c r="AB686" s="6" t="s">
        <v>104</v>
      </c>
      <c r="AC686" s="6" t="s">
        <v>9714</v>
      </c>
      <c r="AD686" s="16" t="n">
        <v>45720</v>
      </c>
      <c r="AE686" s="6" t="s">
        <v>11134</v>
      </c>
      <c r="AF686" s="6" t="s">
        <v>104</v>
      </c>
      <c r="AG686" s="6" t="s">
        <v>104</v>
      </c>
      <c r="AH686" s="6" t="s">
        <v>13776</v>
      </c>
      <c r="AI686" s="6" t="s">
        <v>104</v>
      </c>
      <c r="AJ686" s="6" t="s">
        <v>104</v>
      </c>
      <c r="AK686" s="6" t="s">
        <v>104</v>
      </c>
      <c r="AL686" s="6" t="s">
        <v>16940</v>
      </c>
      <c r="AM686" s="6" t="s">
        <v>104</v>
      </c>
      <c r="AN686" s="6" t="s">
        <v>104</v>
      </c>
      <c r="AO686" s="6" t="s">
        <v>104</v>
      </c>
      <c r="AP686" s="6" t="s">
        <v>104</v>
      </c>
      <c r="AQ686" s="6" t="s">
        <v>104</v>
      </c>
      <c r="AR686" s="6" t="s">
        <v>104</v>
      </c>
      <c r="AS686" s="6" t="s">
        <v>104</v>
      </c>
      <c r="AT686" s="6" t="s">
        <v>104</v>
      </c>
      <c r="AU686" s="6" t="s">
        <v>104</v>
      </c>
      <c r="AV686" s="6" t="s">
        <v>104</v>
      </c>
      <c r="AW686" s="6" t="s">
        <v>104</v>
      </c>
      <c r="AX686" s="6" t="s">
        <v>20645</v>
      </c>
      <c r="AY686" s="6" t="s">
        <v>22418</v>
      </c>
      <c r="AZ686" s="6" t="s">
        <v>104</v>
      </c>
      <c r="BA686" s="6" t="s">
        <v>104</v>
      </c>
      <c r="BB686" s="24" t="n">
        <v>420</v>
      </c>
      <c r="BC686" s="26"/>
      <c r="BD686" s="26"/>
      <c r="BE686" s="26"/>
      <c r="BF686" s="26"/>
      <c r="BG686" s="26"/>
      <c r="BH686" s="26"/>
      <c r="BI686" s="26"/>
      <c r="BJ686" s="26"/>
      <c r="BK686" s="26"/>
      <c r="BL686" s="26"/>
      <c r="BM686" s="26"/>
      <c r="BN686" s="26"/>
      <c r="BO686" s="26" t="s">
        <v>24533</v>
      </c>
      <c r="BP686" s="16" t="n">
        <v>45723</v>
      </c>
      <c r="BQ686" s="28" t="str">
        <f>HYPERLINK("https://organic.ams.usda.gov/Integrity/Certificate.aspx?cid=21&amp;nopid=1780906820")</f>
        <v>https://organic.ams.usda.gov/Integrity/Certificate.aspx?cid=21&amp;nopid=1780906820</v>
      </c>
    </row>
    <row r="687">
      <c r="A687" t="s">
        <v>3</v>
      </c>
      <c r="B687" s="6" t="s">
        <v>11</v>
      </c>
      <c r="C687" s="6" t="s">
        <v>77</v>
      </c>
      <c r="D687" s="6" t="s">
        <v>142</v>
      </c>
      <c r="E687" s="10" t="s">
        <v>885</v>
      </c>
      <c r="F687" s="6" t="s">
        <v>3136</v>
      </c>
      <c r="G687" s="6" t="s">
        <v>104</v>
      </c>
      <c r="H687" s="6" t="s">
        <v>5521</v>
      </c>
      <c r="I687" s="6" t="s">
        <v>7373</v>
      </c>
      <c r="J687" s="6" t="s">
        <v>8656</v>
      </c>
      <c r="K687" s="6" t="s">
        <v>9714</v>
      </c>
      <c r="L687" s="16" t="n">
        <v>45035</v>
      </c>
      <c r="M687" s="16" t="n">
        <v>45828</v>
      </c>
      <c r="N687" s="6" t="s">
        <v>9714</v>
      </c>
      <c r="O687" s="16" t="n">
        <v>45035</v>
      </c>
      <c r="P687" s="6" t="s">
        <v>9910</v>
      </c>
      <c r="Q687" s="6" t="s">
        <v>104</v>
      </c>
      <c r="R687" s="6" t="s">
        <v>104</v>
      </c>
      <c r="S687" s="6" t="s">
        <v>104</v>
      </c>
      <c r="T687" s="21" t="s">
        <v>104</v>
      </c>
      <c r="U687" s="6" t="s">
        <v>104</v>
      </c>
      <c r="V687" s="6" t="s">
        <v>104</v>
      </c>
      <c r="W687" s="6" t="s">
        <v>104</v>
      </c>
      <c r="X687" s="6" t="s">
        <v>104</v>
      </c>
      <c r="Y687" s="21" t="s">
        <v>104</v>
      </c>
      <c r="Z687" s="6" t="s">
        <v>104</v>
      </c>
      <c r="AA687" s="6" t="s">
        <v>104</v>
      </c>
      <c r="AB687" s="6" t="s">
        <v>104</v>
      </c>
      <c r="AC687" s="6" t="s">
        <v>9714</v>
      </c>
      <c r="AD687" s="16" t="n">
        <v>45035</v>
      </c>
      <c r="AE687" s="6" t="s">
        <v>11135</v>
      </c>
      <c r="AF687" s="6" t="s">
        <v>104</v>
      </c>
      <c r="AG687" s="6" t="s">
        <v>104</v>
      </c>
      <c r="AH687" s="6" t="s">
        <v>13777</v>
      </c>
      <c r="AI687" s="6" t="s">
        <v>104</v>
      </c>
      <c r="AJ687" s="6" t="s">
        <v>104</v>
      </c>
      <c r="AK687" s="6" t="s">
        <v>104</v>
      </c>
      <c r="AL687" s="6" t="s">
        <v>16940</v>
      </c>
      <c r="AM687" s="6" t="s">
        <v>104</v>
      </c>
      <c r="AN687" s="6" t="s">
        <v>104</v>
      </c>
      <c r="AO687" s="6" t="s">
        <v>104</v>
      </c>
      <c r="AP687" s="6" t="s">
        <v>104</v>
      </c>
      <c r="AQ687" s="6" t="s">
        <v>104</v>
      </c>
      <c r="AR687" s="6" t="s">
        <v>104</v>
      </c>
      <c r="AS687" s="6" t="s">
        <v>104</v>
      </c>
      <c r="AT687" s="6" t="s">
        <v>104</v>
      </c>
      <c r="AU687" s="6" t="s">
        <v>104</v>
      </c>
      <c r="AV687" s="6" t="s">
        <v>104</v>
      </c>
      <c r="AW687" s="6" t="s">
        <v>104</v>
      </c>
      <c r="AX687" s="6" t="s">
        <v>20646</v>
      </c>
      <c r="AY687" s="6" t="s">
        <v>22418</v>
      </c>
      <c r="AZ687" s="6" t="s">
        <v>104</v>
      </c>
      <c r="BA687" s="6" t="s">
        <v>104</v>
      </c>
      <c r="BB687" s="24" t="n">
        <v>4899</v>
      </c>
      <c r="BC687" s="26"/>
      <c r="BD687" s="26"/>
      <c r="BE687" s="26"/>
      <c r="BF687" s="26"/>
      <c r="BG687" s="26"/>
      <c r="BH687" s="26"/>
      <c r="BI687" s="26"/>
      <c r="BJ687" s="26"/>
      <c r="BK687" s="26"/>
      <c r="BL687" s="26"/>
      <c r="BM687" s="26"/>
      <c r="BN687" s="26"/>
      <c r="BO687" s="26"/>
      <c r="BP687" s="16" t="n">
        <v>45722</v>
      </c>
      <c r="BQ687" s="28" t="str">
        <f>HYPERLINK("https://organic.ams.usda.gov/Integrity/Certificate.aspx?cid=21&amp;nopid=1780847846")</f>
        <v>https://organic.ams.usda.gov/Integrity/Certificate.aspx?cid=21&amp;nopid=1780847846</v>
      </c>
    </row>
    <row r="688">
      <c r="A688" t="s">
        <v>3</v>
      </c>
      <c r="B688" s="6" t="s">
        <v>24</v>
      </c>
      <c r="C688" s="6" t="s">
        <v>90</v>
      </c>
      <c r="D688" s="6" t="s">
        <v>155</v>
      </c>
      <c r="E688" s="10" t="s">
        <v>886</v>
      </c>
      <c r="F688" s="6" t="s">
        <v>3137</v>
      </c>
      <c r="G688" s="6" t="s">
        <v>4743</v>
      </c>
      <c r="H688" s="6" t="s">
        <v>5522</v>
      </c>
      <c r="I688" s="6" t="s">
        <v>7374</v>
      </c>
      <c r="J688" s="6" t="s">
        <v>104</v>
      </c>
      <c r="K688" s="6" t="s">
        <v>9714</v>
      </c>
      <c r="L688" s="16" t="n">
        <v>45637</v>
      </c>
      <c r="M688" s="16" t="n">
        <v>45838</v>
      </c>
      <c r="N688" s="6" t="s">
        <v>104</v>
      </c>
      <c r="O688" s="21" t="s">
        <v>104</v>
      </c>
      <c r="P688" s="6" t="s">
        <v>104</v>
      </c>
      <c r="Q688" s="6" t="s">
        <v>104</v>
      </c>
      <c r="R688" s="6" t="s">
        <v>104</v>
      </c>
      <c r="S688" s="6" t="s">
        <v>104</v>
      </c>
      <c r="T688" s="21" t="s">
        <v>104</v>
      </c>
      <c r="U688" s="6" t="s">
        <v>104</v>
      </c>
      <c r="V688" s="6" t="s">
        <v>104</v>
      </c>
      <c r="W688" s="6" t="s">
        <v>104</v>
      </c>
      <c r="X688" s="6" t="s">
        <v>104</v>
      </c>
      <c r="Y688" s="21" t="s">
        <v>104</v>
      </c>
      <c r="Z688" s="6" t="s">
        <v>104</v>
      </c>
      <c r="AA688" s="6" t="s">
        <v>104</v>
      </c>
      <c r="AB688" s="6" t="s">
        <v>104</v>
      </c>
      <c r="AC688" s="6" t="s">
        <v>9714</v>
      </c>
      <c r="AD688" s="16" t="n">
        <v>45637</v>
      </c>
      <c r="AE688" s="6" t="s">
        <v>11136</v>
      </c>
      <c r="AF688" s="6" t="s">
        <v>104</v>
      </c>
      <c r="AG688" s="6" t="s">
        <v>5522</v>
      </c>
      <c r="AH688" s="6" t="s">
        <v>13778</v>
      </c>
      <c r="AI688" s="6" t="s">
        <v>104</v>
      </c>
      <c r="AJ688" s="6" t="s">
        <v>15811</v>
      </c>
      <c r="AK688" s="6" t="s">
        <v>16799</v>
      </c>
      <c r="AL688" s="6" t="s">
        <v>16969</v>
      </c>
      <c r="AM688" s="6" t="s">
        <v>17441</v>
      </c>
      <c r="AN688" s="6" t="s">
        <v>104</v>
      </c>
      <c r="AO688" s="6" t="s">
        <v>104</v>
      </c>
      <c r="AP688" s="6" t="s">
        <v>13778</v>
      </c>
      <c r="AQ688" s="6" t="s">
        <v>104</v>
      </c>
      <c r="AR688" s="6" t="s">
        <v>15811</v>
      </c>
      <c r="AS688" s="6" t="s">
        <v>16799</v>
      </c>
      <c r="AT688" s="6" t="s">
        <v>16969</v>
      </c>
      <c r="AU688" s="6" t="s">
        <v>17441</v>
      </c>
      <c r="AV688" s="6" t="s">
        <v>104</v>
      </c>
      <c r="AW688" s="6" t="s">
        <v>104</v>
      </c>
      <c r="AX688" s="6" t="s">
        <v>20647</v>
      </c>
      <c r="AY688" s="6" t="s">
        <v>22419</v>
      </c>
      <c r="AZ688" s="6" t="s">
        <v>104</v>
      </c>
      <c r="BA688" s="6" t="s">
        <v>24306</v>
      </c>
      <c r="BB688" s="6" t="s">
        <v>104</v>
      </c>
      <c r="BC688" s="26"/>
      <c r="BD688" s="26"/>
      <c r="BE688" s="26"/>
      <c r="BF688" s="26"/>
      <c r="BG688" s="26"/>
      <c r="BH688" s="26"/>
      <c r="BI688" s="26"/>
      <c r="BJ688" s="26"/>
      <c r="BK688" s="26"/>
      <c r="BL688" s="26"/>
      <c r="BM688" s="26"/>
      <c r="BN688" s="26"/>
      <c r="BO688" s="26"/>
      <c r="BP688" s="16" t="n">
        <v>45637</v>
      </c>
      <c r="BQ688" s="28" t="str">
        <f>HYPERLINK("https://organic.ams.usda.gov/Integrity/Certificate.aspx?cid=7&amp;nopid=3950001309")</f>
        <v>https://organic.ams.usda.gov/Integrity/Certificate.aspx?cid=7&amp;nopid=3950001309</v>
      </c>
    </row>
    <row r="689">
      <c r="A689" t="s">
        <v>3</v>
      </c>
      <c r="B689" s="6" t="s">
        <v>41</v>
      </c>
      <c r="C689" s="6" t="s">
        <v>107</v>
      </c>
      <c r="D689" s="6" t="s">
        <v>171</v>
      </c>
      <c r="E689" s="10" t="s">
        <v>887</v>
      </c>
      <c r="F689" s="6" t="s">
        <v>3138</v>
      </c>
      <c r="G689" s="6" t="s">
        <v>4744</v>
      </c>
      <c r="H689" s="6" t="s">
        <v>5523</v>
      </c>
      <c r="I689" s="6" t="s">
        <v>7375</v>
      </c>
      <c r="J689" s="6" t="s">
        <v>8657</v>
      </c>
      <c r="K689" s="6" t="s">
        <v>9714</v>
      </c>
      <c r="L689" s="16" t="n">
        <v>39766</v>
      </c>
      <c r="M689" s="16" t="n">
        <v>46157</v>
      </c>
      <c r="N689" s="6" t="s">
        <v>9714</v>
      </c>
      <c r="O689" s="16" t="n">
        <v>39766</v>
      </c>
      <c r="P689" s="6" t="s">
        <v>9911</v>
      </c>
      <c r="Q689" s="6" t="s">
        <v>104</v>
      </c>
      <c r="R689" s="6" t="s">
        <v>104</v>
      </c>
      <c r="S689" s="6" t="s">
        <v>104</v>
      </c>
      <c r="T689" s="21" t="s">
        <v>104</v>
      </c>
      <c r="U689" s="6" t="s">
        <v>104</v>
      </c>
      <c r="V689" s="6" t="s">
        <v>104</v>
      </c>
      <c r="W689" s="6" t="s">
        <v>104</v>
      </c>
      <c r="X689" s="6" t="s">
        <v>104</v>
      </c>
      <c r="Y689" s="21" t="s">
        <v>104</v>
      </c>
      <c r="Z689" s="6" t="s">
        <v>104</v>
      </c>
      <c r="AA689" s="6" t="s">
        <v>104</v>
      </c>
      <c r="AB689" s="6" t="s">
        <v>104</v>
      </c>
      <c r="AC689" s="6" t="s">
        <v>9714</v>
      </c>
      <c r="AD689" s="16" t="n">
        <v>39766</v>
      </c>
      <c r="AE689" s="6" t="s">
        <v>11137</v>
      </c>
      <c r="AF689" s="6" t="s">
        <v>104</v>
      </c>
      <c r="AG689" s="6" t="s">
        <v>104</v>
      </c>
      <c r="AH689" s="6" t="s">
        <v>13779</v>
      </c>
      <c r="AI689" s="6" t="s">
        <v>104</v>
      </c>
      <c r="AJ689" s="6" t="s">
        <v>15812</v>
      </c>
      <c r="AK689" s="6" t="s">
        <v>16706</v>
      </c>
      <c r="AL689" s="6" t="s">
        <v>16931</v>
      </c>
      <c r="AM689" s="6" t="s">
        <v>17442</v>
      </c>
      <c r="AN689" s="6" t="s">
        <v>5759</v>
      </c>
      <c r="AO689" s="6" t="s">
        <v>18606</v>
      </c>
      <c r="AP689" s="6" t="s">
        <v>13779</v>
      </c>
      <c r="AQ689" s="6" t="s">
        <v>104</v>
      </c>
      <c r="AR689" s="6" t="s">
        <v>15812</v>
      </c>
      <c r="AS689" s="6" t="s">
        <v>16706</v>
      </c>
      <c r="AT689" s="6" t="s">
        <v>16931</v>
      </c>
      <c r="AU689" s="6" t="s">
        <v>17442</v>
      </c>
      <c r="AV689" s="6" t="s">
        <v>104</v>
      </c>
      <c r="AW689" s="6" t="s">
        <v>104</v>
      </c>
      <c r="AX689" s="6" t="s">
        <v>20648</v>
      </c>
      <c r="AY689" s="6" t="s">
        <v>22420</v>
      </c>
      <c r="AZ689" s="6" t="s">
        <v>104</v>
      </c>
      <c r="BA689" s="6" t="s">
        <v>104</v>
      </c>
      <c r="BB689" s="24" t="n">
        <v>1362</v>
      </c>
      <c r="BC689" s="26" t="s">
        <v>24533</v>
      </c>
      <c r="BD689" s="26"/>
      <c r="BE689" s="26"/>
      <c r="BF689" s="26"/>
      <c r="BG689" s="26"/>
      <c r="BH689" s="26"/>
      <c r="BI689" s="26"/>
      <c r="BJ689" s="26"/>
      <c r="BK689" s="26"/>
      <c r="BL689" s="26"/>
      <c r="BM689" s="26"/>
      <c r="BN689" s="26" t="s">
        <v>24533</v>
      </c>
      <c r="BO689" s="26"/>
      <c r="BP689" s="16" t="n">
        <v>45737</v>
      </c>
      <c r="BQ689" s="28" t="str">
        <f>HYPERLINK("https://organic.ams.usda.gov/Integrity/Certificate.aspx?cid=58&amp;nopid=1600001589")</f>
        <v>https://organic.ams.usda.gov/Integrity/Certificate.aspx?cid=58&amp;nopid=1600001589</v>
      </c>
    </row>
    <row r="690">
      <c r="A690" t="s">
        <v>3</v>
      </c>
      <c r="B690" s="6" t="s">
        <v>55</v>
      </c>
      <c r="C690" s="6" t="s">
        <v>121</v>
      </c>
      <c r="D690" s="6" t="s">
        <v>185</v>
      </c>
      <c r="E690" s="10" t="s">
        <v>888</v>
      </c>
      <c r="F690" s="6" t="s">
        <v>3139</v>
      </c>
      <c r="G690" s="6" t="s">
        <v>104</v>
      </c>
      <c r="H690" s="6" t="s">
        <v>5524</v>
      </c>
      <c r="I690" s="6" t="s">
        <v>7376</v>
      </c>
      <c r="J690" s="6" t="s">
        <v>8658</v>
      </c>
      <c r="K690" s="6" t="s">
        <v>9714</v>
      </c>
      <c r="L690" s="16" t="n">
        <v>41681</v>
      </c>
      <c r="M690" s="16" t="n">
        <v>45637</v>
      </c>
      <c r="N690" s="6" t="s">
        <v>104</v>
      </c>
      <c r="O690" s="21" t="s">
        <v>104</v>
      </c>
      <c r="P690" s="6" t="s">
        <v>104</v>
      </c>
      <c r="Q690" s="6" t="s">
        <v>104</v>
      </c>
      <c r="R690" s="6" t="s">
        <v>104</v>
      </c>
      <c r="S690" s="6" t="s">
        <v>104</v>
      </c>
      <c r="T690" s="21" t="s">
        <v>104</v>
      </c>
      <c r="U690" s="6" t="s">
        <v>104</v>
      </c>
      <c r="V690" s="6" t="s">
        <v>104</v>
      </c>
      <c r="W690" s="6" t="s">
        <v>104</v>
      </c>
      <c r="X690" s="6" t="s">
        <v>104</v>
      </c>
      <c r="Y690" s="21" t="s">
        <v>104</v>
      </c>
      <c r="Z690" s="6" t="s">
        <v>104</v>
      </c>
      <c r="AA690" s="6" t="s">
        <v>104</v>
      </c>
      <c r="AB690" s="6" t="s">
        <v>104</v>
      </c>
      <c r="AC690" s="6" t="s">
        <v>9714</v>
      </c>
      <c r="AD690" s="16" t="n">
        <v>41681</v>
      </c>
      <c r="AE690" s="6" t="s">
        <v>11138</v>
      </c>
      <c r="AF690" s="6" t="s">
        <v>104</v>
      </c>
      <c r="AG690" s="6" t="s">
        <v>5524</v>
      </c>
      <c r="AH690" s="6" t="s">
        <v>13780</v>
      </c>
      <c r="AI690" s="6" t="s">
        <v>104</v>
      </c>
      <c r="AJ690" s="6" t="s">
        <v>15813</v>
      </c>
      <c r="AK690" s="6" t="s">
        <v>16206</v>
      </c>
      <c r="AL690" s="6" t="s">
        <v>16958</v>
      </c>
      <c r="AM690" s="6" t="s">
        <v>17443</v>
      </c>
      <c r="AN690" s="6" t="s">
        <v>104</v>
      </c>
      <c r="AO690" s="6" t="s">
        <v>104</v>
      </c>
      <c r="AP690" s="6" t="s">
        <v>13780</v>
      </c>
      <c r="AQ690" s="6" t="s">
        <v>104</v>
      </c>
      <c r="AR690" s="6" t="s">
        <v>15813</v>
      </c>
      <c r="AS690" s="6" t="s">
        <v>16206</v>
      </c>
      <c r="AT690" s="6" t="s">
        <v>16958</v>
      </c>
      <c r="AU690" s="6" t="s">
        <v>17443</v>
      </c>
      <c r="AV690" s="6" t="s">
        <v>104</v>
      </c>
      <c r="AW690" s="6" t="s">
        <v>104</v>
      </c>
      <c r="AX690" s="6" t="s">
        <v>20649</v>
      </c>
      <c r="AY690" s="6" t="s">
        <v>22421</v>
      </c>
      <c r="AZ690" s="6" t="s">
        <v>23860</v>
      </c>
      <c r="BA690" s="6" t="s">
        <v>24363</v>
      </c>
      <c r="BB690" s="6" t="s">
        <v>104</v>
      </c>
      <c r="BC690" s="26" t="s">
        <v>24533</v>
      </c>
      <c r="BD690" s="26"/>
      <c r="BE690" s="26"/>
      <c r="BF690" s="26"/>
      <c r="BG690" s="26" t="s">
        <v>24533</v>
      </c>
      <c r="BH690" s="26"/>
      <c r="BI690" s="26"/>
      <c r="BJ690" s="26"/>
      <c r="BK690" s="26"/>
      <c r="BL690" s="26"/>
      <c r="BM690" s="26"/>
      <c r="BN690" s="26"/>
      <c r="BO690" s="26"/>
      <c r="BP690" s="16" t="n">
        <v>45531</v>
      </c>
      <c r="BQ690" s="28" t="str">
        <f>HYPERLINK("https://organic.ams.usda.gov/Integrity/Certificate.aspx?cid=70&amp;nopid=6430817200")</f>
        <v>https://organic.ams.usda.gov/Integrity/Certificate.aspx?cid=70&amp;nopid=6430817200</v>
      </c>
    </row>
    <row r="691">
      <c r="A691" t="s">
        <v>3</v>
      </c>
      <c r="B691" s="6" t="s">
        <v>31</v>
      </c>
      <c r="C691" s="6" t="s">
        <v>97</v>
      </c>
      <c r="D691" s="6" t="s">
        <v>162</v>
      </c>
      <c r="E691" s="10" t="s">
        <v>889</v>
      </c>
      <c r="F691" s="6" t="s">
        <v>3140</v>
      </c>
      <c r="G691" s="6" t="s">
        <v>104</v>
      </c>
      <c r="H691" s="6" t="s">
        <v>5525</v>
      </c>
      <c r="I691" s="6" t="s">
        <v>7377</v>
      </c>
      <c r="J691" s="6" t="s">
        <v>8659</v>
      </c>
      <c r="K691" s="6" t="s">
        <v>9714</v>
      </c>
      <c r="L691" s="16" t="n">
        <v>45460</v>
      </c>
      <c r="M691" s="16" t="n">
        <v>45825</v>
      </c>
      <c r="N691" s="6" t="s">
        <v>104</v>
      </c>
      <c r="O691" s="21" t="s">
        <v>104</v>
      </c>
      <c r="P691" s="6" t="s">
        <v>104</v>
      </c>
      <c r="Q691" s="6" t="s">
        <v>104</v>
      </c>
      <c r="R691" s="6" t="s">
        <v>104</v>
      </c>
      <c r="S691" s="6" t="s">
        <v>104</v>
      </c>
      <c r="T691" s="21" t="s">
        <v>104</v>
      </c>
      <c r="U691" s="6" t="s">
        <v>104</v>
      </c>
      <c r="V691" s="6" t="s">
        <v>104</v>
      </c>
      <c r="W691" s="6" t="s">
        <v>104</v>
      </c>
      <c r="X691" s="6" t="s">
        <v>104</v>
      </c>
      <c r="Y691" s="21" t="s">
        <v>104</v>
      </c>
      <c r="Z691" s="6" t="s">
        <v>104</v>
      </c>
      <c r="AA691" s="6" t="s">
        <v>104</v>
      </c>
      <c r="AB691" s="6" t="s">
        <v>104</v>
      </c>
      <c r="AC691" s="6" t="s">
        <v>9714</v>
      </c>
      <c r="AD691" s="16" t="n">
        <v>45460</v>
      </c>
      <c r="AE691" s="6" t="s">
        <v>11139</v>
      </c>
      <c r="AF691" s="6" t="s">
        <v>104</v>
      </c>
      <c r="AG691" s="6" t="s">
        <v>12703</v>
      </c>
      <c r="AH691" s="6" t="s">
        <v>13781</v>
      </c>
      <c r="AI691" s="6" t="s">
        <v>104</v>
      </c>
      <c r="AJ691" s="6" t="s">
        <v>15814</v>
      </c>
      <c r="AK691" s="6" t="s">
        <v>16370</v>
      </c>
      <c r="AL691" s="6" t="s">
        <v>16931</v>
      </c>
      <c r="AM691" s="6" t="s">
        <v>17444</v>
      </c>
      <c r="AN691" s="6" t="s">
        <v>104</v>
      </c>
      <c r="AO691" s="6" t="s">
        <v>104</v>
      </c>
      <c r="AP691" s="6" t="s">
        <v>13781</v>
      </c>
      <c r="AQ691" s="6" t="s">
        <v>104</v>
      </c>
      <c r="AR691" s="6" t="s">
        <v>15814</v>
      </c>
      <c r="AS691" s="6" t="s">
        <v>16370</v>
      </c>
      <c r="AT691" s="6" t="s">
        <v>16931</v>
      </c>
      <c r="AU691" s="6" t="s">
        <v>17444</v>
      </c>
      <c r="AV691" s="6" t="s">
        <v>104</v>
      </c>
      <c r="AW691" s="6" t="s">
        <v>104</v>
      </c>
      <c r="AX691" s="6" t="s">
        <v>20650</v>
      </c>
      <c r="AY691" s="6" t="s">
        <v>22422</v>
      </c>
      <c r="AZ691" s="6" t="s">
        <v>104</v>
      </c>
      <c r="BA691" s="6" t="s">
        <v>104</v>
      </c>
      <c r="BB691" s="6" t="s">
        <v>104</v>
      </c>
      <c r="BC691" s="26"/>
      <c r="BD691" s="26"/>
      <c r="BE691" s="26"/>
      <c r="BF691" s="26"/>
      <c r="BG691" s="26"/>
      <c r="BH691" s="26"/>
      <c r="BI691" s="26"/>
      <c r="BJ691" s="26"/>
      <c r="BK691" s="26"/>
      <c r="BL691" s="26"/>
      <c r="BM691" s="26"/>
      <c r="BN691" s="26"/>
      <c r="BO691" s="26"/>
      <c r="BP691" s="16" t="n">
        <v>45608</v>
      </c>
      <c r="BQ691" s="28" t="str">
        <f>HYPERLINK("https://organic.ams.usda.gov/Integrity/Certificate.aspx?cid=43&amp;nopid=3536509238")</f>
        <v>https://organic.ams.usda.gov/Integrity/Certificate.aspx?cid=43&amp;nopid=3536509238</v>
      </c>
    </row>
    <row r="692">
      <c r="A692" t="s">
        <v>3</v>
      </c>
      <c r="B692" s="6" t="s">
        <v>18</v>
      </c>
      <c r="C692" s="6" t="s">
        <v>84</v>
      </c>
      <c r="D692" s="6" t="s">
        <v>149</v>
      </c>
      <c r="E692" s="10" t="s">
        <v>890</v>
      </c>
      <c r="F692" s="6" t="s">
        <v>3141</v>
      </c>
      <c r="G692" s="6" t="s">
        <v>104</v>
      </c>
      <c r="H692" s="6" t="s">
        <v>5526</v>
      </c>
      <c r="I692" s="6" t="s">
        <v>7378</v>
      </c>
      <c r="J692" s="6" t="s">
        <v>8660</v>
      </c>
      <c r="K692" s="6" t="s">
        <v>9714</v>
      </c>
      <c r="L692" s="16" t="n">
        <v>39739</v>
      </c>
      <c r="M692" s="16" t="n">
        <v>45870</v>
      </c>
      <c r="N692" s="6" t="s">
        <v>9714</v>
      </c>
      <c r="O692" s="16" t="n">
        <v>39739</v>
      </c>
      <c r="P692" s="6" t="s">
        <v>9912</v>
      </c>
      <c r="Q692" s="6" t="s">
        <v>104</v>
      </c>
      <c r="R692" s="6" t="s">
        <v>10348</v>
      </c>
      <c r="S692" s="6" t="s">
        <v>104</v>
      </c>
      <c r="T692" s="21" t="s">
        <v>104</v>
      </c>
      <c r="U692" s="6" t="s">
        <v>104</v>
      </c>
      <c r="V692" s="6" t="s">
        <v>104</v>
      </c>
      <c r="W692" s="6" t="s">
        <v>104</v>
      </c>
      <c r="X692" s="6" t="s">
        <v>104</v>
      </c>
      <c r="Y692" s="21" t="s">
        <v>104</v>
      </c>
      <c r="Z692" s="6" t="s">
        <v>104</v>
      </c>
      <c r="AA692" s="6" t="s">
        <v>104</v>
      </c>
      <c r="AB692" s="6" t="s">
        <v>104</v>
      </c>
      <c r="AC692" s="6" t="s">
        <v>9714</v>
      </c>
      <c r="AD692" s="16" t="n">
        <v>45601</v>
      </c>
      <c r="AE692" s="6" t="s">
        <v>11140</v>
      </c>
      <c r="AF692" s="6" t="s">
        <v>104</v>
      </c>
      <c r="AG692" s="6" t="s">
        <v>12704</v>
      </c>
      <c r="AH692" s="6" t="s">
        <v>13782</v>
      </c>
      <c r="AI692" s="6" t="s">
        <v>104</v>
      </c>
      <c r="AJ692" s="6" t="s">
        <v>15815</v>
      </c>
      <c r="AK692" s="6" t="s">
        <v>16738</v>
      </c>
      <c r="AL692" s="6" t="s">
        <v>16931</v>
      </c>
      <c r="AM692" s="6" t="s">
        <v>17445</v>
      </c>
      <c r="AN692" s="6" t="s">
        <v>18501</v>
      </c>
      <c r="AO692" s="6" t="s">
        <v>18633</v>
      </c>
      <c r="AP692" s="6" t="s">
        <v>104</v>
      </c>
      <c r="AQ692" s="6" t="s">
        <v>104</v>
      </c>
      <c r="AR692" s="6" t="s">
        <v>104</v>
      </c>
      <c r="AS692" s="6" t="s">
        <v>104</v>
      </c>
      <c r="AT692" s="6" t="s">
        <v>104</v>
      </c>
      <c r="AU692" s="6" t="s">
        <v>104</v>
      </c>
      <c r="AV692" s="6" t="s">
        <v>104</v>
      </c>
      <c r="AW692" s="6" t="s">
        <v>104</v>
      </c>
      <c r="AX692" s="6" t="s">
        <v>20651</v>
      </c>
      <c r="AY692" s="6" t="s">
        <v>22423</v>
      </c>
      <c r="AZ692" s="6" t="s">
        <v>104</v>
      </c>
      <c r="BA692" s="6" t="s">
        <v>24364</v>
      </c>
      <c r="BB692" s="24" t="n">
        <v>2231</v>
      </c>
      <c r="BC692" s="26"/>
      <c r="BD692" s="26"/>
      <c r="BE692" s="26"/>
      <c r="BF692" s="26"/>
      <c r="BG692" s="26"/>
      <c r="BH692" s="26"/>
      <c r="BI692" s="26"/>
      <c r="BJ692" s="26"/>
      <c r="BK692" s="26"/>
      <c r="BL692" s="26"/>
      <c r="BM692" s="26"/>
      <c r="BN692" s="26" t="s">
        <v>24533</v>
      </c>
      <c r="BO692" s="26"/>
      <c r="BP692" s="16" t="n">
        <v>45737</v>
      </c>
      <c r="BQ692" s="28" t="str">
        <f>HYPERLINK("https://organic.ams.usda.gov/Integrity/Certificate.aspx?cid=31&amp;nopid=3920897802")</f>
        <v>https://organic.ams.usda.gov/Integrity/Certificate.aspx?cid=31&amp;nopid=3920897802</v>
      </c>
    </row>
    <row r="693">
      <c r="A693" t="s">
        <v>3</v>
      </c>
      <c r="B693" s="6" t="s">
        <v>20</v>
      </c>
      <c r="C693" s="6" t="s">
        <v>86</v>
      </c>
      <c r="D693" s="6" t="s">
        <v>151</v>
      </c>
      <c r="E693" s="10" t="s">
        <v>891</v>
      </c>
      <c r="F693" s="6" t="s">
        <v>3142</v>
      </c>
      <c r="G693" s="6" t="s">
        <v>104</v>
      </c>
      <c r="H693" s="6" t="s">
        <v>5527</v>
      </c>
      <c r="I693" s="6" t="s">
        <v>7379</v>
      </c>
      <c r="J693" s="6" t="s">
        <v>8661</v>
      </c>
      <c r="K693" s="6" t="s">
        <v>9714</v>
      </c>
      <c r="L693" s="16" t="n">
        <v>43112</v>
      </c>
      <c r="M693" s="16" t="n">
        <v>46081</v>
      </c>
      <c r="N693" s="6" t="s">
        <v>104</v>
      </c>
      <c r="O693" s="21" t="s">
        <v>104</v>
      </c>
      <c r="P693" s="6" t="s">
        <v>104</v>
      </c>
      <c r="Q693" s="6" t="s">
        <v>104</v>
      </c>
      <c r="R693" s="6" t="s">
        <v>104</v>
      </c>
      <c r="S693" s="6" t="s">
        <v>104</v>
      </c>
      <c r="T693" s="21" t="s">
        <v>104</v>
      </c>
      <c r="U693" s="6" t="s">
        <v>104</v>
      </c>
      <c r="V693" s="6" t="s">
        <v>104</v>
      </c>
      <c r="W693" s="6" t="s">
        <v>104</v>
      </c>
      <c r="X693" s="6" t="s">
        <v>104</v>
      </c>
      <c r="Y693" s="21" t="s">
        <v>104</v>
      </c>
      <c r="Z693" s="6" t="s">
        <v>104</v>
      </c>
      <c r="AA693" s="6" t="s">
        <v>104</v>
      </c>
      <c r="AB693" s="6" t="s">
        <v>104</v>
      </c>
      <c r="AC693" s="6" t="s">
        <v>9714</v>
      </c>
      <c r="AD693" s="16" t="n">
        <v>43112</v>
      </c>
      <c r="AE693" s="6" t="s">
        <v>11141</v>
      </c>
      <c r="AF693" s="6" t="s">
        <v>104</v>
      </c>
      <c r="AG693" s="6" t="s">
        <v>12705</v>
      </c>
      <c r="AH693" s="6" t="s">
        <v>13783</v>
      </c>
      <c r="AI693" s="6" t="s">
        <v>104</v>
      </c>
      <c r="AJ693" s="6" t="s">
        <v>15816</v>
      </c>
      <c r="AK693" s="6" t="s">
        <v>15816</v>
      </c>
      <c r="AL693" s="6" t="s">
        <v>15513</v>
      </c>
      <c r="AM693" s="6" t="s">
        <v>17446</v>
      </c>
      <c r="AN693" s="6" t="s">
        <v>104</v>
      </c>
      <c r="AO693" s="6" t="s">
        <v>104</v>
      </c>
      <c r="AP693" s="6" t="s">
        <v>104</v>
      </c>
      <c r="AQ693" s="6" t="s">
        <v>104</v>
      </c>
      <c r="AR693" s="6" t="s">
        <v>104</v>
      </c>
      <c r="AS693" s="6" t="s">
        <v>104</v>
      </c>
      <c r="AT693" s="6" t="s">
        <v>104</v>
      </c>
      <c r="AU693" s="6" t="s">
        <v>104</v>
      </c>
      <c r="AV693" s="6" t="s">
        <v>104</v>
      </c>
      <c r="AW693" s="6" t="s">
        <v>104</v>
      </c>
      <c r="AX693" s="6" t="s">
        <v>20652</v>
      </c>
      <c r="AY693" s="6" t="s">
        <v>22424</v>
      </c>
      <c r="AZ693" s="6" t="s">
        <v>104</v>
      </c>
      <c r="BA693" s="6" t="s">
        <v>24365</v>
      </c>
      <c r="BB693" s="6" t="s">
        <v>104</v>
      </c>
      <c r="BC693" s="26"/>
      <c r="BD693" s="26"/>
      <c r="BE693" s="26"/>
      <c r="BF693" s="26"/>
      <c r="BG693" s="26"/>
      <c r="BH693" s="26"/>
      <c r="BI693" s="26"/>
      <c r="BJ693" s="26"/>
      <c r="BK693" s="26"/>
      <c r="BL693" s="26"/>
      <c r="BM693" s="26"/>
      <c r="BN693" s="26"/>
      <c r="BO693" s="26"/>
      <c r="BP693" s="16" t="n">
        <v>45678</v>
      </c>
      <c r="BQ693" s="28" t="str">
        <f>HYPERLINK("https://organic.ams.usda.gov/Integrity/Certificate.aspx?cid=17&amp;nopid=4087185020")</f>
        <v>https://organic.ams.usda.gov/Integrity/Certificate.aspx?cid=17&amp;nopid=4087185020</v>
      </c>
    </row>
    <row r="694">
      <c r="A694" t="s">
        <v>3</v>
      </c>
      <c r="B694" s="6" t="s">
        <v>16</v>
      </c>
      <c r="C694" s="6" t="s">
        <v>82</v>
      </c>
      <c r="D694" s="6" t="s">
        <v>147</v>
      </c>
      <c r="E694" s="10" t="s">
        <v>892</v>
      </c>
      <c r="F694" s="6" t="s">
        <v>3143</v>
      </c>
      <c r="G694" s="6" t="s">
        <v>104</v>
      </c>
      <c r="H694" s="6" t="s">
        <v>5528</v>
      </c>
      <c r="I694" s="6" t="s">
        <v>7380</v>
      </c>
      <c r="J694" s="6" t="s">
        <v>8662</v>
      </c>
      <c r="K694" s="6" t="s">
        <v>9714</v>
      </c>
      <c r="L694" s="16" t="n">
        <v>42607</v>
      </c>
      <c r="M694" s="16" t="n">
        <v>45900</v>
      </c>
      <c r="N694" s="6" t="s">
        <v>9714</v>
      </c>
      <c r="O694" s="16" t="n">
        <v>42607</v>
      </c>
      <c r="P694" s="6" t="s">
        <v>9913</v>
      </c>
      <c r="Q694" s="6" t="s">
        <v>104</v>
      </c>
      <c r="R694" s="6" t="s">
        <v>5528</v>
      </c>
      <c r="S694" s="6" t="s">
        <v>104</v>
      </c>
      <c r="T694" s="21" t="s">
        <v>104</v>
      </c>
      <c r="U694" s="6" t="s">
        <v>104</v>
      </c>
      <c r="V694" s="6" t="s">
        <v>104</v>
      </c>
      <c r="W694" s="6" t="s">
        <v>104</v>
      </c>
      <c r="X694" s="6" t="s">
        <v>104</v>
      </c>
      <c r="Y694" s="21" t="s">
        <v>104</v>
      </c>
      <c r="Z694" s="6" t="s">
        <v>104</v>
      </c>
      <c r="AA694" s="6" t="s">
        <v>104</v>
      </c>
      <c r="AB694" s="6" t="s">
        <v>104</v>
      </c>
      <c r="AC694" s="6" t="s">
        <v>104</v>
      </c>
      <c r="AD694" s="21" t="s">
        <v>104</v>
      </c>
      <c r="AE694" s="6" t="s">
        <v>104</v>
      </c>
      <c r="AF694" s="6" t="s">
        <v>104</v>
      </c>
      <c r="AG694" s="6" t="s">
        <v>104</v>
      </c>
      <c r="AH694" s="6" t="s">
        <v>13784</v>
      </c>
      <c r="AI694" s="6" t="s">
        <v>104</v>
      </c>
      <c r="AJ694" s="6" t="s">
        <v>15741</v>
      </c>
      <c r="AK694" s="6" t="s">
        <v>16684</v>
      </c>
      <c r="AL694" s="6" t="s">
        <v>16931</v>
      </c>
      <c r="AM694" s="6" t="s">
        <v>17361</v>
      </c>
      <c r="AN694" s="6" t="s">
        <v>18480</v>
      </c>
      <c r="AO694" s="6" t="s">
        <v>18590</v>
      </c>
      <c r="AP694" s="6" t="s">
        <v>13784</v>
      </c>
      <c r="AQ694" s="6" t="s">
        <v>104</v>
      </c>
      <c r="AR694" s="6" t="s">
        <v>15741</v>
      </c>
      <c r="AS694" s="6" t="s">
        <v>16684</v>
      </c>
      <c r="AT694" s="6" t="s">
        <v>16931</v>
      </c>
      <c r="AU694" s="6" t="s">
        <v>17361</v>
      </c>
      <c r="AV694" s="6" t="s">
        <v>18466</v>
      </c>
      <c r="AW694" s="6" t="s">
        <v>18923</v>
      </c>
      <c r="AX694" s="6" t="s">
        <v>20653</v>
      </c>
      <c r="AY694" s="6" t="s">
        <v>22425</v>
      </c>
      <c r="AZ694" s="6" t="s">
        <v>104</v>
      </c>
      <c r="BA694" s="6" t="s">
        <v>104</v>
      </c>
      <c r="BB694" s="24" t="n">
        <v>1720</v>
      </c>
      <c r="BC694" s="26"/>
      <c r="BD694" s="26"/>
      <c r="BE694" s="26"/>
      <c r="BF694" s="26"/>
      <c r="BG694" s="26"/>
      <c r="BH694" s="26"/>
      <c r="BI694" s="26"/>
      <c r="BJ694" s="26"/>
      <c r="BK694" s="26"/>
      <c r="BL694" s="26"/>
      <c r="BM694" s="26"/>
      <c r="BN694" s="26"/>
      <c r="BO694" s="26"/>
      <c r="BP694" s="16" t="n">
        <v>45609</v>
      </c>
      <c r="BQ694" s="28" t="str">
        <f>HYPERLINK("https://organic.ams.usda.gov/Integrity/Certificate.aspx?cid=77&amp;nopid=3510741908")</f>
        <v>https://organic.ams.usda.gov/Integrity/Certificate.aspx?cid=77&amp;nopid=3510741908</v>
      </c>
    </row>
    <row r="695">
      <c r="A695" t="s">
        <v>3</v>
      </c>
      <c r="B695" s="6" t="s">
        <v>55</v>
      </c>
      <c r="C695" s="6" t="s">
        <v>121</v>
      </c>
      <c r="D695" s="6" t="s">
        <v>185</v>
      </c>
      <c r="E695" s="10" t="s">
        <v>893</v>
      </c>
      <c r="F695" s="6" t="s">
        <v>3144</v>
      </c>
      <c r="G695" s="6" t="s">
        <v>104</v>
      </c>
      <c r="H695" s="6" t="s">
        <v>5217</v>
      </c>
      <c r="I695" s="6" t="s">
        <v>6943</v>
      </c>
      <c r="J695" s="6" t="s">
        <v>8663</v>
      </c>
      <c r="K695" s="6" t="s">
        <v>9714</v>
      </c>
      <c r="L695" s="16" t="n">
        <v>40603</v>
      </c>
      <c r="M695" s="16" t="n">
        <v>45658</v>
      </c>
      <c r="N695" s="6" t="s">
        <v>104</v>
      </c>
      <c r="O695" s="21" t="s">
        <v>104</v>
      </c>
      <c r="P695" s="6" t="s">
        <v>104</v>
      </c>
      <c r="Q695" s="6" t="s">
        <v>104</v>
      </c>
      <c r="R695" s="6" t="s">
        <v>104</v>
      </c>
      <c r="S695" s="6" t="s">
        <v>104</v>
      </c>
      <c r="T695" s="21" t="s">
        <v>104</v>
      </c>
      <c r="U695" s="6" t="s">
        <v>104</v>
      </c>
      <c r="V695" s="6" t="s">
        <v>104</v>
      </c>
      <c r="W695" s="6" t="s">
        <v>104</v>
      </c>
      <c r="X695" s="6" t="s">
        <v>104</v>
      </c>
      <c r="Y695" s="21" t="s">
        <v>104</v>
      </c>
      <c r="Z695" s="6" t="s">
        <v>104</v>
      </c>
      <c r="AA695" s="6" t="s">
        <v>104</v>
      </c>
      <c r="AB695" s="6" t="s">
        <v>104</v>
      </c>
      <c r="AC695" s="6" t="s">
        <v>9714</v>
      </c>
      <c r="AD695" s="16" t="n">
        <v>40603</v>
      </c>
      <c r="AE695" s="6" t="s">
        <v>11142</v>
      </c>
      <c r="AF695" s="6" t="s">
        <v>104</v>
      </c>
      <c r="AG695" s="6" t="s">
        <v>5217</v>
      </c>
      <c r="AH695" s="6" t="s">
        <v>13785</v>
      </c>
      <c r="AI695" s="6" t="s">
        <v>104</v>
      </c>
      <c r="AJ695" s="6" t="s">
        <v>15817</v>
      </c>
      <c r="AK695" s="6" t="s">
        <v>16692</v>
      </c>
      <c r="AL695" s="6" t="s">
        <v>16931</v>
      </c>
      <c r="AM695" s="6" t="s">
        <v>17447</v>
      </c>
      <c r="AN695" s="6" t="s">
        <v>18456</v>
      </c>
      <c r="AO695" s="6" t="s">
        <v>18637</v>
      </c>
      <c r="AP695" s="6" t="s">
        <v>19124</v>
      </c>
      <c r="AQ695" s="6" t="s">
        <v>104</v>
      </c>
      <c r="AR695" s="6" t="s">
        <v>19655</v>
      </c>
      <c r="AS695" s="6" t="s">
        <v>16692</v>
      </c>
      <c r="AT695" s="6" t="s">
        <v>16931</v>
      </c>
      <c r="AU695" s="6" t="s">
        <v>19883</v>
      </c>
      <c r="AV695" s="6" t="s">
        <v>104</v>
      </c>
      <c r="AW695" s="6" t="s">
        <v>104</v>
      </c>
      <c r="AX695" s="6" t="s">
        <v>20654</v>
      </c>
      <c r="AY695" s="6" t="s">
        <v>22426</v>
      </c>
      <c r="AZ695" s="6" t="s">
        <v>104</v>
      </c>
      <c r="BA695" s="6" t="s">
        <v>104</v>
      </c>
      <c r="BB695" s="6" t="s">
        <v>104</v>
      </c>
      <c r="BC695" s="26"/>
      <c r="BD695" s="26"/>
      <c r="BE695" s="26"/>
      <c r="BF695" s="26"/>
      <c r="BG695" s="26"/>
      <c r="BH695" s="26" t="s">
        <v>24533</v>
      </c>
      <c r="BI695" s="26"/>
      <c r="BJ695" s="26"/>
      <c r="BK695" s="26"/>
      <c r="BL695" s="26"/>
      <c r="BM695" s="26"/>
      <c r="BN695" s="26"/>
      <c r="BO695" s="26"/>
      <c r="BP695" s="16" t="n">
        <v>45490</v>
      </c>
      <c r="BQ695" s="28" t="str">
        <f>HYPERLINK("https://organic.ams.usda.gov/Integrity/Certificate.aspx?cid=70&amp;nopid=6432830000")</f>
        <v>https://organic.ams.usda.gov/Integrity/Certificate.aspx?cid=70&amp;nopid=6432830000</v>
      </c>
    </row>
    <row r="696">
      <c r="A696" t="s">
        <v>3</v>
      </c>
      <c r="B696" s="6" t="s">
        <v>55</v>
      </c>
      <c r="C696" s="6" t="s">
        <v>121</v>
      </c>
      <c r="D696" s="6" t="s">
        <v>185</v>
      </c>
      <c r="E696" s="10" t="s">
        <v>894</v>
      </c>
      <c r="F696" s="6" t="s">
        <v>3144</v>
      </c>
      <c r="G696" s="6" t="s">
        <v>104</v>
      </c>
      <c r="H696" s="6" t="s">
        <v>5529</v>
      </c>
      <c r="I696" s="6" t="s">
        <v>6943</v>
      </c>
      <c r="J696" s="6" t="s">
        <v>8663</v>
      </c>
      <c r="K696" s="6" t="s">
        <v>9714</v>
      </c>
      <c r="L696" s="16" t="n">
        <v>43125</v>
      </c>
      <c r="M696" s="16" t="n">
        <v>45621</v>
      </c>
      <c r="N696" s="6" t="s">
        <v>104</v>
      </c>
      <c r="O696" s="21" t="s">
        <v>104</v>
      </c>
      <c r="P696" s="6" t="s">
        <v>104</v>
      </c>
      <c r="Q696" s="6" t="s">
        <v>104</v>
      </c>
      <c r="R696" s="6" t="s">
        <v>104</v>
      </c>
      <c r="S696" s="6" t="s">
        <v>104</v>
      </c>
      <c r="T696" s="21" t="s">
        <v>104</v>
      </c>
      <c r="U696" s="6" t="s">
        <v>104</v>
      </c>
      <c r="V696" s="6" t="s">
        <v>104</v>
      </c>
      <c r="W696" s="6" t="s">
        <v>104</v>
      </c>
      <c r="X696" s="6" t="s">
        <v>104</v>
      </c>
      <c r="Y696" s="21" t="s">
        <v>104</v>
      </c>
      <c r="Z696" s="6" t="s">
        <v>104</v>
      </c>
      <c r="AA696" s="6" t="s">
        <v>104</v>
      </c>
      <c r="AB696" s="6" t="s">
        <v>104</v>
      </c>
      <c r="AC696" s="6" t="s">
        <v>9714</v>
      </c>
      <c r="AD696" s="16" t="n">
        <v>43125</v>
      </c>
      <c r="AE696" s="6" t="s">
        <v>11143</v>
      </c>
      <c r="AF696" s="6" t="s">
        <v>104</v>
      </c>
      <c r="AG696" s="6" t="s">
        <v>12706</v>
      </c>
      <c r="AH696" s="6" t="s">
        <v>13786</v>
      </c>
      <c r="AI696" s="6" t="s">
        <v>104</v>
      </c>
      <c r="AJ696" s="6" t="s">
        <v>15818</v>
      </c>
      <c r="AK696" s="6" t="s">
        <v>16683</v>
      </c>
      <c r="AL696" s="6" t="s">
        <v>16931</v>
      </c>
      <c r="AM696" s="6" t="s">
        <v>17448</v>
      </c>
      <c r="AN696" s="6" t="s">
        <v>18478</v>
      </c>
      <c r="AO696" s="6" t="s">
        <v>18714</v>
      </c>
      <c r="AP696" s="6" t="s">
        <v>19124</v>
      </c>
      <c r="AQ696" s="6" t="s">
        <v>104</v>
      </c>
      <c r="AR696" s="6" t="s">
        <v>19655</v>
      </c>
      <c r="AS696" s="6" t="s">
        <v>16692</v>
      </c>
      <c r="AT696" s="6" t="s">
        <v>16931</v>
      </c>
      <c r="AU696" s="6" t="s">
        <v>19883</v>
      </c>
      <c r="AV696" s="6" t="s">
        <v>104</v>
      </c>
      <c r="AW696" s="6" t="s">
        <v>104</v>
      </c>
      <c r="AX696" s="6" t="s">
        <v>20655</v>
      </c>
      <c r="AY696" s="6" t="s">
        <v>22427</v>
      </c>
      <c r="AZ696" s="6" t="s">
        <v>23861</v>
      </c>
      <c r="BA696" s="6" t="s">
        <v>104</v>
      </c>
      <c r="BB696" s="6" t="s">
        <v>104</v>
      </c>
      <c r="BC696" s="26"/>
      <c r="BD696" s="26"/>
      <c r="BE696" s="26"/>
      <c r="BF696" s="26"/>
      <c r="BG696" s="26"/>
      <c r="BH696" s="26"/>
      <c r="BI696" s="26"/>
      <c r="BJ696" s="26"/>
      <c r="BK696" s="26"/>
      <c r="BL696" s="26"/>
      <c r="BM696" s="26"/>
      <c r="BN696" s="26" t="s">
        <v>24533</v>
      </c>
      <c r="BO696" s="26"/>
      <c r="BP696" s="16" t="n">
        <v>45484</v>
      </c>
      <c r="BQ696" s="28" t="str">
        <f>HYPERLINK("https://organic.ams.usda.gov/Integrity/Certificate.aspx?cid=70&amp;nopid=6436313632")</f>
        <v>https://organic.ams.usda.gov/Integrity/Certificate.aspx?cid=70&amp;nopid=6436313632</v>
      </c>
    </row>
    <row r="697">
      <c r="A697" t="s">
        <v>3</v>
      </c>
      <c r="B697" s="6" t="s">
        <v>47</v>
      </c>
      <c r="C697" s="6" t="s">
        <v>113</v>
      </c>
      <c r="D697" s="6" t="s">
        <v>177</v>
      </c>
      <c r="E697" s="10" t="s">
        <v>895</v>
      </c>
      <c r="F697" s="6" t="s">
        <v>3145</v>
      </c>
      <c r="G697" s="6" t="s">
        <v>104</v>
      </c>
      <c r="H697" s="6" t="s">
        <v>5530</v>
      </c>
      <c r="I697" s="6" t="s">
        <v>7381</v>
      </c>
      <c r="J697" s="6" t="s">
        <v>8664</v>
      </c>
      <c r="K697" s="6" t="s">
        <v>9714</v>
      </c>
      <c r="L697" s="16" t="n">
        <v>45415</v>
      </c>
      <c r="M697" s="16" t="n">
        <v>45762</v>
      </c>
      <c r="N697" s="6" t="s">
        <v>9714</v>
      </c>
      <c r="O697" s="16" t="n">
        <v>45415</v>
      </c>
      <c r="P697" s="6" t="s">
        <v>9914</v>
      </c>
      <c r="Q697" s="6" t="s">
        <v>104</v>
      </c>
      <c r="R697" s="6" t="s">
        <v>10349</v>
      </c>
      <c r="S697" s="6" t="s">
        <v>104</v>
      </c>
      <c r="T697" s="21" t="s">
        <v>104</v>
      </c>
      <c r="U697" s="6" t="s">
        <v>104</v>
      </c>
      <c r="V697" s="6" t="s">
        <v>104</v>
      </c>
      <c r="W697" s="6" t="s">
        <v>104</v>
      </c>
      <c r="X697" s="6" t="s">
        <v>104</v>
      </c>
      <c r="Y697" s="21" t="s">
        <v>104</v>
      </c>
      <c r="Z697" s="6" t="s">
        <v>104</v>
      </c>
      <c r="AA697" s="6" t="s">
        <v>104</v>
      </c>
      <c r="AB697" s="6" t="s">
        <v>104</v>
      </c>
      <c r="AC697" s="6" t="s">
        <v>104</v>
      </c>
      <c r="AD697" s="21" t="s">
        <v>104</v>
      </c>
      <c r="AE697" s="6" t="s">
        <v>104</v>
      </c>
      <c r="AF697" s="6" t="s">
        <v>104</v>
      </c>
      <c r="AG697" s="6" t="s">
        <v>104</v>
      </c>
      <c r="AH697" s="6" t="s">
        <v>13787</v>
      </c>
      <c r="AI697" s="6" t="s">
        <v>104</v>
      </c>
      <c r="AJ697" s="6" t="s">
        <v>7171</v>
      </c>
      <c r="AK697" s="6" t="s">
        <v>16734</v>
      </c>
      <c r="AL697" s="6" t="s">
        <v>16931</v>
      </c>
      <c r="AM697" s="6" t="s">
        <v>17449</v>
      </c>
      <c r="AN697" s="6" t="s">
        <v>104</v>
      </c>
      <c r="AO697" s="6" t="s">
        <v>104</v>
      </c>
      <c r="AP697" s="6" t="s">
        <v>13787</v>
      </c>
      <c r="AQ697" s="6" t="s">
        <v>104</v>
      </c>
      <c r="AR697" s="6" t="s">
        <v>7171</v>
      </c>
      <c r="AS697" s="6" t="s">
        <v>16734</v>
      </c>
      <c r="AT697" s="6" t="s">
        <v>16931</v>
      </c>
      <c r="AU697" s="6" t="s">
        <v>17449</v>
      </c>
      <c r="AV697" s="6" t="s">
        <v>104</v>
      </c>
      <c r="AW697" s="6" t="s">
        <v>104</v>
      </c>
      <c r="AX697" s="6" t="s">
        <v>20656</v>
      </c>
      <c r="AY697" s="6" t="s">
        <v>22428</v>
      </c>
      <c r="AZ697" s="6" t="s">
        <v>23862</v>
      </c>
      <c r="BA697" s="6" t="s">
        <v>104</v>
      </c>
      <c r="BB697" s="24" t="n">
        <v>2</v>
      </c>
      <c r="BC697" s="26"/>
      <c r="BD697" s="26"/>
      <c r="BE697" s="26"/>
      <c r="BF697" s="26"/>
      <c r="BG697" s="26"/>
      <c r="BH697" s="26"/>
      <c r="BI697" s="26"/>
      <c r="BJ697" s="26"/>
      <c r="BK697" s="26"/>
      <c r="BL697" s="26"/>
      <c r="BM697" s="26"/>
      <c r="BN697" s="26"/>
      <c r="BO697" s="26"/>
      <c r="BP697" s="16" t="n">
        <v>45695</v>
      </c>
      <c r="BQ697" s="28" t="str">
        <f>HYPERLINK("https://organic.ams.usda.gov/Integrity/Certificate.aspx?cid=47&amp;nopid=7142077916")</f>
        <v>https://organic.ams.usda.gov/Integrity/Certificate.aspx?cid=47&amp;nopid=7142077916</v>
      </c>
    </row>
    <row r="698">
      <c r="A698" t="s">
        <v>3</v>
      </c>
      <c r="B698" s="6" t="s">
        <v>34</v>
      </c>
      <c r="C698" s="6" t="s">
        <v>100</v>
      </c>
      <c r="D698" s="6" t="s">
        <v>165</v>
      </c>
      <c r="E698" s="10" t="s">
        <v>896</v>
      </c>
      <c r="F698" s="6" t="s">
        <v>3146</v>
      </c>
      <c r="G698" s="6" t="s">
        <v>104</v>
      </c>
      <c r="H698" s="6" t="s">
        <v>5531</v>
      </c>
      <c r="I698" s="6" t="s">
        <v>7382</v>
      </c>
      <c r="J698" s="6" t="s">
        <v>8665</v>
      </c>
      <c r="K698" s="6" t="s">
        <v>9714</v>
      </c>
      <c r="L698" s="16" t="n">
        <v>37375</v>
      </c>
      <c r="M698" s="16" t="n">
        <v>45687</v>
      </c>
      <c r="N698" s="6" t="s">
        <v>104</v>
      </c>
      <c r="O698" s="21" t="s">
        <v>104</v>
      </c>
      <c r="P698" s="6" t="s">
        <v>104</v>
      </c>
      <c r="Q698" s="6" t="s">
        <v>104</v>
      </c>
      <c r="R698" s="6" t="s">
        <v>104</v>
      </c>
      <c r="S698" s="6" t="s">
        <v>104</v>
      </c>
      <c r="T698" s="21" t="s">
        <v>104</v>
      </c>
      <c r="U698" s="6" t="s">
        <v>104</v>
      </c>
      <c r="V698" s="6" t="s">
        <v>104</v>
      </c>
      <c r="W698" s="6" t="s">
        <v>104</v>
      </c>
      <c r="X698" s="6" t="s">
        <v>104</v>
      </c>
      <c r="Y698" s="21" t="s">
        <v>104</v>
      </c>
      <c r="Z698" s="6" t="s">
        <v>104</v>
      </c>
      <c r="AA698" s="6" t="s">
        <v>104</v>
      </c>
      <c r="AB698" s="6" t="s">
        <v>104</v>
      </c>
      <c r="AC698" s="6" t="s">
        <v>9714</v>
      </c>
      <c r="AD698" s="16" t="n">
        <v>37375</v>
      </c>
      <c r="AE698" s="6" t="s">
        <v>11144</v>
      </c>
      <c r="AF698" s="6" t="s">
        <v>104</v>
      </c>
      <c r="AG698" s="6" t="s">
        <v>12707</v>
      </c>
      <c r="AH698" s="6" t="s">
        <v>13788</v>
      </c>
      <c r="AI698" s="6" t="s">
        <v>104</v>
      </c>
      <c r="AJ698" s="6" t="s">
        <v>15819</v>
      </c>
      <c r="AK698" s="6" t="s">
        <v>16687</v>
      </c>
      <c r="AL698" s="6" t="s">
        <v>16931</v>
      </c>
      <c r="AM698" s="6" t="s">
        <v>17450</v>
      </c>
      <c r="AN698" s="6" t="s">
        <v>18521</v>
      </c>
      <c r="AO698" s="6" t="s">
        <v>18715</v>
      </c>
      <c r="AP698" s="6" t="s">
        <v>19125</v>
      </c>
      <c r="AQ698" s="6" t="s">
        <v>104</v>
      </c>
      <c r="AR698" s="6" t="s">
        <v>15819</v>
      </c>
      <c r="AS698" s="6" t="s">
        <v>16687</v>
      </c>
      <c r="AT698" s="6" t="s">
        <v>16931</v>
      </c>
      <c r="AU698" s="6" t="s">
        <v>17450</v>
      </c>
      <c r="AV698" s="6" t="s">
        <v>104</v>
      </c>
      <c r="AW698" s="6" t="s">
        <v>104</v>
      </c>
      <c r="AX698" s="6" t="s">
        <v>20657</v>
      </c>
      <c r="AY698" s="6" t="s">
        <v>22429</v>
      </c>
      <c r="AZ698" s="6" t="s">
        <v>104</v>
      </c>
      <c r="BA698" s="6" t="s">
        <v>104</v>
      </c>
      <c r="BB698" s="6" t="s">
        <v>104</v>
      </c>
      <c r="BC698" s="26"/>
      <c r="BD698" s="26"/>
      <c r="BE698" s="26"/>
      <c r="BF698" s="26"/>
      <c r="BG698" s="26" t="s">
        <v>24533</v>
      </c>
      <c r="BH698" s="26"/>
      <c r="BI698" s="26"/>
      <c r="BJ698" s="26"/>
      <c r="BK698" s="26"/>
      <c r="BL698" s="26"/>
      <c r="BM698" s="26"/>
      <c r="BN698" s="26"/>
      <c r="BO698" s="26"/>
      <c r="BP698" s="16" t="n">
        <v>45737</v>
      </c>
      <c r="BQ698" s="28" t="str">
        <f>HYPERLINK("https://organic.ams.usda.gov/Integrity/Certificate.aspx?cid=71&amp;nopid=5520031151")</f>
        <v>https://organic.ams.usda.gov/Integrity/Certificate.aspx?cid=71&amp;nopid=5520031151</v>
      </c>
    </row>
    <row r="699">
      <c r="A699" t="s">
        <v>3</v>
      </c>
      <c r="B699" s="6" t="s">
        <v>33</v>
      </c>
      <c r="C699" s="6" t="s">
        <v>99</v>
      </c>
      <c r="D699" s="6" t="s">
        <v>164</v>
      </c>
      <c r="E699" s="10" t="s">
        <v>897</v>
      </c>
      <c r="F699" s="6" t="s">
        <v>3147</v>
      </c>
      <c r="G699" s="6" t="s">
        <v>104</v>
      </c>
      <c r="H699" s="6" t="s">
        <v>104</v>
      </c>
      <c r="I699" s="6" t="s">
        <v>7383</v>
      </c>
      <c r="J699" s="6" t="s">
        <v>8666</v>
      </c>
      <c r="K699" s="6" t="s">
        <v>9714</v>
      </c>
      <c r="L699" s="16" t="n">
        <v>37424</v>
      </c>
      <c r="M699" s="16" t="n">
        <v>45383</v>
      </c>
      <c r="N699" s="6" t="s">
        <v>104</v>
      </c>
      <c r="O699" s="21" t="s">
        <v>104</v>
      </c>
      <c r="P699" s="6" t="s">
        <v>104</v>
      </c>
      <c r="Q699" s="6" t="s">
        <v>104</v>
      </c>
      <c r="R699" s="6" t="s">
        <v>104</v>
      </c>
      <c r="S699" s="6" t="s">
        <v>104</v>
      </c>
      <c r="T699" s="21" t="s">
        <v>104</v>
      </c>
      <c r="U699" s="6" t="s">
        <v>104</v>
      </c>
      <c r="V699" s="6" t="s">
        <v>104</v>
      </c>
      <c r="W699" s="6" t="s">
        <v>104</v>
      </c>
      <c r="X699" s="6" t="s">
        <v>104</v>
      </c>
      <c r="Y699" s="21" t="s">
        <v>104</v>
      </c>
      <c r="Z699" s="6" t="s">
        <v>104</v>
      </c>
      <c r="AA699" s="6" t="s">
        <v>104</v>
      </c>
      <c r="AB699" s="6" t="s">
        <v>104</v>
      </c>
      <c r="AC699" s="6" t="s">
        <v>9714</v>
      </c>
      <c r="AD699" s="16" t="n">
        <v>37424</v>
      </c>
      <c r="AE699" s="6" t="s">
        <v>11145</v>
      </c>
      <c r="AF699" s="6" t="s">
        <v>104</v>
      </c>
      <c r="AG699" s="6" t="s">
        <v>104</v>
      </c>
      <c r="AH699" s="6" t="s">
        <v>13789</v>
      </c>
      <c r="AI699" s="6" t="s">
        <v>104</v>
      </c>
      <c r="AJ699" s="6" t="s">
        <v>15820</v>
      </c>
      <c r="AK699" s="6" t="s">
        <v>16683</v>
      </c>
      <c r="AL699" s="6" t="s">
        <v>16931</v>
      </c>
      <c r="AM699" s="6" t="s">
        <v>17451</v>
      </c>
      <c r="AN699" s="6" t="s">
        <v>18485</v>
      </c>
      <c r="AO699" s="6" t="s">
        <v>18716</v>
      </c>
      <c r="AP699" s="6" t="s">
        <v>13789</v>
      </c>
      <c r="AQ699" s="6" t="s">
        <v>104</v>
      </c>
      <c r="AR699" s="6" t="s">
        <v>15820</v>
      </c>
      <c r="AS699" s="6" t="s">
        <v>16683</v>
      </c>
      <c r="AT699" s="6" t="s">
        <v>16931</v>
      </c>
      <c r="AU699" s="6" t="s">
        <v>17451</v>
      </c>
      <c r="AV699" s="6" t="s">
        <v>104</v>
      </c>
      <c r="AW699" s="6" t="s">
        <v>104</v>
      </c>
      <c r="AX699" s="6" t="s">
        <v>20658</v>
      </c>
      <c r="AY699" s="6" t="s">
        <v>22430</v>
      </c>
      <c r="AZ699" s="6" t="s">
        <v>23863</v>
      </c>
      <c r="BA699" s="6" t="s">
        <v>104</v>
      </c>
      <c r="BB699" s="6" t="s">
        <v>104</v>
      </c>
      <c r="BC699" s="26"/>
      <c r="BD699" s="26"/>
      <c r="BE699" s="26"/>
      <c r="BF699" s="26"/>
      <c r="BG699" s="26"/>
      <c r="BH699" s="26"/>
      <c r="BI699" s="26"/>
      <c r="BJ699" s="26"/>
      <c r="BK699" s="26"/>
      <c r="BL699" s="26"/>
      <c r="BM699" s="26"/>
      <c r="BN699" s="26"/>
      <c r="BO699" s="26"/>
      <c r="BP699" s="16" t="n">
        <v>45524</v>
      </c>
      <c r="BQ699" s="28" t="str">
        <f>HYPERLINK("https://organic.ams.usda.gov/Integrity/Certificate.aspx?cid=46&amp;nopid=3670200002")</f>
        <v>https://organic.ams.usda.gov/Integrity/Certificate.aspx?cid=46&amp;nopid=3670200002</v>
      </c>
    </row>
    <row r="700">
      <c r="A700" t="s">
        <v>3</v>
      </c>
      <c r="B700" s="6" t="s">
        <v>21</v>
      </c>
      <c r="C700" s="6" t="s">
        <v>87</v>
      </c>
      <c r="D700" s="6" t="s">
        <v>152</v>
      </c>
      <c r="E700" s="10" t="s">
        <v>898</v>
      </c>
      <c r="F700" s="6" t="s">
        <v>3148</v>
      </c>
      <c r="G700" s="6" t="s">
        <v>104</v>
      </c>
      <c r="H700" s="6" t="s">
        <v>5532</v>
      </c>
      <c r="I700" s="6" t="s">
        <v>7384</v>
      </c>
      <c r="J700" s="6" t="s">
        <v>8667</v>
      </c>
      <c r="K700" s="6" t="s">
        <v>9714</v>
      </c>
      <c r="L700" s="16" t="n">
        <v>35836</v>
      </c>
      <c r="M700" s="16" t="n">
        <v>46023</v>
      </c>
      <c r="N700" s="6" t="s">
        <v>104</v>
      </c>
      <c r="O700" s="21" t="s">
        <v>104</v>
      </c>
      <c r="P700" s="6" t="s">
        <v>104</v>
      </c>
      <c r="Q700" s="6" t="s">
        <v>104</v>
      </c>
      <c r="R700" s="6" t="s">
        <v>104</v>
      </c>
      <c r="S700" s="6" t="s">
        <v>104</v>
      </c>
      <c r="T700" s="21" t="s">
        <v>104</v>
      </c>
      <c r="U700" s="6" t="s">
        <v>104</v>
      </c>
      <c r="V700" s="6" t="s">
        <v>104</v>
      </c>
      <c r="W700" s="6" t="s">
        <v>104</v>
      </c>
      <c r="X700" s="6" t="s">
        <v>104</v>
      </c>
      <c r="Y700" s="21" t="s">
        <v>104</v>
      </c>
      <c r="Z700" s="6" t="s">
        <v>104</v>
      </c>
      <c r="AA700" s="6" t="s">
        <v>104</v>
      </c>
      <c r="AB700" s="6" t="s">
        <v>104</v>
      </c>
      <c r="AC700" s="6" t="s">
        <v>9714</v>
      </c>
      <c r="AD700" s="16" t="n">
        <v>35836</v>
      </c>
      <c r="AE700" s="6" t="s">
        <v>11146</v>
      </c>
      <c r="AF700" s="6" t="s">
        <v>104</v>
      </c>
      <c r="AG700" s="6" t="s">
        <v>104</v>
      </c>
      <c r="AH700" s="6" t="s">
        <v>13790</v>
      </c>
      <c r="AI700" s="6" t="s">
        <v>104</v>
      </c>
      <c r="AJ700" s="6" t="s">
        <v>9366</v>
      </c>
      <c r="AK700" s="6" t="s">
        <v>16687</v>
      </c>
      <c r="AL700" s="6" t="s">
        <v>16931</v>
      </c>
      <c r="AM700" s="6" t="s">
        <v>17452</v>
      </c>
      <c r="AN700" s="6" t="s">
        <v>18467</v>
      </c>
      <c r="AO700" s="6" t="s">
        <v>18610</v>
      </c>
      <c r="AP700" s="6" t="s">
        <v>19126</v>
      </c>
      <c r="AQ700" s="6" t="s">
        <v>104</v>
      </c>
      <c r="AR700" s="6" t="s">
        <v>15781</v>
      </c>
      <c r="AS700" s="6" t="s">
        <v>16687</v>
      </c>
      <c r="AT700" s="6" t="s">
        <v>16931</v>
      </c>
      <c r="AU700" s="6" t="s">
        <v>19884</v>
      </c>
      <c r="AV700" s="6" t="s">
        <v>104</v>
      </c>
      <c r="AW700" s="6" t="s">
        <v>104</v>
      </c>
      <c r="AX700" s="6" t="s">
        <v>20659</v>
      </c>
      <c r="AY700" s="6" t="s">
        <v>22431</v>
      </c>
      <c r="AZ700" s="6" t="s">
        <v>23864</v>
      </c>
      <c r="BA700" s="6" t="s">
        <v>24366</v>
      </c>
      <c r="BB700" s="6" t="s">
        <v>104</v>
      </c>
      <c r="BC700" s="26"/>
      <c r="BD700" s="26"/>
      <c r="BE700" s="26"/>
      <c r="BF700" s="26"/>
      <c r="BG700" s="26"/>
      <c r="BH700" s="26"/>
      <c r="BI700" s="26"/>
      <c r="BJ700" s="26"/>
      <c r="BK700" s="26"/>
      <c r="BL700" s="26"/>
      <c r="BM700" s="26"/>
      <c r="BN700" s="26"/>
      <c r="BO700" s="26"/>
      <c r="BP700" s="16" t="n">
        <v>45667</v>
      </c>
      <c r="BQ700" s="28" t="str">
        <f>HYPERLINK("https://organic.ams.usda.gov/Integrity/Certificate.aspx?cid=15&amp;nopid=5561001658")</f>
        <v>https://organic.ams.usda.gov/Integrity/Certificate.aspx?cid=15&amp;nopid=5561001658</v>
      </c>
    </row>
    <row r="701">
      <c r="A701" t="s">
        <v>3</v>
      </c>
      <c r="B701" s="6" t="s">
        <v>21</v>
      </c>
      <c r="C701" s="6" t="s">
        <v>87</v>
      </c>
      <c r="D701" s="6" t="s">
        <v>152</v>
      </c>
      <c r="E701" s="10" t="s">
        <v>899</v>
      </c>
      <c r="F701" s="6" t="s">
        <v>3149</v>
      </c>
      <c r="G701" s="6" t="s">
        <v>104</v>
      </c>
      <c r="H701" s="6" t="s">
        <v>5533</v>
      </c>
      <c r="I701" s="6" t="s">
        <v>7124</v>
      </c>
      <c r="J701" s="6" t="s">
        <v>8668</v>
      </c>
      <c r="K701" s="6" t="s">
        <v>9714</v>
      </c>
      <c r="L701" s="16" t="n">
        <v>45371</v>
      </c>
      <c r="M701" s="16" t="n">
        <v>46023</v>
      </c>
      <c r="N701" s="6" t="s">
        <v>104</v>
      </c>
      <c r="O701" s="21" t="s">
        <v>104</v>
      </c>
      <c r="P701" s="6" t="s">
        <v>104</v>
      </c>
      <c r="Q701" s="6" t="s">
        <v>104</v>
      </c>
      <c r="R701" s="6" t="s">
        <v>104</v>
      </c>
      <c r="S701" s="6" t="s">
        <v>104</v>
      </c>
      <c r="T701" s="21" t="s">
        <v>104</v>
      </c>
      <c r="U701" s="6" t="s">
        <v>104</v>
      </c>
      <c r="V701" s="6" t="s">
        <v>104</v>
      </c>
      <c r="W701" s="6" t="s">
        <v>104</v>
      </c>
      <c r="X701" s="6" t="s">
        <v>104</v>
      </c>
      <c r="Y701" s="21" t="s">
        <v>104</v>
      </c>
      <c r="Z701" s="6" t="s">
        <v>104</v>
      </c>
      <c r="AA701" s="6" t="s">
        <v>104</v>
      </c>
      <c r="AB701" s="6" t="s">
        <v>104</v>
      </c>
      <c r="AC701" s="6" t="s">
        <v>9714</v>
      </c>
      <c r="AD701" s="16" t="n">
        <v>45371</v>
      </c>
      <c r="AE701" s="6" t="s">
        <v>11147</v>
      </c>
      <c r="AF701" s="6" t="s">
        <v>104</v>
      </c>
      <c r="AG701" s="6" t="s">
        <v>104</v>
      </c>
      <c r="AH701" s="6" t="s">
        <v>13791</v>
      </c>
      <c r="AI701" s="6" t="s">
        <v>104</v>
      </c>
      <c r="AJ701" s="6" t="s">
        <v>15821</v>
      </c>
      <c r="AK701" s="6" t="s">
        <v>16730</v>
      </c>
      <c r="AL701" s="6" t="s">
        <v>16931</v>
      </c>
      <c r="AM701" s="6" t="s">
        <v>17453</v>
      </c>
      <c r="AN701" s="6" t="s">
        <v>104</v>
      </c>
      <c r="AO701" s="6" t="s">
        <v>104</v>
      </c>
      <c r="AP701" s="6" t="s">
        <v>19127</v>
      </c>
      <c r="AQ701" s="6" t="s">
        <v>104</v>
      </c>
      <c r="AR701" s="6" t="s">
        <v>15821</v>
      </c>
      <c r="AS701" s="6" t="s">
        <v>16730</v>
      </c>
      <c r="AT701" s="6" t="s">
        <v>16931</v>
      </c>
      <c r="AU701" s="6" t="s">
        <v>17453</v>
      </c>
      <c r="AV701" s="6" t="s">
        <v>104</v>
      </c>
      <c r="AW701" s="6" t="s">
        <v>104</v>
      </c>
      <c r="AX701" s="6" t="s">
        <v>20660</v>
      </c>
      <c r="AY701" s="6" t="s">
        <v>22432</v>
      </c>
      <c r="AZ701" s="6" t="s">
        <v>23865</v>
      </c>
      <c r="BA701" s="6" t="s">
        <v>104</v>
      </c>
      <c r="BB701" s="6" t="s">
        <v>104</v>
      </c>
      <c r="BC701" s="26"/>
      <c r="BD701" s="26"/>
      <c r="BE701" s="26"/>
      <c r="BF701" s="26"/>
      <c r="BG701" s="26"/>
      <c r="BH701" s="26"/>
      <c r="BI701" s="26"/>
      <c r="BJ701" s="26"/>
      <c r="BK701" s="26"/>
      <c r="BL701" s="26"/>
      <c r="BM701" s="26"/>
      <c r="BN701" s="26"/>
      <c r="BO701" s="26"/>
      <c r="BP701" s="16" t="n">
        <v>45667</v>
      </c>
      <c r="BQ701" s="28" t="str">
        <f>HYPERLINK("https://organic.ams.usda.gov/Integrity/Certificate.aspx?cid=15&amp;nopid=5561008122")</f>
        <v>https://organic.ams.usda.gov/Integrity/Certificate.aspx?cid=15&amp;nopid=5561008122</v>
      </c>
    </row>
    <row r="702">
      <c r="A702" t="s">
        <v>3</v>
      </c>
      <c r="B702" s="6" t="s">
        <v>44</v>
      </c>
      <c r="C702" s="6" t="s">
        <v>110</v>
      </c>
      <c r="D702" s="6" t="s">
        <v>174</v>
      </c>
      <c r="E702" s="10" t="s">
        <v>900</v>
      </c>
      <c r="F702" s="6" t="s">
        <v>3150</v>
      </c>
      <c r="G702" s="6" t="s">
        <v>104</v>
      </c>
      <c r="H702" s="6" t="s">
        <v>5534</v>
      </c>
      <c r="I702" s="6" t="s">
        <v>7385</v>
      </c>
      <c r="J702" s="6" t="s">
        <v>8669</v>
      </c>
      <c r="K702" s="6" t="s">
        <v>9714</v>
      </c>
      <c r="L702" s="16" t="n">
        <v>40802</v>
      </c>
      <c r="M702" s="16" t="n">
        <v>45672</v>
      </c>
      <c r="N702" s="6" t="s">
        <v>104</v>
      </c>
      <c r="O702" s="21" t="s">
        <v>104</v>
      </c>
      <c r="P702" s="6" t="s">
        <v>104</v>
      </c>
      <c r="Q702" s="6" t="s">
        <v>104</v>
      </c>
      <c r="R702" s="6" t="s">
        <v>104</v>
      </c>
      <c r="S702" s="6" t="s">
        <v>104</v>
      </c>
      <c r="T702" s="21" t="s">
        <v>104</v>
      </c>
      <c r="U702" s="6" t="s">
        <v>104</v>
      </c>
      <c r="V702" s="6" t="s">
        <v>104</v>
      </c>
      <c r="W702" s="6" t="s">
        <v>104</v>
      </c>
      <c r="X702" s="6" t="s">
        <v>104</v>
      </c>
      <c r="Y702" s="21" t="s">
        <v>104</v>
      </c>
      <c r="Z702" s="6" t="s">
        <v>104</v>
      </c>
      <c r="AA702" s="6" t="s">
        <v>104</v>
      </c>
      <c r="AB702" s="6" t="s">
        <v>104</v>
      </c>
      <c r="AC702" s="6" t="s">
        <v>9714</v>
      </c>
      <c r="AD702" s="16" t="n">
        <v>40802</v>
      </c>
      <c r="AE702" s="6" t="s">
        <v>11148</v>
      </c>
      <c r="AF702" s="6" t="s">
        <v>104</v>
      </c>
      <c r="AG702" s="6" t="s">
        <v>104</v>
      </c>
      <c r="AH702" s="6" t="s">
        <v>13792</v>
      </c>
      <c r="AI702" s="6" t="s">
        <v>104</v>
      </c>
      <c r="AJ702" s="6" t="s">
        <v>15617</v>
      </c>
      <c r="AK702" s="6" t="s">
        <v>15697</v>
      </c>
      <c r="AL702" s="6" t="s">
        <v>16931</v>
      </c>
      <c r="AM702" s="6" t="s">
        <v>17236</v>
      </c>
      <c r="AN702" s="6" t="s">
        <v>18457</v>
      </c>
      <c r="AO702" s="6" t="s">
        <v>18717</v>
      </c>
      <c r="AP702" s="6" t="s">
        <v>13792</v>
      </c>
      <c r="AQ702" s="6" t="s">
        <v>104</v>
      </c>
      <c r="AR702" s="6" t="s">
        <v>15617</v>
      </c>
      <c r="AS702" s="6" t="s">
        <v>15697</v>
      </c>
      <c r="AT702" s="6" t="s">
        <v>16931</v>
      </c>
      <c r="AU702" s="6" t="s">
        <v>17236</v>
      </c>
      <c r="AV702" s="6" t="s">
        <v>104</v>
      </c>
      <c r="AW702" s="6" t="s">
        <v>104</v>
      </c>
      <c r="AX702" s="6" t="s">
        <v>20661</v>
      </c>
      <c r="AY702" s="6" t="s">
        <v>22433</v>
      </c>
      <c r="AZ702" s="6" t="s">
        <v>23866</v>
      </c>
      <c r="BA702" s="6" t="s">
        <v>104</v>
      </c>
      <c r="BB702" s="24" t="n">
        <v>0</v>
      </c>
      <c r="BC702" s="26"/>
      <c r="BD702" s="26"/>
      <c r="BE702" s="26"/>
      <c r="BF702" s="26"/>
      <c r="BG702" s="26"/>
      <c r="BH702" s="26"/>
      <c r="BI702" s="26"/>
      <c r="BJ702" s="26"/>
      <c r="BK702" s="26"/>
      <c r="BL702" s="26"/>
      <c r="BM702" s="26"/>
      <c r="BN702" s="26"/>
      <c r="BO702" s="26"/>
      <c r="BP702" s="16" t="n">
        <v>45632</v>
      </c>
      <c r="BQ702" s="28" t="str">
        <f>HYPERLINK("https://organic.ams.usda.gov/Integrity/Certificate.aspx?cid=57&amp;nopid=3252011045")</f>
        <v>https://organic.ams.usda.gov/Integrity/Certificate.aspx?cid=57&amp;nopid=3252011045</v>
      </c>
    </row>
    <row r="703">
      <c r="A703" t="s">
        <v>3</v>
      </c>
      <c r="B703" s="6" t="s">
        <v>54</v>
      </c>
      <c r="C703" s="6" t="s">
        <v>120</v>
      </c>
      <c r="D703" s="6" t="s">
        <v>184</v>
      </c>
      <c r="E703" s="10" t="s">
        <v>901</v>
      </c>
      <c r="F703" s="6" t="s">
        <v>3151</v>
      </c>
      <c r="G703" s="6" t="s">
        <v>104</v>
      </c>
      <c r="H703" s="6" t="s">
        <v>5535</v>
      </c>
      <c r="I703" s="6" t="s">
        <v>7386</v>
      </c>
      <c r="J703" s="6" t="s">
        <v>8670</v>
      </c>
      <c r="K703" s="6" t="s">
        <v>9714</v>
      </c>
      <c r="L703" s="16" t="n">
        <v>43083</v>
      </c>
      <c r="M703" s="16" t="n">
        <v>45809</v>
      </c>
      <c r="N703" s="6" t="s">
        <v>104</v>
      </c>
      <c r="O703" s="21" t="s">
        <v>104</v>
      </c>
      <c r="P703" s="6" t="s">
        <v>104</v>
      </c>
      <c r="Q703" s="6" t="s">
        <v>104</v>
      </c>
      <c r="R703" s="6" t="s">
        <v>104</v>
      </c>
      <c r="S703" s="6" t="s">
        <v>104</v>
      </c>
      <c r="T703" s="21" t="s">
        <v>104</v>
      </c>
      <c r="U703" s="6" t="s">
        <v>104</v>
      </c>
      <c r="V703" s="6" t="s">
        <v>104</v>
      </c>
      <c r="W703" s="6" t="s">
        <v>104</v>
      </c>
      <c r="X703" s="6" t="s">
        <v>104</v>
      </c>
      <c r="Y703" s="21" t="s">
        <v>104</v>
      </c>
      <c r="Z703" s="6" t="s">
        <v>104</v>
      </c>
      <c r="AA703" s="6" t="s">
        <v>104</v>
      </c>
      <c r="AB703" s="6" t="s">
        <v>104</v>
      </c>
      <c r="AC703" s="6" t="s">
        <v>9714</v>
      </c>
      <c r="AD703" s="16" t="n">
        <v>43083</v>
      </c>
      <c r="AE703" s="6" t="s">
        <v>11149</v>
      </c>
      <c r="AF703" s="6" t="s">
        <v>104</v>
      </c>
      <c r="AG703" s="6" t="s">
        <v>104</v>
      </c>
      <c r="AH703" s="6" t="s">
        <v>13793</v>
      </c>
      <c r="AI703" s="6" t="s">
        <v>104</v>
      </c>
      <c r="AJ703" s="6" t="s">
        <v>15822</v>
      </c>
      <c r="AK703" s="6" t="s">
        <v>16681</v>
      </c>
      <c r="AL703" s="6" t="s">
        <v>16931</v>
      </c>
      <c r="AM703" s="6" t="s">
        <v>17454</v>
      </c>
      <c r="AN703" s="6" t="s">
        <v>18505</v>
      </c>
      <c r="AO703" s="6" t="s">
        <v>18707</v>
      </c>
      <c r="AP703" s="6" t="s">
        <v>104</v>
      </c>
      <c r="AQ703" s="6" t="s">
        <v>104</v>
      </c>
      <c r="AR703" s="6" t="s">
        <v>104</v>
      </c>
      <c r="AS703" s="6" t="s">
        <v>104</v>
      </c>
      <c r="AT703" s="6" t="s">
        <v>104</v>
      </c>
      <c r="AU703" s="6" t="s">
        <v>104</v>
      </c>
      <c r="AV703" s="6" t="s">
        <v>104</v>
      </c>
      <c r="AW703" s="6" t="s">
        <v>104</v>
      </c>
      <c r="AX703" s="6" t="s">
        <v>20662</v>
      </c>
      <c r="AY703" s="6" t="s">
        <v>22434</v>
      </c>
      <c r="AZ703" s="6" t="s">
        <v>23867</v>
      </c>
      <c r="BA703" s="6" t="s">
        <v>24272</v>
      </c>
      <c r="BB703" s="6" t="s">
        <v>104</v>
      </c>
      <c r="BC703" s="26"/>
      <c r="BD703" s="26"/>
      <c r="BE703" s="26"/>
      <c r="BF703" s="26"/>
      <c r="BG703" s="26"/>
      <c r="BH703" s="26"/>
      <c r="BI703" s="26"/>
      <c r="BJ703" s="26"/>
      <c r="BK703" s="26"/>
      <c r="BL703" s="26"/>
      <c r="BM703" s="26"/>
      <c r="BN703" s="26" t="s">
        <v>24533</v>
      </c>
      <c r="BO703" s="26"/>
      <c r="BP703" s="16" t="n">
        <v>45708</v>
      </c>
      <c r="BQ703" s="28" t="str">
        <f>HYPERLINK("https://organic.ams.usda.gov/Integrity/Certificate.aspx?cid=60&amp;nopid=2580002256")</f>
        <v>https://organic.ams.usda.gov/Integrity/Certificate.aspx?cid=60&amp;nopid=2580002256</v>
      </c>
    </row>
    <row r="704">
      <c r="A704" t="s">
        <v>3</v>
      </c>
      <c r="B704" s="6" t="s">
        <v>61</v>
      </c>
      <c r="C704" s="6" t="s">
        <v>127</v>
      </c>
      <c r="D704" s="6" t="s">
        <v>191</v>
      </c>
      <c r="E704" s="10" t="s">
        <v>902</v>
      </c>
      <c r="F704" s="6" t="s">
        <v>3152</v>
      </c>
      <c r="G704" s="6" t="s">
        <v>104</v>
      </c>
      <c r="H704" s="6" t="s">
        <v>5536</v>
      </c>
      <c r="I704" s="6" t="s">
        <v>7006</v>
      </c>
      <c r="J704" s="6" t="s">
        <v>8671</v>
      </c>
      <c r="K704" s="6" t="s">
        <v>9714</v>
      </c>
      <c r="L704" s="16" t="n">
        <v>43566</v>
      </c>
      <c r="M704" s="16" t="n">
        <v>45726</v>
      </c>
      <c r="N704" s="6" t="s">
        <v>104</v>
      </c>
      <c r="O704" s="21" t="s">
        <v>104</v>
      </c>
      <c r="P704" s="6" t="s">
        <v>104</v>
      </c>
      <c r="Q704" s="6" t="s">
        <v>104</v>
      </c>
      <c r="R704" s="6" t="s">
        <v>104</v>
      </c>
      <c r="S704" s="6" t="s">
        <v>104</v>
      </c>
      <c r="T704" s="21" t="s">
        <v>104</v>
      </c>
      <c r="U704" s="6" t="s">
        <v>104</v>
      </c>
      <c r="V704" s="6" t="s">
        <v>104</v>
      </c>
      <c r="W704" s="6" t="s">
        <v>104</v>
      </c>
      <c r="X704" s="6" t="s">
        <v>104</v>
      </c>
      <c r="Y704" s="21" t="s">
        <v>104</v>
      </c>
      <c r="Z704" s="6" t="s">
        <v>104</v>
      </c>
      <c r="AA704" s="6" t="s">
        <v>104</v>
      </c>
      <c r="AB704" s="6" t="s">
        <v>104</v>
      </c>
      <c r="AC704" s="6" t="s">
        <v>9714</v>
      </c>
      <c r="AD704" s="16" t="n">
        <v>43566</v>
      </c>
      <c r="AE704" s="6" t="s">
        <v>11150</v>
      </c>
      <c r="AF704" s="6" t="s">
        <v>104</v>
      </c>
      <c r="AG704" s="6" t="s">
        <v>5536</v>
      </c>
      <c r="AH704" s="6" t="s">
        <v>13794</v>
      </c>
      <c r="AI704" s="6" t="s">
        <v>104</v>
      </c>
      <c r="AJ704" s="6" t="s">
        <v>15378</v>
      </c>
      <c r="AK704" s="6" t="s">
        <v>16687</v>
      </c>
      <c r="AL704" s="6" t="s">
        <v>16931</v>
      </c>
      <c r="AM704" s="6" t="s">
        <v>17455</v>
      </c>
      <c r="AN704" s="6" t="s">
        <v>5771</v>
      </c>
      <c r="AO704" s="6" t="s">
        <v>18563</v>
      </c>
      <c r="AP704" s="6" t="s">
        <v>19128</v>
      </c>
      <c r="AQ704" s="6" t="s">
        <v>104</v>
      </c>
      <c r="AR704" s="6" t="s">
        <v>19656</v>
      </c>
      <c r="AS704" s="6" t="s">
        <v>16687</v>
      </c>
      <c r="AT704" s="6" t="s">
        <v>16931</v>
      </c>
      <c r="AU704" s="6" t="s">
        <v>17455</v>
      </c>
      <c r="AV704" s="6" t="s">
        <v>104</v>
      </c>
      <c r="AW704" s="6" t="s">
        <v>104</v>
      </c>
      <c r="AX704" s="6" t="s">
        <v>20663</v>
      </c>
      <c r="AY704" s="6" t="s">
        <v>22435</v>
      </c>
      <c r="AZ704" s="6" t="s">
        <v>23868</v>
      </c>
      <c r="BA704" s="6" t="s">
        <v>104</v>
      </c>
      <c r="BB704" s="24" t="n">
        <v>0</v>
      </c>
      <c r="BC704" s="26"/>
      <c r="BD704" s="26"/>
      <c r="BE704" s="26"/>
      <c r="BF704" s="26"/>
      <c r="BG704" s="26"/>
      <c r="BH704" s="26"/>
      <c r="BI704" s="26"/>
      <c r="BJ704" s="26"/>
      <c r="BK704" s="26"/>
      <c r="BL704" s="26"/>
      <c r="BM704" s="26"/>
      <c r="BN704" s="26" t="s">
        <v>24533</v>
      </c>
      <c r="BO704" s="26"/>
      <c r="BP704" s="16" t="n">
        <v>45722</v>
      </c>
      <c r="BQ704" s="28" t="str">
        <f>HYPERLINK("https://organic.ams.usda.gov/Integrity/Certificate.aspx?cid=83&amp;nopid=4931056161")</f>
        <v>https://organic.ams.usda.gov/Integrity/Certificate.aspx?cid=83&amp;nopid=4931056161</v>
      </c>
    </row>
    <row r="705">
      <c r="A705" t="s">
        <v>3</v>
      </c>
      <c r="B705" s="6" t="s">
        <v>21</v>
      </c>
      <c r="C705" s="6" t="s">
        <v>87</v>
      </c>
      <c r="D705" s="6" t="s">
        <v>152</v>
      </c>
      <c r="E705" s="10" t="s">
        <v>903</v>
      </c>
      <c r="F705" s="6" t="s">
        <v>3153</v>
      </c>
      <c r="G705" s="6" t="s">
        <v>4745</v>
      </c>
      <c r="H705" s="6" t="s">
        <v>5537</v>
      </c>
      <c r="I705" s="6" t="s">
        <v>7037</v>
      </c>
      <c r="J705" s="6" t="s">
        <v>8262</v>
      </c>
      <c r="K705" s="6" t="s">
        <v>9714</v>
      </c>
      <c r="L705" s="16" t="n">
        <v>42431</v>
      </c>
      <c r="M705" s="16" t="n">
        <v>46023</v>
      </c>
      <c r="N705" s="6" t="s">
        <v>104</v>
      </c>
      <c r="O705" s="21" t="s">
        <v>104</v>
      </c>
      <c r="P705" s="6" t="s">
        <v>104</v>
      </c>
      <c r="Q705" s="6" t="s">
        <v>104</v>
      </c>
      <c r="R705" s="6" t="s">
        <v>104</v>
      </c>
      <c r="S705" s="6" t="s">
        <v>104</v>
      </c>
      <c r="T705" s="21" t="s">
        <v>104</v>
      </c>
      <c r="U705" s="6" t="s">
        <v>104</v>
      </c>
      <c r="V705" s="6" t="s">
        <v>104</v>
      </c>
      <c r="W705" s="6" t="s">
        <v>104</v>
      </c>
      <c r="X705" s="6" t="s">
        <v>104</v>
      </c>
      <c r="Y705" s="21" t="s">
        <v>104</v>
      </c>
      <c r="Z705" s="6" t="s">
        <v>104</v>
      </c>
      <c r="AA705" s="6" t="s">
        <v>104</v>
      </c>
      <c r="AB705" s="6" t="s">
        <v>104</v>
      </c>
      <c r="AC705" s="6" t="s">
        <v>9714</v>
      </c>
      <c r="AD705" s="16" t="n">
        <v>42431</v>
      </c>
      <c r="AE705" s="6" t="s">
        <v>11151</v>
      </c>
      <c r="AF705" s="6" t="s">
        <v>104</v>
      </c>
      <c r="AG705" s="6" t="s">
        <v>104</v>
      </c>
      <c r="AH705" s="6" t="s">
        <v>13795</v>
      </c>
      <c r="AI705" s="6" t="s">
        <v>104</v>
      </c>
      <c r="AJ705" s="6" t="s">
        <v>15378</v>
      </c>
      <c r="AK705" s="6" t="s">
        <v>16687</v>
      </c>
      <c r="AL705" s="6" t="s">
        <v>16931</v>
      </c>
      <c r="AM705" s="6" t="s">
        <v>17456</v>
      </c>
      <c r="AN705" s="6" t="s">
        <v>5771</v>
      </c>
      <c r="AO705" s="6" t="s">
        <v>18563</v>
      </c>
      <c r="AP705" s="6" t="s">
        <v>19129</v>
      </c>
      <c r="AQ705" s="6" t="s">
        <v>104</v>
      </c>
      <c r="AR705" s="6" t="s">
        <v>15378</v>
      </c>
      <c r="AS705" s="6" t="s">
        <v>16687</v>
      </c>
      <c r="AT705" s="6" t="s">
        <v>16931</v>
      </c>
      <c r="AU705" s="6" t="s">
        <v>19885</v>
      </c>
      <c r="AV705" s="6" t="s">
        <v>104</v>
      </c>
      <c r="AW705" s="6" t="s">
        <v>104</v>
      </c>
      <c r="AX705" s="6" t="s">
        <v>20664</v>
      </c>
      <c r="AY705" s="6" t="s">
        <v>22436</v>
      </c>
      <c r="AZ705" s="6" t="s">
        <v>104</v>
      </c>
      <c r="BA705" s="6" t="s">
        <v>104</v>
      </c>
      <c r="BB705" s="6" t="s">
        <v>104</v>
      </c>
      <c r="BC705" s="26"/>
      <c r="BD705" s="26"/>
      <c r="BE705" s="26"/>
      <c r="BF705" s="26"/>
      <c r="BG705" s="26"/>
      <c r="BH705" s="26"/>
      <c r="BI705" s="26"/>
      <c r="BJ705" s="26"/>
      <c r="BK705" s="26"/>
      <c r="BL705" s="26"/>
      <c r="BM705" s="26"/>
      <c r="BN705" s="26"/>
      <c r="BO705" s="26"/>
      <c r="BP705" s="16" t="n">
        <v>45667</v>
      </c>
      <c r="BQ705" s="28" t="str">
        <f>HYPERLINK("https://organic.ams.usda.gov/Integrity/Certificate.aspx?cid=15&amp;nopid=5561004125")</f>
        <v>https://organic.ams.usda.gov/Integrity/Certificate.aspx?cid=15&amp;nopid=5561004125</v>
      </c>
    </row>
    <row r="706">
      <c r="A706" t="s">
        <v>3</v>
      </c>
      <c r="B706" s="6" t="s">
        <v>6</v>
      </c>
      <c r="C706" s="6" t="s">
        <v>72</v>
      </c>
      <c r="D706" s="6" t="s">
        <v>137</v>
      </c>
      <c r="E706" s="10" t="s">
        <v>904</v>
      </c>
      <c r="F706" s="6" t="s">
        <v>3154</v>
      </c>
      <c r="G706" s="6" t="s">
        <v>104</v>
      </c>
      <c r="H706" s="6" t="s">
        <v>5538</v>
      </c>
      <c r="I706" s="6" t="s">
        <v>7387</v>
      </c>
      <c r="J706" s="6" t="s">
        <v>8257</v>
      </c>
      <c r="K706" s="6" t="s">
        <v>9714</v>
      </c>
      <c r="L706" s="16" t="n">
        <v>45034</v>
      </c>
      <c r="M706" s="16" t="n">
        <v>45734</v>
      </c>
      <c r="N706" s="6" t="s">
        <v>104</v>
      </c>
      <c r="O706" s="21" t="s">
        <v>104</v>
      </c>
      <c r="P706" s="6" t="s">
        <v>104</v>
      </c>
      <c r="Q706" s="6" t="s">
        <v>104</v>
      </c>
      <c r="R706" s="6" t="s">
        <v>104</v>
      </c>
      <c r="S706" s="6" t="s">
        <v>104</v>
      </c>
      <c r="T706" s="21" t="s">
        <v>104</v>
      </c>
      <c r="U706" s="6" t="s">
        <v>104</v>
      </c>
      <c r="V706" s="6" t="s">
        <v>104</v>
      </c>
      <c r="W706" s="6" t="s">
        <v>104</v>
      </c>
      <c r="X706" s="6" t="s">
        <v>104</v>
      </c>
      <c r="Y706" s="21" t="s">
        <v>104</v>
      </c>
      <c r="Z706" s="6" t="s">
        <v>104</v>
      </c>
      <c r="AA706" s="6" t="s">
        <v>104</v>
      </c>
      <c r="AB706" s="6" t="s">
        <v>104</v>
      </c>
      <c r="AC706" s="6" t="s">
        <v>9714</v>
      </c>
      <c r="AD706" s="16" t="n">
        <v>45034</v>
      </c>
      <c r="AE706" s="6" t="s">
        <v>11152</v>
      </c>
      <c r="AF706" s="6" t="s">
        <v>104</v>
      </c>
      <c r="AG706" s="6" t="s">
        <v>12708</v>
      </c>
      <c r="AH706" s="6" t="s">
        <v>13796</v>
      </c>
      <c r="AI706" s="6" t="s">
        <v>104</v>
      </c>
      <c r="AJ706" s="6" t="s">
        <v>15823</v>
      </c>
      <c r="AK706" s="6" t="s">
        <v>16773</v>
      </c>
      <c r="AL706" s="6" t="s">
        <v>16932</v>
      </c>
      <c r="AM706" s="6" t="s">
        <v>17457</v>
      </c>
      <c r="AN706" s="6" t="s">
        <v>104</v>
      </c>
      <c r="AO706" s="6" t="s">
        <v>104</v>
      </c>
      <c r="AP706" s="6" t="s">
        <v>104</v>
      </c>
      <c r="AQ706" s="6" t="s">
        <v>104</v>
      </c>
      <c r="AR706" s="6" t="s">
        <v>104</v>
      </c>
      <c r="AS706" s="6" t="s">
        <v>104</v>
      </c>
      <c r="AT706" s="6" t="s">
        <v>104</v>
      </c>
      <c r="AU706" s="6" t="s">
        <v>104</v>
      </c>
      <c r="AV706" s="6" t="s">
        <v>104</v>
      </c>
      <c r="AW706" s="6" t="s">
        <v>104</v>
      </c>
      <c r="AX706" s="6" t="s">
        <v>20665</v>
      </c>
      <c r="AY706" s="6" t="s">
        <v>22437</v>
      </c>
      <c r="AZ706" s="6" t="s">
        <v>104</v>
      </c>
      <c r="BA706" s="6" t="s">
        <v>24258</v>
      </c>
      <c r="BB706" s="6" t="s">
        <v>104</v>
      </c>
      <c r="BC706" s="26"/>
      <c r="BD706" s="26"/>
      <c r="BE706" s="26"/>
      <c r="BF706" s="26"/>
      <c r="BG706" s="26"/>
      <c r="BH706" s="26"/>
      <c r="BI706" s="26"/>
      <c r="BJ706" s="26"/>
      <c r="BK706" s="26"/>
      <c r="BL706" s="26"/>
      <c r="BM706" s="26"/>
      <c r="BN706" s="26"/>
      <c r="BO706" s="26"/>
      <c r="BP706" s="16" t="n">
        <v>45737</v>
      </c>
      <c r="BQ706" s="28" t="str">
        <f>HYPERLINK("https://organic.ams.usda.gov/Integrity/Certificate.aspx?cid=32&amp;nopid=2230010411")</f>
        <v>https://organic.ams.usda.gov/Integrity/Certificate.aspx?cid=32&amp;nopid=2230010411</v>
      </c>
    </row>
    <row r="707">
      <c r="A707" t="s">
        <v>3</v>
      </c>
      <c r="B707" s="6" t="s">
        <v>18</v>
      </c>
      <c r="C707" s="6" t="s">
        <v>84</v>
      </c>
      <c r="D707" s="6" t="s">
        <v>149</v>
      </c>
      <c r="E707" s="10" t="s">
        <v>905</v>
      </c>
      <c r="F707" s="6" t="s">
        <v>3155</v>
      </c>
      <c r="G707" s="6" t="s">
        <v>104</v>
      </c>
      <c r="H707" s="6" t="s">
        <v>5539</v>
      </c>
      <c r="I707" s="6" t="s">
        <v>7388</v>
      </c>
      <c r="J707" s="6" t="s">
        <v>8672</v>
      </c>
      <c r="K707" s="6" t="s">
        <v>9714</v>
      </c>
      <c r="L707" s="16" t="n">
        <v>41524</v>
      </c>
      <c r="M707" s="16" t="n">
        <v>45870</v>
      </c>
      <c r="N707" s="6" t="s">
        <v>104</v>
      </c>
      <c r="O707" s="21" t="s">
        <v>104</v>
      </c>
      <c r="P707" s="6" t="s">
        <v>104</v>
      </c>
      <c r="Q707" s="6" t="s">
        <v>104</v>
      </c>
      <c r="R707" s="6" t="s">
        <v>104</v>
      </c>
      <c r="S707" s="6" t="s">
        <v>104</v>
      </c>
      <c r="T707" s="21" t="s">
        <v>104</v>
      </c>
      <c r="U707" s="6" t="s">
        <v>104</v>
      </c>
      <c r="V707" s="6" t="s">
        <v>104</v>
      </c>
      <c r="W707" s="6" t="s">
        <v>104</v>
      </c>
      <c r="X707" s="6" t="s">
        <v>104</v>
      </c>
      <c r="Y707" s="21" t="s">
        <v>104</v>
      </c>
      <c r="Z707" s="6" t="s">
        <v>104</v>
      </c>
      <c r="AA707" s="6" t="s">
        <v>104</v>
      </c>
      <c r="AB707" s="6" t="s">
        <v>104</v>
      </c>
      <c r="AC707" s="6" t="s">
        <v>9714</v>
      </c>
      <c r="AD707" s="16" t="n">
        <v>41524</v>
      </c>
      <c r="AE707" s="6" t="s">
        <v>11153</v>
      </c>
      <c r="AF707" s="6" t="s">
        <v>104</v>
      </c>
      <c r="AG707" s="6" t="s">
        <v>12709</v>
      </c>
      <c r="AH707" s="6" t="s">
        <v>13797</v>
      </c>
      <c r="AI707" s="6" t="s">
        <v>104</v>
      </c>
      <c r="AJ707" s="6" t="s">
        <v>15824</v>
      </c>
      <c r="AK707" s="6" t="s">
        <v>16743</v>
      </c>
      <c r="AL707" s="6" t="s">
        <v>16931</v>
      </c>
      <c r="AM707" s="6" t="s">
        <v>17458</v>
      </c>
      <c r="AN707" s="6" t="s">
        <v>5429</v>
      </c>
      <c r="AO707" s="6" t="s">
        <v>18718</v>
      </c>
      <c r="AP707" s="6" t="s">
        <v>19130</v>
      </c>
      <c r="AQ707" s="6" t="s">
        <v>104</v>
      </c>
      <c r="AR707" s="6" t="s">
        <v>15825</v>
      </c>
      <c r="AS707" s="6" t="s">
        <v>16743</v>
      </c>
      <c r="AT707" s="6" t="s">
        <v>16931</v>
      </c>
      <c r="AU707" s="6" t="s">
        <v>17459</v>
      </c>
      <c r="AV707" s="6" t="s">
        <v>104</v>
      </c>
      <c r="AW707" s="6" t="s">
        <v>104</v>
      </c>
      <c r="AX707" s="6" t="s">
        <v>20666</v>
      </c>
      <c r="AY707" s="6" t="s">
        <v>22438</v>
      </c>
      <c r="AZ707" s="6" t="s">
        <v>104</v>
      </c>
      <c r="BA707" s="6" t="s">
        <v>104</v>
      </c>
      <c r="BB707" s="6" t="s">
        <v>104</v>
      </c>
      <c r="BC707" s="26"/>
      <c r="BD707" s="26"/>
      <c r="BE707" s="26"/>
      <c r="BF707" s="26"/>
      <c r="BG707" s="26"/>
      <c r="BH707" s="26"/>
      <c r="BI707" s="26"/>
      <c r="BJ707" s="26"/>
      <c r="BK707" s="26"/>
      <c r="BL707" s="26"/>
      <c r="BM707" s="26"/>
      <c r="BN707" s="26" t="s">
        <v>24533</v>
      </c>
      <c r="BO707" s="26"/>
      <c r="BP707" s="16" t="n">
        <v>45737</v>
      </c>
      <c r="BQ707" s="28" t="str">
        <f>HYPERLINK("https://organic.ams.usda.gov/Integrity/Certificate.aspx?cid=31&amp;nopid=3921208003")</f>
        <v>https://organic.ams.usda.gov/Integrity/Certificate.aspx?cid=31&amp;nopid=3921208003</v>
      </c>
    </row>
    <row r="708">
      <c r="A708" t="s">
        <v>3</v>
      </c>
      <c r="B708" s="6" t="s">
        <v>18</v>
      </c>
      <c r="C708" s="6" t="s">
        <v>84</v>
      </c>
      <c r="D708" s="6" t="s">
        <v>149</v>
      </c>
      <c r="E708" s="10" t="s">
        <v>906</v>
      </c>
      <c r="F708" s="6" t="s">
        <v>3156</v>
      </c>
      <c r="G708" s="6" t="s">
        <v>104</v>
      </c>
      <c r="H708" s="6" t="s">
        <v>5540</v>
      </c>
      <c r="I708" s="6" t="s">
        <v>7389</v>
      </c>
      <c r="J708" s="6" t="s">
        <v>8672</v>
      </c>
      <c r="K708" s="6" t="s">
        <v>9714</v>
      </c>
      <c r="L708" s="16" t="n">
        <v>41524</v>
      </c>
      <c r="M708" s="16" t="n">
        <v>45870</v>
      </c>
      <c r="N708" s="6" t="s">
        <v>104</v>
      </c>
      <c r="O708" s="21" t="s">
        <v>104</v>
      </c>
      <c r="P708" s="6" t="s">
        <v>104</v>
      </c>
      <c r="Q708" s="6" t="s">
        <v>104</v>
      </c>
      <c r="R708" s="6" t="s">
        <v>104</v>
      </c>
      <c r="S708" s="6" t="s">
        <v>104</v>
      </c>
      <c r="T708" s="21" t="s">
        <v>104</v>
      </c>
      <c r="U708" s="6" t="s">
        <v>104</v>
      </c>
      <c r="V708" s="6" t="s">
        <v>104</v>
      </c>
      <c r="W708" s="6" t="s">
        <v>104</v>
      </c>
      <c r="X708" s="6" t="s">
        <v>104</v>
      </c>
      <c r="Y708" s="21" t="s">
        <v>104</v>
      </c>
      <c r="Z708" s="6" t="s">
        <v>104</v>
      </c>
      <c r="AA708" s="6" t="s">
        <v>104</v>
      </c>
      <c r="AB708" s="6" t="s">
        <v>104</v>
      </c>
      <c r="AC708" s="6" t="s">
        <v>9714</v>
      </c>
      <c r="AD708" s="16" t="n">
        <v>41524</v>
      </c>
      <c r="AE708" s="6" t="s">
        <v>11154</v>
      </c>
      <c r="AF708" s="6" t="s">
        <v>104</v>
      </c>
      <c r="AG708" s="6" t="s">
        <v>12710</v>
      </c>
      <c r="AH708" s="6" t="s">
        <v>13798</v>
      </c>
      <c r="AI708" s="6" t="s">
        <v>104</v>
      </c>
      <c r="AJ708" s="6" t="s">
        <v>15825</v>
      </c>
      <c r="AK708" s="6" t="s">
        <v>16743</v>
      </c>
      <c r="AL708" s="6" t="s">
        <v>16931</v>
      </c>
      <c r="AM708" s="6" t="s">
        <v>17459</v>
      </c>
      <c r="AN708" s="6" t="s">
        <v>5429</v>
      </c>
      <c r="AO708" s="6" t="s">
        <v>18718</v>
      </c>
      <c r="AP708" s="6" t="s">
        <v>19130</v>
      </c>
      <c r="AQ708" s="6" t="s">
        <v>104</v>
      </c>
      <c r="AR708" s="6" t="s">
        <v>15825</v>
      </c>
      <c r="AS708" s="6" t="s">
        <v>16743</v>
      </c>
      <c r="AT708" s="6" t="s">
        <v>16931</v>
      </c>
      <c r="AU708" s="6" t="s">
        <v>17459</v>
      </c>
      <c r="AV708" s="6" t="s">
        <v>104</v>
      </c>
      <c r="AW708" s="6" t="s">
        <v>104</v>
      </c>
      <c r="AX708" s="6" t="s">
        <v>20667</v>
      </c>
      <c r="AY708" s="6" t="s">
        <v>22438</v>
      </c>
      <c r="AZ708" s="6" t="s">
        <v>104</v>
      </c>
      <c r="BA708" s="6" t="s">
        <v>104</v>
      </c>
      <c r="BB708" s="6" t="s">
        <v>104</v>
      </c>
      <c r="BC708" s="26"/>
      <c r="BD708" s="26"/>
      <c r="BE708" s="26"/>
      <c r="BF708" s="26"/>
      <c r="BG708" s="26"/>
      <c r="BH708" s="26"/>
      <c r="BI708" s="26"/>
      <c r="BJ708" s="26"/>
      <c r="BK708" s="26"/>
      <c r="BL708" s="26"/>
      <c r="BM708" s="26"/>
      <c r="BN708" s="26" t="s">
        <v>24533</v>
      </c>
      <c r="BO708" s="26"/>
      <c r="BP708" s="16" t="n">
        <v>45737</v>
      </c>
      <c r="BQ708" s="28" t="str">
        <f>HYPERLINK("https://organic.ams.usda.gov/Integrity/Certificate.aspx?cid=31&amp;nopid=3921208001")</f>
        <v>https://organic.ams.usda.gov/Integrity/Certificate.aspx?cid=31&amp;nopid=3921208001</v>
      </c>
    </row>
    <row r="709">
      <c r="A709" t="s">
        <v>3</v>
      </c>
      <c r="B709" s="6" t="s">
        <v>6</v>
      </c>
      <c r="C709" s="6" t="s">
        <v>72</v>
      </c>
      <c r="D709" s="6" t="s">
        <v>137</v>
      </c>
      <c r="E709" s="10" t="s">
        <v>907</v>
      </c>
      <c r="F709" s="6" t="s">
        <v>3157</v>
      </c>
      <c r="G709" s="6" t="s">
        <v>104</v>
      </c>
      <c r="H709" s="6" t="s">
        <v>5541</v>
      </c>
      <c r="I709" s="6" t="s">
        <v>7390</v>
      </c>
      <c r="J709" s="6" t="s">
        <v>8673</v>
      </c>
      <c r="K709" s="6" t="s">
        <v>9714</v>
      </c>
      <c r="L709" s="16" t="n">
        <v>42685</v>
      </c>
      <c r="M709" s="16" t="n">
        <v>45780</v>
      </c>
      <c r="N709" s="6" t="s">
        <v>104</v>
      </c>
      <c r="O709" s="21" t="s">
        <v>104</v>
      </c>
      <c r="P709" s="6" t="s">
        <v>104</v>
      </c>
      <c r="Q709" s="6" t="s">
        <v>104</v>
      </c>
      <c r="R709" s="6" t="s">
        <v>104</v>
      </c>
      <c r="S709" s="6" t="s">
        <v>104</v>
      </c>
      <c r="T709" s="21" t="s">
        <v>104</v>
      </c>
      <c r="U709" s="6" t="s">
        <v>104</v>
      </c>
      <c r="V709" s="6" t="s">
        <v>104</v>
      </c>
      <c r="W709" s="6" t="s">
        <v>104</v>
      </c>
      <c r="X709" s="6" t="s">
        <v>104</v>
      </c>
      <c r="Y709" s="21" t="s">
        <v>104</v>
      </c>
      <c r="Z709" s="6" t="s">
        <v>104</v>
      </c>
      <c r="AA709" s="6" t="s">
        <v>104</v>
      </c>
      <c r="AB709" s="6" t="s">
        <v>104</v>
      </c>
      <c r="AC709" s="6" t="s">
        <v>9714</v>
      </c>
      <c r="AD709" s="16" t="n">
        <v>42685</v>
      </c>
      <c r="AE709" s="6" t="s">
        <v>11155</v>
      </c>
      <c r="AF709" s="6" t="s">
        <v>104</v>
      </c>
      <c r="AG709" s="6" t="s">
        <v>12711</v>
      </c>
      <c r="AH709" s="6" t="s">
        <v>13799</v>
      </c>
      <c r="AI709" s="6" t="s">
        <v>104</v>
      </c>
      <c r="AJ709" s="6" t="s">
        <v>15826</v>
      </c>
      <c r="AK709" s="6" t="s">
        <v>16800</v>
      </c>
      <c r="AL709" s="6" t="s">
        <v>16930</v>
      </c>
      <c r="AM709" s="6" t="s">
        <v>17460</v>
      </c>
      <c r="AN709" s="6" t="s">
        <v>104</v>
      </c>
      <c r="AO709" s="6" t="s">
        <v>104</v>
      </c>
      <c r="AP709" s="6" t="s">
        <v>104</v>
      </c>
      <c r="AQ709" s="6" t="s">
        <v>104</v>
      </c>
      <c r="AR709" s="6" t="s">
        <v>104</v>
      </c>
      <c r="AS709" s="6" t="s">
        <v>104</v>
      </c>
      <c r="AT709" s="6" t="s">
        <v>104</v>
      </c>
      <c r="AU709" s="6" t="s">
        <v>104</v>
      </c>
      <c r="AV709" s="6" t="s">
        <v>104</v>
      </c>
      <c r="AW709" s="6" t="s">
        <v>104</v>
      </c>
      <c r="AX709" s="6" t="s">
        <v>20668</v>
      </c>
      <c r="AY709" s="6" t="s">
        <v>22439</v>
      </c>
      <c r="AZ709" s="6" t="s">
        <v>104</v>
      </c>
      <c r="BA709" s="6" t="s">
        <v>24258</v>
      </c>
      <c r="BB709" s="6" t="s">
        <v>104</v>
      </c>
      <c r="BC709" s="26"/>
      <c r="BD709" s="26"/>
      <c r="BE709" s="26"/>
      <c r="BF709" s="26"/>
      <c r="BG709" s="26"/>
      <c r="BH709" s="26"/>
      <c r="BI709" s="26"/>
      <c r="BJ709" s="26"/>
      <c r="BK709" s="26"/>
      <c r="BL709" s="26"/>
      <c r="BM709" s="26"/>
      <c r="BN709" s="26"/>
      <c r="BO709" s="26"/>
      <c r="BP709" s="16" t="n">
        <v>45737</v>
      </c>
      <c r="BQ709" s="28" t="str">
        <f>HYPERLINK("https://organic.ams.usda.gov/Integrity/Certificate.aspx?cid=32&amp;nopid=2230004657")</f>
        <v>https://organic.ams.usda.gov/Integrity/Certificate.aspx?cid=32&amp;nopid=2230004657</v>
      </c>
    </row>
    <row r="710">
      <c r="A710" t="s">
        <v>3</v>
      </c>
      <c r="B710" s="6" t="s">
        <v>6</v>
      </c>
      <c r="C710" s="6" t="s">
        <v>72</v>
      </c>
      <c r="D710" s="6" t="s">
        <v>137</v>
      </c>
      <c r="E710" s="10" t="s">
        <v>908</v>
      </c>
      <c r="F710" s="6" t="s">
        <v>3158</v>
      </c>
      <c r="G710" s="6" t="s">
        <v>104</v>
      </c>
      <c r="H710" s="6" t="s">
        <v>5542</v>
      </c>
      <c r="I710" s="6" t="s">
        <v>7094</v>
      </c>
      <c r="J710" s="6" t="s">
        <v>8674</v>
      </c>
      <c r="K710" s="6" t="s">
        <v>9714</v>
      </c>
      <c r="L710" s="16" t="n">
        <v>45460</v>
      </c>
      <c r="M710" s="16" t="n">
        <v>45776</v>
      </c>
      <c r="N710" s="6" t="s">
        <v>104</v>
      </c>
      <c r="O710" s="21" t="s">
        <v>104</v>
      </c>
      <c r="P710" s="6" t="s">
        <v>104</v>
      </c>
      <c r="Q710" s="6" t="s">
        <v>104</v>
      </c>
      <c r="R710" s="6" t="s">
        <v>104</v>
      </c>
      <c r="S710" s="6" t="s">
        <v>104</v>
      </c>
      <c r="T710" s="21" t="s">
        <v>104</v>
      </c>
      <c r="U710" s="6" t="s">
        <v>104</v>
      </c>
      <c r="V710" s="6" t="s">
        <v>104</v>
      </c>
      <c r="W710" s="6" t="s">
        <v>104</v>
      </c>
      <c r="X710" s="6" t="s">
        <v>104</v>
      </c>
      <c r="Y710" s="21" t="s">
        <v>104</v>
      </c>
      <c r="Z710" s="6" t="s">
        <v>104</v>
      </c>
      <c r="AA710" s="6" t="s">
        <v>104</v>
      </c>
      <c r="AB710" s="6" t="s">
        <v>104</v>
      </c>
      <c r="AC710" s="6" t="s">
        <v>9714</v>
      </c>
      <c r="AD710" s="16" t="n">
        <v>45460</v>
      </c>
      <c r="AE710" s="6" t="s">
        <v>11156</v>
      </c>
      <c r="AF710" s="6" t="s">
        <v>104</v>
      </c>
      <c r="AG710" s="6" t="s">
        <v>12712</v>
      </c>
      <c r="AH710" s="6" t="s">
        <v>13800</v>
      </c>
      <c r="AI710" s="6" t="s">
        <v>104</v>
      </c>
      <c r="AJ710" s="6" t="s">
        <v>15827</v>
      </c>
      <c r="AK710" s="6" t="s">
        <v>104</v>
      </c>
      <c r="AL710" s="6" t="s">
        <v>16766</v>
      </c>
      <c r="AM710" s="6" t="s">
        <v>104</v>
      </c>
      <c r="AN710" s="6" t="s">
        <v>104</v>
      </c>
      <c r="AO710" s="6" t="s">
        <v>104</v>
      </c>
      <c r="AP710" s="6" t="s">
        <v>104</v>
      </c>
      <c r="AQ710" s="6" t="s">
        <v>104</v>
      </c>
      <c r="AR710" s="6" t="s">
        <v>104</v>
      </c>
      <c r="AS710" s="6" t="s">
        <v>104</v>
      </c>
      <c r="AT710" s="6" t="s">
        <v>104</v>
      </c>
      <c r="AU710" s="6" t="s">
        <v>104</v>
      </c>
      <c r="AV710" s="6" t="s">
        <v>104</v>
      </c>
      <c r="AW710" s="6" t="s">
        <v>104</v>
      </c>
      <c r="AX710" s="6" t="s">
        <v>104</v>
      </c>
      <c r="AY710" s="6" t="s">
        <v>22440</v>
      </c>
      <c r="AZ710" s="6" t="s">
        <v>104</v>
      </c>
      <c r="BA710" s="6" t="s">
        <v>24258</v>
      </c>
      <c r="BB710" s="6" t="s">
        <v>104</v>
      </c>
      <c r="BC710" s="26"/>
      <c r="BD710" s="26"/>
      <c r="BE710" s="26"/>
      <c r="BF710" s="26"/>
      <c r="BG710" s="26"/>
      <c r="BH710" s="26"/>
      <c r="BI710" s="26"/>
      <c r="BJ710" s="26"/>
      <c r="BK710" s="26"/>
      <c r="BL710" s="26"/>
      <c r="BM710" s="26"/>
      <c r="BN710" s="26"/>
      <c r="BO710" s="26"/>
      <c r="BP710" s="16" t="n">
        <v>45737</v>
      </c>
      <c r="BQ710" s="28" t="str">
        <f>HYPERLINK("https://organic.ams.usda.gov/Integrity/Certificate.aspx?cid=32&amp;nopid=2230011256")</f>
        <v>https://organic.ams.usda.gov/Integrity/Certificate.aspx?cid=32&amp;nopid=2230011256</v>
      </c>
    </row>
    <row r="711">
      <c r="A711" t="s">
        <v>3</v>
      </c>
      <c r="B711" s="6" t="s">
        <v>21</v>
      </c>
      <c r="C711" s="6" t="s">
        <v>87</v>
      </c>
      <c r="D711" s="6" t="s">
        <v>152</v>
      </c>
      <c r="E711" s="10" t="s">
        <v>909</v>
      </c>
      <c r="F711" s="6" t="s">
        <v>3159</v>
      </c>
      <c r="G711" s="6" t="s">
        <v>104</v>
      </c>
      <c r="H711" s="6" t="s">
        <v>5543</v>
      </c>
      <c r="I711" s="6" t="s">
        <v>7391</v>
      </c>
      <c r="J711" s="6" t="s">
        <v>8487</v>
      </c>
      <c r="K711" s="6" t="s">
        <v>9714</v>
      </c>
      <c r="L711" s="16" t="n">
        <v>43613</v>
      </c>
      <c r="M711" s="16" t="n">
        <v>46023</v>
      </c>
      <c r="N711" s="6" t="s">
        <v>9714</v>
      </c>
      <c r="O711" s="16" t="n">
        <v>43613</v>
      </c>
      <c r="P711" s="6" t="s">
        <v>9915</v>
      </c>
      <c r="Q711" s="6" t="s">
        <v>104</v>
      </c>
      <c r="R711" s="6" t="s">
        <v>104</v>
      </c>
      <c r="S711" s="6" t="s">
        <v>104</v>
      </c>
      <c r="T711" s="21" t="s">
        <v>104</v>
      </c>
      <c r="U711" s="6" t="s">
        <v>104</v>
      </c>
      <c r="V711" s="6" t="s">
        <v>104</v>
      </c>
      <c r="W711" s="6" t="s">
        <v>104</v>
      </c>
      <c r="X711" s="6" t="s">
        <v>104</v>
      </c>
      <c r="Y711" s="21" t="s">
        <v>104</v>
      </c>
      <c r="Z711" s="6" t="s">
        <v>104</v>
      </c>
      <c r="AA711" s="6" t="s">
        <v>104</v>
      </c>
      <c r="AB711" s="6" t="s">
        <v>104</v>
      </c>
      <c r="AC711" s="6" t="s">
        <v>9714</v>
      </c>
      <c r="AD711" s="16" t="n">
        <v>43613</v>
      </c>
      <c r="AE711" s="6" t="s">
        <v>11157</v>
      </c>
      <c r="AF711" s="6" t="s">
        <v>104</v>
      </c>
      <c r="AG711" s="6" t="s">
        <v>104</v>
      </c>
      <c r="AH711" s="6" t="s">
        <v>13801</v>
      </c>
      <c r="AI711" s="6" t="s">
        <v>104</v>
      </c>
      <c r="AJ711" s="6" t="s">
        <v>15828</v>
      </c>
      <c r="AK711" s="6" t="s">
        <v>16705</v>
      </c>
      <c r="AL711" s="6" t="s">
        <v>16931</v>
      </c>
      <c r="AM711" s="6" t="s">
        <v>17461</v>
      </c>
      <c r="AN711" s="6" t="s">
        <v>18509</v>
      </c>
      <c r="AO711" s="6" t="s">
        <v>18719</v>
      </c>
      <c r="AP711" s="6" t="s">
        <v>13801</v>
      </c>
      <c r="AQ711" s="6" t="s">
        <v>104</v>
      </c>
      <c r="AR711" s="6" t="s">
        <v>15828</v>
      </c>
      <c r="AS711" s="6" t="s">
        <v>16705</v>
      </c>
      <c r="AT711" s="6" t="s">
        <v>16931</v>
      </c>
      <c r="AU711" s="6" t="s">
        <v>17461</v>
      </c>
      <c r="AV711" s="6" t="s">
        <v>104</v>
      </c>
      <c r="AW711" s="6" t="s">
        <v>104</v>
      </c>
      <c r="AX711" s="6" t="s">
        <v>20669</v>
      </c>
      <c r="AY711" s="6" t="s">
        <v>22441</v>
      </c>
      <c r="AZ711" s="6" t="s">
        <v>23869</v>
      </c>
      <c r="BA711" s="6" t="s">
        <v>104</v>
      </c>
      <c r="BB711" s="24" t="n">
        <v>7</v>
      </c>
      <c r="BC711" s="26"/>
      <c r="BD711" s="26"/>
      <c r="BE711" s="26"/>
      <c r="BF711" s="26"/>
      <c r="BG711" s="26"/>
      <c r="BH711" s="26"/>
      <c r="BI711" s="26"/>
      <c r="BJ711" s="26"/>
      <c r="BK711" s="26"/>
      <c r="BL711" s="26"/>
      <c r="BM711" s="26"/>
      <c r="BN711" s="26"/>
      <c r="BO711" s="26"/>
      <c r="BP711" s="16" t="n">
        <v>45667</v>
      </c>
      <c r="BQ711" s="28" t="str">
        <f>HYPERLINK("https://organic.ams.usda.gov/Integrity/Certificate.aspx?cid=15&amp;nopid=5561005822")</f>
        <v>https://organic.ams.usda.gov/Integrity/Certificate.aspx?cid=15&amp;nopid=5561005822</v>
      </c>
    </row>
    <row r="712">
      <c r="A712" t="s">
        <v>3</v>
      </c>
      <c r="B712" s="6" t="s">
        <v>18</v>
      </c>
      <c r="C712" s="6" t="s">
        <v>84</v>
      </c>
      <c r="D712" s="6" t="s">
        <v>149</v>
      </c>
      <c r="E712" s="10" t="s">
        <v>910</v>
      </c>
      <c r="F712" s="6" t="s">
        <v>3160</v>
      </c>
      <c r="G712" s="6" t="s">
        <v>104</v>
      </c>
      <c r="H712" s="6" t="s">
        <v>5544</v>
      </c>
      <c r="I712" s="6" t="s">
        <v>7392</v>
      </c>
      <c r="J712" s="6" t="s">
        <v>8675</v>
      </c>
      <c r="K712" s="6" t="s">
        <v>9714</v>
      </c>
      <c r="L712" s="16" t="n">
        <v>38516</v>
      </c>
      <c r="M712" s="16" t="n">
        <v>45870</v>
      </c>
      <c r="N712" s="6" t="s">
        <v>104</v>
      </c>
      <c r="O712" s="21" t="s">
        <v>104</v>
      </c>
      <c r="P712" s="6" t="s">
        <v>104</v>
      </c>
      <c r="Q712" s="6" t="s">
        <v>104</v>
      </c>
      <c r="R712" s="6" t="s">
        <v>104</v>
      </c>
      <c r="S712" s="6" t="s">
        <v>104</v>
      </c>
      <c r="T712" s="21" t="s">
        <v>104</v>
      </c>
      <c r="U712" s="6" t="s">
        <v>104</v>
      </c>
      <c r="V712" s="6" t="s">
        <v>104</v>
      </c>
      <c r="W712" s="6" t="s">
        <v>104</v>
      </c>
      <c r="X712" s="6" t="s">
        <v>104</v>
      </c>
      <c r="Y712" s="21" t="s">
        <v>104</v>
      </c>
      <c r="Z712" s="6" t="s">
        <v>104</v>
      </c>
      <c r="AA712" s="6" t="s">
        <v>104</v>
      </c>
      <c r="AB712" s="6" t="s">
        <v>104</v>
      </c>
      <c r="AC712" s="6" t="s">
        <v>9714</v>
      </c>
      <c r="AD712" s="16" t="n">
        <v>38516</v>
      </c>
      <c r="AE712" s="6" t="s">
        <v>11158</v>
      </c>
      <c r="AF712" s="6" t="s">
        <v>104</v>
      </c>
      <c r="AG712" s="6" t="s">
        <v>12713</v>
      </c>
      <c r="AH712" s="6" t="s">
        <v>13802</v>
      </c>
      <c r="AI712" s="6" t="s">
        <v>104</v>
      </c>
      <c r="AJ712" s="6" t="s">
        <v>15829</v>
      </c>
      <c r="AK712" s="6" t="s">
        <v>16738</v>
      </c>
      <c r="AL712" s="6" t="s">
        <v>16931</v>
      </c>
      <c r="AM712" s="6" t="s">
        <v>17462</v>
      </c>
      <c r="AN712" s="6" t="s">
        <v>18506</v>
      </c>
      <c r="AO712" s="6" t="s">
        <v>18720</v>
      </c>
      <c r="AP712" s="6" t="s">
        <v>104</v>
      </c>
      <c r="AQ712" s="6" t="s">
        <v>104</v>
      </c>
      <c r="AR712" s="6" t="s">
        <v>104</v>
      </c>
      <c r="AS712" s="6" t="s">
        <v>104</v>
      </c>
      <c r="AT712" s="6" t="s">
        <v>104</v>
      </c>
      <c r="AU712" s="6" t="s">
        <v>104</v>
      </c>
      <c r="AV712" s="6" t="s">
        <v>104</v>
      </c>
      <c r="AW712" s="6" t="s">
        <v>104</v>
      </c>
      <c r="AX712" s="6" t="s">
        <v>20670</v>
      </c>
      <c r="AY712" s="6" t="s">
        <v>22442</v>
      </c>
      <c r="AZ712" s="6" t="s">
        <v>104</v>
      </c>
      <c r="BA712" s="6" t="s">
        <v>104</v>
      </c>
      <c r="BB712" s="6" t="s">
        <v>104</v>
      </c>
      <c r="BC712" s="26"/>
      <c r="BD712" s="26"/>
      <c r="BE712" s="26"/>
      <c r="BF712" s="26"/>
      <c r="BG712" s="26"/>
      <c r="BH712" s="26"/>
      <c r="BI712" s="26"/>
      <c r="BJ712" s="26"/>
      <c r="BK712" s="26"/>
      <c r="BL712" s="26"/>
      <c r="BM712" s="26"/>
      <c r="BN712" s="26"/>
      <c r="BO712" s="26"/>
      <c r="BP712" s="16" t="n">
        <v>45737</v>
      </c>
      <c r="BQ712" s="28" t="str">
        <f>HYPERLINK("https://organic.ams.usda.gov/Integrity/Certificate.aspx?cid=31&amp;nopid=3920897500")</f>
        <v>https://organic.ams.usda.gov/Integrity/Certificate.aspx?cid=31&amp;nopid=3920897500</v>
      </c>
    </row>
    <row r="713">
      <c r="A713" t="s">
        <v>3</v>
      </c>
      <c r="B713" s="6" t="s">
        <v>11</v>
      </c>
      <c r="C713" s="6" t="s">
        <v>77</v>
      </c>
      <c r="D713" s="6" t="s">
        <v>142</v>
      </c>
      <c r="E713" s="10" t="s">
        <v>911</v>
      </c>
      <c r="F713" s="6" t="s">
        <v>3161</v>
      </c>
      <c r="G713" s="6" t="s">
        <v>104</v>
      </c>
      <c r="H713" s="6" t="s">
        <v>104</v>
      </c>
      <c r="I713" s="6" t="s">
        <v>7393</v>
      </c>
      <c r="J713" s="6" t="s">
        <v>8676</v>
      </c>
      <c r="K713" s="6" t="s">
        <v>9714</v>
      </c>
      <c r="L713" s="16" t="n">
        <v>42038</v>
      </c>
      <c r="M713" s="16" t="n">
        <v>45617</v>
      </c>
      <c r="N713" s="6" t="s">
        <v>9714</v>
      </c>
      <c r="O713" s="16" t="n">
        <v>42038</v>
      </c>
      <c r="P713" s="6" t="s">
        <v>9916</v>
      </c>
      <c r="Q713" s="6" t="s">
        <v>104</v>
      </c>
      <c r="R713" s="6" t="s">
        <v>104</v>
      </c>
      <c r="S713" s="6" t="s">
        <v>104</v>
      </c>
      <c r="T713" s="21" t="s">
        <v>104</v>
      </c>
      <c r="U713" s="6" t="s">
        <v>104</v>
      </c>
      <c r="V713" s="6" t="s">
        <v>104</v>
      </c>
      <c r="W713" s="6" t="s">
        <v>104</v>
      </c>
      <c r="X713" s="6" t="s">
        <v>104</v>
      </c>
      <c r="Y713" s="21" t="s">
        <v>104</v>
      </c>
      <c r="Z713" s="6" t="s">
        <v>104</v>
      </c>
      <c r="AA713" s="6" t="s">
        <v>104</v>
      </c>
      <c r="AB713" s="6" t="s">
        <v>104</v>
      </c>
      <c r="AC713" s="6" t="s">
        <v>9714</v>
      </c>
      <c r="AD713" s="16" t="n">
        <v>42038</v>
      </c>
      <c r="AE713" s="6" t="s">
        <v>11159</v>
      </c>
      <c r="AF713" s="6" t="s">
        <v>104</v>
      </c>
      <c r="AG713" s="6" t="s">
        <v>104</v>
      </c>
      <c r="AH713" s="6" t="s">
        <v>13803</v>
      </c>
      <c r="AI713" s="6" t="s">
        <v>104</v>
      </c>
      <c r="AJ713" s="6" t="s">
        <v>15830</v>
      </c>
      <c r="AK713" s="6" t="s">
        <v>104</v>
      </c>
      <c r="AL713" s="6" t="s">
        <v>16933</v>
      </c>
      <c r="AM713" s="6" t="s">
        <v>104</v>
      </c>
      <c r="AN713" s="6" t="s">
        <v>104</v>
      </c>
      <c r="AO713" s="6" t="s">
        <v>104</v>
      </c>
      <c r="AP713" s="6" t="s">
        <v>104</v>
      </c>
      <c r="AQ713" s="6" t="s">
        <v>104</v>
      </c>
      <c r="AR713" s="6" t="s">
        <v>104</v>
      </c>
      <c r="AS713" s="6" t="s">
        <v>104</v>
      </c>
      <c r="AT713" s="6" t="s">
        <v>104</v>
      </c>
      <c r="AU713" s="6" t="s">
        <v>104</v>
      </c>
      <c r="AV713" s="6" t="s">
        <v>104</v>
      </c>
      <c r="AW713" s="6" t="s">
        <v>104</v>
      </c>
      <c r="AX713" s="6" t="s">
        <v>20671</v>
      </c>
      <c r="AY713" s="6" t="s">
        <v>22443</v>
      </c>
      <c r="AZ713" s="6" t="s">
        <v>104</v>
      </c>
      <c r="BA713" s="6" t="s">
        <v>104</v>
      </c>
      <c r="BB713" s="24" t="n">
        <v>46</v>
      </c>
      <c r="BC713" s="26"/>
      <c r="BD713" s="26"/>
      <c r="BE713" s="26"/>
      <c r="BF713" s="26"/>
      <c r="BG713" s="26"/>
      <c r="BH713" s="26"/>
      <c r="BI713" s="26"/>
      <c r="BJ713" s="26"/>
      <c r="BK713" s="26"/>
      <c r="BL713" s="26"/>
      <c r="BM713" s="26"/>
      <c r="BN713" s="26"/>
      <c r="BO713" s="26"/>
      <c r="BP713" s="16" t="n">
        <v>45379</v>
      </c>
      <c r="BQ713" s="28" t="str">
        <f>HYPERLINK("https://organic.ams.usda.gov/Integrity/Certificate.aspx?cid=21&amp;nopid=1780834753")</f>
        <v>https://organic.ams.usda.gov/Integrity/Certificate.aspx?cid=21&amp;nopid=1780834753</v>
      </c>
    </row>
    <row r="714">
      <c r="A714" t="s">
        <v>3</v>
      </c>
      <c r="B714" s="6" t="s">
        <v>11</v>
      </c>
      <c r="C714" s="6" t="s">
        <v>77</v>
      </c>
      <c r="D714" s="6" t="s">
        <v>142</v>
      </c>
      <c r="E714" s="10" t="s">
        <v>912</v>
      </c>
      <c r="F714" s="6" t="s">
        <v>3162</v>
      </c>
      <c r="G714" s="6" t="s">
        <v>104</v>
      </c>
      <c r="H714" s="6" t="s">
        <v>104</v>
      </c>
      <c r="I714" s="6" t="s">
        <v>7394</v>
      </c>
      <c r="J714" s="6" t="s">
        <v>8677</v>
      </c>
      <c r="K714" s="6" t="s">
        <v>9714</v>
      </c>
      <c r="L714" s="16" t="n">
        <v>44480</v>
      </c>
      <c r="M714" s="16" t="n">
        <v>45493</v>
      </c>
      <c r="N714" s="6" t="s">
        <v>9714</v>
      </c>
      <c r="O714" s="16" t="n">
        <v>44480</v>
      </c>
      <c r="P714" s="6" t="s">
        <v>9917</v>
      </c>
      <c r="Q714" s="6" t="s">
        <v>104</v>
      </c>
      <c r="R714" s="6" t="s">
        <v>104</v>
      </c>
      <c r="S714" s="6" t="s">
        <v>104</v>
      </c>
      <c r="T714" s="21" t="s">
        <v>104</v>
      </c>
      <c r="U714" s="6" t="s">
        <v>104</v>
      </c>
      <c r="V714" s="6" t="s">
        <v>104</v>
      </c>
      <c r="W714" s="6" t="s">
        <v>104</v>
      </c>
      <c r="X714" s="6" t="s">
        <v>104</v>
      </c>
      <c r="Y714" s="21" t="s">
        <v>104</v>
      </c>
      <c r="Z714" s="6" t="s">
        <v>104</v>
      </c>
      <c r="AA714" s="6" t="s">
        <v>104</v>
      </c>
      <c r="AB714" s="6" t="s">
        <v>104</v>
      </c>
      <c r="AC714" s="6" t="s">
        <v>9714</v>
      </c>
      <c r="AD714" s="16" t="n">
        <v>44480</v>
      </c>
      <c r="AE714" s="6" t="s">
        <v>11160</v>
      </c>
      <c r="AF714" s="6" t="s">
        <v>104</v>
      </c>
      <c r="AG714" s="6" t="s">
        <v>104</v>
      </c>
      <c r="AH714" s="6" t="s">
        <v>13804</v>
      </c>
      <c r="AI714" s="6" t="s">
        <v>104</v>
      </c>
      <c r="AJ714" s="6" t="s">
        <v>15831</v>
      </c>
      <c r="AK714" s="6" t="s">
        <v>16801</v>
      </c>
      <c r="AL714" s="6" t="s">
        <v>16938</v>
      </c>
      <c r="AM714" s="6" t="s">
        <v>17463</v>
      </c>
      <c r="AN714" s="6" t="s">
        <v>104</v>
      </c>
      <c r="AO714" s="6" t="s">
        <v>104</v>
      </c>
      <c r="AP714" s="6" t="s">
        <v>104</v>
      </c>
      <c r="AQ714" s="6" t="s">
        <v>104</v>
      </c>
      <c r="AR714" s="6" t="s">
        <v>104</v>
      </c>
      <c r="AS714" s="6" t="s">
        <v>104</v>
      </c>
      <c r="AT714" s="6" t="s">
        <v>104</v>
      </c>
      <c r="AU714" s="6" t="s">
        <v>104</v>
      </c>
      <c r="AV714" s="6" t="s">
        <v>104</v>
      </c>
      <c r="AW714" s="6" t="s">
        <v>104</v>
      </c>
      <c r="AX714" s="6" t="s">
        <v>20672</v>
      </c>
      <c r="AY714" s="6" t="s">
        <v>22444</v>
      </c>
      <c r="AZ714" s="6" t="s">
        <v>104</v>
      </c>
      <c r="BA714" s="6" t="s">
        <v>104</v>
      </c>
      <c r="BB714" s="24" t="n">
        <v>1315</v>
      </c>
      <c r="BC714" s="26"/>
      <c r="BD714" s="26"/>
      <c r="BE714" s="26"/>
      <c r="BF714" s="26"/>
      <c r="BG714" s="26"/>
      <c r="BH714" s="26"/>
      <c r="BI714" s="26"/>
      <c r="BJ714" s="26"/>
      <c r="BK714" s="26"/>
      <c r="BL714" s="26"/>
      <c r="BM714" s="26"/>
      <c r="BN714" s="26"/>
      <c r="BO714" s="26"/>
      <c r="BP714" s="16" t="n">
        <v>45471</v>
      </c>
      <c r="BQ714" s="28" t="str">
        <f>HYPERLINK("https://organic.ams.usda.gov/Integrity/Certificate.aspx?cid=21&amp;nopid=1780881284")</f>
        <v>https://organic.ams.usda.gov/Integrity/Certificate.aspx?cid=21&amp;nopid=1780881284</v>
      </c>
    </row>
    <row r="715">
      <c r="A715" t="s">
        <v>3</v>
      </c>
      <c r="B715" s="6" t="s">
        <v>45</v>
      </c>
      <c r="C715" s="6" t="s">
        <v>111</v>
      </c>
      <c r="D715" s="6" t="s">
        <v>175</v>
      </c>
      <c r="E715" s="10" t="s">
        <v>913</v>
      </c>
      <c r="F715" s="6" t="s">
        <v>3163</v>
      </c>
      <c r="G715" s="6" t="s">
        <v>104</v>
      </c>
      <c r="H715" s="6" t="s">
        <v>5545</v>
      </c>
      <c r="I715" s="6" t="s">
        <v>7395</v>
      </c>
      <c r="J715" s="6" t="s">
        <v>8678</v>
      </c>
      <c r="K715" s="6" t="s">
        <v>9714</v>
      </c>
      <c r="L715" s="16" t="n">
        <v>38589</v>
      </c>
      <c r="M715" s="16" t="n">
        <v>46082</v>
      </c>
      <c r="N715" s="6" t="s">
        <v>9714</v>
      </c>
      <c r="O715" s="16" t="n">
        <v>38589</v>
      </c>
      <c r="P715" s="6" t="s">
        <v>9918</v>
      </c>
      <c r="Q715" s="6" t="s">
        <v>104</v>
      </c>
      <c r="R715" s="6" t="s">
        <v>4667</v>
      </c>
      <c r="S715" s="6" t="s">
        <v>104</v>
      </c>
      <c r="T715" s="21" t="s">
        <v>104</v>
      </c>
      <c r="U715" s="6" t="s">
        <v>104</v>
      </c>
      <c r="V715" s="6" t="s">
        <v>104</v>
      </c>
      <c r="W715" s="6" t="s">
        <v>104</v>
      </c>
      <c r="X715" s="6" t="s">
        <v>104</v>
      </c>
      <c r="Y715" s="21" t="s">
        <v>104</v>
      </c>
      <c r="Z715" s="6" t="s">
        <v>104</v>
      </c>
      <c r="AA715" s="6" t="s">
        <v>104</v>
      </c>
      <c r="AB715" s="6" t="s">
        <v>104</v>
      </c>
      <c r="AC715" s="6" t="s">
        <v>104</v>
      </c>
      <c r="AD715" s="21" t="s">
        <v>104</v>
      </c>
      <c r="AE715" s="6" t="s">
        <v>104</v>
      </c>
      <c r="AF715" s="6" t="s">
        <v>104</v>
      </c>
      <c r="AG715" s="6" t="s">
        <v>104</v>
      </c>
      <c r="AH715" s="6" t="s">
        <v>13805</v>
      </c>
      <c r="AI715" s="6" t="s">
        <v>104</v>
      </c>
      <c r="AJ715" s="6" t="s">
        <v>15832</v>
      </c>
      <c r="AK715" s="6" t="s">
        <v>16382</v>
      </c>
      <c r="AL715" s="6" t="s">
        <v>16931</v>
      </c>
      <c r="AM715" s="6" t="s">
        <v>17464</v>
      </c>
      <c r="AN715" s="6" t="s">
        <v>104</v>
      </c>
      <c r="AO715" s="6" t="s">
        <v>104</v>
      </c>
      <c r="AP715" s="6" t="s">
        <v>19131</v>
      </c>
      <c r="AQ715" s="6" t="s">
        <v>104</v>
      </c>
      <c r="AR715" s="6" t="s">
        <v>15832</v>
      </c>
      <c r="AS715" s="6" t="s">
        <v>16382</v>
      </c>
      <c r="AT715" s="6" t="s">
        <v>16931</v>
      </c>
      <c r="AU715" s="6" t="s">
        <v>17464</v>
      </c>
      <c r="AV715" s="6" t="s">
        <v>18468</v>
      </c>
      <c r="AW715" s="6" t="s">
        <v>18559</v>
      </c>
      <c r="AX715" s="6" t="s">
        <v>20673</v>
      </c>
      <c r="AY715" s="6" t="s">
        <v>22445</v>
      </c>
      <c r="AZ715" s="6" t="s">
        <v>23870</v>
      </c>
      <c r="BA715" s="6" t="s">
        <v>104</v>
      </c>
      <c r="BB715" s="24" t="n">
        <v>66</v>
      </c>
      <c r="BC715" s="26"/>
      <c r="BD715" s="26"/>
      <c r="BE715" s="26"/>
      <c r="BF715" s="26"/>
      <c r="BG715" s="26"/>
      <c r="BH715" s="26"/>
      <c r="BI715" s="26"/>
      <c r="BJ715" s="26"/>
      <c r="BK715" s="26"/>
      <c r="BL715" s="26"/>
      <c r="BM715" s="26"/>
      <c r="BN715" s="26"/>
      <c r="BO715" s="26"/>
      <c r="BP715" s="16" t="n">
        <v>45739</v>
      </c>
      <c r="BQ715" s="28" t="str">
        <f>HYPERLINK("https://organic.ams.usda.gov/Integrity/Certificate.aspx?cid=82&amp;nopid=2780001470")</f>
        <v>https://organic.ams.usda.gov/Integrity/Certificate.aspx?cid=82&amp;nopid=2780001470</v>
      </c>
    </row>
    <row r="716">
      <c r="A716" t="s">
        <v>3</v>
      </c>
      <c r="B716" s="6" t="s">
        <v>34</v>
      </c>
      <c r="C716" s="6" t="s">
        <v>100</v>
      </c>
      <c r="D716" s="6" t="s">
        <v>165</v>
      </c>
      <c r="E716" s="10" t="s">
        <v>914</v>
      </c>
      <c r="F716" s="6" t="s">
        <v>3164</v>
      </c>
      <c r="G716" s="6" t="s">
        <v>104</v>
      </c>
      <c r="H716" s="6" t="s">
        <v>5546</v>
      </c>
      <c r="I716" s="6" t="s">
        <v>7396</v>
      </c>
      <c r="J716" s="6" t="s">
        <v>8679</v>
      </c>
      <c r="K716" s="6" t="s">
        <v>9714</v>
      </c>
      <c r="L716" s="16" t="n">
        <v>43756</v>
      </c>
      <c r="M716" s="16" t="n">
        <v>45903</v>
      </c>
      <c r="N716" s="6" t="s">
        <v>104</v>
      </c>
      <c r="O716" s="21" t="s">
        <v>104</v>
      </c>
      <c r="P716" s="6" t="s">
        <v>104</v>
      </c>
      <c r="Q716" s="6" t="s">
        <v>104</v>
      </c>
      <c r="R716" s="6" t="s">
        <v>104</v>
      </c>
      <c r="S716" s="6" t="s">
        <v>104</v>
      </c>
      <c r="T716" s="21" t="s">
        <v>104</v>
      </c>
      <c r="U716" s="6" t="s">
        <v>104</v>
      </c>
      <c r="V716" s="6" t="s">
        <v>104</v>
      </c>
      <c r="W716" s="6" t="s">
        <v>104</v>
      </c>
      <c r="X716" s="6" t="s">
        <v>104</v>
      </c>
      <c r="Y716" s="21" t="s">
        <v>104</v>
      </c>
      <c r="Z716" s="6" t="s">
        <v>104</v>
      </c>
      <c r="AA716" s="6" t="s">
        <v>104</v>
      </c>
      <c r="AB716" s="6" t="s">
        <v>104</v>
      </c>
      <c r="AC716" s="6" t="s">
        <v>9714</v>
      </c>
      <c r="AD716" s="16" t="n">
        <v>43756</v>
      </c>
      <c r="AE716" s="6" t="s">
        <v>11161</v>
      </c>
      <c r="AF716" s="6" t="s">
        <v>104</v>
      </c>
      <c r="AG716" s="6" t="s">
        <v>12714</v>
      </c>
      <c r="AH716" s="6" t="s">
        <v>13806</v>
      </c>
      <c r="AI716" s="6" t="s">
        <v>104</v>
      </c>
      <c r="AJ716" s="6" t="s">
        <v>15605</v>
      </c>
      <c r="AK716" s="6" t="s">
        <v>16687</v>
      </c>
      <c r="AL716" s="6" t="s">
        <v>16931</v>
      </c>
      <c r="AM716" s="6" t="s">
        <v>17223</v>
      </c>
      <c r="AN716" s="6" t="s">
        <v>18465</v>
      </c>
      <c r="AO716" s="6" t="s">
        <v>18572</v>
      </c>
      <c r="AP716" s="6" t="s">
        <v>13806</v>
      </c>
      <c r="AQ716" s="6" t="s">
        <v>104</v>
      </c>
      <c r="AR716" s="6" t="s">
        <v>15605</v>
      </c>
      <c r="AS716" s="6" t="s">
        <v>16687</v>
      </c>
      <c r="AT716" s="6" t="s">
        <v>16931</v>
      </c>
      <c r="AU716" s="6" t="s">
        <v>17223</v>
      </c>
      <c r="AV716" s="6" t="s">
        <v>104</v>
      </c>
      <c r="AW716" s="6" t="s">
        <v>104</v>
      </c>
      <c r="AX716" s="6" t="s">
        <v>20674</v>
      </c>
      <c r="AY716" s="6" t="s">
        <v>22446</v>
      </c>
      <c r="AZ716" s="6" t="s">
        <v>23871</v>
      </c>
      <c r="BA716" s="6" t="s">
        <v>104</v>
      </c>
      <c r="BB716" s="6" t="s">
        <v>104</v>
      </c>
      <c r="BC716" s="26"/>
      <c r="BD716" s="26"/>
      <c r="BE716" s="26"/>
      <c r="BF716" s="26"/>
      <c r="BG716" s="26" t="s">
        <v>24533</v>
      </c>
      <c r="BH716" s="26"/>
      <c r="BI716" s="26"/>
      <c r="BJ716" s="26"/>
      <c r="BK716" s="26"/>
      <c r="BL716" s="26"/>
      <c r="BM716" s="26"/>
      <c r="BN716" s="26"/>
      <c r="BO716" s="26"/>
      <c r="BP716" s="16" t="n">
        <v>45737</v>
      </c>
      <c r="BQ716" s="28" t="str">
        <f>HYPERLINK("https://organic.ams.usda.gov/Integrity/Certificate.aspx?cid=71&amp;nopid=5520510154")</f>
        <v>https://organic.ams.usda.gov/Integrity/Certificate.aspx?cid=71&amp;nopid=5520510154</v>
      </c>
    </row>
    <row r="717">
      <c r="A717" t="s">
        <v>3</v>
      </c>
      <c r="B717" s="6" t="s">
        <v>20</v>
      </c>
      <c r="C717" s="6" t="s">
        <v>86</v>
      </c>
      <c r="D717" s="6" t="s">
        <v>151</v>
      </c>
      <c r="E717" s="10" t="s">
        <v>915</v>
      </c>
      <c r="F717" s="6" t="s">
        <v>3165</v>
      </c>
      <c r="G717" s="6" t="s">
        <v>104</v>
      </c>
      <c r="H717" s="6" t="s">
        <v>5547</v>
      </c>
      <c r="I717" s="6" t="s">
        <v>7397</v>
      </c>
      <c r="J717" s="6" t="s">
        <v>8680</v>
      </c>
      <c r="K717" s="6" t="s">
        <v>9714</v>
      </c>
      <c r="L717" s="16" t="n">
        <v>45205</v>
      </c>
      <c r="M717" s="16" t="n">
        <v>45930</v>
      </c>
      <c r="N717" s="6" t="s">
        <v>104</v>
      </c>
      <c r="O717" s="21" t="s">
        <v>104</v>
      </c>
      <c r="P717" s="6" t="s">
        <v>104</v>
      </c>
      <c r="Q717" s="6" t="s">
        <v>104</v>
      </c>
      <c r="R717" s="6" t="s">
        <v>104</v>
      </c>
      <c r="S717" s="6" t="s">
        <v>104</v>
      </c>
      <c r="T717" s="21" t="s">
        <v>104</v>
      </c>
      <c r="U717" s="6" t="s">
        <v>104</v>
      </c>
      <c r="V717" s="6" t="s">
        <v>104</v>
      </c>
      <c r="W717" s="6" t="s">
        <v>104</v>
      </c>
      <c r="X717" s="6" t="s">
        <v>104</v>
      </c>
      <c r="Y717" s="21" t="s">
        <v>104</v>
      </c>
      <c r="Z717" s="6" t="s">
        <v>104</v>
      </c>
      <c r="AA717" s="6" t="s">
        <v>104</v>
      </c>
      <c r="AB717" s="6" t="s">
        <v>104</v>
      </c>
      <c r="AC717" s="6" t="s">
        <v>9714</v>
      </c>
      <c r="AD717" s="16" t="n">
        <v>45205</v>
      </c>
      <c r="AE717" s="6" t="s">
        <v>11162</v>
      </c>
      <c r="AF717" s="6" t="s">
        <v>104</v>
      </c>
      <c r="AG717" s="6" t="s">
        <v>12715</v>
      </c>
      <c r="AH717" s="6" t="s">
        <v>13807</v>
      </c>
      <c r="AI717" s="6" t="s">
        <v>104</v>
      </c>
      <c r="AJ717" s="6" t="s">
        <v>15833</v>
      </c>
      <c r="AK717" s="6" t="s">
        <v>16737</v>
      </c>
      <c r="AL717" s="6" t="s">
        <v>16898</v>
      </c>
      <c r="AM717" s="6" t="s">
        <v>17465</v>
      </c>
      <c r="AN717" s="6" t="s">
        <v>104</v>
      </c>
      <c r="AO717" s="6" t="s">
        <v>104</v>
      </c>
      <c r="AP717" s="6" t="s">
        <v>104</v>
      </c>
      <c r="AQ717" s="6" t="s">
        <v>104</v>
      </c>
      <c r="AR717" s="6" t="s">
        <v>104</v>
      </c>
      <c r="AS717" s="6" t="s">
        <v>104</v>
      </c>
      <c r="AT717" s="6" t="s">
        <v>104</v>
      </c>
      <c r="AU717" s="6" t="s">
        <v>104</v>
      </c>
      <c r="AV717" s="6" t="s">
        <v>104</v>
      </c>
      <c r="AW717" s="6" t="s">
        <v>104</v>
      </c>
      <c r="AX717" s="6" t="s">
        <v>20675</v>
      </c>
      <c r="AY717" s="6" t="s">
        <v>22447</v>
      </c>
      <c r="AZ717" s="6" t="s">
        <v>104</v>
      </c>
      <c r="BA717" s="6" t="s">
        <v>24367</v>
      </c>
      <c r="BB717" s="6" t="s">
        <v>104</v>
      </c>
      <c r="BC717" s="26"/>
      <c r="BD717" s="26"/>
      <c r="BE717" s="26"/>
      <c r="BF717" s="26"/>
      <c r="BG717" s="26"/>
      <c r="BH717" s="26"/>
      <c r="BI717" s="26"/>
      <c r="BJ717" s="26"/>
      <c r="BK717" s="26"/>
      <c r="BL717" s="26"/>
      <c r="BM717" s="26"/>
      <c r="BN717" s="26"/>
      <c r="BO717" s="26"/>
      <c r="BP717" s="16" t="n">
        <v>45681</v>
      </c>
      <c r="BQ717" s="28" t="str">
        <f>HYPERLINK("https://organic.ams.usda.gov/Integrity/Certificate.aspx?cid=17&amp;nopid=4080206899")</f>
        <v>https://organic.ams.usda.gov/Integrity/Certificate.aspx?cid=17&amp;nopid=4080206899</v>
      </c>
    </row>
    <row r="718">
      <c r="A718" t="s">
        <v>3</v>
      </c>
      <c r="B718" s="6" t="s">
        <v>41</v>
      </c>
      <c r="C718" s="6" t="s">
        <v>107</v>
      </c>
      <c r="D718" s="6" t="s">
        <v>171</v>
      </c>
      <c r="E718" s="10" t="s">
        <v>916</v>
      </c>
      <c r="F718" s="6" t="s">
        <v>3166</v>
      </c>
      <c r="G718" s="6" t="s">
        <v>4746</v>
      </c>
      <c r="H718" s="6" t="s">
        <v>5548</v>
      </c>
      <c r="I718" s="6" t="s">
        <v>7398</v>
      </c>
      <c r="J718" s="6" t="s">
        <v>8681</v>
      </c>
      <c r="K718" s="6" t="s">
        <v>9714</v>
      </c>
      <c r="L718" s="16" t="n">
        <v>44257</v>
      </c>
      <c r="M718" s="16" t="n">
        <v>46157</v>
      </c>
      <c r="N718" s="6" t="s">
        <v>9714</v>
      </c>
      <c r="O718" s="16" t="n">
        <v>44257</v>
      </c>
      <c r="P718" s="6" t="s">
        <v>9919</v>
      </c>
      <c r="Q718" s="6" t="s">
        <v>104</v>
      </c>
      <c r="R718" s="6" t="s">
        <v>104</v>
      </c>
      <c r="S718" s="6" t="s">
        <v>104</v>
      </c>
      <c r="T718" s="21" t="s">
        <v>104</v>
      </c>
      <c r="U718" s="6" t="s">
        <v>104</v>
      </c>
      <c r="V718" s="6" t="s">
        <v>104</v>
      </c>
      <c r="W718" s="6" t="s">
        <v>104</v>
      </c>
      <c r="X718" s="6" t="s">
        <v>104</v>
      </c>
      <c r="Y718" s="21" t="s">
        <v>104</v>
      </c>
      <c r="Z718" s="6" t="s">
        <v>104</v>
      </c>
      <c r="AA718" s="6" t="s">
        <v>104</v>
      </c>
      <c r="AB718" s="6" t="s">
        <v>104</v>
      </c>
      <c r="AC718" s="6" t="s">
        <v>9714</v>
      </c>
      <c r="AD718" s="16" t="n">
        <v>44257</v>
      </c>
      <c r="AE718" s="6" t="s">
        <v>11163</v>
      </c>
      <c r="AF718" s="6" t="s">
        <v>104</v>
      </c>
      <c r="AG718" s="6" t="s">
        <v>104</v>
      </c>
      <c r="AH718" s="6" t="s">
        <v>13808</v>
      </c>
      <c r="AI718" s="6" t="s">
        <v>104</v>
      </c>
      <c r="AJ718" s="6" t="s">
        <v>15834</v>
      </c>
      <c r="AK718" s="6" t="s">
        <v>16710</v>
      </c>
      <c r="AL718" s="6" t="s">
        <v>16931</v>
      </c>
      <c r="AM718" s="6" t="s">
        <v>17466</v>
      </c>
      <c r="AN718" s="6" t="s">
        <v>18474</v>
      </c>
      <c r="AO718" s="6" t="s">
        <v>18721</v>
      </c>
      <c r="AP718" s="6" t="s">
        <v>13808</v>
      </c>
      <c r="AQ718" s="6" t="s">
        <v>104</v>
      </c>
      <c r="AR718" s="6" t="s">
        <v>15834</v>
      </c>
      <c r="AS718" s="6" t="s">
        <v>16710</v>
      </c>
      <c r="AT718" s="6" t="s">
        <v>16931</v>
      </c>
      <c r="AU718" s="6" t="s">
        <v>17466</v>
      </c>
      <c r="AV718" s="6" t="s">
        <v>104</v>
      </c>
      <c r="AW718" s="6" t="s">
        <v>104</v>
      </c>
      <c r="AX718" s="6" t="s">
        <v>20676</v>
      </c>
      <c r="AY718" s="6" t="s">
        <v>22448</v>
      </c>
      <c r="AZ718" s="6" t="s">
        <v>104</v>
      </c>
      <c r="BA718" s="6" t="s">
        <v>104</v>
      </c>
      <c r="BB718" s="24" t="n">
        <v>785</v>
      </c>
      <c r="BC718" s="26"/>
      <c r="BD718" s="26"/>
      <c r="BE718" s="26"/>
      <c r="BF718" s="26"/>
      <c r="BG718" s="26"/>
      <c r="BH718" s="26"/>
      <c r="BI718" s="26"/>
      <c r="BJ718" s="26"/>
      <c r="BK718" s="26"/>
      <c r="BL718" s="26"/>
      <c r="BM718" s="26"/>
      <c r="BN718" s="26"/>
      <c r="BO718" s="26"/>
      <c r="BP718" s="16" t="n">
        <v>45737</v>
      </c>
      <c r="BQ718" s="28" t="str">
        <f>HYPERLINK("https://organic.ams.usda.gov/Integrity/Certificate.aspx?cid=58&amp;nopid=1600003505")</f>
        <v>https://organic.ams.usda.gov/Integrity/Certificate.aspx?cid=58&amp;nopid=1600003505</v>
      </c>
    </row>
    <row r="719">
      <c r="A719" t="s">
        <v>3</v>
      </c>
      <c r="B719" s="6" t="s">
        <v>54</v>
      </c>
      <c r="C719" s="6" t="s">
        <v>120</v>
      </c>
      <c r="D719" s="6" t="s">
        <v>184</v>
      </c>
      <c r="E719" s="10" t="s">
        <v>917</v>
      </c>
      <c r="F719" s="6" t="s">
        <v>3167</v>
      </c>
      <c r="G719" s="6" t="s">
        <v>104</v>
      </c>
      <c r="H719" s="6" t="s">
        <v>5549</v>
      </c>
      <c r="I719" s="6" t="s">
        <v>7399</v>
      </c>
      <c r="J719" s="6" t="s">
        <v>8682</v>
      </c>
      <c r="K719" s="6" t="s">
        <v>9714</v>
      </c>
      <c r="L719" s="16" t="n">
        <v>45372</v>
      </c>
      <c r="M719" s="16" t="n">
        <v>45689</v>
      </c>
      <c r="N719" s="6" t="s">
        <v>104</v>
      </c>
      <c r="O719" s="21" t="s">
        <v>104</v>
      </c>
      <c r="P719" s="6" t="s">
        <v>104</v>
      </c>
      <c r="Q719" s="6" t="s">
        <v>104</v>
      </c>
      <c r="R719" s="6" t="s">
        <v>104</v>
      </c>
      <c r="S719" s="6" t="s">
        <v>104</v>
      </c>
      <c r="T719" s="21" t="s">
        <v>104</v>
      </c>
      <c r="U719" s="6" t="s">
        <v>104</v>
      </c>
      <c r="V719" s="6" t="s">
        <v>104</v>
      </c>
      <c r="W719" s="6" t="s">
        <v>104</v>
      </c>
      <c r="X719" s="6" t="s">
        <v>104</v>
      </c>
      <c r="Y719" s="21" t="s">
        <v>104</v>
      </c>
      <c r="Z719" s="6" t="s">
        <v>104</v>
      </c>
      <c r="AA719" s="6" t="s">
        <v>104</v>
      </c>
      <c r="AB719" s="6" t="s">
        <v>104</v>
      </c>
      <c r="AC719" s="6" t="s">
        <v>9714</v>
      </c>
      <c r="AD719" s="16" t="n">
        <v>45372</v>
      </c>
      <c r="AE719" s="6" t="s">
        <v>11164</v>
      </c>
      <c r="AF719" s="6" t="s">
        <v>104</v>
      </c>
      <c r="AG719" s="6" t="s">
        <v>104</v>
      </c>
      <c r="AH719" s="6" t="s">
        <v>13809</v>
      </c>
      <c r="AI719" s="6" t="s">
        <v>104</v>
      </c>
      <c r="AJ719" s="6" t="s">
        <v>15835</v>
      </c>
      <c r="AK719" s="6" t="s">
        <v>16730</v>
      </c>
      <c r="AL719" s="6" t="s">
        <v>16931</v>
      </c>
      <c r="AM719" s="6" t="s">
        <v>17467</v>
      </c>
      <c r="AN719" s="6" t="s">
        <v>104</v>
      </c>
      <c r="AO719" s="6" t="s">
        <v>104</v>
      </c>
      <c r="AP719" s="6" t="s">
        <v>19132</v>
      </c>
      <c r="AQ719" s="6" t="s">
        <v>104</v>
      </c>
      <c r="AR719" s="6" t="s">
        <v>15835</v>
      </c>
      <c r="AS719" s="6" t="s">
        <v>16730</v>
      </c>
      <c r="AT719" s="6" t="s">
        <v>16931</v>
      </c>
      <c r="AU719" s="6" t="s">
        <v>17467</v>
      </c>
      <c r="AV719" s="6" t="s">
        <v>104</v>
      </c>
      <c r="AW719" s="6" t="s">
        <v>104</v>
      </c>
      <c r="AX719" s="6" t="s">
        <v>104</v>
      </c>
      <c r="AY719" s="6" t="s">
        <v>22449</v>
      </c>
      <c r="AZ719" s="6" t="s">
        <v>104</v>
      </c>
      <c r="BA719" s="6" t="s">
        <v>104</v>
      </c>
      <c r="BB719" s="6" t="s">
        <v>104</v>
      </c>
      <c r="BC719" s="26" t="s">
        <v>24533</v>
      </c>
      <c r="BD719" s="26"/>
      <c r="BE719" s="26"/>
      <c r="BF719" s="26"/>
      <c r="BG719" s="26" t="s">
        <v>24533</v>
      </c>
      <c r="BH719" s="26" t="s">
        <v>24533</v>
      </c>
      <c r="BI719" s="26"/>
      <c r="BJ719" s="26"/>
      <c r="BK719" s="26"/>
      <c r="BL719" s="26"/>
      <c r="BM719" s="26"/>
      <c r="BN719" s="26" t="s">
        <v>24533</v>
      </c>
      <c r="BO719" s="26"/>
      <c r="BP719" s="16" t="n">
        <v>45721</v>
      </c>
      <c r="BQ719" s="28" t="str">
        <f>HYPERLINK("https://organic.ams.usda.gov/Integrity/Certificate.aspx?cid=60&amp;nopid=2580006714")</f>
        <v>https://organic.ams.usda.gov/Integrity/Certificate.aspx?cid=60&amp;nopid=2580006714</v>
      </c>
    </row>
    <row r="720">
      <c r="A720" t="s">
        <v>3</v>
      </c>
      <c r="B720" s="6" t="s">
        <v>14</v>
      </c>
      <c r="C720" s="6" t="s">
        <v>80</v>
      </c>
      <c r="D720" s="6" t="s">
        <v>145</v>
      </c>
      <c r="E720" s="10" t="s">
        <v>918</v>
      </c>
      <c r="F720" s="6" t="s">
        <v>3168</v>
      </c>
      <c r="G720" s="6" t="s">
        <v>104</v>
      </c>
      <c r="H720" s="6" t="s">
        <v>5550</v>
      </c>
      <c r="I720" s="6" t="s">
        <v>7400</v>
      </c>
      <c r="J720" s="6" t="s">
        <v>8141</v>
      </c>
      <c r="K720" s="6" t="s">
        <v>9714</v>
      </c>
      <c r="L720" s="16" t="n">
        <v>43658</v>
      </c>
      <c r="M720" s="16" t="n">
        <v>45784</v>
      </c>
      <c r="N720" s="6" t="s">
        <v>104</v>
      </c>
      <c r="O720" s="21" t="s">
        <v>104</v>
      </c>
      <c r="P720" s="6" t="s">
        <v>104</v>
      </c>
      <c r="Q720" s="6" t="s">
        <v>104</v>
      </c>
      <c r="R720" s="6" t="s">
        <v>104</v>
      </c>
      <c r="S720" s="6" t="s">
        <v>104</v>
      </c>
      <c r="T720" s="21" t="s">
        <v>104</v>
      </c>
      <c r="U720" s="6" t="s">
        <v>104</v>
      </c>
      <c r="V720" s="6" t="s">
        <v>104</v>
      </c>
      <c r="W720" s="6" t="s">
        <v>104</v>
      </c>
      <c r="X720" s="6" t="s">
        <v>104</v>
      </c>
      <c r="Y720" s="21" t="s">
        <v>104</v>
      </c>
      <c r="Z720" s="6" t="s">
        <v>104</v>
      </c>
      <c r="AA720" s="6" t="s">
        <v>104</v>
      </c>
      <c r="AB720" s="6" t="s">
        <v>104</v>
      </c>
      <c r="AC720" s="6" t="s">
        <v>9714</v>
      </c>
      <c r="AD720" s="16" t="n">
        <v>43658</v>
      </c>
      <c r="AE720" s="6" t="s">
        <v>11165</v>
      </c>
      <c r="AF720" s="6" t="s">
        <v>104</v>
      </c>
      <c r="AG720" s="6" t="s">
        <v>104</v>
      </c>
      <c r="AH720" s="6" t="s">
        <v>13810</v>
      </c>
      <c r="AI720" s="6" t="s">
        <v>104</v>
      </c>
      <c r="AJ720" s="6" t="s">
        <v>15836</v>
      </c>
      <c r="AK720" s="6" t="s">
        <v>16802</v>
      </c>
      <c r="AL720" s="6" t="s">
        <v>16932</v>
      </c>
      <c r="AM720" s="6" t="s">
        <v>17468</v>
      </c>
      <c r="AN720" s="6" t="s">
        <v>104</v>
      </c>
      <c r="AO720" s="6" t="s">
        <v>104</v>
      </c>
      <c r="AP720" s="6" t="s">
        <v>104</v>
      </c>
      <c r="AQ720" s="6" t="s">
        <v>104</v>
      </c>
      <c r="AR720" s="6" t="s">
        <v>104</v>
      </c>
      <c r="AS720" s="6" t="s">
        <v>104</v>
      </c>
      <c r="AT720" s="6" t="s">
        <v>104</v>
      </c>
      <c r="AU720" s="6" t="s">
        <v>104</v>
      </c>
      <c r="AV720" s="6" t="s">
        <v>104</v>
      </c>
      <c r="AW720" s="6" t="s">
        <v>104</v>
      </c>
      <c r="AX720" s="6" t="s">
        <v>20677</v>
      </c>
      <c r="AY720" s="6" t="s">
        <v>22450</v>
      </c>
      <c r="AZ720" s="6" t="s">
        <v>23872</v>
      </c>
      <c r="BA720" s="6" t="s">
        <v>24259</v>
      </c>
      <c r="BB720" s="6" t="s">
        <v>104</v>
      </c>
      <c r="BC720" s="26"/>
      <c r="BD720" s="26"/>
      <c r="BE720" s="26"/>
      <c r="BF720" s="26"/>
      <c r="BG720" s="26"/>
      <c r="BH720" s="26"/>
      <c r="BI720" s="26"/>
      <c r="BJ720" s="26"/>
      <c r="BK720" s="26"/>
      <c r="BL720" s="26"/>
      <c r="BM720" s="26"/>
      <c r="BN720" s="26"/>
      <c r="BO720" s="26"/>
      <c r="BP720" s="16" t="n">
        <v>45464</v>
      </c>
      <c r="BQ720" s="28" t="str">
        <f>HYPERLINK("https://organic.ams.usda.gov/Integrity/Certificate.aspx?cid=89&amp;nopid=4920002656")</f>
        <v>https://organic.ams.usda.gov/Integrity/Certificate.aspx?cid=89&amp;nopid=4920002656</v>
      </c>
    </row>
    <row r="721">
      <c r="A721" t="s">
        <v>3</v>
      </c>
      <c r="B721" s="6" t="s">
        <v>29</v>
      </c>
      <c r="C721" s="6" t="s">
        <v>95</v>
      </c>
      <c r="D721" s="6" t="s">
        <v>160</v>
      </c>
      <c r="E721" s="10" t="s">
        <v>919</v>
      </c>
      <c r="F721" s="6" t="s">
        <v>3169</v>
      </c>
      <c r="G721" s="6" t="s">
        <v>104</v>
      </c>
      <c r="H721" s="6" t="s">
        <v>5551</v>
      </c>
      <c r="I721" s="6" t="s">
        <v>104</v>
      </c>
      <c r="J721" s="6" t="s">
        <v>8683</v>
      </c>
      <c r="K721" s="6" t="s">
        <v>9714</v>
      </c>
      <c r="L721" s="16" t="n">
        <v>39821</v>
      </c>
      <c r="M721" s="16" t="n">
        <v>45778</v>
      </c>
      <c r="N721" s="6" t="s">
        <v>9714</v>
      </c>
      <c r="O721" s="16" t="n">
        <v>39821</v>
      </c>
      <c r="P721" s="6" t="s">
        <v>9920</v>
      </c>
      <c r="Q721" s="6" t="s">
        <v>104</v>
      </c>
      <c r="R721" s="6" t="s">
        <v>104</v>
      </c>
      <c r="S721" s="6" t="s">
        <v>104</v>
      </c>
      <c r="T721" s="21" t="s">
        <v>104</v>
      </c>
      <c r="U721" s="6" t="s">
        <v>104</v>
      </c>
      <c r="V721" s="6" t="s">
        <v>104</v>
      </c>
      <c r="W721" s="6" t="s">
        <v>104</v>
      </c>
      <c r="X721" s="6" t="s">
        <v>104</v>
      </c>
      <c r="Y721" s="21" t="s">
        <v>104</v>
      </c>
      <c r="Z721" s="6" t="s">
        <v>104</v>
      </c>
      <c r="AA721" s="6" t="s">
        <v>104</v>
      </c>
      <c r="AB721" s="6" t="s">
        <v>104</v>
      </c>
      <c r="AC721" s="6" t="s">
        <v>9714</v>
      </c>
      <c r="AD721" s="16" t="n">
        <v>39821</v>
      </c>
      <c r="AE721" s="6" t="s">
        <v>11166</v>
      </c>
      <c r="AF721" s="6" t="s">
        <v>104</v>
      </c>
      <c r="AG721" s="6" t="s">
        <v>104</v>
      </c>
      <c r="AH721" s="6" t="s">
        <v>13811</v>
      </c>
      <c r="AI721" s="6" t="s">
        <v>104</v>
      </c>
      <c r="AJ721" s="6" t="s">
        <v>15837</v>
      </c>
      <c r="AK721" s="6" t="s">
        <v>104</v>
      </c>
      <c r="AL721" s="6" t="s">
        <v>16948</v>
      </c>
      <c r="AM721" s="6" t="s">
        <v>17469</v>
      </c>
      <c r="AN721" s="6" t="s">
        <v>104</v>
      </c>
      <c r="AO721" s="6" t="s">
        <v>104</v>
      </c>
      <c r="AP721" s="6" t="s">
        <v>104</v>
      </c>
      <c r="AQ721" s="6" t="s">
        <v>104</v>
      </c>
      <c r="AR721" s="6" t="s">
        <v>104</v>
      </c>
      <c r="AS721" s="6" t="s">
        <v>104</v>
      </c>
      <c r="AT721" s="6" t="s">
        <v>104</v>
      </c>
      <c r="AU721" s="6" t="s">
        <v>104</v>
      </c>
      <c r="AV721" s="6" t="s">
        <v>104</v>
      </c>
      <c r="AW721" s="6" t="s">
        <v>104</v>
      </c>
      <c r="AX721" s="6" t="s">
        <v>20678</v>
      </c>
      <c r="AY721" s="6" t="s">
        <v>22451</v>
      </c>
      <c r="AZ721" s="6" t="s">
        <v>104</v>
      </c>
      <c r="BA721" s="6" t="s">
        <v>104</v>
      </c>
      <c r="BB721" s="24" t="n">
        <v>796</v>
      </c>
      <c r="BC721" s="26"/>
      <c r="BD721" s="26"/>
      <c r="BE721" s="26"/>
      <c r="BF721" s="26"/>
      <c r="BG721" s="26"/>
      <c r="BH721" s="26"/>
      <c r="BI721" s="26"/>
      <c r="BJ721" s="26"/>
      <c r="BK721" s="26"/>
      <c r="BL721" s="26"/>
      <c r="BM721" s="26"/>
      <c r="BN721" s="26"/>
      <c r="BO721" s="26" t="s">
        <v>24533</v>
      </c>
      <c r="BP721" s="16" t="n">
        <v>45562</v>
      </c>
      <c r="BQ721" s="28" t="str">
        <f>HYPERLINK("https://organic.ams.usda.gov/Integrity/Certificate.aspx?cid=24&amp;nopid=7887126200")</f>
        <v>https://organic.ams.usda.gov/Integrity/Certificate.aspx?cid=24&amp;nopid=7887126200</v>
      </c>
    </row>
    <row r="722">
      <c r="A722" t="s">
        <v>3</v>
      </c>
      <c r="B722" s="6" t="s">
        <v>20</v>
      </c>
      <c r="C722" s="6" t="s">
        <v>86</v>
      </c>
      <c r="D722" s="6" t="s">
        <v>151</v>
      </c>
      <c r="E722" s="10" t="s">
        <v>920</v>
      </c>
      <c r="F722" s="6" t="s">
        <v>3170</v>
      </c>
      <c r="G722" s="6" t="s">
        <v>104</v>
      </c>
      <c r="H722" s="6" t="s">
        <v>5552</v>
      </c>
      <c r="I722" s="6" t="s">
        <v>7401</v>
      </c>
      <c r="J722" s="6" t="s">
        <v>8684</v>
      </c>
      <c r="K722" s="6" t="s">
        <v>9714</v>
      </c>
      <c r="L722" s="16" t="n">
        <v>40293</v>
      </c>
      <c r="M722" s="16" t="n">
        <v>45808</v>
      </c>
      <c r="N722" s="6" t="s">
        <v>9714</v>
      </c>
      <c r="O722" s="16" t="n">
        <v>40293</v>
      </c>
      <c r="P722" s="6" t="s">
        <v>9921</v>
      </c>
      <c r="Q722" s="6" t="s">
        <v>104</v>
      </c>
      <c r="R722" s="6" t="s">
        <v>10350</v>
      </c>
      <c r="S722" s="6" t="s">
        <v>104</v>
      </c>
      <c r="T722" s="21" t="s">
        <v>104</v>
      </c>
      <c r="U722" s="6" t="s">
        <v>104</v>
      </c>
      <c r="V722" s="6" t="s">
        <v>104</v>
      </c>
      <c r="W722" s="6" t="s">
        <v>104</v>
      </c>
      <c r="X722" s="6" t="s">
        <v>104</v>
      </c>
      <c r="Y722" s="21" t="s">
        <v>104</v>
      </c>
      <c r="Z722" s="6" t="s">
        <v>104</v>
      </c>
      <c r="AA722" s="6" t="s">
        <v>104</v>
      </c>
      <c r="AB722" s="6" t="s">
        <v>104</v>
      </c>
      <c r="AC722" s="6" t="s">
        <v>9714</v>
      </c>
      <c r="AD722" s="16" t="n">
        <v>40293</v>
      </c>
      <c r="AE722" s="6" t="s">
        <v>11167</v>
      </c>
      <c r="AF722" s="6" t="s">
        <v>104</v>
      </c>
      <c r="AG722" s="6" t="s">
        <v>10350</v>
      </c>
      <c r="AH722" s="6" t="s">
        <v>13812</v>
      </c>
      <c r="AI722" s="6" t="s">
        <v>104</v>
      </c>
      <c r="AJ722" s="6" t="s">
        <v>15838</v>
      </c>
      <c r="AK722" s="6" t="s">
        <v>15482</v>
      </c>
      <c r="AL722" s="6" t="s">
        <v>16939</v>
      </c>
      <c r="AM722" s="6" t="s">
        <v>104</v>
      </c>
      <c r="AN722" s="6" t="s">
        <v>104</v>
      </c>
      <c r="AO722" s="6" t="s">
        <v>104</v>
      </c>
      <c r="AP722" s="6" t="s">
        <v>104</v>
      </c>
      <c r="AQ722" s="6" t="s">
        <v>104</v>
      </c>
      <c r="AR722" s="6" t="s">
        <v>104</v>
      </c>
      <c r="AS722" s="6" t="s">
        <v>104</v>
      </c>
      <c r="AT722" s="6" t="s">
        <v>104</v>
      </c>
      <c r="AU722" s="6" t="s">
        <v>104</v>
      </c>
      <c r="AV722" s="6" t="s">
        <v>104</v>
      </c>
      <c r="AW722" s="6" t="s">
        <v>104</v>
      </c>
      <c r="AX722" s="6" t="s">
        <v>20679</v>
      </c>
      <c r="AY722" s="6" t="s">
        <v>22452</v>
      </c>
      <c r="AZ722" s="6" t="s">
        <v>104</v>
      </c>
      <c r="BA722" s="6" t="s">
        <v>104</v>
      </c>
      <c r="BB722" s="24" t="n">
        <v>750</v>
      </c>
      <c r="BC722" s="26"/>
      <c r="BD722" s="26"/>
      <c r="BE722" s="26"/>
      <c r="BF722" s="26"/>
      <c r="BG722" s="26"/>
      <c r="BH722" s="26"/>
      <c r="BI722" s="26"/>
      <c r="BJ722" s="26"/>
      <c r="BK722" s="26"/>
      <c r="BL722" s="26"/>
      <c r="BM722" s="26"/>
      <c r="BN722" s="26"/>
      <c r="BO722" s="26" t="s">
        <v>24533</v>
      </c>
      <c r="BP722" s="16" t="n">
        <v>45582</v>
      </c>
      <c r="BQ722" s="28" t="str">
        <f>HYPERLINK("https://organic.ams.usda.gov/Integrity/Certificate.aspx?cid=17&amp;nopid=4080400024")</f>
        <v>https://organic.ams.usda.gov/Integrity/Certificate.aspx?cid=17&amp;nopid=4080400024</v>
      </c>
    </row>
    <row r="723">
      <c r="A723" t="s">
        <v>3</v>
      </c>
      <c r="B723" s="6" t="s">
        <v>34</v>
      </c>
      <c r="C723" s="6" t="s">
        <v>100</v>
      </c>
      <c r="D723" s="6" t="s">
        <v>165</v>
      </c>
      <c r="E723" s="10" t="s">
        <v>921</v>
      </c>
      <c r="F723" s="6" t="s">
        <v>3171</v>
      </c>
      <c r="G723" s="6" t="s">
        <v>104</v>
      </c>
      <c r="H723" s="6" t="s">
        <v>5553</v>
      </c>
      <c r="I723" s="6" t="s">
        <v>7303</v>
      </c>
      <c r="J723" s="6" t="s">
        <v>8561</v>
      </c>
      <c r="K723" s="6" t="s">
        <v>9714</v>
      </c>
      <c r="L723" s="16" t="n">
        <v>43105</v>
      </c>
      <c r="M723" s="16" t="n">
        <v>45783</v>
      </c>
      <c r="N723" s="6" t="s">
        <v>104</v>
      </c>
      <c r="O723" s="21" t="s">
        <v>104</v>
      </c>
      <c r="P723" s="6" t="s">
        <v>104</v>
      </c>
      <c r="Q723" s="6" t="s">
        <v>104</v>
      </c>
      <c r="R723" s="6" t="s">
        <v>104</v>
      </c>
      <c r="S723" s="6" t="s">
        <v>104</v>
      </c>
      <c r="T723" s="21" t="s">
        <v>104</v>
      </c>
      <c r="U723" s="6" t="s">
        <v>104</v>
      </c>
      <c r="V723" s="6" t="s">
        <v>104</v>
      </c>
      <c r="W723" s="6" t="s">
        <v>104</v>
      </c>
      <c r="X723" s="6" t="s">
        <v>104</v>
      </c>
      <c r="Y723" s="21" t="s">
        <v>104</v>
      </c>
      <c r="Z723" s="6" t="s">
        <v>104</v>
      </c>
      <c r="AA723" s="6" t="s">
        <v>104</v>
      </c>
      <c r="AB723" s="6" t="s">
        <v>104</v>
      </c>
      <c r="AC723" s="6" t="s">
        <v>9714</v>
      </c>
      <c r="AD723" s="16" t="n">
        <v>43105</v>
      </c>
      <c r="AE723" s="6" t="s">
        <v>11168</v>
      </c>
      <c r="AF723" s="6" t="s">
        <v>104</v>
      </c>
      <c r="AG723" s="6" t="s">
        <v>12716</v>
      </c>
      <c r="AH723" s="6" t="s">
        <v>13813</v>
      </c>
      <c r="AI723" s="6" t="s">
        <v>104</v>
      </c>
      <c r="AJ723" s="6" t="s">
        <v>15839</v>
      </c>
      <c r="AK723" s="6" t="s">
        <v>16803</v>
      </c>
      <c r="AL723" s="6" t="s">
        <v>16931</v>
      </c>
      <c r="AM723" s="6" t="s">
        <v>17470</v>
      </c>
      <c r="AN723" s="6" t="s">
        <v>18481</v>
      </c>
      <c r="AO723" s="6" t="s">
        <v>18722</v>
      </c>
      <c r="AP723" s="6" t="s">
        <v>19093</v>
      </c>
      <c r="AQ723" s="6" t="s">
        <v>104</v>
      </c>
      <c r="AR723" s="6" t="s">
        <v>19639</v>
      </c>
      <c r="AS723" s="6" t="s">
        <v>16711</v>
      </c>
      <c r="AT723" s="6" t="s">
        <v>16931</v>
      </c>
      <c r="AU723" s="6" t="s">
        <v>19868</v>
      </c>
      <c r="AV723" s="6" t="s">
        <v>104</v>
      </c>
      <c r="AW723" s="6" t="s">
        <v>104</v>
      </c>
      <c r="AX723" s="6" t="s">
        <v>20680</v>
      </c>
      <c r="AY723" s="6" t="s">
        <v>22323</v>
      </c>
      <c r="AZ723" s="6" t="s">
        <v>104</v>
      </c>
      <c r="BA723" s="6" t="s">
        <v>104</v>
      </c>
      <c r="BB723" s="6" t="s">
        <v>104</v>
      </c>
      <c r="BC723" s="26"/>
      <c r="BD723" s="26"/>
      <c r="BE723" s="26"/>
      <c r="BF723" s="26"/>
      <c r="BG723" s="26"/>
      <c r="BH723" s="26"/>
      <c r="BI723" s="26"/>
      <c r="BJ723" s="26"/>
      <c r="BK723" s="26"/>
      <c r="BL723" s="26"/>
      <c r="BM723" s="26"/>
      <c r="BN723" s="26"/>
      <c r="BO723" s="26"/>
      <c r="BP723" s="16" t="n">
        <v>45737</v>
      </c>
      <c r="BQ723" s="28" t="str">
        <f>HYPERLINK("https://organic.ams.usda.gov/Integrity/Certificate.aspx?cid=71&amp;nopid=5520366567")</f>
        <v>https://organic.ams.usda.gov/Integrity/Certificate.aspx?cid=71&amp;nopid=5520366567</v>
      </c>
    </row>
    <row r="724">
      <c r="A724" t="s">
        <v>3</v>
      </c>
      <c r="B724" s="6" t="s">
        <v>34</v>
      </c>
      <c r="C724" s="6" t="s">
        <v>100</v>
      </c>
      <c r="D724" s="6" t="s">
        <v>165</v>
      </c>
      <c r="E724" s="10" t="s">
        <v>922</v>
      </c>
      <c r="F724" s="6" t="s">
        <v>3172</v>
      </c>
      <c r="G724" s="6" t="s">
        <v>104</v>
      </c>
      <c r="H724" s="6" t="s">
        <v>5554</v>
      </c>
      <c r="I724" s="6" t="s">
        <v>7303</v>
      </c>
      <c r="J724" s="6" t="s">
        <v>8561</v>
      </c>
      <c r="K724" s="6" t="s">
        <v>9714</v>
      </c>
      <c r="L724" s="16" t="n">
        <v>44652</v>
      </c>
      <c r="M724" s="16" t="n">
        <v>45825</v>
      </c>
      <c r="N724" s="6" t="s">
        <v>104</v>
      </c>
      <c r="O724" s="21" t="s">
        <v>104</v>
      </c>
      <c r="P724" s="6" t="s">
        <v>104</v>
      </c>
      <c r="Q724" s="6" t="s">
        <v>104</v>
      </c>
      <c r="R724" s="6" t="s">
        <v>104</v>
      </c>
      <c r="S724" s="6" t="s">
        <v>104</v>
      </c>
      <c r="T724" s="21" t="s">
        <v>104</v>
      </c>
      <c r="U724" s="6" t="s">
        <v>104</v>
      </c>
      <c r="V724" s="6" t="s">
        <v>104</v>
      </c>
      <c r="W724" s="6" t="s">
        <v>104</v>
      </c>
      <c r="X724" s="6" t="s">
        <v>104</v>
      </c>
      <c r="Y724" s="21" t="s">
        <v>104</v>
      </c>
      <c r="Z724" s="6" t="s">
        <v>104</v>
      </c>
      <c r="AA724" s="6" t="s">
        <v>104</v>
      </c>
      <c r="AB724" s="6" t="s">
        <v>104</v>
      </c>
      <c r="AC724" s="6" t="s">
        <v>9714</v>
      </c>
      <c r="AD724" s="16" t="n">
        <v>44652</v>
      </c>
      <c r="AE724" s="6" t="s">
        <v>11169</v>
      </c>
      <c r="AF724" s="6" t="s">
        <v>104</v>
      </c>
      <c r="AG724" s="6" t="s">
        <v>12717</v>
      </c>
      <c r="AH724" s="6" t="s">
        <v>13814</v>
      </c>
      <c r="AI724" s="6" t="s">
        <v>104</v>
      </c>
      <c r="AJ724" s="6" t="s">
        <v>15840</v>
      </c>
      <c r="AK724" s="6" t="s">
        <v>16256</v>
      </c>
      <c r="AL724" s="6" t="s">
        <v>16931</v>
      </c>
      <c r="AM724" s="6" t="s">
        <v>17471</v>
      </c>
      <c r="AN724" s="6" t="s">
        <v>18472</v>
      </c>
      <c r="AO724" s="6" t="s">
        <v>18723</v>
      </c>
      <c r="AP724" s="6" t="s">
        <v>19093</v>
      </c>
      <c r="AQ724" s="6" t="s">
        <v>104</v>
      </c>
      <c r="AR724" s="6" t="s">
        <v>19639</v>
      </c>
      <c r="AS724" s="6" t="s">
        <v>16711</v>
      </c>
      <c r="AT724" s="6" t="s">
        <v>16931</v>
      </c>
      <c r="AU724" s="6" t="s">
        <v>19868</v>
      </c>
      <c r="AV724" s="6" t="s">
        <v>104</v>
      </c>
      <c r="AW724" s="6" t="s">
        <v>104</v>
      </c>
      <c r="AX724" s="6" t="s">
        <v>20680</v>
      </c>
      <c r="AY724" s="6" t="s">
        <v>22323</v>
      </c>
      <c r="AZ724" s="6" t="s">
        <v>104</v>
      </c>
      <c r="BA724" s="6" t="s">
        <v>104</v>
      </c>
      <c r="BB724" s="6" t="s">
        <v>104</v>
      </c>
      <c r="BC724" s="26"/>
      <c r="BD724" s="26"/>
      <c r="BE724" s="26"/>
      <c r="BF724" s="26"/>
      <c r="BG724" s="26"/>
      <c r="BH724" s="26"/>
      <c r="BI724" s="26"/>
      <c r="BJ724" s="26"/>
      <c r="BK724" s="26"/>
      <c r="BL724" s="26"/>
      <c r="BM724" s="26"/>
      <c r="BN724" s="26"/>
      <c r="BO724" s="26"/>
      <c r="BP724" s="16" t="n">
        <v>45737</v>
      </c>
      <c r="BQ724" s="28" t="str">
        <f>HYPERLINK("https://organic.ams.usda.gov/Integrity/Certificate.aspx?cid=71&amp;nopid=5520676043")</f>
        <v>https://organic.ams.usda.gov/Integrity/Certificate.aspx?cid=71&amp;nopid=5520676043</v>
      </c>
    </row>
    <row r="725">
      <c r="A725" t="s">
        <v>3</v>
      </c>
      <c r="B725" s="6" t="s">
        <v>34</v>
      </c>
      <c r="C725" s="6" t="s">
        <v>100</v>
      </c>
      <c r="D725" s="6" t="s">
        <v>165</v>
      </c>
      <c r="E725" s="10" t="s">
        <v>923</v>
      </c>
      <c r="F725" s="6" t="s">
        <v>3173</v>
      </c>
      <c r="G725" s="6" t="s">
        <v>104</v>
      </c>
      <c r="H725" s="6" t="s">
        <v>5555</v>
      </c>
      <c r="I725" s="6" t="s">
        <v>7303</v>
      </c>
      <c r="J725" s="6" t="s">
        <v>8561</v>
      </c>
      <c r="K725" s="6" t="s">
        <v>9714</v>
      </c>
      <c r="L725" s="16" t="n">
        <v>45355</v>
      </c>
      <c r="M725" s="16" t="n">
        <v>45931</v>
      </c>
      <c r="N725" s="6" t="s">
        <v>104</v>
      </c>
      <c r="O725" s="21" t="s">
        <v>104</v>
      </c>
      <c r="P725" s="6" t="s">
        <v>104</v>
      </c>
      <c r="Q725" s="6" t="s">
        <v>104</v>
      </c>
      <c r="R725" s="6" t="s">
        <v>104</v>
      </c>
      <c r="S725" s="6" t="s">
        <v>104</v>
      </c>
      <c r="T725" s="21" t="s">
        <v>104</v>
      </c>
      <c r="U725" s="6" t="s">
        <v>104</v>
      </c>
      <c r="V725" s="6" t="s">
        <v>104</v>
      </c>
      <c r="W725" s="6" t="s">
        <v>104</v>
      </c>
      <c r="X725" s="6" t="s">
        <v>104</v>
      </c>
      <c r="Y725" s="21" t="s">
        <v>104</v>
      </c>
      <c r="Z725" s="6" t="s">
        <v>104</v>
      </c>
      <c r="AA725" s="6" t="s">
        <v>104</v>
      </c>
      <c r="AB725" s="6" t="s">
        <v>104</v>
      </c>
      <c r="AC725" s="6" t="s">
        <v>9714</v>
      </c>
      <c r="AD725" s="16" t="n">
        <v>45355</v>
      </c>
      <c r="AE725" s="6" t="s">
        <v>11170</v>
      </c>
      <c r="AF725" s="6" t="s">
        <v>104</v>
      </c>
      <c r="AG725" s="6" t="s">
        <v>12718</v>
      </c>
      <c r="AH725" s="6" t="s">
        <v>13815</v>
      </c>
      <c r="AI725" s="6" t="s">
        <v>104</v>
      </c>
      <c r="AJ725" s="6" t="s">
        <v>15841</v>
      </c>
      <c r="AK725" s="6" t="s">
        <v>16745</v>
      </c>
      <c r="AL725" s="6" t="s">
        <v>16931</v>
      </c>
      <c r="AM725" s="6" t="s">
        <v>17472</v>
      </c>
      <c r="AN725" s="6" t="s">
        <v>104</v>
      </c>
      <c r="AO725" s="6" t="s">
        <v>104</v>
      </c>
      <c r="AP725" s="6" t="s">
        <v>19093</v>
      </c>
      <c r="AQ725" s="6" t="s">
        <v>104</v>
      </c>
      <c r="AR725" s="6" t="s">
        <v>19639</v>
      </c>
      <c r="AS725" s="6" t="s">
        <v>16711</v>
      </c>
      <c r="AT725" s="6" t="s">
        <v>16931</v>
      </c>
      <c r="AU725" s="6" t="s">
        <v>19868</v>
      </c>
      <c r="AV725" s="6" t="s">
        <v>104</v>
      </c>
      <c r="AW725" s="6" t="s">
        <v>104</v>
      </c>
      <c r="AX725" s="6" t="s">
        <v>20681</v>
      </c>
      <c r="AY725" s="6" t="s">
        <v>22323</v>
      </c>
      <c r="AZ725" s="6" t="s">
        <v>104</v>
      </c>
      <c r="BA725" s="6" t="s">
        <v>104</v>
      </c>
      <c r="BB725" s="6" t="s">
        <v>104</v>
      </c>
      <c r="BC725" s="26"/>
      <c r="BD725" s="26"/>
      <c r="BE725" s="26"/>
      <c r="BF725" s="26"/>
      <c r="BG725" s="26"/>
      <c r="BH725" s="26"/>
      <c r="BI725" s="26"/>
      <c r="BJ725" s="26"/>
      <c r="BK725" s="26"/>
      <c r="BL725" s="26"/>
      <c r="BM725" s="26"/>
      <c r="BN725" s="26"/>
      <c r="BO725" s="26"/>
      <c r="BP725" s="16" t="n">
        <v>45737</v>
      </c>
      <c r="BQ725" s="28" t="str">
        <f>HYPERLINK("https://organic.ams.usda.gov/Integrity/Certificate.aspx?cid=71&amp;nopid=5520763954")</f>
        <v>https://organic.ams.usda.gov/Integrity/Certificate.aspx?cid=71&amp;nopid=5520763954</v>
      </c>
    </row>
    <row r="726">
      <c r="A726" t="s">
        <v>3</v>
      </c>
      <c r="B726" s="6" t="s">
        <v>21</v>
      </c>
      <c r="C726" s="6" t="s">
        <v>87</v>
      </c>
      <c r="D726" s="6" t="s">
        <v>152</v>
      </c>
      <c r="E726" s="10" t="s">
        <v>924</v>
      </c>
      <c r="F726" s="6" t="s">
        <v>3174</v>
      </c>
      <c r="G726" s="6" t="s">
        <v>104</v>
      </c>
      <c r="H726" s="6" t="s">
        <v>5556</v>
      </c>
      <c r="I726" s="6" t="s">
        <v>7329</v>
      </c>
      <c r="J726" s="6" t="s">
        <v>8685</v>
      </c>
      <c r="K726" s="6" t="s">
        <v>9714</v>
      </c>
      <c r="L726" s="16" t="n">
        <v>42800</v>
      </c>
      <c r="M726" s="16" t="n">
        <v>46023</v>
      </c>
      <c r="N726" s="6" t="s">
        <v>104</v>
      </c>
      <c r="O726" s="21" t="s">
        <v>104</v>
      </c>
      <c r="P726" s="6" t="s">
        <v>104</v>
      </c>
      <c r="Q726" s="6" t="s">
        <v>104</v>
      </c>
      <c r="R726" s="6" t="s">
        <v>104</v>
      </c>
      <c r="S726" s="6" t="s">
        <v>104</v>
      </c>
      <c r="T726" s="21" t="s">
        <v>104</v>
      </c>
      <c r="U726" s="6" t="s">
        <v>104</v>
      </c>
      <c r="V726" s="6" t="s">
        <v>104</v>
      </c>
      <c r="W726" s="6" t="s">
        <v>104</v>
      </c>
      <c r="X726" s="6" t="s">
        <v>104</v>
      </c>
      <c r="Y726" s="21" t="s">
        <v>104</v>
      </c>
      <c r="Z726" s="6" t="s">
        <v>104</v>
      </c>
      <c r="AA726" s="6" t="s">
        <v>104</v>
      </c>
      <c r="AB726" s="6" t="s">
        <v>104</v>
      </c>
      <c r="AC726" s="6" t="s">
        <v>9714</v>
      </c>
      <c r="AD726" s="16" t="n">
        <v>42800</v>
      </c>
      <c r="AE726" s="6" t="s">
        <v>11171</v>
      </c>
      <c r="AF726" s="6" t="s">
        <v>104</v>
      </c>
      <c r="AG726" s="6" t="s">
        <v>104</v>
      </c>
      <c r="AH726" s="6" t="s">
        <v>13816</v>
      </c>
      <c r="AI726" s="6" t="s">
        <v>104</v>
      </c>
      <c r="AJ726" s="6" t="s">
        <v>15842</v>
      </c>
      <c r="AK726" s="6" t="s">
        <v>16382</v>
      </c>
      <c r="AL726" s="6" t="s">
        <v>16931</v>
      </c>
      <c r="AM726" s="6" t="s">
        <v>17473</v>
      </c>
      <c r="AN726" s="6" t="s">
        <v>5429</v>
      </c>
      <c r="AO726" s="6" t="s">
        <v>18724</v>
      </c>
      <c r="AP726" s="6" t="s">
        <v>13816</v>
      </c>
      <c r="AQ726" s="6" t="s">
        <v>104</v>
      </c>
      <c r="AR726" s="6" t="s">
        <v>15842</v>
      </c>
      <c r="AS726" s="6" t="s">
        <v>16382</v>
      </c>
      <c r="AT726" s="6" t="s">
        <v>16931</v>
      </c>
      <c r="AU726" s="6" t="s">
        <v>17473</v>
      </c>
      <c r="AV726" s="6" t="s">
        <v>104</v>
      </c>
      <c r="AW726" s="6" t="s">
        <v>104</v>
      </c>
      <c r="AX726" s="6" t="s">
        <v>20682</v>
      </c>
      <c r="AY726" s="6" t="s">
        <v>22453</v>
      </c>
      <c r="AZ726" s="6" t="s">
        <v>23873</v>
      </c>
      <c r="BA726" s="6" t="s">
        <v>24368</v>
      </c>
      <c r="BB726" s="6" t="s">
        <v>104</v>
      </c>
      <c r="BC726" s="26"/>
      <c r="BD726" s="26"/>
      <c r="BE726" s="26"/>
      <c r="BF726" s="26"/>
      <c r="BG726" s="26"/>
      <c r="BH726" s="26"/>
      <c r="BI726" s="26"/>
      <c r="BJ726" s="26"/>
      <c r="BK726" s="26"/>
      <c r="BL726" s="26"/>
      <c r="BM726" s="26"/>
      <c r="BN726" s="26"/>
      <c r="BO726" s="26"/>
      <c r="BP726" s="16" t="n">
        <v>45667</v>
      </c>
      <c r="BQ726" s="28" t="str">
        <f>HYPERLINK("https://organic.ams.usda.gov/Integrity/Certificate.aspx?cid=15&amp;nopid=5561004661")</f>
        <v>https://organic.ams.usda.gov/Integrity/Certificate.aspx?cid=15&amp;nopid=5561004661</v>
      </c>
    </row>
    <row r="727">
      <c r="A727" t="s">
        <v>3</v>
      </c>
      <c r="B727" s="6" t="s">
        <v>20</v>
      </c>
      <c r="C727" s="6" t="s">
        <v>86</v>
      </c>
      <c r="D727" s="6" t="s">
        <v>151</v>
      </c>
      <c r="E727" s="10" t="s">
        <v>925</v>
      </c>
      <c r="F727" s="6" t="s">
        <v>3175</v>
      </c>
      <c r="G727" s="6" t="s">
        <v>104</v>
      </c>
      <c r="H727" s="6" t="s">
        <v>5557</v>
      </c>
      <c r="I727" s="6" t="s">
        <v>7402</v>
      </c>
      <c r="J727" s="6" t="s">
        <v>7271</v>
      </c>
      <c r="K727" s="6" t="s">
        <v>9714</v>
      </c>
      <c r="L727" s="16" t="n">
        <v>45483</v>
      </c>
      <c r="M727" s="16" t="n">
        <v>45838</v>
      </c>
      <c r="N727" s="6" t="s">
        <v>104</v>
      </c>
      <c r="O727" s="21" t="s">
        <v>104</v>
      </c>
      <c r="P727" s="6" t="s">
        <v>104</v>
      </c>
      <c r="Q727" s="6" t="s">
        <v>104</v>
      </c>
      <c r="R727" s="6" t="s">
        <v>104</v>
      </c>
      <c r="S727" s="6" t="s">
        <v>104</v>
      </c>
      <c r="T727" s="21" t="s">
        <v>104</v>
      </c>
      <c r="U727" s="6" t="s">
        <v>104</v>
      </c>
      <c r="V727" s="6" t="s">
        <v>104</v>
      </c>
      <c r="W727" s="6" t="s">
        <v>104</v>
      </c>
      <c r="X727" s="6" t="s">
        <v>104</v>
      </c>
      <c r="Y727" s="21" t="s">
        <v>104</v>
      </c>
      <c r="Z727" s="6" t="s">
        <v>104</v>
      </c>
      <c r="AA727" s="6" t="s">
        <v>104</v>
      </c>
      <c r="AB727" s="6" t="s">
        <v>104</v>
      </c>
      <c r="AC727" s="6" t="s">
        <v>9714</v>
      </c>
      <c r="AD727" s="16" t="n">
        <v>45483</v>
      </c>
      <c r="AE727" s="6" t="s">
        <v>11172</v>
      </c>
      <c r="AF727" s="6" t="s">
        <v>104</v>
      </c>
      <c r="AG727" s="6" t="s">
        <v>12719</v>
      </c>
      <c r="AH727" s="6" t="s">
        <v>13817</v>
      </c>
      <c r="AI727" s="6" t="s">
        <v>104</v>
      </c>
      <c r="AJ727" s="6" t="s">
        <v>15843</v>
      </c>
      <c r="AK727" s="6" t="s">
        <v>16789</v>
      </c>
      <c r="AL727" s="6" t="s">
        <v>16766</v>
      </c>
      <c r="AM727" s="6" t="s">
        <v>17474</v>
      </c>
      <c r="AN727" s="6" t="s">
        <v>104</v>
      </c>
      <c r="AO727" s="6" t="s">
        <v>104</v>
      </c>
      <c r="AP727" s="6" t="s">
        <v>104</v>
      </c>
      <c r="AQ727" s="6" t="s">
        <v>104</v>
      </c>
      <c r="AR727" s="6" t="s">
        <v>104</v>
      </c>
      <c r="AS727" s="6" t="s">
        <v>104</v>
      </c>
      <c r="AT727" s="6" t="s">
        <v>104</v>
      </c>
      <c r="AU727" s="6" t="s">
        <v>104</v>
      </c>
      <c r="AV727" s="6" t="s">
        <v>104</v>
      </c>
      <c r="AW727" s="6" t="s">
        <v>104</v>
      </c>
      <c r="AX727" s="6" t="s">
        <v>20683</v>
      </c>
      <c r="AY727" s="6" t="s">
        <v>22454</v>
      </c>
      <c r="AZ727" s="6" t="s">
        <v>23874</v>
      </c>
      <c r="BA727" s="6" t="s">
        <v>104</v>
      </c>
      <c r="BB727" s="6" t="s">
        <v>104</v>
      </c>
      <c r="BC727" s="26"/>
      <c r="BD727" s="26"/>
      <c r="BE727" s="26"/>
      <c r="BF727" s="26"/>
      <c r="BG727" s="26"/>
      <c r="BH727" s="26"/>
      <c r="BI727" s="26"/>
      <c r="BJ727" s="26"/>
      <c r="BK727" s="26"/>
      <c r="BL727" s="26"/>
      <c r="BM727" s="26"/>
      <c r="BN727" s="26"/>
      <c r="BO727" s="26"/>
      <c r="BP727" s="16" t="n">
        <v>45497</v>
      </c>
      <c r="BQ727" s="28" t="str">
        <f>HYPERLINK("https://organic.ams.usda.gov/Integrity/Certificate.aspx?cid=17&amp;nopid=4080208041")</f>
        <v>https://organic.ams.usda.gov/Integrity/Certificate.aspx?cid=17&amp;nopid=4080208041</v>
      </c>
    </row>
    <row r="728">
      <c r="A728" t="s">
        <v>3</v>
      </c>
      <c r="B728" s="6" t="s">
        <v>6</v>
      </c>
      <c r="C728" s="6" t="s">
        <v>72</v>
      </c>
      <c r="D728" s="6" t="s">
        <v>137</v>
      </c>
      <c r="E728" s="10" t="s">
        <v>926</v>
      </c>
      <c r="F728" s="6" t="s">
        <v>3176</v>
      </c>
      <c r="G728" s="6" t="s">
        <v>104</v>
      </c>
      <c r="H728" s="6" t="s">
        <v>5558</v>
      </c>
      <c r="I728" s="6" t="s">
        <v>7403</v>
      </c>
      <c r="J728" s="6" t="s">
        <v>104</v>
      </c>
      <c r="K728" s="6" t="s">
        <v>9714</v>
      </c>
      <c r="L728" s="16" t="n">
        <v>45112</v>
      </c>
      <c r="M728" s="16" t="n">
        <v>45764</v>
      </c>
      <c r="N728" s="6" t="s">
        <v>104</v>
      </c>
      <c r="O728" s="21" t="s">
        <v>104</v>
      </c>
      <c r="P728" s="6" t="s">
        <v>104</v>
      </c>
      <c r="Q728" s="6" t="s">
        <v>104</v>
      </c>
      <c r="R728" s="6" t="s">
        <v>104</v>
      </c>
      <c r="S728" s="6" t="s">
        <v>104</v>
      </c>
      <c r="T728" s="21" t="s">
        <v>104</v>
      </c>
      <c r="U728" s="6" t="s">
        <v>104</v>
      </c>
      <c r="V728" s="6" t="s">
        <v>104</v>
      </c>
      <c r="W728" s="6" t="s">
        <v>104</v>
      </c>
      <c r="X728" s="6" t="s">
        <v>104</v>
      </c>
      <c r="Y728" s="21" t="s">
        <v>104</v>
      </c>
      <c r="Z728" s="6" t="s">
        <v>104</v>
      </c>
      <c r="AA728" s="6" t="s">
        <v>104</v>
      </c>
      <c r="AB728" s="6" t="s">
        <v>104</v>
      </c>
      <c r="AC728" s="6" t="s">
        <v>9714</v>
      </c>
      <c r="AD728" s="16" t="n">
        <v>45112</v>
      </c>
      <c r="AE728" s="6" t="s">
        <v>11173</v>
      </c>
      <c r="AF728" s="6" t="s">
        <v>104</v>
      </c>
      <c r="AG728" s="6" t="s">
        <v>12720</v>
      </c>
      <c r="AH728" s="6" t="s">
        <v>13818</v>
      </c>
      <c r="AI728" s="6" t="s">
        <v>104</v>
      </c>
      <c r="AJ728" s="6" t="s">
        <v>15844</v>
      </c>
      <c r="AK728" s="6" t="s">
        <v>16779</v>
      </c>
      <c r="AL728" s="6" t="s">
        <v>16766</v>
      </c>
      <c r="AM728" s="6" t="s">
        <v>104</v>
      </c>
      <c r="AN728" s="6" t="s">
        <v>104</v>
      </c>
      <c r="AO728" s="6" t="s">
        <v>104</v>
      </c>
      <c r="AP728" s="6" t="s">
        <v>104</v>
      </c>
      <c r="AQ728" s="6" t="s">
        <v>104</v>
      </c>
      <c r="AR728" s="6" t="s">
        <v>104</v>
      </c>
      <c r="AS728" s="6" t="s">
        <v>104</v>
      </c>
      <c r="AT728" s="6" t="s">
        <v>104</v>
      </c>
      <c r="AU728" s="6" t="s">
        <v>104</v>
      </c>
      <c r="AV728" s="6" t="s">
        <v>104</v>
      </c>
      <c r="AW728" s="6" t="s">
        <v>104</v>
      </c>
      <c r="AX728" s="6" t="s">
        <v>20684</v>
      </c>
      <c r="AY728" s="6" t="s">
        <v>22455</v>
      </c>
      <c r="AZ728" s="6" t="s">
        <v>104</v>
      </c>
      <c r="BA728" s="6" t="s">
        <v>104</v>
      </c>
      <c r="BB728" s="6" t="s">
        <v>104</v>
      </c>
      <c r="BC728" s="26"/>
      <c r="BD728" s="26"/>
      <c r="BE728" s="26"/>
      <c r="BF728" s="26"/>
      <c r="BG728" s="26"/>
      <c r="BH728" s="26"/>
      <c r="BI728" s="26"/>
      <c r="BJ728" s="26"/>
      <c r="BK728" s="26"/>
      <c r="BL728" s="26"/>
      <c r="BM728" s="26"/>
      <c r="BN728" s="26"/>
      <c r="BO728" s="26"/>
      <c r="BP728" s="16" t="n">
        <v>45737</v>
      </c>
      <c r="BQ728" s="28" t="str">
        <f>HYPERLINK("https://organic.ams.usda.gov/Integrity/Certificate.aspx?cid=32&amp;nopid=2230010434")</f>
        <v>https://organic.ams.usda.gov/Integrity/Certificate.aspx?cid=32&amp;nopid=2230010434</v>
      </c>
    </row>
    <row r="729">
      <c r="A729" t="s">
        <v>3</v>
      </c>
      <c r="B729" s="6" t="s">
        <v>29</v>
      </c>
      <c r="C729" s="6" t="s">
        <v>95</v>
      </c>
      <c r="D729" s="6" t="s">
        <v>160</v>
      </c>
      <c r="E729" s="10" t="s">
        <v>927</v>
      </c>
      <c r="F729" s="6" t="s">
        <v>3177</v>
      </c>
      <c r="G729" s="6" t="s">
        <v>104</v>
      </c>
      <c r="H729" s="6" t="s">
        <v>5559</v>
      </c>
      <c r="I729" s="6" t="s">
        <v>104</v>
      </c>
      <c r="J729" s="6" t="s">
        <v>8686</v>
      </c>
      <c r="K729" s="6" t="s">
        <v>9714</v>
      </c>
      <c r="L729" s="16" t="n">
        <v>45373</v>
      </c>
      <c r="M729" s="16" t="n">
        <v>45778</v>
      </c>
      <c r="N729" s="6" t="s">
        <v>104</v>
      </c>
      <c r="O729" s="21" t="s">
        <v>104</v>
      </c>
      <c r="P729" s="6" t="s">
        <v>104</v>
      </c>
      <c r="Q729" s="6" t="s">
        <v>104</v>
      </c>
      <c r="R729" s="6" t="s">
        <v>104</v>
      </c>
      <c r="S729" s="6" t="s">
        <v>104</v>
      </c>
      <c r="T729" s="21" t="s">
        <v>104</v>
      </c>
      <c r="U729" s="6" t="s">
        <v>104</v>
      </c>
      <c r="V729" s="6" t="s">
        <v>104</v>
      </c>
      <c r="W729" s="6" t="s">
        <v>104</v>
      </c>
      <c r="X729" s="6" t="s">
        <v>104</v>
      </c>
      <c r="Y729" s="21" t="s">
        <v>104</v>
      </c>
      <c r="Z729" s="6" t="s">
        <v>104</v>
      </c>
      <c r="AA729" s="6" t="s">
        <v>104</v>
      </c>
      <c r="AB729" s="6" t="s">
        <v>104</v>
      </c>
      <c r="AC729" s="6" t="s">
        <v>9714</v>
      </c>
      <c r="AD729" s="16" t="n">
        <v>45373</v>
      </c>
      <c r="AE729" s="6" t="s">
        <v>11174</v>
      </c>
      <c r="AF729" s="6" t="s">
        <v>104</v>
      </c>
      <c r="AG729" s="6" t="s">
        <v>104</v>
      </c>
      <c r="AH729" s="6" t="s">
        <v>13819</v>
      </c>
      <c r="AI729" s="6" t="s">
        <v>104</v>
      </c>
      <c r="AJ729" s="6" t="s">
        <v>15845</v>
      </c>
      <c r="AK729" s="6" t="s">
        <v>16721</v>
      </c>
      <c r="AL729" s="6" t="s">
        <v>16947</v>
      </c>
      <c r="AM729" s="6" t="s">
        <v>104</v>
      </c>
      <c r="AN729" s="6" t="s">
        <v>104</v>
      </c>
      <c r="AO729" s="6" t="s">
        <v>104</v>
      </c>
      <c r="AP729" s="6" t="s">
        <v>104</v>
      </c>
      <c r="AQ729" s="6" t="s">
        <v>104</v>
      </c>
      <c r="AR729" s="6" t="s">
        <v>104</v>
      </c>
      <c r="AS729" s="6" t="s">
        <v>104</v>
      </c>
      <c r="AT729" s="6" t="s">
        <v>104</v>
      </c>
      <c r="AU729" s="6" t="s">
        <v>104</v>
      </c>
      <c r="AV729" s="6" t="s">
        <v>104</v>
      </c>
      <c r="AW729" s="6" t="s">
        <v>104</v>
      </c>
      <c r="AX729" s="6" t="s">
        <v>20685</v>
      </c>
      <c r="AY729" s="6" t="s">
        <v>22456</v>
      </c>
      <c r="AZ729" s="6" t="s">
        <v>104</v>
      </c>
      <c r="BA729" s="6" t="s">
        <v>104</v>
      </c>
      <c r="BB729" s="24" t="n">
        <v>0</v>
      </c>
      <c r="BC729" s="26"/>
      <c r="BD729" s="26"/>
      <c r="BE729" s="26"/>
      <c r="BF729" s="26"/>
      <c r="BG729" s="26"/>
      <c r="BH729" s="26"/>
      <c r="BI729" s="26"/>
      <c r="BJ729" s="26"/>
      <c r="BK729" s="26"/>
      <c r="BL729" s="26"/>
      <c r="BM729" s="26"/>
      <c r="BN729" s="26"/>
      <c r="BO729" s="26"/>
      <c r="BP729" s="16" t="n">
        <v>45663</v>
      </c>
      <c r="BQ729" s="28" t="str">
        <f>HYPERLINK("https://organic.ams.usda.gov/Integrity/Certificate.aspx?cid=24&amp;nopid=7880285316")</f>
        <v>https://organic.ams.usda.gov/Integrity/Certificate.aspx?cid=24&amp;nopid=7880285316</v>
      </c>
    </row>
    <row r="730">
      <c r="A730" t="s">
        <v>3</v>
      </c>
      <c r="B730" s="6" t="s">
        <v>34</v>
      </c>
      <c r="C730" s="6" t="s">
        <v>100</v>
      </c>
      <c r="D730" s="6" t="s">
        <v>165</v>
      </c>
      <c r="E730" s="10" t="s">
        <v>928</v>
      </c>
      <c r="F730" s="6" t="s">
        <v>3178</v>
      </c>
      <c r="G730" s="6" t="s">
        <v>104</v>
      </c>
      <c r="H730" s="6" t="s">
        <v>5560</v>
      </c>
      <c r="I730" s="6" t="s">
        <v>7255</v>
      </c>
      <c r="J730" s="6" t="s">
        <v>8506</v>
      </c>
      <c r="K730" s="6" t="s">
        <v>9714</v>
      </c>
      <c r="L730" s="16" t="n">
        <v>37821</v>
      </c>
      <c r="M730" s="16" t="n">
        <v>45784</v>
      </c>
      <c r="N730" s="6" t="s">
        <v>104</v>
      </c>
      <c r="O730" s="21" t="s">
        <v>104</v>
      </c>
      <c r="P730" s="6" t="s">
        <v>104</v>
      </c>
      <c r="Q730" s="6" t="s">
        <v>104</v>
      </c>
      <c r="R730" s="6" t="s">
        <v>104</v>
      </c>
      <c r="S730" s="6" t="s">
        <v>104</v>
      </c>
      <c r="T730" s="21" t="s">
        <v>104</v>
      </c>
      <c r="U730" s="6" t="s">
        <v>104</v>
      </c>
      <c r="V730" s="6" t="s">
        <v>104</v>
      </c>
      <c r="W730" s="6" t="s">
        <v>104</v>
      </c>
      <c r="X730" s="6" t="s">
        <v>104</v>
      </c>
      <c r="Y730" s="21" t="s">
        <v>104</v>
      </c>
      <c r="Z730" s="6" t="s">
        <v>104</v>
      </c>
      <c r="AA730" s="6" t="s">
        <v>104</v>
      </c>
      <c r="AB730" s="6" t="s">
        <v>104</v>
      </c>
      <c r="AC730" s="6" t="s">
        <v>9714</v>
      </c>
      <c r="AD730" s="16" t="n">
        <v>37821</v>
      </c>
      <c r="AE730" s="6" t="s">
        <v>11175</v>
      </c>
      <c r="AF730" s="6" t="s">
        <v>104</v>
      </c>
      <c r="AG730" s="6" t="s">
        <v>12721</v>
      </c>
      <c r="AH730" s="6" t="s">
        <v>13820</v>
      </c>
      <c r="AI730" s="6" t="s">
        <v>104</v>
      </c>
      <c r="AJ730" s="6" t="s">
        <v>15846</v>
      </c>
      <c r="AK730" s="6" t="s">
        <v>16687</v>
      </c>
      <c r="AL730" s="6" t="s">
        <v>16931</v>
      </c>
      <c r="AM730" s="6" t="s">
        <v>17475</v>
      </c>
      <c r="AN730" s="6" t="s">
        <v>18506</v>
      </c>
      <c r="AO730" s="6" t="s">
        <v>18642</v>
      </c>
      <c r="AP730" s="6" t="s">
        <v>13820</v>
      </c>
      <c r="AQ730" s="6" t="s">
        <v>104</v>
      </c>
      <c r="AR730" s="6" t="s">
        <v>15846</v>
      </c>
      <c r="AS730" s="6" t="s">
        <v>16687</v>
      </c>
      <c r="AT730" s="6" t="s">
        <v>16931</v>
      </c>
      <c r="AU730" s="6" t="s">
        <v>17475</v>
      </c>
      <c r="AV730" s="6" t="s">
        <v>104</v>
      </c>
      <c r="AW730" s="6" t="s">
        <v>104</v>
      </c>
      <c r="AX730" s="6" t="s">
        <v>20686</v>
      </c>
      <c r="AY730" s="6" t="s">
        <v>22260</v>
      </c>
      <c r="AZ730" s="6" t="s">
        <v>23875</v>
      </c>
      <c r="BA730" s="6" t="s">
        <v>104</v>
      </c>
      <c r="BB730" s="6" t="s">
        <v>104</v>
      </c>
      <c r="BC730" s="26"/>
      <c r="BD730" s="26"/>
      <c r="BE730" s="26"/>
      <c r="BF730" s="26"/>
      <c r="BG730" s="26"/>
      <c r="BH730" s="26"/>
      <c r="BI730" s="26"/>
      <c r="BJ730" s="26"/>
      <c r="BK730" s="26"/>
      <c r="BL730" s="26"/>
      <c r="BM730" s="26"/>
      <c r="BN730" s="26"/>
      <c r="BO730" s="26"/>
      <c r="BP730" s="16" t="n">
        <v>45737</v>
      </c>
      <c r="BQ730" s="28" t="str">
        <f>HYPERLINK("https://organic.ams.usda.gov/Integrity/Certificate.aspx?cid=71&amp;nopid=5520031240")</f>
        <v>https://organic.ams.usda.gov/Integrity/Certificate.aspx?cid=71&amp;nopid=5520031240</v>
      </c>
    </row>
    <row r="731">
      <c r="A731" t="s">
        <v>3</v>
      </c>
      <c r="B731" s="6" t="s">
        <v>11</v>
      </c>
      <c r="C731" s="6" t="s">
        <v>77</v>
      </c>
      <c r="D731" s="6" t="s">
        <v>142</v>
      </c>
      <c r="E731" s="10" t="s">
        <v>929</v>
      </c>
      <c r="F731" s="6" t="s">
        <v>3179</v>
      </c>
      <c r="G731" s="6" t="s">
        <v>104</v>
      </c>
      <c r="H731" s="6" t="s">
        <v>5561</v>
      </c>
      <c r="I731" s="6" t="s">
        <v>7404</v>
      </c>
      <c r="J731" s="6" t="s">
        <v>8687</v>
      </c>
      <c r="K731" s="6" t="s">
        <v>9714</v>
      </c>
      <c r="L731" s="16" t="n">
        <v>44396</v>
      </c>
      <c r="M731" s="16" t="n">
        <v>45802</v>
      </c>
      <c r="N731" s="6" t="s">
        <v>9714</v>
      </c>
      <c r="O731" s="16" t="n">
        <v>44396</v>
      </c>
      <c r="P731" s="6" t="s">
        <v>9922</v>
      </c>
      <c r="Q731" s="6" t="s">
        <v>104</v>
      </c>
      <c r="R731" s="6" t="s">
        <v>104</v>
      </c>
      <c r="S731" s="6" t="s">
        <v>104</v>
      </c>
      <c r="T731" s="21" t="s">
        <v>104</v>
      </c>
      <c r="U731" s="6" t="s">
        <v>104</v>
      </c>
      <c r="V731" s="6" t="s">
        <v>104</v>
      </c>
      <c r="W731" s="6" t="s">
        <v>104</v>
      </c>
      <c r="X731" s="6" t="s">
        <v>104</v>
      </c>
      <c r="Y731" s="21" t="s">
        <v>104</v>
      </c>
      <c r="Z731" s="6" t="s">
        <v>104</v>
      </c>
      <c r="AA731" s="6" t="s">
        <v>104</v>
      </c>
      <c r="AB731" s="6" t="s">
        <v>104</v>
      </c>
      <c r="AC731" s="6" t="s">
        <v>9714</v>
      </c>
      <c r="AD731" s="16" t="n">
        <v>44396</v>
      </c>
      <c r="AE731" s="6" t="s">
        <v>11176</v>
      </c>
      <c r="AF731" s="6" t="s">
        <v>104</v>
      </c>
      <c r="AG731" s="6" t="s">
        <v>104</v>
      </c>
      <c r="AH731" s="6" t="s">
        <v>13821</v>
      </c>
      <c r="AI731" s="6" t="s">
        <v>15265</v>
      </c>
      <c r="AJ731" s="6" t="s">
        <v>15847</v>
      </c>
      <c r="AK731" s="6" t="s">
        <v>16634</v>
      </c>
      <c r="AL731" s="6" t="s">
        <v>16946</v>
      </c>
      <c r="AM731" s="6" t="s">
        <v>104</v>
      </c>
      <c r="AN731" s="6" t="s">
        <v>104</v>
      </c>
      <c r="AO731" s="6" t="s">
        <v>104</v>
      </c>
      <c r="AP731" s="6" t="s">
        <v>19133</v>
      </c>
      <c r="AQ731" s="6" t="s">
        <v>19553</v>
      </c>
      <c r="AR731" s="6" t="s">
        <v>19657</v>
      </c>
      <c r="AS731" s="6" t="s">
        <v>16634</v>
      </c>
      <c r="AT731" s="6" t="s">
        <v>16946</v>
      </c>
      <c r="AU731" s="6" t="s">
        <v>18396</v>
      </c>
      <c r="AV731" s="6" t="s">
        <v>104</v>
      </c>
      <c r="AW731" s="6" t="s">
        <v>104</v>
      </c>
      <c r="AX731" s="6" t="s">
        <v>20687</v>
      </c>
      <c r="AY731" s="6" t="s">
        <v>22457</v>
      </c>
      <c r="AZ731" s="6" t="s">
        <v>104</v>
      </c>
      <c r="BA731" s="6" t="s">
        <v>104</v>
      </c>
      <c r="BB731" s="24" t="n">
        <v>3</v>
      </c>
      <c r="BC731" s="26"/>
      <c r="BD731" s="26"/>
      <c r="BE731" s="26"/>
      <c r="BF731" s="26"/>
      <c r="BG731" s="26"/>
      <c r="BH731" s="26"/>
      <c r="BI731" s="26"/>
      <c r="BJ731" s="26"/>
      <c r="BK731" s="26"/>
      <c r="BL731" s="26"/>
      <c r="BM731" s="26"/>
      <c r="BN731" s="26"/>
      <c r="BO731" s="26"/>
      <c r="BP731" s="16" t="n">
        <v>45516</v>
      </c>
      <c r="BQ731" s="28" t="str">
        <f>HYPERLINK("https://organic.ams.usda.gov/Integrity/Certificate.aspx?cid=21&amp;nopid=1780879739")</f>
        <v>https://organic.ams.usda.gov/Integrity/Certificate.aspx?cid=21&amp;nopid=1780879739</v>
      </c>
    </row>
    <row r="732">
      <c r="A732" t="s">
        <v>3</v>
      </c>
      <c r="B732" s="6" t="s">
        <v>14</v>
      </c>
      <c r="C732" s="6" t="s">
        <v>80</v>
      </c>
      <c r="D732" s="6" t="s">
        <v>145</v>
      </c>
      <c r="E732" s="10" t="s">
        <v>930</v>
      </c>
      <c r="F732" s="6" t="s">
        <v>3180</v>
      </c>
      <c r="G732" s="6" t="s">
        <v>104</v>
      </c>
      <c r="H732" s="6" t="s">
        <v>5562</v>
      </c>
      <c r="I732" s="6" t="s">
        <v>7405</v>
      </c>
      <c r="J732" s="6" t="s">
        <v>8688</v>
      </c>
      <c r="K732" s="6" t="s">
        <v>9714</v>
      </c>
      <c r="L732" s="16" t="n">
        <v>44986</v>
      </c>
      <c r="M732" s="16" t="n">
        <v>45966</v>
      </c>
      <c r="N732" s="6" t="s">
        <v>104</v>
      </c>
      <c r="O732" s="21" t="s">
        <v>104</v>
      </c>
      <c r="P732" s="6" t="s">
        <v>104</v>
      </c>
      <c r="Q732" s="6" t="s">
        <v>104</v>
      </c>
      <c r="R732" s="6" t="s">
        <v>104</v>
      </c>
      <c r="S732" s="6" t="s">
        <v>104</v>
      </c>
      <c r="T732" s="21" t="s">
        <v>104</v>
      </c>
      <c r="U732" s="6" t="s">
        <v>104</v>
      </c>
      <c r="V732" s="6" t="s">
        <v>104</v>
      </c>
      <c r="W732" s="6" t="s">
        <v>104</v>
      </c>
      <c r="X732" s="6" t="s">
        <v>104</v>
      </c>
      <c r="Y732" s="21" t="s">
        <v>104</v>
      </c>
      <c r="Z732" s="6" t="s">
        <v>104</v>
      </c>
      <c r="AA732" s="6" t="s">
        <v>104</v>
      </c>
      <c r="AB732" s="6" t="s">
        <v>104</v>
      </c>
      <c r="AC732" s="6" t="s">
        <v>9714</v>
      </c>
      <c r="AD732" s="16" t="n">
        <v>44986</v>
      </c>
      <c r="AE732" s="6" t="s">
        <v>11177</v>
      </c>
      <c r="AF732" s="6" t="s">
        <v>104</v>
      </c>
      <c r="AG732" s="6" t="s">
        <v>104</v>
      </c>
      <c r="AH732" s="6" t="s">
        <v>13822</v>
      </c>
      <c r="AI732" s="6" t="s">
        <v>104</v>
      </c>
      <c r="AJ732" s="6" t="s">
        <v>15381</v>
      </c>
      <c r="AK732" s="6" t="s">
        <v>15885</v>
      </c>
      <c r="AL732" s="6" t="s">
        <v>16932</v>
      </c>
      <c r="AM732" s="6" t="s">
        <v>17476</v>
      </c>
      <c r="AN732" s="6" t="s">
        <v>104</v>
      </c>
      <c r="AO732" s="6" t="s">
        <v>104</v>
      </c>
      <c r="AP732" s="6" t="s">
        <v>104</v>
      </c>
      <c r="AQ732" s="6" t="s">
        <v>104</v>
      </c>
      <c r="AR732" s="6" t="s">
        <v>104</v>
      </c>
      <c r="AS732" s="6" t="s">
        <v>104</v>
      </c>
      <c r="AT732" s="6" t="s">
        <v>104</v>
      </c>
      <c r="AU732" s="6" t="s">
        <v>104</v>
      </c>
      <c r="AV732" s="6" t="s">
        <v>104</v>
      </c>
      <c r="AW732" s="6" t="s">
        <v>104</v>
      </c>
      <c r="AX732" s="6" t="s">
        <v>20688</v>
      </c>
      <c r="AY732" s="6" t="s">
        <v>22458</v>
      </c>
      <c r="AZ732" s="6" t="s">
        <v>104</v>
      </c>
      <c r="BA732" s="6" t="s">
        <v>104</v>
      </c>
      <c r="BB732" s="6" t="s">
        <v>104</v>
      </c>
      <c r="BC732" s="26"/>
      <c r="BD732" s="26"/>
      <c r="BE732" s="26"/>
      <c r="BF732" s="26"/>
      <c r="BG732" s="26"/>
      <c r="BH732" s="26"/>
      <c r="BI732" s="26"/>
      <c r="BJ732" s="26"/>
      <c r="BK732" s="26"/>
      <c r="BL732" s="26"/>
      <c r="BM732" s="26"/>
      <c r="BN732" s="26"/>
      <c r="BO732" s="26"/>
      <c r="BP732" s="16" t="n">
        <v>45726</v>
      </c>
      <c r="BQ732" s="28" t="str">
        <f>HYPERLINK("https://organic.ams.usda.gov/Integrity/Certificate.aspx?cid=89&amp;nopid=4920004408")</f>
        <v>https://organic.ams.usda.gov/Integrity/Certificate.aspx?cid=89&amp;nopid=4920004408</v>
      </c>
    </row>
    <row r="733">
      <c r="A733" t="s">
        <v>3</v>
      </c>
      <c r="B733" s="6" t="s">
        <v>20</v>
      </c>
      <c r="C733" s="6" t="s">
        <v>86</v>
      </c>
      <c r="D733" s="6" t="s">
        <v>151</v>
      </c>
      <c r="E733" s="10" t="s">
        <v>931</v>
      </c>
      <c r="F733" s="6" t="s">
        <v>3181</v>
      </c>
      <c r="G733" s="6" t="s">
        <v>104</v>
      </c>
      <c r="H733" s="6" t="s">
        <v>5563</v>
      </c>
      <c r="I733" s="6" t="s">
        <v>7406</v>
      </c>
      <c r="J733" s="6" t="s">
        <v>8689</v>
      </c>
      <c r="K733" s="6" t="s">
        <v>9714</v>
      </c>
      <c r="L733" s="16" t="n">
        <v>43104</v>
      </c>
      <c r="M733" s="16" t="n">
        <v>45747</v>
      </c>
      <c r="N733" s="6" t="s">
        <v>104</v>
      </c>
      <c r="O733" s="21" t="s">
        <v>104</v>
      </c>
      <c r="P733" s="6" t="s">
        <v>104</v>
      </c>
      <c r="Q733" s="6" t="s">
        <v>104</v>
      </c>
      <c r="R733" s="6" t="s">
        <v>104</v>
      </c>
      <c r="S733" s="6" t="s">
        <v>104</v>
      </c>
      <c r="T733" s="21" t="s">
        <v>104</v>
      </c>
      <c r="U733" s="6" t="s">
        <v>104</v>
      </c>
      <c r="V733" s="6" t="s">
        <v>104</v>
      </c>
      <c r="W733" s="6" t="s">
        <v>104</v>
      </c>
      <c r="X733" s="6" t="s">
        <v>104</v>
      </c>
      <c r="Y733" s="21" t="s">
        <v>104</v>
      </c>
      <c r="Z733" s="6" t="s">
        <v>104</v>
      </c>
      <c r="AA733" s="6" t="s">
        <v>104</v>
      </c>
      <c r="AB733" s="6" t="s">
        <v>104</v>
      </c>
      <c r="AC733" s="6" t="s">
        <v>9714</v>
      </c>
      <c r="AD733" s="16" t="n">
        <v>43104</v>
      </c>
      <c r="AE733" s="6" t="s">
        <v>11178</v>
      </c>
      <c r="AF733" s="6" t="s">
        <v>104</v>
      </c>
      <c r="AG733" s="6" t="s">
        <v>12722</v>
      </c>
      <c r="AH733" s="6" t="s">
        <v>13823</v>
      </c>
      <c r="AI733" s="6" t="s">
        <v>104</v>
      </c>
      <c r="AJ733" s="6" t="s">
        <v>15848</v>
      </c>
      <c r="AK733" s="6" t="s">
        <v>16804</v>
      </c>
      <c r="AL733" s="6" t="s">
        <v>15513</v>
      </c>
      <c r="AM733" s="6" t="s">
        <v>17477</v>
      </c>
      <c r="AN733" s="6" t="s">
        <v>104</v>
      </c>
      <c r="AO733" s="6" t="s">
        <v>104</v>
      </c>
      <c r="AP733" s="6" t="s">
        <v>104</v>
      </c>
      <c r="AQ733" s="6" t="s">
        <v>104</v>
      </c>
      <c r="AR733" s="6" t="s">
        <v>104</v>
      </c>
      <c r="AS733" s="6" t="s">
        <v>104</v>
      </c>
      <c r="AT733" s="6" t="s">
        <v>104</v>
      </c>
      <c r="AU733" s="6" t="s">
        <v>104</v>
      </c>
      <c r="AV733" s="6" t="s">
        <v>104</v>
      </c>
      <c r="AW733" s="6" t="s">
        <v>104</v>
      </c>
      <c r="AX733" s="6" t="s">
        <v>20689</v>
      </c>
      <c r="AY733" s="6" t="s">
        <v>22459</v>
      </c>
      <c r="AZ733" s="6" t="s">
        <v>104</v>
      </c>
      <c r="BA733" s="6" t="s">
        <v>104</v>
      </c>
      <c r="BB733" s="6" t="s">
        <v>104</v>
      </c>
      <c r="BC733" s="26"/>
      <c r="BD733" s="26"/>
      <c r="BE733" s="26"/>
      <c r="BF733" s="26"/>
      <c r="BG733" s="26"/>
      <c r="BH733" s="26"/>
      <c r="BI733" s="26"/>
      <c r="BJ733" s="26"/>
      <c r="BK733" s="26"/>
      <c r="BL733" s="26"/>
      <c r="BM733" s="26"/>
      <c r="BN733" s="26"/>
      <c r="BO733" s="26"/>
      <c r="BP733" s="16" t="n">
        <v>45401</v>
      </c>
      <c r="BQ733" s="28" t="str">
        <f>HYPERLINK("https://organic.ams.usda.gov/Integrity/Certificate.aspx?cid=17&amp;nopid=4087184110")</f>
        <v>https://organic.ams.usda.gov/Integrity/Certificate.aspx?cid=17&amp;nopid=4087184110</v>
      </c>
    </row>
    <row r="734">
      <c r="A734" t="s">
        <v>3</v>
      </c>
      <c r="B734" s="6" t="s">
        <v>17</v>
      </c>
      <c r="C734" s="6" t="s">
        <v>83</v>
      </c>
      <c r="D734" s="6" t="s">
        <v>148</v>
      </c>
      <c r="E734" s="10" t="s">
        <v>932</v>
      </c>
      <c r="F734" s="6" t="s">
        <v>3182</v>
      </c>
      <c r="G734" s="6" t="s">
        <v>104</v>
      </c>
      <c r="H734" s="6" t="s">
        <v>5564</v>
      </c>
      <c r="I734" s="6" t="s">
        <v>7407</v>
      </c>
      <c r="J734" s="6" t="s">
        <v>7278</v>
      </c>
      <c r="K734" s="6" t="s">
        <v>9714</v>
      </c>
      <c r="L734" s="16" t="n">
        <v>45525</v>
      </c>
      <c r="M734" s="16" t="n">
        <v>45778</v>
      </c>
      <c r="N734" s="6" t="s">
        <v>104</v>
      </c>
      <c r="O734" s="21" t="s">
        <v>104</v>
      </c>
      <c r="P734" s="6" t="s">
        <v>104</v>
      </c>
      <c r="Q734" s="6" t="s">
        <v>104</v>
      </c>
      <c r="R734" s="6" t="s">
        <v>104</v>
      </c>
      <c r="S734" s="6" t="s">
        <v>104</v>
      </c>
      <c r="T734" s="21" t="s">
        <v>104</v>
      </c>
      <c r="U734" s="6" t="s">
        <v>104</v>
      </c>
      <c r="V734" s="6" t="s">
        <v>104</v>
      </c>
      <c r="W734" s="6" t="s">
        <v>104</v>
      </c>
      <c r="X734" s="6" t="s">
        <v>104</v>
      </c>
      <c r="Y734" s="21" t="s">
        <v>104</v>
      </c>
      <c r="Z734" s="6" t="s">
        <v>104</v>
      </c>
      <c r="AA734" s="6" t="s">
        <v>104</v>
      </c>
      <c r="AB734" s="6" t="s">
        <v>104</v>
      </c>
      <c r="AC734" s="6" t="s">
        <v>9714</v>
      </c>
      <c r="AD734" s="16" t="n">
        <v>45525</v>
      </c>
      <c r="AE734" s="6" t="s">
        <v>11179</v>
      </c>
      <c r="AF734" s="6" t="s">
        <v>104</v>
      </c>
      <c r="AG734" s="6" t="s">
        <v>104</v>
      </c>
      <c r="AH734" s="6" t="s">
        <v>13824</v>
      </c>
      <c r="AI734" s="6" t="s">
        <v>104</v>
      </c>
      <c r="AJ734" s="6" t="s">
        <v>15459</v>
      </c>
      <c r="AK734" s="6" t="s">
        <v>15697</v>
      </c>
      <c r="AL734" s="6" t="s">
        <v>16931</v>
      </c>
      <c r="AM734" s="6" t="s">
        <v>17478</v>
      </c>
      <c r="AN734" s="6" t="s">
        <v>104</v>
      </c>
      <c r="AO734" s="6" t="s">
        <v>104</v>
      </c>
      <c r="AP734" s="6" t="s">
        <v>13824</v>
      </c>
      <c r="AQ734" s="6" t="s">
        <v>104</v>
      </c>
      <c r="AR734" s="6" t="s">
        <v>15459</v>
      </c>
      <c r="AS734" s="6" t="s">
        <v>15697</v>
      </c>
      <c r="AT734" s="6" t="s">
        <v>16931</v>
      </c>
      <c r="AU734" s="6" t="s">
        <v>17478</v>
      </c>
      <c r="AV734" s="6" t="s">
        <v>104</v>
      </c>
      <c r="AW734" s="6" t="s">
        <v>104</v>
      </c>
      <c r="AX734" s="6" t="s">
        <v>20690</v>
      </c>
      <c r="AY734" s="6" t="s">
        <v>22460</v>
      </c>
      <c r="AZ734" s="6" t="s">
        <v>104</v>
      </c>
      <c r="BA734" s="6" t="s">
        <v>104</v>
      </c>
      <c r="BB734" s="24" t="n">
        <v>0</v>
      </c>
      <c r="BC734" s="26"/>
      <c r="BD734" s="26"/>
      <c r="BE734" s="26"/>
      <c r="BF734" s="26"/>
      <c r="BG734" s="26"/>
      <c r="BH734" s="26" t="s">
        <v>24533</v>
      </c>
      <c r="BI734" s="26"/>
      <c r="BJ734" s="26"/>
      <c r="BK734" s="26"/>
      <c r="BL734" s="26"/>
      <c r="BM734" s="26"/>
      <c r="BN734" s="26"/>
      <c r="BO734" s="26"/>
      <c r="BP734" s="16" t="n">
        <v>45664</v>
      </c>
      <c r="BQ734" s="28" t="str">
        <f>HYPERLINK("https://organic.ams.usda.gov/Integrity/Certificate.aspx?cid=51&amp;nopid=8241000090")</f>
        <v>https://organic.ams.usda.gov/Integrity/Certificate.aspx?cid=51&amp;nopid=8241000090</v>
      </c>
    </row>
    <row r="735">
      <c r="A735" t="s">
        <v>3</v>
      </c>
      <c r="B735" s="6" t="s">
        <v>12</v>
      </c>
      <c r="C735" s="6" t="s">
        <v>78</v>
      </c>
      <c r="D735" s="6" t="s">
        <v>143</v>
      </c>
      <c r="E735" s="10" t="s">
        <v>933</v>
      </c>
      <c r="F735" s="6" t="s">
        <v>3183</v>
      </c>
      <c r="G735" s="6" t="s">
        <v>104</v>
      </c>
      <c r="H735" s="6" t="s">
        <v>104</v>
      </c>
      <c r="I735" s="6" t="s">
        <v>7170</v>
      </c>
      <c r="J735" s="6" t="s">
        <v>8608</v>
      </c>
      <c r="K735" s="6" t="s">
        <v>9714</v>
      </c>
      <c r="L735" s="16" t="n">
        <v>44609</v>
      </c>
      <c r="M735" s="16" t="n">
        <v>45809</v>
      </c>
      <c r="N735" s="6" t="s">
        <v>9714</v>
      </c>
      <c r="O735" s="16" t="n">
        <v>45196</v>
      </c>
      <c r="P735" s="6" t="s">
        <v>9923</v>
      </c>
      <c r="Q735" s="6" t="s">
        <v>104</v>
      </c>
      <c r="R735" s="6" t="s">
        <v>10351</v>
      </c>
      <c r="S735" s="6" t="s">
        <v>104</v>
      </c>
      <c r="T735" s="21" t="s">
        <v>104</v>
      </c>
      <c r="U735" s="6" t="s">
        <v>104</v>
      </c>
      <c r="V735" s="6" t="s">
        <v>104</v>
      </c>
      <c r="W735" s="6" t="s">
        <v>104</v>
      </c>
      <c r="X735" s="6" t="s">
        <v>104</v>
      </c>
      <c r="Y735" s="21" t="s">
        <v>104</v>
      </c>
      <c r="Z735" s="6" t="s">
        <v>104</v>
      </c>
      <c r="AA735" s="6" t="s">
        <v>104</v>
      </c>
      <c r="AB735" s="6" t="s">
        <v>104</v>
      </c>
      <c r="AC735" s="6" t="s">
        <v>104</v>
      </c>
      <c r="AD735" s="21" t="s">
        <v>104</v>
      </c>
      <c r="AE735" s="6" t="s">
        <v>104</v>
      </c>
      <c r="AF735" s="6" t="s">
        <v>104</v>
      </c>
      <c r="AG735" s="6" t="s">
        <v>104</v>
      </c>
      <c r="AH735" s="6" t="s">
        <v>13825</v>
      </c>
      <c r="AI735" s="6" t="s">
        <v>104</v>
      </c>
      <c r="AJ735" s="6" t="s">
        <v>15849</v>
      </c>
      <c r="AK735" s="6" t="s">
        <v>16256</v>
      </c>
      <c r="AL735" s="6" t="s">
        <v>16931</v>
      </c>
      <c r="AM735" s="6" t="s">
        <v>17479</v>
      </c>
      <c r="AN735" s="6" t="s">
        <v>18463</v>
      </c>
      <c r="AO735" s="6" t="s">
        <v>18707</v>
      </c>
      <c r="AP735" s="6" t="s">
        <v>19134</v>
      </c>
      <c r="AQ735" s="6" t="s">
        <v>104</v>
      </c>
      <c r="AR735" s="6" t="s">
        <v>19658</v>
      </c>
      <c r="AS735" s="6" t="s">
        <v>16256</v>
      </c>
      <c r="AT735" s="6" t="s">
        <v>16931</v>
      </c>
      <c r="AU735" s="6" t="s">
        <v>19886</v>
      </c>
      <c r="AV735" s="6" t="s">
        <v>104</v>
      </c>
      <c r="AW735" s="6" t="s">
        <v>104</v>
      </c>
      <c r="AX735" s="6" t="s">
        <v>104</v>
      </c>
      <c r="AY735" s="6" t="s">
        <v>22461</v>
      </c>
      <c r="AZ735" s="6" t="s">
        <v>104</v>
      </c>
      <c r="BA735" s="6" t="s">
        <v>104</v>
      </c>
      <c r="BB735" s="24" t="n">
        <v>202150</v>
      </c>
      <c r="BC735" s="26"/>
      <c r="BD735" s="26"/>
      <c r="BE735" s="26"/>
      <c r="BF735" s="26"/>
      <c r="BG735" s="26"/>
      <c r="BH735" s="26"/>
      <c r="BI735" s="26"/>
      <c r="BJ735" s="26"/>
      <c r="BK735" s="26"/>
      <c r="BL735" s="26"/>
      <c r="BM735" s="26"/>
      <c r="BN735" s="26"/>
      <c r="BO735" s="26"/>
      <c r="BP735" s="16" t="n">
        <v>45723</v>
      </c>
      <c r="BQ735" s="28" t="str">
        <f>HYPERLINK("https://organic.ams.usda.gov/Integrity/Certificate.aspx?cid=1&amp;nopid=9092125003")</f>
        <v>https://organic.ams.usda.gov/Integrity/Certificate.aspx?cid=1&amp;nopid=9092125003</v>
      </c>
    </row>
    <row r="736">
      <c r="A736" t="s">
        <v>3</v>
      </c>
      <c r="B736" s="6" t="s">
        <v>17</v>
      </c>
      <c r="C736" s="6" t="s">
        <v>83</v>
      </c>
      <c r="D736" s="6" t="s">
        <v>148</v>
      </c>
      <c r="E736" s="10" t="s">
        <v>934</v>
      </c>
      <c r="F736" s="6" t="s">
        <v>3184</v>
      </c>
      <c r="G736" s="6" t="s">
        <v>104</v>
      </c>
      <c r="H736" s="6" t="s">
        <v>5565</v>
      </c>
      <c r="I736" s="6" t="s">
        <v>7408</v>
      </c>
      <c r="J736" s="6" t="s">
        <v>8690</v>
      </c>
      <c r="K736" s="6" t="s">
        <v>9714</v>
      </c>
      <c r="L736" s="16" t="n">
        <v>45526</v>
      </c>
      <c r="M736" s="16" t="n">
        <v>45778</v>
      </c>
      <c r="N736" s="6" t="s">
        <v>104</v>
      </c>
      <c r="O736" s="21" t="s">
        <v>104</v>
      </c>
      <c r="P736" s="6" t="s">
        <v>104</v>
      </c>
      <c r="Q736" s="6" t="s">
        <v>104</v>
      </c>
      <c r="R736" s="6" t="s">
        <v>104</v>
      </c>
      <c r="S736" s="6" t="s">
        <v>104</v>
      </c>
      <c r="T736" s="21" t="s">
        <v>104</v>
      </c>
      <c r="U736" s="6" t="s">
        <v>104</v>
      </c>
      <c r="V736" s="6" t="s">
        <v>104</v>
      </c>
      <c r="W736" s="6" t="s">
        <v>104</v>
      </c>
      <c r="X736" s="6" t="s">
        <v>104</v>
      </c>
      <c r="Y736" s="21" t="s">
        <v>104</v>
      </c>
      <c r="Z736" s="6" t="s">
        <v>104</v>
      </c>
      <c r="AA736" s="6" t="s">
        <v>104</v>
      </c>
      <c r="AB736" s="6" t="s">
        <v>104</v>
      </c>
      <c r="AC736" s="6" t="s">
        <v>9714</v>
      </c>
      <c r="AD736" s="16" t="n">
        <v>45526</v>
      </c>
      <c r="AE736" s="6" t="s">
        <v>11180</v>
      </c>
      <c r="AF736" s="6" t="s">
        <v>104</v>
      </c>
      <c r="AG736" s="6" t="s">
        <v>104</v>
      </c>
      <c r="AH736" s="6" t="s">
        <v>13826</v>
      </c>
      <c r="AI736" s="6" t="s">
        <v>104</v>
      </c>
      <c r="AJ736" s="6" t="s">
        <v>15850</v>
      </c>
      <c r="AK736" s="6" t="s">
        <v>16680</v>
      </c>
      <c r="AL736" s="6" t="s">
        <v>16931</v>
      </c>
      <c r="AM736" s="6" t="s">
        <v>17480</v>
      </c>
      <c r="AN736" s="6" t="s">
        <v>104</v>
      </c>
      <c r="AO736" s="6" t="s">
        <v>104</v>
      </c>
      <c r="AP736" s="6" t="s">
        <v>13826</v>
      </c>
      <c r="AQ736" s="6" t="s">
        <v>104</v>
      </c>
      <c r="AR736" s="6" t="s">
        <v>15850</v>
      </c>
      <c r="AS736" s="6" t="s">
        <v>16680</v>
      </c>
      <c r="AT736" s="6" t="s">
        <v>16931</v>
      </c>
      <c r="AU736" s="6" t="s">
        <v>17480</v>
      </c>
      <c r="AV736" s="6" t="s">
        <v>104</v>
      </c>
      <c r="AW736" s="6" t="s">
        <v>104</v>
      </c>
      <c r="AX736" s="6" t="s">
        <v>20691</v>
      </c>
      <c r="AY736" s="6" t="s">
        <v>22462</v>
      </c>
      <c r="AZ736" s="6" t="s">
        <v>104</v>
      </c>
      <c r="BA736" s="6" t="s">
        <v>104</v>
      </c>
      <c r="BB736" s="24" t="n">
        <v>0</v>
      </c>
      <c r="BC736" s="26"/>
      <c r="BD736" s="26"/>
      <c r="BE736" s="26"/>
      <c r="BF736" s="26"/>
      <c r="BG736" s="26"/>
      <c r="BH736" s="26" t="s">
        <v>24533</v>
      </c>
      <c r="BI736" s="26"/>
      <c r="BJ736" s="26"/>
      <c r="BK736" s="26"/>
      <c r="BL736" s="26"/>
      <c r="BM736" s="26"/>
      <c r="BN736" s="26"/>
      <c r="BO736" s="26"/>
      <c r="BP736" s="16" t="n">
        <v>45664</v>
      </c>
      <c r="BQ736" s="28" t="str">
        <f>HYPERLINK("https://organic.ams.usda.gov/Integrity/Certificate.aspx?cid=51&amp;nopid=8241000097")</f>
        <v>https://organic.ams.usda.gov/Integrity/Certificate.aspx?cid=51&amp;nopid=8241000097</v>
      </c>
    </row>
    <row r="737">
      <c r="A737" t="s">
        <v>3</v>
      </c>
      <c r="B737" s="6" t="s">
        <v>19</v>
      </c>
      <c r="C737" s="6" t="s">
        <v>85</v>
      </c>
      <c r="D737" s="6" t="s">
        <v>150</v>
      </c>
      <c r="E737" s="10" t="s">
        <v>935</v>
      </c>
      <c r="F737" s="6" t="s">
        <v>3185</v>
      </c>
      <c r="G737" s="6" t="s">
        <v>104</v>
      </c>
      <c r="H737" s="6" t="s">
        <v>5498</v>
      </c>
      <c r="I737" s="6" t="s">
        <v>7409</v>
      </c>
      <c r="J737" s="6" t="s">
        <v>8691</v>
      </c>
      <c r="K737" s="6" t="s">
        <v>9714</v>
      </c>
      <c r="L737" s="16" t="n">
        <v>39715</v>
      </c>
      <c r="M737" s="16" t="n">
        <v>45352</v>
      </c>
      <c r="N737" s="6" t="s">
        <v>104</v>
      </c>
      <c r="O737" s="21" t="s">
        <v>104</v>
      </c>
      <c r="P737" s="6" t="s">
        <v>104</v>
      </c>
      <c r="Q737" s="6" t="s">
        <v>104</v>
      </c>
      <c r="R737" s="6" t="s">
        <v>104</v>
      </c>
      <c r="S737" s="6" t="s">
        <v>104</v>
      </c>
      <c r="T737" s="21" t="s">
        <v>104</v>
      </c>
      <c r="U737" s="6" t="s">
        <v>104</v>
      </c>
      <c r="V737" s="6" t="s">
        <v>104</v>
      </c>
      <c r="W737" s="6" t="s">
        <v>104</v>
      </c>
      <c r="X737" s="6" t="s">
        <v>104</v>
      </c>
      <c r="Y737" s="21" t="s">
        <v>104</v>
      </c>
      <c r="Z737" s="6" t="s">
        <v>104</v>
      </c>
      <c r="AA737" s="6" t="s">
        <v>104</v>
      </c>
      <c r="AB737" s="6" t="s">
        <v>104</v>
      </c>
      <c r="AC737" s="6" t="s">
        <v>9714</v>
      </c>
      <c r="AD737" s="16" t="n">
        <v>39715</v>
      </c>
      <c r="AE737" s="6" t="s">
        <v>11181</v>
      </c>
      <c r="AF737" s="6" t="s">
        <v>104</v>
      </c>
      <c r="AG737" s="6" t="s">
        <v>104</v>
      </c>
      <c r="AH737" s="6" t="s">
        <v>13827</v>
      </c>
      <c r="AI737" s="6" t="s">
        <v>104</v>
      </c>
      <c r="AJ737" s="6" t="s">
        <v>15851</v>
      </c>
      <c r="AK737" s="6" t="s">
        <v>16686</v>
      </c>
      <c r="AL737" s="6" t="s">
        <v>16931</v>
      </c>
      <c r="AM737" s="6" t="s">
        <v>17481</v>
      </c>
      <c r="AN737" s="6" t="s">
        <v>18469</v>
      </c>
      <c r="AO737" s="6" t="s">
        <v>18725</v>
      </c>
      <c r="AP737" s="6" t="s">
        <v>13827</v>
      </c>
      <c r="AQ737" s="6" t="s">
        <v>104</v>
      </c>
      <c r="AR737" s="6" t="s">
        <v>15851</v>
      </c>
      <c r="AS737" s="6" t="s">
        <v>16686</v>
      </c>
      <c r="AT737" s="6" t="s">
        <v>16931</v>
      </c>
      <c r="AU737" s="6" t="s">
        <v>17481</v>
      </c>
      <c r="AV737" s="6" t="s">
        <v>104</v>
      </c>
      <c r="AW737" s="6" t="s">
        <v>104</v>
      </c>
      <c r="AX737" s="6" t="s">
        <v>20692</v>
      </c>
      <c r="AY737" s="6" t="s">
        <v>22463</v>
      </c>
      <c r="AZ737" s="6" t="s">
        <v>104</v>
      </c>
      <c r="BA737" s="6" t="s">
        <v>104</v>
      </c>
      <c r="BB737" s="6" t="s">
        <v>104</v>
      </c>
      <c r="BC737" s="26"/>
      <c r="BD737" s="26"/>
      <c r="BE737" s="26"/>
      <c r="BF737" s="26"/>
      <c r="BG737" s="26" t="s">
        <v>24533</v>
      </c>
      <c r="BH737" s="26"/>
      <c r="BI737" s="26"/>
      <c r="BJ737" s="26"/>
      <c r="BK737" s="26"/>
      <c r="BL737" s="26"/>
      <c r="BM737" s="26"/>
      <c r="BN737" s="26"/>
      <c r="BO737" s="26"/>
      <c r="BP737" s="16" t="n">
        <v>45713</v>
      </c>
      <c r="BQ737" s="28" t="str">
        <f>HYPERLINK("https://organic.ams.usda.gov/Integrity/Certificate.aspx?cid=68&amp;nopid=8210001608")</f>
        <v>https://organic.ams.usda.gov/Integrity/Certificate.aspx?cid=68&amp;nopid=8210001608</v>
      </c>
    </row>
    <row r="738">
      <c r="A738" t="s">
        <v>3</v>
      </c>
      <c r="B738" s="6" t="s">
        <v>32</v>
      </c>
      <c r="C738" s="6" t="s">
        <v>98</v>
      </c>
      <c r="D738" s="6" t="s">
        <v>163</v>
      </c>
      <c r="E738" s="10" t="s">
        <v>936</v>
      </c>
      <c r="F738" s="6" t="s">
        <v>3186</v>
      </c>
      <c r="G738" s="6" t="s">
        <v>104</v>
      </c>
      <c r="H738" s="6" t="s">
        <v>5566</v>
      </c>
      <c r="I738" s="6" t="s">
        <v>7410</v>
      </c>
      <c r="J738" s="6" t="s">
        <v>8691</v>
      </c>
      <c r="K738" s="6" t="s">
        <v>9714</v>
      </c>
      <c r="L738" s="16" t="n">
        <v>37265</v>
      </c>
      <c r="M738" s="16" t="n">
        <v>45748</v>
      </c>
      <c r="N738" s="6" t="s">
        <v>9714</v>
      </c>
      <c r="O738" s="16" t="n">
        <v>37265</v>
      </c>
      <c r="P738" s="6" t="s">
        <v>104</v>
      </c>
      <c r="Q738" s="6" t="s">
        <v>104</v>
      </c>
      <c r="R738" s="6" t="s">
        <v>104</v>
      </c>
      <c r="S738" s="6" t="s">
        <v>104</v>
      </c>
      <c r="T738" s="21" t="s">
        <v>104</v>
      </c>
      <c r="U738" s="6" t="s">
        <v>104</v>
      </c>
      <c r="V738" s="6" t="s">
        <v>104</v>
      </c>
      <c r="W738" s="6" t="s">
        <v>104</v>
      </c>
      <c r="X738" s="6" t="s">
        <v>104</v>
      </c>
      <c r="Y738" s="21" t="s">
        <v>104</v>
      </c>
      <c r="Z738" s="6" t="s">
        <v>104</v>
      </c>
      <c r="AA738" s="6" t="s">
        <v>104</v>
      </c>
      <c r="AB738" s="6" t="s">
        <v>104</v>
      </c>
      <c r="AC738" s="6" t="s">
        <v>9714</v>
      </c>
      <c r="AD738" s="16" t="n">
        <v>37265</v>
      </c>
      <c r="AE738" s="6" t="s">
        <v>11182</v>
      </c>
      <c r="AF738" s="6" t="s">
        <v>104</v>
      </c>
      <c r="AG738" s="6" t="s">
        <v>104</v>
      </c>
      <c r="AH738" s="6" t="s">
        <v>13828</v>
      </c>
      <c r="AI738" s="6" t="s">
        <v>104</v>
      </c>
      <c r="AJ738" s="6" t="s">
        <v>15852</v>
      </c>
      <c r="AK738" s="6" t="s">
        <v>16686</v>
      </c>
      <c r="AL738" s="6" t="s">
        <v>16931</v>
      </c>
      <c r="AM738" s="6" t="s">
        <v>17482</v>
      </c>
      <c r="AN738" s="6" t="s">
        <v>18469</v>
      </c>
      <c r="AO738" s="6" t="s">
        <v>18725</v>
      </c>
      <c r="AP738" s="6" t="s">
        <v>104</v>
      </c>
      <c r="AQ738" s="6" t="s">
        <v>104</v>
      </c>
      <c r="AR738" s="6" t="s">
        <v>104</v>
      </c>
      <c r="AS738" s="6" t="s">
        <v>104</v>
      </c>
      <c r="AT738" s="6" t="s">
        <v>104</v>
      </c>
      <c r="AU738" s="6" t="s">
        <v>104</v>
      </c>
      <c r="AV738" s="6" t="s">
        <v>104</v>
      </c>
      <c r="AW738" s="6" t="s">
        <v>104</v>
      </c>
      <c r="AX738" s="6" t="s">
        <v>20693</v>
      </c>
      <c r="AY738" s="6" t="s">
        <v>22463</v>
      </c>
      <c r="AZ738" s="6" t="s">
        <v>23876</v>
      </c>
      <c r="BA738" s="6" t="s">
        <v>104</v>
      </c>
      <c r="BB738" s="24" t="n">
        <v>37</v>
      </c>
      <c r="BC738" s="26"/>
      <c r="BD738" s="26"/>
      <c r="BE738" s="26"/>
      <c r="BF738" s="26"/>
      <c r="BG738" s="26"/>
      <c r="BH738" s="26"/>
      <c r="BI738" s="26"/>
      <c r="BJ738" s="26"/>
      <c r="BK738" s="26"/>
      <c r="BL738" s="26"/>
      <c r="BM738" s="26"/>
      <c r="BN738" s="26"/>
      <c r="BO738" s="26"/>
      <c r="BP738" s="16" t="n">
        <v>45672</v>
      </c>
      <c r="BQ738" s="28" t="str">
        <f>HYPERLINK("https://organic.ams.usda.gov/Integrity/Certificate.aspx?cid=64&amp;nopid=8830000684")</f>
        <v>https://organic.ams.usda.gov/Integrity/Certificate.aspx?cid=64&amp;nopid=8830000684</v>
      </c>
    </row>
    <row r="739">
      <c r="A739" t="s">
        <v>3</v>
      </c>
      <c r="B739" s="6" t="s">
        <v>13</v>
      </c>
      <c r="C739" s="6" t="s">
        <v>79</v>
      </c>
      <c r="D739" s="6" t="s">
        <v>144</v>
      </c>
      <c r="E739" s="10" t="s">
        <v>937</v>
      </c>
      <c r="F739" s="6" t="s">
        <v>3187</v>
      </c>
      <c r="G739" s="6" t="s">
        <v>104</v>
      </c>
      <c r="H739" s="6" t="s">
        <v>5567</v>
      </c>
      <c r="I739" s="6" t="s">
        <v>7411</v>
      </c>
      <c r="J739" s="6" t="s">
        <v>8123</v>
      </c>
      <c r="K739" s="6" t="s">
        <v>9714</v>
      </c>
      <c r="L739" s="16" t="n">
        <v>41943</v>
      </c>
      <c r="M739" s="16" t="n">
        <v>46023</v>
      </c>
      <c r="N739" s="6" t="s">
        <v>9714</v>
      </c>
      <c r="O739" s="16" t="n">
        <v>43683</v>
      </c>
      <c r="P739" s="6" t="s">
        <v>9924</v>
      </c>
      <c r="Q739" s="6" t="s">
        <v>104</v>
      </c>
      <c r="R739" s="6" t="s">
        <v>104</v>
      </c>
      <c r="S739" s="6" t="s">
        <v>9721</v>
      </c>
      <c r="T739" s="16" t="n">
        <v>45208</v>
      </c>
      <c r="U739" s="6" t="s">
        <v>104</v>
      </c>
      <c r="V739" s="6" t="s">
        <v>104</v>
      </c>
      <c r="W739" s="6" t="s">
        <v>104</v>
      </c>
      <c r="X739" s="6" t="s">
        <v>104</v>
      </c>
      <c r="Y739" s="21" t="s">
        <v>104</v>
      </c>
      <c r="Z739" s="6" t="s">
        <v>104</v>
      </c>
      <c r="AA739" s="6" t="s">
        <v>104</v>
      </c>
      <c r="AB739" s="6" t="s">
        <v>104</v>
      </c>
      <c r="AC739" s="6" t="s">
        <v>9714</v>
      </c>
      <c r="AD739" s="16" t="n">
        <v>41943</v>
      </c>
      <c r="AE739" s="6" t="s">
        <v>11183</v>
      </c>
      <c r="AF739" s="6" t="s">
        <v>104</v>
      </c>
      <c r="AG739" s="6" t="s">
        <v>104</v>
      </c>
      <c r="AH739" s="6" t="s">
        <v>104</v>
      </c>
      <c r="AI739" s="6" t="s">
        <v>104</v>
      </c>
      <c r="AJ739" s="6" t="s">
        <v>104</v>
      </c>
      <c r="AK739" s="6" t="s">
        <v>104</v>
      </c>
      <c r="AL739" s="6" t="s">
        <v>104</v>
      </c>
      <c r="AM739" s="6" t="s">
        <v>104</v>
      </c>
      <c r="AN739" s="6" t="s">
        <v>104</v>
      </c>
      <c r="AO739" s="6" t="s">
        <v>104</v>
      </c>
      <c r="AP739" s="6" t="s">
        <v>19135</v>
      </c>
      <c r="AQ739" s="6" t="s">
        <v>104</v>
      </c>
      <c r="AR739" s="6" t="s">
        <v>19659</v>
      </c>
      <c r="AS739" s="6" t="s">
        <v>16710</v>
      </c>
      <c r="AT739" s="6" t="s">
        <v>16931</v>
      </c>
      <c r="AU739" s="6" t="s">
        <v>19887</v>
      </c>
      <c r="AV739" s="6" t="s">
        <v>18494</v>
      </c>
      <c r="AW739" s="6" t="s">
        <v>20084</v>
      </c>
      <c r="AX739" s="6" t="s">
        <v>20694</v>
      </c>
      <c r="AY739" s="6" t="s">
        <v>22464</v>
      </c>
      <c r="AZ739" s="6" t="s">
        <v>104</v>
      </c>
      <c r="BA739" s="6" t="s">
        <v>104</v>
      </c>
      <c r="BB739" s="24" t="n">
        <v>180</v>
      </c>
      <c r="BC739" s="26"/>
      <c r="BD739" s="26"/>
      <c r="BE739" s="26"/>
      <c r="BF739" s="26"/>
      <c r="BG739" s="26"/>
      <c r="BH739" s="26"/>
      <c r="BI739" s="26"/>
      <c r="BJ739" s="26"/>
      <c r="BK739" s="26"/>
      <c r="BL739" s="26"/>
      <c r="BM739" s="26"/>
      <c r="BN739" s="26"/>
      <c r="BO739" s="26"/>
      <c r="BP739" s="16" t="n">
        <v>45720</v>
      </c>
      <c r="BQ739" s="28" t="str">
        <f>HYPERLINK("https://organic.ams.usda.gov/Integrity/Certificate.aspx?cid=62&amp;nopid=8150001102")</f>
        <v>https://organic.ams.usda.gov/Integrity/Certificate.aspx?cid=62&amp;nopid=8150001102</v>
      </c>
    </row>
    <row r="740">
      <c r="A740" t="s">
        <v>3</v>
      </c>
      <c r="B740" s="6" t="s">
        <v>10</v>
      </c>
      <c r="C740" s="6" t="s">
        <v>76</v>
      </c>
      <c r="D740" s="6" t="s">
        <v>141</v>
      </c>
      <c r="E740" s="10" t="s">
        <v>938</v>
      </c>
      <c r="F740" s="6" t="s">
        <v>3188</v>
      </c>
      <c r="G740" s="6" t="s">
        <v>104</v>
      </c>
      <c r="H740" s="6" t="s">
        <v>938</v>
      </c>
      <c r="I740" s="6" t="s">
        <v>7255</v>
      </c>
      <c r="J740" s="6" t="s">
        <v>8692</v>
      </c>
      <c r="K740" s="6" t="s">
        <v>9714</v>
      </c>
      <c r="L740" s="16" t="n">
        <v>42845</v>
      </c>
      <c r="M740" s="16" t="n">
        <v>46068</v>
      </c>
      <c r="N740" s="6" t="s">
        <v>9714</v>
      </c>
      <c r="O740" s="16" t="n">
        <v>42845</v>
      </c>
      <c r="P740" s="6" t="s">
        <v>9925</v>
      </c>
      <c r="Q740" s="6" t="s">
        <v>104</v>
      </c>
      <c r="R740" s="6" t="s">
        <v>3188</v>
      </c>
      <c r="S740" s="6" t="s">
        <v>9714</v>
      </c>
      <c r="T740" s="16" t="n">
        <v>42845</v>
      </c>
      <c r="U740" s="6" t="s">
        <v>10482</v>
      </c>
      <c r="V740" s="6" t="s">
        <v>104</v>
      </c>
      <c r="W740" s="6" t="s">
        <v>3188</v>
      </c>
      <c r="X740" s="6" t="s">
        <v>104</v>
      </c>
      <c r="Y740" s="21" t="s">
        <v>104</v>
      </c>
      <c r="Z740" s="6" t="s">
        <v>104</v>
      </c>
      <c r="AA740" s="6" t="s">
        <v>104</v>
      </c>
      <c r="AB740" s="6" t="s">
        <v>104</v>
      </c>
      <c r="AC740" s="6" t="s">
        <v>9714</v>
      </c>
      <c r="AD740" s="16" t="n">
        <v>42845</v>
      </c>
      <c r="AE740" s="6" t="s">
        <v>11184</v>
      </c>
      <c r="AF740" s="6" t="s">
        <v>104</v>
      </c>
      <c r="AG740" s="6" t="s">
        <v>3188</v>
      </c>
      <c r="AH740" s="6" t="s">
        <v>13829</v>
      </c>
      <c r="AI740" s="6" t="s">
        <v>104</v>
      </c>
      <c r="AJ740" s="6" t="s">
        <v>15853</v>
      </c>
      <c r="AK740" s="6" t="s">
        <v>16751</v>
      </c>
      <c r="AL740" s="6" t="s">
        <v>16931</v>
      </c>
      <c r="AM740" s="6" t="s">
        <v>17483</v>
      </c>
      <c r="AN740" s="6" t="s">
        <v>18500</v>
      </c>
      <c r="AO740" s="6" t="s">
        <v>18628</v>
      </c>
      <c r="AP740" s="6" t="s">
        <v>13829</v>
      </c>
      <c r="AQ740" s="6" t="s">
        <v>104</v>
      </c>
      <c r="AR740" s="6" t="s">
        <v>15853</v>
      </c>
      <c r="AS740" s="6" t="s">
        <v>16751</v>
      </c>
      <c r="AT740" s="6" t="s">
        <v>16931</v>
      </c>
      <c r="AU740" s="6" t="s">
        <v>17483</v>
      </c>
      <c r="AV740" s="6" t="s">
        <v>104</v>
      </c>
      <c r="AW740" s="6" t="s">
        <v>104</v>
      </c>
      <c r="AX740" s="6" t="s">
        <v>20695</v>
      </c>
      <c r="AY740" s="6" t="s">
        <v>22465</v>
      </c>
      <c r="AZ740" s="6" t="s">
        <v>23877</v>
      </c>
      <c r="BA740" s="6" t="s">
        <v>104</v>
      </c>
      <c r="BB740" s="24" t="n">
        <v>53</v>
      </c>
      <c r="BC740" s="26"/>
      <c r="BD740" s="26"/>
      <c r="BE740" s="26"/>
      <c r="BF740" s="26"/>
      <c r="BG740" s="26"/>
      <c r="BH740" s="26"/>
      <c r="BI740" s="26"/>
      <c r="BJ740" s="26"/>
      <c r="BK740" s="26"/>
      <c r="BL740" s="26"/>
      <c r="BM740" s="26"/>
      <c r="BN740" s="26"/>
      <c r="BO740" s="26"/>
      <c r="BP740" s="16" t="n">
        <v>45673</v>
      </c>
      <c r="BQ740" s="28" t="str">
        <f>HYPERLINK("https://organic.ams.usda.gov/Integrity/Certificate.aspx?cid=8&amp;nopid=2201700800")</f>
        <v>https://organic.ams.usda.gov/Integrity/Certificate.aspx?cid=8&amp;nopid=2201700800</v>
      </c>
    </row>
    <row r="741">
      <c r="A741" t="s">
        <v>3</v>
      </c>
      <c r="B741" s="6" t="s">
        <v>26</v>
      </c>
      <c r="C741" s="6" t="s">
        <v>92</v>
      </c>
      <c r="D741" s="6" t="s">
        <v>157</v>
      </c>
      <c r="E741" s="10" t="s">
        <v>939</v>
      </c>
      <c r="F741" s="6" t="s">
        <v>3189</v>
      </c>
      <c r="G741" s="6" t="s">
        <v>4747</v>
      </c>
      <c r="H741" s="6" t="s">
        <v>5568</v>
      </c>
      <c r="I741" s="6" t="s">
        <v>7412</v>
      </c>
      <c r="J741" s="6" t="s">
        <v>8693</v>
      </c>
      <c r="K741" s="6" t="s">
        <v>9714</v>
      </c>
      <c r="L741" s="16" t="n">
        <v>41529</v>
      </c>
      <c r="M741" s="16" t="n">
        <v>45823</v>
      </c>
      <c r="N741" s="6" t="s">
        <v>104</v>
      </c>
      <c r="O741" s="21" t="s">
        <v>104</v>
      </c>
      <c r="P741" s="6" t="s">
        <v>104</v>
      </c>
      <c r="Q741" s="6" t="s">
        <v>104</v>
      </c>
      <c r="R741" s="6" t="s">
        <v>104</v>
      </c>
      <c r="S741" s="6" t="s">
        <v>104</v>
      </c>
      <c r="T741" s="21" t="s">
        <v>104</v>
      </c>
      <c r="U741" s="6" t="s">
        <v>104</v>
      </c>
      <c r="V741" s="6" t="s">
        <v>104</v>
      </c>
      <c r="W741" s="6" t="s">
        <v>104</v>
      </c>
      <c r="X741" s="6" t="s">
        <v>104</v>
      </c>
      <c r="Y741" s="21" t="s">
        <v>104</v>
      </c>
      <c r="Z741" s="6" t="s">
        <v>104</v>
      </c>
      <c r="AA741" s="6" t="s">
        <v>104</v>
      </c>
      <c r="AB741" s="6" t="s">
        <v>104</v>
      </c>
      <c r="AC741" s="6" t="s">
        <v>9714</v>
      </c>
      <c r="AD741" s="16" t="n">
        <v>41529</v>
      </c>
      <c r="AE741" s="6" t="s">
        <v>11185</v>
      </c>
      <c r="AF741" s="6" t="s">
        <v>104</v>
      </c>
      <c r="AG741" s="6" t="s">
        <v>104</v>
      </c>
      <c r="AH741" s="6" t="s">
        <v>13830</v>
      </c>
      <c r="AI741" s="6" t="s">
        <v>104</v>
      </c>
      <c r="AJ741" s="6" t="s">
        <v>15854</v>
      </c>
      <c r="AK741" s="6" t="s">
        <v>16692</v>
      </c>
      <c r="AL741" s="6" t="s">
        <v>16931</v>
      </c>
      <c r="AM741" s="6" t="s">
        <v>17484</v>
      </c>
      <c r="AN741" s="6" t="s">
        <v>18466</v>
      </c>
      <c r="AO741" s="6" t="s">
        <v>18726</v>
      </c>
      <c r="AP741" s="6" t="s">
        <v>104</v>
      </c>
      <c r="AQ741" s="6" t="s">
        <v>104</v>
      </c>
      <c r="AR741" s="6" t="s">
        <v>104</v>
      </c>
      <c r="AS741" s="6" t="s">
        <v>104</v>
      </c>
      <c r="AT741" s="6" t="s">
        <v>104</v>
      </c>
      <c r="AU741" s="6" t="s">
        <v>104</v>
      </c>
      <c r="AV741" s="6" t="s">
        <v>104</v>
      </c>
      <c r="AW741" s="6" t="s">
        <v>104</v>
      </c>
      <c r="AX741" s="6" t="s">
        <v>20696</v>
      </c>
      <c r="AY741" s="6" t="s">
        <v>104</v>
      </c>
      <c r="AZ741" s="6" t="s">
        <v>23878</v>
      </c>
      <c r="BA741" s="6" t="s">
        <v>104</v>
      </c>
      <c r="BB741" s="24" t="n">
        <v>0</v>
      </c>
      <c r="BC741" s="26"/>
      <c r="BD741" s="26"/>
      <c r="BE741" s="26"/>
      <c r="BF741" s="26"/>
      <c r="BG741" s="26"/>
      <c r="BH741" s="26"/>
      <c r="BI741" s="26"/>
      <c r="BJ741" s="26"/>
      <c r="BK741" s="26"/>
      <c r="BL741" s="26"/>
      <c r="BM741" s="26"/>
      <c r="BN741" s="26"/>
      <c r="BO741" s="26"/>
      <c r="BP741" s="16" t="n">
        <v>45701</v>
      </c>
      <c r="BQ741" s="28" t="str">
        <f>HYPERLINK("https://organic.ams.usda.gov/Integrity/Certificate.aspx?cid=81&amp;nopid=4210013042")</f>
        <v>https://organic.ams.usda.gov/Integrity/Certificate.aspx?cid=81&amp;nopid=4210013042</v>
      </c>
    </row>
    <row r="742">
      <c r="A742" t="s">
        <v>3</v>
      </c>
      <c r="B742" s="6" t="s">
        <v>9</v>
      </c>
      <c r="C742" s="6" t="s">
        <v>75</v>
      </c>
      <c r="D742" s="6" t="s">
        <v>140</v>
      </c>
      <c r="E742" s="10" t="s">
        <v>940</v>
      </c>
      <c r="F742" s="6" t="s">
        <v>3190</v>
      </c>
      <c r="G742" s="6" t="s">
        <v>104</v>
      </c>
      <c r="H742" s="6" t="s">
        <v>5569</v>
      </c>
      <c r="I742" s="6" t="s">
        <v>6945</v>
      </c>
      <c r="J742" s="6" t="s">
        <v>8694</v>
      </c>
      <c r="K742" s="6" t="s">
        <v>9714</v>
      </c>
      <c r="L742" s="16" t="n">
        <v>41471</v>
      </c>
      <c r="M742" s="16" t="n">
        <v>45854</v>
      </c>
      <c r="N742" s="6" t="s">
        <v>9714</v>
      </c>
      <c r="O742" s="16" t="n">
        <v>41471</v>
      </c>
      <c r="P742" s="6" t="s">
        <v>9926</v>
      </c>
      <c r="Q742" s="6" t="s">
        <v>104</v>
      </c>
      <c r="R742" s="6" t="s">
        <v>10352</v>
      </c>
      <c r="S742" s="6" t="s">
        <v>9721</v>
      </c>
      <c r="T742" s="16" t="n">
        <v>45630</v>
      </c>
      <c r="U742" s="6" t="s">
        <v>104</v>
      </c>
      <c r="V742" s="6" t="s">
        <v>104</v>
      </c>
      <c r="W742" s="6" t="s">
        <v>104</v>
      </c>
      <c r="X742" s="6" t="s">
        <v>104</v>
      </c>
      <c r="Y742" s="21" t="s">
        <v>104</v>
      </c>
      <c r="Z742" s="6" t="s">
        <v>104</v>
      </c>
      <c r="AA742" s="6" t="s">
        <v>104</v>
      </c>
      <c r="AB742" s="6" t="s">
        <v>104</v>
      </c>
      <c r="AC742" s="6" t="s">
        <v>104</v>
      </c>
      <c r="AD742" s="21" t="s">
        <v>104</v>
      </c>
      <c r="AE742" s="6" t="s">
        <v>104</v>
      </c>
      <c r="AF742" s="6" t="s">
        <v>104</v>
      </c>
      <c r="AG742" s="6" t="s">
        <v>104</v>
      </c>
      <c r="AH742" s="6" t="s">
        <v>13831</v>
      </c>
      <c r="AI742" s="6" t="s">
        <v>104</v>
      </c>
      <c r="AJ742" s="6" t="s">
        <v>15855</v>
      </c>
      <c r="AK742" s="6" t="s">
        <v>16805</v>
      </c>
      <c r="AL742" s="6" t="s">
        <v>16931</v>
      </c>
      <c r="AM742" s="6" t="s">
        <v>17485</v>
      </c>
      <c r="AN742" s="6" t="s">
        <v>104</v>
      </c>
      <c r="AO742" s="6" t="s">
        <v>104</v>
      </c>
      <c r="AP742" s="6" t="s">
        <v>13831</v>
      </c>
      <c r="AQ742" s="6" t="s">
        <v>104</v>
      </c>
      <c r="AR742" s="6" t="s">
        <v>15855</v>
      </c>
      <c r="AS742" s="6" t="s">
        <v>16805</v>
      </c>
      <c r="AT742" s="6" t="s">
        <v>16931</v>
      </c>
      <c r="AU742" s="6" t="s">
        <v>17485</v>
      </c>
      <c r="AV742" s="6" t="s">
        <v>18459</v>
      </c>
      <c r="AW742" s="6" t="s">
        <v>20085</v>
      </c>
      <c r="AX742" s="6" t="s">
        <v>20697</v>
      </c>
      <c r="AY742" s="6" t="s">
        <v>22466</v>
      </c>
      <c r="AZ742" s="6" t="s">
        <v>104</v>
      </c>
      <c r="BA742" s="6" t="s">
        <v>104</v>
      </c>
      <c r="BB742" s="24" t="n">
        <v>6537</v>
      </c>
      <c r="BC742" s="26"/>
      <c r="BD742" s="26"/>
      <c r="BE742" s="26"/>
      <c r="BF742" s="26"/>
      <c r="BG742" s="26"/>
      <c r="BH742" s="26"/>
      <c r="BI742" s="26"/>
      <c r="BJ742" s="26"/>
      <c r="BK742" s="26"/>
      <c r="BL742" s="26"/>
      <c r="BM742" s="26"/>
      <c r="BN742" s="26"/>
      <c r="BO742" s="26"/>
      <c r="BP742" s="16" t="n">
        <v>45639</v>
      </c>
      <c r="BQ742" s="28" t="str">
        <f>HYPERLINK("https://organic.ams.usda.gov/Integrity/Certificate.aspx?cid=63&amp;nopid=6220006018")</f>
        <v>https://organic.ams.usda.gov/Integrity/Certificate.aspx?cid=63&amp;nopid=6220006018</v>
      </c>
    </row>
    <row r="743">
      <c r="A743" t="s">
        <v>3</v>
      </c>
      <c r="B743" s="6" t="s">
        <v>13</v>
      </c>
      <c r="C743" s="6" t="s">
        <v>79</v>
      </c>
      <c r="D743" s="6" t="s">
        <v>144</v>
      </c>
      <c r="E743" s="10" t="s">
        <v>941</v>
      </c>
      <c r="F743" s="6" t="s">
        <v>3191</v>
      </c>
      <c r="G743" s="6" t="s">
        <v>104</v>
      </c>
      <c r="H743" s="6" t="s">
        <v>5570</v>
      </c>
      <c r="I743" s="6" t="s">
        <v>6948</v>
      </c>
      <c r="J743" s="6" t="s">
        <v>8695</v>
      </c>
      <c r="K743" s="6" t="s">
        <v>9714</v>
      </c>
      <c r="L743" s="16" t="n">
        <v>37375</v>
      </c>
      <c r="M743" s="16" t="n">
        <v>45748</v>
      </c>
      <c r="N743" s="6" t="s">
        <v>9714</v>
      </c>
      <c r="O743" s="16" t="n">
        <v>37375</v>
      </c>
      <c r="P743" s="6" t="s">
        <v>9927</v>
      </c>
      <c r="Q743" s="6" t="s">
        <v>104</v>
      </c>
      <c r="R743" s="6" t="s">
        <v>104</v>
      </c>
      <c r="S743" s="6" t="s">
        <v>9721</v>
      </c>
      <c r="T743" s="16" t="n">
        <v>42667</v>
      </c>
      <c r="U743" s="6" t="s">
        <v>104</v>
      </c>
      <c r="V743" s="6" t="s">
        <v>104</v>
      </c>
      <c r="W743" s="6" t="s">
        <v>104</v>
      </c>
      <c r="X743" s="6" t="s">
        <v>104</v>
      </c>
      <c r="Y743" s="21" t="s">
        <v>104</v>
      </c>
      <c r="Z743" s="6" t="s">
        <v>104</v>
      </c>
      <c r="AA743" s="6" t="s">
        <v>104</v>
      </c>
      <c r="AB743" s="6" t="s">
        <v>104</v>
      </c>
      <c r="AC743" s="6" t="s">
        <v>104</v>
      </c>
      <c r="AD743" s="21" t="s">
        <v>104</v>
      </c>
      <c r="AE743" s="6" t="s">
        <v>104</v>
      </c>
      <c r="AF743" s="6" t="s">
        <v>104</v>
      </c>
      <c r="AG743" s="6" t="s">
        <v>104</v>
      </c>
      <c r="AH743" s="6" t="s">
        <v>104</v>
      </c>
      <c r="AI743" s="6" t="s">
        <v>104</v>
      </c>
      <c r="AJ743" s="6" t="s">
        <v>104</v>
      </c>
      <c r="AK743" s="6" t="s">
        <v>104</v>
      </c>
      <c r="AL743" s="6" t="s">
        <v>104</v>
      </c>
      <c r="AM743" s="6" t="s">
        <v>104</v>
      </c>
      <c r="AN743" s="6" t="s">
        <v>104</v>
      </c>
      <c r="AO743" s="6" t="s">
        <v>104</v>
      </c>
      <c r="AP743" s="6" t="s">
        <v>19136</v>
      </c>
      <c r="AQ743" s="6" t="s">
        <v>104</v>
      </c>
      <c r="AR743" s="6" t="s">
        <v>19660</v>
      </c>
      <c r="AS743" s="6" t="s">
        <v>16681</v>
      </c>
      <c r="AT743" s="6" t="s">
        <v>16931</v>
      </c>
      <c r="AU743" s="6" t="s">
        <v>19888</v>
      </c>
      <c r="AV743" s="6" t="s">
        <v>18500</v>
      </c>
      <c r="AW743" s="6" t="s">
        <v>20086</v>
      </c>
      <c r="AX743" s="6" t="s">
        <v>20698</v>
      </c>
      <c r="AY743" s="6" t="s">
        <v>22467</v>
      </c>
      <c r="AZ743" s="6" t="s">
        <v>104</v>
      </c>
      <c r="BA743" s="6" t="s">
        <v>104</v>
      </c>
      <c r="BB743" s="24" t="n">
        <v>468</v>
      </c>
      <c r="BC743" s="26"/>
      <c r="BD743" s="26"/>
      <c r="BE743" s="26"/>
      <c r="BF743" s="26"/>
      <c r="BG743" s="26"/>
      <c r="BH743" s="26"/>
      <c r="BI743" s="26"/>
      <c r="BJ743" s="26"/>
      <c r="BK743" s="26"/>
      <c r="BL743" s="26"/>
      <c r="BM743" s="26"/>
      <c r="BN743" s="26"/>
      <c r="BO743" s="26"/>
      <c r="BP743" s="16" t="n">
        <v>45735</v>
      </c>
      <c r="BQ743" s="28" t="str">
        <f>HYPERLINK("https://organic.ams.usda.gov/Integrity/Certificate.aspx?cid=62&amp;nopid=8150000850")</f>
        <v>https://organic.ams.usda.gov/Integrity/Certificate.aspx?cid=62&amp;nopid=8150000850</v>
      </c>
    </row>
    <row r="744">
      <c r="A744" t="s">
        <v>3</v>
      </c>
      <c r="B744" s="6" t="s">
        <v>9</v>
      </c>
      <c r="C744" s="6" t="s">
        <v>75</v>
      </c>
      <c r="D744" s="6" t="s">
        <v>140</v>
      </c>
      <c r="E744" s="10" t="s">
        <v>942</v>
      </c>
      <c r="F744" s="6" t="s">
        <v>3192</v>
      </c>
      <c r="G744" s="6" t="s">
        <v>104</v>
      </c>
      <c r="H744" s="6" t="s">
        <v>5571</v>
      </c>
      <c r="I744" s="6" t="s">
        <v>7413</v>
      </c>
      <c r="J744" s="6" t="s">
        <v>8696</v>
      </c>
      <c r="K744" s="6" t="s">
        <v>9714</v>
      </c>
      <c r="L744" s="16" t="n">
        <v>42404</v>
      </c>
      <c r="M744" s="16" t="n">
        <v>45692</v>
      </c>
      <c r="N744" s="6" t="s">
        <v>104</v>
      </c>
      <c r="O744" s="21" t="s">
        <v>104</v>
      </c>
      <c r="P744" s="6" t="s">
        <v>104</v>
      </c>
      <c r="Q744" s="6" t="s">
        <v>104</v>
      </c>
      <c r="R744" s="6" t="s">
        <v>104</v>
      </c>
      <c r="S744" s="6" t="s">
        <v>104</v>
      </c>
      <c r="T744" s="21" t="s">
        <v>104</v>
      </c>
      <c r="U744" s="6" t="s">
        <v>104</v>
      </c>
      <c r="V744" s="6" t="s">
        <v>104</v>
      </c>
      <c r="W744" s="6" t="s">
        <v>104</v>
      </c>
      <c r="X744" s="6" t="s">
        <v>104</v>
      </c>
      <c r="Y744" s="21" t="s">
        <v>104</v>
      </c>
      <c r="Z744" s="6" t="s">
        <v>104</v>
      </c>
      <c r="AA744" s="6" t="s">
        <v>104</v>
      </c>
      <c r="AB744" s="6" t="s">
        <v>104</v>
      </c>
      <c r="AC744" s="6" t="s">
        <v>9714</v>
      </c>
      <c r="AD744" s="16" t="n">
        <v>42404</v>
      </c>
      <c r="AE744" s="6" t="s">
        <v>11186</v>
      </c>
      <c r="AF744" s="6" t="s">
        <v>104</v>
      </c>
      <c r="AG744" s="6" t="s">
        <v>104</v>
      </c>
      <c r="AH744" s="6" t="s">
        <v>104</v>
      </c>
      <c r="AI744" s="6" t="s">
        <v>104</v>
      </c>
      <c r="AJ744" s="6" t="s">
        <v>104</v>
      </c>
      <c r="AK744" s="6" t="s">
        <v>104</v>
      </c>
      <c r="AL744" s="6" t="s">
        <v>104</v>
      </c>
      <c r="AM744" s="6" t="s">
        <v>104</v>
      </c>
      <c r="AN744" s="6" t="s">
        <v>104</v>
      </c>
      <c r="AO744" s="6" t="s">
        <v>104</v>
      </c>
      <c r="AP744" s="6" t="s">
        <v>19137</v>
      </c>
      <c r="AQ744" s="6" t="s">
        <v>19554</v>
      </c>
      <c r="AR744" s="6" t="s">
        <v>15722</v>
      </c>
      <c r="AS744" s="6" t="s">
        <v>16687</v>
      </c>
      <c r="AT744" s="6" t="s">
        <v>16931</v>
      </c>
      <c r="AU744" s="6" t="s">
        <v>18006</v>
      </c>
      <c r="AV744" s="6" t="s">
        <v>18472</v>
      </c>
      <c r="AW744" s="6" t="s">
        <v>20087</v>
      </c>
      <c r="AX744" s="6" t="s">
        <v>20699</v>
      </c>
      <c r="AY744" s="6" t="s">
        <v>22468</v>
      </c>
      <c r="AZ744" s="6" t="s">
        <v>104</v>
      </c>
      <c r="BA744" s="6" t="s">
        <v>104</v>
      </c>
      <c r="BB744" s="6" t="s">
        <v>104</v>
      </c>
      <c r="BC744" s="26"/>
      <c r="BD744" s="26"/>
      <c r="BE744" s="26"/>
      <c r="BF744" s="26"/>
      <c r="BG744" s="26"/>
      <c r="BH744" s="26"/>
      <c r="BI744" s="26"/>
      <c r="BJ744" s="26"/>
      <c r="BK744" s="26"/>
      <c r="BL744" s="26"/>
      <c r="BM744" s="26"/>
      <c r="BN744" s="26"/>
      <c r="BO744" s="26"/>
      <c r="BP744" s="16" t="n">
        <v>45483</v>
      </c>
      <c r="BQ744" s="28" t="str">
        <f>HYPERLINK("https://organic.ams.usda.gov/Integrity/Certificate.aspx?cid=63&amp;nopid=6220006700")</f>
        <v>https://organic.ams.usda.gov/Integrity/Certificate.aspx?cid=63&amp;nopid=6220006700</v>
      </c>
    </row>
    <row r="745">
      <c r="A745" t="s">
        <v>3</v>
      </c>
      <c r="B745" s="6" t="s">
        <v>21</v>
      </c>
      <c r="C745" s="6" t="s">
        <v>87</v>
      </c>
      <c r="D745" s="6" t="s">
        <v>152</v>
      </c>
      <c r="E745" s="10" t="s">
        <v>943</v>
      </c>
      <c r="F745" s="6" t="s">
        <v>3193</v>
      </c>
      <c r="G745" s="6" t="s">
        <v>104</v>
      </c>
      <c r="H745" s="6" t="s">
        <v>5572</v>
      </c>
      <c r="I745" s="6" t="s">
        <v>7071</v>
      </c>
      <c r="J745" s="6" t="s">
        <v>8697</v>
      </c>
      <c r="K745" s="6" t="s">
        <v>9714</v>
      </c>
      <c r="L745" s="16" t="n">
        <v>43125</v>
      </c>
      <c r="M745" s="16" t="n">
        <v>46023</v>
      </c>
      <c r="N745" s="6" t="s">
        <v>104</v>
      </c>
      <c r="O745" s="21" t="s">
        <v>104</v>
      </c>
      <c r="P745" s="6" t="s">
        <v>104</v>
      </c>
      <c r="Q745" s="6" t="s">
        <v>104</v>
      </c>
      <c r="R745" s="6" t="s">
        <v>104</v>
      </c>
      <c r="S745" s="6" t="s">
        <v>104</v>
      </c>
      <c r="T745" s="21" t="s">
        <v>104</v>
      </c>
      <c r="U745" s="6" t="s">
        <v>104</v>
      </c>
      <c r="V745" s="6" t="s">
        <v>104</v>
      </c>
      <c r="W745" s="6" t="s">
        <v>104</v>
      </c>
      <c r="X745" s="6" t="s">
        <v>104</v>
      </c>
      <c r="Y745" s="21" t="s">
        <v>104</v>
      </c>
      <c r="Z745" s="6" t="s">
        <v>104</v>
      </c>
      <c r="AA745" s="6" t="s">
        <v>104</v>
      </c>
      <c r="AB745" s="6" t="s">
        <v>104</v>
      </c>
      <c r="AC745" s="6" t="s">
        <v>9714</v>
      </c>
      <c r="AD745" s="16" t="n">
        <v>43125</v>
      </c>
      <c r="AE745" s="6" t="s">
        <v>11187</v>
      </c>
      <c r="AF745" s="6" t="s">
        <v>104</v>
      </c>
      <c r="AG745" s="6" t="s">
        <v>104</v>
      </c>
      <c r="AH745" s="6" t="s">
        <v>13832</v>
      </c>
      <c r="AI745" s="6" t="s">
        <v>104</v>
      </c>
      <c r="AJ745" s="6" t="s">
        <v>15856</v>
      </c>
      <c r="AK745" s="6" t="s">
        <v>16687</v>
      </c>
      <c r="AL745" s="6" t="s">
        <v>16931</v>
      </c>
      <c r="AM745" s="6" t="s">
        <v>17486</v>
      </c>
      <c r="AN745" s="6" t="s">
        <v>18465</v>
      </c>
      <c r="AO745" s="6" t="s">
        <v>18572</v>
      </c>
      <c r="AP745" s="6" t="s">
        <v>13832</v>
      </c>
      <c r="AQ745" s="6" t="s">
        <v>104</v>
      </c>
      <c r="AR745" s="6" t="s">
        <v>15856</v>
      </c>
      <c r="AS745" s="6" t="s">
        <v>16687</v>
      </c>
      <c r="AT745" s="6" t="s">
        <v>16931</v>
      </c>
      <c r="AU745" s="6" t="s">
        <v>17486</v>
      </c>
      <c r="AV745" s="6" t="s">
        <v>104</v>
      </c>
      <c r="AW745" s="6" t="s">
        <v>104</v>
      </c>
      <c r="AX745" s="6" t="s">
        <v>20700</v>
      </c>
      <c r="AY745" s="6" t="s">
        <v>22469</v>
      </c>
      <c r="AZ745" s="6" t="s">
        <v>23879</v>
      </c>
      <c r="BA745" s="6" t="s">
        <v>24369</v>
      </c>
      <c r="BB745" s="6" t="s">
        <v>104</v>
      </c>
      <c r="BC745" s="26"/>
      <c r="BD745" s="26"/>
      <c r="BE745" s="26"/>
      <c r="BF745" s="26"/>
      <c r="BG745" s="26"/>
      <c r="BH745" s="26"/>
      <c r="BI745" s="26"/>
      <c r="BJ745" s="26"/>
      <c r="BK745" s="26"/>
      <c r="BL745" s="26"/>
      <c r="BM745" s="26"/>
      <c r="BN745" s="26"/>
      <c r="BO745" s="26"/>
      <c r="BP745" s="16" t="n">
        <v>45712</v>
      </c>
      <c r="BQ745" s="28" t="str">
        <f>HYPERLINK("https://organic.ams.usda.gov/Integrity/Certificate.aspx?cid=15&amp;nopid=5561005070")</f>
        <v>https://organic.ams.usda.gov/Integrity/Certificate.aspx?cid=15&amp;nopid=5561005070</v>
      </c>
    </row>
    <row r="746">
      <c r="A746" t="s">
        <v>3</v>
      </c>
      <c r="B746" s="6" t="s">
        <v>21</v>
      </c>
      <c r="C746" s="6" t="s">
        <v>87</v>
      </c>
      <c r="D746" s="6" t="s">
        <v>152</v>
      </c>
      <c r="E746" s="10" t="s">
        <v>944</v>
      </c>
      <c r="F746" s="6" t="s">
        <v>3194</v>
      </c>
      <c r="G746" s="6" t="s">
        <v>104</v>
      </c>
      <c r="H746" s="6" t="s">
        <v>5573</v>
      </c>
      <c r="I746" s="6" t="s">
        <v>7414</v>
      </c>
      <c r="J746" s="6" t="s">
        <v>8698</v>
      </c>
      <c r="K746" s="6" t="s">
        <v>9714</v>
      </c>
      <c r="L746" s="16" t="n">
        <v>44547</v>
      </c>
      <c r="M746" s="16" t="n">
        <v>46023</v>
      </c>
      <c r="N746" s="6" t="s">
        <v>104</v>
      </c>
      <c r="O746" s="21" t="s">
        <v>104</v>
      </c>
      <c r="P746" s="6" t="s">
        <v>104</v>
      </c>
      <c r="Q746" s="6" t="s">
        <v>104</v>
      </c>
      <c r="R746" s="6" t="s">
        <v>104</v>
      </c>
      <c r="S746" s="6" t="s">
        <v>104</v>
      </c>
      <c r="T746" s="21" t="s">
        <v>104</v>
      </c>
      <c r="U746" s="6" t="s">
        <v>104</v>
      </c>
      <c r="V746" s="6" t="s">
        <v>104</v>
      </c>
      <c r="W746" s="6" t="s">
        <v>104</v>
      </c>
      <c r="X746" s="6" t="s">
        <v>104</v>
      </c>
      <c r="Y746" s="21" t="s">
        <v>104</v>
      </c>
      <c r="Z746" s="6" t="s">
        <v>104</v>
      </c>
      <c r="AA746" s="6" t="s">
        <v>104</v>
      </c>
      <c r="AB746" s="6" t="s">
        <v>104</v>
      </c>
      <c r="AC746" s="6" t="s">
        <v>9714</v>
      </c>
      <c r="AD746" s="16" t="n">
        <v>44547</v>
      </c>
      <c r="AE746" s="6" t="s">
        <v>11188</v>
      </c>
      <c r="AF746" s="6" t="s">
        <v>104</v>
      </c>
      <c r="AG746" s="6" t="s">
        <v>104</v>
      </c>
      <c r="AH746" s="6" t="s">
        <v>13833</v>
      </c>
      <c r="AI746" s="6" t="s">
        <v>104</v>
      </c>
      <c r="AJ746" s="6" t="s">
        <v>15857</v>
      </c>
      <c r="AK746" s="6" t="s">
        <v>16370</v>
      </c>
      <c r="AL746" s="6" t="s">
        <v>16931</v>
      </c>
      <c r="AM746" s="6" t="s">
        <v>17487</v>
      </c>
      <c r="AN746" s="6" t="s">
        <v>18456</v>
      </c>
      <c r="AO746" s="6" t="s">
        <v>18582</v>
      </c>
      <c r="AP746" s="6" t="s">
        <v>13833</v>
      </c>
      <c r="AQ746" s="6" t="s">
        <v>104</v>
      </c>
      <c r="AR746" s="6" t="s">
        <v>15857</v>
      </c>
      <c r="AS746" s="6" t="s">
        <v>16370</v>
      </c>
      <c r="AT746" s="6" t="s">
        <v>16931</v>
      </c>
      <c r="AU746" s="6" t="s">
        <v>17487</v>
      </c>
      <c r="AV746" s="6" t="s">
        <v>18456</v>
      </c>
      <c r="AW746" s="6" t="s">
        <v>18582</v>
      </c>
      <c r="AX746" s="6" t="s">
        <v>20701</v>
      </c>
      <c r="AY746" s="6" t="s">
        <v>22470</v>
      </c>
      <c r="AZ746" s="6" t="s">
        <v>23880</v>
      </c>
      <c r="BA746" s="6" t="s">
        <v>104</v>
      </c>
      <c r="BB746" s="6" t="s">
        <v>104</v>
      </c>
      <c r="BC746" s="26"/>
      <c r="BD746" s="26"/>
      <c r="BE746" s="26"/>
      <c r="BF746" s="26"/>
      <c r="BG746" s="26"/>
      <c r="BH746" s="26"/>
      <c r="BI746" s="26"/>
      <c r="BJ746" s="26"/>
      <c r="BK746" s="26"/>
      <c r="BL746" s="26"/>
      <c r="BM746" s="26"/>
      <c r="BN746" s="26"/>
      <c r="BO746" s="26"/>
      <c r="BP746" s="16" t="n">
        <v>45667</v>
      </c>
      <c r="BQ746" s="28" t="str">
        <f>HYPERLINK("https://organic.ams.usda.gov/Integrity/Certificate.aspx?cid=15&amp;nopid=5561007136")</f>
        <v>https://organic.ams.usda.gov/Integrity/Certificate.aspx?cid=15&amp;nopid=5561007136</v>
      </c>
    </row>
    <row r="747">
      <c r="A747" t="s">
        <v>3</v>
      </c>
      <c r="B747" s="6" t="s">
        <v>21</v>
      </c>
      <c r="C747" s="6" t="s">
        <v>87</v>
      </c>
      <c r="D747" s="6" t="s">
        <v>152</v>
      </c>
      <c r="E747" s="10" t="s">
        <v>945</v>
      </c>
      <c r="F747" s="6" t="s">
        <v>3195</v>
      </c>
      <c r="G747" s="6" t="s">
        <v>104</v>
      </c>
      <c r="H747" s="6" t="s">
        <v>5574</v>
      </c>
      <c r="I747" s="6" t="s">
        <v>7415</v>
      </c>
      <c r="J747" s="6" t="s">
        <v>7202</v>
      </c>
      <c r="K747" s="6" t="s">
        <v>9714</v>
      </c>
      <c r="L747" s="16" t="n">
        <v>42712</v>
      </c>
      <c r="M747" s="16" t="n">
        <v>46023</v>
      </c>
      <c r="N747" s="6" t="s">
        <v>104</v>
      </c>
      <c r="O747" s="21" t="s">
        <v>104</v>
      </c>
      <c r="P747" s="6" t="s">
        <v>104</v>
      </c>
      <c r="Q747" s="6" t="s">
        <v>104</v>
      </c>
      <c r="R747" s="6" t="s">
        <v>104</v>
      </c>
      <c r="S747" s="6" t="s">
        <v>104</v>
      </c>
      <c r="T747" s="21" t="s">
        <v>104</v>
      </c>
      <c r="U747" s="6" t="s">
        <v>104</v>
      </c>
      <c r="V747" s="6" t="s">
        <v>104</v>
      </c>
      <c r="W747" s="6" t="s">
        <v>104</v>
      </c>
      <c r="X747" s="6" t="s">
        <v>104</v>
      </c>
      <c r="Y747" s="21" t="s">
        <v>104</v>
      </c>
      <c r="Z747" s="6" t="s">
        <v>104</v>
      </c>
      <c r="AA747" s="6" t="s">
        <v>104</v>
      </c>
      <c r="AB747" s="6" t="s">
        <v>104</v>
      </c>
      <c r="AC747" s="6" t="s">
        <v>9714</v>
      </c>
      <c r="AD747" s="16" t="n">
        <v>42712</v>
      </c>
      <c r="AE747" s="6" t="s">
        <v>11189</v>
      </c>
      <c r="AF747" s="6" t="s">
        <v>104</v>
      </c>
      <c r="AG747" s="6" t="s">
        <v>104</v>
      </c>
      <c r="AH747" s="6" t="s">
        <v>13834</v>
      </c>
      <c r="AI747" s="6" t="s">
        <v>104</v>
      </c>
      <c r="AJ747" s="6" t="s">
        <v>15542</v>
      </c>
      <c r="AK747" s="6" t="s">
        <v>16687</v>
      </c>
      <c r="AL747" s="6" t="s">
        <v>16931</v>
      </c>
      <c r="AM747" s="6" t="s">
        <v>17488</v>
      </c>
      <c r="AN747" s="6" t="s">
        <v>18487</v>
      </c>
      <c r="AO747" s="6" t="s">
        <v>18601</v>
      </c>
      <c r="AP747" s="6" t="s">
        <v>13834</v>
      </c>
      <c r="AQ747" s="6" t="s">
        <v>104</v>
      </c>
      <c r="AR747" s="6" t="s">
        <v>15542</v>
      </c>
      <c r="AS747" s="6" t="s">
        <v>16687</v>
      </c>
      <c r="AT747" s="6" t="s">
        <v>16931</v>
      </c>
      <c r="AU747" s="6" t="s">
        <v>17488</v>
      </c>
      <c r="AV747" s="6" t="s">
        <v>104</v>
      </c>
      <c r="AW747" s="6" t="s">
        <v>104</v>
      </c>
      <c r="AX747" s="6" t="s">
        <v>20702</v>
      </c>
      <c r="AY747" s="6" t="s">
        <v>22471</v>
      </c>
      <c r="AZ747" s="6" t="s">
        <v>23881</v>
      </c>
      <c r="BA747" s="6" t="s">
        <v>24370</v>
      </c>
      <c r="BB747" s="6" t="s">
        <v>104</v>
      </c>
      <c r="BC747" s="26"/>
      <c r="BD747" s="26"/>
      <c r="BE747" s="26"/>
      <c r="BF747" s="26"/>
      <c r="BG747" s="26"/>
      <c r="BH747" s="26"/>
      <c r="BI747" s="26"/>
      <c r="BJ747" s="26"/>
      <c r="BK747" s="26"/>
      <c r="BL747" s="26"/>
      <c r="BM747" s="26"/>
      <c r="BN747" s="26"/>
      <c r="BO747" s="26"/>
      <c r="BP747" s="16" t="n">
        <v>45667</v>
      </c>
      <c r="BQ747" s="28" t="str">
        <f>HYPERLINK("https://organic.ams.usda.gov/Integrity/Certificate.aspx?cid=15&amp;nopid=5561004525")</f>
        <v>https://organic.ams.usda.gov/Integrity/Certificate.aspx?cid=15&amp;nopid=5561004525</v>
      </c>
    </row>
    <row r="748">
      <c r="A748" t="s">
        <v>3</v>
      </c>
      <c r="B748" s="6" t="s">
        <v>33</v>
      </c>
      <c r="C748" s="6" t="s">
        <v>99</v>
      </c>
      <c r="D748" s="6" t="s">
        <v>164</v>
      </c>
      <c r="E748" s="10" t="s">
        <v>946</v>
      </c>
      <c r="F748" s="6" t="s">
        <v>3196</v>
      </c>
      <c r="G748" s="6" t="s">
        <v>104</v>
      </c>
      <c r="H748" s="6" t="s">
        <v>104</v>
      </c>
      <c r="I748" s="6" t="s">
        <v>7123</v>
      </c>
      <c r="J748" s="6" t="s">
        <v>8699</v>
      </c>
      <c r="K748" s="6" t="s">
        <v>9714</v>
      </c>
      <c r="L748" s="16" t="n">
        <v>42719</v>
      </c>
      <c r="M748" s="16" t="n">
        <v>45536</v>
      </c>
      <c r="N748" s="6" t="s">
        <v>104</v>
      </c>
      <c r="O748" s="21" t="s">
        <v>104</v>
      </c>
      <c r="P748" s="6" t="s">
        <v>104</v>
      </c>
      <c r="Q748" s="6" t="s">
        <v>104</v>
      </c>
      <c r="R748" s="6" t="s">
        <v>104</v>
      </c>
      <c r="S748" s="6" t="s">
        <v>104</v>
      </c>
      <c r="T748" s="21" t="s">
        <v>104</v>
      </c>
      <c r="U748" s="6" t="s">
        <v>104</v>
      </c>
      <c r="V748" s="6" t="s">
        <v>104</v>
      </c>
      <c r="W748" s="6" t="s">
        <v>104</v>
      </c>
      <c r="X748" s="6" t="s">
        <v>104</v>
      </c>
      <c r="Y748" s="21" t="s">
        <v>104</v>
      </c>
      <c r="Z748" s="6" t="s">
        <v>104</v>
      </c>
      <c r="AA748" s="6" t="s">
        <v>104</v>
      </c>
      <c r="AB748" s="6" t="s">
        <v>104</v>
      </c>
      <c r="AC748" s="6" t="s">
        <v>9714</v>
      </c>
      <c r="AD748" s="16" t="n">
        <v>42719</v>
      </c>
      <c r="AE748" s="6" t="s">
        <v>11190</v>
      </c>
      <c r="AF748" s="6" t="s">
        <v>104</v>
      </c>
      <c r="AG748" s="6" t="s">
        <v>104</v>
      </c>
      <c r="AH748" s="6" t="s">
        <v>13835</v>
      </c>
      <c r="AI748" s="6" t="s">
        <v>104</v>
      </c>
      <c r="AJ748" s="6" t="s">
        <v>15858</v>
      </c>
      <c r="AK748" s="6" t="s">
        <v>16683</v>
      </c>
      <c r="AL748" s="6" t="s">
        <v>16931</v>
      </c>
      <c r="AM748" s="6" t="s">
        <v>17489</v>
      </c>
      <c r="AN748" s="6" t="s">
        <v>18497</v>
      </c>
      <c r="AO748" s="6" t="s">
        <v>18727</v>
      </c>
      <c r="AP748" s="6" t="s">
        <v>13835</v>
      </c>
      <c r="AQ748" s="6" t="s">
        <v>104</v>
      </c>
      <c r="AR748" s="6" t="s">
        <v>15858</v>
      </c>
      <c r="AS748" s="6" t="s">
        <v>16683</v>
      </c>
      <c r="AT748" s="6" t="s">
        <v>16931</v>
      </c>
      <c r="AU748" s="6" t="s">
        <v>17489</v>
      </c>
      <c r="AV748" s="6" t="s">
        <v>104</v>
      </c>
      <c r="AW748" s="6" t="s">
        <v>104</v>
      </c>
      <c r="AX748" s="6" t="s">
        <v>20703</v>
      </c>
      <c r="AY748" s="6" t="s">
        <v>22472</v>
      </c>
      <c r="AZ748" s="6" t="s">
        <v>23882</v>
      </c>
      <c r="BA748" s="6" t="s">
        <v>104</v>
      </c>
      <c r="BB748" s="6" t="s">
        <v>104</v>
      </c>
      <c r="BC748" s="26"/>
      <c r="BD748" s="26"/>
      <c r="BE748" s="26"/>
      <c r="BF748" s="26"/>
      <c r="BG748" s="26"/>
      <c r="BH748" s="26"/>
      <c r="BI748" s="26"/>
      <c r="BJ748" s="26"/>
      <c r="BK748" s="26"/>
      <c r="BL748" s="26"/>
      <c r="BM748" s="26"/>
      <c r="BN748" s="26"/>
      <c r="BO748" s="26"/>
      <c r="BP748" s="16" t="n">
        <v>45544</v>
      </c>
      <c r="BQ748" s="28" t="str">
        <f>HYPERLINK("https://organic.ams.usda.gov/Integrity/Certificate.aspx?cid=46&amp;nopid=3671600152")</f>
        <v>https://organic.ams.usda.gov/Integrity/Certificate.aspx?cid=46&amp;nopid=3671600152</v>
      </c>
    </row>
    <row r="749">
      <c r="A749" t="s">
        <v>3</v>
      </c>
      <c r="B749" s="6" t="s">
        <v>13</v>
      </c>
      <c r="C749" s="6" t="s">
        <v>79</v>
      </c>
      <c r="D749" s="6" t="s">
        <v>144</v>
      </c>
      <c r="E749" s="10" t="s">
        <v>947</v>
      </c>
      <c r="F749" s="6" t="s">
        <v>3197</v>
      </c>
      <c r="G749" s="6" t="s">
        <v>104</v>
      </c>
      <c r="H749" s="6" t="s">
        <v>5575</v>
      </c>
      <c r="I749" s="6" t="s">
        <v>7416</v>
      </c>
      <c r="J749" s="6" t="s">
        <v>8700</v>
      </c>
      <c r="K749" s="6" t="s">
        <v>9714</v>
      </c>
      <c r="L749" s="16" t="n">
        <v>37636</v>
      </c>
      <c r="M749" s="16" t="n">
        <v>46023</v>
      </c>
      <c r="N749" s="6" t="s">
        <v>104</v>
      </c>
      <c r="O749" s="21" t="s">
        <v>104</v>
      </c>
      <c r="P749" s="6" t="s">
        <v>104</v>
      </c>
      <c r="Q749" s="6" t="s">
        <v>104</v>
      </c>
      <c r="R749" s="6" t="s">
        <v>104</v>
      </c>
      <c r="S749" s="6" t="s">
        <v>104</v>
      </c>
      <c r="T749" s="21" t="s">
        <v>104</v>
      </c>
      <c r="U749" s="6" t="s">
        <v>104</v>
      </c>
      <c r="V749" s="6" t="s">
        <v>104</v>
      </c>
      <c r="W749" s="6" t="s">
        <v>104</v>
      </c>
      <c r="X749" s="6" t="s">
        <v>104</v>
      </c>
      <c r="Y749" s="21" t="s">
        <v>104</v>
      </c>
      <c r="Z749" s="6" t="s">
        <v>104</v>
      </c>
      <c r="AA749" s="6" t="s">
        <v>104</v>
      </c>
      <c r="AB749" s="6" t="s">
        <v>104</v>
      </c>
      <c r="AC749" s="6" t="s">
        <v>9714</v>
      </c>
      <c r="AD749" s="16" t="n">
        <v>37636</v>
      </c>
      <c r="AE749" s="6" t="s">
        <v>11191</v>
      </c>
      <c r="AF749" s="6" t="s">
        <v>104</v>
      </c>
      <c r="AG749" s="6" t="s">
        <v>104</v>
      </c>
      <c r="AH749" s="6" t="s">
        <v>104</v>
      </c>
      <c r="AI749" s="6" t="s">
        <v>104</v>
      </c>
      <c r="AJ749" s="6" t="s">
        <v>104</v>
      </c>
      <c r="AK749" s="6" t="s">
        <v>104</v>
      </c>
      <c r="AL749" s="6" t="s">
        <v>104</v>
      </c>
      <c r="AM749" s="6" t="s">
        <v>104</v>
      </c>
      <c r="AN749" s="6" t="s">
        <v>104</v>
      </c>
      <c r="AO749" s="6" t="s">
        <v>104</v>
      </c>
      <c r="AP749" s="6" t="s">
        <v>19138</v>
      </c>
      <c r="AQ749" s="6" t="s">
        <v>104</v>
      </c>
      <c r="AR749" s="6" t="s">
        <v>15591</v>
      </c>
      <c r="AS749" s="6" t="s">
        <v>16693</v>
      </c>
      <c r="AT749" s="6" t="s">
        <v>16931</v>
      </c>
      <c r="AU749" s="6" t="s">
        <v>19889</v>
      </c>
      <c r="AV749" s="6" t="s">
        <v>18523</v>
      </c>
      <c r="AW749" s="6" t="s">
        <v>18565</v>
      </c>
      <c r="AX749" s="6" t="s">
        <v>20704</v>
      </c>
      <c r="AY749" s="6" t="s">
        <v>22473</v>
      </c>
      <c r="AZ749" s="6" t="s">
        <v>23883</v>
      </c>
      <c r="BA749" s="6" t="s">
        <v>104</v>
      </c>
      <c r="BB749" s="6" t="s">
        <v>104</v>
      </c>
      <c r="BC749" s="26"/>
      <c r="BD749" s="26"/>
      <c r="BE749" s="26"/>
      <c r="BF749" s="26"/>
      <c r="BG749" s="26"/>
      <c r="BH749" s="26"/>
      <c r="BI749" s="26"/>
      <c r="BJ749" s="26"/>
      <c r="BK749" s="26"/>
      <c r="BL749" s="26"/>
      <c r="BM749" s="26"/>
      <c r="BN749" s="26"/>
      <c r="BO749" s="26"/>
      <c r="BP749" s="16" t="n">
        <v>45687</v>
      </c>
      <c r="BQ749" s="28" t="str">
        <f>HYPERLINK("https://organic.ams.usda.gov/Integrity/Certificate.aspx?cid=62&amp;nopid=8150000346")</f>
        <v>https://organic.ams.usda.gov/Integrity/Certificate.aspx?cid=62&amp;nopid=8150000346</v>
      </c>
    </row>
    <row r="750">
      <c r="A750" t="s">
        <v>3</v>
      </c>
      <c r="B750" s="6" t="s">
        <v>21</v>
      </c>
      <c r="C750" s="6" t="s">
        <v>87</v>
      </c>
      <c r="D750" s="6" t="s">
        <v>152</v>
      </c>
      <c r="E750" s="10" t="s">
        <v>948</v>
      </c>
      <c r="F750" s="6" t="s">
        <v>3198</v>
      </c>
      <c r="G750" s="6" t="s">
        <v>104</v>
      </c>
      <c r="H750" s="6" t="s">
        <v>5576</v>
      </c>
      <c r="I750" s="6" t="s">
        <v>7417</v>
      </c>
      <c r="J750" s="6" t="s">
        <v>8701</v>
      </c>
      <c r="K750" s="6" t="s">
        <v>9714</v>
      </c>
      <c r="L750" s="16" t="n">
        <v>41067</v>
      </c>
      <c r="M750" s="16" t="n">
        <v>46023</v>
      </c>
      <c r="N750" s="6" t="s">
        <v>104</v>
      </c>
      <c r="O750" s="21" t="s">
        <v>104</v>
      </c>
      <c r="P750" s="6" t="s">
        <v>104</v>
      </c>
      <c r="Q750" s="6" t="s">
        <v>104</v>
      </c>
      <c r="R750" s="6" t="s">
        <v>104</v>
      </c>
      <c r="S750" s="6" t="s">
        <v>104</v>
      </c>
      <c r="T750" s="21" t="s">
        <v>104</v>
      </c>
      <c r="U750" s="6" t="s">
        <v>104</v>
      </c>
      <c r="V750" s="6" t="s">
        <v>104</v>
      </c>
      <c r="W750" s="6" t="s">
        <v>104</v>
      </c>
      <c r="X750" s="6" t="s">
        <v>104</v>
      </c>
      <c r="Y750" s="21" t="s">
        <v>104</v>
      </c>
      <c r="Z750" s="6" t="s">
        <v>104</v>
      </c>
      <c r="AA750" s="6" t="s">
        <v>104</v>
      </c>
      <c r="AB750" s="6" t="s">
        <v>104</v>
      </c>
      <c r="AC750" s="6" t="s">
        <v>9714</v>
      </c>
      <c r="AD750" s="16" t="n">
        <v>41067</v>
      </c>
      <c r="AE750" s="6" t="s">
        <v>11192</v>
      </c>
      <c r="AF750" s="6" t="s">
        <v>104</v>
      </c>
      <c r="AG750" s="6" t="s">
        <v>104</v>
      </c>
      <c r="AH750" s="6" t="s">
        <v>13836</v>
      </c>
      <c r="AI750" s="6" t="s">
        <v>15266</v>
      </c>
      <c r="AJ750" s="6" t="s">
        <v>15859</v>
      </c>
      <c r="AK750" s="6" t="s">
        <v>16687</v>
      </c>
      <c r="AL750" s="6" t="s">
        <v>16931</v>
      </c>
      <c r="AM750" s="6" t="s">
        <v>17490</v>
      </c>
      <c r="AN750" s="6" t="s">
        <v>18525</v>
      </c>
      <c r="AO750" s="6" t="s">
        <v>18728</v>
      </c>
      <c r="AP750" s="6" t="s">
        <v>13836</v>
      </c>
      <c r="AQ750" s="6" t="s">
        <v>15266</v>
      </c>
      <c r="AR750" s="6" t="s">
        <v>15859</v>
      </c>
      <c r="AS750" s="6" t="s">
        <v>16687</v>
      </c>
      <c r="AT750" s="6" t="s">
        <v>16931</v>
      </c>
      <c r="AU750" s="6" t="s">
        <v>17490</v>
      </c>
      <c r="AV750" s="6" t="s">
        <v>104</v>
      </c>
      <c r="AW750" s="6" t="s">
        <v>104</v>
      </c>
      <c r="AX750" s="6" t="s">
        <v>20705</v>
      </c>
      <c r="AY750" s="6" t="s">
        <v>22474</v>
      </c>
      <c r="AZ750" s="6" t="s">
        <v>23884</v>
      </c>
      <c r="BA750" s="6" t="s">
        <v>24371</v>
      </c>
      <c r="BB750" s="6" t="s">
        <v>104</v>
      </c>
      <c r="BC750" s="26"/>
      <c r="BD750" s="26"/>
      <c r="BE750" s="26"/>
      <c r="BF750" s="26"/>
      <c r="BG750" s="26"/>
      <c r="BH750" s="26"/>
      <c r="BI750" s="26"/>
      <c r="BJ750" s="26"/>
      <c r="BK750" s="26"/>
      <c r="BL750" s="26"/>
      <c r="BM750" s="26"/>
      <c r="BN750" s="26"/>
      <c r="BO750" s="26"/>
      <c r="BP750" s="16" t="n">
        <v>45667</v>
      </c>
      <c r="BQ750" s="28" t="str">
        <f>HYPERLINK("https://organic.ams.usda.gov/Integrity/Certificate.aspx?cid=15&amp;nopid=5561001738")</f>
        <v>https://organic.ams.usda.gov/Integrity/Certificate.aspx?cid=15&amp;nopid=5561001738</v>
      </c>
    </row>
    <row r="751">
      <c r="A751" t="s">
        <v>3</v>
      </c>
      <c r="B751" s="6" t="s">
        <v>21</v>
      </c>
      <c r="C751" s="6" t="s">
        <v>87</v>
      </c>
      <c r="D751" s="6" t="s">
        <v>152</v>
      </c>
      <c r="E751" s="10" t="s">
        <v>949</v>
      </c>
      <c r="F751" s="6" t="s">
        <v>3199</v>
      </c>
      <c r="G751" s="6" t="s">
        <v>104</v>
      </c>
      <c r="H751" s="6" t="s">
        <v>5577</v>
      </c>
      <c r="I751" s="6" t="s">
        <v>6933</v>
      </c>
      <c r="J751" s="6" t="s">
        <v>8702</v>
      </c>
      <c r="K751" s="6" t="s">
        <v>9714</v>
      </c>
      <c r="L751" s="16" t="n">
        <v>41220</v>
      </c>
      <c r="M751" s="16" t="n">
        <v>46023</v>
      </c>
      <c r="N751" s="6" t="s">
        <v>104</v>
      </c>
      <c r="O751" s="21" t="s">
        <v>104</v>
      </c>
      <c r="P751" s="6" t="s">
        <v>104</v>
      </c>
      <c r="Q751" s="6" t="s">
        <v>104</v>
      </c>
      <c r="R751" s="6" t="s">
        <v>104</v>
      </c>
      <c r="S751" s="6" t="s">
        <v>104</v>
      </c>
      <c r="T751" s="21" t="s">
        <v>104</v>
      </c>
      <c r="U751" s="6" t="s">
        <v>104</v>
      </c>
      <c r="V751" s="6" t="s">
        <v>104</v>
      </c>
      <c r="W751" s="6" t="s">
        <v>104</v>
      </c>
      <c r="X751" s="6" t="s">
        <v>104</v>
      </c>
      <c r="Y751" s="21" t="s">
        <v>104</v>
      </c>
      <c r="Z751" s="6" t="s">
        <v>104</v>
      </c>
      <c r="AA751" s="6" t="s">
        <v>104</v>
      </c>
      <c r="AB751" s="6" t="s">
        <v>104</v>
      </c>
      <c r="AC751" s="6" t="s">
        <v>9714</v>
      </c>
      <c r="AD751" s="16" t="n">
        <v>41220</v>
      </c>
      <c r="AE751" s="6" t="s">
        <v>11193</v>
      </c>
      <c r="AF751" s="6" t="s">
        <v>104</v>
      </c>
      <c r="AG751" s="6" t="s">
        <v>104</v>
      </c>
      <c r="AH751" s="6" t="s">
        <v>13837</v>
      </c>
      <c r="AI751" s="6" t="s">
        <v>104</v>
      </c>
      <c r="AJ751" s="6" t="s">
        <v>8297</v>
      </c>
      <c r="AK751" s="6" t="s">
        <v>16687</v>
      </c>
      <c r="AL751" s="6" t="s">
        <v>16931</v>
      </c>
      <c r="AM751" s="6" t="s">
        <v>17491</v>
      </c>
      <c r="AN751" s="6" t="s">
        <v>5771</v>
      </c>
      <c r="AO751" s="6" t="s">
        <v>18563</v>
      </c>
      <c r="AP751" s="6" t="s">
        <v>13837</v>
      </c>
      <c r="AQ751" s="6" t="s">
        <v>104</v>
      </c>
      <c r="AR751" s="6" t="s">
        <v>8297</v>
      </c>
      <c r="AS751" s="6" t="s">
        <v>16687</v>
      </c>
      <c r="AT751" s="6" t="s">
        <v>16931</v>
      </c>
      <c r="AU751" s="6" t="s">
        <v>17491</v>
      </c>
      <c r="AV751" s="6" t="s">
        <v>104</v>
      </c>
      <c r="AW751" s="6" t="s">
        <v>104</v>
      </c>
      <c r="AX751" s="6" t="s">
        <v>20706</v>
      </c>
      <c r="AY751" s="6" t="s">
        <v>22475</v>
      </c>
      <c r="AZ751" s="6" t="s">
        <v>23885</v>
      </c>
      <c r="BA751" s="6" t="s">
        <v>24372</v>
      </c>
      <c r="BB751" s="6" t="s">
        <v>104</v>
      </c>
      <c r="BC751" s="26"/>
      <c r="BD751" s="26"/>
      <c r="BE751" s="26"/>
      <c r="BF751" s="26"/>
      <c r="BG751" s="26"/>
      <c r="BH751" s="26"/>
      <c r="BI751" s="26"/>
      <c r="BJ751" s="26"/>
      <c r="BK751" s="26"/>
      <c r="BL751" s="26"/>
      <c r="BM751" s="26"/>
      <c r="BN751" s="26"/>
      <c r="BO751" s="26"/>
      <c r="BP751" s="16" t="n">
        <v>45693</v>
      </c>
      <c r="BQ751" s="28" t="str">
        <f>HYPERLINK("https://organic.ams.usda.gov/Integrity/Certificate.aspx?cid=15&amp;nopid=5561001737")</f>
        <v>https://organic.ams.usda.gov/Integrity/Certificate.aspx?cid=15&amp;nopid=5561001737</v>
      </c>
    </row>
    <row r="752">
      <c r="A752" t="s">
        <v>3</v>
      </c>
      <c r="B752" s="6" t="s">
        <v>11</v>
      </c>
      <c r="C752" s="6" t="s">
        <v>77</v>
      </c>
      <c r="D752" s="6" t="s">
        <v>142</v>
      </c>
      <c r="E752" s="10" t="s">
        <v>950</v>
      </c>
      <c r="F752" s="6" t="s">
        <v>3200</v>
      </c>
      <c r="G752" s="6" t="s">
        <v>104</v>
      </c>
      <c r="H752" s="6" t="s">
        <v>950</v>
      </c>
      <c r="I752" s="6" t="s">
        <v>7418</v>
      </c>
      <c r="J752" s="6" t="s">
        <v>8703</v>
      </c>
      <c r="K752" s="6" t="s">
        <v>9714</v>
      </c>
      <c r="L752" s="16" t="n">
        <v>44718</v>
      </c>
      <c r="M752" s="16" t="n">
        <v>45737</v>
      </c>
      <c r="N752" s="6" t="s">
        <v>104</v>
      </c>
      <c r="O752" s="21" t="s">
        <v>104</v>
      </c>
      <c r="P752" s="6" t="s">
        <v>104</v>
      </c>
      <c r="Q752" s="6" t="s">
        <v>104</v>
      </c>
      <c r="R752" s="6" t="s">
        <v>104</v>
      </c>
      <c r="S752" s="6" t="s">
        <v>104</v>
      </c>
      <c r="T752" s="21" t="s">
        <v>104</v>
      </c>
      <c r="U752" s="6" t="s">
        <v>104</v>
      </c>
      <c r="V752" s="6" t="s">
        <v>104</v>
      </c>
      <c r="W752" s="6" t="s">
        <v>104</v>
      </c>
      <c r="X752" s="6" t="s">
        <v>104</v>
      </c>
      <c r="Y752" s="21" t="s">
        <v>104</v>
      </c>
      <c r="Z752" s="6" t="s">
        <v>104</v>
      </c>
      <c r="AA752" s="6" t="s">
        <v>104</v>
      </c>
      <c r="AB752" s="6" t="s">
        <v>104</v>
      </c>
      <c r="AC752" s="6" t="s">
        <v>9714</v>
      </c>
      <c r="AD752" s="16" t="n">
        <v>44718</v>
      </c>
      <c r="AE752" s="6" t="s">
        <v>11194</v>
      </c>
      <c r="AF752" s="6" t="s">
        <v>104</v>
      </c>
      <c r="AG752" s="6" t="s">
        <v>12723</v>
      </c>
      <c r="AH752" s="6" t="s">
        <v>13838</v>
      </c>
      <c r="AI752" s="6" t="s">
        <v>104</v>
      </c>
      <c r="AJ752" s="6" t="s">
        <v>15365</v>
      </c>
      <c r="AK752" s="6" t="s">
        <v>16682</v>
      </c>
      <c r="AL752" s="6" t="s">
        <v>16932</v>
      </c>
      <c r="AM752" s="6" t="s">
        <v>17492</v>
      </c>
      <c r="AN752" s="6" t="s">
        <v>104</v>
      </c>
      <c r="AO752" s="6" t="s">
        <v>104</v>
      </c>
      <c r="AP752" s="6" t="s">
        <v>13838</v>
      </c>
      <c r="AQ752" s="6" t="s">
        <v>104</v>
      </c>
      <c r="AR752" s="6" t="s">
        <v>15365</v>
      </c>
      <c r="AS752" s="6" t="s">
        <v>16682</v>
      </c>
      <c r="AT752" s="6" t="s">
        <v>16932</v>
      </c>
      <c r="AU752" s="6" t="s">
        <v>17492</v>
      </c>
      <c r="AV752" s="6" t="s">
        <v>104</v>
      </c>
      <c r="AW752" s="6" t="s">
        <v>104</v>
      </c>
      <c r="AX752" s="6" t="s">
        <v>20707</v>
      </c>
      <c r="AY752" s="6" t="s">
        <v>22476</v>
      </c>
      <c r="AZ752" s="6" t="s">
        <v>104</v>
      </c>
      <c r="BA752" s="6" t="s">
        <v>104</v>
      </c>
      <c r="BB752" s="6" t="s">
        <v>104</v>
      </c>
      <c r="BC752" s="26"/>
      <c r="BD752" s="26"/>
      <c r="BE752" s="26"/>
      <c r="BF752" s="26"/>
      <c r="BG752" s="26"/>
      <c r="BH752" s="26"/>
      <c r="BI752" s="26"/>
      <c r="BJ752" s="26"/>
      <c r="BK752" s="26"/>
      <c r="BL752" s="26"/>
      <c r="BM752" s="26"/>
      <c r="BN752" s="26"/>
      <c r="BO752" s="26"/>
      <c r="BP752" s="16" t="n">
        <v>45393</v>
      </c>
      <c r="BQ752" s="28" t="str">
        <f>HYPERLINK("https://organic.ams.usda.gov/Integrity/Certificate.aspx?cid=21&amp;nopid=1780845529")</f>
        <v>https://organic.ams.usda.gov/Integrity/Certificate.aspx?cid=21&amp;nopid=1780845529</v>
      </c>
    </row>
    <row r="753">
      <c r="A753" t="s">
        <v>3</v>
      </c>
      <c r="B753" s="6" t="s">
        <v>20</v>
      </c>
      <c r="C753" s="6" t="s">
        <v>86</v>
      </c>
      <c r="D753" s="6" t="s">
        <v>151</v>
      </c>
      <c r="E753" s="10" t="s">
        <v>951</v>
      </c>
      <c r="F753" s="6" t="s">
        <v>3201</v>
      </c>
      <c r="G753" s="6" t="s">
        <v>104</v>
      </c>
      <c r="H753" s="6" t="s">
        <v>5578</v>
      </c>
      <c r="I753" s="6" t="s">
        <v>7419</v>
      </c>
      <c r="J753" s="6" t="s">
        <v>8704</v>
      </c>
      <c r="K753" s="6" t="s">
        <v>9714</v>
      </c>
      <c r="L753" s="16" t="n">
        <v>44050</v>
      </c>
      <c r="M753" s="16" t="n">
        <v>45900</v>
      </c>
      <c r="N753" s="6" t="s">
        <v>104</v>
      </c>
      <c r="O753" s="21" t="s">
        <v>104</v>
      </c>
      <c r="P753" s="6" t="s">
        <v>104</v>
      </c>
      <c r="Q753" s="6" t="s">
        <v>104</v>
      </c>
      <c r="R753" s="6" t="s">
        <v>104</v>
      </c>
      <c r="S753" s="6" t="s">
        <v>104</v>
      </c>
      <c r="T753" s="21" t="s">
        <v>104</v>
      </c>
      <c r="U753" s="6" t="s">
        <v>104</v>
      </c>
      <c r="V753" s="6" t="s">
        <v>104</v>
      </c>
      <c r="W753" s="6" t="s">
        <v>104</v>
      </c>
      <c r="X753" s="6" t="s">
        <v>104</v>
      </c>
      <c r="Y753" s="21" t="s">
        <v>104</v>
      </c>
      <c r="Z753" s="6" t="s">
        <v>104</v>
      </c>
      <c r="AA753" s="6" t="s">
        <v>104</v>
      </c>
      <c r="AB753" s="6" t="s">
        <v>104</v>
      </c>
      <c r="AC753" s="6" t="s">
        <v>9714</v>
      </c>
      <c r="AD753" s="16" t="n">
        <v>44050</v>
      </c>
      <c r="AE753" s="6" t="s">
        <v>11195</v>
      </c>
      <c r="AF753" s="6" t="s">
        <v>104</v>
      </c>
      <c r="AG753" s="6" t="s">
        <v>12724</v>
      </c>
      <c r="AH753" s="6" t="s">
        <v>13839</v>
      </c>
      <c r="AI753" s="6" t="s">
        <v>104</v>
      </c>
      <c r="AJ753" s="6" t="s">
        <v>15551</v>
      </c>
      <c r="AK753" s="6" t="s">
        <v>15373</v>
      </c>
      <c r="AL753" s="6" t="s">
        <v>16933</v>
      </c>
      <c r="AM753" s="6" t="s">
        <v>17119</v>
      </c>
      <c r="AN753" s="6" t="s">
        <v>104</v>
      </c>
      <c r="AO753" s="6" t="s">
        <v>104</v>
      </c>
      <c r="AP753" s="6" t="s">
        <v>104</v>
      </c>
      <c r="AQ753" s="6" t="s">
        <v>104</v>
      </c>
      <c r="AR753" s="6" t="s">
        <v>104</v>
      </c>
      <c r="AS753" s="6" t="s">
        <v>104</v>
      </c>
      <c r="AT753" s="6" t="s">
        <v>104</v>
      </c>
      <c r="AU753" s="6" t="s">
        <v>104</v>
      </c>
      <c r="AV753" s="6" t="s">
        <v>104</v>
      </c>
      <c r="AW753" s="6" t="s">
        <v>104</v>
      </c>
      <c r="AX753" s="6" t="s">
        <v>20708</v>
      </c>
      <c r="AY753" s="6" t="s">
        <v>22477</v>
      </c>
      <c r="AZ753" s="6" t="s">
        <v>23886</v>
      </c>
      <c r="BA753" s="6" t="s">
        <v>24373</v>
      </c>
      <c r="BB753" s="6" t="s">
        <v>104</v>
      </c>
      <c r="BC753" s="26"/>
      <c r="BD753" s="26"/>
      <c r="BE753" s="26"/>
      <c r="BF753" s="26"/>
      <c r="BG753" s="26"/>
      <c r="BH753" s="26"/>
      <c r="BI753" s="26"/>
      <c r="BJ753" s="26"/>
      <c r="BK753" s="26"/>
      <c r="BL753" s="26"/>
      <c r="BM753" s="26"/>
      <c r="BN753" s="26"/>
      <c r="BO753" s="26"/>
      <c r="BP753" s="16" t="n">
        <v>45567</v>
      </c>
      <c r="BQ753" s="28" t="str">
        <f>HYPERLINK("https://organic.ams.usda.gov/Integrity/Certificate.aspx?cid=17&amp;nopid=4087186315")</f>
        <v>https://organic.ams.usda.gov/Integrity/Certificate.aspx?cid=17&amp;nopid=4087186315</v>
      </c>
    </row>
    <row r="754">
      <c r="A754" t="s">
        <v>3</v>
      </c>
      <c r="B754" s="6" t="s">
        <v>20</v>
      </c>
      <c r="C754" s="6" t="s">
        <v>86</v>
      </c>
      <c r="D754" s="6" t="s">
        <v>151</v>
      </c>
      <c r="E754" s="10" t="s">
        <v>952</v>
      </c>
      <c r="F754" s="6" t="s">
        <v>3202</v>
      </c>
      <c r="G754" s="6" t="s">
        <v>104</v>
      </c>
      <c r="H754" s="6" t="s">
        <v>5579</v>
      </c>
      <c r="I754" s="6" t="s">
        <v>7420</v>
      </c>
      <c r="J754" s="6" t="s">
        <v>7206</v>
      </c>
      <c r="K754" s="6" t="s">
        <v>9714</v>
      </c>
      <c r="L754" s="16" t="n">
        <v>45562</v>
      </c>
      <c r="M754" s="16" t="n">
        <v>45869</v>
      </c>
      <c r="N754" s="6" t="s">
        <v>104</v>
      </c>
      <c r="O754" s="21" t="s">
        <v>104</v>
      </c>
      <c r="P754" s="6" t="s">
        <v>104</v>
      </c>
      <c r="Q754" s="6" t="s">
        <v>104</v>
      </c>
      <c r="R754" s="6" t="s">
        <v>104</v>
      </c>
      <c r="S754" s="6" t="s">
        <v>104</v>
      </c>
      <c r="T754" s="21" t="s">
        <v>104</v>
      </c>
      <c r="U754" s="6" t="s">
        <v>104</v>
      </c>
      <c r="V754" s="6" t="s">
        <v>104</v>
      </c>
      <c r="W754" s="6" t="s">
        <v>104</v>
      </c>
      <c r="X754" s="6" t="s">
        <v>104</v>
      </c>
      <c r="Y754" s="21" t="s">
        <v>104</v>
      </c>
      <c r="Z754" s="6" t="s">
        <v>104</v>
      </c>
      <c r="AA754" s="6" t="s">
        <v>104</v>
      </c>
      <c r="AB754" s="6" t="s">
        <v>104</v>
      </c>
      <c r="AC754" s="6" t="s">
        <v>9714</v>
      </c>
      <c r="AD754" s="16" t="n">
        <v>45562</v>
      </c>
      <c r="AE754" s="6" t="s">
        <v>11196</v>
      </c>
      <c r="AF754" s="6" t="s">
        <v>104</v>
      </c>
      <c r="AG754" s="6" t="s">
        <v>12725</v>
      </c>
      <c r="AH754" s="6" t="s">
        <v>13840</v>
      </c>
      <c r="AI754" s="6" t="s">
        <v>104</v>
      </c>
      <c r="AJ754" s="6" t="s">
        <v>15860</v>
      </c>
      <c r="AK754" s="6" t="s">
        <v>16806</v>
      </c>
      <c r="AL754" s="6" t="s">
        <v>16766</v>
      </c>
      <c r="AM754" s="6" t="s">
        <v>17493</v>
      </c>
      <c r="AN754" s="6" t="s">
        <v>104</v>
      </c>
      <c r="AO754" s="6" t="s">
        <v>104</v>
      </c>
      <c r="AP754" s="6" t="s">
        <v>104</v>
      </c>
      <c r="AQ754" s="6" t="s">
        <v>104</v>
      </c>
      <c r="AR754" s="6" t="s">
        <v>104</v>
      </c>
      <c r="AS754" s="6" t="s">
        <v>104</v>
      </c>
      <c r="AT754" s="6" t="s">
        <v>104</v>
      </c>
      <c r="AU754" s="6" t="s">
        <v>104</v>
      </c>
      <c r="AV754" s="6" t="s">
        <v>104</v>
      </c>
      <c r="AW754" s="6" t="s">
        <v>104</v>
      </c>
      <c r="AX754" s="6" t="s">
        <v>20709</v>
      </c>
      <c r="AY754" s="6" t="s">
        <v>22478</v>
      </c>
      <c r="AZ754" s="6" t="s">
        <v>104</v>
      </c>
      <c r="BA754" s="6" t="s">
        <v>24374</v>
      </c>
      <c r="BB754" s="6" t="s">
        <v>104</v>
      </c>
      <c r="BC754" s="26"/>
      <c r="BD754" s="26"/>
      <c r="BE754" s="26"/>
      <c r="BF754" s="26"/>
      <c r="BG754" s="26"/>
      <c r="BH754" s="26"/>
      <c r="BI754" s="26"/>
      <c r="BJ754" s="26"/>
      <c r="BK754" s="26"/>
      <c r="BL754" s="26"/>
      <c r="BM754" s="26"/>
      <c r="BN754" s="26"/>
      <c r="BO754" s="26"/>
      <c r="BP754" s="16" t="n">
        <v>45673</v>
      </c>
      <c r="BQ754" s="28" t="str">
        <f>HYPERLINK("https://organic.ams.usda.gov/Integrity/Certificate.aspx?cid=17&amp;nopid=4080200622")</f>
        <v>https://organic.ams.usda.gov/Integrity/Certificate.aspx?cid=17&amp;nopid=4080200622</v>
      </c>
    </row>
    <row r="755">
      <c r="A755" t="s">
        <v>3</v>
      </c>
      <c r="B755" s="6" t="s">
        <v>6</v>
      </c>
      <c r="C755" s="6" t="s">
        <v>72</v>
      </c>
      <c r="D755" s="6" t="s">
        <v>137</v>
      </c>
      <c r="E755" s="10" t="s">
        <v>953</v>
      </c>
      <c r="F755" s="6" t="s">
        <v>3203</v>
      </c>
      <c r="G755" s="6" t="s">
        <v>104</v>
      </c>
      <c r="H755" s="6" t="s">
        <v>5580</v>
      </c>
      <c r="I755" s="6" t="s">
        <v>7202</v>
      </c>
      <c r="J755" s="6" t="s">
        <v>8705</v>
      </c>
      <c r="K755" s="6" t="s">
        <v>9714</v>
      </c>
      <c r="L755" s="16" t="n">
        <v>43657</v>
      </c>
      <c r="M755" s="16" t="n">
        <v>45764</v>
      </c>
      <c r="N755" s="6" t="s">
        <v>104</v>
      </c>
      <c r="O755" s="21" t="s">
        <v>104</v>
      </c>
      <c r="P755" s="6" t="s">
        <v>104</v>
      </c>
      <c r="Q755" s="6" t="s">
        <v>104</v>
      </c>
      <c r="R755" s="6" t="s">
        <v>104</v>
      </c>
      <c r="S755" s="6" t="s">
        <v>104</v>
      </c>
      <c r="T755" s="21" t="s">
        <v>104</v>
      </c>
      <c r="U755" s="6" t="s">
        <v>104</v>
      </c>
      <c r="V755" s="6" t="s">
        <v>104</v>
      </c>
      <c r="W755" s="6" t="s">
        <v>104</v>
      </c>
      <c r="X755" s="6" t="s">
        <v>104</v>
      </c>
      <c r="Y755" s="21" t="s">
        <v>104</v>
      </c>
      <c r="Z755" s="6" t="s">
        <v>104</v>
      </c>
      <c r="AA755" s="6" t="s">
        <v>104</v>
      </c>
      <c r="AB755" s="6" t="s">
        <v>104</v>
      </c>
      <c r="AC755" s="6" t="s">
        <v>9714</v>
      </c>
      <c r="AD755" s="16" t="n">
        <v>43657</v>
      </c>
      <c r="AE755" s="6" t="s">
        <v>11197</v>
      </c>
      <c r="AF755" s="6" t="s">
        <v>104</v>
      </c>
      <c r="AG755" s="6" t="s">
        <v>12726</v>
      </c>
      <c r="AH755" s="6" t="s">
        <v>13841</v>
      </c>
      <c r="AI755" s="6" t="s">
        <v>104</v>
      </c>
      <c r="AJ755" s="6" t="s">
        <v>15861</v>
      </c>
      <c r="AK755" s="6" t="s">
        <v>16741</v>
      </c>
      <c r="AL755" s="6" t="s">
        <v>16766</v>
      </c>
      <c r="AM755" s="6" t="s">
        <v>104</v>
      </c>
      <c r="AN755" s="6" t="s">
        <v>104</v>
      </c>
      <c r="AO755" s="6" t="s">
        <v>104</v>
      </c>
      <c r="AP755" s="6" t="s">
        <v>104</v>
      </c>
      <c r="AQ755" s="6" t="s">
        <v>104</v>
      </c>
      <c r="AR755" s="6" t="s">
        <v>104</v>
      </c>
      <c r="AS755" s="6" t="s">
        <v>104</v>
      </c>
      <c r="AT755" s="6" t="s">
        <v>104</v>
      </c>
      <c r="AU755" s="6" t="s">
        <v>104</v>
      </c>
      <c r="AV755" s="6" t="s">
        <v>104</v>
      </c>
      <c r="AW755" s="6" t="s">
        <v>104</v>
      </c>
      <c r="AX755" s="6" t="s">
        <v>104</v>
      </c>
      <c r="AY755" s="6" t="s">
        <v>22297</v>
      </c>
      <c r="AZ755" s="6" t="s">
        <v>104</v>
      </c>
      <c r="BA755" s="6" t="s">
        <v>24258</v>
      </c>
      <c r="BB755" s="6" t="s">
        <v>104</v>
      </c>
      <c r="BC755" s="26"/>
      <c r="BD755" s="26"/>
      <c r="BE755" s="26"/>
      <c r="BF755" s="26"/>
      <c r="BG755" s="26"/>
      <c r="BH755" s="26"/>
      <c r="BI755" s="26"/>
      <c r="BJ755" s="26"/>
      <c r="BK755" s="26"/>
      <c r="BL755" s="26"/>
      <c r="BM755" s="26"/>
      <c r="BN755" s="26"/>
      <c r="BO755" s="26"/>
      <c r="BP755" s="16" t="n">
        <v>45737</v>
      </c>
      <c r="BQ755" s="28" t="str">
        <f>HYPERLINK("https://organic.ams.usda.gov/Integrity/Certificate.aspx?cid=32&amp;nopid=2230006876")</f>
        <v>https://organic.ams.usda.gov/Integrity/Certificate.aspx?cid=32&amp;nopid=2230006876</v>
      </c>
    </row>
    <row r="756">
      <c r="A756" t="s">
        <v>3</v>
      </c>
      <c r="B756" s="6" t="s">
        <v>21</v>
      </c>
      <c r="C756" s="6" t="s">
        <v>87</v>
      </c>
      <c r="D756" s="6" t="s">
        <v>152</v>
      </c>
      <c r="E756" s="10" t="s">
        <v>954</v>
      </c>
      <c r="F756" s="6" t="s">
        <v>3204</v>
      </c>
      <c r="G756" s="6" t="s">
        <v>4748</v>
      </c>
      <c r="H756" s="6" t="s">
        <v>5581</v>
      </c>
      <c r="I756" s="6" t="s">
        <v>7151</v>
      </c>
      <c r="J756" s="6" t="s">
        <v>8706</v>
      </c>
      <c r="K756" s="6" t="s">
        <v>9714</v>
      </c>
      <c r="L756" s="16" t="n">
        <v>31107</v>
      </c>
      <c r="M756" s="16" t="n">
        <v>46023</v>
      </c>
      <c r="N756" s="6" t="s">
        <v>9714</v>
      </c>
      <c r="O756" s="16" t="n">
        <v>31107</v>
      </c>
      <c r="P756" s="6" t="s">
        <v>9928</v>
      </c>
      <c r="Q756" s="6" t="s">
        <v>104</v>
      </c>
      <c r="R756" s="6" t="s">
        <v>104</v>
      </c>
      <c r="S756" s="6" t="s">
        <v>9714</v>
      </c>
      <c r="T756" s="16" t="n">
        <v>39036</v>
      </c>
      <c r="U756" s="6" t="s">
        <v>10483</v>
      </c>
      <c r="V756" s="6" t="s">
        <v>104</v>
      </c>
      <c r="W756" s="6" t="s">
        <v>104</v>
      </c>
      <c r="X756" s="6" t="s">
        <v>104</v>
      </c>
      <c r="Y756" s="21" t="s">
        <v>104</v>
      </c>
      <c r="Z756" s="6" t="s">
        <v>104</v>
      </c>
      <c r="AA756" s="6" t="s">
        <v>104</v>
      </c>
      <c r="AB756" s="6" t="s">
        <v>104</v>
      </c>
      <c r="AC756" s="6" t="s">
        <v>9714</v>
      </c>
      <c r="AD756" s="16" t="n">
        <v>38224</v>
      </c>
      <c r="AE756" s="6" t="s">
        <v>11198</v>
      </c>
      <c r="AF756" s="6" t="s">
        <v>104</v>
      </c>
      <c r="AG756" s="6" t="s">
        <v>104</v>
      </c>
      <c r="AH756" s="6" t="s">
        <v>13842</v>
      </c>
      <c r="AI756" s="6" t="s">
        <v>104</v>
      </c>
      <c r="AJ756" s="6" t="s">
        <v>15862</v>
      </c>
      <c r="AK756" s="6" t="s">
        <v>16687</v>
      </c>
      <c r="AL756" s="6" t="s">
        <v>16931</v>
      </c>
      <c r="AM756" s="6" t="s">
        <v>17494</v>
      </c>
      <c r="AN756" s="6" t="s">
        <v>5771</v>
      </c>
      <c r="AO756" s="6" t="s">
        <v>18563</v>
      </c>
      <c r="AP756" s="6" t="s">
        <v>19139</v>
      </c>
      <c r="AQ756" s="6" t="s">
        <v>104</v>
      </c>
      <c r="AR756" s="6" t="s">
        <v>15862</v>
      </c>
      <c r="AS756" s="6" t="s">
        <v>16687</v>
      </c>
      <c r="AT756" s="6" t="s">
        <v>16931</v>
      </c>
      <c r="AU756" s="6" t="s">
        <v>17494</v>
      </c>
      <c r="AV756" s="6" t="s">
        <v>104</v>
      </c>
      <c r="AW756" s="6" t="s">
        <v>104</v>
      </c>
      <c r="AX756" s="6" t="s">
        <v>20710</v>
      </c>
      <c r="AY756" s="6" t="s">
        <v>22479</v>
      </c>
      <c r="AZ756" s="6" t="s">
        <v>23887</v>
      </c>
      <c r="BA756" s="6" t="s">
        <v>24375</v>
      </c>
      <c r="BB756" s="24" t="n">
        <v>550</v>
      </c>
      <c r="BC756" s="26"/>
      <c r="BD756" s="26" t="s">
        <v>24533</v>
      </c>
      <c r="BE756" s="26"/>
      <c r="BF756" s="26"/>
      <c r="BG756" s="26"/>
      <c r="BH756" s="26"/>
      <c r="BI756" s="26"/>
      <c r="BJ756" s="26"/>
      <c r="BK756" s="26" t="s">
        <v>24533</v>
      </c>
      <c r="BL756" s="26"/>
      <c r="BM756" s="26"/>
      <c r="BN756" s="26"/>
      <c r="BO756" s="26"/>
      <c r="BP756" s="16" t="n">
        <v>45737</v>
      </c>
      <c r="BQ756" s="28" t="str">
        <f>HYPERLINK("https://organic.ams.usda.gov/Integrity/Certificate.aspx?cid=15&amp;nopid=5561003058")</f>
        <v>https://organic.ams.usda.gov/Integrity/Certificate.aspx?cid=15&amp;nopid=5561003058</v>
      </c>
    </row>
    <row r="757">
      <c r="A757" t="s">
        <v>3</v>
      </c>
      <c r="B757" s="6" t="s">
        <v>54</v>
      </c>
      <c r="C757" s="6" t="s">
        <v>120</v>
      </c>
      <c r="D757" s="6" t="s">
        <v>184</v>
      </c>
      <c r="E757" s="10" t="s">
        <v>955</v>
      </c>
      <c r="F757" s="6" t="s">
        <v>3205</v>
      </c>
      <c r="G757" s="6" t="s">
        <v>104</v>
      </c>
      <c r="H757" s="6" t="s">
        <v>5582</v>
      </c>
      <c r="I757" s="6" t="s">
        <v>7421</v>
      </c>
      <c r="J757" s="6" t="s">
        <v>8504</v>
      </c>
      <c r="K757" s="6" t="s">
        <v>9714</v>
      </c>
      <c r="L757" s="16" t="n">
        <v>45629</v>
      </c>
      <c r="M757" s="16" t="n">
        <v>45717</v>
      </c>
      <c r="N757" s="6" t="s">
        <v>9714</v>
      </c>
      <c r="O757" s="16" t="n">
        <v>45629</v>
      </c>
      <c r="P757" s="6" t="s">
        <v>9929</v>
      </c>
      <c r="Q757" s="6" t="s">
        <v>104</v>
      </c>
      <c r="R757" s="6" t="s">
        <v>104</v>
      </c>
      <c r="S757" s="6" t="s">
        <v>104</v>
      </c>
      <c r="T757" s="21" t="s">
        <v>104</v>
      </c>
      <c r="U757" s="6" t="s">
        <v>104</v>
      </c>
      <c r="V757" s="6" t="s">
        <v>104</v>
      </c>
      <c r="W757" s="6" t="s">
        <v>104</v>
      </c>
      <c r="X757" s="6" t="s">
        <v>104</v>
      </c>
      <c r="Y757" s="21" t="s">
        <v>104</v>
      </c>
      <c r="Z757" s="6" t="s">
        <v>104</v>
      </c>
      <c r="AA757" s="6" t="s">
        <v>104</v>
      </c>
      <c r="AB757" s="6" t="s">
        <v>104</v>
      </c>
      <c r="AC757" s="6" t="s">
        <v>104</v>
      </c>
      <c r="AD757" s="21" t="s">
        <v>104</v>
      </c>
      <c r="AE757" s="6" t="s">
        <v>104</v>
      </c>
      <c r="AF757" s="6" t="s">
        <v>104</v>
      </c>
      <c r="AG757" s="6" t="s">
        <v>104</v>
      </c>
      <c r="AH757" s="6" t="s">
        <v>13843</v>
      </c>
      <c r="AI757" s="6" t="s">
        <v>104</v>
      </c>
      <c r="AJ757" s="6" t="s">
        <v>15692</v>
      </c>
      <c r="AK757" s="6" t="s">
        <v>16704</v>
      </c>
      <c r="AL757" s="6" t="s">
        <v>16931</v>
      </c>
      <c r="AM757" s="6" t="s">
        <v>17311</v>
      </c>
      <c r="AN757" s="6" t="s">
        <v>104</v>
      </c>
      <c r="AO757" s="6" t="s">
        <v>104</v>
      </c>
      <c r="AP757" s="6" t="s">
        <v>19140</v>
      </c>
      <c r="AQ757" s="6" t="s">
        <v>104</v>
      </c>
      <c r="AR757" s="6" t="s">
        <v>19661</v>
      </c>
      <c r="AS757" s="6" t="s">
        <v>16730</v>
      </c>
      <c r="AT757" s="6" t="s">
        <v>16931</v>
      </c>
      <c r="AU757" s="6" t="s">
        <v>19890</v>
      </c>
      <c r="AV757" s="6" t="s">
        <v>104</v>
      </c>
      <c r="AW757" s="6" t="s">
        <v>104</v>
      </c>
      <c r="AX757" s="6" t="s">
        <v>104</v>
      </c>
      <c r="AY757" s="6" t="s">
        <v>22480</v>
      </c>
      <c r="AZ757" s="6" t="s">
        <v>104</v>
      </c>
      <c r="BA757" s="6" t="s">
        <v>24267</v>
      </c>
      <c r="BB757" s="24" t="n">
        <v>139</v>
      </c>
      <c r="BC757" s="26"/>
      <c r="BD757" s="26"/>
      <c r="BE757" s="26"/>
      <c r="BF757" s="26"/>
      <c r="BG757" s="26"/>
      <c r="BH757" s="26"/>
      <c r="BI757" s="26"/>
      <c r="BJ757" s="26"/>
      <c r="BK757" s="26"/>
      <c r="BL757" s="26"/>
      <c r="BM757" s="26"/>
      <c r="BN757" s="26"/>
      <c r="BO757" s="26"/>
      <c r="BP757" s="16" t="n">
        <v>45630</v>
      </c>
      <c r="BQ757" s="28" t="str">
        <f>HYPERLINK("https://organic.ams.usda.gov/Integrity/Certificate.aspx?cid=60&amp;nopid=2580006817")</f>
        <v>https://organic.ams.usda.gov/Integrity/Certificate.aspx?cid=60&amp;nopid=2580006817</v>
      </c>
    </row>
    <row r="758">
      <c r="A758" t="s">
        <v>3</v>
      </c>
      <c r="B758" s="6" t="s">
        <v>45</v>
      </c>
      <c r="C758" s="6" t="s">
        <v>111</v>
      </c>
      <c r="D758" s="6" t="s">
        <v>175</v>
      </c>
      <c r="E758" s="10" t="s">
        <v>956</v>
      </c>
      <c r="F758" s="6" t="s">
        <v>3206</v>
      </c>
      <c r="G758" s="6" t="s">
        <v>104</v>
      </c>
      <c r="H758" s="6" t="s">
        <v>5583</v>
      </c>
      <c r="I758" s="6" t="s">
        <v>7422</v>
      </c>
      <c r="J758" s="6" t="s">
        <v>8707</v>
      </c>
      <c r="K758" s="6" t="s">
        <v>9714</v>
      </c>
      <c r="L758" s="16" t="n">
        <v>37375</v>
      </c>
      <c r="M758" s="16" t="n">
        <v>46082</v>
      </c>
      <c r="N758" s="6" t="s">
        <v>9714</v>
      </c>
      <c r="O758" s="16" t="n">
        <v>37375</v>
      </c>
      <c r="P758" s="6" t="s">
        <v>9930</v>
      </c>
      <c r="Q758" s="6" t="s">
        <v>104</v>
      </c>
      <c r="R758" s="6" t="s">
        <v>4667</v>
      </c>
      <c r="S758" s="6" t="s">
        <v>104</v>
      </c>
      <c r="T758" s="21" t="s">
        <v>104</v>
      </c>
      <c r="U758" s="6" t="s">
        <v>104</v>
      </c>
      <c r="V758" s="6" t="s">
        <v>104</v>
      </c>
      <c r="W758" s="6" t="s">
        <v>104</v>
      </c>
      <c r="X758" s="6" t="s">
        <v>104</v>
      </c>
      <c r="Y758" s="21" t="s">
        <v>104</v>
      </c>
      <c r="Z758" s="6" t="s">
        <v>104</v>
      </c>
      <c r="AA758" s="6" t="s">
        <v>104</v>
      </c>
      <c r="AB758" s="6" t="s">
        <v>104</v>
      </c>
      <c r="AC758" s="6" t="s">
        <v>9714</v>
      </c>
      <c r="AD758" s="16" t="n">
        <v>37375</v>
      </c>
      <c r="AE758" s="6" t="s">
        <v>11199</v>
      </c>
      <c r="AF758" s="6" t="s">
        <v>104</v>
      </c>
      <c r="AG758" s="6" t="s">
        <v>4667</v>
      </c>
      <c r="AH758" s="6" t="s">
        <v>13844</v>
      </c>
      <c r="AI758" s="6" t="s">
        <v>104</v>
      </c>
      <c r="AJ758" s="6" t="s">
        <v>15863</v>
      </c>
      <c r="AK758" s="6" t="s">
        <v>16382</v>
      </c>
      <c r="AL758" s="6" t="s">
        <v>16931</v>
      </c>
      <c r="AM758" s="6" t="s">
        <v>17495</v>
      </c>
      <c r="AN758" s="6" t="s">
        <v>104</v>
      </c>
      <c r="AO758" s="6" t="s">
        <v>104</v>
      </c>
      <c r="AP758" s="6" t="s">
        <v>19141</v>
      </c>
      <c r="AQ758" s="6" t="s">
        <v>104</v>
      </c>
      <c r="AR758" s="6" t="s">
        <v>19662</v>
      </c>
      <c r="AS758" s="6" t="s">
        <v>16382</v>
      </c>
      <c r="AT758" s="6" t="s">
        <v>16931</v>
      </c>
      <c r="AU758" s="6" t="s">
        <v>19891</v>
      </c>
      <c r="AV758" s="6" t="s">
        <v>18502</v>
      </c>
      <c r="AW758" s="6" t="s">
        <v>20088</v>
      </c>
      <c r="AX758" s="6" t="s">
        <v>20711</v>
      </c>
      <c r="AY758" s="6" t="s">
        <v>22481</v>
      </c>
      <c r="AZ758" s="6" t="s">
        <v>23888</v>
      </c>
      <c r="BA758" s="6" t="s">
        <v>104</v>
      </c>
      <c r="BB758" s="24" t="n">
        <v>0</v>
      </c>
      <c r="BC758" s="26"/>
      <c r="BD758" s="26"/>
      <c r="BE758" s="26"/>
      <c r="BF758" s="26"/>
      <c r="BG758" s="26"/>
      <c r="BH758" s="26"/>
      <c r="BI758" s="26"/>
      <c r="BJ758" s="26"/>
      <c r="BK758" s="26"/>
      <c r="BL758" s="26"/>
      <c r="BM758" s="26"/>
      <c r="BN758" s="26"/>
      <c r="BO758" s="26"/>
      <c r="BP758" s="16" t="n">
        <v>45739</v>
      </c>
      <c r="BQ758" s="28" t="str">
        <f>HYPERLINK("https://organic.ams.usda.gov/Integrity/Certificate.aspx?cid=82&amp;nopid=2780000419")</f>
        <v>https://organic.ams.usda.gov/Integrity/Certificate.aspx?cid=82&amp;nopid=2780000419</v>
      </c>
    </row>
    <row r="759">
      <c r="A759" t="s">
        <v>3</v>
      </c>
      <c r="B759" s="6" t="s">
        <v>22</v>
      </c>
      <c r="C759" s="6" t="s">
        <v>88</v>
      </c>
      <c r="D759" s="6" t="s">
        <v>153</v>
      </c>
      <c r="E759" s="10" t="s">
        <v>957</v>
      </c>
      <c r="F759" s="6" t="s">
        <v>3207</v>
      </c>
      <c r="G759" s="6" t="s">
        <v>104</v>
      </c>
      <c r="H759" s="6" t="s">
        <v>5584</v>
      </c>
      <c r="I759" s="6" t="s">
        <v>7423</v>
      </c>
      <c r="J759" s="6" t="s">
        <v>8708</v>
      </c>
      <c r="K759" s="6" t="s">
        <v>9714</v>
      </c>
      <c r="L759" s="16" t="n">
        <v>44823</v>
      </c>
      <c r="M759" s="16" t="n">
        <v>45839</v>
      </c>
      <c r="N759" s="6" t="s">
        <v>104</v>
      </c>
      <c r="O759" s="21" t="s">
        <v>104</v>
      </c>
      <c r="P759" s="6" t="s">
        <v>104</v>
      </c>
      <c r="Q759" s="6" t="s">
        <v>104</v>
      </c>
      <c r="R759" s="6" t="s">
        <v>104</v>
      </c>
      <c r="S759" s="6" t="s">
        <v>104</v>
      </c>
      <c r="T759" s="21" t="s">
        <v>104</v>
      </c>
      <c r="U759" s="6" t="s">
        <v>104</v>
      </c>
      <c r="V759" s="6" t="s">
        <v>104</v>
      </c>
      <c r="W759" s="6" t="s">
        <v>104</v>
      </c>
      <c r="X759" s="6" t="s">
        <v>104</v>
      </c>
      <c r="Y759" s="21" t="s">
        <v>104</v>
      </c>
      <c r="Z759" s="6" t="s">
        <v>104</v>
      </c>
      <c r="AA759" s="6" t="s">
        <v>104</v>
      </c>
      <c r="AB759" s="6" t="s">
        <v>104</v>
      </c>
      <c r="AC759" s="6" t="s">
        <v>9714</v>
      </c>
      <c r="AD759" s="16" t="n">
        <v>44823</v>
      </c>
      <c r="AE759" s="6" t="s">
        <v>11200</v>
      </c>
      <c r="AF759" s="6" t="s">
        <v>104</v>
      </c>
      <c r="AG759" s="6" t="s">
        <v>12727</v>
      </c>
      <c r="AH759" s="6" t="s">
        <v>13845</v>
      </c>
      <c r="AI759" s="6" t="s">
        <v>104</v>
      </c>
      <c r="AJ759" s="6" t="s">
        <v>15864</v>
      </c>
      <c r="AK759" s="6" t="s">
        <v>16370</v>
      </c>
      <c r="AL759" s="6" t="s">
        <v>16931</v>
      </c>
      <c r="AM759" s="6" t="s">
        <v>17496</v>
      </c>
      <c r="AN759" s="6" t="s">
        <v>18523</v>
      </c>
      <c r="AO759" s="6" t="s">
        <v>18729</v>
      </c>
      <c r="AP759" s="6" t="s">
        <v>13845</v>
      </c>
      <c r="AQ759" s="6" t="s">
        <v>104</v>
      </c>
      <c r="AR759" s="6" t="s">
        <v>15864</v>
      </c>
      <c r="AS759" s="6" t="s">
        <v>16370</v>
      </c>
      <c r="AT759" s="6" t="s">
        <v>16931</v>
      </c>
      <c r="AU759" s="6" t="s">
        <v>17496</v>
      </c>
      <c r="AV759" s="6" t="s">
        <v>104</v>
      </c>
      <c r="AW759" s="6" t="s">
        <v>104</v>
      </c>
      <c r="AX759" s="6" t="s">
        <v>20712</v>
      </c>
      <c r="AY759" s="6" t="s">
        <v>22482</v>
      </c>
      <c r="AZ759" s="6" t="s">
        <v>104</v>
      </c>
      <c r="BA759" s="6" t="s">
        <v>104</v>
      </c>
      <c r="BB759" s="6" t="s">
        <v>104</v>
      </c>
      <c r="BC759" s="26"/>
      <c r="BD759" s="26"/>
      <c r="BE759" s="26"/>
      <c r="BF759" s="26"/>
      <c r="BG759" s="26"/>
      <c r="BH759" s="26"/>
      <c r="BI759" s="26"/>
      <c r="BJ759" s="26"/>
      <c r="BK759" s="26"/>
      <c r="BL759" s="26"/>
      <c r="BM759" s="26"/>
      <c r="BN759" s="26"/>
      <c r="BO759" s="26"/>
      <c r="BP759" s="16" t="n">
        <v>45730</v>
      </c>
      <c r="BQ759" s="28" t="str">
        <f>HYPERLINK("https://organic.ams.usda.gov/Integrity/Certificate.aspx?cid=72&amp;nopid=5870106434")</f>
        <v>https://organic.ams.usda.gov/Integrity/Certificate.aspx?cid=72&amp;nopid=5870106434</v>
      </c>
    </row>
    <row r="760">
      <c r="A760" t="s">
        <v>3</v>
      </c>
      <c r="B760" s="6" t="s">
        <v>27</v>
      </c>
      <c r="C760" s="6" t="s">
        <v>93</v>
      </c>
      <c r="D760" s="6" t="s">
        <v>158</v>
      </c>
      <c r="E760" s="10" t="s">
        <v>958</v>
      </c>
      <c r="F760" s="6" t="s">
        <v>3208</v>
      </c>
      <c r="G760" s="6" t="s">
        <v>104</v>
      </c>
      <c r="H760" s="6" t="s">
        <v>5585</v>
      </c>
      <c r="I760" s="6" t="s">
        <v>7424</v>
      </c>
      <c r="J760" s="6" t="s">
        <v>8709</v>
      </c>
      <c r="K760" s="6" t="s">
        <v>9714</v>
      </c>
      <c r="L760" s="16" t="n">
        <v>45231</v>
      </c>
      <c r="M760" s="16" t="n">
        <v>45504</v>
      </c>
      <c r="N760" s="6" t="s">
        <v>104</v>
      </c>
      <c r="O760" s="21" t="s">
        <v>104</v>
      </c>
      <c r="P760" s="6" t="s">
        <v>104</v>
      </c>
      <c r="Q760" s="6" t="s">
        <v>104</v>
      </c>
      <c r="R760" s="6" t="s">
        <v>104</v>
      </c>
      <c r="S760" s="6" t="s">
        <v>104</v>
      </c>
      <c r="T760" s="21" t="s">
        <v>104</v>
      </c>
      <c r="U760" s="6" t="s">
        <v>104</v>
      </c>
      <c r="V760" s="6" t="s">
        <v>104</v>
      </c>
      <c r="W760" s="6" t="s">
        <v>104</v>
      </c>
      <c r="X760" s="6" t="s">
        <v>104</v>
      </c>
      <c r="Y760" s="21" t="s">
        <v>104</v>
      </c>
      <c r="Z760" s="6" t="s">
        <v>104</v>
      </c>
      <c r="AA760" s="6" t="s">
        <v>104</v>
      </c>
      <c r="AB760" s="6" t="s">
        <v>104</v>
      </c>
      <c r="AC760" s="6" t="s">
        <v>9714</v>
      </c>
      <c r="AD760" s="16" t="n">
        <v>45231</v>
      </c>
      <c r="AE760" s="6" t="s">
        <v>11201</v>
      </c>
      <c r="AF760" s="6" t="s">
        <v>104</v>
      </c>
      <c r="AG760" s="6" t="s">
        <v>12728</v>
      </c>
      <c r="AH760" s="6" t="s">
        <v>104</v>
      </c>
      <c r="AI760" s="6" t="s">
        <v>104</v>
      </c>
      <c r="AJ760" s="6" t="s">
        <v>104</v>
      </c>
      <c r="AK760" s="6" t="s">
        <v>104</v>
      </c>
      <c r="AL760" s="6" t="s">
        <v>104</v>
      </c>
      <c r="AM760" s="6" t="s">
        <v>104</v>
      </c>
      <c r="AN760" s="6" t="s">
        <v>104</v>
      </c>
      <c r="AO760" s="6" t="s">
        <v>104</v>
      </c>
      <c r="AP760" s="6" t="s">
        <v>19142</v>
      </c>
      <c r="AQ760" s="6" t="s">
        <v>104</v>
      </c>
      <c r="AR760" s="6" t="s">
        <v>19663</v>
      </c>
      <c r="AS760" s="6" t="s">
        <v>15769</v>
      </c>
      <c r="AT760" s="6" t="s">
        <v>16932</v>
      </c>
      <c r="AU760" s="6" t="s">
        <v>18184</v>
      </c>
      <c r="AV760" s="6" t="s">
        <v>104</v>
      </c>
      <c r="AW760" s="6" t="s">
        <v>104</v>
      </c>
      <c r="AX760" s="6" t="s">
        <v>20713</v>
      </c>
      <c r="AY760" s="6" t="s">
        <v>22483</v>
      </c>
      <c r="AZ760" s="6" t="s">
        <v>104</v>
      </c>
      <c r="BA760" s="6" t="s">
        <v>24355</v>
      </c>
      <c r="BB760" s="6" t="s">
        <v>104</v>
      </c>
      <c r="BC760" s="26"/>
      <c r="BD760" s="26"/>
      <c r="BE760" s="26"/>
      <c r="BF760" s="26"/>
      <c r="BG760" s="26"/>
      <c r="BH760" s="26"/>
      <c r="BI760" s="26"/>
      <c r="BJ760" s="26"/>
      <c r="BK760" s="26"/>
      <c r="BL760" s="26"/>
      <c r="BM760" s="26"/>
      <c r="BN760" s="26"/>
      <c r="BO760" s="26"/>
      <c r="BP760" s="16" t="n">
        <v>45503</v>
      </c>
      <c r="BQ760" s="28" t="str">
        <f>HYPERLINK("https://organic.ams.usda.gov/Integrity/Certificate.aspx?cid=93&amp;nopid=6363418911")</f>
        <v>https://organic.ams.usda.gov/Integrity/Certificate.aspx?cid=93&amp;nopid=6363418911</v>
      </c>
    </row>
    <row r="761">
      <c r="A761" t="s">
        <v>3</v>
      </c>
      <c r="B761" s="6" t="s">
        <v>11</v>
      </c>
      <c r="C761" s="6" t="s">
        <v>77</v>
      </c>
      <c r="D761" s="6" t="s">
        <v>142</v>
      </c>
      <c r="E761" s="10" t="s">
        <v>959</v>
      </c>
      <c r="F761" s="6" t="s">
        <v>3209</v>
      </c>
      <c r="G761" s="6" t="s">
        <v>104</v>
      </c>
      <c r="H761" s="6" t="s">
        <v>104</v>
      </c>
      <c r="I761" s="6" t="s">
        <v>7425</v>
      </c>
      <c r="J761" s="6" t="s">
        <v>8710</v>
      </c>
      <c r="K761" s="6" t="s">
        <v>9714</v>
      </c>
      <c r="L761" s="16" t="n">
        <v>39969</v>
      </c>
      <c r="M761" s="16" t="n">
        <v>46068</v>
      </c>
      <c r="N761" s="6" t="s">
        <v>9714</v>
      </c>
      <c r="O761" s="16" t="n">
        <v>39969</v>
      </c>
      <c r="P761" s="6" t="s">
        <v>9931</v>
      </c>
      <c r="Q761" s="6" t="s">
        <v>104</v>
      </c>
      <c r="R761" s="6" t="s">
        <v>104</v>
      </c>
      <c r="S761" s="6" t="s">
        <v>104</v>
      </c>
      <c r="T761" s="21" t="s">
        <v>104</v>
      </c>
      <c r="U761" s="6" t="s">
        <v>104</v>
      </c>
      <c r="V761" s="6" t="s">
        <v>104</v>
      </c>
      <c r="W761" s="6" t="s">
        <v>104</v>
      </c>
      <c r="X761" s="6" t="s">
        <v>104</v>
      </c>
      <c r="Y761" s="21" t="s">
        <v>104</v>
      </c>
      <c r="Z761" s="6" t="s">
        <v>104</v>
      </c>
      <c r="AA761" s="6" t="s">
        <v>104</v>
      </c>
      <c r="AB761" s="6" t="s">
        <v>104</v>
      </c>
      <c r="AC761" s="6" t="s">
        <v>9714</v>
      </c>
      <c r="AD761" s="16" t="n">
        <v>39969</v>
      </c>
      <c r="AE761" s="6" t="s">
        <v>11202</v>
      </c>
      <c r="AF761" s="6" t="s">
        <v>104</v>
      </c>
      <c r="AG761" s="6" t="s">
        <v>104</v>
      </c>
      <c r="AH761" s="6" t="s">
        <v>13846</v>
      </c>
      <c r="AI761" s="6" t="s">
        <v>104</v>
      </c>
      <c r="AJ761" s="6" t="s">
        <v>104</v>
      </c>
      <c r="AK761" s="6" t="s">
        <v>104</v>
      </c>
      <c r="AL761" s="6" t="s">
        <v>16940</v>
      </c>
      <c r="AM761" s="6" t="s">
        <v>104</v>
      </c>
      <c r="AN761" s="6" t="s">
        <v>104</v>
      </c>
      <c r="AO761" s="6" t="s">
        <v>104</v>
      </c>
      <c r="AP761" s="6" t="s">
        <v>104</v>
      </c>
      <c r="AQ761" s="6" t="s">
        <v>104</v>
      </c>
      <c r="AR761" s="6" t="s">
        <v>104</v>
      </c>
      <c r="AS761" s="6" t="s">
        <v>104</v>
      </c>
      <c r="AT761" s="6" t="s">
        <v>104</v>
      </c>
      <c r="AU761" s="6" t="s">
        <v>104</v>
      </c>
      <c r="AV761" s="6" t="s">
        <v>104</v>
      </c>
      <c r="AW761" s="6" t="s">
        <v>104</v>
      </c>
      <c r="AX761" s="6" t="s">
        <v>20714</v>
      </c>
      <c r="AY761" s="6" t="s">
        <v>22484</v>
      </c>
      <c r="AZ761" s="6" t="s">
        <v>104</v>
      </c>
      <c r="BA761" s="6" t="s">
        <v>24376</v>
      </c>
      <c r="BB761" s="24" t="n">
        <v>1054</v>
      </c>
      <c r="BC761" s="26"/>
      <c r="BD761" s="26"/>
      <c r="BE761" s="26"/>
      <c r="BF761" s="26"/>
      <c r="BG761" s="26"/>
      <c r="BH761" s="26"/>
      <c r="BI761" s="26"/>
      <c r="BJ761" s="26"/>
      <c r="BK761" s="26"/>
      <c r="BL761" s="26"/>
      <c r="BM761" s="26"/>
      <c r="BN761" s="26"/>
      <c r="BO761" s="26"/>
      <c r="BP761" s="16" t="n">
        <v>45730</v>
      </c>
      <c r="BQ761" s="28" t="str">
        <f>HYPERLINK("https://organic.ams.usda.gov/Integrity/Certificate.aspx?cid=21&amp;nopid=1780812113")</f>
        <v>https://organic.ams.usda.gov/Integrity/Certificate.aspx?cid=21&amp;nopid=1780812113</v>
      </c>
    </row>
    <row r="762">
      <c r="A762" t="s">
        <v>3</v>
      </c>
      <c r="B762" s="6" t="s">
        <v>25</v>
      </c>
      <c r="C762" s="6" t="s">
        <v>91</v>
      </c>
      <c r="D762" s="6" t="s">
        <v>156</v>
      </c>
      <c r="E762" s="10" t="s">
        <v>960</v>
      </c>
      <c r="F762" s="6" t="s">
        <v>3210</v>
      </c>
      <c r="G762" s="6" t="s">
        <v>4749</v>
      </c>
      <c r="H762" s="6" t="s">
        <v>5586</v>
      </c>
      <c r="I762" s="6" t="s">
        <v>6939</v>
      </c>
      <c r="J762" s="6" t="s">
        <v>8151</v>
      </c>
      <c r="K762" s="6" t="s">
        <v>9714</v>
      </c>
      <c r="L762" s="16" t="n">
        <v>45611</v>
      </c>
      <c r="M762" s="16" t="n">
        <v>45752</v>
      </c>
      <c r="N762" s="6" t="s">
        <v>104</v>
      </c>
      <c r="O762" s="21" t="s">
        <v>104</v>
      </c>
      <c r="P762" s="6" t="s">
        <v>104</v>
      </c>
      <c r="Q762" s="6" t="s">
        <v>104</v>
      </c>
      <c r="R762" s="6" t="s">
        <v>104</v>
      </c>
      <c r="S762" s="6" t="s">
        <v>104</v>
      </c>
      <c r="T762" s="21" t="s">
        <v>104</v>
      </c>
      <c r="U762" s="6" t="s">
        <v>104</v>
      </c>
      <c r="V762" s="6" t="s">
        <v>104</v>
      </c>
      <c r="W762" s="6" t="s">
        <v>104</v>
      </c>
      <c r="X762" s="6" t="s">
        <v>104</v>
      </c>
      <c r="Y762" s="21" t="s">
        <v>104</v>
      </c>
      <c r="Z762" s="6" t="s">
        <v>104</v>
      </c>
      <c r="AA762" s="6" t="s">
        <v>104</v>
      </c>
      <c r="AB762" s="6" t="s">
        <v>104</v>
      </c>
      <c r="AC762" s="6" t="s">
        <v>9714</v>
      </c>
      <c r="AD762" s="16" t="n">
        <v>45611</v>
      </c>
      <c r="AE762" s="6" t="s">
        <v>11203</v>
      </c>
      <c r="AF762" s="6" t="s">
        <v>104</v>
      </c>
      <c r="AG762" s="6" t="s">
        <v>104</v>
      </c>
      <c r="AH762" s="6" t="s">
        <v>13847</v>
      </c>
      <c r="AI762" s="6" t="s">
        <v>104</v>
      </c>
      <c r="AJ762" s="6" t="s">
        <v>15865</v>
      </c>
      <c r="AK762" s="6" t="s">
        <v>15865</v>
      </c>
      <c r="AL762" s="6" t="s">
        <v>16954</v>
      </c>
      <c r="AM762" s="6" t="s">
        <v>17497</v>
      </c>
      <c r="AN762" s="6" t="s">
        <v>104</v>
      </c>
      <c r="AO762" s="6" t="s">
        <v>104</v>
      </c>
      <c r="AP762" s="6" t="s">
        <v>13849</v>
      </c>
      <c r="AQ762" s="6" t="s">
        <v>104</v>
      </c>
      <c r="AR762" s="6" t="s">
        <v>15867</v>
      </c>
      <c r="AS762" s="6" t="s">
        <v>104</v>
      </c>
      <c r="AT762" s="6" t="s">
        <v>16954</v>
      </c>
      <c r="AU762" s="6" t="s">
        <v>17497</v>
      </c>
      <c r="AV762" s="6" t="s">
        <v>104</v>
      </c>
      <c r="AW762" s="6" t="s">
        <v>104</v>
      </c>
      <c r="AX762" s="6" t="s">
        <v>20137</v>
      </c>
      <c r="AY762" s="6" t="s">
        <v>21875</v>
      </c>
      <c r="AZ762" s="6" t="s">
        <v>104</v>
      </c>
      <c r="BA762" s="6" t="s">
        <v>24264</v>
      </c>
      <c r="BB762" s="6" t="s">
        <v>104</v>
      </c>
      <c r="BC762" s="26"/>
      <c r="BD762" s="26"/>
      <c r="BE762" s="26"/>
      <c r="BF762" s="26"/>
      <c r="BG762" s="26"/>
      <c r="BH762" s="26"/>
      <c r="BI762" s="26"/>
      <c r="BJ762" s="26"/>
      <c r="BK762" s="26"/>
      <c r="BL762" s="26"/>
      <c r="BM762" s="26"/>
      <c r="BN762" s="26"/>
      <c r="BO762" s="26"/>
      <c r="BP762" s="16" t="n">
        <v>45611</v>
      </c>
      <c r="BQ762" s="28" t="str">
        <f>HYPERLINK("https://organic.ams.usda.gov/Integrity/Certificate.aspx?cid=66&amp;nopid=5500007296")</f>
        <v>https://organic.ams.usda.gov/Integrity/Certificate.aspx?cid=66&amp;nopid=5500007296</v>
      </c>
    </row>
    <row r="763">
      <c r="A763" t="s">
        <v>3</v>
      </c>
      <c r="B763" s="6" t="s">
        <v>25</v>
      </c>
      <c r="C763" s="6" t="s">
        <v>91</v>
      </c>
      <c r="D763" s="6" t="s">
        <v>156</v>
      </c>
      <c r="E763" s="10" t="s">
        <v>961</v>
      </c>
      <c r="F763" s="6" t="s">
        <v>3210</v>
      </c>
      <c r="G763" s="6" t="s">
        <v>4750</v>
      </c>
      <c r="H763" s="6" t="s">
        <v>5587</v>
      </c>
      <c r="I763" s="6" t="s">
        <v>6939</v>
      </c>
      <c r="J763" s="6" t="s">
        <v>8151</v>
      </c>
      <c r="K763" s="6" t="s">
        <v>9714</v>
      </c>
      <c r="L763" s="16" t="n">
        <v>45611</v>
      </c>
      <c r="M763" s="16" t="n">
        <v>45903</v>
      </c>
      <c r="N763" s="6" t="s">
        <v>104</v>
      </c>
      <c r="O763" s="21" t="s">
        <v>104</v>
      </c>
      <c r="P763" s="6" t="s">
        <v>104</v>
      </c>
      <c r="Q763" s="6" t="s">
        <v>104</v>
      </c>
      <c r="R763" s="6" t="s">
        <v>104</v>
      </c>
      <c r="S763" s="6" t="s">
        <v>104</v>
      </c>
      <c r="T763" s="21" t="s">
        <v>104</v>
      </c>
      <c r="U763" s="6" t="s">
        <v>104</v>
      </c>
      <c r="V763" s="6" t="s">
        <v>104</v>
      </c>
      <c r="W763" s="6" t="s">
        <v>104</v>
      </c>
      <c r="X763" s="6" t="s">
        <v>104</v>
      </c>
      <c r="Y763" s="21" t="s">
        <v>104</v>
      </c>
      <c r="Z763" s="6" t="s">
        <v>104</v>
      </c>
      <c r="AA763" s="6" t="s">
        <v>104</v>
      </c>
      <c r="AB763" s="6" t="s">
        <v>104</v>
      </c>
      <c r="AC763" s="6" t="s">
        <v>9714</v>
      </c>
      <c r="AD763" s="16" t="n">
        <v>45611</v>
      </c>
      <c r="AE763" s="6" t="s">
        <v>11204</v>
      </c>
      <c r="AF763" s="6" t="s">
        <v>104</v>
      </c>
      <c r="AG763" s="6" t="s">
        <v>104</v>
      </c>
      <c r="AH763" s="6" t="s">
        <v>13848</v>
      </c>
      <c r="AI763" s="6" t="s">
        <v>104</v>
      </c>
      <c r="AJ763" s="6" t="s">
        <v>15866</v>
      </c>
      <c r="AK763" s="6" t="s">
        <v>16807</v>
      </c>
      <c r="AL763" s="6" t="s">
        <v>16954</v>
      </c>
      <c r="AM763" s="6" t="s">
        <v>17498</v>
      </c>
      <c r="AN763" s="6" t="s">
        <v>104</v>
      </c>
      <c r="AO763" s="6" t="s">
        <v>104</v>
      </c>
      <c r="AP763" s="6" t="s">
        <v>13849</v>
      </c>
      <c r="AQ763" s="6" t="s">
        <v>104</v>
      </c>
      <c r="AR763" s="6" t="s">
        <v>15867</v>
      </c>
      <c r="AS763" s="6" t="s">
        <v>15865</v>
      </c>
      <c r="AT763" s="6" t="s">
        <v>16954</v>
      </c>
      <c r="AU763" s="6" t="s">
        <v>17499</v>
      </c>
      <c r="AV763" s="6" t="s">
        <v>104</v>
      </c>
      <c r="AW763" s="6" t="s">
        <v>104</v>
      </c>
      <c r="AX763" s="6" t="s">
        <v>20137</v>
      </c>
      <c r="AY763" s="6" t="s">
        <v>21875</v>
      </c>
      <c r="AZ763" s="6" t="s">
        <v>104</v>
      </c>
      <c r="BA763" s="6" t="s">
        <v>24264</v>
      </c>
      <c r="BB763" s="6" t="s">
        <v>104</v>
      </c>
      <c r="BC763" s="26"/>
      <c r="BD763" s="26"/>
      <c r="BE763" s="26"/>
      <c r="BF763" s="26"/>
      <c r="BG763" s="26"/>
      <c r="BH763" s="26"/>
      <c r="BI763" s="26"/>
      <c r="BJ763" s="26"/>
      <c r="BK763" s="26"/>
      <c r="BL763" s="26"/>
      <c r="BM763" s="26"/>
      <c r="BN763" s="26"/>
      <c r="BO763" s="26"/>
      <c r="BP763" s="16" t="n">
        <v>45611</v>
      </c>
      <c r="BQ763" s="28" t="str">
        <f>HYPERLINK("https://organic.ams.usda.gov/Integrity/Certificate.aspx?cid=66&amp;nopid=5500007377")</f>
        <v>https://organic.ams.usda.gov/Integrity/Certificate.aspx?cid=66&amp;nopid=5500007377</v>
      </c>
    </row>
    <row r="764">
      <c r="A764" t="s">
        <v>3</v>
      </c>
      <c r="B764" s="6" t="s">
        <v>25</v>
      </c>
      <c r="C764" s="6" t="s">
        <v>91</v>
      </c>
      <c r="D764" s="6" t="s">
        <v>156</v>
      </c>
      <c r="E764" s="10" t="s">
        <v>962</v>
      </c>
      <c r="F764" s="6" t="s">
        <v>3210</v>
      </c>
      <c r="G764" s="6" t="s">
        <v>104</v>
      </c>
      <c r="H764" s="6" t="s">
        <v>5588</v>
      </c>
      <c r="I764" s="6" t="s">
        <v>104</v>
      </c>
      <c r="J764" s="6" t="s">
        <v>104</v>
      </c>
      <c r="K764" s="6" t="s">
        <v>9714</v>
      </c>
      <c r="L764" s="16" t="n">
        <v>43763</v>
      </c>
      <c r="M764" s="16" t="n">
        <v>45949</v>
      </c>
      <c r="N764" s="6" t="s">
        <v>104</v>
      </c>
      <c r="O764" s="21" t="s">
        <v>104</v>
      </c>
      <c r="P764" s="6" t="s">
        <v>104</v>
      </c>
      <c r="Q764" s="6" t="s">
        <v>104</v>
      </c>
      <c r="R764" s="6" t="s">
        <v>104</v>
      </c>
      <c r="S764" s="6" t="s">
        <v>104</v>
      </c>
      <c r="T764" s="21" t="s">
        <v>104</v>
      </c>
      <c r="U764" s="6" t="s">
        <v>104</v>
      </c>
      <c r="V764" s="6" t="s">
        <v>104</v>
      </c>
      <c r="W764" s="6" t="s">
        <v>104</v>
      </c>
      <c r="X764" s="6" t="s">
        <v>104</v>
      </c>
      <c r="Y764" s="21" t="s">
        <v>104</v>
      </c>
      <c r="Z764" s="6" t="s">
        <v>104</v>
      </c>
      <c r="AA764" s="6" t="s">
        <v>104</v>
      </c>
      <c r="AB764" s="6" t="s">
        <v>104</v>
      </c>
      <c r="AC764" s="6" t="s">
        <v>9714</v>
      </c>
      <c r="AD764" s="16" t="n">
        <v>43763</v>
      </c>
      <c r="AE764" s="6" t="s">
        <v>11205</v>
      </c>
      <c r="AF764" s="6" t="s">
        <v>104</v>
      </c>
      <c r="AG764" s="6" t="s">
        <v>104</v>
      </c>
      <c r="AH764" s="6" t="s">
        <v>13849</v>
      </c>
      <c r="AI764" s="6" t="s">
        <v>104</v>
      </c>
      <c r="AJ764" s="6" t="s">
        <v>15867</v>
      </c>
      <c r="AK764" s="6" t="s">
        <v>15865</v>
      </c>
      <c r="AL764" s="6" t="s">
        <v>16954</v>
      </c>
      <c r="AM764" s="6" t="s">
        <v>17499</v>
      </c>
      <c r="AN764" s="6" t="s">
        <v>104</v>
      </c>
      <c r="AO764" s="6" t="s">
        <v>104</v>
      </c>
      <c r="AP764" s="6" t="s">
        <v>13849</v>
      </c>
      <c r="AQ764" s="6" t="s">
        <v>104</v>
      </c>
      <c r="AR764" s="6" t="s">
        <v>15867</v>
      </c>
      <c r="AS764" s="6" t="s">
        <v>15865</v>
      </c>
      <c r="AT764" s="6" t="s">
        <v>16954</v>
      </c>
      <c r="AU764" s="6" t="s">
        <v>17499</v>
      </c>
      <c r="AV764" s="6" t="s">
        <v>104</v>
      </c>
      <c r="AW764" s="6" t="s">
        <v>104</v>
      </c>
      <c r="AX764" s="6" t="s">
        <v>104</v>
      </c>
      <c r="AY764" s="6" t="s">
        <v>104</v>
      </c>
      <c r="AZ764" s="6" t="s">
        <v>104</v>
      </c>
      <c r="BA764" s="6" t="s">
        <v>104</v>
      </c>
      <c r="BB764" s="6" t="s">
        <v>104</v>
      </c>
      <c r="BC764" s="26"/>
      <c r="BD764" s="26"/>
      <c r="BE764" s="26"/>
      <c r="BF764" s="26"/>
      <c r="BG764" s="26"/>
      <c r="BH764" s="26" t="s">
        <v>24533</v>
      </c>
      <c r="BI764" s="26"/>
      <c r="BJ764" s="26"/>
      <c r="BK764" s="26"/>
      <c r="BL764" s="26"/>
      <c r="BM764" s="26"/>
      <c r="BN764" s="26"/>
      <c r="BO764" s="26"/>
      <c r="BP764" s="16" t="n">
        <v>45679</v>
      </c>
      <c r="BQ764" s="28" t="str">
        <f>HYPERLINK("https://organic.ams.usda.gov/Integrity/Certificate.aspx?cid=66&amp;nopid=5500006181")</f>
        <v>https://organic.ams.usda.gov/Integrity/Certificate.aspx?cid=66&amp;nopid=5500006181</v>
      </c>
    </row>
    <row r="765">
      <c r="A765" t="s">
        <v>3</v>
      </c>
      <c r="B765" s="6" t="s">
        <v>17</v>
      </c>
      <c r="C765" s="6" t="s">
        <v>83</v>
      </c>
      <c r="D765" s="6" t="s">
        <v>148</v>
      </c>
      <c r="E765" s="10" t="s">
        <v>963</v>
      </c>
      <c r="F765" s="6" t="s">
        <v>3211</v>
      </c>
      <c r="G765" s="6" t="s">
        <v>104</v>
      </c>
      <c r="H765" s="6" t="s">
        <v>5589</v>
      </c>
      <c r="I765" s="6" t="s">
        <v>7426</v>
      </c>
      <c r="J765" s="6" t="s">
        <v>8711</v>
      </c>
      <c r="K765" s="6" t="s">
        <v>9714</v>
      </c>
      <c r="L765" s="16" t="n">
        <v>45471</v>
      </c>
      <c r="M765" s="16" t="n">
        <v>45778</v>
      </c>
      <c r="N765" s="6" t="s">
        <v>104</v>
      </c>
      <c r="O765" s="21" t="s">
        <v>104</v>
      </c>
      <c r="P765" s="6" t="s">
        <v>104</v>
      </c>
      <c r="Q765" s="6" t="s">
        <v>104</v>
      </c>
      <c r="R765" s="6" t="s">
        <v>104</v>
      </c>
      <c r="S765" s="6" t="s">
        <v>104</v>
      </c>
      <c r="T765" s="21" t="s">
        <v>104</v>
      </c>
      <c r="U765" s="6" t="s">
        <v>104</v>
      </c>
      <c r="V765" s="6" t="s">
        <v>104</v>
      </c>
      <c r="W765" s="6" t="s">
        <v>104</v>
      </c>
      <c r="X765" s="6" t="s">
        <v>104</v>
      </c>
      <c r="Y765" s="21" t="s">
        <v>104</v>
      </c>
      <c r="Z765" s="6" t="s">
        <v>104</v>
      </c>
      <c r="AA765" s="6" t="s">
        <v>104</v>
      </c>
      <c r="AB765" s="6" t="s">
        <v>104</v>
      </c>
      <c r="AC765" s="6" t="s">
        <v>9714</v>
      </c>
      <c r="AD765" s="16" t="n">
        <v>45471</v>
      </c>
      <c r="AE765" s="6" t="s">
        <v>11206</v>
      </c>
      <c r="AF765" s="6" t="s">
        <v>104</v>
      </c>
      <c r="AG765" s="6" t="s">
        <v>104</v>
      </c>
      <c r="AH765" s="6" t="s">
        <v>13850</v>
      </c>
      <c r="AI765" s="6" t="s">
        <v>104</v>
      </c>
      <c r="AJ765" s="6" t="s">
        <v>15868</v>
      </c>
      <c r="AK765" s="6" t="s">
        <v>16687</v>
      </c>
      <c r="AL765" s="6" t="s">
        <v>16931</v>
      </c>
      <c r="AM765" s="6" t="s">
        <v>17500</v>
      </c>
      <c r="AN765" s="6" t="s">
        <v>104</v>
      </c>
      <c r="AO765" s="6" t="s">
        <v>104</v>
      </c>
      <c r="AP765" s="6" t="s">
        <v>13850</v>
      </c>
      <c r="AQ765" s="6" t="s">
        <v>104</v>
      </c>
      <c r="AR765" s="6" t="s">
        <v>15868</v>
      </c>
      <c r="AS765" s="6" t="s">
        <v>16687</v>
      </c>
      <c r="AT765" s="6" t="s">
        <v>16931</v>
      </c>
      <c r="AU765" s="6" t="s">
        <v>17500</v>
      </c>
      <c r="AV765" s="6" t="s">
        <v>104</v>
      </c>
      <c r="AW765" s="6" t="s">
        <v>104</v>
      </c>
      <c r="AX765" s="6" t="s">
        <v>20715</v>
      </c>
      <c r="AY765" s="6" t="s">
        <v>22485</v>
      </c>
      <c r="AZ765" s="6" t="s">
        <v>104</v>
      </c>
      <c r="BA765" s="6" t="s">
        <v>104</v>
      </c>
      <c r="BB765" s="24" t="n">
        <v>0</v>
      </c>
      <c r="BC765" s="26"/>
      <c r="BD765" s="26"/>
      <c r="BE765" s="26"/>
      <c r="BF765" s="26"/>
      <c r="BG765" s="26"/>
      <c r="BH765" s="26" t="s">
        <v>24533</v>
      </c>
      <c r="BI765" s="26"/>
      <c r="BJ765" s="26"/>
      <c r="BK765" s="26"/>
      <c r="BL765" s="26"/>
      <c r="BM765" s="26"/>
      <c r="BN765" s="26"/>
      <c r="BO765" s="26"/>
      <c r="BP765" s="16" t="n">
        <v>45664</v>
      </c>
      <c r="BQ765" s="28" t="str">
        <f>HYPERLINK("https://organic.ams.usda.gov/Integrity/Certificate.aspx?cid=51&amp;nopid=8241000047")</f>
        <v>https://organic.ams.usda.gov/Integrity/Certificate.aspx?cid=51&amp;nopid=8241000047</v>
      </c>
    </row>
    <row r="766">
      <c r="A766" t="s">
        <v>3</v>
      </c>
      <c r="B766" s="6" t="s">
        <v>31</v>
      </c>
      <c r="C766" s="6" t="s">
        <v>97</v>
      </c>
      <c r="D766" s="6" t="s">
        <v>162</v>
      </c>
      <c r="E766" s="10" t="s">
        <v>964</v>
      </c>
      <c r="F766" s="6" t="s">
        <v>3212</v>
      </c>
      <c r="G766" s="6" t="s">
        <v>104</v>
      </c>
      <c r="H766" s="6" t="s">
        <v>5590</v>
      </c>
      <c r="I766" s="6" t="s">
        <v>7427</v>
      </c>
      <c r="J766" s="6" t="s">
        <v>8712</v>
      </c>
      <c r="K766" s="6" t="s">
        <v>9714</v>
      </c>
      <c r="L766" s="16" t="n">
        <v>45475</v>
      </c>
      <c r="M766" s="16" t="n">
        <v>45840</v>
      </c>
      <c r="N766" s="6" t="s">
        <v>9714</v>
      </c>
      <c r="O766" s="16" t="n">
        <v>45475</v>
      </c>
      <c r="P766" s="6" t="s">
        <v>9932</v>
      </c>
      <c r="Q766" s="6" t="s">
        <v>104</v>
      </c>
      <c r="R766" s="6" t="s">
        <v>10353</v>
      </c>
      <c r="S766" s="6" t="s">
        <v>104</v>
      </c>
      <c r="T766" s="21" t="s">
        <v>104</v>
      </c>
      <c r="U766" s="6" t="s">
        <v>104</v>
      </c>
      <c r="V766" s="6" t="s">
        <v>104</v>
      </c>
      <c r="W766" s="6" t="s">
        <v>104</v>
      </c>
      <c r="X766" s="6" t="s">
        <v>104</v>
      </c>
      <c r="Y766" s="21" t="s">
        <v>104</v>
      </c>
      <c r="Z766" s="6" t="s">
        <v>104</v>
      </c>
      <c r="AA766" s="6" t="s">
        <v>104</v>
      </c>
      <c r="AB766" s="6" t="s">
        <v>104</v>
      </c>
      <c r="AC766" s="6" t="s">
        <v>104</v>
      </c>
      <c r="AD766" s="21" t="s">
        <v>104</v>
      </c>
      <c r="AE766" s="6" t="s">
        <v>104</v>
      </c>
      <c r="AF766" s="6" t="s">
        <v>104</v>
      </c>
      <c r="AG766" s="6" t="s">
        <v>104</v>
      </c>
      <c r="AH766" s="6" t="s">
        <v>13851</v>
      </c>
      <c r="AI766" s="6" t="s">
        <v>104</v>
      </c>
      <c r="AJ766" s="6" t="s">
        <v>15869</v>
      </c>
      <c r="AK766" s="6" t="s">
        <v>16808</v>
      </c>
      <c r="AL766" s="6" t="s">
        <v>16943</v>
      </c>
      <c r="AM766" s="6" t="s">
        <v>17501</v>
      </c>
      <c r="AN766" s="6" t="s">
        <v>104</v>
      </c>
      <c r="AO766" s="6" t="s">
        <v>104</v>
      </c>
      <c r="AP766" s="6" t="s">
        <v>19143</v>
      </c>
      <c r="AQ766" s="6" t="s">
        <v>104</v>
      </c>
      <c r="AR766" s="6" t="s">
        <v>19664</v>
      </c>
      <c r="AS766" s="6" t="s">
        <v>19792</v>
      </c>
      <c r="AT766" s="6" t="s">
        <v>16943</v>
      </c>
      <c r="AU766" s="6" t="s">
        <v>104</v>
      </c>
      <c r="AV766" s="6" t="s">
        <v>104</v>
      </c>
      <c r="AW766" s="6" t="s">
        <v>104</v>
      </c>
      <c r="AX766" s="6" t="s">
        <v>20716</v>
      </c>
      <c r="AY766" s="6" t="s">
        <v>22486</v>
      </c>
      <c r="AZ766" s="6" t="s">
        <v>104</v>
      </c>
      <c r="BA766" s="6" t="s">
        <v>104</v>
      </c>
      <c r="BB766" s="24" t="n">
        <v>1822</v>
      </c>
      <c r="BC766" s="26"/>
      <c r="BD766" s="26"/>
      <c r="BE766" s="26"/>
      <c r="BF766" s="26"/>
      <c r="BG766" s="26"/>
      <c r="BH766" s="26"/>
      <c r="BI766" s="26"/>
      <c r="BJ766" s="26"/>
      <c r="BK766" s="26"/>
      <c r="BL766" s="26"/>
      <c r="BM766" s="26"/>
      <c r="BN766" s="26"/>
      <c r="BO766" s="26"/>
      <c r="BP766" s="16" t="n">
        <v>45477</v>
      </c>
      <c r="BQ766" s="28" t="str">
        <f>HYPERLINK("https://organic.ams.usda.gov/Integrity/Certificate.aspx?cid=43&amp;nopid=3532099544")</f>
        <v>https://organic.ams.usda.gov/Integrity/Certificate.aspx?cid=43&amp;nopid=3532099544</v>
      </c>
    </row>
    <row r="767">
      <c r="A767" t="s">
        <v>3</v>
      </c>
      <c r="B767" s="6" t="s">
        <v>14</v>
      </c>
      <c r="C767" s="6" t="s">
        <v>80</v>
      </c>
      <c r="D767" s="6" t="s">
        <v>145</v>
      </c>
      <c r="E767" s="10" t="s">
        <v>965</v>
      </c>
      <c r="F767" s="6" t="s">
        <v>3213</v>
      </c>
      <c r="G767" s="6" t="s">
        <v>104</v>
      </c>
      <c r="H767" s="6" t="s">
        <v>5591</v>
      </c>
      <c r="I767" s="6" t="s">
        <v>7428</v>
      </c>
      <c r="J767" s="6" t="s">
        <v>8713</v>
      </c>
      <c r="K767" s="6" t="s">
        <v>9714</v>
      </c>
      <c r="L767" s="16" t="n">
        <v>44630</v>
      </c>
      <c r="M767" s="16" t="n">
        <v>45641</v>
      </c>
      <c r="N767" s="6" t="s">
        <v>104</v>
      </c>
      <c r="O767" s="21" t="s">
        <v>104</v>
      </c>
      <c r="P767" s="6" t="s">
        <v>104</v>
      </c>
      <c r="Q767" s="6" t="s">
        <v>104</v>
      </c>
      <c r="R767" s="6" t="s">
        <v>104</v>
      </c>
      <c r="S767" s="6" t="s">
        <v>104</v>
      </c>
      <c r="T767" s="21" t="s">
        <v>104</v>
      </c>
      <c r="U767" s="6" t="s">
        <v>104</v>
      </c>
      <c r="V767" s="6" t="s">
        <v>104</v>
      </c>
      <c r="W767" s="6" t="s">
        <v>104</v>
      </c>
      <c r="X767" s="6" t="s">
        <v>104</v>
      </c>
      <c r="Y767" s="21" t="s">
        <v>104</v>
      </c>
      <c r="Z767" s="6" t="s">
        <v>104</v>
      </c>
      <c r="AA767" s="6" t="s">
        <v>104</v>
      </c>
      <c r="AB767" s="6" t="s">
        <v>104</v>
      </c>
      <c r="AC767" s="6" t="s">
        <v>9714</v>
      </c>
      <c r="AD767" s="16" t="n">
        <v>44630</v>
      </c>
      <c r="AE767" s="6" t="s">
        <v>11207</v>
      </c>
      <c r="AF767" s="6" t="s">
        <v>104</v>
      </c>
      <c r="AG767" s="6" t="s">
        <v>104</v>
      </c>
      <c r="AH767" s="6" t="s">
        <v>13852</v>
      </c>
      <c r="AI767" s="6" t="s">
        <v>104</v>
      </c>
      <c r="AJ767" s="6" t="s">
        <v>15769</v>
      </c>
      <c r="AK767" s="6" t="s">
        <v>16699</v>
      </c>
      <c r="AL767" s="6" t="s">
        <v>16932</v>
      </c>
      <c r="AM767" s="6" t="s">
        <v>17502</v>
      </c>
      <c r="AN767" s="6" t="s">
        <v>104</v>
      </c>
      <c r="AO767" s="6" t="s">
        <v>104</v>
      </c>
      <c r="AP767" s="6" t="s">
        <v>104</v>
      </c>
      <c r="AQ767" s="6" t="s">
        <v>104</v>
      </c>
      <c r="AR767" s="6" t="s">
        <v>104</v>
      </c>
      <c r="AS767" s="6" t="s">
        <v>104</v>
      </c>
      <c r="AT767" s="6" t="s">
        <v>104</v>
      </c>
      <c r="AU767" s="6" t="s">
        <v>104</v>
      </c>
      <c r="AV767" s="6" t="s">
        <v>104</v>
      </c>
      <c r="AW767" s="6" t="s">
        <v>104</v>
      </c>
      <c r="AX767" s="6" t="s">
        <v>20717</v>
      </c>
      <c r="AY767" s="6" t="s">
        <v>22487</v>
      </c>
      <c r="AZ767" s="6" t="s">
        <v>104</v>
      </c>
      <c r="BA767" s="6" t="s">
        <v>24272</v>
      </c>
      <c r="BB767" s="6" t="s">
        <v>104</v>
      </c>
      <c r="BC767" s="26"/>
      <c r="BD767" s="26"/>
      <c r="BE767" s="26"/>
      <c r="BF767" s="26"/>
      <c r="BG767" s="26"/>
      <c r="BH767" s="26"/>
      <c r="BI767" s="26"/>
      <c r="BJ767" s="26"/>
      <c r="BK767" s="26"/>
      <c r="BL767" s="26"/>
      <c r="BM767" s="26"/>
      <c r="BN767" s="26"/>
      <c r="BO767" s="26"/>
      <c r="BP767" s="16" t="n">
        <v>45617</v>
      </c>
      <c r="BQ767" s="28" t="str">
        <f>HYPERLINK("https://organic.ams.usda.gov/Integrity/Certificate.aspx?cid=89&amp;nopid=4920005447")</f>
        <v>https://organic.ams.usda.gov/Integrity/Certificate.aspx?cid=89&amp;nopid=4920005447</v>
      </c>
    </row>
    <row r="768">
      <c r="A768" t="s">
        <v>3</v>
      </c>
      <c r="B768" s="6" t="s">
        <v>6</v>
      </c>
      <c r="C768" s="6" t="s">
        <v>72</v>
      </c>
      <c r="D768" s="6" t="s">
        <v>137</v>
      </c>
      <c r="E768" s="10" t="s">
        <v>966</v>
      </c>
      <c r="F768" s="6" t="s">
        <v>3214</v>
      </c>
      <c r="G768" s="6" t="s">
        <v>104</v>
      </c>
      <c r="H768" s="6" t="s">
        <v>5592</v>
      </c>
      <c r="I768" s="6" t="s">
        <v>7206</v>
      </c>
      <c r="J768" s="6" t="s">
        <v>8714</v>
      </c>
      <c r="K768" s="6" t="s">
        <v>9714</v>
      </c>
      <c r="L768" s="16" t="n">
        <v>45666</v>
      </c>
      <c r="M768" s="16" t="n">
        <v>46005</v>
      </c>
      <c r="N768" s="6" t="s">
        <v>104</v>
      </c>
      <c r="O768" s="21" t="s">
        <v>104</v>
      </c>
      <c r="P768" s="6" t="s">
        <v>104</v>
      </c>
      <c r="Q768" s="6" t="s">
        <v>104</v>
      </c>
      <c r="R768" s="6" t="s">
        <v>104</v>
      </c>
      <c r="S768" s="6" t="s">
        <v>104</v>
      </c>
      <c r="T768" s="21" t="s">
        <v>104</v>
      </c>
      <c r="U768" s="6" t="s">
        <v>104</v>
      </c>
      <c r="V768" s="6" t="s">
        <v>104</v>
      </c>
      <c r="W768" s="6" t="s">
        <v>104</v>
      </c>
      <c r="X768" s="6" t="s">
        <v>104</v>
      </c>
      <c r="Y768" s="21" t="s">
        <v>104</v>
      </c>
      <c r="Z768" s="6" t="s">
        <v>104</v>
      </c>
      <c r="AA768" s="6" t="s">
        <v>104</v>
      </c>
      <c r="AB768" s="6" t="s">
        <v>104</v>
      </c>
      <c r="AC768" s="6" t="s">
        <v>9714</v>
      </c>
      <c r="AD768" s="16" t="n">
        <v>45666</v>
      </c>
      <c r="AE768" s="6" t="s">
        <v>11208</v>
      </c>
      <c r="AF768" s="6" t="s">
        <v>104</v>
      </c>
      <c r="AG768" s="6" t="s">
        <v>12729</v>
      </c>
      <c r="AH768" s="6" t="s">
        <v>13853</v>
      </c>
      <c r="AI768" s="6" t="s">
        <v>104</v>
      </c>
      <c r="AJ768" s="6" t="s">
        <v>15870</v>
      </c>
      <c r="AK768" s="6" t="s">
        <v>16809</v>
      </c>
      <c r="AL768" s="6" t="s">
        <v>16766</v>
      </c>
      <c r="AM768" s="6" t="s">
        <v>17503</v>
      </c>
      <c r="AN768" s="6" t="s">
        <v>104</v>
      </c>
      <c r="AO768" s="6" t="s">
        <v>104</v>
      </c>
      <c r="AP768" s="6" t="s">
        <v>104</v>
      </c>
      <c r="AQ768" s="6" t="s">
        <v>104</v>
      </c>
      <c r="AR768" s="6" t="s">
        <v>104</v>
      </c>
      <c r="AS768" s="6" t="s">
        <v>104</v>
      </c>
      <c r="AT768" s="6" t="s">
        <v>104</v>
      </c>
      <c r="AU768" s="6" t="s">
        <v>104</v>
      </c>
      <c r="AV768" s="6" t="s">
        <v>104</v>
      </c>
      <c r="AW768" s="6" t="s">
        <v>104</v>
      </c>
      <c r="AX768" s="6" t="s">
        <v>20718</v>
      </c>
      <c r="AY768" s="6" t="s">
        <v>22488</v>
      </c>
      <c r="AZ768" s="6" t="s">
        <v>104</v>
      </c>
      <c r="BA768" s="6" t="s">
        <v>104</v>
      </c>
      <c r="BB768" s="6" t="s">
        <v>104</v>
      </c>
      <c r="BC768" s="26"/>
      <c r="BD768" s="26"/>
      <c r="BE768" s="26"/>
      <c r="BF768" s="26"/>
      <c r="BG768" s="26"/>
      <c r="BH768" s="26"/>
      <c r="BI768" s="26"/>
      <c r="BJ768" s="26"/>
      <c r="BK768" s="26"/>
      <c r="BL768" s="26"/>
      <c r="BM768" s="26"/>
      <c r="BN768" s="26"/>
      <c r="BO768" s="26"/>
      <c r="BP768" s="16" t="n">
        <v>45737</v>
      </c>
      <c r="BQ768" s="28" t="str">
        <f>HYPERLINK("https://organic.ams.usda.gov/Integrity/Certificate.aspx?cid=32&amp;nopid=2230011755")</f>
        <v>https://organic.ams.usda.gov/Integrity/Certificate.aspx?cid=32&amp;nopid=2230011755</v>
      </c>
    </row>
    <row r="769">
      <c r="A769" t="s">
        <v>3</v>
      </c>
      <c r="B769" s="6" t="s">
        <v>6</v>
      </c>
      <c r="C769" s="6" t="s">
        <v>72</v>
      </c>
      <c r="D769" s="6" t="s">
        <v>137</v>
      </c>
      <c r="E769" s="10" t="s">
        <v>967</v>
      </c>
      <c r="F769" s="6" t="s">
        <v>3215</v>
      </c>
      <c r="G769" s="6" t="s">
        <v>104</v>
      </c>
      <c r="H769" s="6" t="s">
        <v>5593</v>
      </c>
      <c r="I769" s="6" t="s">
        <v>7206</v>
      </c>
      <c r="J769" s="6" t="s">
        <v>8714</v>
      </c>
      <c r="K769" s="6" t="s">
        <v>9714</v>
      </c>
      <c r="L769" s="16" t="n">
        <v>45666</v>
      </c>
      <c r="M769" s="16" t="n">
        <v>46004</v>
      </c>
      <c r="N769" s="6" t="s">
        <v>104</v>
      </c>
      <c r="O769" s="21" t="s">
        <v>104</v>
      </c>
      <c r="P769" s="6" t="s">
        <v>104</v>
      </c>
      <c r="Q769" s="6" t="s">
        <v>104</v>
      </c>
      <c r="R769" s="6" t="s">
        <v>104</v>
      </c>
      <c r="S769" s="6" t="s">
        <v>104</v>
      </c>
      <c r="T769" s="21" t="s">
        <v>104</v>
      </c>
      <c r="U769" s="6" t="s">
        <v>104</v>
      </c>
      <c r="V769" s="6" t="s">
        <v>104</v>
      </c>
      <c r="W769" s="6" t="s">
        <v>104</v>
      </c>
      <c r="X769" s="6" t="s">
        <v>104</v>
      </c>
      <c r="Y769" s="21" t="s">
        <v>104</v>
      </c>
      <c r="Z769" s="6" t="s">
        <v>104</v>
      </c>
      <c r="AA769" s="6" t="s">
        <v>104</v>
      </c>
      <c r="AB769" s="6" t="s">
        <v>104</v>
      </c>
      <c r="AC769" s="6" t="s">
        <v>9714</v>
      </c>
      <c r="AD769" s="16" t="n">
        <v>45666</v>
      </c>
      <c r="AE769" s="6" t="s">
        <v>11208</v>
      </c>
      <c r="AF769" s="6" t="s">
        <v>104</v>
      </c>
      <c r="AG769" s="6" t="s">
        <v>12730</v>
      </c>
      <c r="AH769" s="6" t="s">
        <v>13854</v>
      </c>
      <c r="AI769" s="6" t="s">
        <v>104</v>
      </c>
      <c r="AJ769" s="6" t="s">
        <v>15871</v>
      </c>
      <c r="AK769" s="6" t="s">
        <v>16809</v>
      </c>
      <c r="AL769" s="6" t="s">
        <v>16766</v>
      </c>
      <c r="AM769" s="6" t="s">
        <v>17504</v>
      </c>
      <c r="AN769" s="6" t="s">
        <v>104</v>
      </c>
      <c r="AO769" s="6" t="s">
        <v>104</v>
      </c>
      <c r="AP769" s="6" t="s">
        <v>104</v>
      </c>
      <c r="AQ769" s="6" t="s">
        <v>104</v>
      </c>
      <c r="AR769" s="6" t="s">
        <v>104</v>
      </c>
      <c r="AS769" s="6" t="s">
        <v>104</v>
      </c>
      <c r="AT769" s="6" t="s">
        <v>104</v>
      </c>
      <c r="AU769" s="6" t="s">
        <v>104</v>
      </c>
      <c r="AV769" s="6" t="s">
        <v>104</v>
      </c>
      <c r="AW769" s="6" t="s">
        <v>104</v>
      </c>
      <c r="AX769" s="6" t="s">
        <v>20718</v>
      </c>
      <c r="AY769" s="6" t="s">
        <v>22488</v>
      </c>
      <c r="AZ769" s="6" t="s">
        <v>104</v>
      </c>
      <c r="BA769" s="6" t="s">
        <v>104</v>
      </c>
      <c r="BB769" s="6" t="s">
        <v>104</v>
      </c>
      <c r="BC769" s="26"/>
      <c r="BD769" s="26"/>
      <c r="BE769" s="26"/>
      <c r="BF769" s="26"/>
      <c r="BG769" s="26"/>
      <c r="BH769" s="26"/>
      <c r="BI769" s="26"/>
      <c r="BJ769" s="26"/>
      <c r="BK769" s="26"/>
      <c r="BL769" s="26"/>
      <c r="BM769" s="26"/>
      <c r="BN769" s="26"/>
      <c r="BO769" s="26"/>
      <c r="BP769" s="16" t="n">
        <v>45737</v>
      </c>
      <c r="BQ769" s="28" t="str">
        <f>HYPERLINK("https://organic.ams.usda.gov/Integrity/Certificate.aspx?cid=32&amp;nopid=2230011773")</f>
        <v>https://organic.ams.usda.gov/Integrity/Certificate.aspx?cid=32&amp;nopid=2230011773</v>
      </c>
    </row>
    <row r="770">
      <c r="A770" t="s">
        <v>3</v>
      </c>
      <c r="B770" s="6" t="s">
        <v>29</v>
      </c>
      <c r="C770" s="6" t="s">
        <v>95</v>
      </c>
      <c r="D770" s="6" t="s">
        <v>160</v>
      </c>
      <c r="E770" s="10" t="s">
        <v>968</v>
      </c>
      <c r="F770" s="6" t="s">
        <v>3216</v>
      </c>
      <c r="G770" s="6" t="s">
        <v>104</v>
      </c>
      <c r="H770" s="6" t="s">
        <v>5594</v>
      </c>
      <c r="I770" s="6" t="s">
        <v>104</v>
      </c>
      <c r="J770" s="6" t="s">
        <v>8715</v>
      </c>
      <c r="K770" s="6" t="s">
        <v>9714</v>
      </c>
      <c r="L770" s="16" t="n">
        <v>45579</v>
      </c>
      <c r="M770" s="16" t="n">
        <v>45778</v>
      </c>
      <c r="N770" s="6" t="s">
        <v>9714</v>
      </c>
      <c r="O770" s="16" t="n">
        <v>45579</v>
      </c>
      <c r="P770" s="6" t="s">
        <v>9933</v>
      </c>
      <c r="Q770" s="6" t="s">
        <v>104</v>
      </c>
      <c r="R770" s="6" t="s">
        <v>104</v>
      </c>
      <c r="S770" s="6" t="s">
        <v>104</v>
      </c>
      <c r="T770" s="21" t="s">
        <v>104</v>
      </c>
      <c r="U770" s="6" t="s">
        <v>104</v>
      </c>
      <c r="V770" s="6" t="s">
        <v>104</v>
      </c>
      <c r="W770" s="6" t="s">
        <v>104</v>
      </c>
      <c r="X770" s="6" t="s">
        <v>104</v>
      </c>
      <c r="Y770" s="21" t="s">
        <v>104</v>
      </c>
      <c r="Z770" s="6" t="s">
        <v>104</v>
      </c>
      <c r="AA770" s="6" t="s">
        <v>104</v>
      </c>
      <c r="AB770" s="6" t="s">
        <v>104</v>
      </c>
      <c r="AC770" s="6" t="s">
        <v>104</v>
      </c>
      <c r="AD770" s="21" t="s">
        <v>104</v>
      </c>
      <c r="AE770" s="6" t="s">
        <v>104</v>
      </c>
      <c r="AF770" s="6" t="s">
        <v>104</v>
      </c>
      <c r="AG770" s="6" t="s">
        <v>104</v>
      </c>
      <c r="AH770" s="6" t="s">
        <v>13855</v>
      </c>
      <c r="AI770" s="6" t="s">
        <v>104</v>
      </c>
      <c r="AJ770" s="6" t="s">
        <v>15872</v>
      </c>
      <c r="AK770" s="6" t="s">
        <v>16810</v>
      </c>
      <c r="AL770" s="6" t="s">
        <v>16766</v>
      </c>
      <c r="AM770" s="6" t="s">
        <v>104</v>
      </c>
      <c r="AN770" s="6" t="s">
        <v>104</v>
      </c>
      <c r="AO770" s="6" t="s">
        <v>104</v>
      </c>
      <c r="AP770" s="6" t="s">
        <v>104</v>
      </c>
      <c r="AQ770" s="6" t="s">
        <v>104</v>
      </c>
      <c r="AR770" s="6" t="s">
        <v>104</v>
      </c>
      <c r="AS770" s="6" t="s">
        <v>104</v>
      </c>
      <c r="AT770" s="6" t="s">
        <v>104</v>
      </c>
      <c r="AU770" s="6" t="s">
        <v>104</v>
      </c>
      <c r="AV770" s="6" t="s">
        <v>104</v>
      </c>
      <c r="AW770" s="6" t="s">
        <v>104</v>
      </c>
      <c r="AX770" s="6" t="s">
        <v>20719</v>
      </c>
      <c r="AY770" s="6" t="s">
        <v>22489</v>
      </c>
      <c r="AZ770" s="6" t="s">
        <v>104</v>
      </c>
      <c r="BA770" s="6" t="s">
        <v>104</v>
      </c>
      <c r="BB770" s="24" t="n">
        <v>351</v>
      </c>
      <c r="BC770" s="26"/>
      <c r="BD770" s="26"/>
      <c r="BE770" s="26"/>
      <c r="BF770" s="26"/>
      <c r="BG770" s="26"/>
      <c r="BH770" s="26"/>
      <c r="BI770" s="26"/>
      <c r="BJ770" s="26"/>
      <c r="BK770" s="26"/>
      <c r="BL770" s="26"/>
      <c r="BM770" s="26"/>
      <c r="BN770" s="26"/>
      <c r="BO770" s="26"/>
      <c r="BP770" s="16" t="n">
        <v>45581</v>
      </c>
      <c r="BQ770" s="28" t="str">
        <f>HYPERLINK("https://organic.ams.usda.gov/Integrity/Certificate.aspx?cid=24&amp;nopid=7880208621")</f>
        <v>https://organic.ams.usda.gov/Integrity/Certificate.aspx?cid=24&amp;nopid=7880208621</v>
      </c>
    </row>
    <row r="771">
      <c r="A771" t="s">
        <v>3</v>
      </c>
      <c r="B771" s="6" t="s">
        <v>20</v>
      </c>
      <c r="C771" s="6" t="s">
        <v>86</v>
      </c>
      <c r="D771" s="6" t="s">
        <v>151</v>
      </c>
      <c r="E771" s="10" t="s">
        <v>969</v>
      </c>
      <c r="F771" s="6" t="s">
        <v>3217</v>
      </c>
      <c r="G771" s="6" t="s">
        <v>104</v>
      </c>
      <c r="H771" s="6" t="s">
        <v>5595</v>
      </c>
      <c r="I771" s="6" t="s">
        <v>7429</v>
      </c>
      <c r="J771" s="6" t="s">
        <v>8716</v>
      </c>
      <c r="K771" s="6" t="s">
        <v>9714</v>
      </c>
      <c r="L771" s="16" t="n">
        <v>40721</v>
      </c>
      <c r="M771" s="16" t="n">
        <v>46112</v>
      </c>
      <c r="N771" s="6" t="s">
        <v>104</v>
      </c>
      <c r="O771" s="21" t="s">
        <v>104</v>
      </c>
      <c r="P771" s="6" t="s">
        <v>104</v>
      </c>
      <c r="Q771" s="6" t="s">
        <v>104</v>
      </c>
      <c r="R771" s="6" t="s">
        <v>104</v>
      </c>
      <c r="S771" s="6" t="s">
        <v>104</v>
      </c>
      <c r="T771" s="21" t="s">
        <v>104</v>
      </c>
      <c r="U771" s="6" t="s">
        <v>104</v>
      </c>
      <c r="V771" s="6" t="s">
        <v>104</v>
      </c>
      <c r="W771" s="6" t="s">
        <v>104</v>
      </c>
      <c r="X771" s="6" t="s">
        <v>104</v>
      </c>
      <c r="Y771" s="21" t="s">
        <v>104</v>
      </c>
      <c r="Z771" s="6" t="s">
        <v>104</v>
      </c>
      <c r="AA771" s="6" t="s">
        <v>104</v>
      </c>
      <c r="AB771" s="6" t="s">
        <v>104</v>
      </c>
      <c r="AC771" s="6" t="s">
        <v>9714</v>
      </c>
      <c r="AD771" s="16" t="n">
        <v>40721</v>
      </c>
      <c r="AE771" s="6" t="s">
        <v>11209</v>
      </c>
      <c r="AF771" s="6" t="s">
        <v>104</v>
      </c>
      <c r="AG771" s="6" t="s">
        <v>12731</v>
      </c>
      <c r="AH771" s="6" t="s">
        <v>13856</v>
      </c>
      <c r="AI771" s="6" t="s">
        <v>104</v>
      </c>
      <c r="AJ771" s="6" t="s">
        <v>15870</v>
      </c>
      <c r="AK771" s="6" t="s">
        <v>16809</v>
      </c>
      <c r="AL771" s="6" t="s">
        <v>16766</v>
      </c>
      <c r="AM771" s="6" t="s">
        <v>17503</v>
      </c>
      <c r="AN771" s="6" t="s">
        <v>104</v>
      </c>
      <c r="AO771" s="6" t="s">
        <v>104</v>
      </c>
      <c r="AP771" s="6" t="s">
        <v>104</v>
      </c>
      <c r="AQ771" s="6" t="s">
        <v>104</v>
      </c>
      <c r="AR771" s="6" t="s">
        <v>104</v>
      </c>
      <c r="AS771" s="6" t="s">
        <v>104</v>
      </c>
      <c r="AT771" s="6" t="s">
        <v>104</v>
      </c>
      <c r="AU771" s="6" t="s">
        <v>104</v>
      </c>
      <c r="AV771" s="6" t="s">
        <v>104</v>
      </c>
      <c r="AW771" s="6" t="s">
        <v>104</v>
      </c>
      <c r="AX771" s="6" t="s">
        <v>20720</v>
      </c>
      <c r="AY771" s="6" t="s">
        <v>22490</v>
      </c>
      <c r="AZ771" s="6" t="s">
        <v>104</v>
      </c>
      <c r="BA771" s="6" t="s">
        <v>24377</v>
      </c>
      <c r="BB771" s="6" t="s">
        <v>104</v>
      </c>
      <c r="BC771" s="26"/>
      <c r="BD771" s="26"/>
      <c r="BE771" s="26"/>
      <c r="BF771" s="26"/>
      <c r="BG771" s="26"/>
      <c r="BH771" s="26"/>
      <c r="BI771" s="26"/>
      <c r="BJ771" s="26"/>
      <c r="BK771" s="26"/>
      <c r="BL771" s="26"/>
      <c r="BM771" s="26"/>
      <c r="BN771" s="26"/>
      <c r="BO771" s="26"/>
      <c r="BP771" s="16" t="n">
        <v>45723</v>
      </c>
      <c r="BQ771" s="28" t="str">
        <f>HYPERLINK("https://organic.ams.usda.gov/Integrity/Certificate.aspx?cid=17&amp;nopid=4080800358")</f>
        <v>https://organic.ams.usda.gov/Integrity/Certificate.aspx?cid=17&amp;nopid=4080800358</v>
      </c>
    </row>
    <row r="772">
      <c r="A772" t="s">
        <v>3</v>
      </c>
      <c r="B772" s="6" t="s">
        <v>19</v>
      </c>
      <c r="C772" s="6" t="s">
        <v>85</v>
      </c>
      <c r="D772" s="6" t="s">
        <v>150</v>
      </c>
      <c r="E772" s="10" t="s">
        <v>970</v>
      </c>
      <c r="F772" s="6" t="s">
        <v>3218</v>
      </c>
      <c r="G772" s="6" t="s">
        <v>104</v>
      </c>
      <c r="H772" s="6" t="s">
        <v>5596</v>
      </c>
      <c r="I772" s="6" t="s">
        <v>7192</v>
      </c>
      <c r="J772" s="6" t="s">
        <v>8717</v>
      </c>
      <c r="K772" s="6" t="s">
        <v>9714</v>
      </c>
      <c r="L772" s="16" t="n">
        <v>42829</v>
      </c>
      <c r="M772" s="16" t="n">
        <v>45717</v>
      </c>
      <c r="N772" s="6" t="s">
        <v>104</v>
      </c>
      <c r="O772" s="21" t="s">
        <v>104</v>
      </c>
      <c r="P772" s="6" t="s">
        <v>104</v>
      </c>
      <c r="Q772" s="6" t="s">
        <v>104</v>
      </c>
      <c r="R772" s="6" t="s">
        <v>104</v>
      </c>
      <c r="S772" s="6" t="s">
        <v>104</v>
      </c>
      <c r="T772" s="21" t="s">
        <v>104</v>
      </c>
      <c r="U772" s="6" t="s">
        <v>104</v>
      </c>
      <c r="V772" s="6" t="s">
        <v>104</v>
      </c>
      <c r="W772" s="6" t="s">
        <v>104</v>
      </c>
      <c r="X772" s="6" t="s">
        <v>104</v>
      </c>
      <c r="Y772" s="21" t="s">
        <v>104</v>
      </c>
      <c r="Z772" s="6" t="s">
        <v>104</v>
      </c>
      <c r="AA772" s="6" t="s">
        <v>104</v>
      </c>
      <c r="AB772" s="6" t="s">
        <v>104</v>
      </c>
      <c r="AC772" s="6" t="s">
        <v>9714</v>
      </c>
      <c r="AD772" s="16" t="n">
        <v>42829</v>
      </c>
      <c r="AE772" s="6" t="s">
        <v>11210</v>
      </c>
      <c r="AF772" s="6" t="s">
        <v>104</v>
      </c>
      <c r="AG772" s="6" t="s">
        <v>104</v>
      </c>
      <c r="AH772" s="6" t="s">
        <v>13857</v>
      </c>
      <c r="AI772" s="6" t="s">
        <v>104</v>
      </c>
      <c r="AJ772" s="6" t="s">
        <v>15873</v>
      </c>
      <c r="AK772" s="6" t="s">
        <v>16686</v>
      </c>
      <c r="AL772" s="6" t="s">
        <v>16931</v>
      </c>
      <c r="AM772" s="6" t="s">
        <v>17505</v>
      </c>
      <c r="AN772" s="6" t="s">
        <v>18460</v>
      </c>
      <c r="AO772" s="6" t="s">
        <v>18566</v>
      </c>
      <c r="AP772" s="6" t="s">
        <v>13857</v>
      </c>
      <c r="AQ772" s="6" t="s">
        <v>104</v>
      </c>
      <c r="AR772" s="6" t="s">
        <v>15873</v>
      </c>
      <c r="AS772" s="6" t="s">
        <v>16686</v>
      </c>
      <c r="AT772" s="6" t="s">
        <v>16931</v>
      </c>
      <c r="AU772" s="6" t="s">
        <v>17505</v>
      </c>
      <c r="AV772" s="6" t="s">
        <v>104</v>
      </c>
      <c r="AW772" s="6" t="s">
        <v>104</v>
      </c>
      <c r="AX772" s="6" t="s">
        <v>20721</v>
      </c>
      <c r="AY772" s="6" t="s">
        <v>22491</v>
      </c>
      <c r="AZ772" s="6" t="s">
        <v>104</v>
      </c>
      <c r="BA772" s="6" t="s">
        <v>104</v>
      </c>
      <c r="BB772" s="6" t="s">
        <v>104</v>
      </c>
      <c r="BC772" s="26"/>
      <c r="BD772" s="26"/>
      <c r="BE772" s="26"/>
      <c r="BF772" s="26"/>
      <c r="BG772" s="26"/>
      <c r="BH772" s="26"/>
      <c r="BI772" s="26"/>
      <c r="BJ772" s="26"/>
      <c r="BK772" s="26"/>
      <c r="BL772" s="26"/>
      <c r="BM772" s="26"/>
      <c r="BN772" s="26"/>
      <c r="BO772" s="26"/>
      <c r="BP772" s="16" t="n">
        <v>45684</v>
      </c>
      <c r="BQ772" s="28" t="str">
        <f>HYPERLINK("https://organic.ams.usda.gov/Integrity/Certificate.aspx?cid=68&amp;nopid=8210005391")</f>
        <v>https://organic.ams.usda.gov/Integrity/Certificate.aspx?cid=68&amp;nopid=8210005391</v>
      </c>
    </row>
    <row r="773">
      <c r="A773" t="s">
        <v>3</v>
      </c>
      <c r="B773" s="6" t="s">
        <v>21</v>
      </c>
      <c r="C773" s="6" t="s">
        <v>87</v>
      </c>
      <c r="D773" s="6" t="s">
        <v>152</v>
      </c>
      <c r="E773" s="10" t="s">
        <v>971</v>
      </c>
      <c r="F773" s="6" t="s">
        <v>3219</v>
      </c>
      <c r="G773" s="6" t="s">
        <v>4751</v>
      </c>
      <c r="H773" s="6" t="s">
        <v>5597</v>
      </c>
      <c r="I773" s="6" t="s">
        <v>7430</v>
      </c>
      <c r="J773" s="6" t="s">
        <v>8718</v>
      </c>
      <c r="K773" s="6" t="s">
        <v>9714</v>
      </c>
      <c r="L773" s="16" t="n">
        <v>41978</v>
      </c>
      <c r="M773" s="16" t="n">
        <v>46023</v>
      </c>
      <c r="N773" s="6" t="s">
        <v>104</v>
      </c>
      <c r="O773" s="21" t="s">
        <v>104</v>
      </c>
      <c r="P773" s="6" t="s">
        <v>104</v>
      </c>
      <c r="Q773" s="6" t="s">
        <v>104</v>
      </c>
      <c r="R773" s="6" t="s">
        <v>104</v>
      </c>
      <c r="S773" s="6" t="s">
        <v>104</v>
      </c>
      <c r="T773" s="21" t="s">
        <v>104</v>
      </c>
      <c r="U773" s="6" t="s">
        <v>104</v>
      </c>
      <c r="V773" s="6" t="s">
        <v>104</v>
      </c>
      <c r="W773" s="6" t="s">
        <v>104</v>
      </c>
      <c r="X773" s="6" t="s">
        <v>104</v>
      </c>
      <c r="Y773" s="21" t="s">
        <v>104</v>
      </c>
      <c r="Z773" s="6" t="s">
        <v>104</v>
      </c>
      <c r="AA773" s="6" t="s">
        <v>104</v>
      </c>
      <c r="AB773" s="6" t="s">
        <v>104</v>
      </c>
      <c r="AC773" s="6" t="s">
        <v>9714</v>
      </c>
      <c r="AD773" s="16" t="n">
        <v>41978</v>
      </c>
      <c r="AE773" s="6" t="s">
        <v>11211</v>
      </c>
      <c r="AF773" s="6" t="s">
        <v>104</v>
      </c>
      <c r="AG773" s="6" t="s">
        <v>104</v>
      </c>
      <c r="AH773" s="6" t="s">
        <v>13858</v>
      </c>
      <c r="AI773" s="6" t="s">
        <v>104</v>
      </c>
      <c r="AJ773" s="6" t="s">
        <v>15874</v>
      </c>
      <c r="AK773" s="6" t="s">
        <v>16684</v>
      </c>
      <c r="AL773" s="6" t="s">
        <v>16931</v>
      </c>
      <c r="AM773" s="6" t="s">
        <v>17506</v>
      </c>
      <c r="AN773" s="6" t="s">
        <v>18504</v>
      </c>
      <c r="AO773" s="6" t="s">
        <v>18730</v>
      </c>
      <c r="AP773" s="6" t="s">
        <v>13858</v>
      </c>
      <c r="AQ773" s="6" t="s">
        <v>104</v>
      </c>
      <c r="AR773" s="6" t="s">
        <v>15874</v>
      </c>
      <c r="AS773" s="6" t="s">
        <v>16684</v>
      </c>
      <c r="AT773" s="6" t="s">
        <v>16931</v>
      </c>
      <c r="AU773" s="6" t="s">
        <v>17506</v>
      </c>
      <c r="AV773" s="6" t="s">
        <v>104</v>
      </c>
      <c r="AW773" s="6" t="s">
        <v>104</v>
      </c>
      <c r="AX773" s="6" t="s">
        <v>20722</v>
      </c>
      <c r="AY773" s="6" t="s">
        <v>22492</v>
      </c>
      <c r="AZ773" s="6" t="s">
        <v>23889</v>
      </c>
      <c r="BA773" s="6" t="s">
        <v>24378</v>
      </c>
      <c r="BB773" s="6" t="s">
        <v>104</v>
      </c>
      <c r="BC773" s="26"/>
      <c r="BD773" s="26"/>
      <c r="BE773" s="26"/>
      <c r="BF773" s="26"/>
      <c r="BG773" s="26"/>
      <c r="BH773" s="26"/>
      <c r="BI773" s="26"/>
      <c r="BJ773" s="26"/>
      <c r="BK773" s="26"/>
      <c r="BL773" s="26"/>
      <c r="BM773" s="26"/>
      <c r="BN773" s="26"/>
      <c r="BO773" s="26"/>
      <c r="BP773" s="16" t="n">
        <v>45708</v>
      </c>
      <c r="BQ773" s="28" t="str">
        <f>HYPERLINK("https://organic.ams.usda.gov/Integrity/Certificate.aspx?cid=15&amp;nopid=5561001985")</f>
        <v>https://organic.ams.usda.gov/Integrity/Certificate.aspx?cid=15&amp;nopid=5561001985</v>
      </c>
    </row>
    <row r="774">
      <c r="A774" t="s">
        <v>3</v>
      </c>
      <c r="B774" s="6" t="s">
        <v>11</v>
      </c>
      <c r="C774" s="6" t="s">
        <v>77</v>
      </c>
      <c r="D774" s="6" t="s">
        <v>142</v>
      </c>
      <c r="E774" s="10" t="s">
        <v>972</v>
      </c>
      <c r="F774" s="6" t="s">
        <v>3220</v>
      </c>
      <c r="G774" s="6" t="s">
        <v>104</v>
      </c>
      <c r="H774" s="6" t="s">
        <v>5598</v>
      </c>
      <c r="I774" s="6" t="s">
        <v>7431</v>
      </c>
      <c r="J774" s="6" t="s">
        <v>8719</v>
      </c>
      <c r="K774" s="6" t="s">
        <v>9714</v>
      </c>
      <c r="L774" s="16" t="n">
        <v>44294</v>
      </c>
      <c r="M774" s="16" t="n">
        <v>45798</v>
      </c>
      <c r="N774" s="6" t="s">
        <v>9714</v>
      </c>
      <c r="O774" s="16" t="n">
        <v>44294</v>
      </c>
      <c r="P774" s="6" t="s">
        <v>9934</v>
      </c>
      <c r="Q774" s="6" t="s">
        <v>104</v>
      </c>
      <c r="R774" s="6" t="s">
        <v>104</v>
      </c>
      <c r="S774" s="6" t="s">
        <v>104</v>
      </c>
      <c r="T774" s="21" t="s">
        <v>104</v>
      </c>
      <c r="U774" s="6" t="s">
        <v>104</v>
      </c>
      <c r="V774" s="6" t="s">
        <v>104</v>
      </c>
      <c r="W774" s="6" t="s">
        <v>104</v>
      </c>
      <c r="X774" s="6" t="s">
        <v>104</v>
      </c>
      <c r="Y774" s="21" t="s">
        <v>104</v>
      </c>
      <c r="Z774" s="6" t="s">
        <v>104</v>
      </c>
      <c r="AA774" s="6" t="s">
        <v>104</v>
      </c>
      <c r="AB774" s="6" t="s">
        <v>104</v>
      </c>
      <c r="AC774" s="6" t="s">
        <v>9714</v>
      </c>
      <c r="AD774" s="16" t="n">
        <v>44294</v>
      </c>
      <c r="AE774" s="6" t="s">
        <v>11212</v>
      </c>
      <c r="AF774" s="6" t="s">
        <v>104</v>
      </c>
      <c r="AG774" s="6" t="s">
        <v>104</v>
      </c>
      <c r="AH774" s="6" t="s">
        <v>13859</v>
      </c>
      <c r="AI774" s="6" t="s">
        <v>104</v>
      </c>
      <c r="AJ774" s="6" t="s">
        <v>15430</v>
      </c>
      <c r="AK774" s="6" t="s">
        <v>16811</v>
      </c>
      <c r="AL774" s="6" t="s">
        <v>16939</v>
      </c>
      <c r="AM774" s="6" t="s">
        <v>104</v>
      </c>
      <c r="AN774" s="6" t="s">
        <v>104</v>
      </c>
      <c r="AO774" s="6" t="s">
        <v>104</v>
      </c>
      <c r="AP774" s="6" t="s">
        <v>104</v>
      </c>
      <c r="AQ774" s="6" t="s">
        <v>104</v>
      </c>
      <c r="AR774" s="6" t="s">
        <v>104</v>
      </c>
      <c r="AS774" s="6" t="s">
        <v>104</v>
      </c>
      <c r="AT774" s="6" t="s">
        <v>104</v>
      </c>
      <c r="AU774" s="6" t="s">
        <v>104</v>
      </c>
      <c r="AV774" s="6" t="s">
        <v>104</v>
      </c>
      <c r="AW774" s="6" t="s">
        <v>104</v>
      </c>
      <c r="AX774" s="6" t="s">
        <v>20723</v>
      </c>
      <c r="AY774" s="6" t="s">
        <v>22493</v>
      </c>
      <c r="AZ774" s="6" t="s">
        <v>104</v>
      </c>
      <c r="BA774" s="6" t="s">
        <v>24271</v>
      </c>
      <c r="BB774" s="24" t="n">
        <v>2067</v>
      </c>
      <c r="BC774" s="26"/>
      <c r="BD774" s="26"/>
      <c r="BE774" s="26"/>
      <c r="BF774" s="26"/>
      <c r="BG774" s="26" t="s">
        <v>24533</v>
      </c>
      <c r="BH774" s="26" t="s">
        <v>24533</v>
      </c>
      <c r="BI774" s="26"/>
      <c r="BJ774" s="26"/>
      <c r="BK774" s="26"/>
      <c r="BL774" s="26"/>
      <c r="BM774" s="26"/>
      <c r="BN774" s="26" t="s">
        <v>24533</v>
      </c>
      <c r="BO774" s="26" t="s">
        <v>24533</v>
      </c>
      <c r="BP774" s="16" t="n">
        <v>45582</v>
      </c>
      <c r="BQ774" s="28" t="str">
        <f>HYPERLINK("https://organic.ams.usda.gov/Integrity/Certificate.aspx?cid=21&amp;nopid=1780878145")</f>
        <v>https://organic.ams.usda.gov/Integrity/Certificate.aspx?cid=21&amp;nopid=1780878145</v>
      </c>
    </row>
    <row r="775">
      <c r="A775" t="s">
        <v>3</v>
      </c>
      <c r="B775" s="6" t="s">
        <v>11</v>
      </c>
      <c r="C775" s="6" t="s">
        <v>77</v>
      </c>
      <c r="D775" s="6" t="s">
        <v>142</v>
      </c>
      <c r="E775" s="10" t="s">
        <v>973</v>
      </c>
      <c r="F775" s="6" t="s">
        <v>3221</v>
      </c>
      <c r="G775" s="6" t="s">
        <v>104</v>
      </c>
      <c r="H775" s="6" t="s">
        <v>973</v>
      </c>
      <c r="I775" s="6" t="s">
        <v>7316</v>
      </c>
      <c r="J775" s="6" t="s">
        <v>8709</v>
      </c>
      <c r="K775" s="6" t="s">
        <v>9714</v>
      </c>
      <c r="L775" s="16" t="n">
        <v>44742</v>
      </c>
      <c r="M775" s="16" t="n">
        <v>45823</v>
      </c>
      <c r="N775" s="6" t="s">
        <v>104</v>
      </c>
      <c r="O775" s="21" t="s">
        <v>104</v>
      </c>
      <c r="P775" s="6" t="s">
        <v>104</v>
      </c>
      <c r="Q775" s="6" t="s">
        <v>104</v>
      </c>
      <c r="R775" s="6" t="s">
        <v>104</v>
      </c>
      <c r="S775" s="6" t="s">
        <v>104</v>
      </c>
      <c r="T775" s="21" t="s">
        <v>104</v>
      </c>
      <c r="U775" s="6" t="s">
        <v>104</v>
      </c>
      <c r="V775" s="6" t="s">
        <v>104</v>
      </c>
      <c r="W775" s="6" t="s">
        <v>104</v>
      </c>
      <c r="X775" s="6" t="s">
        <v>104</v>
      </c>
      <c r="Y775" s="21" t="s">
        <v>104</v>
      </c>
      <c r="Z775" s="6" t="s">
        <v>104</v>
      </c>
      <c r="AA775" s="6" t="s">
        <v>104</v>
      </c>
      <c r="AB775" s="6" t="s">
        <v>104</v>
      </c>
      <c r="AC775" s="6" t="s">
        <v>9714</v>
      </c>
      <c r="AD775" s="16" t="n">
        <v>44742</v>
      </c>
      <c r="AE775" s="6" t="s">
        <v>11213</v>
      </c>
      <c r="AF775" s="6" t="s">
        <v>104</v>
      </c>
      <c r="AG775" s="6" t="s">
        <v>12732</v>
      </c>
      <c r="AH775" s="6" t="s">
        <v>13860</v>
      </c>
      <c r="AI775" s="6" t="s">
        <v>104</v>
      </c>
      <c r="AJ775" s="6" t="s">
        <v>15875</v>
      </c>
      <c r="AK775" s="6" t="s">
        <v>16773</v>
      </c>
      <c r="AL775" s="6" t="s">
        <v>16932</v>
      </c>
      <c r="AM775" s="6" t="s">
        <v>17507</v>
      </c>
      <c r="AN775" s="6" t="s">
        <v>104</v>
      </c>
      <c r="AO775" s="6" t="s">
        <v>104</v>
      </c>
      <c r="AP775" s="6" t="s">
        <v>13860</v>
      </c>
      <c r="AQ775" s="6" t="s">
        <v>104</v>
      </c>
      <c r="AR775" s="6" t="s">
        <v>15875</v>
      </c>
      <c r="AS775" s="6" t="s">
        <v>16773</v>
      </c>
      <c r="AT775" s="6" t="s">
        <v>16932</v>
      </c>
      <c r="AU775" s="6" t="s">
        <v>17507</v>
      </c>
      <c r="AV775" s="6" t="s">
        <v>104</v>
      </c>
      <c r="AW775" s="6" t="s">
        <v>104</v>
      </c>
      <c r="AX775" s="6" t="s">
        <v>20724</v>
      </c>
      <c r="AY775" s="6" t="s">
        <v>22494</v>
      </c>
      <c r="AZ775" s="6" t="s">
        <v>104</v>
      </c>
      <c r="BA775" s="6" t="s">
        <v>104</v>
      </c>
      <c r="BB775" s="6" t="s">
        <v>104</v>
      </c>
      <c r="BC775" s="26"/>
      <c r="BD775" s="26"/>
      <c r="BE775" s="26"/>
      <c r="BF775" s="26"/>
      <c r="BG775" s="26"/>
      <c r="BH775" s="26"/>
      <c r="BI775" s="26"/>
      <c r="BJ775" s="26"/>
      <c r="BK775" s="26"/>
      <c r="BL775" s="26"/>
      <c r="BM775" s="26"/>
      <c r="BN775" s="26" t="s">
        <v>24533</v>
      </c>
      <c r="BO775" s="26"/>
      <c r="BP775" s="16" t="n">
        <v>45583</v>
      </c>
      <c r="BQ775" s="28" t="str">
        <f>HYPERLINK("https://organic.ams.usda.gov/Integrity/Certificate.aspx?cid=21&amp;nopid=1780844634")</f>
        <v>https://organic.ams.usda.gov/Integrity/Certificate.aspx?cid=21&amp;nopid=1780844634</v>
      </c>
    </row>
    <row r="776">
      <c r="A776" t="s">
        <v>3</v>
      </c>
      <c r="B776" s="6" t="s">
        <v>44</v>
      </c>
      <c r="C776" s="6" t="s">
        <v>110</v>
      </c>
      <c r="D776" s="6" t="s">
        <v>174</v>
      </c>
      <c r="E776" s="10" t="s">
        <v>974</v>
      </c>
      <c r="F776" s="6" t="s">
        <v>3222</v>
      </c>
      <c r="G776" s="6" t="s">
        <v>104</v>
      </c>
      <c r="H776" s="6" t="s">
        <v>5599</v>
      </c>
      <c r="I776" s="6" t="s">
        <v>7432</v>
      </c>
      <c r="J776" s="6" t="s">
        <v>8720</v>
      </c>
      <c r="K776" s="6" t="s">
        <v>9714</v>
      </c>
      <c r="L776" s="16" t="n">
        <v>39038</v>
      </c>
      <c r="M776" s="16" t="n">
        <v>45716</v>
      </c>
      <c r="N776" s="6" t="s">
        <v>9714</v>
      </c>
      <c r="O776" s="16" t="n">
        <v>39038</v>
      </c>
      <c r="P776" s="6" t="s">
        <v>9935</v>
      </c>
      <c r="Q776" s="6" t="s">
        <v>104</v>
      </c>
      <c r="R776" s="6" t="s">
        <v>104</v>
      </c>
      <c r="S776" s="6" t="s">
        <v>9714</v>
      </c>
      <c r="T776" s="16" t="n">
        <v>39038</v>
      </c>
      <c r="U776" s="6" t="s">
        <v>10484</v>
      </c>
      <c r="V776" s="6" t="s">
        <v>104</v>
      </c>
      <c r="W776" s="6" t="s">
        <v>104</v>
      </c>
      <c r="X776" s="6" t="s">
        <v>104</v>
      </c>
      <c r="Y776" s="21" t="s">
        <v>104</v>
      </c>
      <c r="Z776" s="6" t="s">
        <v>104</v>
      </c>
      <c r="AA776" s="6" t="s">
        <v>104</v>
      </c>
      <c r="AB776" s="6" t="s">
        <v>104</v>
      </c>
      <c r="AC776" s="6" t="s">
        <v>9714</v>
      </c>
      <c r="AD776" s="16" t="n">
        <v>42104</v>
      </c>
      <c r="AE776" s="6" t="s">
        <v>11214</v>
      </c>
      <c r="AF776" s="6" t="s">
        <v>104</v>
      </c>
      <c r="AG776" s="6" t="s">
        <v>104</v>
      </c>
      <c r="AH776" s="6" t="s">
        <v>13861</v>
      </c>
      <c r="AI776" s="6" t="s">
        <v>104</v>
      </c>
      <c r="AJ776" s="6" t="s">
        <v>15876</v>
      </c>
      <c r="AK776" s="6" t="s">
        <v>15697</v>
      </c>
      <c r="AL776" s="6" t="s">
        <v>16931</v>
      </c>
      <c r="AM776" s="6" t="s">
        <v>17508</v>
      </c>
      <c r="AN776" s="6" t="s">
        <v>18509</v>
      </c>
      <c r="AO776" s="6" t="s">
        <v>18731</v>
      </c>
      <c r="AP776" s="6" t="s">
        <v>13861</v>
      </c>
      <c r="AQ776" s="6" t="s">
        <v>104</v>
      </c>
      <c r="AR776" s="6" t="s">
        <v>15876</v>
      </c>
      <c r="AS776" s="6" t="s">
        <v>15697</v>
      </c>
      <c r="AT776" s="6" t="s">
        <v>16931</v>
      </c>
      <c r="AU776" s="6" t="s">
        <v>17508</v>
      </c>
      <c r="AV776" s="6" t="s">
        <v>104</v>
      </c>
      <c r="AW776" s="6" t="s">
        <v>104</v>
      </c>
      <c r="AX776" s="6" t="s">
        <v>20725</v>
      </c>
      <c r="AY776" s="6" t="s">
        <v>22495</v>
      </c>
      <c r="AZ776" s="6" t="s">
        <v>23890</v>
      </c>
      <c r="BA776" s="6" t="s">
        <v>104</v>
      </c>
      <c r="BB776" s="24" t="n">
        <v>2913</v>
      </c>
      <c r="BC776" s="26"/>
      <c r="BD776" s="26"/>
      <c r="BE776" s="26"/>
      <c r="BF776" s="26" t="s">
        <v>24533</v>
      </c>
      <c r="BG776" s="26"/>
      <c r="BH776" s="26"/>
      <c r="BI776" s="26"/>
      <c r="BJ776" s="26"/>
      <c r="BK776" s="26"/>
      <c r="BL776" s="26"/>
      <c r="BM776" s="26"/>
      <c r="BN776" s="26"/>
      <c r="BO776" s="26"/>
      <c r="BP776" s="16" t="n">
        <v>45616</v>
      </c>
      <c r="BQ776" s="28" t="str">
        <f>HYPERLINK("https://organic.ams.usda.gov/Integrity/Certificate.aspx?cid=57&amp;nopid=3250200646")</f>
        <v>https://organic.ams.usda.gov/Integrity/Certificate.aspx?cid=57&amp;nopid=3250200646</v>
      </c>
    </row>
    <row r="777">
      <c r="A777" t="s">
        <v>3</v>
      </c>
      <c r="B777" s="6" t="s">
        <v>43</v>
      </c>
      <c r="C777" s="6" t="s">
        <v>109</v>
      </c>
      <c r="D777" s="6" t="s">
        <v>173</v>
      </c>
      <c r="E777" s="10" t="s">
        <v>975</v>
      </c>
      <c r="F777" s="6" t="s">
        <v>3223</v>
      </c>
      <c r="G777" s="6" t="s">
        <v>104</v>
      </c>
      <c r="H777" s="6" t="s">
        <v>5600</v>
      </c>
      <c r="I777" s="6" t="s">
        <v>7433</v>
      </c>
      <c r="J777" s="6" t="s">
        <v>8721</v>
      </c>
      <c r="K777" s="6" t="s">
        <v>9714</v>
      </c>
      <c r="L777" s="16" t="n">
        <v>45496</v>
      </c>
      <c r="M777" s="16" t="n">
        <v>45722</v>
      </c>
      <c r="N777" s="6" t="s">
        <v>9714</v>
      </c>
      <c r="O777" s="16" t="n">
        <v>45496</v>
      </c>
      <c r="P777" s="6" t="s">
        <v>9936</v>
      </c>
      <c r="Q777" s="6" t="s">
        <v>104</v>
      </c>
      <c r="R777" s="6" t="s">
        <v>5600</v>
      </c>
      <c r="S777" s="6" t="s">
        <v>104</v>
      </c>
      <c r="T777" s="21" t="s">
        <v>104</v>
      </c>
      <c r="U777" s="6" t="s">
        <v>104</v>
      </c>
      <c r="V777" s="6" t="s">
        <v>104</v>
      </c>
      <c r="W777" s="6" t="s">
        <v>104</v>
      </c>
      <c r="X777" s="6" t="s">
        <v>104</v>
      </c>
      <c r="Y777" s="21" t="s">
        <v>104</v>
      </c>
      <c r="Z777" s="6" t="s">
        <v>104</v>
      </c>
      <c r="AA777" s="6" t="s">
        <v>104</v>
      </c>
      <c r="AB777" s="6" t="s">
        <v>104</v>
      </c>
      <c r="AC777" s="6" t="s">
        <v>9714</v>
      </c>
      <c r="AD777" s="16" t="n">
        <v>45496</v>
      </c>
      <c r="AE777" s="6" t="s">
        <v>11215</v>
      </c>
      <c r="AF777" s="6" t="s">
        <v>104</v>
      </c>
      <c r="AG777" s="6" t="s">
        <v>5600</v>
      </c>
      <c r="AH777" s="6" t="s">
        <v>13862</v>
      </c>
      <c r="AI777" s="6" t="s">
        <v>104</v>
      </c>
      <c r="AJ777" s="6" t="s">
        <v>104</v>
      </c>
      <c r="AK777" s="6" t="s">
        <v>15401</v>
      </c>
      <c r="AL777" s="6" t="s">
        <v>16939</v>
      </c>
      <c r="AM777" s="6" t="s">
        <v>104</v>
      </c>
      <c r="AN777" s="6" t="s">
        <v>104</v>
      </c>
      <c r="AO777" s="6" t="s">
        <v>104</v>
      </c>
      <c r="AP777" s="6" t="s">
        <v>13862</v>
      </c>
      <c r="AQ777" s="6" t="s">
        <v>104</v>
      </c>
      <c r="AR777" s="6" t="s">
        <v>104</v>
      </c>
      <c r="AS777" s="6" t="s">
        <v>15401</v>
      </c>
      <c r="AT777" s="6" t="s">
        <v>16939</v>
      </c>
      <c r="AU777" s="6" t="s">
        <v>104</v>
      </c>
      <c r="AV777" s="6" t="s">
        <v>104</v>
      </c>
      <c r="AW777" s="6" t="s">
        <v>104</v>
      </c>
      <c r="AX777" s="6" t="s">
        <v>20726</v>
      </c>
      <c r="AY777" s="6" t="s">
        <v>22496</v>
      </c>
      <c r="AZ777" s="6" t="s">
        <v>104</v>
      </c>
      <c r="BA777" s="6" t="s">
        <v>24379</v>
      </c>
      <c r="BB777" s="24" t="n">
        <v>1236</v>
      </c>
      <c r="BC777" s="26"/>
      <c r="BD777" s="26"/>
      <c r="BE777" s="26"/>
      <c r="BF777" s="26"/>
      <c r="BG777" s="26"/>
      <c r="BH777" s="26"/>
      <c r="BI777" s="26"/>
      <c r="BJ777" s="26"/>
      <c r="BK777" s="26"/>
      <c r="BL777" s="26"/>
      <c r="BM777" s="26"/>
      <c r="BN777" s="26"/>
      <c r="BO777" s="26"/>
      <c r="BP777" s="16" t="n">
        <v>45496</v>
      </c>
      <c r="BQ777" s="28" t="str">
        <f>HYPERLINK("https://organic.ams.usda.gov/Integrity/Certificate.aspx?cid=86&amp;nopid=6400010164")</f>
        <v>https://organic.ams.usda.gov/Integrity/Certificate.aspx?cid=86&amp;nopid=6400010164</v>
      </c>
    </row>
    <row r="778">
      <c r="A778" t="s">
        <v>3</v>
      </c>
      <c r="B778" s="6" t="s">
        <v>34</v>
      </c>
      <c r="C778" s="6" t="s">
        <v>100</v>
      </c>
      <c r="D778" s="6" t="s">
        <v>165</v>
      </c>
      <c r="E778" s="10" t="s">
        <v>976</v>
      </c>
      <c r="F778" s="6" t="s">
        <v>3224</v>
      </c>
      <c r="G778" s="6" t="s">
        <v>104</v>
      </c>
      <c r="H778" s="6" t="s">
        <v>5601</v>
      </c>
      <c r="I778" s="6" t="s">
        <v>7434</v>
      </c>
      <c r="J778" s="6" t="s">
        <v>8722</v>
      </c>
      <c r="K778" s="6" t="s">
        <v>9714</v>
      </c>
      <c r="L778" s="16" t="n">
        <v>42863</v>
      </c>
      <c r="M778" s="16" t="n">
        <v>45657</v>
      </c>
      <c r="N778" s="6" t="s">
        <v>104</v>
      </c>
      <c r="O778" s="21" t="s">
        <v>104</v>
      </c>
      <c r="P778" s="6" t="s">
        <v>104</v>
      </c>
      <c r="Q778" s="6" t="s">
        <v>104</v>
      </c>
      <c r="R778" s="6" t="s">
        <v>104</v>
      </c>
      <c r="S778" s="6" t="s">
        <v>104</v>
      </c>
      <c r="T778" s="21" t="s">
        <v>104</v>
      </c>
      <c r="U778" s="6" t="s">
        <v>104</v>
      </c>
      <c r="V778" s="6" t="s">
        <v>104</v>
      </c>
      <c r="W778" s="6" t="s">
        <v>104</v>
      </c>
      <c r="X778" s="6" t="s">
        <v>104</v>
      </c>
      <c r="Y778" s="21" t="s">
        <v>104</v>
      </c>
      <c r="Z778" s="6" t="s">
        <v>104</v>
      </c>
      <c r="AA778" s="6" t="s">
        <v>104</v>
      </c>
      <c r="AB778" s="6" t="s">
        <v>104</v>
      </c>
      <c r="AC778" s="6" t="s">
        <v>9714</v>
      </c>
      <c r="AD778" s="16" t="n">
        <v>42863</v>
      </c>
      <c r="AE778" s="6" t="s">
        <v>11216</v>
      </c>
      <c r="AF778" s="6" t="s">
        <v>104</v>
      </c>
      <c r="AG778" s="6" t="s">
        <v>12733</v>
      </c>
      <c r="AH778" s="6" t="s">
        <v>13863</v>
      </c>
      <c r="AI778" s="6" t="s">
        <v>15267</v>
      </c>
      <c r="AJ778" s="6" t="s">
        <v>15877</v>
      </c>
      <c r="AK778" s="6" t="s">
        <v>16812</v>
      </c>
      <c r="AL778" s="6" t="s">
        <v>16943</v>
      </c>
      <c r="AM778" s="6" t="s">
        <v>17509</v>
      </c>
      <c r="AN778" s="6" t="s">
        <v>104</v>
      </c>
      <c r="AO778" s="6" t="s">
        <v>104</v>
      </c>
      <c r="AP778" s="6" t="s">
        <v>19144</v>
      </c>
      <c r="AQ778" s="6" t="s">
        <v>104</v>
      </c>
      <c r="AR778" s="6" t="s">
        <v>19665</v>
      </c>
      <c r="AS778" s="6" t="s">
        <v>16687</v>
      </c>
      <c r="AT778" s="6" t="s">
        <v>16931</v>
      </c>
      <c r="AU778" s="6" t="s">
        <v>19892</v>
      </c>
      <c r="AV778" s="6" t="s">
        <v>104</v>
      </c>
      <c r="AW778" s="6" t="s">
        <v>104</v>
      </c>
      <c r="AX778" s="6" t="s">
        <v>20259</v>
      </c>
      <c r="AY778" s="6" t="s">
        <v>104</v>
      </c>
      <c r="AZ778" s="6" t="s">
        <v>104</v>
      </c>
      <c r="BA778" s="6" t="s">
        <v>104</v>
      </c>
      <c r="BB778" s="6" t="s">
        <v>104</v>
      </c>
      <c r="BC778" s="26"/>
      <c r="BD778" s="26"/>
      <c r="BE778" s="26"/>
      <c r="BF778" s="26"/>
      <c r="BG778" s="26"/>
      <c r="BH778" s="26"/>
      <c r="BI778" s="26"/>
      <c r="BJ778" s="26"/>
      <c r="BK778" s="26"/>
      <c r="BL778" s="26"/>
      <c r="BM778" s="26"/>
      <c r="BN778" s="26"/>
      <c r="BO778" s="26"/>
      <c r="BP778" s="16" t="n">
        <v>45737</v>
      </c>
      <c r="BQ778" s="28" t="str">
        <f>HYPERLINK("https://organic.ams.usda.gov/Integrity/Certificate.aspx?cid=71&amp;nopid=5520327160")</f>
        <v>https://organic.ams.usda.gov/Integrity/Certificate.aspx?cid=71&amp;nopid=5520327160</v>
      </c>
    </row>
    <row r="779">
      <c r="A779" t="s">
        <v>3</v>
      </c>
      <c r="B779" s="6" t="s">
        <v>20</v>
      </c>
      <c r="C779" s="6" t="s">
        <v>86</v>
      </c>
      <c r="D779" s="6" t="s">
        <v>151</v>
      </c>
      <c r="E779" s="10" t="s">
        <v>977</v>
      </c>
      <c r="F779" s="6" t="s">
        <v>3225</v>
      </c>
      <c r="G779" s="6" t="s">
        <v>104</v>
      </c>
      <c r="H779" s="6" t="s">
        <v>5602</v>
      </c>
      <c r="I779" s="6" t="s">
        <v>7435</v>
      </c>
      <c r="J779" s="6" t="s">
        <v>8723</v>
      </c>
      <c r="K779" s="6" t="s">
        <v>9714</v>
      </c>
      <c r="L779" s="16" t="n">
        <v>43527</v>
      </c>
      <c r="M779" s="16" t="n">
        <v>45838</v>
      </c>
      <c r="N779" s="6" t="s">
        <v>104</v>
      </c>
      <c r="O779" s="21" t="s">
        <v>104</v>
      </c>
      <c r="P779" s="6" t="s">
        <v>104</v>
      </c>
      <c r="Q779" s="6" t="s">
        <v>104</v>
      </c>
      <c r="R779" s="6" t="s">
        <v>104</v>
      </c>
      <c r="S779" s="6" t="s">
        <v>104</v>
      </c>
      <c r="T779" s="21" t="s">
        <v>104</v>
      </c>
      <c r="U779" s="6" t="s">
        <v>104</v>
      </c>
      <c r="V779" s="6" t="s">
        <v>104</v>
      </c>
      <c r="W779" s="6" t="s">
        <v>104</v>
      </c>
      <c r="X779" s="6" t="s">
        <v>104</v>
      </c>
      <c r="Y779" s="21" t="s">
        <v>104</v>
      </c>
      <c r="Z779" s="6" t="s">
        <v>104</v>
      </c>
      <c r="AA779" s="6" t="s">
        <v>104</v>
      </c>
      <c r="AB779" s="6" t="s">
        <v>104</v>
      </c>
      <c r="AC779" s="6" t="s">
        <v>9714</v>
      </c>
      <c r="AD779" s="16" t="n">
        <v>43527</v>
      </c>
      <c r="AE779" s="6" t="s">
        <v>11217</v>
      </c>
      <c r="AF779" s="6" t="s">
        <v>104</v>
      </c>
      <c r="AG779" s="6" t="s">
        <v>12734</v>
      </c>
      <c r="AH779" s="6" t="s">
        <v>13864</v>
      </c>
      <c r="AI779" s="6" t="s">
        <v>104</v>
      </c>
      <c r="AJ779" s="6" t="s">
        <v>15878</v>
      </c>
      <c r="AK779" s="6" t="s">
        <v>104</v>
      </c>
      <c r="AL779" s="6" t="s">
        <v>15513</v>
      </c>
      <c r="AM779" s="6" t="s">
        <v>17510</v>
      </c>
      <c r="AN779" s="6" t="s">
        <v>104</v>
      </c>
      <c r="AO779" s="6" t="s">
        <v>104</v>
      </c>
      <c r="AP779" s="6" t="s">
        <v>104</v>
      </c>
      <c r="AQ779" s="6" t="s">
        <v>104</v>
      </c>
      <c r="AR779" s="6" t="s">
        <v>104</v>
      </c>
      <c r="AS779" s="6" t="s">
        <v>104</v>
      </c>
      <c r="AT779" s="6" t="s">
        <v>104</v>
      </c>
      <c r="AU779" s="6" t="s">
        <v>104</v>
      </c>
      <c r="AV779" s="6" t="s">
        <v>104</v>
      </c>
      <c r="AW779" s="6" t="s">
        <v>104</v>
      </c>
      <c r="AX779" s="6" t="s">
        <v>20727</v>
      </c>
      <c r="AY779" s="6" t="s">
        <v>22497</v>
      </c>
      <c r="AZ779" s="6" t="s">
        <v>104</v>
      </c>
      <c r="BA779" s="6" t="s">
        <v>104</v>
      </c>
      <c r="BB779" s="6" t="s">
        <v>104</v>
      </c>
      <c r="BC779" s="26"/>
      <c r="BD779" s="26"/>
      <c r="BE779" s="26"/>
      <c r="BF779" s="26"/>
      <c r="BG779" s="26"/>
      <c r="BH779" s="26"/>
      <c r="BI779" s="26"/>
      <c r="BJ779" s="26"/>
      <c r="BK779" s="26"/>
      <c r="BL779" s="26"/>
      <c r="BM779" s="26"/>
      <c r="BN779" s="26"/>
      <c r="BO779" s="26"/>
      <c r="BP779" s="16" t="n">
        <v>45482</v>
      </c>
      <c r="BQ779" s="28" t="str">
        <f>HYPERLINK("https://organic.ams.usda.gov/Integrity/Certificate.aspx?cid=17&amp;nopid=4087184639")</f>
        <v>https://organic.ams.usda.gov/Integrity/Certificate.aspx?cid=17&amp;nopid=4087184639</v>
      </c>
    </row>
    <row r="780">
      <c r="A780" t="s">
        <v>3</v>
      </c>
      <c r="B780" s="6" t="s">
        <v>13</v>
      </c>
      <c r="C780" s="6" t="s">
        <v>79</v>
      </c>
      <c r="D780" s="6" t="s">
        <v>144</v>
      </c>
      <c r="E780" s="10" t="s">
        <v>978</v>
      </c>
      <c r="F780" s="6" t="s">
        <v>3226</v>
      </c>
      <c r="G780" s="6" t="s">
        <v>104</v>
      </c>
      <c r="H780" s="6" t="s">
        <v>5603</v>
      </c>
      <c r="I780" s="6" t="s">
        <v>7436</v>
      </c>
      <c r="J780" s="6" t="s">
        <v>8724</v>
      </c>
      <c r="K780" s="6" t="s">
        <v>9714</v>
      </c>
      <c r="L780" s="16" t="n">
        <v>44551</v>
      </c>
      <c r="M780" s="16" t="n">
        <v>46023</v>
      </c>
      <c r="N780" s="6" t="s">
        <v>104</v>
      </c>
      <c r="O780" s="21" t="s">
        <v>104</v>
      </c>
      <c r="P780" s="6" t="s">
        <v>104</v>
      </c>
      <c r="Q780" s="6" t="s">
        <v>104</v>
      </c>
      <c r="R780" s="6" t="s">
        <v>104</v>
      </c>
      <c r="S780" s="6" t="s">
        <v>104</v>
      </c>
      <c r="T780" s="21" t="s">
        <v>104</v>
      </c>
      <c r="U780" s="6" t="s">
        <v>104</v>
      </c>
      <c r="V780" s="6" t="s">
        <v>104</v>
      </c>
      <c r="W780" s="6" t="s">
        <v>104</v>
      </c>
      <c r="X780" s="6" t="s">
        <v>104</v>
      </c>
      <c r="Y780" s="21" t="s">
        <v>104</v>
      </c>
      <c r="Z780" s="6" t="s">
        <v>104</v>
      </c>
      <c r="AA780" s="6" t="s">
        <v>104</v>
      </c>
      <c r="AB780" s="6" t="s">
        <v>104</v>
      </c>
      <c r="AC780" s="6" t="s">
        <v>9714</v>
      </c>
      <c r="AD780" s="16" t="n">
        <v>44551</v>
      </c>
      <c r="AE780" s="6" t="s">
        <v>11218</v>
      </c>
      <c r="AF780" s="6" t="s">
        <v>104</v>
      </c>
      <c r="AG780" s="6" t="s">
        <v>104</v>
      </c>
      <c r="AH780" s="6" t="s">
        <v>104</v>
      </c>
      <c r="AI780" s="6" t="s">
        <v>104</v>
      </c>
      <c r="AJ780" s="6" t="s">
        <v>104</v>
      </c>
      <c r="AK780" s="6" t="s">
        <v>104</v>
      </c>
      <c r="AL780" s="6" t="s">
        <v>104</v>
      </c>
      <c r="AM780" s="6" t="s">
        <v>104</v>
      </c>
      <c r="AN780" s="6" t="s">
        <v>104</v>
      </c>
      <c r="AO780" s="6" t="s">
        <v>104</v>
      </c>
      <c r="AP780" s="6" t="s">
        <v>19145</v>
      </c>
      <c r="AQ780" s="6" t="s">
        <v>104</v>
      </c>
      <c r="AR780" s="6" t="s">
        <v>15879</v>
      </c>
      <c r="AS780" s="6" t="s">
        <v>16683</v>
      </c>
      <c r="AT780" s="6" t="s">
        <v>16931</v>
      </c>
      <c r="AU780" s="6" t="s">
        <v>17511</v>
      </c>
      <c r="AV780" s="6" t="s">
        <v>18521</v>
      </c>
      <c r="AW780" s="6" t="s">
        <v>18695</v>
      </c>
      <c r="AX780" s="6" t="s">
        <v>20728</v>
      </c>
      <c r="AY780" s="6" t="s">
        <v>22498</v>
      </c>
      <c r="AZ780" s="6" t="s">
        <v>23891</v>
      </c>
      <c r="BA780" s="6" t="s">
        <v>104</v>
      </c>
      <c r="BB780" s="6" t="s">
        <v>104</v>
      </c>
      <c r="BC780" s="26" t="s">
        <v>24533</v>
      </c>
      <c r="BD780" s="26"/>
      <c r="BE780" s="26"/>
      <c r="BF780" s="26"/>
      <c r="BG780" s="26"/>
      <c r="BH780" s="26" t="s">
        <v>24533</v>
      </c>
      <c r="BI780" s="26"/>
      <c r="BJ780" s="26"/>
      <c r="BK780" s="26"/>
      <c r="BL780" s="26" t="s">
        <v>24533</v>
      </c>
      <c r="BM780" s="26"/>
      <c r="BN780" s="26"/>
      <c r="BO780" s="26"/>
      <c r="BP780" s="16" t="n">
        <v>45720</v>
      </c>
      <c r="BQ780" s="28" t="str">
        <f>HYPERLINK("https://organic.ams.usda.gov/Integrity/Certificate.aspx?cid=62&amp;nopid=8150000355")</f>
        <v>https://organic.ams.usda.gov/Integrity/Certificate.aspx?cid=62&amp;nopid=8150000355</v>
      </c>
    </row>
    <row r="781">
      <c r="A781" t="s">
        <v>3</v>
      </c>
      <c r="B781" s="6" t="s">
        <v>34</v>
      </c>
      <c r="C781" s="6" t="s">
        <v>100</v>
      </c>
      <c r="D781" s="6" t="s">
        <v>165</v>
      </c>
      <c r="E781" s="10" t="s">
        <v>979</v>
      </c>
      <c r="F781" s="6" t="s">
        <v>3227</v>
      </c>
      <c r="G781" s="6" t="s">
        <v>104</v>
      </c>
      <c r="H781" s="6" t="s">
        <v>5604</v>
      </c>
      <c r="I781" s="6" t="s">
        <v>7436</v>
      </c>
      <c r="J781" s="6" t="s">
        <v>8724</v>
      </c>
      <c r="K781" s="6" t="s">
        <v>9714</v>
      </c>
      <c r="L781" s="16" t="n">
        <v>38908</v>
      </c>
      <c r="M781" s="16" t="n">
        <v>45735</v>
      </c>
      <c r="N781" s="6" t="s">
        <v>104</v>
      </c>
      <c r="O781" s="21" t="s">
        <v>104</v>
      </c>
      <c r="P781" s="6" t="s">
        <v>104</v>
      </c>
      <c r="Q781" s="6" t="s">
        <v>104</v>
      </c>
      <c r="R781" s="6" t="s">
        <v>104</v>
      </c>
      <c r="S781" s="6" t="s">
        <v>104</v>
      </c>
      <c r="T781" s="21" t="s">
        <v>104</v>
      </c>
      <c r="U781" s="6" t="s">
        <v>104</v>
      </c>
      <c r="V781" s="6" t="s">
        <v>104</v>
      </c>
      <c r="W781" s="6" t="s">
        <v>104</v>
      </c>
      <c r="X781" s="6" t="s">
        <v>104</v>
      </c>
      <c r="Y781" s="21" t="s">
        <v>104</v>
      </c>
      <c r="Z781" s="6" t="s">
        <v>104</v>
      </c>
      <c r="AA781" s="6" t="s">
        <v>104</v>
      </c>
      <c r="AB781" s="6" t="s">
        <v>104</v>
      </c>
      <c r="AC781" s="6" t="s">
        <v>9714</v>
      </c>
      <c r="AD781" s="16" t="n">
        <v>38908</v>
      </c>
      <c r="AE781" s="6" t="s">
        <v>11219</v>
      </c>
      <c r="AF781" s="6" t="s">
        <v>104</v>
      </c>
      <c r="AG781" s="6" t="s">
        <v>12735</v>
      </c>
      <c r="AH781" s="6" t="s">
        <v>13865</v>
      </c>
      <c r="AI781" s="6" t="s">
        <v>104</v>
      </c>
      <c r="AJ781" s="6" t="s">
        <v>15879</v>
      </c>
      <c r="AK781" s="6" t="s">
        <v>16683</v>
      </c>
      <c r="AL781" s="6" t="s">
        <v>16931</v>
      </c>
      <c r="AM781" s="6" t="s">
        <v>17511</v>
      </c>
      <c r="AN781" s="6" t="s">
        <v>18521</v>
      </c>
      <c r="AO781" s="6" t="s">
        <v>18695</v>
      </c>
      <c r="AP781" s="6" t="s">
        <v>13865</v>
      </c>
      <c r="AQ781" s="6" t="s">
        <v>104</v>
      </c>
      <c r="AR781" s="6" t="s">
        <v>15879</v>
      </c>
      <c r="AS781" s="6" t="s">
        <v>16683</v>
      </c>
      <c r="AT781" s="6" t="s">
        <v>16931</v>
      </c>
      <c r="AU781" s="6" t="s">
        <v>17511</v>
      </c>
      <c r="AV781" s="6" t="s">
        <v>104</v>
      </c>
      <c r="AW781" s="6" t="s">
        <v>104</v>
      </c>
      <c r="AX781" s="6" t="s">
        <v>20729</v>
      </c>
      <c r="AY781" s="6" t="s">
        <v>22498</v>
      </c>
      <c r="AZ781" s="6" t="s">
        <v>104</v>
      </c>
      <c r="BA781" s="6" t="s">
        <v>104</v>
      </c>
      <c r="BB781" s="6" t="s">
        <v>104</v>
      </c>
      <c r="BC781" s="26"/>
      <c r="BD781" s="26"/>
      <c r="BE781" s="26"/>
      <c r="BF781" s="26"/>
      <c r="BG781" s="26"/>
      <c r="BH781" s="26"/>
      <c r="BI781" s="26"/>
      <c r="BJ781" s="26"/>
      <c r="BK781" s="26"/>
      <c r="BL781" s="26" t="s">
        <v>24533</v>
      </c>
      <c r="BM781" s="26"/>
      <c r="BN781" s="26"/>
      <c r="BO781" s="26"/>
      <c r="BP781" s="16" t="n">
        <v>45739</v>
      </c>
      <c r="BQ781" s="28" t="str">
        <f>HYPERLINK("https://organic.ams.usda.gov/Integrity/Certificate.aspx?cid=71&amp;nopid=5520029986")</f>
        <v>https://organic.ams.usda.gov/Integrity/Certificate.aspx?cid=71&amp;nopid=5520029986</v>
      </c>
    </row>
    <row r="782">
      <c r="A782" t="s">
        <v>3</v>
      </c>
      <c r="B782" s="6" t="s">
        <v>20</v>
      </c>
      <c r="C782" s="6" t="s">
        <v>86</v>
      </c>
      <c r="D782" s="6" t="s">
        <v>151</v>
      </c>
      <c r="E782" s="10" t="s">
        <v>980</v>
      </c>
      <c r="F782" s="6" t="s">
        <v>3228</v>
      </c>
      <c r="G782" s="6" t="s">
        <v>104</v>
      </c>
      <c r="H782" s="6" t="s">
        <v>5605</v>
      </c>
      <c r="I782" s="6" t="s">
        <v>7437</v>
      </c>
      <c r="J782" s="6" t="s">
        <v>8725</v>
      </c>
      <c r="K782" s="6" t="s">
        <v>9714</v>
      </c>
      <c r="L782" s="16" t="n">
        <v>44187</v>
      </c>
      <c r="M782" s="16" t="n">
        <v>45869</v>
      </c>
      <c r="N782" s="6" t="s">
        <v>104</v>
      </c>
      <c r="O782" s="21" t="s">
        <v>104</v>
      </c>
      <c r="P782" s="6" t="s">
        <v>104</v>
      </c>
      <c r="Q782" s="6" t="s">
        <v>104</v>
      </c>
      <c r="R782" s="6" t="s">
        <v>104</v>
      </c>
      <c r="S782" s="6" t="s">
        <v>104</v>
      </c>
      <c r="T782" s="21" t="s">
        <v>104</v>
      </c>
      <c r="U782" s="6" t="s">
        <v>104</v>
      </c>
      <c r="V782" s="6" t="s">
        <v>104</v>
      </c>
      <c r="W782" s="6" t="s">
        <v>104</v>
      </c>
      <c r="X782" s="6" t="s">
        <v>104</v>
      </c>
      <c r="Y782" s="21" t="s">
        <v>104</v>
      </c>
      <c r="Z782" s="6" t="s">
        <v>104</v>
      </c>
      <c r="AA782" s="6" t="s">
        <v>104</v>
      </c>
      <c r="AB782" s="6" t="s">
        <v>104</v>
      </c>
      <c r="AC782" s="6" t="s">
        <v>9714</v>
      </c>
      <c r="AD782" s="16" t="n">
        <v>44187</v>
      </c>
      <c r="AE782" s="6" t="s">
        <v>11220</v>
      </c>
      <c r="AF782" s="6" t="s">
        <v>104</v>
      </c>
      <c r="AG782" s="6" t="s">
        <v>12736</v>
      </c>
      <c r="AH782" s="6" t="s">
        <v>13866</v>
      </c>
      <c r="AI782" s="6" t="s">
        <v>104</v>
      </c>
      <c r="AJ782" s="6" t="s">
        <v>15880</v>
      </c>
      <c r="AK782" s="6" t="s">
        <v>16813</v>
      </c>
      <c r="AL782" s="6" t="s">
        <v>15513</v>
      </c>
      <c r="AM782" s="6" t="s">
        <v>17510</v>
      </c>
      <c r="AN782" s="6" t="s">
        <v>104</v>
      </c>
      <c r="AO782" s="6" t="s">
        <v>104</v>
      </c>
      <c r="AP782" s="6" t="s">
        <v>104</v>
      </c>
      <c r="AQ782" s="6" t="s">
        <v>104</v>
      </c>
      <c r="AR782" s="6" t="s">
        <v>104</v>
      </c>
      <c r="AS782" s="6" t="s">
        <v>104</v>
      </c>
      <c r="AT782" s="6" t="s">
        <v>104</v>
      </c>
      <c r="AU782" s="6" t="s">
        <v>104</v>
      </c>
      <c r="AV782" s="6" t="s">
        <v>104</v>
      </c>
      <c r="AW782" s="6" t="s">
        <v>104</v>
      </c>
      <c r="AX782" s="6" t="s">
        <v>20730</v>
      </c>
      <c r="AY782" s="6" t="s">
        <v>22499</v>
      </c>
      <c r="AZ782" s="6" t="s">
        <v>104</v>
      </c>
      <c r="BA782" s="6" t="s">
        <v>104</v>
      </c>
      <c r="BB782" s="6" t="s">
        <v>104</v>
      </c>
      <c r="BC782" s="26"/>
      <c r="BD782" s="26"/>
      <c r="BE782" s="26"/>
      <c r="BF782" s="26"/>
      <c r="BG782" s="26"/>
      <c r="BH782" s="26"/>
      <c r="BI782" s="26"/>
      <c r="BJ782" s="26"/>
      <c r="BK782" s="26"/>
      <c r="BL782" s="26"/>
      <c r="BM782" s="26"/>
      <c r="BN782" s="26"/>
      <c r="BO782" s="26"/>
      <c r="BP782" s="16" t="n">
        <v>45497</v>
      </c>
      <c r="BQ782" s="28" t="str">
        <f>HYPERLINK("https://organic.ams.usda.gov/Integrity/Certificate.aspx?cid=17&amp;nopid=4087185755")</f>
        <v>https://organic.ams.usda.gov/Integrity/Certificate.aspx?cid=17&amp;nopid=4087185755</v>
      </c>
    </row>
    <row r="783">
      <c r="A783" t="s">
        <v>3</v>
      </c>
      <c r="B783" s="6" t="s">
        <v>6</v>
      </c>
      <c r="C783" s="6" t="s">
        <v>72</v>
      </c>
      <c r="D783" s="6" t="s">
        <v>137</v>
      </c>
      <c r="E783" s="10" t="s">
        <v>981</v>
      </c>
      <c r="F783" s="6" t="s">
        <v>3229</v>
      </c>
      <c r="G783" s="6" t="s">
        <v>104</v>
      </c>
      <c r="H783" s="6" t="s">
        <v>5606</v>
      </c>
      <c r="I783" s="6" t="s">
        <v>7438</v>
      </c>
      <c r="J783" s="6" t="s">
        <v>104</v>
      </c>
      <c r="K783" s="6" t="s">
        <v>9714</v>
      </c>
      <c r="L783" s="16" t="n">
        <v>45708</v>
      </c>
      <c r="M783" s="16" t="n">
        <v>46033</v>
      </c>
      <c r="N783" s="6" t="s">
        <v>104</v>
      </c>
      <c r="O783" s="21" t="s">
        <v>104</v>
      </c>
      <c r="P783" s="6" t="s">
        <v>104</v>
      </c>
      <c r="Q783" s="6" t="s">
        <v>104</v>
      </c>
      <c r="R783" s="6" t="s">
        <v>104</v>
      </c>
      <c r="S783" s="6" t="s">
        <v>104</v>
      </c>
      <c r="T783" s="21" t="s">
        <v>104</v>
      </c>
      <c r="U783" s="6" t="s">
        <v>104</v>
      </c>
      <c r="V783" s="6" t="s">
        <v>104</v>
      </c>
      <c r="W783" s="6" t="s">
        <v>104</v>
      </c>
      <c r="X783" s="6" t="s">
        <v>104</v>
      </c>
      <c r="Y783" s="21" t="s">
        <v>104</v>
      </c>
      <c r="Z783" s="6" t="s">
        <v>104</v>
      </c>
      <c r="AA783" s="6" t="s">
        <v>104</v>
      </c>
      <c r="AB783" s="6" t="s">
        <v>104</v>
      </c>
      <c r="AC783" s="6" t="s">
        <v>9714</v>
      </c>
      <c r="AD783" s="16" t="n">
        <v>45708</v>
      </c>
      <c r="AE783" s="6" t="s">
        <v>11221</v>
      </c>
      <c r="AF783" s="6" t="s">
        <v>104</v>
      </c>
      <c r="AG783" s="6" t="s">
        <v>12737</v>
      </c>
      <c r="AH783" s="6" t="s">
        <v>13867</v>
      </c>
      <c r="AI783" s="6" t="s">
        <v>104</v>
      </c>
      <c r="AJ783" s="6" t="s">
        <v>15530</v>
      </c>
      <c r="AK783" s="6" t="s">
        <v>16814</v>
      </c>
      <c r="AL783" s="6" t="s">
        <v>16766</v>
      </c>
      <c r="AM783" s="6" t="s">
        <v>17512</v>
      </c>
      <c r="AN783" s="6" t="s">
        <v>104</v>
      </c>
      <c r="AO783" s="6" t="s">
        <v>104</v>
      </c>
      <c r="AP783" s="6" t="s">
        <v>104</v>
      </c>
      <c r="AQ783" s="6" t="s">
        <v>104</v>
      </c>
      <c r="AR783" s="6" t="s">
        <v>104</v>
      </c>
      <c r="AS783" s="6" t="s">
        <v>104</v>
      </c>
      <c r="AT783" s="6" t="s">
        <v>104</v>
      </c>
      <c r="AU783" s="6" t="s">
        <v>104</v>
      </c>
      <c r="AV783" s="6" t="s">
        <v>104</v>
      </c>
      <c r="AW783" s="6" t="s">
        <v>104</v>
      </c>
      <c r="AX783" s="6" t="s">
        <v>20546</v>
      </c>
      <c r="AY783" s="6" t="s">
        <v>22192</v>
      </c>
      <c r="AZ783" s="6" t="s">
        <v>104</v>
      </c>
      <c r="BA783" s="6" t="s">
        <v>24258</v>
      </c>
      <c r="BB783" s="6" t="s">
        <v>104</v>
      </c>
      <c r="BC783" s="26"/>
      <c r="BD783" s="26"/>
      <c r="BE783" s="26"/>
      <c r="BF783" s="26"/>
      <c r="BG783" s="26"/>
      <c r="BH783" s="26"/>
      <c r="BI783" s="26"/>
      <c r="BJ783" s="26"/>
      <c r="BK783" s="26"/>
      <c r="BL783" s="26"/>
      <c r="BM783" s="26"/>
      <c r="BN783" s="26"/>
      <c r="BO783" s="26"/>
      <c r="BP783" s="16" t="n">
        <v>45737</v>
      </c>
      <c r="BQ783" s="28" t="str">
        <f>HYPERLINK("https://organic.ams.usda.gov/Integrity/Certificate.aspx?cid=32&amp;nopid=2230011867")</f>
        <v>https://organic.ams.usda.gov/Integrity/Certificate.aspx?cid=32&amp;nopid=2230011867</v>
      </c>
    </row>
    <row r="784">
      <c r="A784" t="s">
        <v>3</v>
      </c>
      <c r="B784" s="6" t="s">
        <v>54</v>
      </c>
      <c r="C784" s="6" t="s">
        <v>120</v>
      </c>
      <c r="D784" s="6" t="s">
        <v>184</v>
      </c>
      <c r="E784" s="10" t="s">
        <v>982</v>
      </c>
      <c r="F784" s="6" t="s">
        <v>3230</v>
      </c>
      <c r="G784" s="6" t="s">
        <v>104</v>
      </c>
      <c r="H784" s="6" t="s">
        <v>5607</v>
      </c>
      <c r="I784" s="6" t="s">
        <v>7439</v>
      </c>
      <c r="J784" s="6" t="s">
        <v>8726</v>
      </c>
      <c r="K784" s="6" t="s">
        <v>9714</v>
      </c>
      <c r="L784" s="16" t="n">
        <v>45317</v>
      </c>
      <c r="M784" s="16" t="n">
        <v>46082</v>
      </c>
      <c r="N784" s="6" t="s">
        <v>9714</v>
      </c>
      <c r="O784" s="16" t="n">
        <v>45317</v>
      </c>
      <c r="P784" s="6" t="s">
        <v>9937</v>
      </c>
      <c r="Q784" s="6" t="s">
        <v>104</v>
      </c>
      <c r="R784" s="6" t="s">
        <v>104</v>
      </c>
      <c r="S784" s="6" t="s">
        <v>104</v>
      </c>
      <c r="T784" s="21" t="s">
        <v>104</v>
      </c>
      <c r="U784" s="6" t="s">
        <v>104</v>
      </c>
      <c r="V784" s="6" t="s">
        <v>104</v>
      </c>
      <c r="W784" s="6" t="s">
        <v>104</v>
      </c>
      <c r="X784" s="6" t="s">
        <v>104</v>
      </c>
      <c r="Y784" s="21" t="s">
        <v>104</v>
      </c>
      <c r="Z784" s="6" t="s">
        <v>104</v>
      </c>
      <c r="AA784" s="6" t="s">
        <v>104</v>
      </c>
      <c r="AB784" s="6" t="s">
        <v>104</v>
      </c>
      <c r="AC784" s="6" t="s">
        <v>104</v>
      </c>
      <c r="AD784" s="21" t="s">
        <v>104</v>
      </c>
      <c r="AE784" s="6" t="s">
        <v>104</v>
      </c>
      <c r="AF784" s="6" t="s">
        <v>104</v>
      </c>
      <c r="AG784" s="6" t="s">
        <v>104</v>
      </c>
      <c r="AH784" s="6" t="s">
        <v>13868</v>
      </c>
      <c r="AI784" s="6" t="s">
        <v>104</v>
      </c>
      <c r="AJ784" s="6" t="s">
        <v>15881</v>
      </c>
      <c r="AK784" s="6" t="s">
        <v>16743</v>
      </c>
      <c r="AL784" s="6" t="s">
        <v>16931</v>
      </c>
      <c r="AM784" s="6" t="s">
        <v>17513</v>
      </c>
      <c r="AN784" s="6" t="s">
        <v>104</v>
      </c>
      <c r="AO784" s="6" t="s">
        <v>104</v>
      </c>
      <c r="AP784" s="6" t="s">
        <v>104</v>
      </c>
      <c r="AQ784" s="6" t="s">
        <v>104</v>
      </c>
      <c r="AR784" s="6" t="s">
        <v>104</v>
      </c>
      <c r="AS784" s="6" t="s">
        <v>104</v>
      </c>
      <c r="AT784" s="6" t="s">
        <v>104</v>
      </c>
      <c r="AU784" s="6" t="s">
        <v>104</v>
      </c>
      <c r="AV784" s="6" t="s">
        <v>104</v>
      </c>
      <c r="AW784" s="6" t="s">
        <v>104</v>
      </c>
      <c r="AX784" s="6" t="s">
        <v>104</v>
      </c>
      <c r="AY784" s="6" t="s">
        <v>22500</v>
      </c>
      <c r="AZ784" s="6" t="s">
        <v>104</v>
      </c>
      <c r="BA784" s="6" t="s">
        <v>24267</v>
      </c>
      <c r="BB784" s="24" t="n">
        <v>350</v>
      </c>
      <c r="BC784" s="26"/>
      <c r="BD784" s="26"/>
      <c r="BE784" s="26"/>
      <c r="BF784" s="26"/>
      <c r="BG784" s="26"/>
      <c r="BH784" s="26"/>
      <c r="BI784" s="26"/>
      <c r="BJ784" s="26"/>
      <c r="BK784" s="26"/>
      <c r="BL784" s="26"/>
      <c r="BM784" s="26"/>
      <c r="BN784" s="26"/>
      <c r="BO784" s="26"/>
      <c r="BP784" s="16" t="n">
        <v>45721</v>
      </c>
      <c r="BQ784" s="28" t="str">
        <f>HYPERLINK("https://organic.ams.usda.gov/Integrity/Certificate.aspx?cid=60&amp;nopid=2580006510")</f>
        <v>https://organic.ams.usda.gov/Integrity/Certificate.aspx?cid=60&amp;nopid=2580006510</v>
      </c>
    </row>
    <row r="785">
      <c r="A785" t="s">
        <v>3</v>
      </c>
      <c r="B785" s="6" t="s">
        <v>21</v>
      </c>
      <c r="C785" s="6" t="s">
        <v>87</v>
      </c>
      <c r="D785" s="6" t="s">
        <v>152</v>
      </c>
      <c r="E785" s="10" t="s">
        <v>983</v>
      </c>
      <c r="F785" s="6" t="s">
        <v>3231</v>
      </c>
      <c r="G785" s="6" t="s">
        <v>104</v>
      </c>
      <c r="H785" s="6" t="s">
        <v>5608</v>
      </c>
      <c r="I785" s="6" t="s">
        <v>6938</v>
      </c>
      <c r="J785" s="6" t="s">
        <v>8727</v>
      </c>
      <c r="K785" s="6" t="s">
        <v>9714</v>
      </c>
      <c r="L785" s="16" t="n">
        <v>38692</v>
      </c>
      <c r="M785" s="16" t="n">
        <v>46023</v>
      </c>
      <c r="N785" s="6" t="s">
        <v>104</v>
      </c>
      <c r="O785" s="21" t="s">
        <v>104</v>
      </c>
      <c r="P785" s="6" t="s">
        <v>104</v>
      </c>
      <c r="Q785" s="6" t="s">
        <v>104</v>
      </c>
      <c r="R785" s="6" t="s">
        <v>104</v>
      </c>
      <c r="S785" s="6" t="s">
        <v>104</v>
      </c>
      <c r="T785" s="21" t="s">
        <v>104</v>
      </c>
      <c r="U785" s="6" t="s">
        <v>104</v>
      </c>
      <c r="V785" s="6" t="s">
        <v>104</v>
      </c>
      <c r="W785" s="6" t="s">
        <v>104</v>
      </c>
      <c r="X785" s="6" t="s">
        <v>104</v>
      </c>
      <c r="Y785" s="21" t="s">
        <v>104</v>
      </c>
      <c r="Z785" s="6" t="s">
        <v>104</v>
      </c>
      <c r="AA785" s="6" t="s">
        <v>104</v>
      </c>
      <c r="AB785" s="6" t="s">
        <v>104</v>
      </c>
      <c r="AC785" s="6" t="s">
        <v>9714</v>
      </c>
      <c r="AD785" s="16" t="n">
        <v>38692</v>
      </c>
      <c r="AE785" s="6" t="s">
        <v>11222</v>
      </c>
      <c r="AF785" s="6" t="s">
        <v>104</v>
      </c>
      <c r="AG785" s="6" t="s">
        <v>104</v>
      </c>
      <c r="AH785" s="6" t="s">
        <v>13869</v>
      </c>
      <c r="AI785" s="6" t="s">
        <v>104</v>
      </c>
      <c r="AJ785" s="6" t="s">
        <v>15882</v>
      </c>
      <c r="AK785" s="6" t="s">
        <v>16686</v>
      </c>
      <c r="AL785" s="6" t="s">
        <v>16931</v>
      </c>
      <c r="AM785" s="6" t="s">
        <v>17514</v>
      </c>
      <c r="AN785" s="6" t="s">
        <v>18526</v>
      </c>
      <c r="AO785" s="6" t="s">
        <v>18732</v>
      </c>
      <c r="AP785" s="6" t="s">
        <v>13869</v>
      </c>
      <c r="AQ785" s="6" t="s">
        <v>104</v>
      </c>
      <c r="AR785" s="6" t="s">
        <v>15882</v>
      </c>
      <c r="AS785" s="6" t="s">
        <v>16686</v>
      </c>
      <c r="AT785" s="6" t="s">
        <v>16931</v>
      </c>
      <c r="AU785" s="6" t="s">
        <v>17514</v>
      </c>
      <c r="AV785" s="6" t="s">
        <v>104</v>
      </c>
      <c r="AW785" s="6" t="s">
        <v>104</v>
      </c>
      <c r="AX785" s="6" t="s">
        <v>20731</v>
      </c>
      <c r="AY785" s="6" t="s">
        <v>22501</v>
      </c>
      <c r="AZ785" s="6" t="s">
        <v>23892</v>
      </c>
      <c r="BA785" s="6" t="s">
        <v>24380</v>
      </c>
      <c r="BB785" s="6" t="s">
        <v>104</v>
      </c>
      <c r="BC785" s="26"/>
      <c r="BD785" s="26"/>
      <c r="BE785" s="26"/>
      <c r="BF785" s="26"/>
      <c r="BG785" s="26"/>
      <c r="BH785" s="26"/>
      <c r="BI785" s="26"/>
      <c r="BJ785" s="26"/>
      <c r="BK785" s="26"/>
      <c r="BL785" s="26"/>
      <c r="BM785" s="26"/>
      <c r="BN785" s="26"/>
      <c r="BO785" s="26"/>
      <c r="BP785" s="16" t="n">
        <v>45720</v>
      </c>
      <c r="BQ785" s="28" t="str">
        <f>HYPERLINK("https://organic.ams.usda.gov/Integrity/Certificate.aspx?cid=15&amp;nopid=5561002323")</f>
        <v>https://organic.ams.usda.gov/Integrity/Certificate.aspx?cid=15&amp;nopid=5561002323</v>
      </c>
    </row>
    <row r="786">
      <c r="A786" t="s">
        <v>3</v>
      </c>
      <c r="B786" s="6" t="s">
        <v>13</v>
      </c>
      <c r="C786" s="6" t="s">
        <v>79</v>
      </c>
      <c r="D786" s="6" t="s">
        <v>144</v>
      </c>
      <c r="E786" s="10" t="s">
        <v>984</v>
      </c>
      <c r="F786" s="6" t="s">
        <v>3232</v>
      </c>
      <c r="G786" s="6" t="s">
        <v>104</v>
      </c>
      <c r="H786" s="6" t="s">
        <v>5609</v>
      </c>
      <c r="I786" s="6" t="s">
        <v>6949</v>
      </c>
      <c r="J786" s="6" t="s">
        <v>8728</v>
      </c>
      <c r="K786" s="6" t="s">
        <v>9714</v>
      </c>
      <c r="L786" s="16" t="n">
        <v>37375</v>
      </c>
      <c r="M786" s="16" t="n">
        <v>46023</v>
      </c>
      <c r="N786" s="6" t="s">
        <v>104</v>
      </c>
      <c r="O786" s="21" t="s">
        <v>104</v>
      </c>
      <c r="P786" s="6" t="s">
        <v>104</v>
      </c>
      <c r="Q786" s="6" t="s">
        <v>104</v>
      </c>
      <c r="R786" s="6" t="s">
        <v>104</v>
      </c>
      <c r="S786" s="6" t="s">
        <v>104</v>
      </c>
      <c r="T786" s="21" t="s">
        <v>104</v>
      </c>
      <c r="U786" s="6" t="s">
        <v>104</v>
      </c>
      <c r="V786" s="6" t="s">
        <v>104</v>
      </c>
      <c r="W786" s="6" t="s">
        <v>104</v>
      </c>
      <c r="X786" s="6" t="s">
        <v>104</v>
      </c>
      <c r="Y786" s="21" t="s">
        <v>104</v>
      </c>
      <c r="Z786" s="6" t="s">
        <v>104</v>
      </c>
      <c r="AA786" s="6" t="s">
        <v>104</v>
      </c>
      <c r="AB786" s="6" t="s">
        <v>104</v>
      </c>
      <c r="AC786" s="6" t="s">
        <v>9714</v>
      </c>
      <c r="AD786" s="16" t="n">
        <v>37375</v>
      </c>
      <c r="AE786" s="6" t="s">
        <v>11223</v>
      </c>
      <c r="AF786" s="6" t="s">
        <v>104</v>
      </c>
      <c r="AG786" s="6" t="s">
        <v>104</v>
      </c>
      <c r="AH786" s="6" t="s">
        <v>104</v>
      </c>
      <c r="AI786" s="6" t="s">
        <v>104</v>
      </c>
      <c r="AJ786" s="6" t="s">
        <v>104</v>
      </c>
      <c r="AK786" s="6" t="s">
        <v>104</v>
      </c>
      <c r="AL786" s="6" t="s">
        <v>104</v>
      </c>
      <c r="AM786" s="6" t="s">
        <v>104</v>
      </c>
      <c r="AN786" s="6" t="s">
        <v>104</v>
      </c>
      <c r="AO786" s="6" t="s">
        <v>104</v>
      </c>
      <c r="AP786" s="6" t="s">
        <v>19146</v>
      </c>
      <c r="AQ786" s="6" t="s">
        <v>104</v>
      </c>
      <c r="AR786" s="6" t="s">
        <v>19666</v>
      </c>
      <c r="AS786" s="6" t="s">
        <v>16775</v>
      </c>
      <c r="AT786" s="6" t="s">
        <v>16931</v>
      </c>
      <c r="AU786" s="6" t="s">
        <v>19893</v>
      </c>
      <c r="AV786" s="6" t="s">
        <v>18541</v>
      </c>
      <c r="AW786" s="6" t="s">
        <v>20089</v>
      </c>
      <c r="AX786" s="6" t="s">
        <v>20732</v>
      </c>
      <c r="AY786" s="6" t="s">
        <v>22502</v>
      </c>
      <c r="AZ786" s="6" t="s">
        <v>104</v>
      </c>
      <c r="BA786" s="6" t="s">
        <v>104</v>
      </c>
      <c r="BB786" s="6" t="s">
        <v>104</v>
      </c>
      <c r="BC786" s="26"/>
      <c r="BD786" s="26"/>
      <c r="BE786" s="26"/>
      <c r="BF786" s="26"/>
      <c r="BG786" s="26" t="s">
        <v>24533</v>
      </c>
      <c r="BH786" s="26" t="s">
        <v>24533</v>
      </c>
      <c r="BI786" s="26"/>
      <c r="BJ786" s="26"/>
      <c r="BK786" s="26"/>
      <c r="BL786" s="26" t="s">
        <v>24533</v>
      </c>
      <c r="BM786" s="26"/>
      <c r="BN786" s="26" t="s">
        <v>24533</v>
      </c>
      <c r="BO786" s="26"/>
      <c r="BP786" s="16" t="n">
        <v>45735</v>
      </c>
      <c r="BQ786" s="28" t="str">
        <f>HYPERLINK("https://organic.ams.usda.gov/Integrity/Certificate.aspx?cid=62&amp;nopid=8150000645")</f>
        <v>https://organic.ams.usda.gov/Integrity/Certificate.aspx?cid=62&amp;nopid=8150000645</v>
      </c>
    </row>
    <row r="787">
      <c r="A787" t="s">
        <v>3</v>
      </c>
      <c r="B787" s="6" t="s">
        <v>45</v>
      </c>
      <c r="C787" s="6" t="s">
        <v>111</v>
      </c>
      <c r="D787" s="6" t="s">
        <v>175</v>
      </c>
      <c r="E787" s="10" t="s">
        <v>985</v>
      </c>
      <c r="F787" s="6" t="s">
        <v>3233</v>
      </c>
      <c r="G787" s="6" t="s">
        <v>104</v>
      </c>
      <c r="H787" s="6" t="s">
        <v>5610</v>
      </c>
      <c r="I787" s="6" t="s">
        <v>7192</v>
      </c>
      <c r="J787" s="6" t="s">
        <v>8729</v>
      </c>
      <c r="K787" s="6" t="s">
        <v>9714</v>
      </c>
      <c r="L787" s="16" t="n">
        <v>43383</v>
      </c>
      <c r="M787" s="16" t="n">
        <v>46082</v>
      </c>
      <c r="N787" s="6" t="s">
        <v>104</v>
      </c>
      <c r="O787" s="21" t="s">
        <v>104</v>
      </c>
      <c r="P787" s="6" t="s">
        <v>104</v>
      </c>
      <c r="Q787" s="6" t="s">
        <v>104</v>
      </c>
      <c r="R787" s="6" t="s">
        <v>104</v>
      </c>
      <c r="S787" s="6" t="s">
        <v>104</v>
      </c>
      <c r="T787" s="21" t="s">
        <v>104</v>
      </c>
      <c r="U787" s="6" t="s">
        <v>104</v>
      </c>
      <c r="V787" s="6" t="s">
        <v>104</v>
      </c>
      <c r="W787" s="6" t="s">
        <v>104</v>
      </c>
      <c r="X787" s="6" t="s">
        <v>104</v>
      </c>
      <c r="Y787" s="21" t="s">
        <v>104</v>
      </c>
      <c r="Z787" s="6" t="s">
        <v>104</v>
      </c>
      <c r="AA787" s="6" t="s">
        <v>104</v>
      </c>
      <c r="AB787" s="6" t="s">
        <v>104</v>
      </c>
      <c r="AC787" s="6" t="s">
        <v>9714</v>
      </c>
      <c r="AD787" s="16" t="n">
        <v>43383</v>
      </c>
      <c r="AE787" s="6" t="s">
        <v>11224</v>
      </c>
      <c r="AF787" s="6" t="s">
        <v>104</v>
      </c>
      <c r="AG787" s="6" t="s">
        <v>4667</v>
      </c>
      <c r="AH787" s="6" t="s">
        <v>13870</v>
      </c>
      <c r="AI787" s="6" t="s">
        <v>104</v>
      </c>
      <c r="AJ787" s="6" t="s">
        <v>15883</v>
      </c>
      <c r="AK787" s="6" t="s">
        <v>16382</v>
      </c>
      <c r="AL787" s="6" t="s">
        <v>16931</v>
      </c>
      <c r="AM787" s="6" t="s">
        <v>17515</v>
      </c>
      <c r="AN787" s="6" t="s">
        <v>104</v>
      </c>
      <c r="AO787" s="6" t="s">
        <v>104</v>
      </c>
      <c r="AP787" s="6" t="s">
        <v>19147</v>
      </c>
      <c r="AQ787" s="6" t="s">
        <v>104</v>
      </c>
      <c r="AR787" s="6" t="s">
        <v>19667</v>
      </c>
      <c r="AS787" s="6" t="s">
        <v>16382</v>
      </c>
      <c r="AT787" s="6" t="s">
        <v>16931</v>
      </c>
      <c r="AU787" s="6" t="s">
        <v>19894</v>
      </c>
      <c r="AV787" s="6" t="s">
        <v>18476</v>
      </c>
      <c r="AW787" s="6" t="s">
        <v>20090</v>
      </c>
      <c r="AX787" s="6" t="s">
        <v>20733</v>
      </c>
      <c r="AY787" s="6" t="s">
        <v>22503</v>
      </c>
      <c r="AZ787" s="6" t="s">
        <v>23893</v>
      </c>
      <c r="BA787" s="6" t="s">
        <v>104</v>
      </c>
      <c r="BB787" s="6" t="s">
        <v>104</v>
      </c>
      <c r="BC787" s="26"/>
      <c r="BD787" s="26"/>
      <c r="BE787" s="26" t="s">
        <v>24533</v>
      </c>
      <c r="BF787" s="26"/>
      <c r="BG787" s="26"/>
      <c r="BH787" s="26"/>
      <c r="BI787" s="26"/>
      <c r="BJ787" s="26"/>
      <c r="BK787" s="26"/>
      <c r="BL787" s="26"/>
      <c r="BM787" s="26"/>
      <c r="BN787" s="26"/>
      <c r="BO787" s="26"/>
      <c r="BP787" s="16" t="n">
        <v>45739</v>
      </c>
      <c r="BQ787" s="28" t="str">
        <f>HYPERLINK("https://organic.ams.usda.gov/Integrity/Certificate.aspx?cid=82&amp;nopid=2780003491")</f>
        <v>https://organic.ams.usda.gov/Integrity/Certificate.aspx?cid=82&amp;nopid=2780003491</v>
      </c>
    </row>
    <row r="788">
      <c r="A788" t="s">
        <v>3</v>
      </c>
      <c r="B788" s="6" t="s">
        <v>44</v>
      </c>
      <c r="C788" s="6" t="s">
        <v>110</v>
      </c>
      <c r="D788" s="6" t="s">
        <v>174</v>
      </c>
      <c r="E788" s="10" t="s">
        <v>986</v>
      </c>
      <c r="F788" s="6" t="s">
        <v>3234</v>
      </c>
      <c r="G788" s="6" t="s">
        <v>104</v>
      </c>
      <c r="H788" s="6" t="s">
        <v>5611</v>
      </c>
      <c r="I788" s="6" t="s">
        <v>7054</v>
      </c>
      <c r="J788" s="6" t="s">
        <v>8730</v>
      </c>
      <c r="K788" s="6" t="s">
        <v>9714</v>
      </c>
      <c r="L788" s="16" t="n">
        <v>39593</v>
      </c>
      <c r="M788" s="16" t="n">
        <v>46081</v>
      </c>
      <c r="N788" s="6" t="s">
        <v>9714</v>
      </c>
      <c r="O788" s="16" t="n">
        <v>39593</v>
      </c>
      <c r="P788" s="6" t="s">
        <v>9938</v>
      </c>
      <c r="Q788" s="6" t="s">
        <v>104</v>
      </c>
      <c r="R788" s="6" t="s">
        <v>104</v>
      </c>
      <c r="S788" s="6" t="s">
        <v>104</v>
      </c>
      <c r="T788" s="21" t="s">
        <v>104</v>
      </c>
      <c r="U788" s="6" t="s">
        <v>104</v>
      </c>
      <c r="V788" s="6" t="s">
        <v>104</v>
      </c>
      <c r="W788" s="6" t="s">
        <v>104</v>
      </c>
      <c r="X788" s="6" t="s">
        <v>104</v>
      </c>
      <c r="Y788" s="21" t="s">
        <v>104</v>
      </c>
      <c r="Z788" s="6" t="s">
        <v>104</v>
      </c>
      <c r="AA788" s="6" t="s">
        <v>104</v>
      </c>
      <c r="AB788" s="6" t="s">
        <v>104</v>
      </c>
      <c r="AC788" s="6" t="s">
        <v>9714</v>
      </c>
      <c r="AD788" s="16" t="n">
        <v>39593</v>
      </c>
      <c r="AE788" s="6" t="s">
        <v>11225</v>
      </c>
      <c r="AF788" s="6" t="s">
        <v>104</v>
      </c>
      <c r="AG788" s="6" t="s">
        <v>104</v>
      </c>
      <c r="AH788" s="6" t="s">
        <v>13871</v>
      </c>
      <c r="AI788" s="6" t="s">
        <v>104</v>
      </c>
      <c r="AJ788" s="6" t="s">
        <v>15884</v>
      </c>
      <c r="AK788" s="6" t="s">
        <v>15697</v>
      </c>
      <c r="AL788" s="6" t="s">
        <v>16931</v>
      </c>
      <c r="AM788" s="6" t="s">
        <v>17516</v>
      </c>
      <c r="AN788" s="6" t="s">
        <v>18521</v>
      </c>
      <c r="AO788" s="6" t="s">
        <v>18685</v>
      </c>
      <c r="AP788" s="6" t="s">
        <v>13871</v>
      </c>
      <c r="AQ788" s="6" t="s">
        <v>104</v>
      </c>
      <c r="AR788" s="6" t="s">
        <v>15884</v>
      </c>
      <c r="AS788" s="6" t="s">
        <v>15697</v>
      </c>
      <c r="AT788" s="6" t="s">
        <v>16931</v>
      </c>
      <c r="AU788" s="6" t="s">
        <v>17516</v>
      </c>
      <c r="AV788" s="6" t="s">
        <v>104</v>
      </c>
      <c r="AW788" s="6" t="s">
        <v>104</v>
      </c>
      <c r="AX788" s="6" t="s">
        <v>20734</v>
      </c>
      <c r="AY788" s="6" t="s">
        <v>22504</v>
      </c>
      <c r="AZ788" s="6" t="s">
        <v>23894</v>
      </c>
      <c r="BA788" s="6" t="s">
        <v>104</v>
      </c>
      <c r="BB788" s="24" t="n">
        <v>0</v>
      </c>
      <c r="BC788" s="26"/>
      <c r="BD788" s="26"/>
      <c r="BE788" s="26"/>
      <c r="BF788" s="26"/>
      <c r="BG788" s="26"/>
      <c r="BH788" s="26"/>
      <c r="BI788" s="26"/>
      <c r="BJ788" s="26"/>
      <c r="BK788" s="26"/>
      <c r="BL788" s="26"/>
      <c r="BM788" s="26"/>
      <c r="BN788" s="26"/>
      <c r="BO788" s="26"/>
      <c r="BP788" s="16" t="n">
        <v>45730</v>
      </c>
      <c r="BQ788" s="28" t="str">
        <f>HYPERLINK("https://organic.ams.usda.gov/Integrity/Certificate.aspx?cid=57&amp;nopid=3252008044")</f>
        <v>https://organic.ams.usda.gov/Integrity/Certificate.aspx?cid=57&amp;nopid=3252008044</v>
      </c>
    </row>
    <row r="789">
      <c r="A789" t="s">
        <v>3</v>
      </c>
      <c r="B789" s="6" t="s">
        <v>23</v>
      </c>
      <c r="C789" s="6" t="s">
        <v>89</v>
      </c>
      <c r="D789" s="6" t="s">
        <v>154</v>
      </c>
      <c r="E789" s="10" t="s">
        <v>987</v>
      </c>
      <c r="F789" s="6" t="s">
        <v>3235</v>
      </c>
      <c r="G789" s="6" t="s">
        <v>104</v>
      </c>
      <c r="H789" s="6" t="s">
        <v>5612</v>
      </c>
      <c r="I789" s="6" t="s">
        <v>6940</v>
      </c>
      <c r="J789" s="6" t="s">
        <v>8131</v>
      </c>
      <c r="K789" s="6" t="s">
        <v>9714</v>
      </c>
      <c r="L789" s="16" t="n">
        <v>43494</v>
      </c>
      <c r="M789" s="16" t="n">
        <v>45748</v>
      </c>
      <c r="N789" s="6" t="s">
        <v>104</v>
      </c>
      <c r="O789" s="21" t="s">
        <v>104</v>
      </c>
      <c r="P789" s="6" t="s">
        <v>104</v>
      </c>
      <c r="Q789" s="6" t="s">
        <v>104</v>
      </c>
      <c r="R789" s="6" t="s">
        <v>104</v>
      </c>
      <c r="S789" s="6" t="s">
        <v>104</v>
      </c>
      <c r="T789" s="21" t="s">
        <v>104</v>
      </c>
      <c r="U789" s="6" t="s">
        <v>104</v>
      </c>
      <c r="V789" s="6" t="s">
        <v>104</v>
      </c>
      <c r="W789" s="6" t="s">
        <v>104</v>
      </c>
      <c r="X789" s="6" t="s">
        <v>104</v>
      </c>
      <c r="Y789" s="21" t="s">
        <v>104</v>
      </c>
      <c r="Z789" s="6" t="s">
        <v>104</v>
      </c>
      <c r="AA789" s="6" t="s">
        <v>104</v>
      </c>
      <c r="AB789" s="6" t="s">
        <v>104</v>
      </c>
      <c r="AC789" s="6" t="s">
        <v>9714</v>
      </c>
      <c r="AD789" s="16" t="n">
        <v>43494</v>
      </c>
      <c r="AE789" s="6" t="s">
        <v>11226</v>
      </c>
      <c r="AF789" s="6" t="s">
        <v>104</v>
      </c>
      <c r="AG789" s="6" t="s">
        <v>5612</v>
      </c>
      <c r="AH789" s="6" t="s">
        <v>13872</v>
      </c>
      <c r="AI789" s="6" t="s">
        <v>104</v>
      </c>
      <c r="AJ789" s="6" t="s">
        <v>15456</v>
      </c>
      <c r="AK789" s="6" t="s">
        <v>16714</v>
      </c>
      <c r="AL789" s="6" t="s">
        <v>16931</v>
      </c>
      <c r="AM789" s="6" t="s">
        <v>17517</v>
      </c>
      <c r="AN789" s="6" t="s">
        <v>5640</v>
      </c>
      <c r="AO789" s="6" t="s">
        <v>18589</v>
      </c>
      <c r="AP789" s="6" t="s">
        <v>104</v>
      </c>
      <c r="AQ789" s="6" t="s">
        <v>104</v>
      </c>
      <c r="AR789" s="6" t="s">
        <v>104</v>
      </c>
      <c r="AS789" s="6" t="s">
        <v>104</v>
      </c>
      <c r="AT789" s="6" t="s">
        <v>104</v>
      </c>
      <c r="AU789" s="6" t="s">
        <v>104</v>
      </c>
      <c r="AV789" s="6" t="s">
        <v>104</v>
      </c>
      <c r="AW789" s="6" t="s">
        <v>104</v>
      </c>
      <c r="AX789" s="6" t="s">
        <v>20735</v>
      </c>
      <c r="AY789" s="6" t="s">
        <v>22505</v>
      </c>
      <c r="AZ789" s="6" t="s">
        <v>23895</v>
      </c>
      <c r="BA789" s="6" t="s">
        <v>104</v>
      </c>
      <c r="BB789" s="24" t="n">
        <v>0</v>
      </c>
      <c r="BC789" s="26"/>
      <c r="BD789" s="26"/>
      <c r="BE789" s="26"/>
      <c r="BF789" s="26"/>
      <c r="BG789" s="26" t="s">
        <v>24533</v>
      </c>
      <c r="BH789" s="26"/>
      <c r="BI789" s="26"/>
      <c r="BJ789" s="26"/>
      <c r="BK789" s="26"/>
      <c r="BL789" s="26"/>
      <c r="BM789" s="26"/>
      <c r="BN789" s="26"/>
      <c r="BO789" s="26"/>
      <c r="BP789" s="16" t="n">
        <v>45530</v>
      </c>
      <c r="BQ789" s="28" t="str">
        <f>HYPERLINK("https://organic.ams.usda.gov/Integrity/Certificate.aspx?cid=45&amp;nopid=9950010946")</f>
        <v>https://organic.ams.usda.gov/Integrity/Certificate.aspx?cid=45&amp;nopid=9950010946</v>
      </c>
    </row>
    <row r="790">
      <c r="A790" t="s">
        <v>3</v>
      </c>
      <c r="B790" s="6" t="s">
        <v>21</v>
      </c>
      <c r="C790" s="6" t="s">
        <v>87</v>
      </c>
      <c r="D790" s="6" t="s">
        <v>152</v>
      </c>
      <c r="E790" s="10" t="s">
        <v>988</v>
      </c>
      <c r="F790" s="6" t="s">
        <v>3236</v>
      </c>
      <c r="G790" s="6" t="s">
        <v>104</v>
      </c>
      <c r="H790" s="6" t="s">
        <v>5613</v>
      </c>
      <c r="I790" s="6" t="s">
        <v>7440</v>
      </c>
      <c r="J790" s="6" t="s">
        <v>8731</v>
      </c>
      <c r="K790" s="6" t="s">
        <v>9714</v>
      </c>
      <c r="L790" s="16" t="n">
        <v>43369</v>
      </c>
      <c r="M790" s="16" t="n">
        <v>46023</v>
      </c>
      <c r="N790" s="6" t="s">
        <v>9714</v>
      </c>
      <c r="O790" s="16" t="n">
        <v>43369</v>
      </c>
      <c r="P790" s="6" t="s">
        <v>9939</v>
      </c>
      <c r="Q790" s="6" t="s">
        <v>104</v>
      </c>
      <c r="R790" s="6" t="s">
        <v>104</v>
      </c>
      <c r="S790" s="6" t="s">
        <v>104</v>
      </c>
      <c r="T790" s="21" t="s">
        <v>104</v>
      </c>
      <c r="U790" s="6" t="s">
        <v>104</v>
      </c>
      <c r="V790" s="6" t="s">
        <v>104</v>
      </c>
      <c r="W790" s="6" t="s">
        <v>104</v>
      </c>
      <c r="X790" s="6" t="s">
        <v>104</v>
      </c>
      <c r="Y790" s="21" t="s">
        <v>104</v>
      </c>
      <c r="Z790" s="6" t="s">
        <v>104</v>
      </c>
      <c r="AA790" s="6" t="s">
        <v>104</v>
      </c>
      <c r="AB790" s="6" t="s">
        <v>104</v>
      </c>
      <c r="AC790" s="6" t="s">
        <v>9714</v>
      </c>
      <c r="AD790" s="16" t="n">
        <v>43369</v>
      </c>
      <c r="AE790" s="6" t="s">
        <v>11227</v>
      </c>
      <c r="AF790" s="6" t="s">
        <v>104</v>
      </c>
      <c r="AG790" s="6" t="s">
        <v>104</v>
      </c>
      <c r="AH790" s="6" t="s">
        <v>13873</v>
      </c>
      <c r="AI790" s="6" t="s">
        <v>104</v>
      </c>
      <c r="AJ790" s="6" t="s">
        <v>15428</v>
      </c>
      <c r="AK790" s="6" t="s">
        <v>16687</v>
      </c>
      <c r="AL790" s="6" t="s">
        <v>16931</v>
      </c>
      <c r="AM790" s="6" t="s">
        <v>17056</v>
      </c>
      <c r="AN790" s="6" t="s">
        <v>18471</v>
      </c>
      <c r="AO790" s="6" t="s">
        <v>18579</v>
      </c>
      <c r="AP790" s="6" t="s">
        <v>13873</v>
      </c>
      <c r="AQ790" s="6" t="s">
        <v>104</v>
      </c>
      <c r="AR790" s="6" t="s">
        <v>15428</v>
      </c>
      <c r="AS790" s="6" t="s">
        <v>16687</v>
      </c>
      <c r="AT790" s="6" t="s">
        <v>16931</v>
      </c>
      <c r="AU790" s="6" t="s">
        <v>17056</v>
      </c>
      <c r="AV790" s="6" t="s">
        <v>104</v>
      </c>
      <c r="AW790" s="6" t="s">
        <v>104</v>
      </c>
      <c r="AX790" s="6" t="s">
        <v>20736</v>
      </c>
      <c r="AY790" s="6" t="s">
        <v>22506</v>
      </c>
      <c r="AZ790" s="6" t="s">
        <v>104</v>
      </c>
      <c r="BA790" s="6" t="s">
        <v>104</v>
      </c>
      <c r="BB790" s="24" t="n">
        <v>1034</v>
      </c>
      <c r="BC790" s="26"/>
      <c r="BD790" s="26"/>
      <c r="BE790" s="26"/>
      <c r="BF790" s="26"/>
      <c r="BG790" s="26"/>
      <c r="BH790" s="26"/>
      <c r="BI790" s="26"/>
      <c r="BJ790" s="26"/>
      <c r="BK790" s="26"/>
      <c r="BL790" s="26"/>
      <c r="BM790" s="26"/>
      <c r="BN790" s="26"/>
      <c r="BO790" s="26"/>
      <c r="BP790" s="16" t="n">
        <v>45667</v>
      </c>
      <c r="BQ790" s="28" t="str">
        <f>HYPERLINK("https://organic.ams.usda.gov/Integrity/Certificate.aspx?cid=15&amp;nopid=5561005524")</f>
        <v>https://organic.ams.usda.gov/Integrity/Certificate.aspx?cid=15&amp;nopid=5561005524</v>
      </c>
    </row>
    <row r="791">
      <c r="A791" t="s">
        <v>3</v>
      </c>
      <c r="B791" s="6" t="s">
        <v>13</v>
      </c>
      <c r="C791" s="6" t="s">
        <v>79</v>
      </c>
      <c r="D791" s="6" t="s">
        <v>144</v>
      </c>
      <c r="E791" s="10" t="s">
        <v>989</v>
      </c>
      <c r="F791" s="6" t="s">
        <v>3237</v>
      </c>
      <c r="G791" s="6" t="s">
        <v>104</v>
      </c>
      <c r="H791" s="6" t="s">
        <v>5614</v>
      </c>
      <c r="I791" s="6" t="s">
        <v>7189</v>
      </c>
      <c r="J791" s="6" t="s">
        <v>8732</v>
      </c>
      <c r="K791" s="6" t="s">
        <v>9714</v>
      </c>
      <c r="L791" s="16" t="n">
        <v>37375</v>
      </c>
      <c r="M791" s="16" t="n">
        <v>45748</v>
      </c>
      <c r="N791" s="6" t="s">
        <v>9714</v>
      </c>
      <c r="O791" s="16" t="n">
        <v>37375</v>
      </c>
      <c r="P791" s="6" t="s">
        <v>9940</v>
      </c>
      <c r="Q791" s="6" t="s">
        <v>104</v>
      </c>
      <c r="R791" s="6" t="s">
        <v>104</v>
      </c>
      <c r="S791" s="6" t="s">
        <v>104</v>
      </c>
      <c r="T791" s="21" t="s">
        <v>104</v>
      </c>
      <c r="U791" s="6" t="s">
        <v>104</v>
      </c>
      <c r="V791" s="6" t="s">
        <v>104</v>
      </c>
      <c r="W791" s="6" t="s">
        <v>104</v>
      </c>
      <c r="X791" s="6" t="s">
        <v>104</v>
      </c>
      <c r="Y791" s="21" t="s">
        <v>104</v>
      </c>
      <c r="Z791" s="6" t="s">
        <v>104</v>
      </c>
      <c r="AA791" s="6" t="s">
        <v>104</v>
      </c>
      <c r="AB791" s="6" t="s">
        <v>104</v>
      </c>
      <c r="AC791" s="6" t="s">
        <v>104</v>
      </c>
      <c r="AD791" s="21" t="s">
        <v>104</v>
      </c>
      <c r="AE791" s="6" t="s">
        <v>104</v>
      </c>
      <c r="AF791" s="6" t="s">
        <v>104</v>
      </c>
      <c r="AG791" s="6" t="s">
        <v>104</v>
      </c>
      <c r="AH791" s="6" t="s">
        <v>104</v>
      </c>
      <c r="AI791" s="6" t="s">
        <v>104</v>
      </c>
      <c r="AJ791" s="6" t="s">
        <v>104</v>
      </c>
      <c r="AK791" s="6" t="s">
        <v>104</v>
      </c>
      <c r="AL791" s="6" t="s">
        <v>104</v>
      </c>
      <c r="AM791" s="6" t="s">
        <v>104</v>
      </c>
      <c r="AN791" s="6" t="s">
        <v>104</v>
      </c>
      <c r="AO791" s="6" t="s">
        <v>104</v>
      </c>
      <c r="AP791" s="6" t="s">
        <v>19148</v>
      </c>
      <c r="AQ791" s="6" t="s">
        <v>104</v>
      </c>
      <c r="AR791" s="6" t="s">
        <v>19668</v>
      </c>
      <c r="AS791" s="6" t="s">
        <v>16683</v>
      </c>
      <c r="AT791" s="6" t="s">
        <v>16931</v>
      </c>
      <c r="AU791" s="6" t="s">
        <v>19895</v>
      </c>
      <c r="AV791" s="6" t="s">
        <v>18529</v>
      </c>
      <c r="AW791" s="6" t="s">
        <v>18774</v>
      </c>
      <c r="AX791" s="6" t="s">
        <v>20737</v>
      </c>
      <c r="AY791" s="6" t="s">
        <v>22507</v>
      </c>
      <c r="AZ791" s="6" t="s">
        <v>104</v>
      </c>
      <c r="BA791" s="6" t="s">
        <v>104</v>
      </c>
      <c r="BB791" s="24" t="n">
        <v>1275</v>
      </c>
      <c r="BC791" s="26"/>
      <c r="BD791" s="26"/>
      <c r="BE791" s="26"/>
      <c r="BF791" s="26"/>
      <c r="BG791" s="26"/>
      <c r="BH791" s="26"/>
      <c r="BI791" s="26"/>
      <c r="BJ791" s="26"/>
      <c r="BK791" s="26"/>
      <c r="BL791" s="26"/>
      <c r="BM791" s="26"/>
      <c r="BN791" s="26"/>
      <c r="BO791" s="26"/>
      <c r="BP791" s="16" t="n">
        <v>45736</v>
      </c>
      <c r="BQ791" s="28" t="str">
        <f>HYPERLINK("https://organic.ams.usda.gov/Integrity/Certificate.aspx?cid=62&amp;nopid=8150000930")</f>
        <v>https://organic.ams.usda.gov/Integrity/Certificate.aspx?cid=62&amp;nopid=8150000930</v>
      </c>
    </row>
    <row r="792">
      <c r="A792" t="s">
        <v>3</v>
      </c>
      <c r="B792" s="6" t="s">
        <v>28</v>
      </c>
      <c r="C792" s="6" t="s">
        <v>94</v>
      </c>
      <c r="D792" s="6" t="s">
        <v>159</v>
      </c>
      <c r="E792" s="10" t="s">
        <v>990</v>
      </c>
      <c r="F792" s="6" t="s">
        <v>3238</v>
      </c>
      <c r="G792" s="6" t="s">
        <v>104</v>
      </c>
      <c r="H792" s="6" t="s">
        <v>5615</v>
      </c>
      <c r="I792" s="6" t="s">
        <v>7441</v>
      </c>
      <c r="J792" s="6" t="s">
        <v>8733</v>
      </c>
      <c r="K792" s="6" t="s">
        <v>9714</v>
      </c>
      <c r="L792" s="16" t="n">
        <v>44715</v>
      </c>
      <c r="M792" s="16" t="n">
        <v>45748</v>
      </c>
      <c r="N792" s="6" t="s">
        <v>104</v>
      </c>
      <c r="O792" s="21" t="s">
        <v>104</v>
      </c>
      <c r="P792" s="6" t="s">
        <v>104</v>
      </c>
      <c r="Q792" s="6" t="s">
        <v>104</v>
      </c>
      <c r="R792" s="6" t="s">
        <v>104</v>
      </c>
      <c r="S792" s="6" t="s">
        <v>104</v>
      </c>
      <c r="T792" s="21" t="s">
        <v>104</v>
      </c>
      <c r="U792" s="6" t="s">
        <v>104</v>
      </c>
      <c r="V792" s="6" t="s">
        <v>104</v>
      </c>
      <c r="W792" s="6" t="s">
        <v>104</v>
      </c>
      <c r="X792" s="6" t="s">
        <v>104</v>
      </c>
      <c r="Y792" s="21" t="s">
        <v>104</v>
      </c>
      <c r="Z792" s="6" t="s">
        <v>104</v>
      </c>
      <c r="AA792" s="6" t="s">
        <v>104</v>
      </c>
      <c r="AB792" s="6" t="s">
        <v>104</v>
      </c>
      <c r="AC792" s="6" t="s">
        <v>9714</v>
      </c>
      <c r="AD792" s="16" t="n">
        <v>44715</v>
      </c>
      <c r="AE792" s="6" t="s">
        <v>11228</v>
      </c>
      <c r="AF792" s="6" t="s">
        <v>104</v>
      </c>
      <c r="AG792" s="6" t="s">
        <v>12738</v>
      </c>
      <c r="AH792" s="6" t="s">
        <v>13874</v>
      </c>
      <c r="AI792" s="6" t="s">
        <v>15268</v>
      </c>
      <c r="AJ792" s="6" t="s">
        <v>15885</v>
      </c>
      <c r="AK792" s="6" t="s">
        <v>104</v>
      </c>
      <c r="AL792" s="6" t="s">
        <v>16932</v>
      </c>
      <c r="AM792" s="6" t="s">
        <v>17518</v>
      </c>
      <c r="AN792" s="6" t="s">
        <v>104</v>
      </c>
      <c r="AO792" s="6" t="s">
        <v>104</v>
      </c>
      <c r="AP792" s="6" t="s">
        <v>104</v>
      </c>
      <c r="AQ792" s="6" t="s">
        <v>104</v>
      </c>
      <c r="AR792" s="6" t="s">
        <v>104</v>
      </c>
      <c r="AS792" s="6" t="s">
        <v>104</v>
      </c>
      <c r="AT792" s="6" t="s">
        <v>104</v>
      </c>
      <c r="AU792" s="6" t="s">
        <v>104</v>
      </c>
      <c r="AV792" s="6" t="s">
        <v>104</v>
      </c>
      <c r="AW792" s="6" t="s">
        <v>104</v>
      </c>
      <c r="AX792" s="6" t="s">
        <v>20738</v>
      </c>
      <c r="AY792" s="6" t="s">
        <v>22508</v>
      </c>
      <c r="AZ792" s="6" t="s">
        <v>104</v>
      </c>
      <c r="BA792" s="6" t="s">
        <v>104</v>
      </c>
      <c r="BB792" s="6" t="s">
        <v>104</v>
      </c>
      <c r="BC792" s="26"/>
      <c r="BD792" s="26"/>
      <c r="BE792" s="26"/>
      <c r="BF792" s="26"/>
      <c r="BG792" s="26"/>
      <c r="BH792" s="26"/>
      <c r="BI792" s="26"/>
      <c r="BJ792" s="26"/>
      <c r="BK792" s="26"/>
      <c r="BL792" s="26"/>
      <c r="BM792" s="26"/>
      <c r="BN792" s="26"/>
      <c r="BO792" s="26"/>
      <c r="BP792" s="16" t="n">
        <v>45681</v>
      </c>
      <c r="BQ792" s="28" t="str">
        <f>HYPERLINK("https://organic.ams.usda.gov/Integrity/Certificate.aspx?cid=11&amp;nopid=4797114800")</f>
        <v>https://organic.ams.usda.gov/Integrity/Certificate.aspx?cid=11&amp;nopid=4797114800</v>
      </c>
    </row>
    <row r="793">
      <c r="A793" t="s">
        <v>3</v>
      </c>
      <c r="B793" s="6" t="s">
        <v>21</v>
      </c>
      <c r="C793" s="6" t="s">
        <v>87</v>
      </c>
      <c r="D793" s="6" t="s">
        <v>152</v>
      </c>
      <c r="E793" s="10" t="s">
        <v>991</v>
      </c>
      <c r="F793" s="6" t="s">
        <v>3239</v>
      </c>
      <c r="G793" s="6" t="s">
        <v>104</v>
      </c>
      <c r="H793" s="6" t="s">
        <v>5616</v>
      </c>
      <c r="I793" s="6" t="s">
        <v>7170</v>
      </c>
      <c r="J793" s="6" t="s">
        <v>8734</v>
      </c>
      <c r="K793" s="6" t="s">
        <v>9714</v>
      </c>
      <c r="L793" s="16" t="n">
        <v>45546</v>
      </c>
      <c r="M793" s="16" t="n">
        <v>46023</v>
      </c>
      <c r="N793" s="6" t="s">
        <v>104</v>
      </c>
      <c r="O793" s="21" t="s">
        <v>104</v>
      </c>
      <c r="P793" s="6" t="s">
        <v>104</v>
      </c>
      <c r="Q793" s="6" t="s">
        <v>104</v>
      </c>
      <c r="R793" s="6" t="s">
        <v>104</v>
      </c>
      <c r="S793" s="6" t="s">
        <v>104</v>
      </c>
      <c r="T793" s="21" t="s">
        <v>104</v>
      </c>
      <c r="U793" s="6" t="s">
        <v>104</v>
      </c>
      <c r="V793" s="6" t="s">
        <v>104</v>
      </c>
      <c r="W793" s="6" t="s">
        <v>104</v>
      </c>
      <c r="X793" s="6" t="s">
        <v>104</v>
      </c>
      <c r="Y793" s="21" t="s">
        <v>104</v>
      </c>
      <c r="Z793" s="6" t="s">
        <v>104</v>
      </c>
      <c r="AA793" s="6" t="s">
        <v>104</v>
      </c>
      <c r="AB793" s="6" t="s">
        <v>104</v>
      </c>
      <c r="AC793" s="6" t="s">
        <v>9714</v>
      </c>
      <c r="AD793" s="16" t="n">
        <v>45546</v>
      </c>
      <c r="AE793" s="6" t="s">
        <v>11229</v>
      </c>
      <c r="AF793" s="6" t="s">
        <v>104</v>
      </c>
      <c r="AG793" s="6" t="s">
        <v>104</v>
      </c>
      <c r="AH793" s="6" t="s">
        <v>13875</v>
      </c>
      <c r="AI793" s="6" t="s">
        <v>104</v>
      </c>
      <c r="AJ793" s="6" t="s">
        <v>15886</v>
      </c>
      <c r="AK793" s="6" t="s">
        <v>16687</v>
      </c>
      <c r="AL793" s="6" t="s">
        <v>16931</v>
      </c>
      <c r="AM793" s="6" t="s">
        <v>17519</v>
      </c>
      <c r="AN793" s="6" t="s">
        <v>104</v>
      </c>
      <c r="AO793" s="6" t="s">
        <v>104</v>
      </c>
      <c r="AP793" s="6" t="s">
        <v>19149</v>
      </c>
      <c r="AQ793" s="6" t="s">
        <v>104</v>
      </c>
      <c r="AR793" s="6" t="s">
        <v>15886</v>
      </c>
      <c r="AS793" s="6" t="s">
        <v>16687</v>
      </c>
      <c r="AT793" s="6" t="s">
        <v>16931</v>
      </c>
      <c r="AU793" s="6" t="s">
        <v>17519</v>
      </c>
      <c r="AV793" s="6" t="s">
        <v>104</v>
      </c>
      <c r="AW793" s="6" t="s">
        <v>104</v>
      </c>
      <c r="AX793" s="6" t="s">
        <v>20739</v>
      </c>
      <c r="AY793" s="6" t="s">
        <v>22509</v>
      </c>
      <c r="AZ793" s="6" t="s">
        <v>104</v>
      </c>
      <c r="BA793" s="6" t="s">
        <v>104</v>
      </c>
      <c r="BB793" s="6" t="s">
        <v>104</v>
      </c>
      <c r="BC793" s="26"/>
      <c r="BD793" s="26"/>
      <c r="BE793" s="26"/>
      <c r="BF793" s="26"/>
      <c r="BG793" s="26"/>
      <c r="BH793" s="26"/>
      <c r="BI793" s="26"/>
      <c r="BJ793" s="26"/>
      <c r="BK793" s="26"/>
      <c r="BL793" s="26"/>
      <c r="BM793" s="26"/>
      <c r="BN793" s="26"/>
      <c r="BO793" s="26"/>
      <c r="BP793" s="16" t="n">
        <v>45667</v>
      </c>
      <c r="BQ793" s="28" t="str">
        <f>HYPERLINK("https://organic.ams.usda.gov/Integrity/Certificate.aspx?cid=15&amp;nopid=5561007916")</f>
        <v>https://organic.ams.usda.gov/Integrity/Certificate.aspx?cid=15&amp;nopid=5561007916</v>
      </c>
    </row>
    <row r="794">
      <c r="A794" t="s">
        <v>3</v>
      </c>
      <c r="B794" s="6" t="s">
        <v>12</v>
      </c>
      <c r="C794" s="6" t="s">
        <v>78</v>
      </c>
      <c r="D794" s="6" t="s">
        <v>143</v>
      </c>
      <c r="E794" s="10" t="s">
        <v>992</v>
      </c>
      <c r="F794" s="6" t="s">
        <v>3240</v>
      </c>
      <c r="G794" s="6" t="s">
        <v>104</v>
      </c>
      <c r="H794" s="6" t="s">
        <v>104</v>
      </c>
      <c r="I794" s="6" t="s">
        <v>7442</v>
      </c>
      <c r="J794" s="6" t="s">
        <v>7269</v>
      </c>
      <c r="K794" s="6" t="s">
        <v>9714</v>
      </c>
      <c r="L794" s="16" t="n">
        <v>44879</v>
      </c>
      <c r="M794" s="16" t="n">
        <v>45970</v>
      </c>
      <c r="N794" s="6" t="s">
        <v>104</v>
      </c>
      <c r="O794" s="21" t="s">
        <v>104</v>
      </c>
      <c r="P794" s="6" t="s">
        <v>104</v>
      </c>
      <c r="Q794" s="6" t="s">
        <v>104</v>
      </c>
      <c r="R794" s="6" t="s">
        <v>104</v>
      </c>
      <c r="S794" s="6" t="s">
        <v>104</v>
      </c>
      <c r="T794" s="21" t="s">
        <v>104</v>
      </c>
      <c r="U794" s="6" t="s">
        <v>104</v>
      </c>
      <c r="V794" s="6" t="s">
        <v>104</v>
      </c>
      <c r="W794" s="6" t="s">
        <v>104</v>
      </c>
      <c r="X794" s="6" t="s">
        <v>104</v>
      </c>
      <c r="Y794" s="21" t="s">
        <v>104</v>
      </c>
      <c r="Z794" s="6" t="s">
        <v>104</v>
      </c>
      <c r="AA794" s="6" t="s">
        <v>104</v>
      </c>
      <c r="AB794" s="6" t="s">
        <v>104</v>
      </c>
      <c r="AC794" s="6" t="s">
        <v>9714</v>
      </c>
      <c r="AD794" s="16" t="n">
        <v>44879</v>
      </c>
      <c r="AE794" s="6" t="s">
        <v>11230</v>
      </c>
      <c r="AF794" s="6" t="s">
        <v>104</v>
      </c>
      <c r="AG794" s="6" t="s">
        <v>12739</v>
      </c>
      <c r="AH794" s="6" t="s">
        <v>13876</v>
      </c>
      <c r="AI794" s="6" t="s">
        <v>104</v>
      </c>
      <c r="AJ794" s="6" t="s">
        <v>15887</v>
      </c>
      <c r="AK794" s="6" t="s">
        <v>16687</v>
      </c>
      <c r="AL794" s="6" t="s">
        <v>16931</v>
      </c>
      <c r="AM794" s="6" t="s">
        <v>17520</v>
      </c>
      <c r="AN794" s="6" t="s">
        <v>18487</v>
      </c>
      <c r="AO794" s="6" t="s">
        <v>18601</v>
      </c>
      <c r="AP794" s="6" t="s">
        <v>13876</v>
      </c>
      <c r="AQ794" s="6" t="s">
        <v>104</v>
      </c>
      <c r="AR794" s="6" t="s">
        <v>15887</v>
      </c>
      <c r="AS794" s="6" t="s">
        <v>16687</v>
      </c>
      <c r="AT794" s="6" t="s">
        <v>16931</v>
      </c>
      <c r="AU794" s="6" t="s">
        <v>17520</v>
      </c>
      <c r="AV794" s="6" t="s">
        <v>104</v>
      </c>
      <c r="AW794" s="6" t="s">
        <v>104</v>
      </c>
      <c r="AX794" s="6" t="s">
        <v>104</v>
      </c>
      <c r="AY794" s="6" t="s">
        <v>22510</v>
      </c>
      <c r="AZ794" s="6" t="s">
        <v>104</v>
      </c>
      <c r="BA794" s="6" t="s">
        <v>104</v>
      </c>
      <c r="BB794" s="6" t="s">
        <v>104</v>
      </c>
      <c r="BC794" s="26"/>
      <c r="BD794" s="26"/>
      <c r="BE794" s="26"/>
      <c r="BF794" s="26"/>
      <c r="BG794" s="26"/>
      <c r="BH794" s="26"/>
      <c r="BI794" s="26"/>
      <c r="BJ794" s="26"/>
      <c r="BK794" s="26"/>
      <c r="BL794" s="26"/>
      <c r="BM794" s="26"/>
      <c r="BN794" s="26"/>
      <c r="BO794" s="26"/>
      <c r="BP794" s="16" t="n">
        <v>45628</v>
      </c>
      <c r="BQ794" s="28" t="str">
        <f>HYPERLINK("https://organic.ams.usda.gov/Integrity/Certificate.aspx?cid=1&amp;nopid=9092231301")</f>
        <v>https://organic.ams.usda.gov/Integrity/Certificate.aspx?cid=1&amp;nopid=9092231301</v>
      </c>
    </row>
    <row r="795">
      <c r="A795" t="s">
        <v>3</v>
      </c>
      <c r="B795" s="6" t="s">
        <v>34</v>
      </c>
      <c r="C795" s="6" t="s">
        <v>100</v>
      </c>
      <c r="D795" s="6" t="s">
        <v>165</v>
      </c>
      <c r="E795" s="10" t="s">
        <v>993</v>
      </c>
      <c r="F795" s="6" t="s">
        <v>3241</v>
      </c>
      <c r="G795" s="6" t="s">
        <v>104</v>
      </c>
      <c r="H795" s="6" t="s">
        <v>5617</v>
      </c>
      <c r="I795" s="6" t="s">
        <v>7443</v>
      </c>
      <c r="J795" s="6" t="s">
        <v>8735</v>
      </c>
      <c r="K795" s="6" t="s">
        <v>9714</v>
      </c>
      <c r="L795" s="16" t="n">
        <v>37375</v>
      </c>
      <c r="M795" s="16" t="n">
        <v>45650</v>
      </c>
      <c r="N795" s="6" t="s">
        <v>104</v>
      </c>
      <c r="O795" s="21" t="s">
        <v>104</v>
      </c>
      <c r="P795" s="6" t="s">
        <v>104</v>
      </c>
      <c r="Q795" s="6" t="s">
        <v>104</v>
      </c>
      <c r="R795" s="6" t="s">
        <v>104</v>
      </c>
      <c r="S795" s="6" t="s">
        <v>104</v>
      </c>
      <c r="T795" s="21" t="s">
        <v>104</v>
      </c>
      <c r="U795" s="6" t="s">
        <v>104</v>
      </c>
      <c r="V795" s="6" t="s">
        <v>104</v>
      </c>
      <c r="W795" s="6" t="s">
        <v>104</v>
      </c>
      <c r="X795" s="6" t="s">
        <v>104</v>
      </c>
      <c r="Y795" s="21" t="s">
        <v>104</v>
      </c>
      <c r="Z795" s="6" t="s">
        <v>104</v>
      </c>
      <c r="AA795" s="6" t="s">
        <v>104</v>
      </c>
      <c r="AB795" s="6" t="s">
        <v>104</v>
      </c>
      <c r="AC795" s="6" t="s">
        <v>9714</v>
      </c>
      <c r="AD795" s="16" t="n">
        <v>37375</v>
      </c>
      <c r="AE795" s="6" t="s">
        <v>11231</v>
      </c>
      <c r="AF795" s="6" t="s">
        <v>104</v>
      </c>
      <c r="AG795" s="6" t="s">
        <v>12740</v>
      </c>
      <c r="AH795" s="6" t="s">
        <v>13877</v>
      </c>
      <c r="AI795" s="6" t="s">
        <v>104</v>
      </c>
      <c r="AJ795" s="6" t="s">
        <v>15888</v>
      </c>
      <c r="AK795" s="6" t="s">
        <v>16687</v>
      </c>
      <c r="AL795" s="6" t="s">
        <v>16931</v>
      </c>
      <c r="AM795" s="6" t="s">
        <v>17521</v>
      </c>
      <c r="AN795" s="6" t="s">
        <v>18507</v>
      </c>
      <c r="AO795" s="6" t="s">
        <v>18733</v>
      </c>
      <c r="AP795" s="6" t="s">
        <v>13877</v>
      </c>
      <c r="AQ795" s="6" t="s">
        <v>104</v>
      </c>
      <c r="AR795" s="6" t="s">
        <v>15888</v>
      </c>
      <c r="AS795" s="6" t="s">
        <v>16687</v>
      </c>
      <c r="AT795" s="6" t="s">
        <v>16931</v>
      </c>
      <c r="AU795" s="6" t="s">
        <v>17521</v>
      </c>
      <c r="AV795" s="6" t="s">
        <v>104</v>
      </c>
      <c r="AW795" s="6" t="s">
        <v>104</v>
      </c>
      <c r="AX795" s="6" t="s">
        <v>20740</v>
      </c>
      <c r="AY795" s="6" t="s">
        <v>22511</v>
      </c>
      <c r="AZ795" s="6" t="s">
        <v>104</v>
      </c>
      <c r="BA795" s="6" t="s">
        <v>104</v>
      </c>
      <c r="BB795" s="6" t="s">
        <v>104</v>
      </c>
      <c r="BC795" s="26"/>
      <c r="BD795" s="26"/>
      <c r="BE795" s="26"/>
      <c r="BF795" s="26"/>
      <c r="BG795" s="26"/>
      <c r="BH795" s="26"/>
      <c r="BI795" s="26"/>
      <c r="BJ795" s="26"/>
      <c r="BK795" s="26"/>
      <c r="BL795" s="26"/>
      <c r="BM795" s="26"/>
      <c r="BN795" s="26"/>
      <c r="BO795" s="26"/>
      <c r="BP795" s="16" t="n">
        <v>45737</v>
      </c>
      <c r="BQ795" s="28" t="str">
        <f>HYPERLINK("https://organic.ams.usda.gov/Integrity/Certificate.aspx?cid=71&amp;nopid=5520030617")</f>
        <v>https://organic.ams.usda.gov/Integrity/Certificate.aspx?cid=71&amp;nopid=5520030617</v>
      </c>
    </row>
    <row r="796">
      <c r="A796" t="s">
        <v>3</v>
      </c>
      <c r="B796" s="6" t="s">
        <v>34</v>
      </c>
      <c r="C796" s="6" t="s">
        <v>100</v>
      </c>
      <c r="D796" s="6" t="s">
        <v>165</v>
      </c>
      <c r="E796" s="10" t="s">
        <v>994</v>
      </c>
      <c r="F796" s="6" t="s">
        <v>3242</v>
      </c>
      <c r="G796" s="6" t="s">
        <v>104</v>
      </c>
      <c r="H796" s="6" t="s">
        <v>5618</v>
      </c>
      <c r="I796" s="6" t="s">
        <v>7444</v>
      </c>
      <c r="J796" s="6" t="s">
        <v>8736</v>
      </c>
      <c r="K796" s="6" t="s">
        <v>9714</v>
      </c>
      <c r="L796" s="16" t="n">
        <v>43311</v>
      </c>
      <c r="M796" s="16" t="n">
        <v>45875</v>
      </c>
      <c r="N796" s="6" t="s">
        <v>104</v>
      </c>
      <c r="O796" s="21" t="s">
        <v>104</v>
      </c>
      <c r="P796" s="6" t="s">
        <v>104</v>
      </c>
      <c r="Q796" s="6" t="s">
        <v>104</v>
      </c>
      <c r="R796" s="6" t="s">
        <v>104</v>
      </c>
      <c r="S796" s="6" t="s">
        <v>104</v>
      </c>
      <c r="T796" s="21" t="s">
        <v>104</v>
      </c>
      <c r="U796" s="6" t="s">
        <v>104</v>
      </c>
      <c r="V796" s="6" t="s">
        <v>104</v>
      </c>
      <c r="W796" s="6" t="s">
        <v>104</v>
      </c>
      <c r="X796" s="6" t="s">
        <v>104</v>
      </c>
      <c r="Y796" s="21" t="s">
        <v>104</v>
      </c>
      <c r="Z796" s="6" t="s">
        <v>104</v>
      </c>
      <c r="AA796" s="6" t="s">
        <v>104</v>
      </c>
      <c r="AB796" s="6" t="s">
        <v>104</v>
      </c>
      <c r="AC796" s="6" t="s">
        <v>9714</v>
      </c>
      <c r="AD796" s="16" t="n">
        <v>43311</v>
      </c>
      <c r="AE796" s="6" t="s">
        <v>11232</v>
      </c>
      <c r="AF796" s="6" t="s">
        <v>104</v>
      </c>
      <c r="AG796" s="6" t="s">
        <v>12741</v>
      </c>
      <c r="AH796" s="6" t="s">
        <v>13878</v>
      </c>
      <c r="AI796" s="6" t="s">
        <v>104</v>
      </c>
      <c r="AJ796" s="6" t="s">
        <v>15889</v>
      </c>
      <c r="AK796" s="6" t="s">
        <v>16735</v>
      </c>
      <c r="AL796" s="6" t="s">
        <v>16931</v>
      </c>
      <c r="AM796" s="6" t="s">
        <v>17522</v>
      </c>
      <c r="AN796" s="6" t="s">
        <v>104</v>
      </c>
      <c r="AO796" s="6" t="s">
        <v>104</v>
      </c>
      <c r="AP796" s="6" t="s">
        <v>13878</v>
      </c>
      <c r="AQ796" s="6" t="s">
        <v>104</v>
      </c>
      <c r="AR796" s="6" t="s">
        <v>15889</v>
      </c>
      <c r="AS796" s="6" t="s">
        <v>16735</v>
      </c>
      <c r="AT796" s="6" t="s">
        <v>16931</v>
      </c>
      <c r="AU796" s="6" t="s">
        <v>17522</v>
      </c>
      <c r="AV796" s="6" t="s">
        <v>104</v>
      </c>
      <c r="AW796" s="6" t="s">
        <v>104</v>
      </c>
      <c r="AX796" s="6" t="s">
        <v>20741</v>
      </c>
      <c r="AY796" s="6" t="s">
        <v>22512</v>
      </c>
      <c r="AZ796" s="6" t="s">
        <v>23896</v>
      </c>
      <c r="BA796" s="6" t="s">
        <v>104</v>
      </c>
      <c r="BB796" s="6" t="s">
        <v>104</v>
      </c>
      <c r="BC796" s="26"/>
      <c r="BD796" s="26"/>
      <c r="BE796" s="26"/>
      <c r="BF796" s="26"/>
      <c r="BG796" s="26"/>
      <c r="BH796" s="26"/>
      <c r="BI796" s="26"/>
      <c r="BJ796" s="26"/>
      <c r="BK796" s="26"/>
      <c r="BL796" s="26"/>
      <c r="BM796" s="26"/>
      <c r="BN796" s="26"/>
      <c r="BO796" s="26"/>
      <c r="BP796" s="16" t="n">
        <v>45737</v>
      </c>
      <c r="BQ796" s="28" t="str">
        <f>HYPERLINK("https://organic.ams.usda.gov/Integrity/Certificate.aspx?cid=71&amp;nopid=5520373042")</f>
        <v>https://organic.ams.usda.gov/Integrity/Certificate.aspx?cid=71&amp;nopid=5520373042</v>
      </c>
    </row>
    <row r="797">
      <c r="A797" t="s">
        <v>3</v>
      </c>
      <c r="B797" s="6" t="s">
        <v>34</v>
      </c>
      <c r="C797" s="6" t="s">
        <v>100</v>
      </c>
      <c r="D797" s="6" t="s">
        <v>165</v>
      </c>
      <c r="E797" s="10" t="s">
        <v>995</v>
      </c>
      <c r="F797" s="6" t="s">
        <v>3242</v>
      </c>
      <c r="G797" s="6" t="s">
        <v>104</v>
      </c>
      <c r="H797" s="6" t="s">
        <v>5619</v>
      </c>
      <c r="I797" s="6" t="s">
        <v>7444</v>
      </c>
      <c r="J797" s="6" t="s">
        <v>8736</v>
      </c>
      <c r="K797" s="6" t="s">
        <v>9714</v>
      </c>
      <c r="L797" s="16" t="n">
        <v>43189</v>
      </c>
      <c r="M797" s="16" t="n">
        <v>45673</v>
      </c>
      <c r="N797" s="6" t="s">
        <v>104</v>
      </c>
      <c r="O797" s="21" t="s">
        <v>104</v>
      </c>
      <c r="P797" s="6" t="s">
        <v>104</v>
      </c>
      <c r="Q797" s="6" t="s">
        <v>104</v>
      </c>
      <c r="R797" s="6" t="s">
        <v>104</v>
      </c>
      <c r="S797" s="6" t="s">
        <v>104</v>
      </c>
      <c r="T797" s="21" t="s">
        <v>104</v>
      </c>
      <c r="U797" s="6" t="s">
        <v>104</v>
      </c>
      <c r="V797" s="6" t="s">
        <v>104</v>
      </c>
      <c r="W797" s="6" t="s">
        <v>104</v>
      </c>
      <c r="X797" s="6" t="s">
        <v>104</v>
      </c>
      <c r="Y797" s="21" t="s">
        <v>104</v>
      </c>
      <c r="Z797" s="6" t="s">
        <v>104</v>
      </c>
      <c r="AA797" s="6" t="s">
        <v>104</v>
      </c>
      <c r="AB797" s="6" t="s">
        <v>104</v>
      </c>
      <c r="AC797" s="6" t="s">
        <v>9714</v>
      </c>
      <c r="AD797" s="16" t="n">
        <v>43189</v>
      </c>
      <c r="AE797" s="6" t="s">
        <v>11233</v>
      </c>
      <c r="AF797" s="6" t="s">
        <v>104</v>
      </c>
      <c r="AG797" s="6" t="s">
        <v>12742</v>
      </c>
      <c r="AH797" s="6" t="s">
        <v>13879</v>
      </c>
      <c r="AI797" s="6" t="s">
        <v>104</v>
      </c>
      <c r="AJ797" s="6" t="s">
        <v>15890</v>
      </c>
      <c r="AK797" s="6" t="s">
        <v>16710</v>
      </c>
      <c r="AL797" s="6" t="s">
        <v>16931</v>
      </c>
      <c r="AM797" s="6" t="s">
        <v>17523</v>
      </c>
      <c r="AN797" s="6" t="s">
        <v>18492</v>
      </c>
      <c r="AO797" s="6" t="s">
        <v>18734</v>
      </c>
      <c r="AP797" s="6" t="s">
        <v>13878</v>
      </c>
      <c r="AQ797" s="6" t="s">
        <v>104</v>
      </c>
      <c r="AR797" s="6" t="s">
        <v>15889</v>
      </c>
      <c r="AS797" s="6" t="s">
        <v>16735</v>
      </c>
      <c r="AT797" s="6" t="s">
        <v>16931</v>
      </c>
      <c r="AU797" s="6" t="s">
        <v>17522</v>
      </c>
      <c r="AV797" s="6" t="s">
        <v>104</v>
      </c>
      <c r="AW797" s="6" t="s">
        <v>104</v>
      </c>
      <c r="AX797" s="6" t="s">
        <v>20742</v>
      </c>
      <c r="AY797" s="6" t="s">
        <v>22512</v>
      </c>
      <c r="AZ797" s="6" t="s">
        <v>23896</v>
      </c>
      <c r="BA797" s="6" t="s">
        <v>104</v>
      </c>
      <c r="BB797" s="6" t="s">
        <v>104</v>
      </c>
      <c r="BC797" s="26"/>
      <c r="BD797" s="26"/>
      <c r="BE797" s="26"/>
      <c r="BF797" s="26"/>
      <c r="BG797" s="26"/>
      <c r="BH797" s="26"/>
      <c r="BI797" s="26"/>
      <c r="BJ797" s="26"/>
      <c r="BK797" s="26"/>
      <c r="BL797" s="26"/>
      <c r="BM797" s="26"/>
      <c r="BN797" s="26"/>
      <c r="BO797" s="26"/>
      <c r="BP797" s="16" t="n">
        <v>45737</v>
      </c>
      <c r="BQ797" s="28" t="str">
        <f>HYPERLINK("https://organic.ams.usda.gov/Integrity/Certificate.aspx?cid=71&amp;nopid=5520373048")</f>
        <v>https://organic.ams.usda.gov/Integrity/Certificate.aspx?cid=71&amp;nopid=5520373048</v>
      </c>
    </row>
    <row r="798">
      <c r="A798" t="s">
        <v>3</v>
      </c>
      <c r="B798" s="6" t="s">
        <v>6</v>
      </c>
      <c r="C798" s="6" t="s">
        <v>72</v>
      </c>
      <c r="D798" s="6" t="s">
        <v>137</v>
      </c>
      <c r="E798" s="10" t="s">
        <v>996</v>
      </c>
      <c r="F798" s="6" t="s">
        <v>3243</v>
      </c>
      <c r="G798" s="6" t="s">
        <v>104</v>
      </c>
      <c r="H798" s="6" t="s">
        <v>5620</v>
      </c>
      <c r="I798" s="6" t="s">
        <v>7445</v>
      </c>
      <c r="J798" s="6" t="s">
        <v>8737</v>
      </c>
      <c r="K798" s="6" t="s">
        <v>9714</v>
      </c>
      <c r="L798" s="16" t="n">
        <v>43872</v>
      </c>
      <c r="M798" s="16" t="n">
        <v>45995</v>
      </c>
      <c r="N798" s="6" t="s">
        <v>104</v>
      </c>
      <c r="O798" s="21" t="s">
        <v>104</v>
      </c>
      <c r="P798" s="6" t="s">
        <v>104</v>
      </c>
      <c r="Q798" s="6" t="s">
        <v>104</v>
      </c>
      <c r="R798" s="6" t="s">
        <v>104</v>
      </c>
      <c r="S798" s="6" t="s">
        <v>104</v>
      </c>
      <c r="T798" s="21" t="s">
        <v>104</v>
      </c>
      <c r="U798" s="6" t="s">
        <v>104</v>
      </c>
      <c r="V798" s="6" t="s">
        <v>104</v>
      </c>
      <c r="W798" s="6" t="s">
        <v>104</v>
      </c>
      <c r="X798" s="6" t="s">
        <v>104</v>
      </c>
      <c r="Y798" s="21" t="s">
        <v>104</v>
      </c>
      <c r="Z798" s="6" t="s">
        <v>104</v>
      </c>
      <c r="AA798" s="6" t="s">
        <v>104</v>
      </c>
      <c r="AB798" s="6" t="s">
        <v>104</v>
      </c>
      <c r="AC798" s="6" t="s">
        <v>9714</v>
      </c>
      <c r="AD798" s="16" t="n">
        <v>43872</v>
      </c>
      <c r="AE798" s="6" t="s">
        <v>11234</v>
      </c>
      <c r="AF798" s="6" t="s">
        <v>104</v>
      </c>
      <c r="AG798" s="6" t="s">
        <v>12743</v>
      </c>
      <c r="AH798" s="6" t="s">
        <v>13880</v>
      </c>
      <c r="AI798" s="6" t="s">
        <v>104</v>
      </c>
      <c r="AJ798" s="6" t="s">
        <v>15491</v>
      </c>
      <c r="AK798" s="6" t="s">
        <v>16779</v>
      </c>
      <c r="AL798" s="6" t="s">
        <v>16766</v>
      </c>
      <c r="AM798" s="6" t="s">
        <v>104</v>
      </c>
      <c r="AN798" s="6" t="s">
        <v>104</v>
      </c>
      <c r="AO798" s="6" t="s">
        <v>104</v>
      </c>
      <c r="AP798" s="6" t="s">
        <v>104</v>
      </c>
      <c r="AQ798" s="6" t="s">
        <v>104</v>
      </c>
      <c r="AR798" s="6" t="s">
        <v>104</v>
      </c>
      <c r="AS798" s="6" t="s">
        <v>104</v>
      </c>
      <c r="AT798" s="6" t="s">
        <v>104</v>
      </c>
      <c r="AU798" s="6" t="s">
        <v>104</v>
      </c>
      <c r="AV798" s="6" t="s">
        <v>104</v>
      </c>
      <c r="AW798" s="6" t="s">
        <v>104</v>
      </c>
      <c r="AX798" s="6" t="s">
        <v>20743</v>
      </c>
      <c r="AY798" s="6" t="s">
        <v>22513</v>
      </c>
      <c r="AZ798" s="6" t="s">
        <v>104</v>
      </c>
      <c r="BA798" s="6" t="s">
        <v>24258</v>
      </c>
      <c r="BB798" s="6" t="s">
        <v>104</v>
      </c>
      <c r="BC798" s="26"/>
      <c r="BD798" s="26"/>
      <c r="BE798" s="26"/>
      <c r="BF798" s="26"/>
      <c r="BG798" s="26"/>
      <c r="BH798" s="26"/>
      <c r="BI798" s="26"/>
      <c r="BJ798" s="26"/>
      <c r="BK798" s="26"/>
      <c r="BL798" s="26"/>
      <c r="BM798" s="26"/>
      <c r="BN798" s="26"/>
      <c r="BO798" s="26"/>
      <c r="BP798" s="16" t="n">
        <v>45737</v>
      </c>
      <c r="BQ798" s="28" t="str">
        <f>HYPERLINK("https://organic.ams.usda.gov/Integrity/Certificate.aspx?cid=32&amp;nopid=2230008873")</f>
        <v>https://organic.ams.usda.gov/Integrity/Certificate.aspx?cid=32&amp;nopid=2230008873</v>
      </c>
    </row>
    <row r="799">
      <c r="A799" t="s">
        <v>3</v>
      </c>
      <c r="B799" s="6" t="s">
        <v>6</v>
      </c>
      <c r="C799" s="6" t="s">
        <v>72</v>
      </c>
      <c r="D799" s="6" t="s">
        <v>137</v>
      </c>
      <c r="E799" s="10" t="s">
        <v>997</v>
      </c>
      <c r="F799" s="6" t="s">
        <v>3244</v>
      </c>
      <c r="G799" s="6" t="s">
        <v>104</v>
      </c>
      <c r="H799" s="6" t="s">
        <v>5621</v>
      </c>
      <c r="I799" s="6" t="s">
        <v>7445</v>
      </c>
      <c r="J799" s="6" t="s">
        <v>8737</v>
      </c>
      <c r="K799" s="6" t="s">
        <v>9714</v>
      </c>
      <c r="L799" s="16" t="n">
        <v>43872</v>
      </c>
      <c r="M799" s="16" t="n">
        <v>45992</v>
      </c>
      <c r="N799" s="6" t="s">
        <v>104</v>
      </c>
      <c r="O799" s="21" t="s">
        <v>104</v>
      </c>
      <c r="P799" s="6" t="s">
        <v>104</v>
      </c>
      <c r="Q799" s="6" t="s">
        <v>104</v>
      </c>
      <c r="R799" s="6" t="s">
        <v>104</v>
      </c>
      <c r="S799" s="6" t="s">
        <v>104</v>
      </c>
      <c r="T799" s="21" t="s">
        <v>104</v>
      </c>
      <c r="U799" s="6" t="s">
        <v>104</v>
      </c>
      <c r="V799" s="6" t="s">
        <v>104</v>
      </c>
      <c r="W799" s="6" t="s">
        <v>104</v>
      </c>
      <c r="X799" s="6" t="s">
        <v>104</v>
      </c>
      <c r="Y799" s="21" t="s">
        <v>104</v>
      </c>
      <c r="Z799" s="6" t="s">
        <v>104</v>
      </c>
      <c r="AA799" s="6" t="s">
        <v>104</v>
      </c>
      <c r="AB799" s="6" t="s">
        <v>104</v>
      </c>
      <c r="AC799" s="6" t="s">
        <v>9714</v>
      </c>
      <c r="AD799" s="16" t="n">
        <v>43872</v>
      </c>
      <c r="AE799" s="6" t="s">
        <v>11235</v>
      </c>
      <c r="AF799" s="6" t="s">
        <v>104</v>
      </c>
      <c r="AG799" s="6" t="s">
        <v>12744</v>
      </c>
      <c r="AH799" s="6" t="s">
        <v>13881</v>
      </c>
      <c r="AI799" s="6" t="s">
        <v>104</v>
      </c>
      <c r="AJ799" s="6" t="s">
        <v>15718</v>
      </c>
      <c r="AK799" s="6" t="s">
        <v>16779</v>
      </c>
      <c r="AL799" s="6" t="s">
        <v>16766</v>
      </c>
      <c r="AM799" s="6" t="s">
        <v>104</v>
      </c>
      <c r="AN799" s="6" t="s">
        <v>104</v>
      </c>
      <c r="AO799" s="6" t="s">
        <v>104</v>
      </c>
      <c r="AP799" s="6" t="s">
        <v>104</v>
      </c>
      <c r="AQ799" s="6" t="s">
        <v>104</v>
      </c>
      <c r="AR799" s="6" t="s">
        <v>104</v>
      </c>
      <c r="AS799" s="6" t="s">
        <v>104</v>
      </c>
      <c r="AT799" s="6" t="s">
        <v>104</v>
      </c>
      <c r="AU799" s="6" t="s">
        <v>104</v>
      </c>
      <c r="AV799" s="6" t="s">
        <v>104</v>
      </c>
      <c r="AW799" s="6" t="s">
        <v>104</v>
      </c>
      <c r="AX799" s="6" t="s">
        <v>20743</v>
      </c>
      <c r="AY799" s="6" t="s">
        <v>22513</v>
      </c>
      <c r="AZ799" s="6" t="s">
        <v>104</v>
      </c>
      <c r="BA799" s="6" t="s">
        <v>24258</v>
      </c>
      <c r="BB799" s="6" t="s">
        <v>104</v>
      </c>
      <c r="BC799" s="26"/>
      <c r="BD799" s="26"/>
      <c r="BE799" s="26"/>
      <c r="BF799" s="26"/>
      <c r="BG799" s="26"/>
      <c r="BH799" s="26"/>
      <c r="BI799" s="26"/>
      <c r="BJ799" s="26"/>
      <c r="BK799" s="26"/>
      <c r="BL799" s="26"/>
      <c r="BM799" s="26"/>
      <c r="BN799" s="26"/>
      <c r="BO799" s="26"/>
      <c r="BP799" s="16" t="n">
        <v>45737</v>
      </c>
      <c r="BQ799" s="28" t="str">
        <f>HYPERLINK("https://organic.ams.usda.gov/Integrity/Certificate.aspx?cid=32&amp;nopid=2230007228")</f>
        <v>https://organic.ams.usda.gov/Integrity/Certificate.aspx?cid=32&amp;nopid=2230007228</v>
      </c>
    </row>
    <row r="800">
      <c r="A800" t="s">
        <v>3</v>
      </c>
      <c r="B800" s="6" t="s">
        <v>22</v>
      </c>
      <c r="C800" s="6" t="s">
        <v>88</v>
      </c>
      <c r="D800" s="6" t="s">
        <v>153</v>
      </c>
      <c r="E800" s="10" t="s">
        <v>998</v>
      </c>
      <c r="F800" s="6" t="s">
        <v>3245</v>
      </c>
      <c r="G800" s="6" t="s">
        <v>104</v>
      </c>
      <c r="H800" s="6" t="s">
        <v>5622</v>
      </c>
      <c r="I800" s="6" t="s">
        <v>7446</v>
      </c>
      <c r="J800" s="6" t="s">
        <v>8738</v>
      </c>
      <c r="K800" s="6" t="s">
        <v>9714</v>
      </c>
      <c r="L800" s="16" t="n">
        <v>39680</v>
      </c>
      <c r="M800" s="16" t="n">
        <v>45748</v>
      </c>
      <c r="N800" s="6" t="s">
        <v>9714</v>
      </c>
      <c r="O800" s="16" t="n">
        <v>39680</v>
      </c>
      <c r="P800" s="6" t="s">
        <v>9941</v>
      </c>
      <c r="Q800" s="6" t="s">
        <v>104</v>
      </c>
      <c r="R800" s="6" t="s">
        <v>10354</v>
      </c>
      <c r="S800" s="6" t="s">
        <v>104</v>
      </c>
      <c r="T800" s="21" t="s">
        <v>104</v>
      </c>
      <c r="U800" s="6" t="s">
        <v>104</v>
      </c>
      <c r="V800" s="6" t="s">
        <v>104</v>
      </c>
      <c r="W800" s="6" t="s">
        <v>104</v>
      </c>
      <c r="X800" s="6" t="s">
        <v>104</v>
      </c>
      <c r="Y800" s="21" t="s">
        <v>104</v>
      </c>
      <c r="Z800" s="6" t="s">
        <v>104</v>
      </c>
      <c r="AA800" s="6" t="s">
        <v>104</v>
      </c>
      <c r="AB800" s="6" t="s">
        <v>104</v>
      </c>
      <c r="AC800" s="6" t="s">
        <v>9714</v>
      </c>
      <c r="AD800" s="16" t="n">
        <v>39680</v>
      </c>
      <c r="AE800" s="6" t="s">
        <v>11236</v>
      </c>
      <c r="AF800" s="6" t="s">
        <v>104</v>
      </c>
      <c r="AG800" s="6" t="s">
        <v>10354</v>
      </c>
      <c r="AH800" s="6" t="s">
        <v>13882</v>
      </c>
      <c r="AI800" s="6" t="s">
        <v>104</v>
      </c>
      <c r="AJ800" s="6" t="s">
        <v>15802</v>
      </c>
      <c r="AK800" s="6" t="s">
        <v>16370</v>
      </c>
      <c r="AL800" s="6" t="s">
        <v>16931</v>
      </c>
      <c r="AM800" s="6" t="s">
        <v>17524</v>
      </c>
      <c r="AN800" s="6" t="s">
        <v>18527</v>
      </c>
      <c r="AO800" s="6" t="s">
        <v>18735</v>
      </c>
      <c r="AP800" s="6" t="s">
        <v>19150</v>
      </c>
      <c r="AQ800" s="6" t="s">
        <v>104</v>
      </c>
      <c r="AR800" s="6" t="s">
        <v>15802</v>
      </c>
      <c r="AS800" s="6" t="s">
        <v>16370</v>
      </c>
      <c r="AT800" s="6" t="s">
        <v>16931</v>
      </c>
      <c r="AU800" s="6" t="s">
        <v>17524</v>
      </c>
      <c r="AV800" s="6" t="s">
        <v>104</v>
      </c>
      <c r="AW800" s="6" t="s">
        <v>104</v>
      </c>
      <c r="AX800" s="6" t="s">
        <v>20744</v>
      </c>
      <c r="AY800" s="6" t="s">
        <v>22514</v>
      </c>
      <c r="AZ800" s="6" t="s">
        <v>23897</v>
      </c>
      <c r="BA800" s="6" t="s">
        <v>104</v>
      </c>
      <c r="BB800" s="24" t="n">
        <v>32</v>
      </c>
      <c r="BC800" s="26"/>
      <c r="BD800" s="26"/>
      <c r="BE800" s="26"/>
      <c r="BF800" s="26"/>
      <c r="BG800" s="26" t="s">
        <v>24533</v>
      </c>
      <c r="BH800" s="26"/>
      <c r="BI800" s="26"/>
      <c r="BJ800" s="26" t="s">
        <v>24533</v>
      </c>
      <c r="BK800" s="26"/>
      <c r="BL800" s="26"/>
      <c r="BM800" s="26"/>
      <c r="BN800" s="26"/>
      <c r="BO800" s="26"/>
      <c r="BP800" s="16" t="n">
        <v>45737</v>
      </c>
      <c r="BQ800" s="28" t="str">
        <f>HYPERLINK("https://organic.ams.usda.gov/Integrity/Certificate.aspx?cid=72&amp;nopid=5870000012")</f>
        <v>https://organic.ams.usda.gov/Integrity/Certificate.aspx?cid=72&amp;nopid=5870000012</v>
      </c>
    </row>
    <row r="801">
      <c r="A801" t="s">
        <v>3</v>
      </c>
      <c r="B801" s="6" t="s">
        <v>62</v>
      </c>
      <c r="C801" s="6" t="s">
        <v>128</v>
      </c>
      <c r="D801" s="6" t="s">
        <v>192</v>
      </c>
      <c r="E801" s="10" t="s">
        <v>999</v>
      </c>
      <c r="F801" s="6" t="s">
        <v>3246</v>
      </c>
      <c r="G801" s="6" t="s">
        <v>4752</v>
      </c>
      <c r="H801" s="6" t="s">
        <v>5623</v>
      </c>
      <c r="I801" s="6" t="s">
        <v>3246</v>
      </c>
      <c r="J801" s="6" t="s">
        <v>104</v>
      </c>
      <c r="K801" s="6" t="s">
        <v>9714</v>
      </c>
      <c r="L801" s="16" t="n">
        <v>42400</v>
      </c>
      <c r="M801" s="16" t="n">
        <v>45738</v>
      </c>
      <c r="N801" s="6" t="s">
        <v>104</v>
      </c>
      <c r="O801" s="21" t="s">
        <v>104</v>
      </c>
      <c r="P801" s="6" t="s">
        <v>104</v>
      </c>
      <c r="Q801" s="6" t="s">
        <v>104</v>
      </c>
      <c r="R801" s="6" t="s">
        <v>104</v>
      </c>
      <c r="S801" s="6" t="s">
        <v>104</v>
      </c>
      <c r="T801" s="21" t="s">
        <v>104</v>
      </c>
      <c r="U801" s="6" t="s">
        <v>104</v>
      </c>
      <c r="V801" s="6" t="s">
        <v>104</v>
      </c>
      <c r="W801" s="6" t="s">
        <v>104</v>
      </c>
      <c r="X801" s="6" t="s">
        <v>104</v>
      </c>
      <c r="Y801" s="21" t="s">
        <v>104</v>
      </c>
      <c r="Z801" s="6" t="s">
        <v>104</v>
      </c>
      <c r="AA801" s="6" t="s">
        <v>104</v>
      </c>
      <c r="AB801" s="6" t="s">
        <v>104</v>
      </c>
      <c r="AC801" s="6" t="s">
        <v>9714</v>
      </c>
      <c r="AD801" s="16" t="n">
        <v>42400</v>
      </c>
      <c r="AE801" s="6" t="s">
        <v>11237</v>
      </c>
      <c r="AF801" s="6" t="s">
        <v>104</v>
      </c>
      <c r="AG801" s="6" t="s">
        <v>4752</v>
      </c>
      <c r="AH801" s="6" t="s">
        <v>13883</v>
      </c>
      <c r="AI801" s="6" t="s">
        <v>104</v>
      </c>
      <c r="AJ801" s="6" t="s">
        <v>15373</v>
      </c>
      <c r="AK801" s="6" t="s">
        <v>15373</v>
      </c>
      <c r="AL801" s="6" t="s">
        <v>16933</v>
      </c>
      <c r="AM801" s="6" t="s">
        <v>104</v>
      </c>
      <c r="AN801" s="6" t="s">
        <v>104</v>
      </c>
      <c r="AO801" s="6" t="s">
        <v>104</v>
      </c>
      <c r="AP801" s="6" t="s">
        <v>104</v>
      </c>
      <c r="AQ801" s="6" t="s">
        <v>104</v>
      </c>
      <c r="AR801" s="6" t="s">
        <v>104</v>
      </c>
      <c r="AS801" s="6" t="s">
        <v>104</v>
      </c>
      <c r="AT801" s="6" t="s">
        <v>104</v>
      </c>
      <c r="AU801" s="6" t="s">
        <v>104</v>
      </c>
      <c r="AV801" s="6" t="s">
        <v>104</v>
      </c>
      <c r="AW801" s="6" t="s">
        <v>104</v>
      </c>
      <c r="AX801" s="6" t="s">
        <v>104</v>
      </c>
      <c r="AY801" s="6" t="s">
        <v>22515</v>
      </c>
      <c r="AZ801" s="6" t="s">
        <v>23898</v>
      </c>
      <c r="BA801" s="6" t="s">
        <v>104</v>
      </c>
      <c r="BB801" s="6" t="s">
        <v>104</v>
      </c>
      <c r="BC801" s="26"/>
      <c r="BD801" s="26"/>
      <c r="BE801" s="26"/>
      <c r="BF801" s="26"/>
      <c r="BG801" s="26" t="s">
        <v>24533</v>
      </c>
      <c r="BH801" s="26"/>
      <c r="BI801" s="26"/>
      <c r="BJ801" s="26"/>
      <c r="BK801" s="26"/>
      <c r="BL801" s="26"/>
      <c r="BM801" s="26"/>
      <c r="BN801" s="26"/>
      <c r="BO801" s="26"/>
      <c r="BP801" s="16" t="n">
        <v>45509</v>
      </c>
      <c r="BQ801" s="28" t="str">
        <f>HYPERLINK("https://organic.ams.usda.gov/Integrity/Certificate.aspx?cid=10&amp;nopid=7845880235")</f>
        <v>https://organic.ams.usda.gov/Integrity/Certificate.aspx?cid=10&amp;nopid=7845880235</v>
      </c>
    </row>
    <row r="802">
      <c r="A802" t="s">
        <v>3</v>
      </c>
      <c r="B802" s="6" t="s">
        <v>28</v>
      </c>
      <c r="C802" s="6" t="s">
        <v>94</v>
      </c>
      <c r="D802" s="6" t="s">
        <v>159</v>
      </c>
      <c r="E802" s="10" t="s">
        <v>1000</v>
      </c>
      <c r="F802" s="6" t="s">
        <v>3247</v>
      </c>
      <c r="G802" s="6" t="s">
        <v>104</v>
      </c>
      <c r="H802" s="6" t="s">
        <v>5624</v>
      </c>
      <c r="I802" s="6" t="s">
        <v>7447</v>
      </c>
      <c r="J802" s="6" t="s">
        <v>8583</v>
      </c>
      <c r="K802" s="6" t="s">
        <v>9714</v>
      </c>
      <c r="L802" s="16" t="n">
        <v>44763</v>
      </c>
      <c r="M802" s="16" t="n">
        <v>45748</v>
      </c>
      <c r="N802" s="6" t="s">
        <v>104</v>
      </c>
      <c r="O802" s="21" t="s">
        <v>104</v>
      </c>
      <c r="P802" s="6" t="s">
        <v>104</v>
      </c>
      <c r="Q802" s="6" t="s">
        <v>104</v>
      </c>
      <c r="R802" s="6" t="s">
        <v>104</v>
      </c>
      <c r="S802" s="6" t="s">
        <v>104</v>
      </c>
      <c r="T802" s="21" t="s">
        <v>104</v>
      </c>
      <c r="U802" s="6" t="s">
        <v>104</v>
      </c>
      <c r="V802" s="6" t="s">
        <v>104</v>
      </c>
      <c r="W802" s="6" t="s">
        <v>104</v>
      </c>
      <c r="X802" s="6" t="s">
        <v>104</v>
      </c>
      <c r="Y802" s="21" t="s">
        <v>104</v>
      </c>
      <c r="Z802" s="6" t="s">
        <v>104</v>
      </c>
      <c r="AA802" s="6" t="s">
        <v>104</v>
      </c>
      <c r="AB802" s="6" t="s">
        <v>104</v>
      </c>
      <c r="AC802" s="6" t="s">
        <v>9714</v>
      </c>
      <c r="AD802" s="16" t="n">
        <v>44763</v>
      </c>
      <c r="AE802" s="6" t="s">
        <v>11238</v>
      </c>
      <c r="AF802" s="6" t="s">
        <v>104</v>
      </c>
      <c r="AG802" s="6" t="s">
        <v>12745</v>
      </c>
      <c r="AH802" s="6" t="s">
        <v>13884</v>
      </c>
      <c r="AI802" s="6" t="s">
        <v>104</v>
      </c>
      <c r="AJ802" s="6" t="s">
        <v>15471</v>
      </c>
      <c r="AK802" s="6" t="s">
        <v>104</v>
      </c>
      <c r="AL802" s="6" t="s">
        <v>16898</v>
      </c>
      <c r="AM802" s="6" t="s">
        <v>104</v>
      </c>
      <c r="AN802" s="6" t="s">
        <v>104</v>
      </c>
      <c r="AO802" s="6" t="s">
        <v>104</v>
      </c>
      <c r="AP802" s="6" t="s">
        <v>104</v>
      </c>
      <c r="AQ802" s="6" t="s">
        <v>104</v>
      </c>
      <c r="AR802" s="6" t="s">
        <v>104</v>
      </c>
      <c r="AS802" s="6" t="s">
        <v>104</v>
      </c>
      <c r="AT802" s="6" t="s">
        <v>104</v>
      </c>
      <c r="AU802" s="6" t="s">
        <v>104</v>
      </c>
      <c r="AV802" s="6" t="s">
        <v>104</v>
      </c>
      <c r="AW802" s="6" t="s">
        <v>104</v>
      </c>
      <c r="AX802" s="6" t="s">
        <v>20745</v>
      </c>
      <c r="AY802" s="6" t="s">
        <v>22516</v>
      </c>
      <c r="AZ802" s="6" t="s">
        <v>104</v>
      </c>
      <c r="BA802" s="6" t="s">
        <v>24381</v>
      </c>
      <c r="BB802" s="6" t="s">
        <v>104</v>
      </c>
      <c r="BC802" s="26"/>
      <c r="BD802" s="26"/>
      <c r="BE802" s="26"/>
      <c r="BF802" s="26"/>
      <c r="BG802" s="26"/>
      <c r="BH802" s="26"/>
      <c r="BI802" s="26"/>
      <c r="BJ802" s="26"/>
      <c r="BK802" s="26"/>
      <c r="BL802" s="26"/>
      <c r="BM802" s="26"/>
      <c r="BN802" s="26"/>
      <c r="BO802" s="26"/>
      <c r="BP802" s="16" t="n">
        <v>45712</v>
      </c>
      <c r="BQ802" s="28" t="str">
        <f>HYPERLINK("https://organic.ams.usda.gov/Integrity/Certificate.aspx?cid=11&amp;nopid=4792982524")</f>
        <v>https://organic.ams.usda.gov/Integrity/Certificate.aspx?cid=11&amp;nopid=4792982524</v>
      </c>
    </row>
    <row r="803">
      <c r="A803" t="s">
        <v>3</v>
      </c>
      <c r="B803" s="6" t="s">
        <v>21</v>
      </c>
      <c r="C803" s="6" t="s">
        <v>87</v>
      </c>
      <c r="D803" s="6" t="s">
        <v>152</v>
      </c>
      <c r="E803" s="10" t="s">
        <v>1001</v>
      </c>
      <c r="F803" s="6" t="s">
        <v>3248</v>
      </c>
      <c r="G803" s="6" t="s">
        <v>104</v>
      </c>
      <c r="H803" s="6" t="s">
        <v>5625</v>
      </c>
      <c r="I803" s="6" t="s">
        <v>7448</v>
      </c>
      <c r="J803" s="6" t="s">
        <v>8739</v>
      </c>
      <c r="K803" s="6" t="s">
        <v>9714</v>
      </c>
      <c r="L803" s="16" t="n">
        <v>45628</v>
      </c>
      <c r="M803" s="16" t="n">
        <v>46023</v>
      </c>
      <c r="N803" s="6" t="s">
        <v>104</v>
      </c>
      <c r="O803" s="21" t="s">
        <v>104</v>
      </c>
      <c r="P803" s="6" t="s">
        <v>104</v>
      </c>
      <c r="Q803" s="6" t="s">
        <v>104</v>
      </c>
      <c r="R803" s="6" t="s">
        <v>104</v>
      </c>
      <c r="S803" s="6" t="s">
        <v>104</v>
      </c>
      <c r="T803" s="21" t="s">
        <v>104</v>
      </c>
      <c r="U803" s="6" t="s">
        <v>104</v>
      </c>
      <c r="V803" s="6" t="s">
        <v>104</v>
      </c>
      <c r="W803" s="6" t="s">
        <v>104</v>
      </c>
      <c r="X803" s="6" t="s">
        <v>104</v>
      </c>
      <c r="Y803" s="21" t="s">
        <v>104</v>
      </c>
      <c r="Z803" s="6" t="s">
        <v>104</v>
      </c>
      <c r="AA803" s="6" t="s">
        <v>104</v>
      </c>
      <c r="AB803" s="6" t="s">
        <v>104</v>
      </c>
      <c r="AC803" s="6" t="s">
        <v>9714</v>
      </c>
      <c r="AD803" s="16" t="n">
        <v>45628</v>
      </c>
      <c r="AE803" s="6" t="s">
        <v>11239</v>
      </c>
      <c r="AF803" s="6" t="s">
        <v>104</v>
      </c>
      <c r="AG803" s="6" t="s">
        <v>104</v>
      </c>
      <c r="AH803" s="6" t="s">
        <v>13885</v>
      </c>
      <c r="AI803" s="6" t="s">
        <v>104</v>
      </c>
      <c r="AJ803" s="6" t="s">
        <v>15891</v>
      </c>
      <c r="AK803" s="6" t="s">
        <v>16680</v>
      </c>
      <c r="AL803" s="6" t="s">
        <v>16931</v>
      </c>
      <c r="AM803" s="6" t="s">
        <v>17525</v>
      </c>
      <c r="AN803" s="6" t="s">
        <v>104</v>
      </c>
      <c r="AO803" s="6" t="s">
        <v>104</v>
      </c>
      <c r="AP803" s="6" t="s">
        <v>19151</v>
      </c>
      <c r="AQ803" s="6" t="s">
        <v>19555</v>
      </c>
      <c r="AR803" s="6" t="s">
        <v>15891</v>
      </c>
      <c r="AS803" s="6" t="s">
        <v>16680</v>
      </c>
      <c r="AT803" s="6" t="s">
        <v>16931</v>
      </c>
      <c r="AU803" s="6" t="s">
        <v>17525</v>
      </c>
      <c r="AV803" s="6" t="s">
        <v>104</v>
      </c>
      <c r="AW803" s="6" t="s">
        <v>104</v>
      </c>
      <c r="AX803" s="6" t="s">
        <v>20746</v>
      </c>
      <c r="AY803" s="6" t="s">
        <v>22517</v>
      </c>
      <c r="AZ803" s="6" t="s">
        <v>104</v>
      </c>
      <c r="BA803" s="6" t="s">
        <v>24263</v>
      </c>
      <c r="BB803" s="6" t="s">
        <v>104</v>
      </c>
      <c r="BC803" s="26" t="s">
        <v>24533</v>
      </c>
      <c r="BD803" s="26"/>
      <c r="BE803" s="26"/>
      <c r="BF803" s="26"/>
      <c r="BG803" s="26"/>
      <c r="BH803" s="26"/>
      <c r="BI803" s="26"/>
      <c r="BJ803" s="26"/>
      <c r="BK803" s="26"/>
      <c r="BL803" s="26"/>
      <c r="BM803" s="26"/>
      <c r="BN803" s="26"/>
      <c r="BO803" s="26"/>
      <c r="BP803" s="16" t="n">
        <v>45722</v>
      </c>
      <c r="BQ803" s="28" t="str">
        <f>HYPERLINK("https://organic.ams.usda.gov/Integrity/Certificate.aspx?cid=15&amp;nopid=5561008527")</f>
        <v>https://organic.ams.usda.gov/Integrity/Certificate.aspx?cid=15&amp;nopid=5561008527</v>
      </c>
    </row>
    <row r="804">
      <c r="A804" t="s">
        <v>3</v>
      </c>
      <c r="B804" s="6" t="s">
        <v>17</v>
      </c>
      <c r="C804" s="6" t="s">
        <v>83</v>
      </c>
      <c r="D804" s="6" t="s">
        <v>148</v>
      </c>
      <c r="E804" s="10" t="s">
        <v>1002</v>
      </c>
      <c r="F804" s="6" t="s">
        <v>3249</v>
      </c>
      <c r="G804" s="6" t="s">
        <v>104</v>
      </c>
      <c r="H804" s="6" t="s">
        <v>5626</v>
      </c>
      <c r="I804" s="6" t="s">
        <v>7209</v>
      </c>
      <c r="J804" s="6" t="s">
        <v>8740</v>
      </c>
      <c r="K804" s="6" t="s">
        <v>9714</v>
      </c>
      <c r="L804" s="16" t="n">
        <v>45379</v>
      </c>
      <c r="M804" s="16" t="n">
        <v>45658</v>
      </c>
      <c r="N804" s="6" t="s">
        <v>104</v>
      </c>
      <c r="O804" s="21" t="s">
        <v>104</v>
      </c>
      <c r="P804" s="6" t="s">
        <v>104</v>
      </c>
      <c r="Q804" s="6" t="s">
        <v>104</v>
      </c>
      <c r="R804" s="6" t="s">
        <v>104</v>
      </c>
      <c r="S804" s="6" t="s">
        <v>104</v>
      </c>
      <c r="T804" s="21" t="s">
        <v>104</v>
      </c>
      <c r="U804" s="6" t="s">
        <v>104</v>
      </c>
      <c r="V804" s="6" t="s">
        <v>104</v>
      </c>
      <c r="W804" s="6" t="s">
        <v>104</v>
      </c>
      <c r="X804" s="6" t="s">
        <v>104</v>
      </c>
      <c r="Y804" s="21" t="s">
        <v>104</v>
      </c>
      <c r="Z804" s="6" t="s">
        <v>104</v>
      </c>
      <c r="AA804" s="6" t="s">
        <v>104</v>
      </c>
      <c r="AB804" s="6" t="s">
        <v>104</v>
      </c>
      <c r="AC804" s="6" t="s">
        <v>9714</v>
      </c>
      <c r="AD804" s="16" t="n">
        <v>45379</v>
      </c>
      <c r="AE804" s="6" t="s">
        <v>11240</v>
      </c>
      <c r="AF804" s="6" t="s">
        <v>104</v>
      </c>
      <c r="AG804" s="6" t="s">
        <v>104</v>
      </c>
      <c r="AH804" s="6" t="s">
        <v>13886</v>
      </c>
      <c r="AI804" s="6" t="s">
        <v>104</v>
      </c>
      <c r="AJ804" s="6" t="s">
        <v>15892</v>
      </c>
      <c r="AK804" s="6" t="s">
        <v>16710</v>
      </c>
      <c r="AL804" s="6" t="s">
        <v>16931</v>
      </c>
      <c r="AM804" s="6" t="s">
        <v>17526</v>
      </c>
      <c r="AN804" s="6" t="s">
        <v>104</v>
      </c>
      <c r="AO804" s="6" t="s">
        <v>104</v>
      </c>
      <c r="AP804" s="6" t="s">
        <v>19152</v>
      </c>
      <c r="AQ804" s="6" t="s">
        <v>19556</v>
      </c>
      <c r="AR804" s="6" t="s">
        <v>19669</v>
      </c>
      <c r="AS804" s="6" t="s">
        <v>16370</v>
      </c>
      <c r="AT804" s="6" t="s">
        <v>16931</v>
      </c>
      <c r="AU804" s="6" t="s">
        <v>19896</v>
      </c>
      <c r="AV804" s="6" t="s">
        <v>104</v>
      </c>
      <c r="AW804" s="6" t="s">
        <v>104</v>
      </c>
      <c r="AX804" s="6" t="s">
        <v>20747</v>
      </c>
      <c r="AY804" s="6" t="s">
        <v>22518</v>
      </c>
      <c r="AZ804" s="6" t="s">
        <v>23899</v>
      </c>
      <c r="BA804" s="6" t="s">
        <v>104</v>
      </c>
      <c r="BB804" s="24" t="n">
        <v>0</v>
      </c>
      <c r="BC804" s="26" t="s">
        <v>24533</v>
      </c>
      <c r="BD804" s="26"/>
      <c r="BE804" s="26"/>
      <c r="BF804" s="26"/>
      <c r="BG804" s="26"/>
      <c r="BH804" s="26" t="s">
        <v>24533</v>
      </c>
      <c r="BI804" s="26"/>
      <c r="BJ804" s="26"/>
      <c r="BK804" s="26"/>
      <c r="BL804" s="26"/>
      <c r="BM804" s="26"/>
      <c r="BN804" s="26"/>
      <c r="BO804" s="26"/>
      <c r="BP804" s="16" t="n">
        <v>45737</v>
      </c>
      <c r="BQ804" s="28" t="str">
        <f>HYPERLINK("https://organic.ams.usda.gov/Integrity/Certificate.aspx?cid=51&amp;nopid=8240030223")</f>
        <v>https://organic.ams.usda.gov/Integrity/Certificate.aspx?cid=51&amp;nopid=8240030223</v>
      </c>
    </row>
    <row r="805">
      <c r="A805" t="s">
        <v>3</v>
      </c>
      <c r="B805" s="6" t="s">
        <v>33</v>
      </c>
      <c r="C805" s="6" t="s">
        <v>99</v>
      </c>
      <c r="D805" s="6" t="s">
        <v>164</v>
      </c>
      <c r="E805" s="10" t="s">
        <v>1003</v>
      </c>
      <c r="F805" s="6" t="s">
        <v>3250</v>
      </c>
      <c r="G805" s="6" t="s">
        <v>104</v>
      </c>
      <c r="H805" s="6" t="s">
        <v>5627</v>
      </c>
      <c r="I805" s="6" t="s">
        <v>7449</v>
      </c>
      <c r="J805" s="6" t="s">
        <v>8741</v>
      </c>
      <c r="K805" s="6" t="s">
        <v>9714</v>
      </c>
      <c r="L805" s="16" t="n">
        <v>43748</v>
      </c>
      <c r="M805" s="16" t="n">
        <v>45536</v>
      </c>
      <c r="N805" s="6" t="s">
        <v>104</v>
      </c>
      <c r="O805" s="21" t="s">
        <v>104</v>
      </c>
      <c r="P805" s="6" t="s">
        <v>104</v>
      </c>
      <c r="Q805" s="6" t="s">
        <v>104</v>
      </c>
      <c r="R805" s="6" t="s">
        <v>104</v>
      </c>
      <c r="S805" s="6" t="s">
        <v>104</v>
      </c>
      <c r="T805" s="21" t="s">
        <v>104</v>
      </c>
      <c r="U805" s="6" t="s">
        <v>104</v>
      </c>
      <c r="V805" s="6" t="s">
        <v>104</v>
      </c>
      <c r="W805" s="6" t="s">
        <v>104</v>
      </c>
      <c r="X805" s="6" t="s">
        <v>104</v>
      </c>
      <c r="Y805" s="21" t="s">
        <v>104</v>
      </c>
      <c r="Z805" s="6" t="s">
        <v>104</v>
      </c>
      <c r="AA805" s="6" t="s">
        <v>104</v>
      </c>
      <c r="AB805" s="6" t="s">
        <v>104</v>
      </c>
      <c r="AC805" s="6" t="s">
        <v>9714</v>
      </c>
      <c r="AD805" s="16" t="n">
        <v>43748</v>
      </c>
      <c r="AE805" s="6" t="s">
        <v>11241</v>
      </c>
      <c r="AF805" s="6" t="s">
        <v>104</v>
      </c>
      <c r="AG805" s="6" t="s">
        <v>104</v>
      </c>
      <c r="AH805" s="6" t="s">
        <v>13887</v>
      </c>
      <c r="AI805" s="6" t="s">
        <v>104</v>
      </c>
      <c r="AJ805" s="6" t="s">
        <v>15893</v>
      </c>
      <c r="AK805" s="6" t="s">
        <v>16256</v>
      </c>
      <c r="AL805" s="6" t="s">
        <v>16931</v>
      </c>
      <c r="AM805" s="6" t="s">
        <v>17527</v>
      </c>
      <c r="AN805" s="6" t="s">
        <v>18468</v>
      </c>
      <c r="AO805" s="6" t="s">
        <v>18736</v>
      </c>
      <c r="AP805" s="6" t="s">
        <v>13887</v>
      </c>
      <c r="AQ805" s="6" t="s">
        <v>104</v>
      </c>
      <c r="AR805" s="6" t="s">
        <v>15893</v>
      </c>
      <c r="AS805" s="6" t="s">
        <v>16256</v>
      </c>
      <c r="AT805" s="6" t="s">
        <v>16931</v>
      </c>
      <c r="AU805" s="6" t="s">
        <v>17527</v>
      </c>
      <c r="AV805" s="6" t="s">
        <v>104</v>
      </c>
      <c r="AW805" s="6" t="s">
        <v>104</v>
      </c>
      <c r="AX805" s="6" t="s">
        <v>104</v>
      </c>
      <c r="AY805" s="6" t="s">
        <v>104</v>
      </c>
      <c r="AZ805" s="6" t="s">
        <v>104</v>
      </c>
      <c r="BA805" s="6" t="s">
        <v>24382</v>
      </c>
      <c r="BB805" s="6" t="s">
        <v>104</v>
      </c>
      <c r="BC805" s="26"/>
      <c r="BD805" s="26"/>
      <c r="BE805" s="26"/>
      <c r="BF805" s="26"/>
      <c r="BG805" s="26"/>
      <c r="BH805" s="26"/>
      <c r="BI805" s="26"/>
      <c r="BJ805" s="26"/>
      <c r="BK805" s="26"/>
      <c r="BL805" s="26"/>
      <c r="BM805" s="26"/>
      <c r="BN805" s="26"/>
      <c r="BO805" s="26"/>
      <c r="BP805" s="16" t="n">
        <v>45524</v>
      </c>
      <c r="BQ805" s="28" t="str">
        <f>HYPERLINK("https://organic.ams.usda.gov/Integrity/Certificate.aspx?cid=46&amp;nopid=3671055274")</f>
        <v>https://organic.ams.usda.gov/Integrity/Certificate.aspx?cid=46&amp;nopid=3671055274</v>
      </c>
    </row>
    <row r="806">
      <c r="A806" t="s">
        <v>3</v>
      </c>
      <c r="B806" s="6" t="s">
        <v>33</v>
      </c>
      <c r="C806" s="6" t="s">
        <v>99</v>
      </c>
      <c r="D806" s="6" t="s">
        <v>164</v>
      </c>
      <c r="E806" s="10" t="s">
        <v>1004</v>
      </c>
      <c r="F806" s="6" t="s">
        <v>3251</v>
      </c>
      <c r="G806" s="6" t="s">
        <v>104</v>
      </c>
      <c r="H806" s="6" t="s">
        <v>104</v>
      </c>
      <c r="I806" s="6" t="s">
        <v>7449</v>
      </c>
      <c r="J806" s="6" t="s">
        <v>8741</v>
      </c>
      <c r="K806" s="6" t="s">
        <v>9714</v>
      </c>
      <c r="L806" s="16" t="n">
        <v>42116</v>
      </c>
      <c r="M806" s="16" t="n">
        <v>45383</v>
      </c>
      <c r="N806" s="6" t="s">
        <v>104</v>
      </c>
      <c r="O806" s="21" t="s">
        <v>104</v>
      </c>
      <c r="P806" s="6" t="s">
        <v>104</v>
      </c>
      <c r="Q806" s="6" t="s">
        <v>104</v>
      </c>
      <c r="R806" s="6" t="s">
        <v>104</v>
      </c>
      <c r="S806" s="6" t="s">
        <v>104</v>
      </c>
      <c r="T806" s="21" t="s">
        <v>104</v>
      </c>
      <c r="U806" s="6" t="s">
        <v>104</v>
      </c>
      <c r="V806" s="6" t="s">
        <v>104</v>
      </c>
      <c r="W806" s="6" t="s">
        <v>104</v>
      </c>
      <c r="X806" s="6" t="s">
        <v>104</v>
      </c>
      <c r="Y806" s="21" t="s">
        <v>104</v>
      </c>
      <c r="Z806" s="6" t="s">
        <v>104</v>
      </c>
      <c r="AA806" s="6" t="s">
        <v>104</v>
      </c>
      <c r="AB806" s="6" t="s">
        <v>104</v>
      </c>
      <c r="AC806" s="6" t="s">
        <v>9714</v>
      </c>
      <c r="AD806" s="16" t="n">
        <v>42116</v>
      </c>
      <c r="AE806" s="6" t="s">
        <v>11242</v>
      </c>
      <c r="AF806" s="6" t="s">
        <v>104</v>
      </c>
      <c r="AG806" s="6" t="s">
        <v>104</v>
      </c>
      <c r="AH806" s="6" t="s">
        <v>13888</v>
      </c>
      <c r="AI806" s="6" t="s">
        <v>104</v>
      </c>
      <c r="AJ806" s="6" t="s">
        <v>15894</v>
      </c>
      <c r="AK806" s="6" t="s">
        <v>16742</v>
      </c>
      <c r="AL806" s="6" t="s">
        <v>16931</v>
      </c>
      <c r="AM806" s="6" t="s">
        <v>17528</v>
      </c>
      <c r="AN806" s="6" t="s">
        <v>18484</v>
      </c>
      <c r="AO806" s="6" t="s">
        <v>18737</v>
      </c>
      <c r="AP806" s="6" t="s">
        <v>13888</v>
      </c>
      <c r="AQ806" s="6" t="s">
        <v>104</v>
      </c>
      <c r="AR806" s="6" t="s">
        <v>15894</v>
      </c>
      <c r="AS806" s="6" t="s">
        <v>16742</v>
      </c>
      <c r="AT806" s="6" t="s">
        <v>16931</v>
      </c>
      <c r="AU806" s="6" t="s">
        <v>17528</v>
      </c>
      <c r="AV806" s="6" t="s">
        <v>104</v>
      </c>
      <c r="AW806" s="6" t="s">
        <v>104</v>
      </c>
      <c r="AX806" s="6" t="s">
        <v>20748</v>
      </c>
      <c r="AY806" s="6" t="s">
        <v>22519</v>
      </c>
      <c r="AZ806" s="6" t="s">
        <v>23900</v>
      </c>
      <c r="BA806" s="6" t="s">
        <v>104</v>
      </c>
      <c r="BB806" s="6" t="s">
        <v>104</v>
      </c>
      <c r="BC806" s="26"/>
      <c r="BD806" s="26"/>
      <c r="BE806" s="26"/>
      <c r="BF806" s="26"/>
      <c r="BG806" s="26"/>
      <c r="BH806" s="26"/>
      <c r="BI806" s="26"/>
      <c r="BJ806" s="26"/>
      <c r="BK806" s="26"/>
      <c r="BL806" s="26"/>
      <c r="BM806" s="26"/>
      <c r="BN806" s="26"/>
      <c r="BO806" s="26"/>
      <c r="BP806" s="16" t="n">
        <v>45065</v>
      </c>
      <c r="BQ806" s="28" t="str">
        <f>HYPERLINK("https://organic.ams.usda.gov/Integrity/Certificate.aspx?cid=46&amp;nopid=3671500004")</f>
        <v>https://organic.ams.usda.gov/Integrity/Certificate.aspx?cid=46&amp;nopid=3671500004</v>
      </c>
    </row>
    <row r="807">
      <c r="A807" t="s">
        <v>3</v>
      </c>
      <c r="B807" s="6" t="s">
        <v>34</v>
      </c>
      <c r="C807" s="6" t="s">
        <v>100</v>
      </c>
      <c r="D807" s="6" t="s">
        <v>165</v>
      </c>
      <c r="E807" s="10" t="s">
        <v>1005</v>
      </c>
      <c r="F807" s="6" t="s">
        <v>3252</v>
      </c>
      <c r="G807" s="6" t="s">
        <v>104</v>
      </c>
      <c r="H807" s="6" t="s">
        <v>5628</v>
      </c>
      <c r="I807" s="6" t="s">
        <v>7311</v>
      </c>
      <c r="J807" s="6" t="s">
        <v>8742</v>
      </c>
      <c r="K807" s="6" t="s">
        <v>9714</v>
      </c>
      <c r="L807" s="16" t="n">
        <v>45096</v>
      </c>
      <c r="M807" s="16" t="n">
        <v>45736</v>
      </c>
      <c r="N807" s="6" t="s">
        <v>104</v>
      </c>
      <c r="O807" s="21" t="s">
        <v>104</v>
      </c>
      <c r="P807" s="6" t="s">
        <v>104</v>
      </c>
      <c r="Q807" s="6" t="s">
        <v>104</v>
      </c>
      <c r="R807" s="6" t="s">
        <v>104</v>
      </c>
      <c r="S807" s="6" t="s">
        <v>104</v>
      </c>
      <c r="T807" s="21" t="s">
        <v>104</v>
      </c>
      <c r="U807" s="6" t="s">
        <v>104</v>
      </c>
      <c r="V807" s="6" t="s">
        <v>104</v>
      </c>
      <c r="W807" s="6" t="s">
        <v>104</v>
      </c>
      <c r="X807" s="6" t="s">
        <v>104</v>
      </c>
      <c r="Y807" s="21" t="s">
        <v>104</v>
      </c>
      <c r="Z807" s="6" t="s">
        <v>104</v>
      </c>
      <c r="AA807" s="6" t="s">
        <v>104</v>
      </c>
      <c r="AB807" s="6" t="s">
        <v>104</v>
      </c>
      <c r="AC807" s="6" t="s">
        <v>9714</v>
      </c>
      <c r="AD807" s="16" t="n">
        <v>45096</v>
      </c>
      <c r="AE807" s="6" t="s">
        <v>11243</v>
      </c>
      <c r="AF807" s="6" t="s">
        <v>104</v>
      </c>
      <c r="AG807" s="6" t="s">
        <v>12746</v>
      </c>
      <c r="AH807" s="6" t="s">
        <v>13889</v>
      </c>
      <c r="AI807" s="6" t="s">
        <v>104</v>
      </c>
      <c r="AJ807" s="6" t="s">
        <v>8077</v>
      </c>
      <c r="AK807" s="6" t="s">
        <v>16705</v>
      </c>
      <c r="AL807" s="6" t="s">
        <v>16931</v>
      </c>
      <c r="AM807" s="6" t="s">
        <v>17113</v>
      </c>
      <c r="AN807" s="6" t="s">
        <v>18486</v>
      </c>
      <c r="AO807" s="6" t="s">
        <v>18599</v>
      </c>
      <c r="AP807" s="6" t="s">
        <v>13889</v>
      </c>
      <c r="AQ807" s="6" t="s">
        <v>104</v>
      </c>
      <c r="AR807" s="6" t="s">
        <v>8077</v>
      </c>
      <c r="AS807" s="6" t="s">
        <v>16705</v>
      </c>
      <c r="AT807" s="6" t="s">
        <v>16931</v>
      </c>
      <c r="AU807" s="6" t="s">
        <v>17113</v>
      </c>
      <c r="AV807" s="6" t="s">
        <v>104</v>
      </c>
      <c r="AW807" s="6" t="s">
        <v>104</v>
      </c>
      <c r="AX807" s="6" t="s">
        <v>20749</v>
      </c>
      <c r="AY807" s="6" t="s">
        <v>22520</v>
      </c>
      <c r="AZ807" s="6" t="s">
        <v>23901</v>
      </c>
      <c r="BA807" s="6" t="s">
        <v>104</v>
      </c>
      <c r="BB807" s="6" t="s">
        <v>104</v>
      </c>
      <c r="BC807" s="26"/>
      <c r="BD807" s="26"/>
      <c r="BE807" s="26" t="s">
        <v>24533</v>
      </c>
      <c r="BF807" s="26"/>
      <c r="BG807" s="26" t="s">
        <v>24533</v>
      </c>
      <c r="BH807" s="26"/>
      <c r="BI807" s="26"/>
      <c r="BJ807" s="26"/>
      <c r="BK807" s="26"/>
      <c r="BL807" s="26"/>
      <c r="BM807" s="26"/>
      <c r="BN807" s="26"/>
      <c r="BO807" s="26"/>
      <c r="BP807" s="16" t="n">
        <v>45737</v>
      </c>
      <c r="BQ807" s="28" t="str">
        <f>HYPERLINK("https://organic.ams.usda.gov/Integrity/Certificate.aspx?cid=71&amp;nopid=5520760844")</f>
        <v>https://organic.ams.usda.gov/Integrity/Certificate.aspx?cid=71&amp;nopid=5520760844</v>
      </c>
    </row>
    <row r="808">
      <c r="A808" t="s">
        <v>3</v>
      </c>
      <c r="B808" s="6" t="s">
        <v>11</v>
      </c>
      <c r="C808" s="6" t="s">
        <v>77</v>
      </c>
      <c r="D808" s="6" t="s">
        <v>142</v>
      </c>
      <c r="E808" s="10" t="s">
        <v>1006</v>
      </c>
      <c r="F808" s="6" t="s">
        <v>3253</v>
      </c>
      <c r="G808" s="6" t="s">
        <v>104</v>
      </c>
      <c r="H808" s="6" t="s">
        <v>5629</v>
      </c>
      <c r="I808" s="6" t="s">
        <v>7450</v>
      </c>
      <c r="J808" s="6" t="s">
        <v>8743</v>
      </c>
      <c r="K808" s="6" t="s">
        <v>9714</v>
      </c>
      <c r="L808" s="16" t="n">
        <v>43850</v>
      </c>
      <c r="M808" s="16" t="n">
        <v>45992</v>
      </c>
      <c r="N808" s="6" t="s">
        <v>9714</v>
      </c>
      <c r="O808" s="16" t="n">
        <v>43850</v>
      </c>
      <c r="P808" s="6" t="s">
        <v>9942</v>
      </c>
      <c r="Q808" s="6" t="s">
        <v>104</v>
      </c>
      <c r="R808" s="6" t="s">
        <v>104</v>
      </c>
      <c r="S808" s="6" t="s">
        <v>104</v>
      </c>
      <c r="T808" s="21" t="s">
        <v>104</v>
      </c>
      <c r="U808" s="6" t="s">
        <v>104</v>
      </c>
      <c r="V808" s="6" t="s">
        <v>104</v>
      </c>
      <c r="W808" s="6" t="s">
        <v>104</v>
      </c>
      <c r="X808" s="6" t="s">
        <v>104</v>
      </c>
      <c r="Y808" s="21" t="s">
        <v>104</v>
      </c>
      <c r="Z808" s="6" t="s">
        <v>104</v>
      </c>
      <c r="AA808" s="6" t="s">
        <v>104</v>
      </c>
      <c r="AB808" s="6" t="s">
        <v>104</v>
      </c>
      <c r="AC808" s="6" t="s">
        <v>9714</v>
      </c>
      <c r="AD808" s="16" t="n">
        <v>43850</v>
      </c>
      <c r="AE808" s="6" t="s">
        <v>11244</v>
      </c>
      <c r="AF808" s="6" t="s">
        <v>104</v>
      </c>
      <c r="AG808" s="6" t="s">
        <v>104</v>
      </c>
      <c r="AH808" s="6" t="s">
        <v>13890</v>
      </c>
      <c r="AI808" s="6" t="s">
        <v>104</v>
      </c>
      <c r="AJ808" s="6" t="s">
        <v>104</v>
      </c>
      <c r="AK808" s="6" t="s">
        <v>104</v>
      </c>
      <c r="AL808" s="6" t="s">
        <v>16940</v>
      </c>
      <c r="AM808" s="6" t="s">
        <v>104</v>
      </c>
      <c r="AN808" s="6" t="s">
        <v>104</v>
      </c>
      <c r="AO808" s="6" t="s">
        <v>104</v>
      </c>
      <c r="AP808" s="6" t="s">
        <v>104</v>
      </c>
      <c r="AQ808" s="6" t="s">
        <v>104</v>
      </c>
      <c r="AR808" s="6" t="s">
        <v>104</v>
      </c>
      <c r="AS808" s="6" t="s">
        <v>104</v>
      </c>
      <c r="AT808" s="6" t="s">
        <v>104</v>
      </c>
      <c r="AU808" s="6" t="s">
        <v>104</v>
      </c>
      <c r="AV808" s="6" t="s">
        <v>104</v>
      </c>
      <c r="AW808" s="6" t="s">
        <v>104</v>
      </c>
      <c r="AX808" s="6" t="s">
        <v>20750</v>
      </c>
      <c r="AY808" s="6" t="s">
        <v>22521</v>
      </c>
      <c r="AZ808" s="6" t="s">
        <v>104</v>
      </c>
      <c r="BA808" s="6" t="s">
        <v>104</v>
      </c>
      <c r="BB808" s="24" t="n">
        <v>3425</v>
      </c>
      <c r="BC808" s="26"/>
      <c r="BD808" s="26"/>
      <c r="BE808" s="26"/>
      <c r="BF808" s="26"/>
      <c r="BG808" s="26"/>
      <c r="BH808" s="26"/>
      <c r="BI808" s="26"/>
      <c r="BJ808" s="26"/>
      <c r="BK808" s="26"/>
      <c r="BL808" s="26"/>
      <c r="BM808" s="26"/>
      <c r="BN808" s="26"/>
      <c r="BO808" s="26"/>
      <c r="BP808" s="16" t="n">
        <v>45693</v>
      </c>
      <c r="BQ808" s="28" t="str">
        <f>HYPERLINK("https://organic.ams.usda.gov/Integrity/Certificate.aspx?cid=21&amp;nopid=1780869342")</f>
        <v>https://organic.ams.usda.gov/Integrity/Certificate.aspx?cid=21&amp;nopid=1780869342</v>
      </c>
    </row>
    <row r="809">
      <c r="A809" t="s">
        <v>3</v>
      </c>
      <c r="B809" s="6" t="s">
        <v>34</v>
      </c>
      <c r="C809" s="6" t="s">
        <v>100</v>
      </c>
      <c r="D809" s="6" t="s">
        <v>165</v>
      </c>
      <c r="E809" s="10" t="s">
        <v>1007</v>
      </c>
      <c r="F809" s="6" t="s">
        <v>3254</v>
      </c>
      <c r="G809" s="6" t="s">
        <v>104</v>
      </c>
      <c r="H809" s="6" t="s">
        <v>5630</v>
      </c>
      <c r="I809" s="6" t="s">
        <v>7216</v>
      </c>
      <c r="J809" s="6" t="s">
        <v>8744</v>
      </c>
      <c r="K809" s="6" t="s">
        <v>9714</v>
      </c>
      <c r="L809" s="16" t="n">
        <v>41468</v>
      </c>
      <c r="M809" s="16" t="n">
        <v>45701</v>
      </c>
      <c r="N809" s="6" t="s">
        <v>104</v>
      </c>
      <c r="O809" s="21" t="s">
        <v>104</v>
      </c>
      <c r="P809" s="6" t="s">
        <v>104</v>
      </c>
      <c r="Q809" s="6" t="s">
        <v>104</v>
      </c>
      <c r="R809" s="6" t="s">
        <v>104</v>
      </c>
      <c r="S809" s="6" t="s">
        <v>104</v>
      </c>
      <c r="T809" s="21" t="s">
        <v>104</v>
      </c>
      <c r="U809" s="6" t="s">
        <v>104</v>
      </c>
      <c r="V809" s="6" t="s">
        <v>104</v>
      </c>
      <c r="W809" s="6" t="s">
        <v>104</v>
      </c>
      <c r="X809" s="6" t="s">
        <v>104</v>
      </c>
      <c r="Y809" s="21" t="s">
        <v>104</v>
      </c>
      <c r="Z809" s="6" t="s">
        <v>104</v>
      </c>
      <c r="AA809" s="6" t="s">
        <v>104</v>
      </c>
      <c r="AB809" s="6" t="s">
        <v>104</v>
      </c>
      <c r="AC809" s="6" t="s">
        <v>9714</v>
      </c>
      <c r="AD809" s="16" t="n">
        <v>41468</v>
      </c>
      <c r="AE809" s="6" t="s">
        <v>11245</v>
      </c>
      <c r="AF809" s="6" t="s">
        <v>104</v>
      </c>
      <c r="AG809" s="6" t="s">
        <v>12747</v>
      </c>
      <c r="AH809" s="6" t="s">
        <v>13891</v>
      </c>
      <c r="AI809" s="6" t="s">
        <v>104</v>
      </c>
      <c r="AJ809" s="6" t="s">
        <v>15895</v>
      </c>
      <c r="AK809" s="6" t="s">
        <v>16686</v>
      </c>
      <c r="AL809" s="6" t="s">
        <v>16931</v>
      </c>
      <c r="AM809" s="6" t="s">
        <v>17529</v>
      </c>
      <c r="AN809" s="6" t="s">
        <v>18505</v>
      </c>
      <c r="AO809" s="6" t="s">
        <v>18722</v>
      </c>
      <c r="AP809" s="6" t="s">
        <v>19153</v>
      </c>
      <c r="AQ809" s="6" t="s">
        <v>104</v>
      </c>
      <c r="AR809" s="6" t="s">
        <v>15895</v>
      </c>
      <c r="AS809" s="6" t="s">
        <v>16686</v>
      </c>
      <c r="AT809" s="6" t="s">
        <v>16931</v>
      </c>
      <c r="AU809" s="6" t="s">
        <v>17529</v>
      </c>
      <c r="AV809" s="6" t="s">
        <v>104</v>
      </c>
      <c r="AW809" s="6" t="s">
        <v>104</v>
      </c>
      <c r="AX809" s="6" t="s">
        <v>20751</v>
      </c>
      <c r="AY809" s="6" t="s">
        <v>22522</v>
      </c>
      <c r="AZ809" s="6" t="s">
        <v>23902</v>
      </c>
      <c r="BA809" s="6" t="s">
        <v>104</v>
      </c>
      <c r="BB809" s="6" t="s">
        <v>104</v>
      </c>
      <c r="BC809" s="26"/>
      <c r="BD809" s="26"/>
      <c r="BE809" s="26" t="s">
        <v>24533</v>
      </c>
      <c r="BF809" s="26"/>
      <c r="BG809" s="26"/>
      <c r="BH809" s="26"/>
      <c r="BI809" s="26"/>
      <c r="BJ809" s="26"/>
      <c r="BK809" s="26"/>
      <c r="BL809" s="26"/>
      <c r="BM809" s="26"/>
      <c r="BN809" s="26"/>
      <c r="BO809" s="26"/>
      <c r="BP809" s="16" t="n">
        <v>45737</v>
      </c>
      <c r="BQ809" s="28" t="str">
        <f>HYPERLINK("https://organic.ams.usda.gov/Integrity/Certificate.aspx?cid=71&amp;nopid=5520130742")</f>
        <v>https://organic.ams.usda.gov/Integrity/Certificate.aspx?cid=71&amp;nopid=5520130742</v>
      </c>
    </row>
    <row r="810">
      <c r="A810" t="s">
        <v>3</v>
      </c>
      <c r="B810" s="6" t="s">
        <v>54</v>
      </c>
      <c r="C810" s="6" t="s">
        <v>120</v>
      </c>
      <c r="D810" s="6" t="s">
        <v>184</v>
      </c>
      <c r="E810" s="10" t="s">
        <v>1008</v>
      </c>
      <c r="F810" s="6" t="s">
        <v>3255</v>
      </c>
      <c r="G810" s="6" t="s">
        <v>104</v>
      </c>
      <c r="H810" s="6" t="s">
        <v>5631</v>
      </c>
      <c r="I810" s="6" t="s">
        <v>7125</v>
      </c>
      <c r="J810" s="6" t="s">
        <v>8745</v>
      </c>
      <c r="K810" s="6" t="s">
        <v>9714</v>
      </c>
      <c r="L810" s="16" t="n">
        <v>40105</v>
      </c>
      <c r="M810" s="16" t="n">
        <v>45717</v>
      </c>
      <c r="N810" s="6" t="s">
        <v>9714</v>
      </c>
      <c r="O810" s="16" t="n">
        <v>40105</v>
      </c>
      <c r="P810" s="6" t="s">
        <v>9943</v>
      </c>
      <c r="Q810" s="6" t="s">
        <v>104</v>
      </c>
      <c r="R810" s="6" t="s">
        <v>104</v>
      </c>
      <c r="S810" s="6" t="s">
        <v>9721</v>
      </c>
      <c r="T810" s="16" t="n">
        <v>42089</v>
      </c>
      <c r="U810" s="6" t="s">
        <v>104</v>
      </c>
      <c r="V810" s="6" t="s">
        <v>104</v>
      </c>
      <c r="W810" s="6" t="s">
        <v>104</v>
      </c>
      <c r="X810" s="6" t="s">
        <v>104</v>
      </c>
      <c r="Y810" s="21" t="s">
        <v>104</v>
      </c>
      <c r="Z810" s="6" t="s">
        <v>104</v>
      </c>
      <c r="AA810" s="6" t="s">
        <v>104</v>
      </c>
      <c r="AB810" s="6" t="s">
        <v>104</v>
      </c>
      <c r="AC810" s="6" t="s">
        <v>104</v>
      </c>
      <c r="AD810" s="21" t="s">
        <v>104</v>
      </c>
      <c r="AE810" s="6" t="s">
        <v>104</v>
      </c>
      <c r="AF810" s="6" t="s">
        <v>104</v>
      </c>
      <c r="AG810" s="6" t="s">
        <v>104</v>
      </c>
      <c r="AH810" s="6" t="s">
        <v>13892</v>
      </c>
      <c r="AI810" s="6" t="s">
        <v>104</v>
      </c>
      <c r="AJ810" s="6" t="s">
        <v>15896</v>
      </c>
      <c r="AK810" s="6" t="s">
        <v>16684</v>
      </c>
      <c r="AL810" s="6" t="s">
        <v>16931</v>
      </c>
      <c r="AM810" s="6" t="s">
        <v>17530</v>
      </c>
      <c r="AN810" s="6" t="s">
        <v>18513</v>
      </c>
      <c r="AO810" s="6" t="s">
        <v>18738</v>
      </c>
      <c r="AP810" s="6" t="s">
        <v>19154</v>
      </c>
      <c r="AQ810" s="6" t="s">
        <v>104</v>
      </c>
      <c r="AR810" s="6" t="s">
        <v>19670</v>
      </c>
      <c r="AS810" s="6" t="s">
        <v>16684</v>
      </c>
      <c r="AT810" s="6" t="s">
        <v>16931</v>
      </c>
      <c r="AU810" s="6" t="s">
        <v>18012</v>
      </c>
      <c r="AV810" s="6" t="s">
        <v>104</v>
      </c>
      <c r="AW810" s="6" t="s">
        <v>104</v>
      </c>
      <c r="AX810" s="6" t="s">
        <v>20752</v>
      </c>
      <c r="AY810" s="6" t="s">
        <v>22523</v>
      </c>
      <c r="AZ810" s="6" t="s">
        <v>104</v>
      </c>
      <c r="BA810" s="6" t="s">
        <v>24267</v>
      </c>
      <c r="BB810" s="24" t="n">
        <v>11082</v>
      </c>
      <c r="BC810" s="26"/>
      <c r="BD810" s="26"/>
      <c r="BE810" s="26"/>
      <c r="BF810" s="26"/>
      <c r="BG810" s="26"/>
      <c r="BH810" s="26"/>
      <c r="BI810" s="26"/>
      <c r="BJ810" s="26"/>
      <c r="BK810" s="26"/>
      <c r="BL810" s="26"/>
      <c r="BM810" s="26"/>
      <c r="BN810" s="26"/>
      <c r="BO810" s="26"/>
      <c r="BP810" s="16" t="n">
        <v>45597</v>
      </c>
      <c r="BQ810" s="28" t="str">
        <f>HYPERLINK("https://organic.ams.usda.gov/Integrity/Certificate.aspx?cid=60&amp;nopid=2580000624")</f>
        <v>https://organic.ams.usda.gov/Integrity/Certificate.aspx?cid=60&amp;nopid=2580000624</v>
      </c>
    </row>
    <row r="811">
      <c r="A811" t="s">
        <v>3</v>
      </c>
      <c r="B811" s="6" t="s">
        <v>25</v>
      </c>
      <c r="C811" s="6" t="s">
        <v>91</v>
      </c>
      <c r="D811" s="6" t="s">
        <v>156</v>
      </c>
      <c r="E811" s="10" t="s">
        <v>1009</v>
      </c>
      <c r="F811" s="6" t="s">
        <v>3256</v>
      </c>
      <c r="G811" s="6" t="s">
        <v>104</v>
      </c>
      <c r="H811" s="6" t="s">
        <v>5632</v>
      </c>
      <c r="I811" s="6" t="s">
        <v>7451</v>
      </c>
      <c r="J811" s="6" t="s">
        <v>8746</v>
      </c>
      <c r="K811" s="6" t="s">
        <v>9714</v>
      </c>
      <c r="L811" s="16" t="n">
        <v>42100</v>
      </c>
      <c r="M811" s="16" t="n">
        <v>45670</v>
      </c>
      <c r="N811" s="6" t="s">
        <v>104</v>
      </c>
      <c r="O811" s="21" t="s">
        <v>104</v>
      </c>
      <c r="P811" s="6" t="s">
        <v>104</v>
      </c>
      <c r="Q811" s="6" t="s">
        <v>104</v>
      </c>
      <c r="R811" s="6" t="s">
        <v>104</v>
      </c>
      <c r="S811" s="6" t="s">
        <v>104</v>
      </c>
      <c r="T811" s="21" t="s">
        <v>104</v>
      </c>
      <c r="U811" s="6" t="s">
        <v>104</v>
      </c>
      <c r="V811" s="6" t="s">
        <v>104</v>
      </c>
      <c r="W811" s="6" t="s">
        <v>104</v>
      </c>
      <c r="X811" s="6" t="s">
        <v>104</v>
      </c>
      <c r="Y811" s="21" t="s">
        <v>104</v>
      </c>
      <c r="Z811" s="6" t="s">
        <v>104</v>
      </c>
      <c r="AA811" s="6" t="s">
        <v>104</v>
      </c>
      <c r="AB811" s="6" t="s">
        <v>104</v>
      </c>
      <c r="AC811" s="6" t="s">
        <v>9714</v>
      </c>
      <c r="AD811" s="16" t="n">
        <v>42100</v>
      </c>
      <c r="AE811" s="6" t="s">
        <v>11246</v>
      </c>
      <c r="AF811" s="6" t="s">
        <v>104</v>
      </c>
      <c r="AG811" s="6" t="s">
        <v>104</v>
      </c>
      <c r="AH811" s="6" t="s">
        <v>13893</v>
      </c>
      <c r="AI811" s="6" t="s">
        <v>104</v>
      </c>
      <c r="AJ811" s="6" t="s">
        <v>15897</v>
      </c>
      <c r="AK811" s="6" t="s">
        <v>104</v>
      </c>
      <c r="AL811" s="6" t="s">
        <v>16935</v>
      </c>
      <c r="AM811" s="6" t="s">
        <v>17531</v>
      </c>
      <c r="AN811" s="6" t="s">
        <v>104</v>
      </c>
      <c r="AO811" s="6" t="s">
        <v>104</v>
      </c>
      <c r="AP811" s="6" t="s">
        <v>13893</v>
      </c>
      <c r="AQ811" s="6" t="s">
        <v>104</v>
      </c>
      <c r="AR811" s="6" t="s">
        <v>15897</v>
      </c>
      <c r="AS811" s="6" t="s">
        <v>104</v>
      </c>
      <c r="AT811" s="6" t="s">
        <v>16935</v>
      </c>
      <c r="AU811" s="6" t="s">
        <v>17531</v>
      </c>
      <c r="AV811" s="6" t="s">
        <v>104</v>
      </c>
      <c r="AW811" s="6" t="s">
        <v>104</v>
      </c>
      <c r="AX811" s="6" t="s">
        <v>104</v>
      </c>
      <c r="AY811" s="6" t="s">
        <v>104</v>
      </c>
      <c r="AZ811" s="6" t="s">
        <v>104</v>
      </c>
      <c r="BA811" s="6" t="s">
        <v>24264</v>
      </c>
      <c r="BB811" s="6" t="s">
        <v>104</v>
      </c>
      <c r="BC811" s="26"/>
      <c r="BD811" s="26"/>
      <c r="BE811" s="26"/>
      <c r="BF811" s="26"/>
      <c r="BG811" s="26"/>
      <c r="BH811" s="26" t="s">
        <v>24533</v>
      </c>
      <c r="BI811" s="26"/>
      <c r="BJ811" s="26"/>
      <c r="BK811" s="26"/>
      <c r="BL811" s="26"/>
      <c r="BM811" s="26"/>
      <c r="BN811" s="26"/>
      <c r="BO811" s="26"/>
      <c r="BP811" s="16" t="n">
        <v>45432</v>
      </c>
      <c r="BQ811" s="28" t="str">
        <f>HYPERLINK("https://organic.ams.usda.gov/Integrity/Certificate.aspx?cid=66&amp;nopid=5500004905")</f>
        <v>https://organic.ams.usda.gov/Integrity/Certificate.aspx?cid=66&amp;nopid=5500004905</v>
      </c>
    </row>
    <row r="812">
      <c r="A812" t="s">
        <v>3</v>
      </c>
      <c r="B812" s="6" t="s">
        <v>49</v>
      </c>
      <c r="C812" s="6" t="s">
        <v>115</v>
      </c>
      <c r="D812" s="6" t="s">
        <v>179</v>
      </c>
      <c r="E812" s="10" t="s">
        <v>1010</v>
      </c>
      <c r="F812" s="6" t="s">
        <v>3257</v>
      </c>
      <c r="G812" s="6" t="s">
        <v>104</v>
      </c>
      <c r="H812" s="6" t="s">
        <v>5633</v>
      </c>
      <c r="I812" s="6" t="s">
        <v>104</v>
      </c>
      <c r="J812" s="6" t="s">
        <v>104</v>
      </c>
      <c r="K812" s="6" t="s">
        <v>9714</v>
      </c>
      <c r="L812" s="16" t="n">
        <v>45349</v>
      </c>
      <c r="M812" s="16" t="n">
        <v>45930</v>
      </c>
      <c r="N812" s="6" t="s">
        <v>104</v>
      </c>
      <c r="O812" s="21" t="s">
        <v>104</v>
      </c>
      <c r="P812" s="6" t="s">
        <v>104</v>
      </c>
      <c r="Q812" s="6" t="s">
        <v>104</v>
      </c>
      <c r="R812" s="6" t="s">
        <v>104</v>
      </c>
      <c r="S812" s="6" t="s">
        <v>104</v>
      </c>
      <c r="T812" s="21" t="s">
        <v>104</v>
      </c>
      <c r="U812" s="6" t="s">
        <v>104</v>
      </c>
      <c r="V812" s="6" t="s">
        <v>104</v>
      </c>
      <c r="W812" s="6" t="s">
        <v>104</v>
      </c>
      <c r="X812" s="6" t="s">
        <v>104</v>
      </c>
      <c r="Y812" s="21" t="s">
        <v>104</v>
      </c>
      <c r="Z812" s="6" t="s">
        <v>104</v>
      </c>
      <c r="AA812" s="6" t="s">
        <v>104</v>
      </c>
      <c r="AB812" s="6" t="s">
        <v>104</v>
      </c>
      <c r="AC812" s="6" t="s">
        <v>9714</v>
      </c>
      <c r="AD812" s="16" t="n">
        <v>45349</v>
      </c>
      <c r="AE812" s="6" t="s">
        <v>11247</v>
      </c>
      <c r="AF812" s="6" t="s">
        <v>104</v>
      </c>
      <c r="AG812" s="6" t="s">
        <v>12748</v>
      </c>
      <c r="AH812" s="6" t="s">
        <v>13894</v>
      </c>
      <c r="AI812" s="6" t="s">
        <v>104</v>
      </c>
      <c r="AJ812" s="6" t="s">
        <v>15898</v>
      </c>
      <c r="AK812" s="6" t="s">
        <v>104</v>
      </c>
      <c r="AL812" s="6" t="s">
        <v>16932</v>
      </c>
      <c r="AM812" s="6" t="s">
        <v>17532</v>
      </c>
      <c r="AN812" s="6" t="s">
        <v>104</v>
      </c>
      <c r="AO812" s="6" t="s">
        <v>104</v>
      </c>
      <c r="AP812" s="6" t="s">
        <v>104</v>
      </c>
      <c r="AQ812" s="6" t="s">
        <v>104</v>
      </c>
      <c r="AR812" s="6" t="s">
        <v>104</v>
      </c>
      <c r="AS812" s="6" t="s">
        <v>104</v>
      </c>
      <c r="AT812" s="6" t="s">
        <v>104</v>
      </c>
      <c r="AU812" s="6" t="s">
        <v>104</v>
      </c>
      <c r="AV812" s="6" t="s">
        <v>104</v>
      </c>
      <c r="AW812" s="6" t="s">
        <v>104</v>
      </c>
      <c r="AX812" s="6" t="s">
        <v>104</v>
      </c>
      <c r="AY812" s="6" t="s">
        <v>22524</v>
      </c>
      <c r="AZ812" s="6" t="s">
        <v>104</v>
      </c>
      <c r="BA812" s="6" t="s">
        <v>104</v>
      </c>
      <c r="BB812" s="24" t="n">
        <v>0</v>
      </c>
      <c r="BC812" s="26"/>
      <c r="BD812" s="26"/>
      <c r="BE812" s="26"/>
      <c r="BF812" s="26"/>
      <c r="BG812" s="26"/>
      <c r="BH812" s="26"/>
      <c r="BI812" s="26"/>
      <c r="BJ812" s="26"/>
      <c r="BK812" s="26"/>
      <c r="BL812" s="26"/>
      <c r="BM812" s="26"/>
      <c r="BN812" s="26"/>
      <c r="BO812" s="26"/>
      <c r="BP812" s="16" t="n">
        <v>45691</v>
      </c>
      <c r="BQ812" s="28" t="str">
        <f>HYPERLINK("https://organic.ams.usda.gov/Integrity/Certificate.aspx?cid=12&amp;nopid=8699694559")</f>
        <v>https://organic.ams.usda.gov/Integrity/Certificate.aspx?cid=12&amp;nopid=8699694559</v>
      </c>
    </row>
    <row r="813">
      <c r="A813" t="s">
        <v>3</v>
      </c>
      <c r="B813" s="6" t="s">
        <v>9</v>
      </c>
      <c r="C813" s="6" t="s">
        <v>75</v>
      </c>
      <c r="D813" s="6" t="s">
        <v>140</v>
      </c>
      <c r="E813" s="10" t="s">
        <v>1011</v>
      </c>
      <c r="F813" s="6" t="s">
        <v>3258</v>
      </c>
      <c r="G813" s="6" t="s">
        <v>104</v>
      </c>
      <c r="H813" s="6" t="s">
        <v>5634</v>
      </c>
      <c r="I813" s="6" t="s">
        <v>7452</v>
      </c>
      <c r="J813" s="6" t="s">
        <v>8194</v>
      </c>
      <c r="K813" s="6" t="s">
        <v>9714</v>
      </c>
      <c r="L813" s="16" t="n">
        <v>43109</v>
      </c>
      <c r="M813" s="16" t="n">
        <v>45865</v>
      </c>
      <c r="N813" s="6" t="s">
        <v>104</v>
      </c>
      <c r="O813" s="21" t="s">
        <v>104</v>
      </c>
      <c r="P813" s="6" t="s">
        <v>104</v>
      </c>
      <c r="Q813" s="6" t="s">
        <v>104</v>
      </c>
      <c r="R813" s="6" t="s">
        <v>104</v>
      </c>
      <c r="S813" s="6" t="s">
        <v>104</v>
      </c>
      <c r="T813" s="21" t="s">
        <v>104</v>
      </c>
      <c r="U813" s="6" t="s">
        <v>104</v>
      </c>
      <c r="V813" s="6" t="s">
        <v>104</v>
      </c>
      <c r="W813" s="6" t="s">
        <v>104</v>
      </c>
      <c r="X813" s="6" t="s">
        <v>104</v>
      </c>
      <c r="Y813" s="21" t="s">
        <v>104</v>
      </c>
      <c r="Z813" s="6" t="s">
        <v>104</v>
      </c>
      <c r="AA813" s="6" t="s">
        <v>104</v>
      </c>
      <c r="AB813" s="6" t="s">
        <v>104</v>
      </c>
      <c r="AC813" s="6" t="s">
        <v>9714</v>
      </c>
      <c r="AD813" s="16" t="n">
        <v>43109</v>
      </c>
      <c r="AE813" s="6" t="s">
        <v>11248</v>
      </c>
      <c r="AF813" s="6" t="s">
        <v>104</v>
      </c>
      <c r="AG813" s="6" t="s">
        <v>104</v>
      </c>
      <c r="AH813" s="6" t="s">
        <v>13895</v>
      </c>
      <c r="AI813" s="6" t="s">
        <v>104</v>
      </c>
      <c r="AJ813" s="6" t="s">
        <v>15899</v>
      </c>
      <c r="AK813" s="6" t="s">
        <v>16687</v>
      </c>
      <c r="AL813" s="6" t="s">
        <v>16931</v>
      </c>
      <c r="AM813" s="6" t="s">
        <v>17533</v>
      </c>
      <c r="AN813" s="6" t="s">
        <v>104</v>
      </c>
      <c r="AO813" s="6" t="s">
        <v>104</v>
      </c>
      <c r="AP813" s="6" t="s">
        <v>104</v>
      </c>
      <c r="AQ813" s="6" t="s">
        <v>104</v>
      </c>
      <c r="AR813" s="6" t="s">
        <v>104</v>
      </c>
      <c r="AS813" s="6" t="s">
        <v>104</v>
      </c>
      <c r="AT813" s="6" t="s">
        <v>104</v>
      </c>
      <c r="AU813" s="6" t="s">
        <v>104</v>
      </c>
      <c r="AV813" s="6" t="s">
        <v>104</v>
      </c>
      <c r="AW813" s="6" t="s">
        <v>104</v>
      </c>
      <c r="AX813" s="6" t="s">
        <v>20753</v>
      </c>
      <c r="AY813" s="6" t="s">
        <v>22525</v>
      </c>
      <c r="AZ813" s="6" t="s">
        <v>104</v>
      </c>
      <c r="BA813" s="6" t="s">
        <v>104</v>
      </c>
      <c r="BB813" s="6" t="s">
        <v>104</v>
      </c>
      <c r="BC813" s="26"/>
      <c r="BD813" s="26"/>
      <c r="BE813" s="26"/>
      <c r="BF813" s="26"/>
      <c r="BG813" s="26"/>
      <c r="BH813" s="26"/>
      <c r="BI813" s="26"/>
      <c r="BJ813" s="26"/>
      <c r="BK813" s="26"/>
      <c r="BL813" s="26"/>
      <c r="BM813" s="26"/>
      <c r="BN813" s="26"/>
      <c r="BO813" s="26"/>
      <c r="BP813" s="16" t="n">
        <v>45526</v>
      </c>
      <c r="BQ813" s="28" t="str">
        <f>HYPERLINK("https://organic.ams.usda.gov/Integrity/Certificate.aspx?cid=63&amp;nopid=6220007728")</f>
        <v>https://organic.ams.usda.gov/Integrity/Certificate.aspx?cid=63&amp;nopid=6220007728</v>
      </c>
    </row>
    <row r="814">
      <c r="A814" t="s">
        <v>3</v>
      </c>
      <c r="B814" s="6" t="s">
        <v>34</v>
      </c>
      <c r="C814" s="6" t="s">
        <v>100</v>
      </c>
      <c r="D814" s="6" t="s">
        <v>165</v>
      </c>
      <c r="E814" s="10" t="s">
        <v>1012</v>
      </c>
      <c r="F814" s="6" t="s">
        <v>3259</v>
      </c>
      <c r="G814" s="6" t="s">
        <v>104</v>
      </c>
      <c r="H814" s="6" t="s">
        <v>5635</v>
      </c>
      <c r="I814" s="6" t="s">
        <v>7453</v>
      </c>
      <c r="J814" s="6" t="s">
        <v>8747</v>
      </c>
      <c r="K814" s="6" t="s">
        <v>9714</v>
      </c>
      <c r="L814" s="16" t="n">
        <v>45376</v>
      </c>
      <c r="M814" s="16" t="n">
        <v>45826</v>
      </c>
      <c r="N814" s="6" t="s">
        <v>104</v>
      </c>
      <c r="O814" s="21" t="s">
        <v>104</v>
      </c>
      <c r="P814" s="6" t="s">
        <v>104</v>
      </c>
      <c r="Q814" s="6" t="s">
        <v>104</v>
      </c>
      <c r="R814" s="6" t="s">
        <v>104</v>
      </c>
      <c r="S814" s="6" t="s">
        <v>104</v>
      </c>
      <c r="T814" s="21" t="s">
        <v>104</v>
      </c>
      <c r="U814" s="6" t="s">
        <v>104</v>
      </c>
      <c r="V814" s="6" t="s">
        <v>104</v>
      </c>
      <c r="W814" s="6" t="s">
        <v>104</v>
      </c>
      <c r="X814" s="6" t="s">
        <v>104</v>
      </c>
      <c r="Y814" s="21" t="s">
        <v>104</v>
      </c>
      <c r="Z814" s="6" t="s">
        <v>104</v>
      </c>
      <c r="AA814" s="6" t="s">
        <v>104</v>
      </c>
      <c r="AB814" s="6" t="s">
        <v>104</v>
      </c>
      <c r="AC814" s="6" t="s">
        <v>9714</v>
      </c>
      <c r="AD814" s="16" t="n">
        <v>45376</v>
      </c>
      <c r="AE814" s="6" t="s">
        <v>11249</v>
      </c>
      <c r="AF814" s="6" t="s">
        <v>104</v>
      </c>
      <c r="AG814" s="6" t="s">
        <v>12749</v>
      </c>
      <c r="AH814" s="6" t="s">
        <v>13896</v>
      </c>
      <c r="AI814" s="6" t="s">
        <v>104</v>
      </c>
      <c r="AJ814" s="6" t="s">
        <v>15900</v>
      </c>
      <c r="AK814" s="6" t="s">
        <v>16337</v>
      </c>
      <c r="AL814" s="6" t="s">
        <v>16931</v>
      </c>
      <c r="AM814" s="6" t="s">
        <v>17534</v>
      </c>
      <c r="AN814" s="6" t="s">
        <v>104</v>
      </c>
      <c r="AO814" s="6" t="s">
        <v>104</v>
      </c>
      <c r="AP814" s="6" t="s">
        <v>13896</v>
      </c>
      <c r="AQ814" s="6" t="s">
        <v>104</v>
      </c>
      <c r="AR814" s="6" t="s">
        <v>15900</v>
      </c>
      <c r="AS814" s="6" t="s">
        <v>16337</v>
      </c>
      <c r="AT814" s="6" t="s">
        <v>16931</v>
      </c>
      <c r="AU814" s="6" t="s">
        <v>17534</v>
      </c>
      <c r="AV814" s="6" t="s">
        <v>104</v>
      </c>
      <c r="AW814" s="6" t="s">
        <v>104</v>
      </c>
      <c r="AX814" s="6" t="s">
        <v>20259</v>
      </c>
      <c r="AY814" s="6" t="s">
        <v>22526</v>
      </c>
      <c r="AZ814" s="6" t="s">
        <v>23903</v>
      </c>
      <c r="BA814" s="6" t="s">
        <v>104</v>
      </c>
      <c r="BB814" s="6" t="s">
        <v>104</v>
      </c>
      <c r="BC814" s="26"/>
      <c r="BD814" s="26"/>
      <c r="BE814" s="26"/>
      <c r="BF814" s="26"/>
      <c r="BG814" s="26"/>
      <c r="BH814" s="26"/>
      <c r="BI814" s="26"/>
      <c r="BJ814" s="26"/>
      <c r="BK814" s="26"/>
      <c r="BL814" s="26"/>
      <c r="BM814" s="26"/>
      <c r="BN814" s="26"/>
      <c r="BO814" s="26"/>
      <c r="BP814" s="16" t="n">
        <v>45737</v>
      </c>
      <c r="BQ814" s="28" t="str">
        <f>HYPERLINK("https://organic.ams.usda.gov/Integrity/Certificate.aspx?cid=71&amp;nopid=5520755180")</f>
        <v>https://organic.ams.usda.gov/Integrity/Certificate.aspx?cid=71&amp;nopid=5520755180</v>
      </c>
    </row>
    <row r="815">
      <c r="A815" t="s">
        <v>3</v>
      </c>
      <c r="B815" s="6" t="s">
        <v>11</v>
      </c>
      <c r="C815" s="6" t="s">
        <v>77</v>
      </c>
      <c r="D815" s="6" t="s">
        <v>142</v>
      </c>
      <c r="E815" s="10" t="s">
        <v>1013</v>
      </c>
      <c r="F815" s="6" t="s">
        <v>3260</v>
      </c>
      <c r="G815" s="6" t="s">
        <v>104</v>
      </c>
      <c r="H815" s="6" t="s">
        <v>104</v>
      </c>
      <c r="I815" s="6" t="s">
        <v>7131</v>
      </c>
      <c r="J815" s="6" t="s">
        <v>8748</v>
      </c>
      <c r="K815" s="6" t="s">
        <v>9714</v>
      </c>
      <c r="L815" s="16" t="n">
        <v>44580</v>
      </c>
      <c r="M815" s="16" t="n">
        <v>45570</v>
      </c>
      <c r="N815" s="6" t="s">
        <v>104</v>
      </c>
      <c r="O815" s="21" t="s">
        <v>104</v>
      </c>
      <c r="P815" s="6" t="s">
        <v>104</v>
      </c>
      <c r="Q815" s="6" t="s">
        <v>104</v>
      </c>
      <c r="R815" s="6" t="s">
        <v>104</v>
      </c>
      <c r="S815" s="6" t="s">
        <v>104</v>
      </c>
      <c r="T815" s="21" t="s">
        <v>104</v>
      </c>
      <c r="U815" s="6" t="s">
        <v>104</v>
      </c>
      <c r="V815" s="6" t="s">
        <v>104</v>
      </c>
      <c r="W815" s="6" t="s">
        <v>104</v>
      </c>
      <c r="X815" s="6" t="s">
        <v>104</v>
      </c>
      <c r="Y815" s="21" t="s">
        <v>104</v>
      </c>
      <c r="Z815" s="6" t="s">
        <v>104</v>
      </c>
      <c r="AA815" s="6" t="s">
        <v>104</v>
      </c>
      <c r="AB815" s="6" t="s">
        <v>104</v>
      </c>
      <c r="AC815" s="6" t="s">
        <v>9714</v>
      </c>
      <c r="AD815" s="16" t="n">
        <v>44580</v>
      </c>
      <c r="AE815" s="6" t="s">
        <v>11250</v>
      </c>
      <c r="AF815" s="6" t="s">
        <v>104</v>
      </c>
      <c r="AG815" s="6" t="s">
        <v>104</v>
      </c>
      <c r="AH815" s="6" t="s">
        <v>13897</v>
      </c>
      <c r="AI815" s="6" t="s">
        <v>104</v>
      </c>
      <c r="AJ815" s="6" t="s">
        <v>15430</v>
      </c>
      <c r="AK815" s="6" t="s">
        <v>104</v>
      </c>
      <c r="AL815" s="6" t="s">
        <v>16939</v>
      </c>
      <c r="AM815" s="6" t="s">
        <v>104</v>
      </c>
      <c r="AN815" s="6" t="s">
        <v>104</v>
      </c>
      <c r="AO815" s="6" t="s">
        <v>104</v>
      </c>
      <c r="AP815" s="6" t="s">
        <v>104</v>
      </c>
      <c r="AQ815" s="6" t="s">
        <v>104</v>
      </c>
      <c r="AR815" s="6" t="s">
        <v>104</v>
      </c>
      <c r="AS815" s="6" t="s">
        <v>104</v>
      </c>
      <c r="AT815" s="6" t="s">
        <v>104</v>
      </c>
      <c r="AU815" s="6" t="s">
        <v>104</v>
      </c>
      <c r="AV815" s="6" t="s">
        <v>104</v>
      </c>
      <c r="AW815" s="6" t="s">
        <v>104</v>
      </c>
      <c r="AX815" s="6" t="s">
        <v>20754</v>
      </c>
      <c r="AY815" s="6" t="s">
        <v>22527</v>
      </c>
      <c r="AZ815" s="6" t="s">
        <v>104</v>
      </c>
      <c r="BA815" s="6" t="s">
        <v>104</v>
      </c>
      <c r="BB815" s="6" t="s">
        <v>104</v>
      </c>
      <c r="BC815" s="26"/>
      <c r="BD815" s="26"/>
      <c r="BE815" s="26"/>
      <c r="BF815" s="26"/>
      <c r="BG815" s="26"/>
      <c r="BH815" s="26"/>
      <c r="BI815" s="26"/>
      <c r="BJ815" s="26"/>
      <c r="BK815" s="26"/>
      <c r="BL815" s="26"/>
      <c r="BM815" s="26"/>
      <c r="BN815" s="26"/>
      <c r="BO815" s="26"/>
      <c r="BP815" s="16" t="n">
        <v>45366</v>
      </c>
      <c r="BQ815" s="28" t="str">
        <f>HYPERLINK("https://organic.ams.usda.gov/Integrity/Certificate.aspx?cid=21&amp;nopid=1780881797")</f>
        <v>https://organic.ams.usda.gov/Integrity/Certificate.aspx?cid=21&amp;nopid=1780881797</v>
      </c>
    </row>
    <row r="816">
      <c r="A816" t="s">
        <v>3</v>
      </c>
      <c r="B816" s="6" t="s">
        <v>13</v>
      </c>
      <c r="C816" s="6" t="s">
        <v>79</v>
      </c>
      <c r="D816" s="6" t="s">
        <v>144</v>
      </c>
      <c r="E816" s="10" t="s">
        <v>1014</v>
      </c>
      <c r="F816" s="6" t="s">
        <v>3261</v>
      </c>
      <c r="G816" s="6" t="s">
        <v>104</v>
      </c>
      <c r="H816" s="6" t="s">
        <v>5636</v>
      </c>
      <c r="I816" s="6" t="s">
        <v>7253</v>
      </c>
      <c r="J816" s="6" t="s">
        <v>8749</v>
      </c>
      <c r="K816" s="6" t="s">
        <v>9714</v>
      </c>
      <c r="L816" s="16" t="n">
        <v>41562</v>
      </c>
      <c r="M816" s="16" t="n">
        <v>46113</v>
      </c>
      <c r="N816" s="6" t="s">
        <v>104</v>
      </c>
      <c r="O816" s="21" t="s">
        <v>104</v>
      </c>
      <c r="P816" s="6" t="s">
        <v>104</v>
      </c>
      <c r="Q816" s="6" t="s">
        <v>104</v>
      </c>
      <c r="R816" s="6" t="s">
        <v>104</v>
      </c>
      <c r="S816" s="6" t="s">
        <v>104</v>
      </c>
      <c r="T816" s="21" t="s">
        <v>104</v>
      </c>
      <c r="U816" s="6" t="s">
        <v>104</v>
      </c>
      <c r="V816" s="6" t="s">
        <v>104</v>
      </c>
      <c r="W816" s="6" t="s">
        <v>104</v>
      </c>
      <c r="X816" s="6" t="s">
        <v>104</v>
      </c>
      <c r="Y816" s="21" t="s">
        <v>104</v>
      </c>
      <c r="Z816" s="6" t="s">
        <v>104</v>
      </c>
      <c r="AA816" s="6" t="s">
        <v>104</v>
      </c>
      <c r="AB816" s="6" t="s">
        <v>104</v>
      </c>
      <c r="AC816" s="6" t="s">
        <v>9714</v>
      </c>
      <c r="AD816" s="16" t="n">
        <v>41562</v>
      </c>
      <c r="AE816" s="6" t="s">
        <v>11251</v>
      </c>
      <c r="AF816" s="6" t="s">
        <v>104</v>
      </c>
      <c r="AG816" s="6" t="s">
        <v>104</v>
      </c>
      <c r="AH816" s="6" t="s">
        <v>104</v>
      </c>
      <c r="AI816" s="6" t="s">
        <v>104</v>
      </c>
      <c r="AJ816" s="6" t="s">
        <v>104</v>
      </c>
      <c r="AK816" s="6" t="s">
        <v>104</v>
      </c>
      <c r="AL816" s="6" t="s">
        <v>104</v>
      </c>
      <c r="AM816" s="6" t="s">
        <v>104</v>
      </c>
      <c r="AN816" s="6" t="s">
        <v>104</v>
      </c>
      <c r="AO816" s="6" t="s">
        <v>104</v>
      </c>
      <c r="AP816" s="6" t="s">
        <v>19155</v>
      </c>
      <c r="AQ816" s="6" t="s">
        <v>104</v>
      </c>
      <c r="AR816" s="6" t="s">
        <v>15566</v>
      </c>
      <c r="AS816" s="6" t="s">
        <v>16751</v>
      </c>
      <c r="AT816" s="6" t="s">
        <v>16931</v>
      </c>
      <c r="AU816" s="6" t="s">
        <v>19897</v>
      </c>
      <c r="AV816" s="6" t="s">
        <v>18500</v>
      </c>
      <c r="AW816" s="6" t="s">
        <v>18628</v>
      </c>
      <c r="AX816" s="6" t="s">
        <v>20755</v>
      </c>
      <c r="AY816" s="6" t="s">
        <v>22528</v>
      </c>
      <c r="AZ816" s="6" t="s">
        <v>23904</v>
      </c>
      <c r="BA816" s="6" t="s">
        <v>104</v>
      </c>
      <c r="BB816" s="6" t="s">
        <v>104</v>
      </c>
      <c r="BC816" s="26"/>
      <c r="BD816" s="26"/>
      <c r="BE816" s="26"/>
      <c r="BF816" s="26"/>
      <c r="BG816" s="26"/>
      <c r="BH816" s="26"/>
      <c r="BI816" s="26"/>
      <c r="BJ816" s="26"/>
      <c r="BK816" s="26"/>
      <c r="BL816" s="26"/>
      <c r="BM816" s="26"/>
      <c r="BN816" s="26"/>
      <c r="BO816" s="26"/>
      <c r="BP816" s="16" t="n">
        <v>45720</v>
      </c>
      <c r="BQ816" s="28" t="str">
        <f>HYPERLINK("https://organic.ams.usda.gov/Integrity/Certificate.aspx?cid=62&amp;nopid=8150000104")</f>
        <v>https://organic.ams.usda.gov/Integrity/Certificate.aspx?cid=62&amp;nopid=8150000104</v>
      </c>
    </row>
    <row r="817">
      <c r="A817" t="s">
        <v>3</v>
      </c>
      <c r="B817" s="6" t="s">
        <v>57</v>
      </c>
      <c r="C817" s="6" t="s">
        <v>123</v>
      </c>
      <c r="D817" s="6" t="s">
        <v>187</v>
      </c>
      <c r="E817" s="10" t="s">
        <v>1015</v>
      </c>
      <c r="F817" s="6" t="s">
        <v>3262</v>
      </c>
      <c r="G817" s="6" t="s">
        <v>104</v>
      </c>
      <c r="H817" s="6" t="s">
        <v>5637</v>
      </c>
      <c r="I817" s="6" t="s">
        <v>7454</v>
      </c>
      <c r="J817" s="6" t="s">
        <v>8750</v>
      </c>
      <c r="K817" s="6" t="s">
        <v>9714</v>
      </c>
      <c r="L817" s="16" t="n">
        <v>40189</v>
      </c>
      <c r="M817" s="16" t="n">
        <v>45566</v>
      </c>
      <c r="N817" s="6" t="s">
        <v>104</v>
      </c>
      <c r="O817" s="21" t="s">
        <v>104</v>
      </c>
      <c r="P817" s="6" t="s">
        <v>104</v>
      </c>
      <c r="Q817" s="6" t="s">
        <v>104</v>
      </c>
      <c r="R817" s="6" t="s">
        <v>104</v>
      </c>
      <c r="S817" s="6" t="s">
        <v>104</v>
      </c>
      <c r="T817" s="21" t="s">
        <v>104</v>
      </c>
      <c r="U817" s="6" t="s">
        <v>104</v>
      </c>
      <c r="V817" s="6" t="s">
        <v>104</v>
      </c>
      <c r="W817" s="6" t="s">
        <v>104</v>
      </c>
      <c r="X817" s="6" t="s">
        <v>104</v>
      </c>
      <c r="Y817" s="21" t="s">
        <v>104</v>
      </c>
      <c r="Z817" s="6" t="s">
        <v>104</v>
      </c>
      <c r="AA817" s="6" t="s">
        <v>104</v>
      </c>
      <c r="AB817" s="6" t="s">
        <v>104</v>
      </c>
      <c r="AC817" s="6" t="s">
        <v>9714</v>
      </c>
      <c r="AD817" s="16" t="n">
        <v>40189</v>
      </c>
      <c r="AE817" s="6" t="s">
        <v>11252</v>
      </c>
      <c r="AF817" s="6" t="s">
        <v>104</v>
      </c>
      <c r="AG817" s="6" t="s">
        <v>104</v>
      </c>
      <c r="AH817" s="6" t="s">
        <v>13898</v>
      </c>
      <c r="AI817" s="6" t="s">
        <v>104</v>
      </c>
      <c r="AJ817" s="6" t="s">
        <v>15901</v>
      </c>
      <c r="AK817" s="6" t="s">
        <v>16730</v>
      </c>
      <c r="AL817" s="6" t="s">
        <v>16931</v>
      </c>
      <c r="AM817" s="6" t="s">
        <v>17535</v>
      </c>
      <c r="AN817" s="6" t="s">
        <v>18517</v>
      </c>
      <c r="AO817" s="6" t="s">
        <v>18559</v>
      </c>
      <c r="AP817" s="6" t="s">
        <v>13898</v>
      </c>
      <c r="AQ817" s="6" t="s">
        <v>104</v>
      </c>
      <c r="AR817" s="6" t="s">
        <v>15901</v>
      </c>
      <c r="AS817" s="6" t="s">
        <v>16730</v>
      </c>
      <c r="AT817" s="6" t="s">
        <v>16931</v>
      </c>
      <c r="AU817" s="6" t="s">
        <v>17535</v>
      </c>
      <c r="AV817" s="6" t="s">
        <v>104</v>
      </c>
      <c r="AW817" s="6" t="s">
        <v>104</v>
      </c>
      <c r="AX817" s="6" t="s">
        <v>20756</v>
      </c>
      <c r="AY817" s="6" t="s">
        <v>22529</v>
      </c>
      <c r="AZ817" s="6" t="s">
        <v>104</v>
      </c>
      <c r="BA817" s="6" t="s">
        <v>104</v>
      </c>
      <c r="BB817" s="6" t="s">
        <v>104</v>
      </c>
      <c r="BC817" s="26"/>
      <c r="BD817" s="26"/>
      <c r="BE817" s="26"/>
      <c r="BF817" s="26"/>
      <c r="BG817" s="26"/>
      <c r="BH817" s="26"/>
      <c r="BI817" s="26"/>
      <c r="BJ817" s="26"/>
      <c r="BK817" s="26"/>
      <c r="BL817" s="26"/>
      <c r="BM817" s="26"/>
      <c r="BN817" s="26"/>
      <c r="BO817" s="26"/>
      <c r="BP817" s="16" t="n">
        <v>45735</v>
      </c>
      <c r="BQ817" s="28" t="str">
        <f>HYPERLINK("https://organic.ams.usda.gov/Integrity/Certificate.aspx?cid=19&amp;nopid=6350000319")</f>
        <v>https://organic.ams.usda.gov/Integrity/Certificate.aspx?cid=19&amp;nopid=6350000319</v>
      </c>
    </row>
    <row r="818">
      <c r="A818" t="s">
        <v>3</v>
      </c>
      <c r="B818" s="6" t="s">
        <v>22</v>
      </c>
      <c r="C818" s="6" t="s">
        <v>88</v>
      </c>
      <c r="D818" s="6" t="s">
        <v>153</v>
      </c>
      <c r="E818" s="10" t="s">
        <v>1016</v>
      </c>
      <c r="F818" s="6" t="s">
        <v>3263</v>
      </c>
      <c r="G818" s="6" t="s">
        <v>104</v>
      </c>
      <c r="H818" s="6" t="s">
        <v>5638</v>
      </c>
      <c r="I818" s="6" t="s">
        <v>7455</v>
      </c>
      <c r="J818" s="6" t="s">
        <v>8751</v>
      </c>
      <c r="K818" s="6" t="s">
        <v>9714</v>
      </c>
      <c r="L818" s="16" t="n">
        <v>42818</v>
      </c>
      <c r="M818" s="16" t="n">
        <v>46024</v>
      </c>
      <c r="N818" s="6" t="s">
        <v>104</v>
      </c>
      <c r="O818" s="21" t="s">
        <v>104</v>
      </c>
      <c r="P818" s="6" t="s">
        <v>104</v>
      </c>
      <c r="Q818" s="6" t="s">
        <v>104</v>
      </c>
      <c r="R818" s="6" t="s">
        <v>104</v>
      </c>
      <c r="S818" s="6" t="s">
        <v>104</v>
      </c>
      <c r="T818" s="21" t="s">
        <v>104</v>
      </c>
      <c r="U818" s="6" t="s">
        <v>104</v>
      </c>
      <c r="V818" s="6" t="s">
        <v>104</v>
      </c>
      <c r="W818" s="6" t="s">
        <v>104</v>
      </c>
      <c r="X818" s="6" t="s">
        <v>104</v>
      </c>
      <c r="Y818" s="21" t="s">
        <v>104</v>
      </c>
      <c r="Z818" s="6" t="s">
        <v>104</v>
      </c>
      <c r="AA818" s="6" t="s">
        <v>104</v>
      </c>
      <c r="AB818" s="6" t="s">
        <v>104</v>
      </c>
      <c r="AC818" s="6" t="s">
        <v>9714</v>
      </c>
      <c r="AD818" s="16" t="n">
        <v>42818</v>
      </c>
      <c r="AE818" s="6" t="s">
        <v>11253</v>
      </c>
      <c r="AF818" s="6" t="s">
        <v>104</v>
      </c>
      <c r="AG818" s="6" t="s">
        <v>12750</v>
      </c>
      <c r="AH818" s="6" t="s">
        <v>13899</v>
      </c>
      <c r="AI818" s="6" t="s">
        <v>104</v>
      </c>
      <c r="AJ818" s="6" t="s">
        <v>15721</v>
      </c>
      <c r="AK818" s="6" t="s">
        <v>16680</v>
      </c>
      <c r="AL818" s="6" t="s">
        <v>16931</v>
      </c>
      <c r="AM818" s="6" t="s">
        <v>17342</v>
      </c>
      <c r="AN818" s="6" t="s">
        <v>18463</v>
      </c>
      <c r="AO818" s="6" t="s">
        <v>18649</v>
      </c>
      <c r="AP818" s="6" t="s">
        <v>13899</v>
      </c>
      <c r="AQ818" s="6" t="s">
        <v>104</v>
      </c>
      <c r="AR818" s="6" t="s">
        <v>15721</v>
      </c>
      <c r="AS818" s="6" t="s">
        <v>16680</v>
      </c>
      <c r="AT818" s="6" t="s">
        <v>16931</v>
      </c>
      <c r="AU818" s="6" t="s">
        <v>17342</v>
      </c>
      <c r="AV818" s="6" t="s">
        <v>104</v>
      </c>
      <c r="AW818" s="6" t="s">
        <v>104</v>
      </c>
      <c r="AX818" s="6" t="s">
        <v>20757</v>
      </c>
      <c r="AY818" s="6" t="s">
        <v>22530</v>
      </c>
      <c r="AZ818" s="6" t="s">
        <v>23905</v>
      </c>
      <c r="BA818" s="6" t="s">
        <v>104</v>
      </c>
      <c r="BB818" s="6" t="s">
        <v>104</v>
      </c>
      <c r="BC818" s="26"/>
      <c r="BD818" s="26"/>
      <c r="BE818" s="26" t="s">
        <v>24533</v>
      </c>
      <c r="BF818" s="26"/>
      <c r="BG818" s="26"/>
      <c r="BH818" s="26"/>
      <c r="BI818" s="26"/>
      <c r="BJ818" s="26"/>
      <c r="BK818" s="26"/>
      <c r="BL818" s="26"/>
      <c r="BM818" s="26"/>
      <c r="BN818" s="26"/>
      <c r="BO818" s="26"/>
      <c r="BP818" s="16" t="n">
        <v>45686</v>
      </c>
      <c r="BQ818" s="28" t="str">
        <f>HYPERLINK("https://organic.ams.usda.gov/Integrity/Certificate.aspx?cid=72&amp;nopid=5870002624")</f>
        <v>https://organic.ams.usda.gov/Integrity/Certificate.aspx?cid=72&amp;nopid=5870002624</v>
      </c>
    </row>
    <row r="819">
      <c r="A819" t="s">
        <v>3</v>
      </c>
      <c r="B819" s="6" t="s">
        <v>57</v>
      </c>
      <c r="C819" s="6" t="s">
        <v>123</v>
      </c>
      <c r="D819" s="6" t="s">
        <v>187</v>
      </c>
      <c r="E819" s="10" t="s">
        <v>1017</v>
      </c>
      <c r="F819" s="6" t="s">
        <v>3264</v>
      </c>
      <c r="G819" s="6" t="s">
        <v>104</v>
      </c>
      <c r="H819" s="6" t="s">
        <v>5639</v>
      </c>
      <c r="I819" s="6" t="s">
        <v>7456</v>
      </c>
      <c r="J819" s="6" t="s">
        <v>8752</v>
      </c>
      <c r="K819" s="6" t="s">
        <v>9714</v>
      </c>
      <c r="L819" s="16" t="n">
        <v>45295</v>
      </c>
      <c r="M819" s="16" t="n">
        <v>45809</v>
      </c>
      <c r="N819" s="6" t="s">
        <v>104</v>
      </c>
      <c r="O819" s="21" t="s">
        <v>104</v>
      </c>
      <c r="P819" s="6" t="s">
        <v>104</v>
      </c>
      <c r="Q819" s="6" t="s">
        <v>104</v>
      </c>
      <c r="R819" s="6" t="s">
        <v>104</v>
      </c>
      <c r="S819" s="6" t="s">
        <v>104</v>
      </c>
      <c r="T819" s="21" t="s">
        <v>104</v>
      </c>
      <c r="U819" s="6" t="s">
        <v>104</v>
      </c>
      <c r="V819" s="6" t="s">
        <v>104</v>
      </c>
      <c r="W819" s="6" t="s">
        <v>104</v>
      </c>
      <c r="X819" s="6" t="s">
        <v>104</v>
      </c>
      <c r="Y819" s="21" t="s">
        <v>104</v>
      </c>
      <c r="Z819" s="6" t="s">
        <v>104</v>
      </c>
      <c r="AA819" s="6" t="s">
        <v>104</v>
      </c>
      <c r="AB819" s="6" t="s">
        <v>104</v>
      </c>
      <c r="AC819" s="6" t="s">
        <v>9714</v>
      </c>
      <c r="AD819" s="16" t="n">
        <v>45295</v>
      </c>
      <c r="AE819" s="6" t="s">
        <v>11254</v>
      </c>
      <c r="AF819" s="6" t="s">
        <v>104</v>
      </c>
      <c r="AG819" s="6" t="s">
        <v>104</v>
      </c>
      <c r="AH819" s="6" t="s">
        <v>13900</v>
      </c>
      <c r="AI819" s="6" t="s">
        <v>104</v>
      </c>
      <c r="AJ819" s="6" t="s">
        <v>15902</v>
      </c>
      <c r="AK819" s="6" t="s">
        <v>16730</v>
      </c>
      <c r="AL819" s="6" t="s">
        <v>16931</v>
      </c>
      <c r="AM819" s="6" t="s">
        <v>17536</v>
      </c>
      <c r="AN819" s="6" t="s">
        <v>18491</v>
      </c>
      <c r="AO819" s="6" t="s">
        <v>18739</v>
      </c>
      <c r="AP819" s="6" t="s">
        <v>19156</v>
      </c>
      <c r="AQ819" s="6" t="s">
        <v>104</v>
      </c>
      <c r="AR819" s="6" t="s">
        <v>15902</v>
      </c>
      <c r="AS819" s="6" t="s">
        <v>16730</v>
      </c>
      <c r="AT819" s="6" t="s">
        <v>16931</v>
      </c>
      <c r="AU819" s="6" t="s">
        <v>17536</v>
      </c>
      <c r="AV819" s="6" t="s">
        <v>104</v>
      </c>
      <c r="AW819" s="6" t="s">
        <v>104</v>
      </c>
      <c r="AX819" s="6" t="s">
        <v>20758</v>
      </c>
      <c r="AY819" s="6" t="s">
        <v>22531</v>
      </c>
      <c r="AZ819" s="6" t="s">
        <v>104</v>
      </c>
      <c r="BA819" s="6" t="s">
        <v>24383</v>
      </c>
      <c r="BB819" s="6" t="s">
        <v>104</v>
      </c>
      <c r="BC819" s="26"/>
      <c r="BD819" s="26"/>
      <c r="BE819" s="26"/>
      <c r="BF819" s="26"/>
      <c r="BG819" s="26"/>
      <c r="BH819" s="26"/>
      <c r="BI819" s="26"/>
      <c r="BJ819" s="26"/>
      <c r="BK819" s="26"/>
      <c r="BL819" s="26"/>
      <c r="BM819" s="26"/>
      <c r="BN819" s="26"/>
      <c r="BO819" s="26"/>
      <c r="BP819" s="16" t="n">
        <v>45735</v>
      </c>
      <c r="BQ819" s="28" t="str">
        <f>HYPERLINK("https://organic.ams.usda.gov/Integrity/Certificate.aspx?cid=19&amp;nopid=6350000519")</f>
        <v>https://organic.ams.usda.gov/Integrity/Certificate.aspx?cid=19&amp;nopid=6350000519</v>
      </c>
    </row>
    <row r="820">
      <c r="A820" t="s">
        <v>3</v>
      </c>
      <c r="B820" s="6" t="s">
        <v>57</v>
      </c>
      <c r="C820" s="6" t="s">
        <v>123</v>
      </c>
      <c r="D820" s="6" t="s">
        <v>187</v>
      </c>
      <c r="E820" s="10" t="s">
        <v>1018</v>
      </c>
      <c r="F820" s="6" t="s">
        <v>3265</v>
      </c>
      <c r="G820" s="6" t="s">
        <v>104</v>
      </c>
      <c r="H820" s="6" t="s">
        <v>5640</v>
      </c>
      <c r="I820" s="6" t="s">
        <v>104</v>
      </c>
      <c r="J820" s="6" t="s">
        <v>104</v>
      </c>
      <c r="K820" s="6" t="s">
        <v>9714</v>
      </c>
      <c r="L820" s="16" t="n">
        <v>37824</v>
      </c>
      <c r="M820" s="16" t="n">
        <v>45809</v>
      </c>
      <c r="N820" s="6" t="s">
        <v>104</v>
      </c>
      <c r="O820" s="21" t="s">
        <v>104</v>
      </c>
      <c r="P820" s="6" t="s">
        <v>104</v>
      </c>
      <c r="Q820" s="6" t="s">
        <v>104</v>
      </c>
      <c r="R820" s="6" t="s">
        <v>104</v>
      </c>
      <c r="S820" s="6" t="s">
        <v>104</v>
      </c>
      <c r="T820" s="21" t="s">
        <v>104</v>
      </c>
      <c r="U820" s="6" t="s">
        <v>104</v>
      </c>
      <c r="V820" s="6" t="s">
        <v>104</v>
      </c>
      <c r="W820" s="6" t="s">
        <v>104</v>
      </c>
      <c r="X820" s="6" t="s">
        <v>104</v>
      </c>
      <c r="Y820" s="21" t="s">
        <v>104</v>
      </c>
      <c r="Z820" s="6" t="s">
        <v>104</v>
      </c>
      <c r="AA820" s="6" t="s">
        <v>104</v>
      </c>
      <c r="AB820" s="6" t="s">
        <v>104</v>
      </c>
      <c r="AC820" s="6" t="s">
        <v>9714</v>
      </c>
      <c r="AD820" s="16" t="n">
        <v>37824</v>
      </c>
      <c r="AE820" s="6" t="s">
        <v>11255</v>
      </c>
      <c r="AF820" s="6" t="s">
        <v>104</v>
      </c>
      <c r="AG820" s="6" t="s">
        <v>104</v>
      </c>
      <c r="AH820" s="6" t="s">
        <v>13900</v>
      </c>
      <c r="AI820" s="6" t="s">
        <v>104</v>
      </c>
      <c r="AJ820" s="6" t="s">
        <v>15902</v>
      </c>
      <c r="AK820" s="6" t="s">
        <v>16730</v>
      </c>
      <c r="AL820" s="6" t="s">
        <v>16931</v>
      </c>
      <c r="AM820" s="6" t="s">
        <v>17536</v>
      </c>
      <c r="AN820" s="6" t="s">
        <v>18491</v>
      </c>
      <c r="AO820" s="6" t="s">
        <v>18739</v>
      </c>
      <c r="AP820" s="6" t="s">
        <v>19157</v>
      </c>
      <c r="AQ820" s="6" t="s">
        <v>104</v>
      </c>
      <c r="AR820" s="6" t="s">
        <v>15902</v>
      </c>
      <c r="AS820" s="6" t="s">
        <v>16730</v>
      </c>
      <c r="AT820" s="6" t="s">
        <v>16931</v>
      </c>
      <c r="AU820" s="6" t="s">
        <v>17536</v>
      </c>
      <c r="AV820" s="6" t="s">
        <v>104</v>
      </c>
      <c r="AW820" s="6" t="s">
        <v>104</v>
      </c>
      <c r="AX820" s="6" t="s">
        <v>20759</v>
      </c>
      <c r="AY820" s="6" t="s">
        <v>22532</v>
      </c>
      <c r="AZ820" s="6" t="s">
        <v>104</v>
      </c>
      <c r="BA820" s="6" t="s">
        <v>24384</v>
      </c>
      <c r="BB820" s="6" t="s">
        <v>104</v>
      </c>
      <c r="BC820" s="26"/>
      <c r="BD820" s="26"/>
      <c r="BE820" s="26"/>
      <c r="BF820" s="26"/>
      <c r="BG820" s="26"/>
      <c r="BH820" s="26"/>
      <c r="BI820" s="26"/>
      <c r="BJ820" s="26"/>
      <c r="BK820" s="26"/>
      <c r="BL820" s="26"/>
      <c r="BM820" s="26"/>
      <c r="BN820" s="26"/>
      <c r="BO820" s="26"/>
      <c r="BP820" s="16" t="n">
        <v>45735</v>
      </c>
      <c r="BQ820" s="28" t="str">
        <f>HYPERLINK("https://organic.ams.usda.gov/Integrity/Certificate.aspx?cid=19&amp;nopid=6350000025")</f>
        <v>https://organic.ams.usda.gov/Integrity/Certificate.aspx?cid=19&amp;nopid=6350000025</v>
      </c>
    </row>
    <row r="821">
      <c r="A821" t="s">
        <v>3</v>
      </c>
      <c r="B821" s="6" t="s">
        <v>29</v>
      </c>
      <c r="C821" s="6" t="s">
        <v>95</v>
      </c>
      <c r="D821" s="6" t="s">
        <v>160</v>
      </c>
      <c r="E821" s="10" t="s">
        <v>1019</v>
      </c>
      <c r="F821" s="6" t="s">
        <v>3266</v>
      </c>
      <c r="G821" s="6" t="s">
        <v>104</v>
      </c>
      <c r="H821" s="6" t="s">
        <v>5641</v>
      </c>
      <c r="I821" s="6" t="s">
        <v>104</v>
      </c>
      <c r="J821" s="6" t="s">
        <v>8753</v>
      </c>
      <c r="K821" s="6" t="s">
        <v>9714</v>
      </c>
      <c r="L821" s="16" t="n">
        <v>43229</v>
      </c>
      <c r="M821" s="16" t="n">
        <v>45870</v>
      </c>
      <c r="N821" s="6" t="s">
        <v>9714</v>
      </c>
      <c r="O821" s="16" t="n">
        <v>43229</v>
      </c>
      <c r="P821" s="6" t="s">
        <v>9944</v>
      </c>
      <c r="Q821" s="6" t="s">
        <v>104</v>
      </c>
      <c r="R821" s="6" t="s">
        <v>104</v>
      </c>
      <c r="S821" s="6" t="s">
        <v>104</v>
      </c>
      <c r="T821" s="21" t="s">
        <v>104</v>
      </c>
      <c r="U821" s="6" t="s">
        <v>104</v>
      </c>
      <c r="V821" s="6" t="s">
        <v>104</v>
      </c>
      <c r="W821" s="6" t="s">
        <v>104</v>
      </c>
      <c r="X821" s="6" t="s">
        <v>104</v>
      </c>
      <c r="Y821" s="21" t="s">
        <v>104</v>
      </c>
      <c r="Z821" s="6" t="s">
        <v>104</v>
      </c>
      <c r="AA821" s="6" t="s">
        <v>104</v>
      </c>
      <c r="AB821" s="6" t="s">
        <v>104</v>
      </c>
      <c r="AC821" s="6" t="s">
        <v>9714</v>
      </c>
      <c r="AD821" s="16" t="n">
        <v>43229</v>
      </c>
      <c r="AE821" s="6" t="s">
        <v>11256</v>
      </c>
      <c r="AF821" s="6" t="s">
        <v>104</v>
      </c>
      <c r="AG821" s="6" t="s">
        <v>104</v>
      </c>
      <c r="AH821" s="6" t="s">
        <v>13901</v>
      </c>
      <c r="AI821" s="6" t="s">
        <v>15269</v>
      </c>
      <c r="AJ821" s="6" t="s">
        <v>15443</v>
      </c>
      <c r="AK821" s="6" t="s">
        <v>104</v>
      </c>
      <c r="AL821" s="6" t="s">
        <v>16945</v>
      </c>
      <c r="AM821" s="6" t="s">
        <v>104</v>
      </c>
      <c r="AN821" s="6" t="s">
        <v>104</v>
      </c>
      <c r="AO821" s="6" t="s">
        <v>104</v>
      </c>
      <c r="AP821" s="6" t="s">
        <v>104</v>
      </c>
      <c r="AQ821" s="6" t="s">
        <v>104</v>
      </c>
      <c r="AR821" s="6" t="s">
        <v>104</v>
      </c>
      <c r="AS821" s="6" t="s">
        <v>104</v>
      </c>
      <c r="AT821" s="6" t="s">
        <v>104</v>
      </c>
      <c r="AU821" s="6" t="s">
        <v>104</v>
      </c>
      <c r="AV821" s="6" t="s">
        <v>104</v>
      </c>
      <c r="AW821" s="6" t="s">
        <v>104</v>
      </c>
      <c r="AX821" s="6" t="s">
        <v>20760</v>
      </c>
      <c r="AY821" s="6" t="s">
        <v>22533</v>
      </c>
      <c r="AZ821" s="6" t="s">
        <v>104</v>
      </c>
      <c r="BA821" s="6" t="s">
        <v>104</v>
      </c>
      <c r="BB821" s="24" t="n">
        <v>4458</v>
      </c>
      <c r="BC821" s="26"/>
      <c r="BD821" s="26"/>
      <c r="BE821" s="26"/>
      <c r="BF821" s="26"/>
      <c r="BG821" s="26"/>
      <c r="BH821" s="26"/>
      <c r="BI821" s="26"/>
      <c r="BJ821" s="26"/>
      <c r="BK821" s="26"/>
      <c r="BL821" s="26"/>
      <c r="BM821" s="26"/>
      <c r="BN821" s="26"/>
      <c r="BO821" s="26" t="s">
        <v>24533</v>
      </c>
      <c r="BP821" s="16" t="n">
        <v>45604</v>
      </c>
      <c r="BQ821" s="28" t="str">
        <f>HYPERLINK("https://organic.ams.usda.gov/Integrity/Certificate.aspx?cid=24&amp;nopid=7880185130")</f>
        <v>https://organic.ams.usda.gov/Integrity/Certificate.aspx?cid=24&amp;nopid=7880185130</v>
      </c>
    </row>
    <row r="822">
      <c r="A822" t="s">
        <v>3</v>
      </c>
      <c r="B822" s="6" t="s">
        <v>6</v>
      </c>
      <c r="C822" s="6" t="s">
        <v>72</v>
      </c>
      <c r="D822" s="6" t="s">
        <v>137</v>
      </c>
      <c r="E822" s="10" t="s">
        <v>1020</v>
      </c>
      <c r="F822" s="6" t="s">
        <v>3267</v>
      </c>
      <c r="G822" s="6" t="s">
        <v>104</v>
      </c>
      <c r="H822" s="6" t="s">
        <v>5642</v>
      </c>
      <c r="I822" s="6" t="s">
        <v>7202</v>
      </c>
      <c r="J822" s="6" t="s">
        <v>8754</v>
      </c>
      <c r="K822" s="6" t="s">
        <v>9714</v>
      </c>
      <c r="L822" s="16" t="n">
        <v>45191</v>
      </c>
      <c r="M822" s="16" t="n">
        <v>45807</v>
      </c>
      <c r="N822" s="6" t="s">
        <v>104</v>
      </c>
      <c r="O822" s="21" t="s">
        <v>104</v>
      </c>
      <c r="P822" s="6" t="s">
        <v>104</v>
      </c>
      <c r="Q822" s="6" t="s">
        <v>104</v>
      </c>
      <c r="R822" s="6" t="s">
        <v>104</v>
      </c>
      <c r="S822" s="6" t="s">
        <v>104</v>
      </c>
      <c r="T822" s="21" t="s">
        <v>104</v>
      </c>
      <c r="U822" s="6" t="s">
        <v>104</v>
      </c>
      <c r="V822" s="6" t="s">
        <v>104</v>
      </c>
      <c r="W822" s="6" t="s">
        <v>104</v>
      </c>
      <c r="X822" s="6" t="s">
        <v>104</v>
      </c>
      <c r="Y822" s="21" t="s">
        <v>104</v>
      </c>
      <c r="Z822" s="6" t="s">
        <v>104</v>
      </c>
      <c r="AA822" s="6" t="s">
        <v>104</v>
      </c>
      <c r="AB822" s="6" t="s">
        <v>104</v>
      </c>
      <c r="AC822" s="6" t="s">
        <v>9714</v>
      </c>
      <c r="AD822" s="16" t="n">
        <v>45191</v>
      </c>
      <c r="AE822" s="6" t="s">
        <v>11257</v>
      </c>
      <c r="AF822" s="6" t="s">
        <v>104</v>
      </c>
      <c r="AG822" s="6" t="s">
        <v>12751</v>
      </c>
      <c r="AH822" s="6" t="s">
        <v>13902</v>
      </c>
      <c r="AI822" s="6" t="s">
        <v>104</v>
      </c>
      <c r="AJ822" s="6" t="s">
        <v>15530</v>
      </c>
      <c r="AK822" s="6" t="s">
        <v>15530</v>
      </c>
      <c r="AL822" s="6" t="s">
        <v>16766</v>
      </c>
      <c r="AM822" s="6" t="s">
        <v>104</v>
      </c>
      <c r="AN822" s="6" t="s">
        <v>104</v>
      </c>
      <c r="AO822" s="6" t="s">
        <v>104</v>
      </c>
      <c r="AP822" s="6" t="s">
        <v>104</v>
      </c>
      <c r="AQ822" s="6" t="s">
        <v>104</v>
      </c>
      <c r="AR822" s="6" t="s">
        <v>104</v>
      </c>
      <c r="AS822" s="6" t="s">
        <v>104</v>
      </c>
      <c r="AT822" s="6" t="s">
        <v>104</v>
      </c>
      <c r="AU822" s="6" t="s">
        <v>104</v>
      </c>
      <c r="AV822" s="6" t="s">
        <v>104</v>
      </c>
      <c r="AW822" s="6" t="s">
        <v>104</v>
      </c>
      <c r="AX822" s="6" t="s">
        <v>20761</v>
      </c>
      <c r="AY822" s="6" t="s">
        <v>22534</v>
      </c>
      <c r="AZ822" s="6" t="s">
        <v>104</v>
      </c>
      <c r="BA822" s="6" t="s">
        <v>24258</v>
      </c>
      <c r="BB822" s="6" t="s">
        <v>104</v>
      </c>
      <c r="BC822" s="26"/>
      <c r="BD822" s="26"/>
      <c r="BE822" s="26"/>
      <c r="BF822" s="26"/>
      <c r="BG822" s="26"/>
      <c r="BH822" s="26"/>
      <c r="BI822" s="26"/>
      <c r="BJ822" s="26"/>
      <c r="BK822" s="26"/>
      <c r="BL822" s="26"/>
      <c r="BM822" s="26"/>
      <c r="BN822" s="26"/>
      <c r="BO822" s="26"/>
      <c r="BP822" s="16" t="n">
        <v>45737</v>
      </c>
      <c r="BQ822" s="28" t="str">
        <f>HYPERLINK("https://organic.ams.usda.gov/Integrity/Certificate.aspx?cid=32&amp;nopid=2230010587")</f>
        <v>https://organic.ams.usda.gov/Integrity/Certificate.aspx?cid=32&amp;nopid=2230010587</v>
      </c>
    </row>
    <row r="823">
      <c r="A823" t="s">
        <v>3</v>
      </c>
      <c r="B823" s="6" t="s">
        <v>6</v>
      </c>
      <c r="C823" s="6" t="s">
        <v>72</v>
      </c>
      <c r="D823" s="6" t="s">
        <v>137</v>
      </c>
      <c r="E823" s="10" t="s">
        <v>1021</v>
      </c>
      <c r="F823" s="6" t="s">
        <v>3268</v>
      </c>
      <c r="G823" s="6" t="s">
        <v>104</v>
      </c>
      <c r="H823" s="6" t="s">
        <v>5643</v>
      </c>
      <c r="I823" s="6" t="s">
        <v>7202</v>
      </c>
      <c r="J823" s="6" t="s">
        <v>8754</v>
      </c>
      <c r="K823" s="6" t="s">
        <v>9714</v>
      </c>
      <c r="L823" s="16" t="n">
        <v>45191</v>
      </c>
      <c r="M823" s="16" t="n">
        <v>45808</v>
      </c>
      <c r="N823" s="6" t="s">
        <v>104</v>
      </c>
      <c r="O823" s="21" t="s">
        <v>104</v>
      </c>
      <c r="P823" s="6" t="s">
        <v>104</v>
      </c>
      <c r="Q823" s="6" t="s">
        <v>104</v>
      </c>
      <c r="R823" s="6" t="s">
        <v>104</v>
      </c>
      <c r="S823" s="6" t="s">
        <v>104</v>
      </c>
      <c r="T823" s="21" t="s">
        <v>104</v>
      </c>
      <c r="U823" s="6" t="s">
        <v>104</v>
      </c>
      <c r="V823" s="6" t="s">
        <v>104</v>
      </c>
      <c r="W823" s="6" t="s">
        <v>104</v>
      </c>
      <c r="X823" s="6" t="s">
        <v>104</v>
      </c>
      <c r="Y823" s="21" t="s">
        <v>104</v>
      </c>
      <c r="Z823" s="6" t="s">
        <v>104</v>
      </c>
      <c r="AA823" s="6" t="s">
        <v>104</v>
      </c>
      <c r="AB823" s="6" t="s">
        <v>104</v>
      </c>
      <c r="AC823" s="6" t="s">
        <v>9714</v>
      </c>
      <c r="AD823" s="16" t="n">
        <v>45191</v>
      </c>
      <c r="AE823" s="6" t="s">
        <v>11258</v>
      </c>
      <c r="AF823" s="6" t="s">
        <v>104</v>
      </c>
      <c r="AG823" s="6" t="s">
        <v>12752</v>
      </c>
      <c r="AH823" s="6" t="s">
        <v>13903</v>
      </c>
      <c r="AI823" s="6" t="s">
        <v>104</v>
      </c>
      <c r="AJ823" s="6" t="s">
        <v>15643</v>
      </c>
      <c r="AK823" s="6" t="s">
        <v>16815</v>
      </c>
      <c r="AL823" s="6" t="s">
        <v>16766</v>
      </c>
      <c r="AM823" s="6" t="s">
        <v>104</v>
      </c>
      <c r="AN823" s="6" t="s">
        <v>104</v>
      </c>
      <c r="AO823" s="6" t="s">
        <v>104</v>
      </c>
      <c r="AP823" s="6" t="s">
        <v>104</v>
      </c>
      <c r="AQ823" s="6" t="s">
        <v>104</v>
      </c>
      <c r="AR823" s="6" t="s">
        <v>104</v>
      </c>
      <c r="AS823" s="6" t="s">
        <v>104</v>
      </c>
      <c r="AT823" s="6" t="s">
        <v>104</v>
      </c>
      <c r="AU823" s="6" t="s">
        <v>104</v>
      </c>
      <c r="AV823" s="6" t="s">
        <v>104</v>
      </c>
      <c r="AW823" s="6" t="s">
        <v>104</v>
      </c>
      <c r="AX823" s="6" t="s">
        <v>20761</v>
      </c>
      <c r="AY823" s="6" t="s">
        <v>22534</v>
      </c>
      <c r="AZ823" s="6" t="s">
        <v>104</v>
      </c>
      <c r="BA823" s="6" t="s">
        <v>24258</v>
      </c>
      <c r="BB823" s="6" t="s">
        <v>104</v>
      </c>
      <c r="BC823" s="26"/>
      <c r="BD823" s="26"/>
      <c r="BE823" s="26"/>
      <c r="BF823" s="26"/>
      <c r="BG823" s="26"/>
      <c r="BH823" s="26"/>
      <c r="BI823" s="26"/>
      <c r="BJ823" s="26"/>
      <c r="BK823" s="26"/>
      <c r="BL823" s="26"/>
      <c r="BM823" s="26"/>
      <c r="BN823" s="26"/>
      <c r="BO823" s="26"/>
      <c r="BP823" s="16" t="n">
        <v>45737</v>
      </c>
      <c r="BQ823" s="28" t="str">
        <f>HYPERLINK("https://organic.ams.usda.gov/Integrity/Certificate.aspx?cid=32&amp;nopid=2230010588")</f>
        <v>https://organic.ams.usda.gov/Integrity/Certificate.aspx?cid=32&amp;nopid=2230010588</v>
      </c>
    </row>
    <row r="824">
      <c r="A824" t="s">
        <v>3</v>
      </c>
      <c r="B824" s="6" t="s">
        <v>20</v>
      </c>
      <c r="C824" s="6" t="s">
        <v>86</v>
      </c>
      <c r="D824" s="6" t="s">
        <v>151</v>
      </c>
      <c r="E824" s="10" t="s">
        <v>1022</v>
      </c>
      <c r="F824" s="6" t="s">
        <v>3269</v>
      </c>
      <c r="G824" s="6" t="s">
        <v>104</v>
      </c>
      <c r="H824" s="6" t="s">
        <v>5644</v>
      </c>
      <c r="I824" s="6" t="s">
        <v>7457</v>
      </c>
      <c r="J824" s="6" t="s">
        <v>8755</v>
      </c>
      <c r="K824" s="6" t="s">
        <v>9714</v>
      </c>
      <c r="L824" s="16" t="n">
        <v>43329</v>
      </c>
      <c r="M824" s="16" t="n">
        <v>45930</v>
      </c>
      <c r="N824" s="6" t="s">
        <v>104</v>
      </c>
      <c r="O824" s="21" t="s">
        <v>104</v>
      </c>
      <c r="P824" s="6" t="s">
        <v>104</v>
      </c>
      <c r="Q824" s="6" t="s">
        <v>104</v>
      </c>
      <c r="R824" s="6" t="s">
        <v>104</v>
      </c>
      <c r="S824" s="6" t="s">
        <v>104</v>
      </c>
      <c r="T824" s="21" t="s">
        <v>104</v>
      </c>
      <c r="U824" s="6" t="s">
        <v>104</v>
      </c>
      <c r="V824" s="6" t="s">
        <v>104</v>
      </c>
      <c r="W824" s="6" t="s">
        <v>104</v>
      </c>
      <c r="X824" s="6" t="s">
        <v>104</v>
      </c>
      <c r="Y824" s="21" t="s">
        <v>104</v>
      </c>
      <c r="Z824" s="6" t="s">
        <v>104</v>
      </c>
      <c r="AA824" s="6" t="s">
        <v>104</v>
      </c>
      <c r="AB824" s="6" t="s">
        <v>104</v>
      </c>
      <c r="AC824" s="6" t="s">
        <v>9714</v>
      </c>
      <c r="AD824" s="16" t="n">
        <v>43329</v>
      </c>
      <c r="AE824" s="6" t="s">
        <v>11259</v>
      </c>
      <c r="AF824" s="6" t="s">
        <v>104</v>
      </c>
      <c r="AG824" s="6" t="s">
        <v>12753</v>
      </c>
      <c r="AH824" s="6" t="s">
        <v>13904</v>
      </c>
      <c r="AI824" s="6" t="s">
        <v>104</v>
      </c>
      <c r="AJ824" s="6" t="s">
        <v>15903</v>
      </c>
      <c r="AK824" s="6" t="s">
        <v>16804</v>
      </c>
      <c r="AL824" s="6" t="s">
        <v>15513</v>
      </c>
      <c r="AM824" s="6" t="s">
        <v>17070</v>
      </c>
      <c r="AN824" s="6" t="s">
        <v>104</v>
      </c>
      <c r="AO824" s="6" t="s">
        <v>104</v>
      </c>
      <c r="AP824" s="6" t="s">
        <v>104</v>
      </c>
      <c r="AQ824" s="6" t="s">
        <v>104</v>
      </c>
      <c r="AR824" s="6" t="s">
        <v>104</v>
      </c>
      <c r="AS824" s="6" t="s">
        <v>104</v>
      </c>
      <c r="AT824" s="6" t="s">
        <v>104</v>
      </c>
      <c r="AU824" s="6" t="s">
        <v>104</v>
      </c>
      <c r="AV824" s="6" t="s">
        <v>104</v>
      </c>
      <c r="AW824" s="6" t="s">
        <v>104</v>
      </c>
      <c r="AX824" s="6" t="s">
        <v>20762</v>
      </c>
      <c r="AY824" s="6" t="s">
        <v>22535</v>
      </c>
      <c r="AZ824" s="6" t="s">
        <v>104</v>
      </c>
      <c r="BA824" s="6" t="s">
        <v>24385</v>
      </c>
      <c r="BB824" s="6" t="s">
        <v>104</v>
      </c>
      <c r="BC824" s="26"/>
      <c r="BD824" s="26"/>
      <c r="BE824" s="26"/>
      <c r="BF824" s="26"/>
      <c r="BG824" s="26"/>
      <c r="BH824" s="26"/>
      <c r="BI824" s="26"/>
      <c r="BJ824" s="26"/>
      <c r="BK824" s="26"/>
      <c r="BL824" s="26"/>
      <c r="BM824" s="26"/>
      <c r="BN824" s="26"/>
      <c r="BO824" s="26"/>
      <c r="BP824" s="16" t="n">
        <v>45568</v>
      </c>
      <c r="BQ824" s="28" t="str">
        <f>HYPERLINK("https://organic.ams.usda.gov/Integrity/Certificate.aspx?cid=17&amp;nopid=4087185601")</f>
        <v>https://organic.ams.usda.gov/Integrity/Certificate.aspx?cid=17&amp;nopid=4087185601</v>
      </c>
    </row>
    <row r="825">
      <c r="A825" t="s">
        <v>3</v>
      </c>
      <c r="B825" s="6" t="s">
        <v>13</v>
      </c>
      <c r="C825" s="6" t="s">
        <v>79</v>
      </c>
      <c r="D825" s="6" t="s">
        <v>144</v>
      </c>
      <c r="E825" s="10" t="s">
        <v>1023</v>
      </c>
      <c r="F825" s="6" t="s">
        <v>3270</v>
      </c>
      <c r="G825" s="6" t="s">
        <v>104</v>
      </c>
      <c r="H825" s="6" t="s">
        <v>5645</v>
      </c>
      <c r="I825" s="6" t="s">
        <v>7458</v>
      </c>
      <c r="J825" s="6" t="s">
        <v>8756</v>
      </c>
      <c r="K825" s="6" t="s">
        <v>9714</v>
      </c>
      <c r="L825" s="16" t="n">
        <v>44232</v>
      </c>
      <c r="M825" s="16" t="n">
        <v>46023</v>
      </c>
      <c r="N825" s="6" t="s">
        <v>104</v>
      </c>
      <c r="O825" s="21" t="s">
        <v>104</v>
      </c>
      <c r="P825" s="6" t="s">
        <v>104</v>
      </c>
      <c r="Q825" s="6" t="s">
        <v>104</v>
      </c>
      <c r="R825" s="6" t="s">
        <v>104</v>
      </c>
      <c r="S825" s="6" t="s">
        <v>104</v>
      </c>
      <c r="T825" s="21" t="s">
        <v>104</v>
      </c>
      <c r="U825" s="6" t="s">
        <v>104</v>
      </c>
      <c r="V825" s="6" t="s">
        <v>104</v>
      </c>
      <c r="W825" s="6" t="s">
        <v>104</v>
      </c>
      <c r="X825" s="6" t="s">
        <v>104</v>
      </c>
      <c r="Y825" s="21" t="s">
        <v>104</v>
      </c>
      <c r="Z825" s="6" t="s">
        <v>104</v>
      </c>
      <c r="AA825" s="6" t="s">
        <v>104</v>
      </c>
      <c r="AB825" s="6" t="s">
        <v>104</v>
      </c>
      <c r="AC825" s="6" t="s">
        <v>9714</v>
      </c>
      <c r="AD825" s="16" t="n">
        <v>44232</v>
      </c>
      <c r="AE825" s="6" t="s">
        <v>11260</v>
      </c>
      <c r="AF825" s="6" t="s">
        <v>104</v>
      </c>
      <c r="AG825" s="6" t="s">
        <v>104</v>
      </c>
      <c r="AH825" s="6" t="s">
        <v>104</v>
      </c>
      <c r="AI825" s="6" t="s">
        <v>104</v>
      </c>
      <c r="AJ825" s="6" t="s">
        <v>104</v>
      </c>
      <c r="AK825" s="6" t="s">
        <v>104</v>
      </c>
      <c r="AL825" s="6" t="s">
        <v>104</v>
      </c>
      <c r="AM825" s="6" t="s">
        <v>104</v>
      </c>
      <c r="AN825" s="6" t="s">
        <v>104</v>
      </c>
      <c r="AO825" s="6" t="s">
        <v>104</v>
      </c>
      <c r="AP825" s="6" t="s">
        <v>19158</v>
      </c>
      <c r="AQ825" s="6" t="s">
        <v>104</v>
      </c>
      <c r="AR825" s="6" t="s">
        <v>19671</v>
      </c>
      <c r="AS825" s="6" t="s">
        <v>16790</v>
      </c>
      <c r="AT825" s="6" t="s">
        <v>16943</v>
      </c>
      <c r="AU825" s="6" t="s">
        <v>19898</v>
      </c>
      <c r="AV825" s="6" t="s">
        <v>104</v>
      </c>
      <c r="AW825" s="6" t="s">
        <v>104</v>
      </c>
      <c r="AX825" s="6" t="s">
        <v>20763</v>
      </c>
      <c r="AY825" s="6" t="s">
        <v>22536</v>
      </c>
      <c r="AZ825" s="6" t="s">
        <v>104</v>
      </c>
      <c r="BA825" s="6" t="s">
        <v>104</v>
      </c>
      <c r="BB825" s="6" t="s">
        <v>104</v>
      </c>
      <c r="BC825" s="26"/>
      <c r="BD825" s="26"/>
      <c r="BE825" s="26"/>
      <c r="BF825" s="26"/>
      <c r="BG825" s="26"/>
      <c r="BH825" s="26"/>
      <c r="BI825" s="26"/>
      <c r="BJ825" s="26"/>
      <c r="BK825" s="26"/>
      <c r="BL825" s="26"/>
      <c r="BM825" s="26"/>
      <c r="BN825" s="26"/>
      <c r="BO825" s="26"/>
      <c r="BP825" s="16" t="n">
        <v>45724</v>
      </c>
      <c r="BQ825" s="28" t="str">
        <f>HYPERLINK("https://organic.ams.usda.gov/Integrity/Certificate.aspx?cid=62&amp;nopid=8150013900")</f>
        <v>https://organic.ams.usda.gov/Integrity/Certificate.aspx?cid=62&amp;nopid=8150013900</v>
      </c>
    </row>
    <row r="826">
      <c r="A826" t="s">
        <v>3</v>
      </c>
      <c r="B826" s="6" t="s">
        <v>6</v>
      </c>
      <c r="C826" s="6" t="s">
        <v>72</v>
      </c>
      <c r="D826" s="6" t="s">
        <v>137</v>
      </c>
      <c r="E826" s="10" t="s">
        <v>1024</v>
      </c>
      <c r="F826" s="6" t="s">
        <v>3271</v>
      </c>
      <c r="G826" s="6" t="s">
        <v>104</v>
      </c>
      <c r="H826" s="6" t="s">
        <v>5646</v>
      </c>
      <c r="I826" s="6" t="s">
        <v>7459</v>
      </c>
      <c r="J826" s="6" t="s">
        <v>8757</v>
      </c>
      <c r="K826" s="6" t="s">
        <v>9714</v>
      </c>
      <c r="L826" s="16" t="n">
        <v>45446</v>
      </c>
      <c r="M826" s="16" t="n">
        <v>45764</v>
      </c>
      <c r="N826" s="6" t="s">
        <v>104</v>
      </c>
      <c r="O826" s="21" t="s">
        <v>104</v>
      </c>
      <c r="P826" s="6" t="s">
        <v>104</v>
      </c>
      <c r="Q826" s="6" t="s">
        <v>104</v>
      </c>
      <c r="R826" s="6" t="s">
        <v>104</v>
      </c>
      <c r="S826" s="6" t="s">
        <v>104</v>
      </c>
      <c r="T826" s="21" t="s">
        <v>104</v>
      </c>
      <c r="U826" s="6" t="s">
        <v>104</v>
      </c>
      <c r="V826" s="6" t="s">
        <v>104</v>
      </c>
      <c r="W826" s="6" t="s">
        <v>104</v>
      </c>
      <c r="X826" s="6" t="s">
        <v>104</v>
      </c>
      <c r="Y826" s="21" t="s">
        <v>104</v>
      </c>
      <c r="Z826" s="6" t="s">
        <v>104</v>
      </c>
      <c r="AA826" s="6" t="s">
        <v>104</v>
      </c>
      <c r="AB826" s="6" t="s">
        <v>104</v>
      </c>
      <c r="AC826" s="6" t="s">
        <v>9714</v>
      </c>
      <c r="AD826" s="16" t="n">
        <v>45446</v>
      </c>
      <c r="AE826" s="6" t="s">
        <v>11261</v>
      </c>
      <c r="AF826" s="6" t="s">
        <v>104</v>
      </c>
      <c r="AG826" s="6" t="s">
        <v>12754</v>
      </c>
      <c r="AH826" s="6" t="s">
        <v>13905</v>
      </c>
      <c r="AI826" s="6" t="s">
        <v>104</v>
      </c>
      <c r="AJ826" s="6" t="s">
        <v>15554</v>
      </c>
      <c r="AK826" s="6" t="s">
        <v>15707</v>
      </c>
      <c r="AL826" s="6" t="s">
        <v>16766</v>
      </c>
      <c r="AM826" s="6" t="s">
        <v>17108</v>
      </c>
      <c r="AN826" s="6" t="s">
        <v>104</v>
      </c>
      <c r="AO826" s="6" t="s">
        <v>104</v>
      </c>
      <c r="AP826" s="6" t="s">
        <v>104</v>
      </c>
      <c r="AQ826" s="6" t="s">
        <v>104</v>
      </c>
      <c r="AR826" s="6" t="s">
        <v>104</v>
      </c>
      <c r="AS826" s="6" t="s">
        <v>104</v>
      </c>
      <c r="AT826" s="6" t="s">
        <v>104</v>
      </c>
      <c r="AU826" s="6" t="s">
        <v>104</v>
      </c>
      <c r="AV826" s="6" t="s">
        <v>104</v>
      </c>
      <c r="AW826" s="6" t="s">
        <v>104</v>
      </c>
      <c r="AX826" s="6" t="s">
        <v>20764</v>
      </c>
      <c r="AY826" s="6" t="s">
        <v>22537</v>
      </c>
      <c r="AZ826" s="6" t="s">
        <v>104</v>
      </c>
      <c r="BA826" s="6" t="s">
        <v>24258</v>
      </c>
      <c r="BB826" s="6" t="s">
        <v>104</v>
      </c>
      <c r="BC826" s="26"/>
      <c r="BD826" s="26"/>
      <c r="BE826" s="26"/>
      <c r="BF826" s="26"/>
      <c r="BG826" s="26"/>
      <c r="BH826" s="26"/>
      <c r="BI826" s="26"/>
      <c r="BJ826" s="26"/>
      <c r="BK826" s="26"/>
      <c r="BL826" s="26"/>
      <c r="BM826" s="26"/>
      <c r="BN826" s="26"/>
      <c r="BO826" s="26"/>
      <c r="BP826" s="16" t="n">
        <v>45737</v>
      </c>
      <c r="BQ826" s="28" t="str">
        <f>HYPERLINK("https://organic.ams.usda.gov/Integrity/Certificate.aspx?cid=32&amp;nopid=2230011316")</f>
        <v>https://organic.ams.usda.gov/Integrity/Certificate.aspx?cid=32&amp;nopid=2230011316</v>
      </c>
    </row>
    <row r="827">
      <c r="A827" t="s">
        <v>3</v>
      </c>
      <c r="B827" s="6" t="s">
        <v>21</v>
      </c>
      <c r="C827" s="6" t="s">
        <v>87</v>
      </c>
      <c r="D827" s="6" t="s">
        <v>152</v>
      </c>
      <c r="E827" s="10" t="s">
        <v>1025</v>
      </c>
      <c r="F827" s="6" t="s">
        <v>3272</v>
      </c>
      <c r="G827" s="6" t="s">
        <v>104</v>
      </c>
      <c r="H827" s="6" t="s">
        <v>5647</v>
      </c>
      <c r="I827" s="6" t="s">
        <v>7460</v>
      </c>
      <c r="J827" s="6" t="s">
        <v>8758</v>
      </c>
      <c r="K827" s="6" t="s">
        <v>9714</v>
      </c>
      <c r="L827" s="16" t="n">
        <v>45051</v>
      </c>
      <c r="M827" s="16" t="n">
        <v>46023</v>
      </c>
      <c r="N827" s="6" t="s">
        <v>9714</v>
      </c>
      <c r="O827" s="16" t="n">
        <v>45051</v>
      </c>
      <c r="P827" s="6" t="s">
        <v>9945</v>
      </c>
      <c r="Q827" s="6" t="s">
        <v>104</v>
      </c>
      <c r="R827" s="6" t="s">
        <v>104</v>
      </c>
      <c r="S827" s="6" t="s">
        <v>104</v>
      </c>
      <c r="T827" s="21" t="s">
        <v>104</v>
      </c>
      <c r="U827" s="6" t="s">
        <v>104</v>
      </c>
      <c r="V827" s="6" t="s">
        <v>104</v>
      </c>
      <c r="W827" s="6" t="s">
        <v>104</v>
      </c>
      <c r="X827" s="6" t="s">
        <v>104</v>
      </c>
      <c r="Y827" s="21" t="s">
        <v>104</v>
      </c>
      <c r="Z827" s="6" t="s">
        <v>104</v>
      </c>
      <c r="AA827" s="6" t="s">
        <v>104</v>
      </c>
      <c r="AB827" s="6" t="s">
        <v>104</v>
      </c>
      <c r="AC827" s="6" t="s">
        <v>9714</v>
      </c>
      <c r="AD827" s="16" t="n">
        <v>45051</v>
      </c>
      <c r="AE827" s="6" t="s">
        <v>11262</v>
      </c>
      <c r="AF827" s="6" t="s">
        <v>104</v>
      </c>
      <c r="AG827" s="6" t="s">
        <v>104</v>
      </c>
      <c r="AH827" s="6" t="s">
        <v>13906</v>
      </c>
      <c r="AI827" s="6" t="s">
        <v>104</v>
      </c>
      <c r="AJ827" s="6" t="s">
        <v>15904</v>
      </c>
      <c r="AK827" s="6" t="s">
        <v>16684</v>
      </c>
      <c r="AL827" s="6" t="s">
        <v>16931</v>
      </c>
      <c r="AM827" s="6" t="s">
        <v>17537</v>
      </c>
      <c r="AN827" s="6" t="s">
        <v>18528</v>
      </c>
      <c r="AO827" s="6" t="s">
        <v>18740</v>
      </c>
      <c r="AP827" s="6" t="s">
        <v>13906</v>
      </c>
      <c r="AQ827" s="6" t="s">
        <v>104</v>
      </c>
      <c r="AR827" s="6" t="s">
        <v>15904</v>
      </c>
      <c r="AS827" s="6" t="s">
        <v>16684</v>
      </c>
      <c r="AT827" s="6" t="s">
        <v>16931</v>
      </c>
      <c r="AU827" s="6" t="s">
        <v>17537</v>
      </c>
      <c r="AV827" s="6" t="s">
        <v>104</v>
      </c>
      <c r="AW827" s="6" t="s">
        <v>104</v>
      </c>
      <c r="AX827" s="6" t="s">
        <v>20765</v>
      </c>
      <c r="AY827" s="6" t="s">
        <v>22538</v>
      </c>
      <c r="AZ827" s="6" t="s">
        <v>23906</v>
      </c>
      <c r="BA827" s="6" t="s">
        <v>104</v>
      </c>
      <c r="BB827" s="24" t="n">
        <v>1</v>
      </c>
      <c r="BC827" s="26"/>
      <c r="BD827" s="26"/>
      <c r="BE827" s="26"/>
      <c r="BF827" s="26"/>
      <c r="BG827" s="26"/>
      <c r="BH827" s="26"/>
      <c r="BI827" s="26"/>
      <c r="BJ827" s="26"/>
      <c r="BK827" s="26"/>
      <c r="BL827" s="26"/>
      <c r="BM827" s="26"/>
      <c r="BN827" s="26"/>
      <c r="BO827" s="26"/>
      <c r="BP827" s="16" t="n">
        <v>45667</v>
      </c>
      <c r="BQ827" s="28" t="str">
        <f>HYPERLINK("https://organic.ams.usda.gov/Integrity/Certificate.aspx?cid=15&amp;nopid=5561007594")</f>
        <v>https://organic.ams.usda.gov/Integrity/Certificate.aspx?cid=15&amp;nopid=5561007594</v>
      </c>
    </row>
    <row r="828">
      <c r="A828" t="s">
        <v>3</v>
      </c>
      <c r="B828" s="6" t="s">
        <v>54</v>
      </c>
      <c r="C828" s="6" t="s">
        <v>120</v>
      </c>
      <c r="D828" s="6" t="s">
        <v>184</v>
      </c>
      <c r="E828" s="10" t="s">
        <v>1026</v>
      </c>
      <c r="F828" s="6" t="s">
        <v>3273</v>
      </c>
      <c r="G828" s="6" t="s">
        <v>104</v>
      </c>
      <c r="H828" s="6" t="s">
        <v>5648</v>
      </c>
      <c r="I828" s="6" t="s">
        <v>7359</v>
      </c>
      <c r="J828" s="6" t="s">
        <v>8298</v>
      </c>
      <c r="K828" s="6" t="s">
        <v>9714</v>
      </c>
      <c r="L828" s="16" t="n">
        <v>44487</v>
      </c>
      <c r="M828" s="16" t="n">
        <v>45717</v>
      </c>
      <c r="N828" s="6" t="s">
        <v>9714</v>
      </c>
      <c r="O828" s="16" t="n">
        <v>44487</v>
      </c>
      <c r="P828" s="6" t="s">
        <v>9946</v>
      </c>
      <c r="Q828" s="6" t="s">
        <v>104</v>
      </c>
      <c r="R828" s="6" t="s">
        <v>104</v>
      </c>
      <c r="S828" s="6" t="s">
        <v>104</v>
      </c>
      <c r="T828" s="21" t="s">
        <v>104</v>
      </c>
      <c r="U828" s="6" t="s">
        <v>104</v>
      </c>
      <c r="V828" s="6" t="s">
        <v>104</v>
      </c>
      <c r="W828" s="6" t="s">
        <v>104</v>
      </c>
      <c r="X828" s="6" t="s">
        <v>104</v>
      </c>
      <c r="Y828" s="21" t="s">
        <v>104</v>
      </c>
      <c r="Z828" s="6" t="s">
        <v>104</v>
      </c>
      <c r="AA828" s="6" t="s">
        <v>104</v>
      </c>
      <c r="AB828" s="6" t="s">
        <v>104</v>
      </c>
      <c r="AC828" s="6" t="s">
        <v>104</v>
      </c>
      <c r="AD828" s="21" t="s">
        <v>104</v>
      </c>
      <c r="AE828" s="6" t="s">
        <v>104</v>
      </c>
      <c r="AF828" s="6" t="s">
        <v>104</v>
      </c>
      <c r="AG828" s="6" t="s">
        <v>104</v>
      </c>
      <c r="AH828" s="6" t="s">
        <v>13907</v>
      </c>
      <c r="AI828" s="6" t="s">
        <v>104</v>
      </c>
      <c r="AJ828" s="6" t="s">
        <v>15905</v>
      </c>
      <c r="AK828" s="6" t="s">
        <v>16757</v>
      </c>
      <c r="AL828" s="6" t="s">
        <v>16931</v>
      </c>
      <c r="AM828" s="6" t="s">
        <v>17538</v>
      </c>
      <c r="AN828" s="6" t="s">
        <v>18487</v>
      </c>
      <c r="AO828" s="6" t="s">
        <v>18741</v>
      </c>
      <c r="AP828" s="6" t="s">
        <v>19159</v>
      </c>
      <c r="AQ828" s="6" t="s">
        <v>104</v>
      </c>
      <c r="AR828" s="6" t="s">
        <v>15741</v>
      </c>
      <c r="AS828" s="6" t="s">
        <v>16684</v>
      </c>
      <c r="AT828" s="6" t="s">
        <v>16931</v>
      </c>
      <c r="AU828" s="6" t="s">
        <v>17361</v>
      </c>
      <c r="AV828" s="6" t="s">
        <v>104</v>
      </c>
      <c r="AW828" s="6" t="s">
        <v>104</v>
      </c>
      <c r="AX828" s="6" t="s">
        <v>104</v>
      </c>
      <c r="AY828" s="6" t="s">
        <v>22539</v>
      </c>
      <c r="AZ828" s="6" t="s">
        <v>104</v>
      </c>
      <c r="BA828" s="6" t="s">
        <v>24267</v>
      </c>
      <c r="BB828" s="24" t="n">
        <v>496</v>
      </c>
      <c r="BC828" s="26"/>
      <c r="BD828" s="26"/>
      <c r="BE828" s="26"/>
      <c r="BF828" s="26"/>
      <c r="BG828" s="26"/>
      <c r="BH828" s="26"/>
      <c r="BI828" s="26"/>
      <c r="BJ828" s="26"/>
      <c r="BK828" s="26"/>
      <c r="BL828" s="26"/>
      <c r="BM828" s="26"/>
      <c r="BN828" s="26"/>
      <c r="BO828" s="26"/>
      <c r="BP828" s="16" t="n">
        <v>45667</v>
      </c>
      <c r="BQ828" s="28" t="str">
        <f>HYPERLINK("https://organic.ams.usda.gov/Integrity/Certificate.aspx?cid=60&amp;nopid=2580004209")</f>
        <v>https://organic.ams.usda.gov/Integrity/Certificate.aspx?cid=60&amp;nopid=2580004209</v>
      </c>
    </row>
    <row r="829">
      <c r="A829" t="s">
        <v>3</v>
      </c>
      <c r="B829" s="6" t="s">
        <v>57</v>
      </c>
      <c r="C829" s="6" t="s">
        <v>123</v>
      </c>
      <c r="D829" s="6" t="s">
        <v>187</v>
      </c>
      <c r="E829" s="10" t="s">
        <v>1027</v>
      </c>
      <c r="F829" s="6" t="s">
        <v>3274</v>
      </c>
      <c r="G829" s="6" t="s">
        <v>4753</v>
      </c>
      <c r="H829" s="6" t="s">
        <v>5649</v>
      </c>
      <c r="I829" s="6" t="s">
        <v>7461</v>
      </c>
      <c r="J829" s="6" t="s">
        <v>8759</v>
      </c>
      <c r="K829" s="6" t="s">
        <v>9714</v>
      </c>
      <c r="L829" s="16" t="n">
        <v>45295</v>
      </c>
      <c r="M829" s="16" t="n">
        <v>45931</v>
      </c>
      <c r="N829" s="6" t="s">
        <v>104</v>
      </c>
      <c r="O829" s="21" t="s">
        <v>104</v>
      </c>
      <c r="P829" s="6" t="s">
        <v>104</v>
      </c>
      <c r="Q829" s="6" t="s">
        <v>104</v>
      </c>
      <c r="R829" s="6" t="s">
        <v>104</v>
      </c>
      <c r="S829" s="6" t="s">
        <v>104</v>
      </c>
      <c r="T829" s="21" t="s">
        <v>104</v>
      </c>
      <c r="U829" s="6" t="s">
        <v>104</v>
      </c>
      <c r="V829" s="6" t="s">
        <v>104</v>
      </c>
      <c r="W829" s="6" t="s">
        <v>104</v>
      </c>
      <c r="X829" s="6" t="s">
        <v>104</v>
      </c>
      <c r="Y829" s="21" t="s">
        <v>104</v>
      </c>
      <c r="Z829" s="6" t="s">
        <v>104</v>
      </c>
      <c r="AA829" s="6" t="s">
        <v>104</v>
      </c>
      <c r="AB829" s="6" t="s">
        <v>104</v>
      </c>
      <c r="AC829" s="6" t="s">
        <v>9714</v>
      </c>
      <c r="AD829" s="16" t="n">
        <v>45295</v>
      </c>
      <c r="AE829" s="6" t="s">
        <v>11263</v>
      </c>
      <c r="AF829" s="6" t="s">
        <v>104</v>
      </c>
      <c r="AG829" s="6" t="s">
        <v>104</v>
      </c>
      <c r="AH829" s="6" t="s">
        <v>13908</v>
      </c>
      <c r="AI829" s="6" t="s">
        <v>104</v>
      </c>
      <c r="AJ829" s="6" t="s">
        <v>15906</v>
      </c>
      <c r="AK829" s="6" t="s">
        <v>16730</v>
      </c>
      <c r="AL829" s="6" t="s">
        <v>16931</v>
      </c>
      <c r="AM829" s="6" t="s">
        <v>17539</v>
      </c>
      <c r="AN829" s="6" t="s">
        <v>17469</v>
      </c>
      <c r="AO829" s="6" t="s">
        <v>18742</v>
      </c>
      <c r="AP829" s="6" t="s">
        <v>13908</v>
      </c>
      <c r="AQ829" s="6" t="s">
        <v>104</v>
      </c>
      <c r="AR829" s="6" t="s">
        <v>15906</v>
      </c>
      <c r="AS829" s="6" t="s">
        <v>16730</v>
      </c>
      <c r="AT829" s="6" t="s">
        <v>16931</v>
      </c>
      <c r="AU829" s="6" t="s">
        <v>17539</v>
      </c>
      <c r="AV829" s="6" t="s">
        <v>104</v>
      </c>
      <c r="AW829" s="6" t="s">
        <v>104</v>
      </c>
      <c r="AX829" s="6" t="s">
        <v>20766</v>
      </c>
      <c r="AY829" s="6" t="s">
        <v>22540</v>
      </c>
      <c r="AZ829" s="6" t="s">
        <v>104</v>
      </c>
      <c r="BA829" s="6" t="s">
        <v>104</v>
      </c>
      <c r="BB829" s="6" t="s">
        <v>104</v>
      </c>
      <c r="BC829" s="26"/>
      <c r="BD829" s="26"/>
      <c r="BE829" s="26"/>
      <c r="BF829" s="26"/>
      <c r="BG829" s="26"/>
      <c r="BH829" s="26"/>
      <c r="BI829" s="26"/>
      <c r="BJ829" s="26"/>
      <c r="BK829" s="26"/>
      <c r="BL829" s="26"/>
      <c r="BM829" s="26"/>
      <c r="BN829" s="26"/>
      <c r="BO829" s="26"/>
      <c r="BP829" s="16" t="n">
        <v>45735</v>
      </c>
      <c r="BQ829" s="28" t="str">
        <f>HYPERLINK("https://organic.ams.usda.gov/Integrity/Certificate.aspx?cid=19&amp;nopid=6350000491")</f>
        <v>https://organic.ams.usda.gov/Integrity/Certificate.aspx?cid=19&amp;nopid=6350000491</v>
      </c>
    </row>
    <row r="830">
      <c r="A830" t="s">
        <v>3</v>
      </c>
      <c r="B830" s="6" t="s">
        <v>22</v>
      </c>
      <c r="C830" s="6" t="s">
        <v>88</v>
      </c>
      <c r="D830" s="6" t="s">
        <v>153</v>
      </c>
      <c r="E830" s="10" t="s">
        <v>1028</v>
      </c>
      <c r="F830" s="6" t="s">
        <v>3275</v>
      </c>
      <c r="G830" s="6" t="s">
        <v>104</v>
      </c>
      <c r="H830" s="6" t="s">
        <v>5650</v>
      </c>
      <c r="I830" s="6" t="s">
        <v>7462</v>
      </c>
      <c r="J830" s="6" t="s">
        <v>8760</v>
      </c>
      <c r="K830" s="6" t="s">
        <v>9714</v>
      </c>
      <c r="L830" s="16" t="n">
        <v>40443</v>
      </c>
      <c r="M830" s="16" t="n">
        <v>45992</v>
      </c>
      <c r="N830" s="6" t="s">
        <v>104</v>
      </c>
      <c r="O830" s="21" t="s">
        <v>104</v>
      </c>
      <c r="P830" s="6" t="s">
        <v>104</v>
      </c>
      <c r="Q830" s="6" t="s">
        <v>104</v>
      </c>
      <c r="R830" s="6" t="s">
        <v>104</v>
      </c>
      <c r="S830" s="6" t="s">
        <v>104</v>
      </c>
      <c r="T830" s="21" t="s">
        <v>104</v>
      </c>
      <c r="U830" s="6" t="s">
        <v>104</v>
      </c>
      <c r="V830" s="6" t="s">
        <v>104</v>
      </c>
      <c r="W830" s="6" t="s">
        <v>104</v>
      </c>
      <c r="X830" s="6" t="s">
        <v>104</v>
      </c>
      <c r="Y830" s="21" t="s">
        <v>104</v>
      </c>
      <c r="Z830" s="6" t="s">
        <v>104</v>
      </c>
      <c r="AA830" s="6" t="s">
        <v>104</v>
      </c>
      <c r="AB830" s="6" t="s">
        <v>104</v>
      </c>
      <c r="AC830" s="6" t="s">
        <v>9714</v>
      </c>
      <c r="AD830" s="16" t="n">
        <v>40443</v>
      </c>
      <c r="AE830" s="6" t="s">
        <v>11264</v>
      </c>
      <c r="AF830" s="6" t="s">
        <v>104</v>
      </c>
      <c r="AG830" s="6" t="s">
        <v>12755</v>
      </c>
      <c r="AH830" s="6" t="s">
        <v>13909</v>
      </c>
      <c r="AI830" s="6" t="s">
        <v>104</v>
      </c>
      <c r="AJ830" s="6" t="s">
        <v>15907</v>
      </c>
      <c r="AK830" s="6" t="s">
        <v>16686</v>
      </c>
      <c r="AL830" s="6" t="s">
        <v>16931</v>
      </c>
      <c r="AM830" s="6" t="s">
        <v>17540</v>
      </c>
      <c r="AN830" s="6" t="s">
        <v>18529</v>
      </c>
      <c r="AO830" s="6" t="s">
        <v>18705</v>
      </c>
      <c r="AP830" s="6" t="s">
        <v>13909</v>
      </c>
      <c r="AQ830" s="6" t="s">
        <v>104</v>
      </c>
      <c r="AR830" s="6" t="s">
        <v>15907</v>
      </c>
      <c r="AS830" s="6" t="s">
        <v>16686</v>
      </c>
      <c r="AT830" s="6" t="s">
        <v>16931</v>
      </c>
      <c r="AU830" s="6" t="s">
        <v>17540</v>
      </c>
      <c r="AV830" s="6" t="s">
        <v>104</v>
      </c>
      <c r="AW830" s="6" t="s">
        <v>104</v>
      </c>
      <c r="AX830" s="6" t="s">
        <v>20767</v>
      </c>
      <c r="AY830" s="6" t="s">
        <v>22541</v>
      </c>
      <c r="AZ830" s="6" t="s">
        <v>104</v>
      </c>
      <c r="BA830" s="6" t="s">
        <v>104</v>
      </c>
      <c r="BB830" s="6" t="s">
        <v>104</v>
      </c>
      <c r="BC830" s="26"/>
      <c r="BD830" s="26"/>
      <c r="BE830" s="26"/>
      <c r="BF830" s="26"/>
      <c r="BG830" s="26" t="s">
        <v>24533</v>
      </c>
      <c r="BH830" s="26"/>
      <c r="BI830" s="26"/>
      <c r="BJ830" s="26"/>
      <c r="BK830" s="26"/>
      <c r="BL830" s="26" t="s">
        <v>24533</v>
      </c>
      <c r="BM830" s="26"/>
      <c r="BN830" s="26"/>
      <c r="BO830" s="26"/>
      <c r="BP830" s="16" t="n">
        <v>45723</v>
      </c>
      <c r="BQ830" s="28" t="str">
        <f>HYPERLINK("https://organic.ams.usda.gov/Integrity/Certificate.aspx?cid=72&amp;nopid=5870001150")</f>
        <v>https://organic.ams.usda.gov/Integrity/Certificate.aspx?cid=72&amp;nopid=5870001150</v>
      </c>
    </row>
    <row r="831">
      <c r="A831" t="s">
        <v>3</v>
      </c>
      <c r="B831" s="6" t="s">
        <v>29</v>
      </c>
      <c r="C831" s="6" t="s">
        <v>95</v>
      </c>
      <c r="D831" s="6" t="s">
        <v>160</v>
      </c>
      <c r="E831" s="10" t="s">
        <v>1029</v>
      </c>
      <c r="F831" s="6" t="s">
        <v>3276</v>
      </c>
      <c r="G831" s="6" t="s">
        <v>104</v>
      </c>
      <c r="H831" s="6" t="s">
        <v>5651</v>
      </c>
      <c r="I831" s="6" t="s">
        <v>104</v>
      </c>
      <c r="J831" s="6" t="s">
        <v>8761</v>
      </c>
      <c r="K831" s="6" t="s">
        <v>9714</v>
      </c>
      <c r="L831" s="16" t="n">
        <v>44497</v>
      </c>
      <c r="M831" s="16" t="n">
        <v>45778</v>
      </c>
      <c r="N831" s="6" t="s">
        <v>9714</v>
      </c>
      <c r="O831" s="16" t="n">
        <v>44497</v>
      </c>
      <c r="P831" s="6" t="s">
        <v>9947</v>
      </c>
      <c r="Q831" s="6" t="s">
        <v>104</v>
      </c>
      <c r="R831" s="6" t="s">
        <v>104</v>
      </c>
      <c r="S831" s="6" t="s">
        <v>104</v>
      </c>
      <c r="T831" s="21" t="s">
        <v>104</v>
      </c>
      <c r="U831" s="6" t="s">
        <v>104</v>
      </c>
      <c r="V831" s="6" t="s">
        <v>104</v>
      </c>
      <c r="W831" s="6" t="s">
        <v>104</v>
      </c>
      <c r="X831" s="6" t="s">
        <v>104</v>
      </c>
      <c r="Y831" s="21" t="s">
        <v>104</v>
      </c>
      <c r="Z831" s="6" t="s">
        <v>104</v>
      </c>
      <c r="AA831" s="6" t="s">
        <v>104</v>
      </c>
      <c r="AB831" s="6" t="s">
        <v>104</v>
      </c>
      <c r="AC831" s="6" t="s">
        <v>9714</v>
      </c>
      <c r="AD831" s="16" t="n">
        <v>44497</v>
      </c>
      <c r="AE831" s="6" t="s">
        <v>11265</v>
      </c>
      <c r="AF831" s="6" t="s">
        <v>104</v>
      </c>
      <c r="AG831" s="6" t="s">
        <v>104</v>
      </c>
      <c r="AH831" s="6" t="s">
        <v>13910</v>
      </c>
      <c r="AI831" s="6" t="s">
        <v>104</v>
      </c>
      <c r="AJ831" s="6" t="s">
        <v>15908</v>
      </c>
      <c r="AK831" s="6" t="s">
        <v>16467</v>
      </c>
      <c r="AL831" s="6" t="s">
        <v>16933</v>
      </c>
      <c r="AM831" s="6" t="s">
        <v>17541</v>
      </c>
      <c r="AN831" s="6" t="s">
        <v>104</v>
      </c>
      <c r="AO831" s="6" t="s">
        <v>104</v>
      </c>
      <c r="AP831" s="6" t="s">
        <v>104</v>
      </c>
      <c r="AQ831" s="6" t="s">
        <v>104</v>
      </c>
      <c r="AR831" s="6" t="s">
        <v>104</v>
      </c>
      <c r="AS831" s="6" t="s">
        <v>104</v>
      </c>
      <c r="AT831" s="6" t="s">
        <v>104</v>
      </c>
      <c r="AU831" s="6" t="s">
        <v>104</v>
      </c>
      <c r="AV831" s="6" t="s">
        <v>104</v>
      </c>
      <c r="AW831" s="6" t="s">
        <v>104</v>
      </c>
      <c r="AX831" s="6" t="s">
        <v>20157</v>
      </c>
      <c r="AY831" s="6" t="s">
        <v>21897</v>
      </c>
      <c r="AZ831" s="6" t="s">
        <v>104</v>
      </c>
      <c r="BA831" s="6" t="s">
        <v>104</v>
      </c>
      <c r="BB831" s="24" t="n">
        <v>20898</v>
      </c>
      <c r="BC831" s="26"/>
      <c r="BD831" s="26"/>
      <c r="BE831" s="26"/>
      <c r="BF831" s="26"/>
      <c r="BG831" s="26"/>
      <c r="BH831" s="26"/>
      <c r="BI831" s="26"/>
      <c r="BJ831" s="26"/>
      <c r="BK831" s="26"/>
      <c r="BL831" s="26"/>
      <c r="BM831" s="26"/>
      <c r="BN831" s="26" t="s">
        <v>24533</v>
      </c>
      <c r="BO831" s="26" t="s">
        <v>24533</v>
      </c>
      <c r="BP831" s="16" t="n">
        <v>45685</v>
      </c>
      <c r="BQ831" s="28" t="str">
        <f>HYPERLINK("https://organic.ams.usda.gov/Integrity/Certificate.aspx?cid=24&amp;nopid=7880242243")</f>
        <v>https://organic.ams.usda.gov/Integrity/Certificate.aspx?cid=24&amp;nopid=7880242243</v>
      </c>
    </row>
    <row r="832">
      <c r="A832" t="s">
        <v>3</v>
      </c>
      <c r="B832" s="6" t="s">
        <v>29</v>
      </c>
      <c r="C832" s="6" t="s">
        <v>95</v>
      </c>
      <c r="D832" s="6" t="s">
        <v>160</v>
      </c>
      <c r="E832" s="10" t="s">
        <v>1030</v>
      </c>
      <c r="F832" s="6" t="s">
        <v>3277</v>
      </c>
      <c r="G832" s="6" t="s">
        <v>104</v>
      </c>
      <c r="H832" s="6" t="s">
        <v>5652</v>
      </c>
      <c r="I832" s="6" t="s">
        <v>104</v>
      </c>
      <c r="J832" s="6" t="s">
        <v>8762</v>
      </c>
      <c r="K832" s="6" t="s">
        <v>9714</v>
      </c>
      <c r="L832" s="16" t="n">
        <v>43225</v>
      </c>
      <c r="M832" s="16" t="n">
        <v>45778</v>
      </c>
      <c r="N832" s="6" t="s">
        <v>104</v>
      </c>
      <c r="O832" s="21" t="s">
        <v>104</v>
      </c>
      <c r="P832" s="6" t="s">
        <v>104</v>
      </c>
      <c r="Q832" s="6" t="s">
        <v>104</v>
      </c>
      <c r="R832" s="6" t="s">
        <v>104</v>
      </c>
      <c r="S832" s="6" t="s">
        <v>104</v>
      </c>
      <c r="T832" s="21" t="s">
        <v>104</v>
      </c>
      <c r="U832" s="6" t="s">
        <v>104</v>
      </c>
      <c r="V832" s="6" t="s">
        <v>104</v>
      </c>
      <c r="W832" s="6" t="s">
        <v>104</v>
      </c>
      <c r="X832" s="6" t="s">
        <v>104</v>
      </c>
      <c r="Y832" s="21" t="s">
        <v>104</v>
      </c>
      <c r="Z832" s="6" t="s">
        <v>104</v>
      </c>
      <c r="AA832" s="6" t="s">
        <v>104</v>
      </c>
      <c r="AB832" s="6" t="s">
        <v>104</v>
      </c>
      <c r="AC832" s="6" t="s">
        <v>9714</v>
      </c>
      <c r="AD832" s="16" t="n">
        <v>43225</v>
      </c>
      <c r="AE832" s="6" t="s">
        <v>11266</v>
      </c>
      <c r="AF832" s="6" t="s">
        <v>104</v>
      </c>
      <c r="AG832" s="6" t="s">
        <v>104</v>
      </c>
      <c r="AH832" s="6" t="s">
        <v>13911</v>
      </c>
      <c r="AI832" s="6" t="s">
        <v>15270</v>
      </c>
      <c r="AJ832" s="6" t="s">
        <v>15363</v>
      </c>
      <c r="AK832" s="6" t="s">
        <v>104</v>
      </c>
      <c r="AL832" s="6" t="s">
        <v>15513</v>
      </c>
      <c r="AM832" s="6" t="s">
        <v>17542</v>
      </c>
      <c r="AN832" s="6" t="s">
        <v>104</v>
      </c>
      <c r="AO832" s="6" t="s">
        <v>104</v>
      </c>
      <c r="AP832" s="6" t="s">
        <v>104</v>
      </c>
      <c r="AQ832" s="6" t="s">
        <v>104</v>
      </c>
      <c r="AR832" s="6" t="s">
        <v>104</v>
      </c>
      <c r="AS832" s="6" t="s">
        <v>104</v>
      </c>
      <c r="AT832" s="6" t="s">
        <v>104</v>
      </c>
      <c r="AU832" s="6" t="s">
        <v>104</v>
      </c>
      <c r="AV832" s="6" t="s">
        <v>104</v>
      </c>
      <c r="AW832" s="6" t="s">
        <v>104</v>
      </c>
      <c r="AX832" s="6" t="s">
        <v>20768</v>
      </c>
      <c r="AY832" s="6" t="s">
        <v>22542</v>
      </c>
      <c r="AZ832" s="6" t="s">
        <v>104</v>
      </c>
      <c r="BA832" s="6" t="s">
        <v>24269</v>
      </c>
      <c r="BB832" s="24" t="n">
        <v>0</v>
      </c>
      <c r="BC832" s="26"/>
      <c r="BD832" s="26"/>
      <c r="BE832" s="26"/>
      <c r="BF832" s="26"/>
      <c r="BG832" s="26"/>
      <c r="BH832" s="26"/>
      <c r="BI832" s="26"/>
      <c r="BJ832" s="26"/>
      <c r="BK832" s="26"/>
      <c r="BL832" s="26"/>
      <c r="BM832" s="26"/>
      <c r="BN832" s="26"/>
      <c r="BO832" s="26"/>
      <c r="BP832" s="16" t="n">
        <v>45680</v>
      </c>
      <c r="BQ832" s="28" t="str">
        <f>HYPERLINK("https://organic.ams.usda.gov/Integrity/Certificate.aspx?cid=24&amp;nopid=7880009702")</f>
        <v>https://organic.ams.usda.gov/Integrity/Certificate.aspx?cid=24&amp;nopid=7880009702</v>
      </c>
    </row>
    <row r="833">
      <c r="A833" t="s">
        <v>3</v>
      </c>
      <c r="B833" s="6" t="s">
        <v>41</v>
      </c>
      <c r="C833" s="6" t="s">
        <v>107</v>
      </c>
      <c r="D833" s="6" t="s">
        <v>171</v>
      </c>
      <c r="E833" s="10" t="s">
        <v>1031</v>
      </c>
      <c r="F833" s="6" t="s">
        <v>3278</v>
      </c>
      <c r="G833" s="6" t="s">
        <v>4754</v>
      </c>
      <c r="H833" s="6" t="s">
        <v>5653</v>
      </c>
      <c r="I833" s="6" t="s">
        <v>7383</v>
      </c>
      <c r="J833" s="6" t="s">
        <v>7308</v>
      </c>
      <c r="K833" s="6" t="s">
        <v>9714</v>
      </c>
      <c r="L833" s="16" t="n">
        <v>37621</v>
      </c>
      <c r="M833" s="16" t="n">
        <v>46157</v>
      </c>
      <c r="N833" s="6" t="s">
        <v>9714</v>
      </c>
      <c r="O833" s="16" t="n">
        <v>37621</v>
      </c>
      <c r="P833" s="6" t="s">
        <v>9948</v>
      </c>
      <c r="Q833" s="6" t="s">
        <v>104</v>
      </c>
      <c r="R833" s="6" t="s">
        <v>104</v>
      </c>
      <c r="S833" s="6" t="s">
        <v>9721</v>
      </c>
      <c r="T833" s="16" t="n">
        <v>45208</v>
      </c>
      <c r="U833" s="6" t="s">
        <v>104</v>
      </c>
      <c r="V833" s="6" t="s">
        <v>104</v>
      </c>
      <c r="W833" s="6" t="s">
        <v>104</v>
      </c>
      <c r="X833" s="6" t="s">
        <v>104</v>
      </c>
      <c r="Y833" s="21" t="s">
        <v>104</v>
      </c>
      <c r="Z833" s="6" t="s">
        <v>104</v>
      </c>
      <c r="AA833" s="6" t="s">
        <v>104</v>
      </c>
      <c r="AB833" s="6" t="s">
        <v>104</v>
      </c>
      <c r="AC833" s="6" t="s">
        <v>9714</v>
      </c>
      <c r="AD833" s="16" t="n">
        <v>37621</v>
      </c>
      <c r="AE833" s="6" t="s">
        <v>11267</v>
      </c>
      <c r="AF833" s="6" t="s">
        <v>104</v>
      </c>
      <c r="AG833" s="6" t="s">
        <v>104</v>
      </c>
      <c r="AH833" s="6" t="s">
        <v>13912</v>
      </c>
      <c r="AI833" s="6" t="s">
        <v>104</v>
      </c>
      <c r="AJ833" s="6" t="s">
        <v>15909</v>
      </c>
      <c r="AK833" s="6" t="s">
        <v>16738</v>
      </c>
      <c r="AL833" s="6" t="s">
        <v>16931</v>
      </c>
      <c r="AM833" s="6" t="s">
        <v>17543</v>
      </c>
      <c r="AN833" s="6" t="s">
        <v>18503</v>
      </c>
      <c r="AO833" s="6" t="s">
        <v>18743</v>
      </c>
      <c r="AP833" s="6" t="s">
        <v>13912</v>
      </c>
      <c r="AQ833" s="6" t="s">
        <v>104</v>
      </c>
      <c r="AR833" s="6" t="s">
        <v>15909</v>
      </c>
      <c r="AS833" s="6" t="s">
        <v>16738</v>
      </c>
      <c r="AT833" s="6" t="s">
        <v>16931</v>
      </c>
      <c r="AU833" s="6" t="s">
        <v>17543</v>
      </c>
      <c r="AV833" s="6" t="s">
        <v>104</v>
      </c>
      <c r="AW833" s="6" t="s">
        <v>104</v>
      </c>
      <c r="AX833" s="6" t="s">
        <v>20769</v>
      </c>
      <c r="AY833" s="6" t="s">
        <v>22543</v>
      </c>
      <c r="AZ833" s="6" t="s">
        <v>104</v>
      </c>
      <c r="BA833" s="6" t="s">
        <v>104</v>
      </c>
      <c r="BB833" s="24" t="n">
        <v>1510</v>
      </c>
      <c r="BC833" s="26" t="s">
        <v>24533</v>
      </c>
      <c r="BD833" s="26"/>
      <c r="BE833" s="26"/>
      <c r="BF833" s="26"/>
      <c r="BG833" s="26"/>
      <c r="BH833" s="26"/>
      <c r="BI833" s="26"/>
      <c r="BJ833" s="26"/>
      <c r="BK833" s="26"/>
      <c r="BL833" s="26"/>
      <c r="BM833" s="26"/>
      <c r="BN833" s="26"/>
      <c r="BO833" s="26"/>
      <c r="BP833" s="16" t="n">
        <v>45737</v>
      </c>
      <c r="BQ833" s="28" t="str">
        <f>HYPERLINK("https://organic.ams.usda.gov/Integrity/Certificate.aspx?cid=58&amp;nopid=1600002037")</f>
        <v>https://organic.ams.usda.gov/Integrity/Certificate.aspx?cid=58&amp;nopid=1600002037</v>
      </c>
    </row>
    <row r="834">
      <c r="A834" t="s">
        <v>3</v>
      </c>
      <c r="B834" s="6" t="s">
        <v>13</v>
      </c>
      <c r="C834" s="6" t="s">
        <v>79</v>
      </c>
      <c r="D834" s="6" t="s">
        <v>144</v>
      </c>
      <c r="E834" s="10" t="s">
        <v>1032</v>
      </c>
      <c r="F834" s="6" t="s">
        <v>3279</v>
      </c>
      <c r="G834" s="6" t="s">
        <v>104</v>
      </c>
      <c r="H834" s="6" t="s">
        <v>5654</v>
      </c>
      <c r="I834" s="6" t="s">
        <v>6948</v>
      </c>
      <c r="J834" s="6" t="s">
        <v>8763</v>
      </c>
      <c r="K834" s="6" t="s">
        <v>9714</v>
      </c>
      <c r="L834" s="16" t="n">
        <v>43992</v>
      </c>
      <c r="M834" s="16" t="n">
        <v>45748</v>
      </c>
      <c r="N834" s="6" t="s">
        <v>104</v>
      </c>
      <c r="O834" s="21" t="s">
        <v>104</v>
      </c>
      <c r="P834" s="6" t="s">
        <v>104</v>
      </c>
      <c r="Q834" s="6" t="s">
        <v>104</v>
      </c>
      <c r="R834" s="6" t="s">
        <v>104</v>
      </c>
      <c r="S834" s="6" t="s">
        <v>104</v>
      </c>
      <c r="T834" s="21" t="s">
        <v>104</v>
      </c>
      <c r="U834" s="6" t="s">
        <v>104</v>
      </c>
      <c r="V834" s="6" t="s">
        <v>104</v>
      </c>
      <c r="W834" s="6" t="s">
        <v>104</v>
      </c>
      <c r="X834" s="6" t="s">
        <v>104</v>
      </c>
      <c r="Y834" s="21" t="s">
        <v>104</v>
      </c>
      <c r="Z834" s="6" t="s">
        <v>104</v>
      </c>
      <c r="AA834" s="6" t="s">
        <v>104</v>
      </c>
      <c r="AB834" s="6" t="s">
        <v>104</v>
      </c>
      <c r="AC834" s="6" t="s">
        <v>9714</v>
      </c>
      <c r="AD834" s="16" t="n">
        <v>43992</v>
      </c>
      <c r="AE834" s="6" t="s">
        <v>11268</v>
      </c>
      <c r="AF834" s="6" t="s">
        <v>104</v>
      </c>
      <c r="AG834" s="6" t="s">
        <v>104</v>
      </c>
      <c r="AH834" s="6" t="s">
        <v>104</v>
      </c>
      <c r="AI834" s="6" t="s">
        <v>104</v>
      </c>
      <c r="AJ834" s="6" t="s">
        <v>104</v>
      </c>
      <c r="AK834" s="6" t="s">
        <v>104</v>
      </c>
      <c r="AL834" s="6" t="s">
        <v>104</v>
      </c>
      <c r="AM834" s="6" t="s">
        <v>104</v>
      </c>
      <c r="AN834" s="6" t="s">
        <v>104</v>
      </c>
      <c r="AO834" s="6" t="s">
        <v>104</v>
      </c>
      <c r="AP834" s="6" t="s">
        <v>19160</v>
      </c>
      <c r="AQ834" s="6" t="s">
        <v>19557</v>
      </c>
      <c r="AR834" s="6" t="s">
        <v>19672</v>
      </c>
      <c r="AS834" s="6" t="s">
        <v>16683</v>
      </c>
      <c r="AT834" s="6" t="s">
        <v>16931</v>
      </c>
      <c r="AU834" s="6" t="s">
        <v>19899</v>
      </c>
      <c r="AV834" s="6" t="s">
        <v>18521</v>
      </c>
      <c r="AW834" s="6" t="s">
        <v>18695</v>
      </c>
      <c r="AX834" s="6" t="s">
        <v>20770</v>
      </c>
      <c r="AY834" s="6" t="s">
        <v>22544</v>
      </c>
      <c r="AZ834" s="6" t="s">
        <v>104</v>
      </c>
      <c r="BA834" s="6" t="s">
        <v>104</v>
      </c>
      <c r="BB834" s="6" t="s">
        <v>104</v>
      </c>
      <c r="BC834" s="26"/>
      <c r="BD834" s="26"/>
      <c r="BE834" s="26" t="s">
        <v>24533</v>
      </c>
      <c r="BF834" s="26"/>
      <c r="BG834" s="26"/>
      <c r="BH834" s="26"/>
      <c r="BI834" s="26"/>
      <c r="BJ834" s="26"/>
      <c r="BK834" s="26"/>
      <c r="BL834" s="26"/>
      <c r="BM834" s="26"/>
      <c r="BN834" s="26"/>
      <c r="BO834" s="26"/>
      <c r="BP834" s="16" t="n">
        <v>45720</v>
      </c>
      <c r="BQ834" s="28" t="str">
        <f>HYPERLINK("https://organic.ams.usda.gov/Integrity/Certificate.aspx?cid=62&amp;nopid=8150013107")</f>
        <v>https://organic.ams.usda.gov/Integrity/Certificate.aspx?cid=62&amp;nopid=8150013107</v>
      </c>
    </row>
    <row r="835">
      <c r="A835" t="s">
        <v>3</v>
      </c>
      <c r="B835" s="6" t="s">
        <v>13</v>
      </c>
      <c r="C835" s="6" t="s">
        <v>79</v>
      </c>
      <c r="D835" s="6" t="s">
        <v>144</v>
      </c>
      <c r="E835" s="10" t="s">
        <v>1033</v>
      </c>
      <c r="F835" s="6" t="s">
        <v>3279</v>
      </c>
      <c r="G835" s="6" t="s">
        <v>104</v>
      </c>
      <c r="H835" s="6" t="s">
        <v>5655</v>
      </c>
      <c r="I835" s="6" t="s">
        <v>7463</v>
      </c>
      <c r="J835" s="6" t="s">
        <v>8764</v>
      </c>
      <c r="K835" s="6" t="s">
        <v>9714</v>
      </c>
      <c r="L835" s="16" t="n">
        <v>43670</v>
      </c>
      <c r="M835" s="16" t="n">
        <v>45748</v>
      </c>
      <c r="N835" s="6" t="s">
        <v>104</v>
      </c>
      <c r="O835" s="21" t="s">
        <v>104</v>
      </c>
      <c r="P835" s="6" t="s">
        <v>104</v>
      </c>
      <c r="Q835" s="6" t="s">
        <v>104</v>
      </c>
      <c r="R835" s="6" t="s">
        <v>104</v>
      </c>
      <c r="S835" s="6" t="s">
        <v>104</v>
      </c>
      <c r="T835" s="21" t="s">
        <v>104</v>
      </c>
      <c r="U835" s="6" t="s">
        <v>104</v>
      </c>
      <c r="V835" s="6" t="s">
        <v>104</v>
      </c>
      <c r="W835" s="6" t="s">
        <v>104</v>
      </c>
      <c r="X835" s="6" t="s">
        <v>104</v>
      </c>
      <c r="Y835" s="21" t="s">
        <v>104</v>
      </c>
      <c r="Z835" s="6" t="s">
        <v>104</v>
      </c>
      <c r="AA835" s="6" t="s">
        <v>104</v>
      </c>
      <c r="AB835" s="6" t="s">
        <v>104</v>
      </c>
      <c r="AC835" s="6" t="s">
        <v>9714</v>
      </c>
      <c r="AD835" s="16" t="n">
        <v>43670</v>
      </c>
      <c r="AE835" s="6" t="s">
        <v>11269</v>
      </c>
      <c r="AF835" s="6" t="s">
        <v>104</v>
      </c>
      <c r="AG835" s="6" t="s">
        <v>104</v>
      </c>
      <c r="AH835" s="6" t="s">
        <v>104</v>
      </c>
      <c r="AI835" s="6" t="s">
        <v>104</v>
      </c>
      <c r="AJ835" s="6" t="s">
        <v>104</v>
      </c>
      <c r="AK835" s="6" t="s">
        <v>104</v>
      </c>
      <c r="AL835" s="6" t="s">
        <v>104</v>
      </c>
      <c r="AM835" s="6" t="s">
        <v>104</v>
      </c>
      <c r="AN835" s="6" t="s">
        <v>104</v>
      </c>
      <c r="AO835" s="6" t="s">
        <v>104</v>
      </c>
      <c r="AP835" s="6" t="s">
        <v>19160</v>
      </c>
      <c r="AQ835" s="6" t="s">
        <v>19557</v>
      </c>
      <c r="AR835" s="6" t="s">
        <v>19672</v>
      </c>
      <c r="AS835" s="6" t="s">
        <v>16683</v>
      </c>
      <c r="AT835" s="6" t="s">
        <v>16931</v>
      </c>
      <c r="AU835" s="6" t="s">
        <v>19899</v>
      </c>
      <c r="AV835" s="6" t="s">
        <v>18521</v>
      </c>
      <c r="AW835" s="6" t="s">
        <v>18695</v>
      </c>
      <c r="AX835" s="6" t="s">
        <v>20771</v>
      </c>
      <c r="AY835" s="6" t="s">
        <v>22545</v>
      </c>
      <c r="AZ835" s="6" t="s">
        <v>104</v>
      </c>
      <c r="BA835" s="6" t="s">
        <v>104</v>
      </c>
      <c r="BB835" s="6" t="s">
        <v>104</v>
      </c>
      <c r="BC835" s="26"/>
      <c r="BD835" s="26"/>
      <c r="BE835" s="26"/>
      <c r="BF835" s="26"/>
      <c r="BG835" s="26"/>
      <c r="BH835" s="26"/>
      <c r="BI835" s="26"/>
      <c r="BJ835" s="26"/>
      <c r="BK835" s="26"/>
      <c r="BL835" s="26"/>
      <c r="BM835" s="26"/>
      <c r="BN835" s="26"/>
      <c r="BO835" s="26"/>
      <c r="BP835" s="16" t="n">
        <v>45520</v>
      </c>
      <c r="BQ835" s="28" t="str">
        <f>HYPERLINK("https://organic.ams.usda.gov/Integrity/Certificate.aspx?cid=62&amp;nopid=8150011814")</f>
        <v>https://organic.ams.usda.gov/Integrity/Certificate.aspx?cid=62&amp;nopid=8150011814</v>
      </c>
    </row>
    <row r="836">
      <c r="A836" t="s">
        <v>3</v>
      </c>
      <c r="B836" s="6" t="s">
        <v>13</v>
      </c>
      <c r="C836" s="6" t="s">
        <v>79</v>
      </c>
      <c r="D836" s="6" t="s">
        <v>144</v>
      </c>
      <c r="E836" s="10" t="s">
        <v>1034</v>
      </c>
      <c r="F836" s="6" t="s">
        <v>3279</v>
      </c>
      <c r="G836" s="6" t="s">
        <v>104</v>
      </c>
      <c r="H836" s="6" t="s">
        <v>5656</v>
      </c>
      <c r="I836" s="6" t="s">
        <v>7464</v>
      </c>
      <c r="J836" s="6" t="s">
        <v>8765</v>
      </c>
      <c r="K836" s="6" t="s">
        <v>9714</v>
      </c>
      <c r="L836" s="16" t="n">
        <v>37375</v>
      </c>
      <c r="M836" s="16" t="n">
        <v>46023</v>
      </c>
      <c r="N836" s="6" t="s">
        <v>104</v>
      </c>
      <c r="O836" s="21" t="s">
        <v>104</v>
      </c>
      <c r="P836" s="6" t="s">
        <v>104</v>
      </c>
      <c r="Q836" s="6" t="s">
        <v>104</v>
      </c>
      <c r="R836" s="6" t="s">
        <v>104</v>
      </c>
      <c r="S836" s="6" t="s">
        <v>104</v>
      </c>
      <c r="T836" s="21" t="s">
        <v>104</v>
      </c>
      <c r="U836" s="6" t="s">
        <v>104</v>
      </c>
      <c r="V836" s="6" t="s">
        <v>104</v>
      </c>
      <c r="W836" s="6" t="s">
        <v>104</v>
      </c>
      <c r="X836" s="6" t="s">
        <v>104</v>
      </c>
      <c r="Y836" s="21" t="s">
        <v>104</v>
      </c>
      <c r="Z836" s="6" t="s">
        <v>104</v>
      </c>
      <c r="AA836" s="6" t="s">
        <v>104</v>
      </c>
      <c r="AB836" s="6" t="s">
        <v>104</v>
      </c>
      <c r="AC836" s="6" t="s">
        <v>9714</v>
      </c>
      <c r="AD836" s="16" t="n">
        <v>37375</v>
      </c>
      <c r="AE836" s="6" t="s">
        <v>11270</v>
      </c>
      <c r="AF836" s="6" t="s">
        <v>104</v>
      </c>
      <c r="AG836" s="6" t="s">
        <v>104</v>
      </c>
      <c r="AH836" s="6" t="s">
        <v>104</v>
      </c>
      <c r="AI836" s="6" t="s">
        <v>104</v>
      </c>
      <c r="AJ836" s="6" t="s">
        <v>104</v>
      </c>
      <c r="AK836" s="6" t="s">
        <v>104</v>
      </c>
      <c r="AL836" s="6" t="s">
        <v>104</v>
      </c>
      <c r="AM836" s="6" t="s">
        <v>104</v>
      </c>
      <c r="AN836" s="6" t="s">
        <v>104</v>
      </c>
      <c r="AO836" s="6" t="s">
        <v>104</v>
      </c>
      <c r="AP836" s="6" t="s">
        <v>19161</v>
      </c>
      <c r="AQ836" s="6" t="s">
        <v>104</v>
      </c>
      <c r="AR836" s="6" t="s">
        <v>8077</v>
      </c>
      <c r="AS836" s="6" t="s">
        <v>16705</v>
      </c>
      <c r="AT836" s="6" t="s">
        <v>16931</v>
      </c>
      <c r="AU836" s="6" t="s">
        <v>17113</v>
      </c>
      <c r="AV836" s="6" t="s">
        <v>18486</v>
      </c>
      <c r="AW836" s="6" t="s">
        <v>18599</v>
      </c>
      <c r="AX836" s="6" t="s">
        <v>20772</v>
      </c>
      <c r="AY836" s="6" t="s">
        <v>22546</v>
      </c>
      <c r="AZ836" s="6" t="s">
        <v>104</v>
      </c>
      <c r="BA836" s="6" t="s">
        <v>104</v>
      </c>
      <c r="BB836" s="6" t="s">
        <v>104</v>
      </c>
      <c r="BC836" s="26"/>
      <c r="BD836" s="26"/>
      <c r="BE836" s="26" t="s">
        <v>24533</v>
      </c>
      <c r="BF836" s="26"/>
      <c r="BG836" s="26"/>
      <c r="BH836" s="26"/>
      <c r="BI836" s="26"/>
      <c r="BJ836" s="26"/>
      <c r="BK836" s="26"/>
      <c r="BL836" s="26"/>
      <c r="BM836" s="26"/>
      <c r="BN836" s="26"/>
      <c r="BO836" s="26"/>
      <c r="BP836" s="16" t="n">
        <v>45686</v>
      </c>
      <c r="BQ836" s="28" t="str">
        <f>HYPERLINK("https://organic.ams.usda.gov/Integrity/Certificate.aspx?cid=62&amp;nopid=8150000803")</f>
        <v>https://organic.ams.usda.gov/Integrity/Certificate.aspx?cid=62&amp;nopid=8150000803</v>
      </c>
    </row>
    <row r="837">
      <c r="A837" t="s">
        <v>3</v>
      </c>
      <c r="B837" s="6" t="s">
        <v>13</v>
      </c>
      <c r="C837" s="6" t="s">
        <v>79</v>
      </c>
      <c r="D837" s="6" t="s">
        <v>144</v>
      </c>
      <c r="E837" s="10" t="s">
        <v>1035</v>
      </c>
      <c r="F837" s="6" t="s">
        <v>3279</v>
      </c>
      <c r="G837" s="6" t="s">
        <v>104</v>
      </c>
      <c r="H837" s="6" t="s">
        <v>5657</v>
      </c>
      <c r="I837" s="6" t="s">
        <v>7465</v>
      </c>
      <c r="J837" s="6" t="s">
        <v>8766</v>
      </c>
      <c r="K837" s="6" t="s">
        <v>9714</v>
      </c>
      <c r="L837" s="16" t="n">
        <v>37375</v>
      </c>
      <c r="M837" s="16" t="n">
        <v>46023</v>
      </c>
      <c r="N837" s="6" t="s">
        <v>104</v>
      </c>
      <c r="O837" s="21" t="s">
        <v>104</v>
      </c>
      <c r="P837" s="6" t="s">
        <v>104</v>
      </c>
      <c r="Q837" s="6" t="s">
        <v>104</v>
      </c>
      <c r="R837" s="6" t="s">
        <v>104</v>
      </c>
      <c r="S837" s="6" t="s">
        <v>104</v>
      </c>
      <c r="T837" s="21" t="s">
        <v>104</v>
      </c>
      <c r="U837" s="6" t="s">
        <v>104</v>
      </c>
      <c r="V837" s="6" t="s">
        <v>104</v>
      </c>
      <c r="W837" s="6" t="s">
        <v>104</v>
      </c>
      <c r="X837" s="6" t="s">
        <v>104</v>
      </c>
      <c r="Y837" s="21" t="s">
        <v>104</v>
      </c>
      <c r="Z837" s="6" t="s">
        <v>104</v>
      </c>
      <c r="AA837" s="6" t="s">
        <v>104</v>
      </c>
      <c r="AB837" s="6" t="s">
        <v>104</v>
      </c>
      <c r="AC837" s="6" t="s">
        <v>9714</v>
      </c>
      <c r="AD837" s="16" t="n">
        <v>37375</v>
      </c>
      <c r="AE837" s="6" t="s">
        <v>11271</v>
      </c>
      <c r="AF837" s="6" t="s">
        <v>104</v>
      </c>
      <c r="AG837" s="6" t="s">
        <v>104</v>
      </c>
      <c r="AH837" s="6" t="s">
        <v>104</v>
      </c>
      <c r="AI837" s="6" t="s">
        <v>104</v>
      </c>
      <c r="AJ837" s="6" t="s">
        <v>104</v>
      </c>
      <c r="AK837" s="6" t="s">
        <v>104</v>
      </c>
      <c r="AL837" s="6" t="s">
        <v>104</v>
      </c>
      <c r="AM837" s="6" t="s">
        <v>104</v>
      </c>
      <c r="AN837" s="6" t="s">
        <v>104</v>
      </c>
      <c r="AO837" s="6" t="s">
        <v>104</v>
      </c>
      <c r="AP837" s="6" t="s">
        <v>19162</v>
      </c>
      <c r="AQ837" s="6" t="s">
        <v>104</v>
      </c>
      <c r="AR837" s="6" t="s">
        <v>19673</v>
      </c>
      <c r="AS837" s="6" t="s">
        <v>16681</v>
      </c>
      <c r="AT837" s="6" t="s">
        <v>16931</v>
      </c>
      <c r="AU837" s="6" t="s">
        <v>17345</v>
      </c>
      <c r="AV837" s="6" t="s">
        <v>18541</v>
      </c>
      <c r="AW837" s="6" t="s">
        <v>18878</v>
      </c>
      <c r="AX837" s="6" t="s">
        <v>20773</v>
      </c>
      <c r="AY837" s="6" t="s">
        <v>22547</v>
      </c>
      <c r="AZ837" s="6" t="s">
        <v>104</v>
      </c>
      <c r="BA837" s="6" t="s">
        <v>104</v>
      </c>
      <c r="BB837" s="6" t="s">
        <v>104</v>
      </c>
      <c r="BC837" s="26"/>
      <c r="BD837" s="26"/>
      <c r="BE837" s="26" t="s">
        <v>24533</v>
      </c>
      <c r="BF837" s="26"/>
      <c r="BG837" s="26"/>
      <c r="BH837" s="26"/>
      <c r="BI837" s="26"/>
      <c r="BJ837" s="26"/>
      <c r="BK837" s="26"/>
      <c r="BL837" s="26"/>
      <c r="BM837" s="26"/>
      <c r="BN837" s="26"/>
      <c r="BO837" s="26"/>
      <c r="BP837" s="16" t="n">
        <v>45737</v>
      </c>
      <c r="BQ837" s="28" t="str">
        <f>HYPERLINK("https://organic.ams.usda.gov/Integrity/Certificate.aspx?cid=62&amp;nopid=8150000021")</f>
        <v>https://organic.ams.usda.gov/Integrity/Certificate.aspx?cid=62&amp;nopid=8150000021</v>
      </c>
    </row>
    <row r="838">
      <c r="A838" t="s">
        <v>3</v>
      </c>
      <c r="B838" s="6" t="s">
        <v>12</v>
      </c>
      <c r="C838" s="6" t="s">
        <v>78</v>
      </c>
      <c r="D838" s="6" t="s">
        <v>143</v>
      </c>
      <c r="E838" s="10" t="s">
        <v>1036</v>
      </c>
      <c r="F838" s="6" t="s">
        <v>3280</v>
      </c>
      <c r="G838" s="6" t="s">
        <v>104</v>
      </c>
      <c r="H838" s="6" t="s">
        <v>104</v>
      </c>
      <c r="I838" s="6" t="s">
        <v>6940</v>
      </c>
      <c r="J838" s="6" t="s">
        <v>8300</v>
      </c>
      <c r="K838" s="6" t="s">
        <v>9714</v>
      </c>
      <c r="L838" s="16" t="n">
        <v>44662</v>
      </c>
      <c r="M838" s="16" t="n">
        <v>45870</v>
      </c>
      <c r="N838" s="6" t="s">
        <v>104</v>
      </c>
      <c r="O838" s="21" t="s">
        <v>104</v>
      </c>
      <c r="P838" s="6" t="s">
        <v>104</v>
      </c>
      <c r="Q838" s="6" t="s">
        <v>104</v>
      </c>
      <c r="R838" s="6" t="s">
        <v>104</v>
      </c>
      <c r="S838" s="6" t="s">
        <v>104</v>
      </c>
      <c r="T838" s="21" t="s">
        <v>104</v>
      </c>
      <c r="U838" s="6" t="s">
        <v>104</v>
      </c>
      <c r="V838" s="6" t="s">
        <v>104</v>
      </c>
      <c r="W838" s="6" t="s">
        <v>104</v>
      </c>
      <c r="X838" s="6" t="s">
        <v>104</v>
      </c>
      <c r="Y838" s="21" t="s">
        <v>104</v>
      </c>
      <c r="Z838" s="6" t="s">
        <v>104</v>
      </c>
      <c r="AA838" s="6" t="s">
        <v>104</v>
      </c>
      <c r="AB838" s="6" t="s">
        <v>104</v>
      </c>
      <c r="AC838" s="6" t="s">
        <v>9714</v>
      </c>
      <c r="AD838" s="16" t="n">
        <v>44662</v>
      </c>
      <c r="AE838" s="6" t="s">
        <v>11272</v>
      </c>
      <c r="AF838" s="6" t="s">
        <v>104</v>
      </c>
      <c r="AG838" s="6" t="s">
        <v>104</v>
      </c>
      <c r="AH838" s="6" t="s">
        <v>13913</v>
      </c>
      <c r="AI838" s="6" t="s">
        <v>104</v>
      </c>
      <c r="AJ838" s="6" t="s">
        <v>15910</v>
      </c>
      <c r="AK838" s="6" t="s">
        <v>16743</v>
      </c>
      <c r="AL838" s="6" t="s">
        <v>16931</v>
      </c>
      <c r="AM838" s="6" t="s">
        <v>17544</v>
      </c>
      <c r="AN838" s="6" t="s">
        <v>18507</v>
      </c>
      <c r="AO838" s="6" t="s">
        <v>18630</v>
      </c>
      <c r="AP838" s="6" t="s">
        <v>13913</v>
      </c>
      <c r="AQ838" s="6" t="s">
        <v>104</v>
      </c>
      <c r="AR838" s="6" t="s">
        <v>15910</v>
      </c>
      <c r="AS838" s="6" t="s">
        <v>16743</v>
      </c>
      <c r="AT838" s="6" t="s">
        <v>16931</v>
      </c>
      <c r="AU838" s="6" t="s">
        <v>17544</v>
      </c>
      <c r="AV838" s="6" t="s">
        <v>104</v>
      </c>
      <c r="AW838" s="6" t="s">
        <v>104</v>
      </c>
      <c r="AX838" s="6" t="s">
        <v>104</v>
      </c>
      <c r="AY838" s="6" t="s">
        <v>22548</v>
      </c>
      <c r="AZ838" s="6" t="s">
        <v>104</v>
      </c>
      <c r="BA838" s="6" t="s">
        <v>104</v>
      </c>
      <c r="BB838" s="6" t="s">
        <v>104</v>
      </c>
      <c r="BC838" s="26"/>
      <c r="BD838" s="26"/>
      <c r="BE838" s="26"/>
      <c r="BF838" s="26"/>
      <c r="BG838" s="26"/>
      <c r="BH838" s="26"/>
      <c r="BI838" s="26"/>
      <c r="BJ838" s="26"/>
      <c r="BK838" s="26"/>
      <c r="BL838" s="26"/>
      <c r="BM838" s="26"/>
      <c r="BN838" s="26"/>
      <c r="BO838" s="26"/>
      <c r="BP838" s="16" t="n">
        <v>45622</v>
      </c>
      <c r="BQ838" s="28" t="str">
        <f>HYPERLINK("https://organic.ams.usda.gov/Integrity/Certificate.aspx?cid=1&amp;nopid=9092131701")</f>
        <v>https://organic.ams.usda.gov/Integrity/Certificate.aspx?cid=1&amp;nopid=9092131701</v>
      </c>
    </row>
    <row r="839">
      <c r="A839" t="s">
        <v>3</v>
      </c>
      <c r="B839" s="6" t="s">
        <v>55</v>
      </c>
      <c r="C839" s="6" t="s">
        <v>121</v>
      </c>
      <c r="D839" s="6" t="s">
        <v>185</v>
      </c>
      <c r="E839" s="10" t="s">
        <v>1037</v>
      </c>
      <c r="F839" s="6" t="s">
        <v>3281</v>
      </c>
      <c r="G839" s="6" t="s">
        <v>4755</v>
      </c>
      <c r="H839" s="6" t="s">
        <v>5658</v>
      </c>
      <c r="I839" s="6" t="s">
        <v>7126</v>
      </c>
      <c r="J839" s="6" t="s">
        <v>8767</v>
      </c>
      <c r="K839" s="6" t="s">
        <v>9714</v>
      </c>
      <c r="L839" s="16" t="n">
        <v>44873</v>
      </c>
      <c r="M839" s="16" t="n">
        <v>45908</v>
      </c>
      <c r="N839" s="6" t="s">
        <v>104</v>
      </c>
      <c r="O839" s="21" t="s">
        <v>104</v>
      </c>
      <c r="P839" s="6" t="s">
        <v>104</v>
      </c>
      <c r="Q839" s="6" t="s">
        <v>104</v>
      </c>
      <c r="R839" s="6" t="s">
        <v>104</v>
      </c>
      <c r="S839" s="6" t="s">
        <v>104</v>
      </c>
      <c r="T839" s="21" t="s">
        <v>104</v>
      </c>
      <c r="U839" s="6" t="s">
        <v>104</v>
      </c>
      <c r="V839" s="6" t="s">
        <v>104</v>
      </c>
      <c r="W839" s="6" t="s">
        <v>104</v>
      </c>
      <c r="X839" s="6" t="s">
        <v>104</v>
      </c>
      <c r="Y839" s="21" t="s">
        <v>104</v>
      </c>
      <c r="Z839" s="6" t="s">
        <v>104</v>
      </c>
      <c r="AA839" s="6" t="s">
        <v>104</v>
      </c>
      <c r="AB839" s="6" t="s">
        <v>104</v>
      </c>
      <c r="AC839" s="6" t="s">
        <v>9714</v>
      </c>
      <c r="AD839" s="16" t="n">
        <v>44873</v>
      </c>
      <c r="AE839" s="6" t="s">
        <v>11273</v>
      </c>
      <c r="AF839" s="6" t="s">
        <v>104</v>
      </c>
      <c r="AG839" s="6" t="s">
        <v>5658</v>
      </c>
      <c r="AH839" s="6" t="s">
        <v>13914</v>
      </c>
      <c r="AI839" s="6" t="s">
        <v>104</v>
      </c>
      <c r="AJ839" s="6" t="s">
        <v>15911</v>
      </c>
      <c r="AK839" s="6" t="s">
        <v>16816</v>
      </c>
      <c r="AL839" s="6" t="s">
        <v>16958</v>
      </c>
      <c r="AM839" s="6" t="s">
        <v>17545</v>
      </c>
      <c r="AN839" s="6" t="s">
        <v>104</v>
      </c>
      <c r="AO839" s="6" t="s">
        <v>104</v>
      </c>
      <c r="AP839" s="6" t="s">
        <v>13914</v>
      </c>
      <c r="AQ839" s="6" t="s">
        <v>104</v>
      </c>
      <c r="AR839" s="6" t="s">
        <v>15911</v>
      </c>
      <c r="AS839" s="6" t="s">
        <v>16816</v>
      </c>
      <c r="AT839" s="6" t="s">
        <v>16958</v>
      </c>
      <c r="AU839" s="6" t="s">
        <v>17545</v>
      </c>
      <c r="AV839" s="6" t="s">
        <v>104</v>
      </c>
      <c r="AW839" s="6" t="s">
        <v>104</v>
      </c>
      <c r="AX839" s="6" t="s">
        <v>20774</v>
      </c>
      <c r="AY839" s="6" t="s">
        <v>22549</v>
      </c>
      <c r="AZ839" s="6" t="s">
        <v>104</v>
      </c>
      <c r="BA839" s="6" t="s">
        <v>104</v>
      </c>
      <c r="BB839" s="6" t="s">
        <v>104</v>
      </c>
      <c r="BC839" s="26" t="s">
        <v>24533</v>
      </c>
      <c r="BD839" s="26"/>
      <c r="BE839" s="26"/>
      <c r="BF839" s="26"/>
      <c r="BG839" s="26"/>
      <c r="BH839" s="26"/>
      <c r="BI839" s="26"/>
      <c r="BJ839" s="26"/>
      <c r="BK839" s="26"/>
      <c r="BL839" s="26"/>
      <c r="BM839" s="26"/>
      <c r="BN839" s="26"/>
      <c r="BO839" s="26"/>
      <c r="BP839" s="16" t="n">
        <v>45708</v>
      </c>
      <c r="BQ839" s="28" t="str">
        <f>HYPERLINK("https://organic.ams.usda.gov/Integrity/Certificate.aspx?cid=70&amp;nopid=6431065493")</f>
        <v>https://organic.ams.usda.gov/Integrity/Certificate.aspx?cid=70&amp;nopid=6431065493</v>
      </c>
    </row>
    <row r="840">
      <c r="A840" t="s">
        <v>3</v>
      </c>
      <c r="B840" s="6" t="s">
        <v>55</v>
      </c>
      <c r="C840" s="6" t="s">
        <v>121</v>
      </c>
      <c r="D840" s="6" t="s">
        <v>185</v>
      </c>
      <c r="E840" s="10" t="s">
        <v>1038</v>
      </c>
      <c r="F840" s="6" t="s">
        <v>3282</v>
      </c>
      <c r="G840" s="6" t="s">
        <v>104</v>
      </c>
      <c r="H840" s="6" t="s">
        <v>5659</v>
      </c>
      <c r="I840" s="6" t="s">
        <v>7249</v>
      </c>
      <c r="J840" s="6" t="s">
        <v>8768</v>
      </c>
      <c r="K840" s="6" t="s">
        <v>9714</v>
      </c>
      <c r="L840" s="16" t="n">
        <v>43250</v>
      </c>
      <c r="M840" s="16" t="n">
        <v>45746</v>
      </c>
      <c r="N840" s="6" t="s">
        <v>104</v>
      </c>
      <c r="O840" s="21" t="s">
        <v>104</v>
      </c>
      <c r="P840" s="6" t="s">
        <v>104</v>
      </c>
      <c r="Q840" s="6" t="s">
        <v>104</v>
      </c>
      <c r="R840" s="6" t="s">
        <v>104</v>
      </c>
      <c r="S840" s="6" t="s">
        <v>104</v>
      </c>
      <c r="T840" s="21" t="s">
        <v>104</v>
      </c>
      <c r="U840" s="6" t="s">
        <v>104</v>
      </c>
      <c r="V840" s="6" t="s">
        <v>104</v>
      </c>
      <c r="W840" s="6" t="s">
        <v>104</v>
      </c>
      <c r="X840" s="6" t="s">
        <v>104</v>
      </c>
      <c r="Y840" s="21" t="s">
        <v>104</v>
      </c>
      <c r="Z840" s="6" t="s">
        <v>104</v>
      </c>
      <c r="AA840" s="6" t="s">
        <v>104</v>
      </c>
      <c r="AB840" s="6" t="s">
        <v>104</v>
      </c>
      <c r="AC840" s="6" t="s">
        <v>9714</v>
      </c>
      <c r="AD840" s="16" t="n">
        <v>43250</v>
      </c>
      <c r="AE840" s="6" t="s">
        <v>11274</v>
      </c>
      <c r="AF840" s="6" t="s">
        <v>104</v>
      </c>
      <c r="AG840" s="6" t="s">
        <v>104</v>
      </c>
      <c r="AH840" s="6" t="s">
        <v>13915</v>
      </c>
      <c r="AI840" s="6" t="s">
        <v>104</v>
      </c>
      <c r="AJ840" s="6" t="s">
        <v>15912</v>
      </c>
      <c r="AK840" s="6" t="s">
        <v>16817</v>
      </c>
      <c r="AL840" s="6" t="s">
        <v>16958</v>
      </c>
      <c r="AM840" s="6" t="s">
        <v>17546</v>
      </c>
      <c r="AN840" s="6" t="s">
        <v>104</v>
      </c>
      <c r="AO840" s="6" t="s">
        <v>104</v>
      </c>
      <c r="AP840" s="6" t="s">
        <v>13915</v>
      </c>
      <c r="AQ840" s="6" t="s">
        <v>104</v>
      </c>
      <c r="AR840" s="6" t="s">
        <v>15912</v>
      </c>
      <c r="AS840" s="6" t="s">
        <v>16817</v>
      </c>
      <c r="AT840" s="6" t="s">
        <v>16958</v>
      </c>
      <c r="AU840" s="6" t="s">
        <v>17546</v>
      </c>
      <c r="AV840" s="6" t="s">
        <v>104</v>
      </c>
      <c r="AW840" s="6" t="s">
        <v>104</v>
      </c>
      <c r="AX840" s="6" t="s">
        <v>20775</v>
      </c>
      <c r="AY840" s="6" t="s">
        <v>22550</v>
      </c>
      <c r="AZ840" s="6" t="s">
        <v>104</v>
      </c>
      <c r="BA840" s="6" t="s">
        <v>24386</v>
      </c>
      <c r="BB840" s="6" t="s">
        <v>104</v>
      </c>
      <c r="BC840" s="26" t="s">
        <v>24533</v>
      </c>
      <c r="BD840" s="26"/>
      <c r="BE840" s="26"/>
      <c r="BF840" s="26"/>
      <c r="BG840" s="26"/>
      <c r="BH840" s="26"/>
      <c r="BI840" s="26"/>
      <c r="BJ840" s="26"/>
      <c r="BK840" s="26"/>
      <c r="BL840" s="26"/>
      <c r="BM840" s="26"/>
      <c r="BN840" s="26"/>
      <c r="BO840" s="26"/>
      <c r="BP840" s="16" t="n">
        <v>45490</v>
      </c>
      <c r="BQ840" s="28" t="str">
        <f>HYPERLINK("https://organic.ams.usda.gov/Integrity/Certificate.aspx?cid=70&amp;nopid=6431081735")</f>
        <v>https://organic.ams.usda.gov/Integrity/Certificate.aspx?cid=70&amp;nopid=6431081735</v>
      </c>
    </row>
    <row r="841">
      <c r="A841" t="s">
        <v>3</v>
      </c>
      <c r="B841" s="6" t="s">
        <v>21</v>
      </c>
      <c r="C841" s="6" t="s">
        <v>87</v>
      </c>
      <c r="D841" s="6" t="s">
        <v>152</v>
      </c>
      <c r="E841" s="10" t="s">
        <v>1039</v>
      </c>
      <c r="F841" s="6" t="s">
        <v>3283</v>
      </c>
      <c r="G841" s="6" t="s">
        <v>4756</v>
      </c>
      <c r="H841" s="6" t="s">
        <v>5660</v>
      </c>
      <c r="I841" s="6" t="s">
        <v>7466</v>
      </c>
      <c r="J841" s="6" t="s">
        <v>7808</v>
      </c>
      <c r="K841" s="6" t="s">
        <v>9714</v>
      </c>
      <c r="L841" s="16" t="n">
        <v>45553</v>
      </c>
      <c r="M841" s="16" t="n">
        <v>46023</v>
      </c>
      <c r="N841" s="6" t="s">
        <v>104</v>
      </c>
      <c r="O841" s="21" t="s">
        <v>104</v>
      </c>
      <c r="P841" s="6" t="s">
        <v>104</v>
      </c>
      <c r="Q841" s="6" t="s">
        <v>104</v>
      </c>
      <c r="R841" s="6" t="s">
        <v>104</v>
      </c>
      <c r="S841" s="6" t="s">
        <v>104</v>
      </c>
      <c r="T841" s="21" t="s">
        <v>104</v>
      </c>
      <c r="U841" s="6" t="s">
        <v>104</v>
      </c>
      <c r="V841" s="6" t="s">
        <v>104</v>
      </c>
      <c r="W841" s="6" t="s">
        <v>104</v>
      </c>
      <c r="X841" s="6" t="s">
        <v>104</v>
      </c>
      <c r="Y841" s="21" t="s">
        <v>104</v>
      </c>
      <c r="Z841" s="6" t="s">
        <v>104</v>
      </c>
      <c r="AA841" s="6" t="s">
        <v>104</v>
      </c>
      <c r="AB841" s="6" t="s">
        <v>104</v>
      </c>
      <c r="AC841" s="6" t="s">
        <v>9714</v>
      </c>
      <c r="AD841" s="16" t="n">
        <v>45553</v>
      </c>
      <c r="AE841" s="6" t="s">
        <v>11275</v>
      </c>
      <c r="AF841" s="6" t="s">
        <v>104</v>
      </c>
      <c r="AG841" s="6" t="s">
        <v>104</v>
      </c>
      <c r="AH841" s="6" t="s">
        <v>13916</v>
      </c>
      <c r="AI841" s="6" t="s">
        <v>104</v>
      </c>
      <c r="AJ841" s="6" t="s">
        <v>15913</v>
      </c>
      <c r="AK841" s="6" t="s">
        <v>16680</v>
      </c>
      <c r="AL841" s="6" t="s">
        <v>16931</v>
      </c>
      <c r="AM841" s="6" t="s">
        <v>17547</v>
      </c>
      <c r="AN841" s="6" t="s">
        <v>104</v>
      </c>
      <c r="AO841" s="6" t="s">
        <v>104</v>
      </c>
      <c r="AP841" s="6" t="s">
        <v>19163</v>
      </c>
      <c r="AQ841" s="6" t="s">
        <v>104</v>
      </c>
      <c r="AR841" s="6" t="s">
        <v>19674</v>
      </c>
      <c r="AS841" s="6" t="s">
        <v>16680</v>
      </c>
      <c r="AT841" s="6" t="s">
        <v>16931</v>
      </c>
      <c r="AU841" s="6" t="s">
        <v>19900</v>
      </c>
      <c r="AV841" s="6" t="s">
        <v>104</v>
      </c>
      <c r="AW841" s="6" t="s">
        <v>104</v>
      </c>
      <c r="AX841" s="6" t="s">
        <v>20776</v>
      </c>
      <c r="AY841" s="6" t="s">
        <v>22551</v>
      </c>
      <c r="AZ841" s="6" t="s">
        <v>23907</v>
      </c>
      <c r="BA841" s="6" t="s">
        <v>104</v>
      </c>
      <c r="BB841" s="6" t="s">
        <v>104</v>
      </c>
      <c r="BC841" s="26"/>
      <c r="BD841" s="26"/>
      <c r="BE841" s="26"/>
      <c r="BF841" s="26"/>
      <c r="BG841" s="26"/>
      <c r="BH841" s="26"/>
      <c r="BI841" s="26"/>
      <c r="BJ841" s="26"/>
      <c r="BK841" s="26"/>
      <c r="BL841" s="26"/>
      <c r="BM841" s="26"/>
      <c r="BN841" s="26"/>
      <c r="BO841" s="26"/>
      <c r="BP841" s="16" t="n">
        <v>45667</v>
      </c>
      <c r="BQ841" s="28" t="str">
        <f>HYPERLINK("https://organic.ams.usda.gov/Integrity/Certificate.aspx?cid=15&amp;nopid=5561008509")</f>
        <v>https://organic.ams.usda.gov/Integrity/Certificate.aspx?cid=15&amp;nopid=5561008509</v>
      </c>
    </row>
    <row r="842">
      <c r="A842" t="s">
        <v>3</v>
      </c>
      <c r="B842" s="6" t="s">
        <v>11</v>
      </c>
      <c r="C842" s="6" t="s">
        <v>77</v>
      </c>
      <c r="D842" s="6" t="s">
        <v>142</v>
      </c>
      <c r="E842" s="10" t="s">
        <v>1040</v>
      </c>
      <c r="F842" s="6" t="s">
        <v>3284</v>
      </c>
      <c r="G842" s="6" t="s">
        <v>104</v>
      </c>
      <c r="H842" s="6" t="s">
        <v>5661</v>
      </c>
      <c r="I842" s="6" t="s">
        <v>7467</v>
      </c>
      <c r="J842" s="6" t="s">
        <v>7211</v>
      </c>
      <c r="K842" s="6" t="s">
        <v>9714</v>
      </c>
      <c r="L842" s="16" t="n">
        <v>44725</v>
      </c>
      <c r="M842" s="16" t="n">
        <v>45774</v>
      </c>
      <c r="N842" s="6" t="s">
        <v>104</v>
      </c>
      <c r="O842" s="21" t="s">
        <v>104</v>
      </c>
      <c r="P842" s="6" t="s">
        <v>104</v>
      </c>
      <c r="Q842" s="6" t="s">
        <v>104</v>
      </c>
      <c r="R842" s="6" t="s">
        <v>104</v>
      </c>
      <c r="S842" s="6" t="s">
        <v>104</v>
      </c>
      <c r="T842" s="21" t="s">
        <v>104</v>
      </c>
      <c r="U842" s="6" t="s">
        <v>104</v>
      </c>
      <c r="V842" s="6" t="s">
        <v>104</v>
      </c>
      <c r="W842" s="6" t="s">
        <v>104</v>
      </c>
      <c r="X842" s="6" t="s">
        <v>104</v>
      </c>
      <c r="Y842" s="21" t="s">
        <v>104</v>
      </c>
      <c r="Z842" s="6" t="s">
        <v>104</v>
      </c>
      <c r="AA842" s="6" t="s">
        <v>104</v>
      </c>
      <c r="AB842" s="6" t="s">
        <v>104</v>
      </c>
      <c r="AC842" s="6" t="s">
        <v>9714</v>
      </c>
      <c r="AD842" s="16" t="n">
        <v>44725</v>
      </c>
      <c r="AE842" s="6" t="s">
        <v>11276</v>
      </c>
      <c r="AF842" s="6" t="s">
        <v>104</v>
      </c>
      <c r="AG842" s="6" t="s">
        <v>104</v>
      </c>
      <c r="AH842" s="6" t="s">
        <v>13917</v>
      </c>
      <c r="AI842" s="6" t="s">
        <v>104</v>
      </c>
      <c r="AJ842" s="6" t="s">
        <v>15914</v>
      </c>
      <c r="AK842" s="6" t="s">
        <v>16818</v>
      </c>
      <c r="AL842" s="6" t="s">
        <v>16969</v>
      </c>
      <c r="AM842" s="6" t="s">
        <v>17548</v>
      </c>
      <c r="AN842" s="6" t="s">
        <v>104</v>
      </c>
      <c r="AO842" s="6" t="s">
        <v>104</v>
      </c>
      <c r="AP842" s="6" t="s">
        <v>104</v>
      </c>
      <c r="AQ842" s="6" t="s">
        <v>104</v>
      </c>
      <c r="AR842" s="6" t="s">
        <v>104</v>
      </c>
      <c r="AS842" s="6" t="s">
        <v>104</v>
      </c>
      <c r="AT842" s="6" t="s">
        <v>104</v>
      </c>
      <c r="AU842" s="6" t="s">
        <v>104</v>
      </c>
      <c r="AV842" s="6" t="s">
        <v>104</v>
      </c>
      <c r="AW842" s="6" t="s">
        <v>104</v>
      </c>
      <c r="AX842" s="6" t="s">
        <v>104</v>
      </c>
      <c r="AY842" s="6" t="s">
        <v>22552</v>
      </c>
      <c r="AZ842" s="6" t="s">
        <v>104</v>
      </c>
      <c r="BA842" s="6" t="s">
        <v>104</v>
      </c>
      <c r="BB842" s="6" t="s">
        <v>104</v>
      </c>
      <c r="BC842" s="26"/>
      <c r="BD842" s="26"/>
      <c r="BE842" s="26"/>
      <c r="BF842" s="26"/>
      <c r="BG842" s="26"/>
      <c r="BH842" s="26"/>
      <c r="BI842" s="26"/>
      <c r="BJ842" s="26"/>
      <c r="BK842" s="26"/>
      <c r="BL842" s="26"/>
      <c r="BM842" s="26"/>
      <c r="BN842" s="26"/>
      <c r="BO842" s="26"/>
      <c r="BP842" s="16" t="n">
        <v>45429</v>
      </c>
      <c r="BQ842" s="28" t="str">
        <f>HYPERLINK("https://organic.ams.usda.gov/Integrity/Certificate.aspx?cid=21&amp;nopid=1780887860")</f>
        <v>https://organic.ams.usda.gov/Integrity/Certificate.aspx?cid=21&amp;nopid=1780887860</v>
      </c>
    </row>
    <row r="843">
      <c r="A843" t="s">
        <v>3</v>
      </c>
      <c r="B843" s="6" t="s">
        <v>47</v>
      </c>
      <c r="C843" s="6" t="s">
        <v>113</v>
      </c>
      <c r="D843" s="6" t="s">
        <v>177</v>
      </c>
      <c r="E843" s="10" t="s">
        <v>1041</v>
      </c>
      <c r="F843" s="6" t="s">
        <v>3285</v>
      </c>
      <c r="G843" s="6" t="s">
        <v>104</v>
      </c>
      <c r="H843" s="6" t="s">
        <v>5662</v>
      </c>
      <c r="I843" s="6" t="s">
        <v>6919</v>
      </c>
      <c r="J843" s="6" t="s">
        <v>8707</v>
      </c>
      <c r="K843" s="6" t="s">
        <v>9714</v>
      </c>
      <c r="L843" s="16" t="n">
        <v>37803</v>
      </c>
      <c r="M843" s="16" t="n">
        <v>45777</v>
      </c>
      <c r="N843" s="6" t="s">
        <v>104</v>
      </c>
      <c r="O843" s="21" t="s">
        <v>104</v>
      </c>
      <c r="P843" s="6" t="s">
        <v>104</v>
      </c>
      <c r="Q843" s="6" t="s">
        <v>104</v>
      </c>
      <c r="R843" s="6" t="s">
        <v>104</v>
      </c>
      <c r="S843" s="6" t="s">
        <v>104</v>
      </c>
      <c r="T843" s="21" t="s">
        <v>104</v>
      </c>
      <c r="U843" s="6" t="s">
        <v>104</v>
      </c>
      <c r="V843" s="6" t="s">
        <v>104</v>
      </c>
      <c r="W843" s="6" t="s">
        <v>104</v>
      </c>
      <c r="X843" s="6" t="s">
        <v>104</v>
      </c>
      <c r="Y843" s="21" t="s">
        <v>104</v>
      </c>
      <c r="Z843" s="6" t="s">
        <v>104</v>
      </c>
      <c r="AA843" s="6" t="s">
        <v>104</v>
      </c>
      <c r="AB843" s="6" t="s">
        <v>104</v>
      </c>
      <c r="AC843" s="6" t="s">
        <v>9714</v>
      </c>
      <c r="AD843" s="16" t="n">
        <v>37803</v>
      </c>
      <c r="AE843" s="6" t="s">
        <v>11277</v>
      </c>
      <c r="AF843" s="6" t="s">
        <v>104</v>
      </c>
      <c r="AG843" s="6" t="s">
        <v>12756</v>
      </c>
      <c r="AH843" s="6" t="s">
        <v>13918</v>
      </c>
      <c r="AI843" s="6" t="s">
        <v>104</v>
      </c>
      <c r="AJ843" s="6" t="s">
        <v>15915</v>
      </c>
      <c r="AK843" s="6" t="s">
        <v>16734</v>
      </c>
      <c r="AL843" s="6" t="s">
        <v>16931</v>
      </c>
      <c r="AM843" s="6" t="s">
        <v>17549</v>
      </c>
      <c r="AN843" s="6" t="s">
        <v>18466</v>
      </c>
      <c r="AO843" s="6" t="s">
        <v>18744</v>
      </c>
      <c r="AP843" s="6" t="s">
        <v>13918</v>
      </c>
      <c r="AQ843" s="6" t="s">
        <v>104</v>
      </c>
      <c r="AR843" s="6" t="s">
        <v>15915</v>
      </c>
      <c r="AS843" s="6" t="s">
        <v>16734</v>
      </c>
      <c r="AT843" s="6" t="s">
        <v>16931</v>
      </c>
      <c r="AU843" s="6" t="s">
        <v>17549</v>
      </c>
      <c r="AV843" s="6" t="s">
        <v>104</v>
      </c>
      <c r="AW843" s="6" t="s">
        <v>104</v>
      </c>
      <c r="AX843" s="6" t="s">
        <v>20777</v>
      </c>
      <c r="AY843" s="6" t="s">
        <v>22553</v>
      </c>
      <c r="AZ843" s="6" t="s">
        <v>23908</v>
      </c>
      <c r="BA843" s="6" t="s">
        <v>104</v>
      </c>
      <c r="BB843" s="24" t="n">
        <v>0</v>
      </c>
      <c r="BC843" s="26"/>
      <c r="BD843" s="26"/>
      <c r="BE843" s="26"/>
      <c r="BF843" s="26"/>
      <c r="BG843" s="26"/>
      <c r="BH843" s="26"/>
      <c r="BI843" s="26"/>
      <c r="BJ843" s="26"/>
      <c r="BK843" s="26"/>
      <c r="BL843" s="26"/>
      <c r="BM843" s="26"/>
      <c r="BN843" s="26"/>
      <c r="BO843" s="26"/>
      <c r="BP843" s="16" t="n">
        <v>45736</v>
      </c>
      <c r="BQ843" s="28" t="str">
        <f>HYPERLINK("https://organic.ams.usda.gov/Integrity/Certificate.aspx?cid=47&amp;nopid=7142071035")</f>
        <v>https://organic.ams.usda.gov/Integrity/Certificate.aspx?cid=47&amp;nopid=7142071035</v>
      </c>
    </row>
    <row r="844">
      <c r="A844" t="s">
        <v>3</v>
      </c>
      <c r="B844" s="6" t="s">
        <v>20</v>
      </c>
      <c r="C844" s="6" t="s">
        <v>86</v>
      </c>
      <c r="D844" s="6" t="s">
        <v>151</v>
      </c>
      <c r="E844" s="10" t="s">
        <v>1042</v>
      </c>
      <c r="F844" s="6" t="s">
        <v>3286</v>
      </c>
      <c r="G844" s="6" t="s">
        <v>104</v>
      </c>
      <c r="H844" s="6" t="s">
        <v>5663</v>
      </c>
      <c r="I844" s="6" t="s">
        <v>7468</v>
      </c>
      <c r="J844" s="6" t="s">
        <v>8769</v>
      </c>
      <c r="K844" s="6" t="s">
        <v>9714</v>
      </c>
      <c r="L844" s="16" t="n">
        <v>43763</v>
      </c>
      <c r="M844" s="16" t="n">
        <v>45930</v>
      </c>
      <c r="N844" s="6" t="s">
        <v>104</v>
      </c>
      <c r="O844" s="21" t="s">
        <v>104</v>
      </c>
      <c r="P844" s="6" t="s">
        <v>104</v>
      </c>
      <c r="Q844" s="6" t="s">
        <v>104</v>
      </c>
      <c r="R844" s="6" t="s">
        <v>104</v>
      </c>
      <c r="S844" s="6" t="s">
        <v>104</v>
      </c>
      <c r="T844" s="21" t="s">
        <v>104</v>
      </c>
      <c r="U844" s="6" t="s">
        <v>104</v>
      </c>
      <c r="V844" s="6" t="s">
        <v>104</v>
      </c>
      <c r="W844" s="6" t="s">
        <v>104</v>
      </c>
      <c r="X844" s="6" t="s">
        <v>104</v>
      </c>
      <c r="Y844" s="21" t="s">
        <v>104</v>
      </c>
      <c r="Z844" s="6" t="s">
        <v>104</v>
      </c>
      <c r="AA844" s="6" t="s">
        <v>104</v>
      </c>
      <c r="AB844" s="6" t="s">
        <v>104</v>
      </c>
      <c r="AC844" s="6" t="s">
        <v>9714</v>
      </c>
      <c r="AD844" s="16" t="n">
        <v>43763</v>
      </c>
      <c r="AE844" s="6" t="s">
        <v>11278</v>
      </c>
      <c r="AF844" s="6" t="s">
        <v>104</v>
      </c>
      <c r="AG844" s="6" t="s">
        <v>12757</v>
      </c>
      <c r="AH844" s="6" t="s">
        <v>13919</v>
      </c>
      <c r="AI844" s="6" t="s">
        <v>104</v>
      </c>
      <c r="AJ844" s="6" t="s">
        <v>15373</v>
      </c>
      <c r="AK844" s="6" t="s">
        <v>15373</v>
      </c>
      <c r="AL844" s="6" t="s">
        <v>16933</v>
      </c>
      <c r="AM844" s="6" t="s">
        <v>17550</v>
      </c>
      <c r="AN844" s="6" t="s">
        <v>104</v>
      </c>
      <c r="AO844" s="6" t="s">
        <v>104</v>
      </c>
      <c r="AP844" s="6" t="s">
        <v>104</v>
      </c>
      <c r="AQ844" s="6" t="s">
        <v>104</v>
      </c>
      <c r="AR844" s="6" t="s">
        <v>104</v>
      </c>
      <c r="AS844" s="6" t="s">
        <v>104</v>
      </c>
      <c r="AT844" s="6" t="s">
        <v>104</v>
      </c>
      <c r="AU844" s="6" t="s">
        <v>104</v>
      </c>
      <c r="AV844" s="6" t="s">
        <v>104</v>
      </c>
      <c r="AW844" s="6" t="s">
        <v>104</v>
      </c>
      <c r="AX844" s="6" t="s">
        <v>20778</v>
      </c>
      <c r="AY844" s="6" t="s">
        <v>22554</v>
      </c>
      <c r="AZ844" s="6" t="s">
        <v>104</v>
      </c>
      <c r="BA844" s="6" t="s">
        <v>24387</v>
      </c>
      <c r="BB844" s="6" t="s">
        <v>104</v>
      </c>
      <c r="BC844" s="26"/>
      <c r="BD844" s="26"/>
      <c r="BE844" s="26"/>
      <c r="BF844" s="26"/>
      <c r="BG844" s="26"/>
      <c r="BH844" s="26"/>
      <c r="BI844" s="26"/>
      <c r="BJ844" s="26"/>
      <c r="BK844" s="26"/>
      <c r="BL844" s="26"/>
      <c r="BM844" s="26"/>
      <c r="BN844" s="26"/>
      <c r="BO844" s="26"/>
      <c r="BP844" s="16" t="n">
        <v>45553</v>
      </c>
      <c r="BQ844" s="28" t="str">
        <f>HYPERLINK("https://organic.ams.usda.gov/Integrity/Certificate.aspx?cid=17&amp;nopid=4087186007")</f>
        <v>https://organic.ams.usda.gov/Integrity/Certificate.aspx?cid=17&amp;nopid=4087186007</v>
      </c>
    </row>
    <row r="845">
      <c r="A845" t="s">
        <v>3</v>
      </c>
      <c r="B845" s="6" t="s">
        <v>11</v>
      </c>
      <c r="C845" s="6" t="s">
        <v>77</v>
      </c>
      <c r="D845" s="6" t="s">
        <v>142</v>
      </c>
      <c r="E845" s="10" t="s">
        <v>1043</v>
      </c>
      <c r="F845" s="6" t="s">
        <v>3287</v>
      </c>
      <c r="G845" s="6" t="s">
        <v>104</v>
      </c>
      <c r="H845" s="6" t="s">
        <v>104</v>
      </c>
      <c r="I845" s="6" t="s">
        <v>7469</v>
      </c>
      <c r="J845" s="6" t="s">
        <v>8770</v>
      </c>
      <c r="K845" s="6" t="s">
        <v>9714</v>
      </c>
      <c r="L845" s="16" t="n">
        <v>45098</v>
      </c>
      <c r="M845" s="16" t="n">
        <v>45807</v>
      </c>
      <c r="N845" s="6" t="s">
        <v>104</v>
      </c>
      <c r="O845" s="21" t="s">
        <v>104</v>
      </c>
      <c r="P845" s="6" t="s">
        <v>104</v>
      </c>
      <c r="Q845" s="6" t="s">
        <v>104</v>
      </c>
      <c r="R845" s="6" t="s">
        <v>104</v>
      </c>
      <c r="S845" s="6" t="s">
        <v>104</v>
      </c>
      <c r="T845" s="21" t="s">
        <v>104</v>
      </c>
      <c r="U845" s="6" t="s">
        <v>104</v>
      </c>
      <c r="V845" s="6" t="s">
        <v>104</v>
      </c>
      <c r="W845" s="6" t="s">
        <v>104</v>
      </c>
      <c r="X845" s="6" t="s">
        <v>104</v>
      </c>
      <c r="Y845" s="21" t="s">
        <v>104</v>
      </c>
      <c r="Z845" s="6" t="s">
        <v>104</v>
      </c>
      <c r="AA845" s="6" t="s">
        <v>104</v>
      </c>
      <c r="AB845" s="6" t="s">
        <v>104</v>
      </c>
      <c r="AC845" s="6" t="s">
        <v>9714</v>
      </c>
      <c r="AD845" s="16" t="n">
        <v>45098</v>
      </c>
      <c r="AE845" s="6" t="s">
        <v>11279</v>
      </c>
      <c r="AF845" s="6" t="s">
        <v>104</v>
      </c>
      <c r="AG845" s="6" t="s">
        <v>104</v>
      </c>
      <c r="AH845" s="6" t="s">
        <v>13920</v>
      </c>
      <c r="AI845" s="6" t="s">
        <v>104</v>
      </c>
      <c r="AJ845" s="6" t="s">
        <v>15383</v>
      </c>
      <c r="AK845" s="6" t="s">
        <v>15383</v>
      </c>
      <c r="AL845" s="6" t="s">
        <v>16933</v>
      </c>
      <c r="AM845" s="6" t="s">
        <v>104</v>
      </c>
      <c r="AN845" s="6" t="s">
        <v>104</v>
      </c>
      <c r="AO845" s="6" t="s">
        <v>104</v>
      </c>
      <c r="AP845" s="6" t="s">
        <v>104</v>
      </c>
      <c r="AQ845" s="6" t="s">
        <v>104</v>
      </c>
      <c r="AR845" s="6" t="s">
        <v>104</v>
      </c>
      <c r="AS845" s="6" t="s">
        <v>104</v>
      </c>
      <c r="AT845" s="6" t="s">
        <v>104</v>
      </c>
      <c r="AU845" s="6" t="s">
        <v>104</v>
      </c>
      <c r="AV845" s="6" t="s">
        <v>104</v>
      </c>
      <c r="AW845" s="6" t="s">
        <v>104</v>
      </c>
      <c r="AX845" s="6" t="s">
        <v>20779</v>
      </c>
      <c r="AY845" s="6" t="s">
        <v>22555</v>
      </c>
      <c r="AZ845" s="6" t="s">
        <v>104</v>
      </c>
      <c r="BA845" s="6" t="s">
        <v>104</v>
      </c>
      <c r="BB845" s="6" t="s">
        <v>104</v>
      </c>
      <c r="BC845" s="26"/>
      <c r="BD845" s="26"/>
      <c r="BE845" s="26"/>
      <c r="BF845" s="26"/>
      <c r="BG845" s="26"/>
      <c r="BH845" s="26" t="s">
        <v>24533</v>
      </c>
      <c r="BI845" s="26"/>
      <c r="BJ845" s="26"/>
      <c r="BK845" s="26"/>
      <c r="BL845" s="26"/>
      <c r="BM845" s="26"/>
      <c r="BN845" s="26"/>
      <c r="BO845" s="26"/>
      <c r="BP845" s="16" t="n">
        <v>45498</v>
      </c>
      <c r="BQ845" s="28" t="str">
        <f>HYPERLINK("https://organic.ams.usda.gov/Integrity/Certificate.aspx?cid=21&amp;nopid=1780895771")</f>
        <v>https://organic.ams.usda.gov/Integrity/Certificate.aspx?cid=21&amp;nopid=1780895771</v>
      </c>
    </row>
    <row r="846">
      <c r="A846" t="s">
        <v>3</v>
      </c>
      <c r="B846" s="6" t="s">
        <v>18</v>
      </c>
      <c r="C846" s="6" t="s">
        <v>84</v>
      </c>
      <c r="D846" s="6" t="s">
        <v>149</v>
      </c>
      <c r="E846" s="10" t="s">
        <v>1044</v>
      </c>
      <c r="F846" s="6" t="s">
        <v>3288</v>
      </c>
      <c r="G846" s="6" t="s">
        <v>104</v>
      </c>
      <c r="H846" s="6" t="s">
        <v>5664</v>
      </c>
      <c r="I846" s="6" t="s">
        <v>7470</v>
      </c>
      <c r="J846" s="6" t="s">
        <v>8771</v>
      </c>
      <c r="K846" s="6" t="s">
        <v>9714</v>
      </c>
      <c r="L846" s="16" t="n">
        <v>40938</v>
      </c>
      <c r="M846" s="16" t="n">
        <v>45884</v>
      </c>
      <c r="N846" s="6" t="s">
        <v>104</v>
      </c>
      <c r="O846" s="21" t="s">
        <v>104</v>
      </c>
      <c r="P846" s="6" t="s">
        <v>104</v>
      </c>
      <c r="Q846" s="6" t="s">
        <v>104</v>
      </c>
      <c r="R846" s="6" t="s">
        <v>104</v>
      </c>
      <c r="S846" s="6" t="s">
        <v>104</v>
      </c>
      <c r="T846" s="21" t="s">
        <v>104</v>
      </c>
      <c r="U846" s="6" t="s">
        <v>104</v>
      </c>
      <c r="V846" s="6" t="s">
        <v>104</v>
      </c>
      <c r="W846" s="6" t="s">
        <v>104</v>
      </c>
      <c r="X846" s="6" t="s">
        <v>104</v>
      </c>
      <c r="Y846" s="21" t="s">
        <v>104</v>
      </c>
      <c r="Z846" s="6" t="s">
        <v>104</v>
      </c>
      <c r="AA846" s="6" t="s">
        <v>104</v>
      </c>
      <c r="AB846" s="6" t="s">
        <v>104</v>
      </c>
      <c r="AC846" s="6" t="s">
        <v>9714</v>
      </c>
      <c r="AD846" s="16" t="n">
        <v>40938</v>
      </c>
      <c r="AE846" s="6" t="s">
        <v>11280</v>
      </c>
      <c r="AF846" s="6" t="s">
        <v>104</v>
      </c>
      <c r="AG846" s="6" t="s">
        <v>12758</v>
      </c>
      <c r="AH846" s="6" t="s">
        <v>13921</v>
      </c>
      <c r="AI846" s="6" t="s">
        <v>104</v>
      </c>
      <c r="AJ846" s="6" t="s">
        <v>15916</v>
      </c>
      <c r="AK846" s="6" t="s">
        <v>16683</v>
      </c>
      <c r="AL846" s="6" t="s">
        <v>16931</v>
      </c>
      <c r="AM846" s="6" t="s">
        <v>17551</v>
      </c>
      <c r="AN846" s="6" t="s">
        <v>18484</v>
      </c>
      <c r="AO846" s="6" t="s">
        <v>18745</v>
      </c>
      <c r="AP846" s="6" t="s">
        <v>104</v>
      </c>
      <c r="AQ846" s="6" t="s">
        <v>104</v>
      </c>
      <c r="AR846" s="6" t="s">
        <v>104</v>
      </c>
      <c r="AS846" s="6" t="s">
        <v>104</v>
      </c>
      <c r="AT846" s="6" t="s">
        <v>104</v>
      </c>
      <c r="AU846" s="6" t="s">
        <v>104</v>
      </c>
      <c r="AV846" s="6" t="s">
        <v>104</v>
      </c>
      <c r="AW846" s="6" t="s">
        <v>104</v>
      </c>
      <c r="AX846" s="6" t="s">
        <v>20780</v>
      </c>
      <c r="AY846" s="6" t="s">
        <v>22556</v>
      </c>
      <c r="AZ846" s="6" t="s">
        <v>104</v>
      </c>
      <c r="BA846" s="6" t="s">
        <v>104</v>
      </c>
      <c r="BB846" s="6" t="s">
        <v>104</v>
      </c>
      <c r="BC846" s="26"/>
      <c r="BD846" s="26"/>
      <c r="BE846" s="26" t="s">
        <v>24533</v>
      </c>
      <c r="BF846" s="26"/>
      <c r="BG846" s="26"/>
      <c r="BH846" s="26"/>
      <c r="BI846" s="26"/>
      <c r="BJ846" s="26"/>
      <c r="BK846" s="26"/>
      <c r="BL846" s="26"/>
      <c r="BM846" s="26"/>
      <c r="BN846" s="26"/>
      <c r="BO846" s="26"/>
      <c r="BP846" s="16" t="n">
        <v>45737</v>
      </c>
      <c r="BQ846" s="28" t="str">
        <f>HYPERLINK("https://organic.ams.usda.gov/Integrity/Certificate.aspx?cid=31&amp;nopid=3928971084")</f>
        <v>https://organic.ams.usda.gov/Integrity/Certificate.aspx?cid=31&amp;nopid=3928971084</v>
      </c>
    </row>
    <row r="847">
      <c r="A847" t="s">
        <v>3</v>
      </c>
      <c r="B847" s="6" t="s">
        <v>32</v>
      </c>
      <c r="C847" s="6" t="s">
        <v>98</v>
      </c>
      <c r="D847" s="6" t="s">
        <v>163</v>
      </c>
      <c r="E847" s="10" t="s">
        <v>1045</v>
      </c>
      <c r="F847" s="6" t="s">
        <v>3289</v>
      </c>
      <c r="G847" s="6" t="s">
        <v>104</v>
      </c>
      <c r="H847" s="6" t="s">
        <v>5665</v>
      </c>
      <c r="I847" s="6" t="s">
        <v>7078</v>
      </c>
      <c r="J847" s="6" t="s">
        <v>8772</v>
      </c>
      <c r="K847" s="6" t="s">
        <v>9714</v>
      </c>
      <c r="L847" s="16" t="n">
        <v>42284</v>
      </c>
      <c r="M847" s="16" t="n">
        <v>45748</v>
      </c>
      <c r="N847" s="6" t="s">
        <v>104</v>
      </c>
      <c r="O847" s="21" t="s">
        <v>104</v>
      </c>
      <c r="P847" s="6" t="s">
        <v>104</v>
      </c>
      <c r="Q847" s="6" t="s">
        <v>104</v>
      </c>
      <c r="R847" s="6" t="s">
        <v>104</v>
      </c>
      <c r="S847" s="6" t="s">
        <v>104</v>
      </c>
      <c r="T847" s="21" t="s">
        <v>104</v>
      </c>
      <c r="U847" s="6" t="s">
        <v>104</v>
      </c>
      <c r="V847" s="6" t="s">
        <v>104</v>
      </c>
      <c r="W847" s="6" t="s">
        <v>104</v>
      </c>
      <c r="X847" s="6" t="s">
        <v>104</v>
      </c>
      <c r="Y847" s="21" t="s">
        <v>104</v>
      </c>
      <c r="Z847" s="6" t="s">
        <v>104</v>
      </c>
      <c r="AA847" s="6" t="s">
        <v>104</v>
      </c>
      <c r="AB847" s="6" t="s">
        <v>104</v>
      </c>
      <c r="AC847" s="6" t="s">
        <v>9714</v>
      </c>
      <c r="AD847" s="16" t="n">
        <v>42284</v>
      </c>
      <c r="AE847" s="6" t="s">
        <v>11281</v>
      </c>
      <c r="AF847" s="6" t="s">
        <v>104</v>
      </c>
      <c r="AG847" s="6" t="s">
        <v>104</v>
      </c>
      <c r="AH847" s="6" t="s">
        <v>13922</v>
      </c>
      <c r="AI847" s="6" t="s">
        <v>104</v>
      </c>
      <c r="AJ847" s="6" t="s">
        <v>15917</v>
      </c>
      <c r="AK847" s="6" t="s">
        <v>16710</v>
      </c>
      <c r="AL847" s="6" t="s">
        <v>16931</v>
      </c>
      <c r="AM847" s="6" t="s">
        <v>17552</v>
      </c>
      <c r="AN847" s="6" t="s">
        <v>18510</v>
      </c>
      <c r="AO847" s="6" t="s">
        <v>18746</v>
      </c>
      <c r="AP847" s="6" t="s">
        <v>104</v>
      </c>
      <c r="AQ847" s="6" t="s">
        <v>104</v>
      </c>
      <c r="AR847" s="6" t="s">
        <v>104</v>
      </c>
      <c r="AS847" s="6" t="s">
        <v>104</v>
      </c>
      <c r="AT847" s="6" t="s">
        <v>104</v>
      </c>
      <c r="AU847" s="6" t="s">
        <v>104</v>
      </c>
      <c r="AV847" s="6" t="s">
        <v>104</v>
      </c>
      <c r="AW847" s="6" t="s">
        <v>104</v>
      </c>
      <c r="AX847" s="6" t="s">
        <v>20781</v>
      </c>
      <c r="AY847" s="6" t="s">
        <v>22557</v>
      </c>
      <c r="AZ847" s="6" t="s">
        <v>23909</v>
      </c>
      <c r="BA847" s="6" t="s">
        <v>104</v>
      </c>
      <c r="BB847" s="6" t="s">
        <v>104</v>
      </c>
      <c r="BC847" s="26"/>
      <c r="BD847" s="26"/>
      <c r="BE847" s="26"/>
      <c r="BF847" s="26"/>
      <c r="BG847" s="26"/>
      <c r="BH847" s="26"/>
      <c r="BI847" s="26"/>
      <c r="BJ847" s="26"/>
      <c r="BK847" s="26"/>
      <c r="BL847" s="26"/>
      <c r="BM847" s="26"/>
      <c r="BN847" s="26"/>
      <c r="BO847" s="26"/>
      <c r="BP847" s="16" t="n">
        <v>45645</v>
      </c>
      <c r="BQ847" s="28" t="str">
        <f>HYPERLINK("https://organic.ams.usda.gov/Integrity/Certificate.aspx?cid=64&amp;nopid=8830000433")</f>
        <v>https://organic.ams.usda.gov/Integrity/Certificate.aspx?cid=64&amp;nopid=8830000433</v>
      </c>
    </row>
    <row r="848">
      <c r="A848" t="s">
        <v>3</v>
      </c>
      <c r="B848" s="6" t="s">
        <v>54</v>
      </c>
      <c r="C848" s="6" t="s">
        <v>120</v>
      </c>
      <c r="D848" s="6" t="s">
        <v>184</v>
      </c>
      <c r="E848" s="10" t="s">
        <v>1046</v>
      </c>
      <c r="F848" s="6" t="s">
        <v>3290</v>
      </c>
      <c r="G848" s="6" t="s">
        <v>104</v>
      </c>
      <c r="H848" s="6" t="s">
        <v>5666</v>
      </c>
      <c r="I848" s="6" t="s">
        <v>7471</v>
      </c>
      <c r="J848" s="6" t="s">
        <v>8773</v>
      </c>
      <c r="K848" s="6" t="s">
        <v>9714</v>
      </c>
      <c r="L848" s="16" t="n">
        <v>45155</v>
      </c>
      <c r="M848" s="16" t="n">
        <v>45717</v>
      </c>
      <c r="N848" s="6" t="s">
        <v>9714</v>
      </c>
      <c r="O848" s="16" t="n">
        <v>45155</v>
      </c>
      <c r="P848" s="6" t="s">
        <v>9949</v>
      </c>
      <c r="Q848" s="6" t="s">
        <v>104</v>
      </c>
      <c r="R848" s="6" t="s">
        <v>104</v>
      </c>
      <c r="S848" s="6" t="s">
        <v>104</v>
      </c>
      <c r="T848" s="21" t="s">
        <v>104</v>
      </c>
      <c r="U848" s="6" t="s">
        <v>104</v>
      </c>
      <c r="V848" s="6" t="s">
        <v>104</v>
      </c>
      <c r="W848" s="6" t="s">
        <v>104</v>
      </c>
      <c r="X848" s="6" t="s">
        <v>104</v>
      </c>
      <c r="Y848" s="21" t="s">
        <v>104</v>
      </c>
      <c r="Z848" s="6" t="s">
        <v>104</v>
      </c>
      <c r="AA848" s="6" t="s">
        <v>104</v>
      </c>
      <c r="AB848" s="6" t="s">
        <v>104</v>
      </c>
      <c r="AC848" s="6" t="s">
        <v>104</v>
      </c>
      <c r="AD848" s="21" t="s">
        <v>104</v>
      </c>
      <c r="AE848" s="6" t="s">
        <v>104</v>
      </c>
      <c r="AF848" s="6" t="s">
        <v>104</v>
      </c>
      <c r="AG848" s="6" t="s">
        <v>104</v>
      </c>
      <c r="AH848" s="6" t="s">
        <v>13923</v>
      </c>
      <c r="AI848" s="6" t="s">
        <v>104</v>
      </c>
      <c r="AJ848" s="6" t="s">
        <v>15840</v>
      </c>
      <c r="AK848" s="6" t="s">
        <v>16743</v>
      </c>
      <c r="AL848" s="6" t="s">
        <v>16931</v>
      </c>
      <c r="AM848" s="6" t="s">
        <v>17553</v>
      </c>
      <c r="AN848" s="6" t="s">
        <v>18530</v>
      </c>
      <c r="AO848" s="6" t="s">
        <v>18603</v>
      </c>
      <c r="AP848" s="6" t="s">
        <v>104</v>
      </c>
      <c r="AQ848" s="6" t="s">
        <v>104</v>
      </c>
      <c r="AR848" s="6" t="s">
        <v>104</v>
      </c>
      <c r="AS848" s="6" t="s">
        <v>104</v>
      </c>
      <c r="AT848" s="6" t="s">
        <v>104</v>
      </c>
      <c r="AU848" s="6" t="s">
        <v>104</v>
      </c>
      <c r="AV848" s="6" t="s">
        <v>104</v>
      </c>
      <c r="AW848" s="6" t="s">
        <v>104</v>
      </c>
      <c r="AX848" s="6" t="s">
        <v>20782</v>
      </c>
      <c r="AY848" s="6" t="s">
        <v>22558</v>
      </c>
      <c r="AZ848" s="6" t="s">
        <v>104</v>
      </c>
      <c r="BA848" s="6" t="s">
        <v>24267</v>
      </c>
      <c r="BB848" s="24" t="n">
        <v>110</v>
      </c>
      <c r="BC848" s="26"/>
      <c r="BD848" s="26"/>
      <c r="BE848" s="26"/>
      <c r="BF848" s="26"/>
      <c r="BG848" s="26"/>
      <c r="BH848" s="26"/>
      <c r="BI848" s="26"/>
      <c r="BJ848" s="26"/>
      <c r="BK848" s="26"/>
      <c r="BL848" s="26"/>
      <c r="BM848" s="26"/>
      <c r="BN848" s="26"/>
      <c r="BO848" s="26"/>
      <c r="BP848" s="16" t="n">
        <v>45715</v>
      </c>
      <c r="BQ848" s="28" t="str">
        <f>HYPERLINK("https://organic.ams.usda.gov/Integrity/Certificate.aspx?cid=60&amp;nopid=2580006344")</f>
        <v>https://organic.ams.usda.gov/Integrity/Certificate.aspx?cid=60&amp;nopid=2580006344</v>
      </c>
    </row>
    <row r="849">
      <c r="A849" t="s">
        <v>3</v>
      </c>
      <c r="B849" s="6" t="s">
        <v>32</v>
      </c>
      <c r="C849" s="6" t="s">
        <v>98</v>
      </c>
      <c r="D849" s="6" t="s">
        <v>163</v>
      </c>
      <c r="E849" s="10" t="s">
        <v>1047</v>
      </c>
      <c r="F849" s="6" t="s">
        <v>3291</v>
      </c>
      <c r="G849" s="6" t="s">
        <v>104</v>
      </c>
      <c r="H849" s="6" t="s">
        <v>5667</v>
      </c>
      <c r="I849" s="6" t="s">
        <v>7003</v>
      </c>
      <c r="J849" s="6" t="s">
        <v>8774</v>
      </c>
      <c r="K849" s="6" t="s">
        <v>9714</v>
      </c>
      <c r="L849" s="16" t="n">
        <v>44495</v>
      </c>
      <c r="M849" s="16" t="n">
        <v>45717</v>
      </c>
      <c r="N849" s="6" t="s">
        <v>9714</v>
      </c>
      <c r="O849" s="16" t="n">
        <v>44495</v>
      </c>
      <c r="P849" s="6" t="s">
        <v>9950</v>
      </c>
      <c r="Q849" s="6" t="s">
        <v>104</v>
      </c>
      <c r="R849" s="6" t="s">
        <v>104</v>
      </c>
      <c r="S849" s="6" t="s">
        <v>104</v>
      </c>
      <c r="T849" s="21" t="s">
        <v>104</v>
      </c>
      <c r="U849" s="6" t="s">
        <v>104</v>
      </c>
      <c r="V849" s="6" t="s">
        <v>104</v>
      </c>
      <c r="W849" s="6" t="s">
        <v>104</v>
      </c>
      <c r="X849" s="6" t="s">
        <v>104</v>
      </c>
      <c r="Y849" s="21" t="s">
        <v>104</v>
      </c>
      <c r="Z849" s="6" t="s">
        <v>104</v>
      </c>
      <c r="AA849" s="6" t="s">
        <v>104</v>
      </c>
      <c r="AB849" s="6" t="s">
        <v>104</v>
      </c>
      <c r="AC849" s="6" t="s">
        <v>9714</v>
      </c>
      <c r="AD849" s="16" t="n">
        <v>44495</v>
      </c>
      <c r="AE849" s="6" t="s">
        <v>11282</v>
      </c>
      <c r="AF849" s="6" t="s">
        <v>104</v>
      </c>
      <c r="AG849" s="6" t="s">
        <v>104</v>
      </c>
      <c r="AH849" s="6" t="s">
        <v>13924</v>
      </c>
      <c r="AI849" s="6" t="s">
        <v>104</v>
      </c>
      <c r="AJ849" s="6" t="s">
        <v>15918</v>
      </c>
      <c r="AK849" s="6" t="s">
        <v>16681</v>
      </c>
      <c r="AL849" s="6" t="s">
        <v>16931</v>
      </c>
      <c r="AM849" s="6" t="s">
        <v>17554</v>
      </c>
      <c r="AN849" s="6" t="s">
        <v>18464</v>
      </c>
      <c r="AO849" s="6" t="s">
        <v>18747</v>
      </c>
      <c r="AP849" s="6" t="s">
        <v>104</v>
      </c>
      <c r="AQ849" s="6" t="s">
        <v>104</v>
      </c>
      <c r="AR849" s="6" t="s">
        <v>104</v>
      </c>
      <c r="AS849" s="6" t="s">
        <v>104</v>
      </c>
      <c r="AT849" s="6" t="s">
        <v>104</v>
      </c>
      <c r="AU849" s="6" t="s">
        <v>104</v>
      </c>
      <c r="AV849" s="6" t="s">
        <v>104</v>
      </c>
      <c r="AW849" s="6" t="s">
        <v>104</v>
      </c>
      <c r="AX849" s="6" t="s">
        <v>20783</v>
      </c>
      <c r="AY849" s="6" t="s">
        <v>22559</v>
      </c>
      <c r="AZ849" s="6" t="s">
        <v>23910</v>
      </c>
      <c r="BA849" s="6" t="s">
        <v>104</v>
      </c>
      <c r="BB849" s="24" t="n">
        <v>128</v>
      </c>
      <c r="BC849" s="26"/>
      <c r="BD849" s="26"/>
      <c r="BE849" s="26"/>
      <c r="BF849" s="26"/>
      <c r="BG849" s="26"/>
      <c r="BH849" s="26"/>
      <c r="BI849" s="26"/>
      <c r="BJ849" s="26"/>
      <c r="BK849" s="26"/>
      <c r="BL849" s="26"/>
      <c r="BM849" s="26"/>
      <c r="BN849" s="26"/>
      <c r="BO849" s="26"/>
      <c r="BP849" s="16" t="n">
        <v>45587</v>
      </c>
      <c r="BQ849" s="28" t="str">
        <f>HYPERLINK("https://organic.ams.usda.gov/Integrity/Certificate.aspx?cid=64&amp;nopid=8830001385")</f>
        <v>https://organic.ams.usda.gov/Integrity/Certificate.aspx?cid=64&amp;nopid=8830001385</v>
      </c>
    </row>
    <row r="850">
      <c r="A850" t="s">
        <v>3</v>
      </c>
      <c r="B850" s="6" t="s">
        <v>37</v>
      </c>
      <c r="C850" s="6" t="s">
        <v>103</v>
      </c>
      <c r="D850" s="6" t="s">
        <v>168</v>
      </c>
      <c r="E850" s="10" t="s">
        <v>1048</v>
      </c>
      <c r="F850" s="6" t="s">
        <v>3292</v>
      </c>
      <c r="G850" s="6" t="s">
        <v>104</v>
      </c>
      <c r="H850" s="6" t="s">
        <v>5668</v>
      </c>
      <c r="I850" s="6" t="s">
        <v>7472</v>
      </c>
      <c r="J850" s="6" t="s">
        <v>8232</v>
      </c>
      <c r="K850" s="6" t="s">
        <v>9714</v>
      </c>
      <c r="L850" s="16" t="n">
        <v>44446</v>
      </c>
      <c r="M850" s="16" t="n">
        <v>45748</v>
      </c>
      <c r="N850" s="6" t="s">
        <v>104</v>
      </c>
      <c r="O850" s="21" t="s">
        <v>104</v>
      </c>
      <c r="P850" s="6" t="s">
        <v>104</v>
      </c>
      <c r="Q850" s="6" t="s">
        <v>104</v>
      </c>
      <c r="R850" s="6" t="s">
        <v>104</v>
      </c>
      <c r="S850" s="6" t="s">
        <v>104</v>
      </c>
      <c r="T850" s="21" t="s">
        <v>104</v>
      </c>
      <c r="U850" s="6" t="s">
        <v>104</v>
      </c>
      <c r="V850" s="6" t="s">
        <v>104</v>
      </c>
      <c r="W850" s="6" t="s">
        <v>104</v>
      </c>
      <c r="X850" s="6" t="s">
        <v>104</v>
      </c>
      <c r="Y850" s="21" t="s">
        <v>104</v>
      </c>
      <c r="Z850" s="6" t="s">
        <v>104</v>
      </c>
      <c r="AA850" s="6" t="s">
        <v>104</v>
      </c>
      <c r="AB850" s="6" t="s">
        <v>104</v>
      </c>
      <c r="AC850" s="6" t="s">
        <v>9714</v>
      </c>
      <c r="AD850" s="16" t="n">
        <v>44446</v>
      </c>
      <c r="AE850" s="6" t="s">
        <v>11283</v>
      </c>
      <c r="AF850" s="6" t="s">
        <v>104</v>
      </c>
      <c r="AG850" s="6" t="s">
        <v>12759</v>
      </c>
      <c r="AH850" s="6" t="s">
        <v>13925</v>
      </c>
      <c r="AI850" s="6" t="s">
        <v>104</v>
      </c>
      <c r="AJ850" s="6" t="s">
        <v>15919</v>
      </c>
      <c r="AK850" s="6" t="s">
        <v>16738</v>
      </c>
      <c r="AL850" s="6" t="s">
        <v>16931</v>
      </c>
      <c r="AM850" s="6" t="s">
        <v>17555</v>
      </c>
      <c r="AN850" s="6" t="s">
        <v>18457</v>
      </c>
      <c r="AO850" s="6" t="s">
        <v>18748</v>
      </c>
      <c r="AP850" s="6" t="s">
        <v>19164</v>
      </c>
      <c r="AQ850" s="6" t="s">
        <v>104</v>
      </c>
      <c r="AR850" s="6" t="s">
        <v>19675</v>
      </c>
      <c r="AS850" s="6" t="s">
        <v>16738</v>
      </c>
      <c r="AT850" s="6" t="s">
        <v>16931</v>
      </c>
      <c r="AU850" s="6" t="s">
        <v>19901</v>
      </c>
      <c r="AV850" s="6" t="s">
        <v>104</v>
      </c>
      <c r="AW850" s="6" t="s">
        <v>104</v>
      </c>
      <c r="AX850" s="6" t="s">
        <v>20784</v>
      </c>
      <c r="AY850" s="6" t="s">
        <v>22560</v>
      </c>
      <c r="AZ850" s="6" t="s">
        <v>104</v>
      </c>
      <c r="BA850" s="6" t="s">
        <v>104</v>
      </c>
      <c r="BB850" s="6" t="s">
        <v>104</v>
      </c>
      <c r="BC850" s="26"/>
      <c r="BD850" s="26"/>
      <c r="BE850" s="26"/>
      <c r="BF850" s="26"/>
      <c r="BG850" s="26"/>
      <c r="BH850" s="26"/>
      <c r="BI850" s="26"/>
      <c r="BJ850" s="26"/>
      <c r="BK850" s="26"/>
      <c r="BL850" s="26"/>
      <c r="BM850" s="26"/>
      <c r="BN850" s="26"/>
      <c r="BO850" s="26"/>
      <c r="BP850" s="16" t="n">
        <v>45730</v>
      </c>
      <c r="BQ850" s="28" t="str">
        <f>HYPERLINK("https://organic.ams.usda.gov/Integrity/Certificate.aspx?cid=90&amp;nopid=7170210384")</f>
        <v>https://organic.ams.usda.gov/Integrity/Certificate.aspx?cid=90&amp;nopid=7170210384</v>
      </c>
    </row>
    <row r="851">
      <c r="A851" t="s">
        <v>3</v>
      </c>
      <c r="B851" s="6" t="s">
        <v>54</v>
      </c>
      <c r="C851" s="6" t="s">
        <v>120</v>
      </c>
      <c r="D851" s="6" t="s">
        <v>184</v>
      </c>
      <c r="E851" s="10" t="s">
        <v>1049</v>
      </c>
      <c r="F851" s="6" t="s">
        <v>3293</v>
      </c>
      <c r="G851" s="6" t="s">
        <v>104</v>
      </c>
      <c r="H851" s="6" t="s">
        <v>5669</v>
      </c>
      <c r="I851" s="6" t="s">
        <v>7473</v>
      </c>
      <c r="J851" s="6" t="s">
        <v>8775</v>
      </c>
      <c r="K851" s="6" t="s">
        <v>9714</v>
      </c>
      <c r="L851" s="16" t="n">
        <v>43269</v>
      </c>
      <c r="M851" s="16" t="n">
        <v>45717</v>
      </c>
      <c r="N851" s="6" t="s">
        <v>9714</v>
      </c>
      <c r="O851" s="16" t="n">
        <v>43269</v>
      </c>
      <c r="P851" s="6" t="s">
        <v>9951</v>
      </c>
      <c r="Q851" s="6" t="s">
        <v>104</v>
      </c>
      <c r="R851" s="6" t="s">
        <v>104</v>
      </c>
      <c r="S851" s="6" t="s">
        <v>104</v>
      </c>
      <c r="T851" s="21" t="s">
        <v>104</v>
      </c>
      <c r="U851" s="6" t="s">
        <v>104</v>
      </c>
      <c r="V851" s="6" t="s">
        <v>104</v>
      </c>
      <c r="W851" s="6" t="s">
        <v>104</v>
      </c>
      <c r="X851" s="6" t="s">
        <v>104</v>
      </c>
      <c r="Y851" s="21" t="s">
        <v>104</v>
      </c>
      <c r="Z851" s="6" t="s">
        <v>104</v>
      </c>
      <c r="AA851" s="6" t="s">
        <v>104</v>
      </c>
      <c r="AB851" s="6" t="s">
        <v>104</v>
      </c>
      <c r="AC851" s="6" t="s">
        <v>104</v>
      </c>
      <c r="AD851" s="21" t="s">
        <v>104</v>
      </c>
      <c r="AE851" s="6" t="s">
        <v>104</v>
      </c>
      <c r="AF851" s="6" t="s">
        <v>104</v>
      </c>
      <c r="AG851" s="6" t="s">
        <v>104</v>
      </c>
      <c r="AH851" s="6" t="s">
        <v>13926</v>
      </c>
      <c r="AI851" s="6" t="s">
        <v>104</v>
      </c>
      <c r="AJ851" s="6" t="s">
        <v>15920</v>
      </c>
      <c r="AK851" s="6" t="s">
        <v>16730</v>
      </c>
      <c r="AL851" s="6" t="s">
        <v>16931</v>
      </c>
      <c r="AM851" s="6" t="s">
        <v>17556</v>
      </c>
      <c r="AN851" s="6" t="s">
        <v>18465</v>
      </c>
      <c r="AO851" s="6" t="s">
        <v>18749</v>
      </c>
      <c r="AP851" s="6" t="s">
        <v>19165</v>
      </c>
      <c r="AQ851" s="6" t="s">
        <v>104</v>
      </c>
      <c r="AR851" s="6" t="s">
        <v>19676</v>
      </c>
      <c r="AS851" s="6" t="s">
        <v>16730</v>
      </c>
      <c r="AT851" s="6" t="s">
        <v>16931</v>
      </c>
      <c r="AU851" s="6" t="s">
        <v>19902</v>
      </c>
      <c r="AV851" s="6" t="s">
        <v>104</v>
      </c>
      <c r="AW851" s="6" t="s">
        <v>104</v>
      </c>
      <c r="AX851" s="6" t="s">
        <v>20785</v>
      </c>
      <c r="AY851" s="6" t="s">
        <v>22561</v>
      </c>
      <c r="AZ851" s="6" t="s">
        <v>104</v>
      </c>
      <c r="BA851" s="6" t="s">
        <v>24267</v>
      </c>
      <c r="BB851" s="24" t="n">
        <v>155</v>
      </c>
      <c r="BC851" s="26"/>
      <c r="BD851" s="26"/>
      <c r="BE851" s="26"/>
      <c r="BF851" s="26"/>
      <c r="BG851" s="26"/>
      <c r="BH851" s="26"/>
      <c r="BI851" s="26"/>
      <c r="BJ851" s="26"/>
      <c r="BK851" s="26"/>
      <c r="BL851" s="26"/>
      <c r="BM851" s="26"/>
      <c r="BN851" s="26"/>
      <c r="BO851" s="26"/>
      <c r="BP851" s="16" t="n">
        <v>45657</v>
      </c>
      <c r="BQ851" s="28" t="str">
        <f>HYPERLINK("https://organic.ams.usda.gov/Integrity/Certificate.aspx?cid=60&amp;nopid=2580002460")</f>
        <v>https://organic.ams.usda.gov/Integrity/Certificate.aspx?cid=60&amp;nopid=2580002460</v>
      </c>
    </row>
    <row r="852">
      <c r="A852" t="s">
        <v>3</v>
      </c>
      <c r="B852" s="6" t="s">
        <v>34</v>
      </c>
      <c r="C852" s="6" t="s">
        <v>100</v>
      </c>
      <c r="D852" s="6" t="s">
        <v>165</v>
      </c>
      <c r="E852" s="10" t="s">
        <v>1050</v>
      </c>
      <c r="F852" s="6" t="s">
        <v>3294</v>
      </c>
      <c r="G852" s="6" t="s">
        <v>104</v>
      </c>
      <c r="H852" s="6" t="s">
        <v>5670</v>
      </c>
      <c r="I852" s="6" t="s">
        <v>7474</v>
      </c>
      <c r="J852" s="6" t="s">
        <v>8776</v>
      </c>
      <c r="K852" s="6" t="s">
        <v>9714</v>
      </c>
      <c r="L852" s="16" t="n">
        <v>37375</v>
      </c>
      <c r="M852" s="16" t="n">
        <v>45708</v>
      </c>
      <c r="N852" s="6" t="s">
        <v>104</v>
      </c>
      <c r="O852" s="21" t="s">
        <v>104</v>
      </c>
      <c r="P852" s="6" t="s">
        <v>104</v>
      </c>
      <c r="Q852" s="6" t="s">
        <v>104</v>
      </c>
      <c r="R852" s="6" t="s">
        <v>104</v>
      </c>
      <c r="S852" s="6" t="s">
        <v>104</v>
      </c>
      <c r="T852" s="21" t="s">
        <v>104</v>
      </c>
      <c r="U852" s="6" t="s">
        <v>104</v>
      </c>
      <c r="V852" s="6" t="s">
        <v>104</v>
      </c>
      <c r="W852" s="6" t="s">
        <v>104</v>
      </c>
      <c r="X852" s="6" t="s">
        <v>104</v>
      </c>
      <c r="Y852" s="21" t="s">
        <v>104</v>
      </c>
      <c r="Z852" s="6" t="s">
        <v>104</v>
      </c>
      <c r="AA852" s="6" t="s">
        <v>104</v>
      </c>
      <c r="AB852" s="6" t="s">
        <v>104</v>
      </c>
      <c r="AC852" s="6" t="s">
        <v>9714</v>
      </c>
      <c r="AD852" s="16" t="n">
        <v>37375</v>
      </c>
      <c r="AE852" s="6" t="s">
        <v>11284</v>
      </c>
      <c r="AF852" s="6" t="s">
        <v>104</v>
      </c>
      <c r="AG852" s="6" t="s">
        <v>12760</v>
      </c>
      <c r="AH852" s="6" t="s">
        <v>13927</v>
      </c>
      <c r="AI852" s="6" t="s">
        <v>104</v>
      </c>
      <c r="AJ852" s="6" t="s">
        <v>15921</v>
      </c>
      <c r="AK852" s="6" t="s">
        <v>16714</v>
      </c>
      <c r="AL852" s="6" t="s">
        <v>16931</v>
      </c>
      <c r="AM852" s="6" t="s">
        <v>17557</v>
      </c>
      <c r="AN852" s="6" t="s">
        <v>18456</v>
      </c>
      <c r="AO852" s="6" t="s">
        <v>18750</v>
      </c>
      <c r="AP852" s="6" t="s">
        <v>19166</v>
      </c>
      <c r="AQ852" s="6" t="s">
        <v>104</v>
      </c>
      <c r="AR852" s="6" t="s">
        <v>19677</v>
      </c>
      <c r="AS852" s="6" t="s">
        <v>16714</v>
      </c>
      <c r="AT852" s="6" t="s">
        <v>16931</v>
      </c>
      <c r="AU852" s="6" t="s">
        <v>19903</v>
      </c>
      <c r="AV852" s="6" t="s">
        <v>104</v>
      </c>
      <c r="AW852" s="6" t="s">
        <v>104</v>
      </c>
      <c r="AX852" s="6" t="s">
        <v>20786</v>
      </c>
      <c r="AY852" s="6" t="s">
        <v>22562</v>
      </c>
      <c r="AZ852" s="6" t="s">
        <v>104</v>
      </c>
      <c r="BA852" s="6" t="s">
        <v>104</v>
      </c>
      <c r="BB852" s="6" t="s">
        <v>104</v>
      </c>
      <c r="BC852" s="26"/>
      <c r="BD852" s="26"/>
      <c r="BE852" s="26" t="s">
        <v>24533</v>
      </c>
      <c r="BF852" s="26"/>
      <c r="BG852" s="26"/>
      <c r="BH852" s="26"/>
      <c r="BI852" s="26"/>
      <c r="BJ852" s="26"/>
      <c r="BK852" s="26"/>
      <c r="BL852" s="26"/>
      <c r="BM852" s="26"/>
      <c r="BN852" s="26"/>
      <c r="BO852" s="26"/>
      <c r="BP852" s="16" t="n">
        <v>45737</v>
      </c>
      <c r="BQ852" s="28" t="str">
        <f>HYPERLINK("https://organic.ams.usda.gov/Integrity/Certificate.aspx?cid=71&amp;nopid=5520030628")</f>
        <v>https://organic.ams.usda.gov/Integrity/Certificate.aspx?cid=71&amp;nopid=5520030628</v>
      </c>
    </row>
    <row r="853">
      <c r="A853" t="s">
        <v>3</v>
      </c>
      <c r="B853" s="6" t="s">
        <v>45</v>
      </c>
      <c r="C853" s="6" t="s">
        <v>111</v>
      </c>
      <c r="D853" s="6" t="s">
        <v>175</v>
      </c>
      <c r="E853" s="10" t="s">
        <v>1051</v>
      </c>
      <c r="F853" s="6" t="s">
        <v>3295</v>
      </c>
      <c r="G853" s="6" t="s">
        <v>104</v>
      </c>
      <c r="H853" s="6" t="s">
        <v>5671</v>
      </c>
      <c r="I853" s="6" t="s">
        <v>7144</v>
      </c>
      <c r="J853" s="6" t="s">
        <v>8777</v>
      </c>
      <c r="K853" s="6" t="s">
        <v>9714</v>
      </c>
      <c r="L853" s="16" t="n">
        <v>38721</v>
      </c>
      <c r="M853" s="16" t="n">
        <v>46082</v>
      </c>
      <c r="N853" s="6" t="s">
        <v>104</v>
      </c>
      <c r="O853" s="21" t="s">
        <v>104</v>
      </c>
      <c r="P853" s="6" t="s">
        <v>104</v>
      </c>
      <c r="Q853" s="6" t="s">
        <v>104</v>
      </c>
      <c r="R853" s="6" t="s">
        <v>104</v>
      </c>
      <c r="S853" s="6" t="s">
        <v>104</v>
      </c>
      <c r="T853" s="21" t="s">
        <v>104</v>
      </c>
      <c r="U853" s="6" t="s">
        <v>104</v>
      </c>
      <c r="V853" s="6" t="s">
        <v>104</v>
      </c>
      <c r="W853" s="6" t="s">
        <v>104</v>
      </c>
      <c r="X853" s="6" t="s">
        <v>104</v>
      </c>
      <c r="Y853" s="21" t="s">
        <v>104</v>
      </c>
      <c r="Z853" s="6" t="s">
        <v>104</v>
      </c>
      <c r="AA853" s="6" t="s">
        <v>104</v>
      </c>
      <c r="AB853" s="6" t="s">
        <v>104</v>
      </c>
      <c r="AC853" s="6" t="s">
        <v>9714</v>
      </c>
      <c r="AD853" s="16" t="n">
        <v>38721</v>
      </c>
      <c r="AE853" s="6" t="s">
        <v>11285</v>
      </c>
      <c r="AF853" s="6" t="s">
        <v>104</v>
      </c>
      <c r="AG853" s="6" t="s">
        <v>4667</v>
      </c>
      <c r="AH853" s="6" t="s">
        <v>13928</v>
      </c>
      <c r="AI853" s="6" t="s">
        <v>104</v>
      </c>
      <c r="AJ853" s="6" t="s">
        <v>15922</v>
      </c>
      <c r="AK853" s="6" t="s">
        <v>16382</v>
      </c>
      <c r="AL853" s="6" t="s">
        <v>16931</v>
      </c>
      <c r="AM853" s="6" t="s">
        <v>17558</v>
      </c>
      <c r="AN853" s="6" t="s">
        <v>104</v>
      </c>
      <c r="AO853" s="6" t="s">
        <v>104</v>
      </c>
      <c r="AP853" s="6" t="s">
        <v>19167</v>
      </c>
      <c r="AQ853" s="6" t="s">
        <v>104</v>
      </c>
      <c r="AR853" s="6" t="s">
        <v>15922</v>
      </c>
      <c r="AS853" s="6" t="s">
        <v>16382</v>
      </c>
      <c r="AT853" s="6" t="s">
        <v>16931</v>
      </c>
      <c r="AU853" s="6" t="s">
        <v>19904</v>
      </c>
      <c r="AV853" s="6" t="s">
        <v>18456</v>
      </c>
      <c r="AW853" s="6" t="s">
        <v>18723</v>
      </c>
      <c r="AX853" s="6" t="s">
        <v>20787</v>
      </c>
      <c r="AY853" s="6" t="s">
        <v>22563</v>
      </c>
      <c r="AZ853" s="6" t="s">
        <v>23911</v>
      </c>
      <c r="BA853" s="6" t="s">
        <v>104</v>
      </c>
      <c r="BB853" s="6" t="s">
        <v>104</v>
      </c>
      <c r="BC853" s="26"/>
      <c r="BD853" s="26"/>
      <c r="BE853" s="26"/>
      <c r="BF853" s="26"/>
      <c r="BG853" s="26"/>
      <c r="BH853" s="26"/>
      <c r="BI853" s="26"/>
      <c r="BJ853" s="26"/>
      <c r="BK853" s="26"/>
      <c r="BL853" s="26"/>
      <c r="BM853" s="26"/>
      <c r="BN853" s="26"/>
      <c r="BO853" s="26"/>
      <c r="BP853" s="16" t="n">
        <v>45739</v>
      </c>
      <c r="BQ853" s="28" t="str">
        <f>HYPERLINK("https://organic.ams.usda.gov/Integrity/Certificate.aspx?cid=82&amp;nopid=2780001561")</f>
        <v>https://organic.ams.usda.gov/Integrity/Certificate.aspx?cid=82&amp;nopid=2780001561</v>
      </c>
    </row>
    <row r="854">
      <c r="A854" t="s">
        <v>3</v>
      </c>
      <c r="B854" s="6" t="s">
        <v>23</v>
      </c>
      <c r="C854" s="6" t="s">
        <v>89</v>
      </c>
      <c r="D854" s="6" t="s">
        <v>154</v>
      </c>
      <c r="E854" s="10" t="s">
        <v>1052</v>
      </c>
      <c r="F854" s="6" t="s">
        <v>3296</v>
      </c>
      <c r="G854" s="6" t="s">
        <v>4757</v>
      </c>
      <c r="H854" s="6" t="s">
        <v>5672</v>
      </c>
      <c r="I854" s="6" t="s">
        <v>7081</v>
      </c>
      <c r="J854" s="6" t="s">
        <v>8778</v>
      </c>
      <c r="K854" s="6" t="s">
        <v>9714</v>
      </c>
      <c r="L854" s="16" t="n">
        <v>44529</v>
      </c>
      <c r="M854" s="18" t="s">
        <v>104</v>
      </c>
      <c r="N854" s="6" t="s">
        <v>104</v>
      </c>
      <c r="O854" s="21" t="s">
        <v>104</v>
      </c>
      <c r="P854" s="6" t="s">
        <v>104</v>
      </c>
      <c r="Q854" s="6" t="s">
        <v>104</v>
      </c>
      <c r="R854" s="6" t="s">
        <v>104</v>
      </c>
      <c r="S854" s="6" t="s">
        <v>104</v>
      </c>
      <c r="T854" s="21" t="s">
        <v>104</v>
      </c>
      <c r="U854" s="6" t="s">
        <v>104</v>
      </c>
      <c r="V854" s="6" t="s">
        <v>104</v>
      </c>
      <c r="W854" s="6" t="s">
        <v>104</v>
      </c>
      <c r="X854" s="6" t="s">
        <v>104</v>
      </c>
      <c r="Y854" s="21" t="s">
        <v>104</v>
      </c>
      <c r="Z854" s="6" t="s">
        <v>104</v>
      </c>
      <c r="AA854" s="6" t="s">
        <v>104</v>
      </c>
      <c r="AB854" s="6" t="s">
        <v>104</v>
      </c>
      <c r="AC854" s="6" t="s">
        <v>9714</v>
      </c>
      <c r="AD854" s="16" t="n">
        <v>44529</v>
      </c>
      <c r="AE854" s="6" t="s">
        <v>11286</v>
      </c>
      <c r="AF854" s="6" t="s">
        <v>104</v>
      </c>
      <c r="AG854" s="6" t="s">
        <v>104</v>
      </c>
      <c r="AH854" s="6" t="s">
        <v>13929</v>
      </c>
      <c r="AI854" s="6" t="s">
        <v>104</v>
      </c>
      <c r="AJ854" s="6" t="s">
        <v>15923</v>
      </c>
      <c r="AK854" s="6" t="s">
        <v>16710</v>
      </c>
      <c r="AL854" s="6" t="s">
        <v>16931</v>
      </c>
      <c r="AM854" s="6" t="s">
        <v>17559</v>
      </c>
      <c r="AN854" s="6" t="s">
        <v>18531</v>
      </c>
      <c r="AO854" s="6" t="s">
        <v>18751</v>
      </c>
      <c r="AP854" s="6" t="s">
        <v>104</v>
      </c>
      <c r="AQ854" s="6" t="s">
        <v>104</v>
      </c>
      <c r="AR854" s="6" t="s">
        <v>104</v>
      </c>
      <c r="AS854" s="6" t="s">
        <v>104</v>
      </c>
      <c r="AT854" s="6" t="s">
        <v>104</v>
      </c>
      <c r="AU854" s="6" t="s">
        <v>104</v>
      </c>
      <c r="AV854" s="6" t="s">
        <v>104</v>
      </c>
      <c r="AW854" s="6" t="s">
        <v>104</v>
      </c>
      <c r="AX854" s="6" t="s">
        <v>104</v>
      </c>
      <c r="AY854" s="6" t="s">
        <v>104</v>
      </c>
      <c r="AZ854" s="6" t="s">
        <v>23912</v>
      </c>
      <c r="BA854" s="6" t="s">
        <v>104</v>
      </c>
      <c r="BB854" s="6" t="s">
        <v>104</v>
      </c>
      <c r="BC854" s="26"/>
      <c r="BD854" s="26"/>
      <c r="BE854" s="26"/>
      <c r="BF854" s="26"/>
      <c r="BG854" s="26"/>
      <c r="BH854" s="26"/>
      <c r="BI854" s="26"/>
      <c r="BJ854" s="26"/>
      <c r="BK854" s="26"/>
      <c r="BL854" s="26"/>
      <c r="BM854" s="26"/>
      <c r="BN854" s="26"/>
      <c r="BO854" s="26"/>
      <c r="BP854" s="16" t="n">
        <v>45292</v>
      </c>
      <c r="BQ854" s="28" t="str">
        <f>HYPERLINK("https://organic.ams.usda.gov/Integrity/Certificate.aspx?cid=45&amp;nopid=9950013006")</f>
        <v>https://organic.ams.usda.gov/Integrity/Certificate.aspx?cid=45&amp;nopid=9950013006</v>
      </c>
    </row>
    <row r="855">
      <c r="A855" t="s">
        <v>3</v>
      </c>
      <c r="B855" s="6" t="s">
        <v>11</v>
      </c>
      <c r="C855" s="6" t="s">
        <v>77</v>
      </c>
      <c r="D855" s="6" t="s">
        <v>142</v>
      </c>
      <c r="E855" s="10" t="s">
        <v>1053</v>
      </c>
      <c r="F855" s="6" t="s">
        <v>3297</v>
      </c>
      <c r="G855" s="6" t="s">
        <v>104</v>
      </c>
      <c r="H855" s="6" t="s">
        <v>104</v>
      </c>
      <c r="I855" s="6" t="s">
        <v>7475</v>
      </c>
      <c r="J855" s="6" t="s">
        <v>8779</v>
      </c>
      <c r="K855" s="6" t="s">
        <v>9714</v>
      </c>
      <c r="L855" s="16" t="n">
        <v>45188</v>
      </c>
      <c r="M855" s="16" t="n">
        <v>45553</v>
      </c>
      <c r="N855" s="6" t="s">
        <v>104</v>
      </c>
      <c r="O855" s="21" t="s">
        <v>104</v>
      </c>
      <c r="P855" s="6" t="s">
        <v>104</v>
      </c>
      <c r="Q855" s="6" t="s">
        <v>104</v>
      </c>
      <c r="R855" s="6" t="s">
        <v>104</v>
      </c>
      <c r="S855" s="6" t="s">
        <v>104</v>
      </c>
      <c r="T855" s="21" t="s">
        <v>104</v>
      </c>
      <c r="U855" s="6" t="s">
        <v>104</v>
      </c>
      <c r="V855" s="6" t="s">
        <v>104</v>
      </c>
      <c r="W855" s="6" t="s">
        <v>104</v>
      </c>
      <c r="X855" s="6" t="s">
        <v>104</v>
      </c>
      <c r="Y855" s="21" t="s">
        <v>104</v>
      </c>
      <c r="Z855" s="6" t="s">
        <v>104</v>
      </c>
      <c r="AA855" s="6" t="s">
        <v>104</v>
      </c>
      <c r="AB855" s="6" t="s">
        <v>104</v>
      </c>
      <c r="AC855" s="6" t="s">
        <v>9714</v>
      </c>
      <c r="AD855" s="16" t="n">
        <v>45188</v>
      </c>
      <c r="AE855" s="6" t="s">
        <v>11287</v>
      </c>
      <c r="AF855" s="6" t="s">
        <v>104</v>
      </c>
      <c r="AG855" s="6" t="s">
        <v>104</v>
      </c>
      <c r="AH855" s="6" t="s">
        <v>13930</v>
      </c>
      <c r="AI855" s="6" t="s">
        <v>104</v>
      </c>
      <c r="AJ855" s="6" t="s">
        <v>15383</v>
      </c>
      <c r="AK855" s="6" t="s">
        <v>104</v>
      </c>
      <c r="AL855" s="6" t="s">
        <v>16933</v>
      </c>
      <c r="AM855" s="6" t="s">
        <v>104</v>
      </c>
      <c r="AN855" s="6" t="s">
        <v>104</v>
      </c>
      <c r="AO855" s="6" t="s">
        <v>104</v>
      </c>
      <c r="AP855" s="6" t="s">
        <v>13930</v>
      </c>
      <c r="AQ855" s="6" t="s">
        <v>104</v>
      </c>
      <c r="AR855" s="6" t="s">
        <v>15383</v>
      </c>
      <c r="AS855" s="6" t="s">
        <v>104</v>
      </c>
      <c r="AT855" s="6" t="s">
        <v>16933</v>
      </c>
      <c r="AU855" s="6" t="s">
        <v>104</v>
      </c>
      <c r="AV855" s="6" t="s">
        <v>104</v>
      </c>
      <c r="AW855" s="6" t="s">
        <v>104</v>
      </c>
      <c r="AX855" s="6" t="s">
        <v>20788</v>
      </c>
      <c r="AY855" s="6" t="s">
        <v>22564</v>
      </c>
      <c r="AZ855" s="6" t="s">
        <v>104</v>
      </c>
      <c r="BA855" s="6" t="s">
        <v>104</v>
      </c>
      <c r="BB855" s="6" t="s">
        <v>104</v>
      </c>
      <c r="BC855" s="26"/>
      <c r="BD855" s="26"/>
      <c r="BE855" s="26"/>
      <c r="BF855" s="26"/>
      <c r="BG855" s="26"/>
      <c r="BH855" s="26"/>
      <c r="BI855" s="26"/>
      <c r="BJ855" s="26"/>
      <c r="BK855" s="26"/>
      <c r="BL855" s="26"/>
      <c r="BM855" s="26"/>
      <c r="BN855" s="26"/>
      <c r="BO855" s="26"/>
      <c r="BP855" s="16" t="n">
        <v>45366</v>
      </c>
      <c r="BQ855" s="28" t="str">
        <f>HYPERLINK("https://organic.ams.usda.gov/Integrity/Certificate.aspx?cid=21&amp;nopid=1780896505")</f>
        <v>https://organic.ams.usda.gov/Integrity/Certificate.aspx?cid=21&amp;nopid=1780896505</v>
      </c>
    </row>
    <row r="856">
      <c r="A856" t="s">
        <v>3</v>
      </c>
      <c r="B856" s="6" t="s">
        <v>23</v>
      </c>
      <c r="C856" s="6" t="s">
        <v>89</v>
      </c>
      <c r="D856" s="6" t="s">
        <v>154</v>
      </c>
      <c r="E856" s="10" t="s">
        <v>1054</v>
      </c>
      <c r="F856" s="6" t="s">
        <v>3298</v>
      </c>
      <c r="G856" s="6" t="s">
        <v>104</v>
      </c>
      <c r="H856" s="6" t="s">
        <v>5673</v>
      </c>
      <c r="I856" s="6" t="s">
        <v>7225</v>
      </c>
      <c r="J856" s="6" t="s">
        <v>8780</v>
      </c>
      <c r="K856" s="6" t="s">
        <v>9714</v>
      </c>
      <c r="L856" s="16" t="n">
        <v>42753</v>
      </c>
      <c r="M856" s="16" t="n">
        <v>45689</v>
      </c>
      <c r="N856" s="6" t="s">
        <v>9714</v>
      </c>
      <c r="O856" s="16" t="n">
        <v>42753</v>
      </c>
      <c r="P856" s="6" t="s">
        <v>9952</v>
      </c>
      <c r="Q856" s="6" t="s">
        <v>104</v>
      </c>
      <c r="R856" s="6" t="s">
        <v>5673</v>
      </c>
      <c r="S856" s="6" t="s">
        <v>9714</v>
      </c>
      <c r="T856" s="16" t="n">
        <v>42753</v>
      </c>
      <c r="U856" s="6" t="s">
        <v>10485</v>
      </c>
      <c r="V856" s="6" t="s">
        <v>104</v>
      </c>
      <c r="W856" s="6" t="s">
        <v>5673</v>
      </c>
      <c r="X856" s="6" t="s">
        <v>9721</v>
      </c>
      <c r="Y856" s="16" t="n">
        <v>44322</v>
      </c>
      <c r="Z856" s="6" t="s">
        <v>104</v>
      </c>
      <c r="AA856" s="6" t="s">
        <v>104</v>
      </c>
      <c r="AB856" s="6" t="s">
        <v>104</v>
      </c>
      <c r="AC856" s="6" t="s">
        <v>9714</v>
      </c>
      <c r="AD856" s="16" t="n">
        <v>42753</v>
      </c>
      <c r="AE856" s="6" t="s">
        <v>11288</v>
      </c>
      <c r="AF856" s="6" t="s">
        <v>104</v>
      </c>
      <c r="AG856" s="6" t="s">
        <v>5673</v>
      </c>
      <c r="AH856" s="6" t="s">
        <v>13931</v>
      </c>
      <c r="AI856" s="6" t="s">
        <v>104</v>
      </c>
      <c r="AJ856" s="6" t="s">
        <v>15722</v>
      </c>
      <c r="AK856" s="6" t="s">
        <v>16706</v>
      </c>
      <c r="AL856" s="6" t="s">
        <v>16931</v>
      </c>
      <c r="AM856" s="6" t="s">
        <v>17560</v>
      </c>
      <c r="AN856" s="6" t="s">
        <v>18468</v>
      </c>
      <c r="AO856" s="6" t="s">
        <v>18752</v>
      </c>
      <c r="AP856" s="6" t="s">
        <v>104</v>
      </c>
      <c r="AQ856" s="6" t="s">
        <v>104</v>
      </c>
      <c r="AR856" s="6" t="s">
        <v>104</v>
      </c>
      <c r="AS856" s="6" t="s">
        <v>104</v>
      </c>
      <c r="AT856" s="6" t="s">
        <v>104</v>
      </c>
      <c r="AU856" s="6" t="s">
        <v>104</v>
      </c>
      <c r="AV856" s="6" t="s">
        <v>104</v>
      </c>
      <c r="AW856" s="6" t="s">
        <v>104</v>
      </c>
      <c r="AX856" s="6" t="s">
        <v>20789</v>
      </c>
      <c r="AY856" s="6" t="s">
        <v>104</v>
      </c>
      <c r="AZ856" s="6" t="s">
        <v>104</v>
      </c>
      <c r="BA856" s="6" t="s">
        <v>24261</v>
      </c>
      <c r="BB856" s="24" t="n">
        <v>38</v>
      </c>
      <c r="BC856" s="26"/>
      <c r="BD856" s="26"/>
      <c r="BE856" s="26"/>
      <c r="BF856" s="26"/>
      <c r="BG856" s="26"/>
      <c r="BH856" s="26"/>
      <c r="BI856" s="26"/>
      <c r="BJ856" s="26"/>
      <c r="BK856" s="26"/>
      <c r="BL856" s="26"/>
      <c r="BM856" s="26"/>
      <c r="BN856" s="26"/>
      <c r="BO856" s="26"/>
      <c r="BP856" s="16" t="n">
        <v>45691</v>
      </c>
      <c r="BQ856" s="28" t="str">
        <f>HYPERLINK("https://organic.ams.usda.gov/Integrity/Certificate.aspx?cid=45&amp;nopid=9950008862")</f>
        <v>https://organic.ams.usda.gov/Integrity/Certificate.aspx?cid=45&amp;nopid=9950008862</v>
      </c>
    </row>
    <row r="857">
      <c r="A857" t="s">
        <v>3</v>
      </c>
      <c r="B857" s="6" t="s">
        <v>13</v>
      </c>
      <c r="C857" s="6" t="s">
        <v>79</v>
      </c>
      <c r="D857" s="6" t="s">
        <v>144</v>
      </c>
      <c r="E857" s="10" t="s">
        <v>1055</v>
      </c>
      <c r="F857" s="6" t="s">
        <v>3299</v>
      </c>
      <c r="G857" s="6" t="s">
        <v>104</v>
      </c>
      <c r="H857" s="6" t="s">
        <v>5674</v>
      </c>
      <c r="I857" s="6" t="s">
        <v>7476</v>
      </c>
      <c r="J857" s="6" t="s">
        <v>8781</v>
      </c>
      <c r="K857" s="6" t="s">
        <v>9714</v>
      </c>
      <c r="L857" s="16" t="n">
        <v>40259</v>
      </c>
      <c r="M857" s="16" t="n">
        <v>46023</v>
      </c>
      <c r="N857" s="6" t="s">
        <v>9714</v>
      </c>
      <c r="O857" s="16" t="n">
        <v>40259</v>
      </c>
      <c r="P857" s="6" t="s">
        <v>9953</v>
      </c>
      <c r="Q857" s="6" t="s">
        <v>104</v>
      </c>
      <c r="R857" s="6" t="s">
        <v>104</v>
      </c>
      <c r="S857" s="6" t="s">
        <v>9714</v>
      </c>
      <c r="T857" s="16" t="n">
        <v>40259</v>
      </c>
      <c r="U857" s="6" t="s">
        <v>10486</v>
      </c>
      <c r="V857" s="6" t="s">
        <v>104</v>
      </c>
      <c r="W857" s="6" t="s">
        <v>104</v>
      </c>
      <c r="X857" s="6" t="s">
        <v>104</v>
      </c>
      <c r="Y857" s="21" t="s">
        <v>104</v>
      </c>
      <c r="Z857" s="6" t="s">
        <v>104</v>
      </c>
      <c r="AA857" s="6" t="s">
        <v>104</v>
      </c>
      <c r="AB857" s="6" t="s">
        <v>104</v>
      </c>
      <c r="AC857" s="6" t="s">
        <v>104</v>
      </c>
      <c r="AD857" s="21" t="s">
        <v>104</v>
      </c>
      <c r="AE857" s="6" t="s">
        <v>104</v>
      </c>
      <c r="AF857" s="6" t="s">
        <v>104</v>
      </c>
      <c r="AG857" s="6" t="s">
        <v>104</v>
      </c>
      <c r="AH857" s="6" t="s">
        <v>104</v>
      </c>
      <c r="AI857" s="6" t="s">
        <v>104</v>
      </c>
      <c r="AJ857" s="6" t="s">
        <v>104</v>
      </c>
      <c r="AK857" s="6" t="s">
        <v>104</v>
      </c>
      <c r="AL857" s="6" t="s">
        <v>104</v>
      </c>
      <c r="AM857" s="6" t="s">
        <v>104</v>
      </c>
      <c r="AN857" s="6" t="s">
        <v>104</v>
      </c>
      <c r="AO857" s="6" t="s">
        <v>104</v>
      </c>
      <c r="AP857" s="6" t="s">
        <v>19168</v>
      </c>
      <c r="AQ857" s="6" t="s">
        <v>104</v>
      </c>
      <c r="AR857" s="6" t="s">
        <v>19678</v>
      </c>
      <c r="AS857" s="6" t="s">
        <v>16683</v>
      </c>
      <c r="AT857" s="6" t="s">
        <v>16931</v>
      </c>
      <c r="AU857" s="6" t="s">
        <v>19905</v>
      </c>
      <c r="AV857" s="6" t="s">
        <v>18459</v>
      </c>
      <c r="AW857" s="6" t="s">
        <v>20091</v>
      </c>
      <c r="AX857" s="6" t="s">
        <v>20790</v>
      </c>
      <c r="AY857" s="6" t="s">
        <v>22565</v>
      </c>
      <c r="AZ857" s="6" t="s">
        <v>104</v>
      </c>
      <c r="BA857" s="6" t="s">
        <v>104</v>
      </c>
      <c r="BB857" s="24" t="n">
        <v>592</v>
      </c>
      <c r="BC857" s="26"/>
      <c r="BD857" s="26"/>
      <c r="BE857" s="26"/>
      <c r="BF857" s="26" t="s">
        <v>24533</v>
      </c>
      <c r="BG857" s="26"/>
      <c r="BH857" s="26"/>
      <c r="BI857" s="26"/>
      <c r="BJ857" s="26"/>
      <c r="BK857" s="26"/>
      <c r="BL857" s="26"/>
      <c r="BM857" s="26"/>
      <c r="BN857" s="26"/>
      <c r="BO857" s="26"/>
      <c r="BP857" s="16" t="n">
        <v>45720</v>
      </c>
      <c r="BQ857" s="28" t="str">
        <f>HYPERLINK("https://organic.ams.usda.gov/Integrity/Certificate.aspx?cid=62&amp;nopid=8150001058")</f>
        <v>https://organic.ams.usda.gov/Integrity/Certificate.aspx?cid=62&amp;nopid=8150001058</v>
      </c>
    </row>
    <row r="858">
      <c r="A858" t="s">
        <v>3</v>
      </c>
      <c r="B858" s="6" t="s">
        <v>29</v>
      </c>
      <c r="C858" s="6" t="s">
        <v>95</v>
      </c>
      <c r="D858" s="6" t="s">
        <v>160</v>
      </c>
      <c r="E858" s="10" t="s">
        <v>1056</v>
      </c>
      <c r="F858" s="6" t="s">
        <v>3300</v>
      </c>
      <c r="G858" s="6" t="s">
        <v>104</v>
      </c>
      <c r="H858" s="6" t="s">
        <v>5675</v>
      </c>
      <c r="I858" s="6" t="s">
        <v>104</v>
      </c>
      <c r="J858" s="6" t="s">
        <v>8782</v>
      </c>
      <c r="K858" s="6" t="s">
        <v>9714</v>
      </c>
      <c r="L858" s="16" t="n">
        <v>45663</v>
      </c>
      <c r="M858" s="16" t="n">
        <v>45778</v>
      </c>
      <c r="N858" s="6" t="s">
        <v>9714</v>
      </c>
      <c r="O858" s="16" t="n">
        <v>45663</v>
      </c>
      <c r="P858" s="6" t="s">
        <v>9849</v>
      </c>
      <c r="Q858" s="6" t="s">
        <v>104</v>
      </c>
      <c r="R858" s="6" t="s">
        <v>104</v>
      </c>
      <c r="S858" s="6" t="s">
        <v>104</v>
      </c>
      <c r="T858" s="21" t="s">
        <v>104</v>
      </c>
      <c r="U858" s="6" t="s">
        <v>104</v>
      </c>
      <c r="V858" s="6" t="s">
        <v>104</v>
      </c>
      <c r="W858" s="6" t="s">
        <v>104</v>
      </c>
      <c r="X858" s="6" t="s">
        <v>104</v>
      </c>
      <c r="Y858" s="21" t="s">
        <v>104</v>
      </c>
      <c r="Z858" s="6" t="s">
        <v>104</v>
      </c>
      <c r="AA858" s="6" t="s">
        <v>104</v>
      </c>
      <c r="AB858" s="6" t="s">
        <v>104</v>
      </c>
      <c r="AC858" s="6" t="s">
        <v>9714</v>
      </c>
      <c r="AD858" s="16" t="n">
        <v>45663</v>
      </c>
      <c r="AE858" s="6" t="s">
        <v>11289</v>
      </c>
      <c r="AF858" s="6" t="s">
        <v>104</v>
      </c>
      <c r="AG858" s="6" t="s">
        <v>104</v>
      </c>
      <c r="AH858" s="6" t="s">
        <v>13932</v>
      </c>
      <c r="AI858" s="6" t="s">
        <v>104</v>
      </c>
      <c r="AJ858" s="6" t="s">
        <v>15924</v>
      </c>
      <c r="AK858" s="6" t="s">
        <v>104</v>
      </c>
      <c r="AL858" s="6" t="s">
        <v>16970</v>
      </c>
      <c r="AM858" s="6" t="s">
        <v>104</v>
      </c>
      <c r="AN858" s="6" t="s">
        <v>104</v>
      </c>
      <c r="AO858" s="6" t="s">
        <v>104</v>
      </c>
      <c r="AP858" s="6" t="s">
        <v>104</v>
      </c>
      <c r="AQ858" s="6" t="s">
        <v>104</v>
      </c>
      <c r="AR858" s="6" t="s">
        <v>104</v>
      </c>
      <c r="AS858" s="6" t="s">
        <v>104</v>
      </c>
      <c r="AT858" s="6" t="s">
        <v>104</v>
      </c>
      <c r="AU858" s="6" t="s">
        <v>104</v>
      </c>
      <c r="AV858" s="6" t="s">
        <v>104</v>
      </c>
      <c r="AW858" s="6" t="s">
        <v>104</v>
      </c>
      <c r="AX858" s="6" t="s">
        <v>20791</v>
      </c>
      <c r="AY858" s="6" t="s">
        <v>22566</v>
      </c>
      <c r="AZ858" s="6" t="s">
        <v>104</v>
      </c>
      <c r="BA858" s="6" t="s">
        <v>104</v>
      </c>
      <c r="BB858" s="24" t="n">
        <v>3202</v>
      </c>
      <c r="BC858" s="26"/>
      <c r="BD858" s="26"/>
      <c r="BE858" s="26"/>
      <c r="BF858" s="26"/>
      <c r="BG858" s="26"/>
      <c r="BH858" s="26"/>
      <c r="BI858" s="26"/>
      <c r="BJ858" s="26"/>
      <c r="BK858" s="26"/>
      <c r="BL858" s="26"/>
      <c r="BM858" s="26"/>
      <c r="BN858" s="26"/>
      <c r="BO858" s="26" t="s">
        <v>24533</v>
      </c>
      <c r="BP858" s="16" t="n">
        <v>45687</v>
      </c>
      <c r="BQ858" s="28" t="str">
        <f>HYPERLINK("https://organic.ams.usda.gov/Integrity/Certificate.aspx?cid=24&amp;nopid=7880253352")</f>
        <v>https://organic.ams.usda.gov/Integrity/Certificate.aspx?cid=24&amp;nopid=7880253352</v>
      </c>
    </row>
    <row r="859">
      <c r="A859" t="s">
        <v>3</v>
      </c>
      <c r="B859" s="6" t="s">
        <v>12</v>
      </c>
      <c r="C859" s="6" t="s">
        <v>78</v>
      </c>
      <c r="D859" s="6" t="s">
        <v>143</v>
      </c>
      <c r="E859" s="10" t="s">
        <v>1057</v>
      </c>
      <c r="F859" s="6" t="s">
        <v>3301</v>
      </c>
      <c r="G859" s="6" t="s">
        <v>104</v>
      </c>
      <c r="H859" s="6" t="s">
        <v>104</v>
      </c>
      <c r="I859" s="6" t="s">
        <v>7232</v>
      </c>
      <c r="J859" s="6" t="s">
        <v>8783</v>
      </c>
      <c r="K859" s="6" t="s">
        <v>9714</v>
      </c>
      <c r="L859" s="16" t="n">
        <v>45471</v>
      </c>
      <c r="M859" s="16" t="n">
        <v>45758</v>
      </c>
      <c r="N859" s="6" t="s">
        <v>104</v>
      </c>
      <c r="O859" s="21" t="s">
        <v>104</v>
      </c>
      <c r="P859" s="6" t="s">
        <v>104</v>
      </c>
      <c r="Q859" s="6" t="s">
        <v>104</v>
      </c>
      <c r="R859" s="6" t="s">
        <v>104</v>
      </c>
      <c r="S859" s="6" t="s">
        <v>104</v>
      </c>
      <c r="T859" s="21" t="s">
        <v>104</v>
      </c>
      <c r="U859" s="6" t="s">
        <v>104</v>
      </c>
      <c r="V859" s="6" t="s">
        <v>104</v>
      </c>
      <c r="W859" s="6" t="s">
        <v>104</v>
      </c>
      <c r="X859" s="6" t="s">
        <v>104</v>
      </c>
      <c r="Y859" s="21" t="s">
        <v>104</v>
      </c>
      <c r="Z859" s="6" t="s">
        <v>104</v>
      </c>
      <c r="AA859" s="6" t="s">
        <v>104</v>
      </c>
      <c r="AB859" s="6" t="s">
        <v>104</v>
      </c>
      <c r="AC859" s="6" t="s">
        <v>9714</v>
      </c>
      <c r="AD859" s="16" t="n">
        <v>45471</v>
      </c>
      <c r="AE859" s="6" t="s">
        <v>11290</v>
      </c>
      <c r="AF859" s="6" t="s">
        <v>104</v>
      </c>
      <c r="AG859" s="6" t="s">
        <v>12761</v>
      </c>
      <c r="AH859" s="6" t="s">
        <v>13933</v>
      </c>
      <c r="AI859" s="6" t="s">
        <v>104</v>
      </c>
      <c r="AJ859" s="6" t="s">
        <v>15925</v>
      </c>
      <c r="AK859" s="6" t="s">
        <v>16743</v>
      </c>
      <c r="AL859" s="6" t="s">
        <v>16931</v>
      </c>
      <c r="AM859" s="6" t="s">
        <v>17561</v>
      </c>
      <c r="AN859" s="6" t="s">
        <v>104</v>
      </c>
      <c r="AO859" s="6" t="s">
        <v>104</v>
      </c>
      <c r="AP859" s="6" t="s">
        <v>13933</v>
      </c>
      <c r="AQ859" s="6" t="s">
        <v>104</v>
      </c>
      <c r="AR859" s="6" t="s">
        <v>15925</v>
      </c>
      <c r="AS859" s="6" t="s">
        <v>16743</v>
      </c>
      <c r="AT859" s="6" t="s">
        <v>16931</v>
      </c>
      <c r="AU859" s="6" t="s">
        <v>17561</v>
      </c>
      <c r="AV859" s="6" t="s">
        <v>104</v>
      </c>
      <c r="AW859" s="6" t="s">
        <v>104</v>
      </c>
      <c r="AX859" s="6" t="s">
        <v>104</v>
      </c>
      <c r="AY859" s="6" t="s">
        <v>22567</v>
      </c>
      <c r="AZ859" s="6" t="s">
        <v>104</v>
      </c>
      <c r="BA859" s="6" t="s">
        <v>104</v>
      </c>
      <c r="BB859" s="6" t="s">
        <v>104</v>
      </c>
      <c r="BC859" s="26"/>
      <c r="BD859" s="26"/>
      <c r="BE859" s="26"/>
      <c r="BF859" s="26"/>
      <c r="BG859" s="26"/>
      <c r="BH859" s="26"/>
      <c r="BI859" s="26"/>
      <c r="BJ859" s="26"/>
      <c r="BK859" s="26"/>
      <c r="BL859" s="26"/>
      <c r="BM859" s="26"/>
      <c r="BN859" s="26"/>
      <c r="BO859" s="26"/>
      <c r="BP859" s="16" t="n">
        <v>45616</v>
      </c>
      <c r="BQ859" s="28" t="str">
        <f>HYPERLINK("https://organic.ams.usda.gov/Integrity/Certificate.aspx?cid=1&amp;nopid=9092410101")</f>
        <v>https://organic.ams.usda.gov/Integrity/Certificate.aspx?cid=1&amp;nopid=9092410101</v>
      </c>
    </row>
    <row r="860">
      <c r="A860" t="s">
        <v>3</v>
      </c>
      <c r="B860" s="6" t="s">
        <v>11</v>
      </c>
      <c r="C860" s="6" t="s">
        <v>77</v>
      </c>
      <c r="D860" s="6" t="s">
        <v>142</v>
      </c>
      <c r="E860" s="10" t="s">
        <v>1058</v>
      </c>
      <c r="F860" s="6" t="s">
        <v>3302</v>
      </c>
      <c r="G860" s="6" t="s">
        <v>104</v>
      </c>
      <c r="H860" s="6" t="s">
        <v>1058</v>
      </c>
      <c r="I860" s="6" t="s">
        <v>7477</v>
      </c>
      <c r="J860" s="6" t="s">
        <v>8784</v>
      </c>
      <c r="K860" s="6" t="s">
        <v>9714</v>
      </c>
      <c r="L860" s="16" t="n">
        <v>45072</v>
      </c>
      <c r="M860" s="16" t="n">
        <v>45667</v>
      </c>
      <c r="N860" s="6" t="s">
        <v>104</v>
      </c>
      <c r="O860" s="21" t="s">
        <v>104</v>
      </c>
      <c r="P860" s="6" t="s">
        <v>104</v>
      </c>
      <c r="Q860" s="6" t="s">
        <v>104</v>
      </c>
      <c r="R860" s="6" t="s">
        <v>104</v>
      </c>
      <c r="S860" s="6" t="s">
        <v>104</v>
      </c>
      <c r="T860" s="21" t="s">
        <v>104</v>
      </c>
      <c r="U860" s="6" t="s">
        <v>104</v>
      </c>
      <c r="V860" s="6" t="s">
        <v>104</v>
      </c>
      <c r="W860" s="6" t="s">
        <v>104</v>
      </c>
      <c r="X860" s="6" t="s">
        <v>104</v>
      </c>
      <c r="Y860" s="21" t="s">
        <v>104</v>
      </c>
      <c r="Z860" s="6" t="s">
        <v>104</v>
      </c>
      <c r="AA860" s="6" t="s">
        <v>104</v>
      </c>
      <c r="AB860" s="6" t="s">
        <v>104</v>
      </c>
      <c r="AC860" s="6" t="s">
        <v>9714</v>
      </c>
      <c r="AD860" s="16" t="n">
        <v>45072</v>
      </c>
      <c r="AE860" s="6" t="s">
        <v>11291</v>
      </c>
      <c r="AF860" s="6" t="s">
        <v>104</v>
      </c>
      <c r="AG860" s="6" t="s">
        <v>12762</v>
      </c>
      <c r="AH860" s="6" t="s">
        <v>13934</v>
      </c>
      <c r="AI860" s="6" t="s">
        <v>104</v>
      </c>
      <c r="AJ860" s="6" t="s">
        <v>15926</v>
      </c>
      <c r="AK860" s="6" t="s">
        <v>16699</v>
      </c>
      <c r="AL860" s="6" t="s">
        <v>16932</v>
      </c>
      <c r="AM860" s="6" t="s">
        <v>17562</v>
      </c>
      <c r="AN860" s="6" t="s">
        <v>104</v>
      </c>
      <c r="AO860" s="6" t="s">
        <v>104</v>
      </c>
      <c r="AP860" s="6" t="s">
        <v>13934</v>
      </c>
      <c r="AQ860" s="6" t="s">
        <v>104</v>
      </c>
      <c r="AR860" s="6" t="s">
        <v>15926</v>
      </c>
      <c r="AS860" s="6" t="s">
        <v>16699</v>
      </c>
      <c r="AT860" s="6" t="s">
        <v>16932</v>
      </c>
      <c r="AU860" s="6" t="s">
        <v>17562</v>
      </c>
      <c r="AV860" s="6" t="s">
        <v>104</v>
      </c>
      <c r="AW860" s="6" t="s">
        <v>104</v>
      </c>
      <c r="AX860" s="6" t="s">
        <v>20792</v>
      </c>
      <c r="AY860" s="6" t="s">
        <v>22568</v>
      </c>
      <c r="AZ860" s="6" t="s">
        <v>104</v>
      </c>
      <c r="BA860" s="6" t="s">
        <v>104</v>
      </c>
      <c r="BB860" s="6" t="s">
        <v>104</v>
      </c>
      <c r="BC860" s="26"/>
      <c r="BD860" s="26"/>
      <c r="BE860" s="26"/>
      <c r="BF860" s="26"/>
      <c r="BG860" s="26"/>
      <c r="BH860" s="26"/>
      <c r="BI860" s="26"/>
      <c r="BJ860" s="26"/>
      <c r="BK860" s="26"/>
      <c r="BL860" s="26"/>
      <c r="BM860" s="26"/>
      <c r="BN860" s="26" t="s">
        <v>24533</v>
      </c>
      <c r="BO860" s="26"/>
      <c r="BP860" s="16" t="n">
        <v>45365</v>
      </c>
      <c r="BQ860" s="28" t="str">
        <f>HYPERLINK("https://organic.ams.usda.gov/Integrity/Certificate.aspx?cid=21&amp;nopid=1780893096")</f>
        <v>https://organic.ams.usda.gov/Integrity/Certificate.aspx?cid=21&amp;nopid=1780893096</v>
      </c>
    </row>
    <row r="861">
      <c r="A861" t="s">
        <v>3</v>
      </c>
      <c r="B861" s="6" t="s">
        <v>11</v>
      </c>
      <c r="C861" s="6" t="s">
        <v>77</v>
      </c>
      <c r="D861" s="6" t="s">
        <v>142</v>
      </c>
      <c r="E861" s="10" t="s">
        <v>1059</v>
      </c>
      <c r="F861" s="6" t="s">
        <v>3303</v>
      </c>
      <c r="G861" s="6" t="s">
        <v>104</v>
      </c>
      <c r="H861" s="6" t="s">
        <v>1059</v>
      </c>
      <c r="I861" s="6" t="s">
        <v>7478</v>
      </c>
      <c r="J861" s="6" t="s">
        <v>7477</v>
      </c>
      <c r="K861" s="6" t="s">
        <v>9714</v>
      </c>
      <c r="L861" s="16" t="n">
        <v>45055</v>
      </c>
      <c r="M861" s="16" t="n">
        <v>45674</v>
      </c>
      <c r="N861" s="6" t="s">
        <v>104</v>
      </c>
      <c r="O861" s="21" t="s">
        <v>104</v>
      </c>
      <c r="P861" s="6" t="s">
        <v>104</v>
      </c>
      <c r="Q861" s="6" t="s">
        <v>104</v>
      </c>
      <c r="R861" s="6" t="s">
        <v>104</v>
      </c>
      <c r="S861" s="6" t="s">
        <v>104</v>
      </c>
      <c r="T861" s="21" t="s">
        <v>104</v>
      </c>
      <c r="U861" s="6" t="s">
        <v>104</v>
      </c>
      <c r="V861" s="6" t="s">
        <v>104</v>
      </c>
      <c r="W861" s="6" t="s">
        <v>104</v>
      </c>
      <c r="X861" s="6" t="s">
        <v>104</v>
      </c>
      <c r="Y861" s="21" t="s">
        <v>104</v>
      </c>
      <c r="Z861" s="6" t="s">
        <v>104</v>
      </c>
      <c r="AA861" s="6" t="s">
        <v>104</v>
      </c>
      <c r="AB861" s="6" t="s">
        <v>104</v>
      </c>
      <c r="AC861" s="6" t="s">
        <v>9714</v>
      </c>
      <c r="AD861" s="16" t="n">
        <v>45055</v>
      </c>
      <c r="AE861" s="6" t="s">
        <v>11292</v>
      </c>
      <c r="AF861" s="6" t="s">
        <v>104</v>
      </c>
      <c r="AG861" s="6" t="s">
        <v>12763</v>
      </c>
      <c r="AH861" s="6" t="s">
        <v>13935</v>
      </c>
      <c r="AI861" s="6" t="s">
        <v>104</v>
      </c>
      <c r="AJ861" s="6" t="s">
        <v>15927</v>
      </c>
      <c r="AK861" s="6" t="s">
        <v>15927</v>
      </c>
      <c r="AL861" s="6" t="s">
        <v>16932</v>
      </c>
      <c r="AM861" s="6" t="s">
        <v>17563</v>
      </c>
      <c r="AN861" s="6" t="s">
        <v>104</v>
      </c>
      <c r="AO861" s="6" t="s">
        <v>104</v>
      </c>
      <c r="AP861" s="6" t="s">
        <v>13935</v>
      </c>
      <c r="AQ861" s="6" t="s">
        <v>104</v>
      </c>
      <c r="AR861" s="6" t="s">
        <v>15927</v>
      </c>
      <c r="AS861" s="6" t="s">
        <v>15927</v>
      </c>
      <c r="AT861" s="6" t="s">
        <v>16932</v>
      </c>
      <c r="AU861" s="6" t="s">
        <v>17563</v>
      </c>
      <c r="AV861" s="6" t="s">
        <v>104</v>
      </c>
      <c r="AW861" s="6" t="s">
        <v>104</v>
      </c>
      <c r="AX861" s="6" t="s">
        <v>20793</v>
      </c>
      <c r="AY861" s="6" t="s">
        <v>22568</v>
      </c>
      <c r="AZ861" s="6" t="s">
        <v>104</v>
      </c>
      <c r="BA861" s="6" t="s">
        <v>104</v>
      </c>
      <c r="BB861" s="6" t="s">
        <v>104</v>
      </c>
      <c r="BC861" s="26"/>
      <c r="BD861" s="26"/>
      <c r="BE861" s="26"/>
      <c r="BF861" s="26"/>
      <c r="BG861" s="26"/>
      <c r="BH861" s="26"/>
      <c r="BI861" s="26"/>
      <c r="BJ861" s="26"/>
      <c r="BK861" s="26"/>
      <c r="BL861" s="26"/>
      <c r="BM861" s="26"/>
      <c r="BN861" s="26" t="s">
        <v>24533</v>
      </c>
      <c r="BO861" s="26"/>
      <c r="BP861" s="16" t="n">
        <v>45390</v>
      </c>
      <c r="BQ861" s="28" t="str">
        <f>HYPERLINK("https://organic.ams.usda.gov/Integrity/Certificate.aspx?cid=21&amp;nopid=1780893400")</f>
        <v>https://organic.ams.usda.gov/Integrity/Certificate.aspx?cid=21&amp;nopid=1780893400</v>
      </c>
    </row>
    <row r="862">
      <c r="A862" t="s">
        <v>3</v>
      </c>
      <c r="B862" s="6" t="s">
        <v>21</v>
      </c>
      <c r="C862" s="6" t="s">
        <v>87</v>
      </c>
      <c r="D862" s="6" t="s">
        <v>152</v>
      </c>
      <c r="E862" s="10" t="s">
        <v>1060</v>
      </c>
      <c r="F862" s="6" t="s">
        <v>3304</v>
      </c>
      <c r="G862" s="6" t="s">
        <v>4758</v>
      </c>
      <c r="H862" s="6" t="s">
        <v>5676</v>
      </c>
      <c r="I862" s="6" t="s">
        <v>7029</v>
      </c>
      <c r="J862" s="6" t="s">
        <v>8785</v>
      </c>
      <c r="K862" s="6" t="s">
        <v>9714</v>
      </c>
      <c r="L862" s="16" t="n">
        <v>42310</v>
      </c>
      <c r="M862" s="16" t="n">
        <v>46023</v>
      </c>
      <c r="N862" s="6" t="s">
        <v>104</v>
      </c>
      <c r="O862" s="21" t="s">
        <v>104</v>
      </c>
      <c r="P862" s="6" t="s">
        <v>104</v>
      </c>
      <c r="Q862" s="6" t="s">
        <v>104</v>
      </c>
      <c r="R862" s="6" t="s">
        <v>104</v>
      </c>
      <c r="S862" s="6" t="s">
        <v>104</v>
      </c>
      <c r="T862" s="21" t="s">
        <v>104</v>
      </c>
      <c r="U862" s="6" t="s">
        <v>104</v>
      </c>
      <c r="V862" s="6" t="s">
        <v>104</v>
      </c>
      <c r="W862" s="6" t="s">
        <v>104</v>
      </c>
      <c r="X862" s="6" t="s">
        <v>104</v>
      </c>
      <c r="Y862" s="21" t="s">
        <v>104</v>
      </c>
      <c r="Z862" s="6" t="s">
        <v>104</v>
      </c>
      <c r="AA862" s="6" t="s">
        <v>104</v>
      </c>
      <c r="AB862" s="6" t="s">
        <v>104</v>
      </c>
      <c r="AC862" s="6" t="s">
        <v>9714</v>
      </c>
      <c r="AD862" s="16" t="n">
        <v>42310</v>
      </c>
      <c r="AE862" s="6" t="s">
        <v>11293</v>
      </c>
      <c r="AF862" s="6" t="s">
        <v>104</v>
      </c>
      <c r="AG862" s="6" t="s">
        <v>104</v>
      </c>
      <c r="AH862" s="6" t="s">
        <v>13936</v>
      </c>
      <c r="AI862" s="6" t="s">
        <v>104</v>
      </c>
      <c r="AJ862" s="6" t="s">
        <v>15928</v>
      </c>
      <c r="AK862" s="6" t="s">
        <v>16687</v>
      </c>
      <c r="AL862" s="6" t="s">
        <v>16931</v>
      </c>
      <c r="AM862" s="6" t="s">
        <v>17292</v>
      </c>
      <c r="AN862" s="6" t="s">
        <v>18487</v>
      </c>
      <c r="AO862" s="6" t="s">
        <v>18601</v>
      </c>
      <c r="AP862" s="6" t="s">
        <v>13936</v>
      </c>
      <c r="AQ862" s="6" t="s">
        <v>104</v>
      </c>
      <c r="AR862" s="6" t="s">
        <v>15928</v>
      </c>
      <c r="AS862" s="6" t="s">
        <v>16687</v>
      </c>
      <c r="AT862" s="6" t="s">
        <v>16931</v>
      </c>
      <c r="AU862" s="6" t="s">
        <v>17292</v>
      </c>
      <c r="AV862" s="6" t="s">
        <v>104</v>
      </c>
      <c r="AW862" s="6" t="s">
        <v>104</v>
      </c>
      <c r="AX862" s="6" t="s">
        <v>20794</v>
      </c>
      <c r="AY862" s="6" t="s">
        <v>22569</v>
      </c>
      <c r="AZ862" s="6" t="s">
        <v>23913</v>
      </c>
      <c r="BA862" s="6" t="s">
        <v>24388</v>
      </c>
      <c r="BB862" s="6" t="s">
        <v>104</v>
      </c>
      <c r="BC862" s="26"/>
      <c r="BD862" s="26"/>
      <c r="BE862" s="26"/>
      <c r="BF862" s="26"/>
      <c r="BG862" s="26"/>
      <c r="BH862" s="26"/>
      <c r="BI862" s="26"/>
      <c r="BJ862" s="26"/>
      <c r="BK862" s="26"/>
      <c r="BL862" s="26"/>
      <c r="BM862" s="26"/>
      <c r="BN862" s="26"/>
      <c r="BO862" s="26"/>
      <c r="BP862" s="16" t="n">
        <v>45667</v>
      </c>
      <c r="BQ862" s="28" t="str">
        <f>HYPERLINK("https://organic.ams.usda.gov/Integrity/Certificate.aspx?cid=15&amp;nopid=5561002077")</f>
        <v>https://organic.ams.usda.gov/Integrity/Certificate.aspx?cid=15&amp;nopid=5561002077</v>
      </c>
    </row>
    <row r="863">
      <c r="A863" t="s">
        <v>3</v>
      </c>
      <c r="B863" s="6" t="s">
        <v>11</v>
      </c>
      <c r="C863" s="6" t="s">
        <v>77</v>
      </c>
      <c r="D863" s="6" t="s">
        <v>142</v>
      </c>
      <c r="E863" s="10" t="s">
        <v>1061</v>
      </c>
      <c r="F863" s="6" t="s">
        <v>3305</v>
      </c>
      <c r="G863" s="6" t="s">
        <v>104</v>
      </c>
      <c r="H863" s="6" t="s">
        <v>5677</v>
      </c>
      <c r="I863" s="6" t="s">
        <v>7479</v>
      </c>
      <c r="J863" s="6" t="s">
        <v>8786</v>
      </c>
      <c r="K863" s="6" t="s">
        <v>9714</v>
      </c>
      <c r="L863" s="16" t="n">
        <v>44218</v>
      </c>
      <c r="M863" s="16" t="n">
        <v>46066</v>
      </c>
      <c r="N863" s="6" t="s">
        <v>9714</v>
      </c>
      <c r="O863" s="16" t="n">
        <v>44218</v>
      </c>
      <c r="P863" s="6" t="s">
        <v>9954</v>
      </c>
      <c r="Q863" s="6" t="s">
        <v>104</v>
      </c>
      <c r="R863" s="6" t="s">
        <v>104</v>
      </c>
      <c r="S863" s="6" t="s">
        <v>104</v>
      </c>
      <c r="T863" s="21" t="s">
        <v>104</v>
      </c>
      <c r="U863" s="6" t="s">
        <v>104</v>
      </c>
      <c r="V863" s="6" t="s">
        <v>104</v>
      </c>
      <c r="W863" s="6" t="s">
        <v>104</v>
      </c>
      <c r="X863" s="6" t="s">
        <v>104</v>
      </c>
      <c r="Y863" s="21" t="s">
        <v>104</v>
      </c>
      <c r="Z863" s="6" t="s">
        <v>104</v>
      </c>
      <c r="AA863" s="6" t="s">
        <v>104</v>
      </c>
      <c r="AB863" s="6" t="s">
        <v>104</v>
      </c>
      <c r="AC863" s="6" t="s">
        <v>9714</v>
      </c>
      <c r="AD863" s="16" t="n">
        <v>44218</v>
      </c>
      <c r="AE863" s="6" t="s">
        <v>11294</v>
      </c>
      <c r="AF863" s="6" t="s">
        <v>104</v>
      </c>
      <c r="AG863" s="6" t="s">
        <v>104</v>
      </c>
      <c r="AH863" s="6" t="s">
        <v>13937</v>
      </c>
      <c r="AI863" s="6" t="s">
        <v>104</v>
      </c>
      <c r="AJ863" s="6" t="s">
        <v>104</v>
      </c>
      <c r="AK863" s="6" t="s">
        <v>104</v>
      </c>
      <c r="AL863" s="6" t="s">
        <v>16940</v>
      </c>
      <c r="AM863" s="6" t="s">
        <v>104</v>
      </c>
      <c r="AN863" s="6" t="s">
        <v>104</v>
      </c>
      <c r="AO863" s="6" t="s">
        <v>104</v>
      </c>
      <c r="AP863" s="6" t="s">
        <v>104</v>
      </c>
      <c r="AQ863" s="6" t="s">
        <v>104</v>
      </c>
      <c r="AR863" s="6" t="s">
        <v>104</v>
      </c>
      <c r="AS863" s="6" t="s">
        <v>104</v>
      </c>
      <c r="AT863" s="6" t="s">
        <v>104</v>
      </c>
      <c r="AU863" s="6" t="s">
        <v>104</v>
      </c>
      <c r="AV863" s="6" t="s">
        <v>104</v>
      </c>
      <c r="AW863" s="6" t="s">
        <v>104</v>
      </c>
      <c r="AX863" s="6" t="s">
        <v>20795</v>
      </c>
      <c r="AY863" s="6" t="s">
        <v>22570</v>
      </c>
      <c r="AZ863" s="6" t="s">
        <v>104</v>
      </c>
      <c r="BA863" s="6" t="s">
        <v>104</v>
      </c>
      <c r="BB863" s="24" t="n">
        <v>9410</v>
      </c>
      <c r="BC863" s="26"/>
      <c r="BD863" s="26"/>
      <c r="BE863" s="26"/>
      <c r="BF863" s="26"/>
      <c r="BG863" s="26"/>
      <c r="BH863" s="26"/>
      <c r="BI863" s="26"/>
      <c r="BJ863" s="26"/>
      <c r="BK863" s="26"/>
      <c r="BL863" s="26"/>
      <c r="BM863" s="26"/>
      <c r="BN863" s="26"/>
      <c r="BO863" s="26"/>
      <c r="BP863" s="16" t="n">
        <v>45734</v>
      </c>
      <c r="BQ863" s="28" t="str">
        <f>HYPERLINK("https://organic.ams.usda.gov/Integrity/Certificate.aspx?cid=21&amp;nopid=1780875669")</f>
        <v>https://organic.ams.usda.gov/Integrity/Certificate.aspx?cid=21&amp;nopid=1780875669</v>
      </c>
    </row>
    <row r="864">
      <c r="A864" t="s">
        <v>3</v>
      </c>
      <c r="B864" s="6" t="s">
        <v>57</v>
      </c>
      <c r="C864" s="6" t="s">
        <v>123</v>
      </c>
      <c r="D864" s="6" t="s">
        <v>187</v>
      </c>
      <c r="E864" s="10" t="s">
        <v>1062</v>
      </c>
      <c r="F864" s="6" t="s">
        <v>3306</v>
      </c>
      <c r="G864" s="6" t="s">
        <v>104</v>
      </c>
      <c r="H864" s="6" t="s">
        <v>5678</v>
      </c>
      <c r="I864" s="6" t="s">
        <v>7480</v>
      </c>
      <c r="J864" s="6" t="s">
        <v>8787</v>
      </c>
      <c r="K864" s="6" t="s">
        <v>9714</v>
      </c>
      <c r="L864" s="16" t="n">
        <v>45392</v>
      </c>
      <c r="M864" s="16" t="n">
        <v>45566</v>
      </c>
      <c r="N864" s="6" t="s">
        <v>104</v>
      </c>
      <c r="O864" s="21" t="s">
        <v>104</v>
      </c>
      <c r="P864" s="6" t="s">
        <v>104</v>
      </c>
      <c r="Q864" s="6" t="s">
        <v>104</v>
      </c>
      <c r="R864" s="6" t="s">
        <v>104</v>
      </c>
      <c r="S864" s="6" t="s">
        <v>104</v>
      </c>
      <c r="T864" s="21" t="s">
        <v>104</v>
      </c>
      <c r="U864" s="6" t="s">
        <v>104</v>
      </c>
      <c r="V864" s="6" t="s">
        <v>104</v>
      </c>
      <c r="W864" s="6" t="s">
        <v>104</v>
      </c>
      <c r="X864" s="6" t="s">
        <v>104</v>
      </c>
      <c r="Y864" s="21" t="s">
        <v>104</v>
      </c>
      <c r="Z864" s="6" t="s">
        <v>104</v>
      </c>
      <c r="AA864" s="6" t="s">
        <v>104</v>
      </c>
      <c r="AB864" s="6" t="s">
        <v>104</v>
      </c>
      <c r="AC864" s="6" t="s">
        <v>9714</v>
      </c>
      <c r="AD864" s="16" t="n">
        <v>45392</v>
      </c>
      <c r="AE864" s="6" t="s">
        <v>11295</v>
      </c>
      <c r="AF864" s="6" t="s">
        <v>104</v>
      </c>
      <c r="AG864" s="6" t="s">
        <v>104</v>
      </c>
      <c r="AH864" s="6" t="s">
        <v>13938</v>
      </c>
      <c r="AI864" s="6" t="s">
        <v>104</v>
      </c>
      <c r="AJ864" s="6" t="s">
        <v>15929</v>
      </c>
      <c r="AK864" s="6" t="s">
        <v>16730</v>
      </c>
      <c r="AL864" s="6" t="s">
        <v>16931</v>
      </c>
      <c r="AM864" s="6" t="s">
        <v>17564</v>
      </c>
      <c r="AN864" s="6" t="s">
        <v>104</v>
      </c>
      <c r="AO864" s="6" t="s">
        <v>104</v>
      </c>
      <c r="AP864" s="6" t="s">
        <v>19169</v>
      </c>
      <c r="AQ864" s="6" t="s">
        <v>104</v>
      </c>
      <c r="AR864" s="6" t="s">
        <v>15929</v>
      </c>
      <c r="AS864" s="6" t="s">
        <v>16730</v>
      </c>
      <c r="AT864" s="6" t="s">
        <v>16931</v>
      </c>
      <c r="AU864" s="6" t="s">
        <v>17564</v>
      </c>
      <c r="AV864" s="6" t="s">
        <v>104</v>
      </c>
      <c r="AW864" s="6" t="s">
        <v>104</v>
      </c>
      <c r="AX864" s="6" t="s">
        <v>20796</v>
      </c>
      <c r="AY864" s="6" t="s">
        <v>22571</v>
      </c>
      <c r="AZ864" s="6" t="s">
        <v>104</v>
      </c>
      <c r="BA864" s="6" t="s">
        <v>104</v>
      </c>
      <c r="BB864" s="6" t="s">
        <v>104</v>
      </c>
      <c r="BC864" s="26"/>
      <c r="BD864" s="26"/>
      <c r="BE864" s="26"/>
      <c r="BF864" s="26"/>
      <c r="BG864" s="26"/>
      <c r="BH864" s="26"/>
      <c r="BI864" s="26"/>
      <c r="BJ864" s="26"/>
      <c r="BK864" s="26"/>
      <c r="BL864" s="26"/>
      <c r="BM864" s="26"/>
      <c r="BN864" s="26"/>
      <c r="BO864" s="26"/>
      <c r="BP864" s="16" t="n">
        <v>45735</v>
      </c>
      <c r="BQ864" s="28" t="str">
        <f>HYPERLINK("https://organic.ams.usda.gov/Integrity/Certificate.aspx?cid=19&amp;nopid=6350000627")</f>
        <v>https://organic.ams.usda.gov/Integrity/Certificate.aspx?cid=19&amp;nopid=6350000627</v>
      </c>
    </row>
    <row r="865">
      <c r="A865" t="s">
        <v>3</v>
      </c>
      <c r="B865" s="6" t="s">
        <v>21</v>
      </c>
      <c r="C865" s="6" t="s">
        <v>87</v>
      </c>
      <c r="D865" s="6" t="s">
        <v>152</v>
      </c>
      <c r="E865" s="10" t="s">
        <v>1063</v>
      </c>
      <c r="F865" s="6" t="s">
        <v>3307</v>
      </c>
      <c r="G865" s="6" t="s">
        <v>4759</v>
      </c>
      <c r="H865" s="6" t="s">
        <v>5679</v>
      </c>
      <c r="I865" s="6" t="s">
        <v>7481</v>
      </c>
      <c r="J865" s="6" t="s">
        <v>7645</v>
      </c>
      <c r="K865" s="6" t="s">
        <v>9714</v>
      </c>
      <c r="L865" s="16" t="n">
        <v>40500</v>
      </c>
      <c r="M865" s="16" t="n">
        <v>46023</v>
      </c>
      <c r="N865" s="6" t="s">
        <v>104</v>
      </c>
      <c r="O865" s="21" t="s">
        <v>104</v>
      </c>
      <c r="P865" s="6" t="s">
        <v>104</v>
      </c>
      <c r="Q865" s="6" t="s">
        <v>104</v>
      </c>
      <c r="R865" s="6" t="s">
        <v>104</v>
      </c>
      <c r="S865" s="6" t="s">
        <v>104</v>
      </c>
      <c r="T865" s="21" t="s">
        <v>104</v>
      </c>
      <c r="U865" s="6" t="s">
        <v>104</v>
      </c>
      <c r="V865" s="6" t="s">
        <v>104</v>
      </c>
      <c r="W865" s="6" t="s">
        <v>104</v>
      </c>
      <c r="X865" s="6" t="s">
        <v>104</v>
      </c>
      <c r="Y865" s="21" t="s">
        <v>104</v>
      </c>
      <c r="Z865" s="6" t="s">
        <v>104</v>
      </c>
      <c r="AA865" s="6" t="s">
        <v>104</v>
      </c>
      <c r="AB865" s="6" t="s">
        <v>104</v>
      </c>
      <c r="AC865" s="6" t="s">
        <v>9714</v>
      </c>
      <c r="AD865" s="16" t="n">
        <v>40500</v>
      </c>
      <c r="AE865" s="6" t="s">
        <v>11296</v>
      </c>
      <c r="AF865" s="6" t="s">
        <v>104</v>
      </c>
      <c r="AG865" s="6" t="s">
        <v>104</v>
      </c>
      <c r="AH865" s="6" t="s">
        <v>13939</v>
      </c>
      <c r="AI865" s="6" t="s">
        <v>104</v>
      </c>
      <c r="AJ865" s="6" t="s">
        <v>15930</v>
      </c>
      <c r="AK865" s="6" t="s">
        <v>16710</v>
      </c>
      <c r="AL865" s="6" t="s">
        <v>16931</v>
      </c>
      <c r="AM865" s="6" t="s">
        <v>17565</v>
      </c>
      <c r="AN865" s="6" t="s">
        <v>18461</v>
      </c>
      <c r="AO865" s="6" t="s">
        <v>18753</v>
      </c>
      <c r="AP865" s="6" t="s">
        <v>13939</v>
      </c>
      <c r="AQ865" s="6" t="s">
        <v>104</v>
      </c>
      <c r="AR865" s="6" t="s">
        <v>15930</v>
      </c>
      <c r="AS865" s="6" t="s">
        <v>16710</v>
      </c>
      <c r="AT865" s="6" t="s">
        <v>16931</v>
      </c>
      <c r="AU865" s="6" t="s">
        <v>17565</v>
      </c>
      <c r="AV865" s="6" t="s">
        <v>104</v>
      </c>
      <c r="AW865" s="6" t="s">
        <v>104</v>
      </c>
      <c r="AX865" s="6" t="s">
        <v>20797</v>
      </c>
      <c r="AY865" s="6" t="s">
        <v>22572</v>
      </c>
      <c r="AZ865" s="6" t="s">
        <v>104</v>
      </c>
      <c r="BA865" s="6" t="s">
        <v>24389</v>
      </c>
      <c r="BB865" s="6" t="s">
        <v>104</v>
      </c>
      <c r="BC865" s="26"/>
      <c r="BD865" s="26"/>
      <c r="BE865" s="26"/>
      <c r="BF865" s="26"/>
      <c r="BG865" s="26"/>
      <c r="BH865" s="26"/>
      <c r="BI865" s="26"/>
      <c r="BJ865" s="26"/>
      <c r="BK865" s="26"/>
      <c r="BL865" s="26"/>
      <c r="BM865" s="26"/>
      <c r="BN865" s="26"/>
      <c r="BO865" s="26"/>
      <c r="BP865" s="16" t="n">
        <v>45698</v>
      </c>
      <c r="BQ865" s="28" t="str">
        <f>HYPERLINK("https://organic.ams.usda.gov/Integrity/Certificate.aspx?cid=15&amp;nopid=5561002483")</f>
        <v>https://organic.ams.usda.gov/Integrity/Certificate.aspx?cid=15&amp;nopid=5561002483</v>
      </c>
    </row>
    <row r="866">
      <c r="A866" t="s">
        <v>3</v>
      </c>
      <c r="B866" s="6" t="s">
        <v>19</v>
      </c>
      <c r="C866" s="6" t="s">
        <v>85</v>
      </c>
      <c r="D866" s="6" t="s">
        <v>150</v>
      </c>
      <c r="E866" s="10" t="s">
        <v>1064</v>
      </c>
      <c r="F866" s="6" t="s">
        <v>3308</v>
      </c>
      <c r="G866" s="6" t="s">
        <v>104</v>
      </c>
      <c r="H866" s="6" t="s">
        <v>5680</v>
      </c>
      <c r="I866" s="6" t="s">
        <v>6991</v>
      </c>
      <c r="J866" s="6" t="s">
        <v>8788</v>
      </c>
      <c r="K866" s="6" t="s">
        <v>9714</v>
      </c>
      <c r="L866" s="16" t="n">
        <v>43738</v>
      </c>
      <c r="M866" s="16" t="n">
        <v>45717</v>
      </c>
      <c r="N866" s="6" t="s">
        <v>9714</v>
      </c>
      <c r="O866" s="16" t="n">
        <v>43738</v>
      </c>
      <c r="P866" s="6" t="s">
        <v>9955</v>
      </c>
      <c r="Q866" s="6" t="s">
        <v>104</v>
      </c>
      <c r="R866" s="6" t="s">
        <v>104</v>
      </c>
      <c r="S866" s="6" t="s">
        <v>104</v>
      </c>
      <c r="T866" s="21" t="s">
        <v>104</v>
      </c>
      <c r="U866" s="6" t="s">
        <v>104</v>
      </c>
      <c r="V866" s="6" t="s">
        <v>104</v>
      </c>
      <c r="W866" s="6" t="s">
        <v>104</v>
      </c>
      <c r="X866" s="6" t="s">
        <v>104</v>
      </c>
      <c r="Y866" s="21" t="s">
        <v>104</v>
      </c>
      <c r="Z866" s="6" t="s">
        <v>104</v>
      </c>
      <c r="AA866" s="6" t="s">
        <v>104</v>
      </c>
      <c r="AB866" s="6" t="s">
        <v>104</v>
      </c>
      <c r="AC866" s="6" t="s">
        <v>9714</v>
      </c>
      <c r="AD866" s="16" t="n">
        <v>43738</v>
      </c>
      <c r="AE866" s="6" t="s">
        <v>11297</v>
      </c>
      <c r="AF866" s="6" t="s">
        <v>104</v>
      </c>
      <c r="AG866" s="6" t="s">
        <v>104</v>
      </c>
      <c r="AH866" s="6" t="s">
        <v>13940</v>
      </c>
      <c r="AI866" s="6" t="s">
        <v>104</v>
      </c>
      <c r="AJ866" s="6" t="s">
        <v>15931</v>
      </c>
      <c r="AK866" s="6" t="s">
        <v>16686</v>
      </c>
      <c r="AL866" s="6" t="s">
        <v>16931</v>
      </c>
      <c r="AM866" s="6" t="s">
        <v>17566</v>
      </c>
      <c r="AN866" s="6" t="s">
        <v>18503</v>
      </c>
      <c r="AO866" s="6" t="s">
        <v>18754</v>
      </c>
      <c r="AP866" s="6" t="s">
        <v>19170</v>
      </c>
      <c r="AQ866" s="6" t="s">
        <v>104</v>
      </c>
      <c r="AR866" s="6" t="s">
        <v>19679</v>
      </c>
      <c r="AS866" s="6" t="s">
        <v>16686</v>
      </c>
      <c r="AT866" s="6" t="s">
        <v>16931</v>
      </c>
      <c r="AU866" s="6" t="s">
        <v>19906</v>
      </c>
      <c r="AV866" s="6" t="s">
        <v>104</v>
      </c>
      <c r="AW866" s="6" t="s">
        <v>104</v>
      </c>
      <c r="AX866" s="6" t="s">
        <v>20798</v>
      </c>
      <c r="AY866" s="6" t="s">
        <v>22573</v>
      </c>
      <c r="AZ866" s="6" t="s">
        <v>23914</v>
      </c>
      <c r="BA866" s="6" t="s">
        <v>104</v>
      </c>
      <c r="BB866" s="24" t="n">
        <v>14</v>
      </c>
      <c r="BC866" s="26"/>
      <c r="BD866" s="26"/>
      <c r="BE866" s="26"/>
      <c r="BF866" s="26"/>
      <c r="BG866" s="26"/>
      <c r="BH866" s="26"/>
      <c r="BI866" s="26"/>
      <c r="BJ866" s="26"/>
      <c r="BK866" s="26"/>
      <c r="BL866" s="26"/>
      <c r="BM866" s="26"/>
      <c r="BN866" s="26"/>
      <c r="BO866" s="26"/>
      <c r="BP866" s="16" t="n">
        <v>45684</v>
      </c>
      <c r="BQ866" s="28" t="str">
        <f>HYPERLINK("https://organic.ams.usda.gov/Integrity/Certificate.aspx?cid=68&amp;nopid=8210006771")</f>
        <v>https://organic.ams.usda.gov/Integrity/Certificate.aspx?cid=68&amp;nopid=8210006771</v>
      </c>
    </row>
    <row r="867">
      <c r="A867" t="s">
        <v>3</v>
      </c>
      <c r="B867" s="6" t="s">
        <v>18</v>
      </c>
      <c r="C867" s="6" t="s">
        <v>84</v>
      </c>
      <c r="D867" s="6" t="s">
        <v>149</v>
      </c>
      <c r="E867" s="10" t="s">
        <v>1065</v>
      </c>
      <c r="F867" s="6" t="s">
        <v>3309</v>
      </c>
      <c r="G867" s="6" t="s">
        <v>104</v>
      </c>
      <c r="H867" s="6" t="s">
        <v>5681</v>
      </c>
      <c r="I867" s="6" t="s">
        <v>7482</v>
      </c>
      <c r="J867" s="6" t="s">
        <v>8789</v>
      </c>
      <c r="K867" s="6" t="s">
        <v>9714</v>
      </c>
      <c r="L867" s="16" t="n">
        <v>42180</v>
      </c>
      <c r="M867" s="16" t="n">
        <v>45870</v>
      </c>
      <c r="N867" s="6" t="s">
        <v>9714</v>
      </c>
      <c r="O867" s="16" t="n">
        <v>42180</v>
      </c>
      <c r="P867" s="6" t="s">
        <v>9956</v>
      </c>
      <c r="Q867" s="6" t="s">
        <v>104</v>
      </c>
      <c r="R867" s="6" t="s">
        <v>10355</v>
      </c>
      <c r="S867" s="6" t="s">
        <v>104</v>
      </c>
      <c r="T867" s="21" t="s">
        <v>104</v>
      </c>
      <c r="U867" s="6" t="s">
        <v>104</v>
      </c>
      <c r="V867" s="6" t="s">
        <v>104</v>
      </c>
      <c r="W867" s="6" t="s">
        <v>104</v>
      </c>
      <c r="X867" s="6" t="s">
        <v>104</v>
      </c>
      <c r="Y867" s="21" t="s">
        <v>104</v>
      </c>
      <c r="Z867" s="6" t="s">
        <v>104</v>
      </c>
      <c r="AA867" s="6" t="s">
        <v>104</v>
      </c>
      <c r="AB867" s="6" t="s">
        <v>104</v>
      </c>
      <c r="AC867" s="6" t="s">
        <v>9714</v>
      </c>
      <c r="AD867" s="16" t="n">
        <v>45593</v>
      </c>
      <c r="AE867" s="6" t="s">
        <v>11298</v>
      </c>
      <c r="AF867" s="6" t="s">
        <v>104</v>
      </c>
      <c r="AG867" s="6" t="s">
        <v>12764</v>
      </c>
      <c r="AH867" s="6" t="s">
        <v>13941</v>
      </c>
      <c r="AI867" s="6" t="s">
        <v>104</v>
      </c>
      <c r="AJ867" s="6" t="s">
        <v>15932</v>
      </c>
      <c r="AK867" s="6" t="s">
        <v>16738</v>
      </c>
      <c r="AL867" s="6" t="s">
        <v>16931</v>
      </c>
      <c r="AM867" s="6" t="s">
        <v>17567</v>
      </c>
      <c r="AN867" s="6" t="s">
        <v>18485</v>
      </c>
      <c r="AO867" s="6" t="s">
        <v>18755</v>
      </c>
      <c r="AP867" s="6" t="s">
        <v>19171</v>
      </c>
      <c r="AQ867" s="6" t="s">
        <v>104</v>
      </c>
      <c r="AR867" s="6" t="s">
        <v>15932</v>
      </c>
      <c r="AS867" s="6" t="s">
        <v>16738</v>
      </c>
      <c r="AT867" s="6" t="s">
        <v>16931</v>
      </c>
      <c r="AU867" s="6" t="s">
        <v>17567</v>
      </c>
      <c r="AV867" s="6" t="s">
        <v>104</v>
      </c>
      <c r="AW867" s="6" t="s">
        <v>104</v>
      </c>
      <c r="AX867" s="6" t="s">
        <v>104</v>
      </c>
      <c r="AY867" s="6" t="s">
        <v>104</v>
      </c>
      <c r="AZ867" s="6" t="s">
        <v>104</v>
      </c>
      <c r="BA867" s="6" t="s">
        <v>104</v>
      </c>
      <c r="BB867" s="24" t="n">
        <v>175</v>
      </c>
      <c r="BC867" s="26"/>
      <c r="BD867" s="26"/>
      <c r="BE867" s="26"/>
      <c r="BF867" s="26"/>
      <c r="BG867" s="26"/>
      <c r="BH867" s="26"/>
      <c r="BI867" s="26"/>
      <c r="BJ867" s="26"/>
      <c r="BK867" s="26"/>
      <c r="BL867" s="26"/>
      <c r="BM867" s="26"/>
      <c r="BN867" s="26"/>
      <c r="BO867" s="26"/>
      <c r="BP867" s="16" t="n">
        <v>45737</v>
      </c>
      <c r="BQ867" s="28" t="str">
        <f>HYPERLINK("https://organic.ams.usda.gov/Integrity/Certificate.aspx?cid=31&amp;nopid=3928971491")</f>
        <v>https://organic.ams.usda.gov/Integrity/Certificate.aspx?cid=31&amp;nopid=3928971491</v>
      </c>
    </row>
    <row r="868">
      <c r="A868" t="s">
        <v>3</v>
      </c>
      <c r="B868" s="6" t="s">
        <v>6</v>
      </c>
      <c r="C868" s="6" t="s">
        <v>72</v>
      </c>
      <c r="D868" s="6" t="s">
        <v>137</v>
      </c>
      <c r="E868" s="10" t="s">
        <v>1066</v>
      </c>
      <c r="F868" s="6" t="s">
        <v>3310</v>
      </c>
      <c r="G868" s="6" t="s">
        <v>104</v>
      </c>
      <c r="H868" s="6" t="s">
        <v>5682</v>
      </c>
      <c r="I868" s="6" t="s">
        <v>7483</v>
      </c>
      <c r="J868" s="6" t="s">
        <v>8141</v>
      </c>
      <c r="K868" s="6" t="s">
        <v>9714</v>
      </c>
      <c r="L868" s="16" t="n">
        <v>45632</v>
      </c>
      <c r="M868" s="16" t="n">
        <v>45965</v>
      </c>
      <c r="N868" s="6" t="s">
        <v>104</v>
      </c>
      <c r="O868" s="21" t="s">
        <v>104</v>
      </c>
      <c r="P868" s="6" t="s">
        <v>104</v>
      </c>
      <c r="Q868" s="6" t="s">
        <v>104</v>
      </c>
      <c r="R868" s="6" t="s">
        <v>104</v>
      </c>
      <c r="S868" s="6" t="s">
        <v>104</v>
      </c>
      <c r="T868" s="21" t="s">
        <v>104</v>
      </c>
      <c r="U868" s="6" t="s">
        <v>104</v>
      </c>
      <c r="V868" s="6" t="s">
        <v>104</v>
      </c>
      <c r="W868" s="6" t="s">
        <v>104</v>
      </c>
      <c r="X868" s="6" t="s">
        <v>104</v>
      </c>
      <c r="Y868" s="21" t="s">
        <v>104</v>
      </c>
      <c r="Z868" s="6" t="s">
        <v>104</v>
      </c>
      <c r="AA868" s="6" t="s">
        <v>104</v>
      </c>
      <c r="AB868" s="6" t="s">
        <v>104</v>
      </c>
      <c r="AC868" s="6" t="s">
        <v>9714</v>
      </c>
      <c r="AD868" s="16" t="n">
        <v>45632</v>
      </c>
      <c r="AE868" s="6" t="s">
        <v>10544</v>
      </c>
      <c r="AF868" s="6" t="s">
        <v>104</v>
      </c>
      <c r="AG868" s="6" t="s">
        <v>12765</v>
      </c>
      <c r="AH868" s="6" t="s">
        <v>13942</v>
      </c>
      <c r="AI868" s="6" t="s">
        <v>104</v>
      </c>
      <c r="AJ868" s="6" t="s">
        <v>15369</v>
      </c>
      <c r="AK868" s="6" t="s">
        <v>16685</v>
      </c>
      <c r="AL868" s="6" t="s">
        <v>16932</v>
      </c>
      <c r="AM868" s="6" t="s">
        <v>16996</v>
      </c>
      <c r="AN868" s="6" t="s">
        <v>104</v>
      </c>
      <c r="AO868" s="6" t="s">
        <v>104</v>
      </c>
      <c r="AP868" s="6" t="s">
        <v>104</v>
      </c>
      <c r="AQ868" s="6" t="s">
        <v>104</v>
      </c>
      <c r="AR868" s="6" t="s">
        <v>104</v>
      </c>
      <c r="AS868" s="6" t="s">
        <v>104</v>
      </c>
      <c r="AT868" s="6" t="s">
        <v>104</v>
      </c>
      <c r="AU868" s="6" t="s">
        <v>104</v>
      </c>
      <c r="AV868" s="6" t="s">
        <v>104</v>
      </c>
      <c r="AW868" s="6" t="s">
        <v>104</v>
      </c>
      <c r="AX868" s="6" t="s">
        <v>20126</v>
      </c>
      <c r="AY868" s="6" t="s">
        <v>22574</v>
      </c>
      <c r="AZ868" s="6" t="s">
        <v>104</v>
      </c>
      <c r="BA868" s="6" t="s">
        <v>24258</v>
      </c>
      <c r="BB868" s="6" t="s">
        <v>104</v>
      </c>
      <c r="BC868" s="26"/>
      <c r="BD868" s="26"/>
      <c r="BE868" s="26"/>
      <c r="BF868" s="26"/>
      <c r="BG868" s="26"/>
      <c r="BH868" s="26"/>
      <c r="BI868" s="26"/>
      <c r="BJ868" s="26"/>
      <c r="BK868" s="26"/>
      <c r="BL868" s="26"/>
      <c r="BM868" s="26"/>
      <c r="BN868" s="26"/>
      <c r="BO868" s="26"/>
      <c r="BP868" s="16" t="n">
        <v>45737</v>
      </c>
      <c r="BQ868" s="28" t="str">
        <f>HYPERLINK("https://organic.ams.usda.gov/Integrity/Certificate.aspx?cid=32&amp;nopid=2230011637")</f>
        <v>https://organic.ams.usda.gov/Integrity/Certificate.aspx?cid=32&amp;nopid=2230011637</v>
      </c>
    </row>
    <row r="869">
      <c r="A869" t="s">
        <v>3</v>
      </c>
      <c r="B869" s="6" t="s">
        <v>21</v>
      </c>
      <c r="C869" s="6" t="s">
        <v>87</v>
      </c>
      <c r="D869" s="6" t="s">
        <v>152</v>
      </c>
      <c r="E869" s="10" t="s">
        <v>1067</v>
      </c>
      <c r="F869" s="6" t="s">
        <v>3311</v>
      </c>
      <c r="G869" s="6" t="s">
        <v>4760</v>
      </c>
      <c r="H869" s="6" t="s">
        <v>5683</v>
      </c>
      <c r="I869" s="6" t="s">
        <v>7280</v>
      </c>
      <c r="J869" s="6" t="s">
        <v>8790</v>
      </c>
      <c r="K869" s="6" t="s">
        <v>9714</v>
      </c>
      <c r="L869" s="16" t="n">
        <v>45681</v>
      </c>
      <c r="M869" s="16" t="n">
        <v>46023</v>
      </c>
      <c r="N869" s="6" t="s">
        <v>104</v>
      </c>
      <c r="O869" s="21" t="s">
        <v>104</v>
      </c>
      <c r="P869" s="6" t="s">
        <v>104</v>
      </c>
      <c r="Q869" s="6" t="s">
        <v>104</v>
      </c>
      <c r="R869" s="6" t="s">
        <v>104</v>
      </c>
      <c r="S869" s="6" t="s">
        <v>104</v>
      </c>
      <c r="T869" s="21" t="s">
        <v>104</v>
      </c>
      <c r="U869" s="6" t="s">
        <v>104</v>
      </c>
      <c r="V869" s="6" t="s">
        <v>104</v>
      </c>
      <c r="W869" s="6" t="s">
        <v>104</v>
      </c>
      <c r="X869" s="6" t="s">
        <v>104</v>
      </c>
      <c r="Y869" s="21" t="s">
        <v>104</v>
      </c>
      <c r="Z869" s="6" t="s">
        <v>104</v>
      </c>
      <c r="AA869" s="6" t="s">
        <v>104</v>
      </c>
      <c r="AB869" s="6" t="s">
        <v>104</v>
      </c>
      <c r="AC869" s="6" t="s">
        <v>9714</v>
      </c>
      <c r="AD869" s="16" t="n">
        <v>45681</v>
      </c>
      <c r="AE869" s="6" t="s">
        <v>11299</v>
      </c>
      <c r="AF869" s="6" t="s">
        <v>104</v>
      </c>
      <c r="AG869" s="6" t="s">
        <v>104</v>
      </c>
      <c r="AH869" s="6" t="s">
        <v>13943</v>
      </c>
      <c r="AI869" s="6" t="s">
        <v>15260</v>
      </c>
      <c r="AJ869" s="6" t="s">
        <v>15933</v>
      </c>
      <c r="AK869" s="6" t="s">
        <v>16687</v>
      </c>
      <c r="AL869" s="6" t="s">
        <v>16931</v>
      </c>
      <c r="AM869" s="6" t="s">
        <v>17568</v>
      </c>
      <c r="AN869" s="6" t="s">
        <v>104</v>
      </c>
      <c r="AO869" s="6" t="s">
        <v>104</v>
      </c>
      <c r="AP869" s="6" t="s">
        <v>13943</v>
      </c>
      <c r="AQ869" s="6" t="s">
        <v>15260</v>
      </c>
      <c r="AR869" s="6" t="s">
        <v>15933</v>
      </c>
      <c r="AS869" s="6" t="s">
        <v>16687</v>
      </c>
      <c r="AT869" s="6" t="s">
        <v>16931</v>
      </c>
      <c r="AU869" s="6" t="s">
        <v>17568</v>
      </c>
      <c r="AV869" s="6" t="s">
        <v>104</v>
      </c>
      <c r="AW869" s="6" t="s">
        <v>104</v>
      </c>
      <c r="AX869" s="6" t="s">
        <v>20799</v>
      </c>
      <c r="AY869" s="6" t="s">
        <v>22575</v>
      </c>
      <c r="AZ869" s="6" t="s">
        <v>23915</v>
      </c>
      <c r="BA869" s="6" t="s">
        <v>24263</v>
      </c>
      <c r="BB869" s="6" t="s">
        <v>104</v>
      </c>
      <c r="BC869" s="26" t="s">
        <v>24533</v>
      </c>
      <c r="BD869" s="26"/>
      <c r="BE869" s="26"/>
      <c r="BF869" s="26"/>
      <c r="BG869" s="26"/>
      <c r="BH869" s="26"/>
      <c r="BI869" s="26"/>
      <c r="BJ869" s="26"/>
      <c r="BK869" s="26"/>
      <c r="BL869" s="26"/>
      <c r="BM869" s="26"/>
      <c r="BN869" s="26"/>
      <c r="BO869" s="26"/>
      <c r="BP869" s="16" t="n">
        <v>45721</v>
      </c>
      <c r="BQ869" s="28" t="str">
        <f>HYPERLINK("https://organic.ams.usda.gov/Integrity/Certificate.aspx?cid=15&amp;nopid=5561008639")</f>
        <v>https://organic.ams.usda.gov/Integrity/Certificate.aspx?cid=15&amp;nopid=5561008639</v>
      </c>
    </row>
    <row r="870">
      <c r="A870" t="s">
        <v>3</v>
      </c>
      <c r="B870" s="6" t="s">
        <v>20</v>
      </c>
      <c r="C870" s="6" t="s">
        <v>86</v>
      </c>
      <c r="D870" s="6" t="s">
        <v>151</v>
      </c>
      <c r="E870" s="10" t="s">
        <v>1068</v>
      </c>
      <c r="F870" s="6" t="s">
        <v>3312</v>
      </c>
      <c r="G870" s="6" t="s">
        <v>104</v>
      </c>
      <c r="H870" s="6" t="s">
        <v>5684</v>
      </c>
      <c r="I870" s="6" t="s">
        <v>7484</v>
      </c>
      <c r="J870" s="6" t="s">
        <v>8791</v>
      </c>
      <c r="K870" s="6" t="s">
        <v>9714</v>
      </c>
      <c r="L870" s="16" t="n">
        <v>43508</v>
      </c>
      <c r="M870" s="16" t="n">
        <v>45961</v>
      </c>
      <c r="N870" s="6" t="s">
        <v>104</v>
      </c>
      <c r="O870" s="21" t="s">
        <v>104</v>
      </c>
      <c r="P870" s="6" t="s">
        <v>104</v>
      </c>
      <c r="Q870" s="6" t="s">
        <v>104</v>
      </c>
      <c r="R870" s="6" t="s">
        <v>104</v>
      </c>
      <c r="S870" s="6" t="s">
        <v>104</v>
      </c>
      <c r="T870" s="21" t="s">
        <v>104</v>
      </c>
      <c r="U870" s="6" t="s">
        <v>104</v>
      </c>
      <c r="V870" s="6" t="s">
        <v>104</v>
      </c>
      <c r="W870" s="6" t="s">
        <v>104</v>
      </c>
      <c r="X870" s="6" t="s">
        <v>104</v>
      </c>
      <c r="Y870" s="21" t="s">
        <v>104</v>
      </c>
      <c r="Z870" s="6" t="s">
        <v>104</v>
      </c>
      <c r="AA870" s="6" t="s">
        <v>104</v>
      </c>
      <c r="AB870" s="6" t="s">
        <v>104</v>
      </c>
      <c r="AC870" s="6" t="s">
        <v>9714</v>
      </c>
      <c r="AD870" s="16" t="n">
        <v>43508</v>
      </c>
      <c r="AE870" s="6" t="s">
        <v>11300</v>
      </c>
      <c r="AF870" s="6" t="s">
        <v>104</v>
      </c>
      <c r="AG870" s="6" t="s">
        <v>12766</v>
      </c>
      <c r="AH870" s="6" t="s">
        <v>13944</v>
      </c>
      <c r="AI870" s="6" t="s">
        <v>104</v>
      </c>
      <c r="AJ870" s="6" t="s">
        <v>15934</v>
      </c>
      <c r="AK870" s="6" t="s">
        <v>16819</v>
      </c>
      <c r="AL870" s="6" t="s">
        <v>15513</v>
      </c>
      <c r="AM870" s="6" t="s">
        <v>17569</v>
      </c>
      <c r="AN870" s="6" t="s">
        <v>104</v>
      </c>
      <c r="AO870" s="6" t="s">
        <v>104</v>
      </c>
      <c r="AP870" s="6" t="s">
        <v>104</v>
      </c>
      <c r="AQ870" s="6" t="s">
        <v>104</v>
      </c>
      <c r="AR870" s="6" t="s">
        <v>104</v>
      </c>
      <c r="AS870" s="6" t="s">
        <v>104</v>
      </c>
      <c r="AT870" s="6" t="s">
        <v>104</v>
      </c>
      <c r="AU870" s="6" t="s">
        <v>104</v>
      </c>
      <c r="AV870" s="6" t="s">
        <v>104</v>
      </c>
      <c r="AW870" s="6" t="s">
        <v>104</v>
      </c>
      <c r="AX870" s="6" t="s">
        <v>20800</v>
      </c>
      <c r="AY870" s="6" t="s">
        <v>22576</v>
      </c>
      <c r="AZ870" s="6" t="s">
        <v>104</v>
      </c>
      <c r="BA870" s="6" t="s">
        <v>104</v>
      </c>
      <c r="BB870" s="6" t="s">
        <v>104</v>
      </c>
      <c r="BC870" s="26"/>
      <c r="BD870" s="26"/>
      <c r="BE870" s="26"/>
      <c r="BF870" s="26"/>
      <c r="BG870" s="26"/>
      <c r="BH870" s="26"/>
      <c r="BI870" s="26"/>
      <c r="BJ870" s="26"/>
      <c r="BK870" s="26"/>
      <c r="BL870" s="26"/>
      <c r="BM870" s="26"/>
      <c r="BN870" s="26"/>
      <c r="BO870" s="26"/>
      <c r="BP870" s="16" t="n">
        <v>45655</v>
      </c>
      <c r="BQ870" s="28" t="str">
        <f>HYPERLINK("https://organic.ams.usda.gov/Integrity/Certificate.aspx?cid=17&amp;nopid=4087184971")</f>
        <v>https://organic.ams.usda.gov/Integrity/Certificate.aspx?cid=17&amp;nopid=4087184971</v>
      </c>
    </row>
    <row r="871">
      <c r="A871" t="s">
        <v>3</v>
      </c>
      <c r="B871" s="6" t="s">
        <v>13</v>
      </c>
      <c r="C871" s="6" t="s">
        <v>79</v>
      </c>
      <c r="D871" s="6" t="s">
        <v>144</v>
      </c>
      <c r="E871" s="10" t="s">
        <v>1069</v>
      </c>
      <c r="F871" s="6" t="s">
        <v>3313</v>
      </c>
      <c r="G871" s="6" t="s">
        <v>104</v>
      </c>
      <c r="H871" s="6" t="s">
        <v>5685</v>
      </c>
      <c r="I871" s="6" t="s">
        <v>7485</v>
      </c>
      <c r="J871" s="6" t="s">
        <v>8792</v>
      </c>
      <c r="K871" s="6" t="s">
        <v>9714</v>
      </c>
      <c r="L871" s="16" t="n">
        <v>37375</v>
      </c>
      <c r="M871" s="16" t="n">
        <v>46023</v>
      </c>
      <c r="N871" s="6" t="s">
        <v>104</v>
      </c>
      <c r="O871" s="21" t="s">
        <v>104</v>
      </c>
      <c r="P871" s="6" t="s">
        <v>104</v>
      </c>
      <c r="Q871" s="6" t="s">
        <v>104</v>
      </c>
      <c r="R871" s="6" t="s">
        <v>104</v>
      </c>
      <c r="S871" s="6" t="s">
        <v>104</v>
      </c>
      <c r="T871" s="21" t="s">
        <v>104</v>
      </c>
      <c r="U871" s="6" t="s">
        <v>104</v>
      </c>
      <c r="V871" s="6" t="s">
        <v>104</v>
      </c>
      <c r="W871" s="6" t="s">
        <v>104</v>
      </c>
      <c r="X871" s="6" t="s">
        <v>104</v>
      </c>
      <c r="Y871" s="21" t="s">
        <v>104</v>
      </c>
      <c r="Z871" s="6" t="s">
        <v>104</v>
      </c>
      <c r="AA871" s="6" t="s">
        <v>104</v>
      </c>
      <c r="AB871" s="6" t="s">
        <v>104</v>
      </c>
      <c r="AC871" s="6" t="s">
        <v>9714</v>
      </c>
      <c r="AD871" s="16" t="n">
        <v>37375</v>
      </c>
      <c r="AE871" s="6" t="s">
        <v>11301</v>
      </c>
      <c r="AF871" s="6" t="s">
        <v>104</v>
      </c>
      <c r="AG871" s="6" t="s">
        <v>104</v>
      </c>
      <c r="AH871" s="6" t="s">
        <v>104</v>
      </c>
      <c r="AI871" s="6" t="s">
        <v>104</v>
      </c>
      <c r="AJ871" s="6" t="s">
        <v>104</v>
      </c>
      <c r="AK871" s="6" t="s">
        <v>104</v>
      </c>
      <c r="AL871" s="6" t="s">
        <v>104</v>
      </c>
      <c r="AM871" s="6" t="s">
        <v>104</v>
      </c>
      <c r="AN871" s="6" t="s">
        <v>104</v>
      </c>
      <c r="AO871" s="6" t="s">
        <v>104</v>
      </c>
      <c r="AP871" s="6" t="s">
        <v>19172</v>
      </c>
      <c r="AQ871" s="6" t="s">
        <v>104</v>
      </c>
      <c r="AR871" s="6" t="s">
        <v>19680</v>
      </c>
      <c r="AS871" s="6" t="s">
        <v>16735</v>
      </c>
      <c r="AT871" s="6" t="s">
        <v>16931</v>
      </c>
      <c r="AU871" s="6" t="s">
        <v>19907</v>
      </c>
      <c r="AV871" s="6" t="s">
        <v>104</v>
      </c>
      <c r="AW871" s="6" t="s">
        <v>104</v>
      </c>
      <c r="AX871" s="6" t="s">
        <v>20801</v>
      </c>
      <c r="AY871" s="6" t="s">
        <v>22577</v>
      </c>
      <c r="AZ871" s="6" t="s">
        <v>23916</v>
      </c>
      <c r="BA871" s="6" t="s">
        <v>104</v>
      </c>
      <c r="BB871" s="6" t="s">
        <v>104</v>
      </c>
      <c r="BC871" s="26"/>
      <c r="BD871" s="26"/>
      <c r="BE871" s="26"/>
      <c r="BF871" s="26"/>
      <c r="BG871" s="26"/>
      <c r="BH871" s="26"/>
      <c r="BI871" s="26"/>
      <c r="BJ871" s="26"/>
      <c r="BK871" s="26"/>
      <c r="BL871" s="26"/>
      <c r="BM871" s="26"/>
      <c r="BN871" s="26"/>
      <c r="BO871" s="26"/>
      <c r="BP871" s="16" t="n">
        <v>45712</v>
      </c>
      <c r="BQ871" s="28" t="str">
        <f>HYPERLINK("https://organic.ams.usda.gov/Integrity/Certificate.aspx?cid=62&amp;nopid=8150000659")</f>
        <v>https://organic.ams.usda.gov/Integrity/Certificate.aspx?cid=62&amp;nopid=8150000659</v>
      </c>
    </row>
    <row r="872">
      <c r="A872" t="s">
        <v>3</v>
      </c>
      <c r="B872" s="6" t="s">
        <v>37</v>
      </c>
      <c r="C872" s="6" t="s">
        <v>103</v>
      </c>
      <c r="D872" s="6" t="s">
        <v>168</v>
      </c>
      <c r="E872" s="10" t="s">
        <v>1070</v>
      </c>
      <c r="F872" s="6" t="s">
        <v>3314</v>
      </c>
      <c r="G872" s="6" t="s">
        <v>104</v>
      </c>
      <c r="H872" s="6" t="s">
        <v>5686</v>
      </c>
      <c r="I872" s="6" t="s">
        <v>7486</v>
      </c>
      <c r="J872" s="6" t="s">
        <v>8793</v>
      </c>
      <c r="K872" s="6" t="s">
        <v>9714</v>
      </c>
      <c r="L872" s="16" t="n">
        <v>44562</v>
      </c>
      <c r="M872" s="16" t="n">
        <v>45748</v>
      </c>
      <c r="N872" s="6" t="s">
        <v>104</v>
      </c>
      <c r="O872" s="21" t="s">
        <v>104</v>
      </c>
      <c r="P872" s="6" t="s">
        <v>104</v>
      </c>
      <c r="Q872" s="6" t="s">
        <v>104</v>
      </c>
      <c r="R872" s="6" t="s">
        <v>104</v>
      </c>
      <c r="S872" s="6" t="s">
        <v>104</v>
      </c>
      <c r="T872" s="21" t="s">
        <v>104</v>
      </c>
      <c r="U872" s="6" t="s">
        <v>104</v>
      </c>
      <c r="V872" s="6" t="s">
        <v>104</v>
      </c>
      <c r="W872" s="6" t="s">
        <v>104</v>
      </c>
      <c r="X872" s="6" t="s">
        <v>104</v>
      </c>
      <c r="Y872" s="21" t="s">
        <v>104</v>
      </c>
      <c r="Z872" s="6" t="s">
        <v>104</v>
      </c>
      <c r="AA872" s="6" t="s">
        <v>104</v>
      </c>
      <c r="AB872" s="6" t="s">
        <v>104</v>
      </c>
      <c r="AC872" s="6" t="s">
        <v>9714</v>
      </c>
      <c r="AD872" s="16" t="n">
        <v>44562</v>
      </c>
      <c r="AE872" s="6" t="s">
        <v>11302</v>
      </c>
      <c r="AF872" s="6" t="s">
        <v>104</v>
      </c>
      <c r="AG872" s="6" t="s">
        <v>12767</v>
      </c>
      <c r="AH872" s="6" t="s">
        <v>13945</v>
      </c>
      <c r="AI872" s="6" t="s">
        <v>104</v>
      </c>
      <c r="AJ872" s="6" t="s">
        <v>15935</v>
      </c>
      <c r="AK872" s="6" t="s">
        <v>16693</v>
      </c>
      <c r="AL872" s="6" t="s">
        <v>16931</v>
      </c>
      <c r="AM872" s="6" t="s">
        <v>17570</v>
      </c>
      <c r="AN872" s="6" t="s">
        <v>18471</v>
      </c>
      <c r="AO872" s="6" t="s">
        <v>18756</v>
      </c>
      <c r="AP872" s="6" t="s">
        <v>13945</v>
      </c>
      <c r="AQ872" s="6" t="s">
        <v>104</v>
      </c>
      <c r="AR872" s="6" t="s">
        <v>15935</v>
      </c>
      <c r="AS872" s="6" t="s">
        <v>16693</v>
      </c>
      <c r="AT872" s="6" t="s">
        <v>16931</v>
      </c>
      <c r="AU872" s="6" t="s">
        <v>17570</v>
      </c>
      <c r="AV872" s="6" t="s">
        <v>104</v>
      </c>
      <c r="AW872" s="6" t="s">
        <v>104</v>
      </c>
      <c r="AX872" s="6" t="s">
        <v>20802</v>
      </c>
      <c r="AY872" s="6" t="s">
        <v>22578</v>
      </c>
      <c r="AZ872" s="6" t="s">
        <v>104</v>
      </c>
      <c r="BA872" s="6" t="s">
        <v>104</v>
      </c>
      <c r="BB872" s="6" t="s">
        <v>104</v>
      </c>
      <c r="BC872" s="26"/>
      <c r="BD872" s="26"/>
      <c r="BE872" s="26"/>
      <c r="BF872" s="26"/>
      <c r="BG872" s="26"/>
      <c r="BH872" s="26"/>
      <c r="BI872" s="26"/>
      <c r="BJ872" s="26"/>
      <c r="BK872" s="26"/>
      <c r="BL872" s="26"/>
      <c r="BM872" s="26"/>
      <c r="BN872" s="26"/>
      <c r="BO872" s="26"/>
      <c r="BP872" s="16" t="n">
        <v>45730</v>
      </c>
      <c r="BQ872" s="28" t="str">
        <f>HYPERLINK("https://organic.ams.usda.gov/Integrity/Certificate.aspx?cid=90&amp;nopid=7170220443")</f>
        <v>https://organic.ams.usda.gov/Integrity/Certificate.aspx?cid=90&amp;nopid=7170220443</v>
      </c>
    </row>
    <row r="873">
      <c r="A873" t="s">
        <v>3</v>
      </c>
      <c r="B873" s="6" t="s">
        <v>29</v>
      </c>
      <c r="C873" s="6" t="s">
        <v>95</v>
      </c>
      <c r="D873" s="6" t="s">
        <v>160</v>
      </c>
      <c r="E873" s="10" t="s">
        <v>1071</v>
      </c>
      <c r="F873" s="6" t="s">
        <v>3315</v>
      </c>
      <c r="G873" s="6" t="s">
        <v>104</v>
      </c>
      <c r="H873" s="6" t="s">
        <v>5687</v>
      </c>
      <c r="I873" s="6" t="s">
        <v>104</v>
      </c>
      <c r="J873" s="6" t="s">
        <v>8794</v>
      </c>
      <c r="K873" s="6" t="s">
        <v>9714</v>
      </c>
      <c r="L873" s="16" t="n">
        <v>44729</v>
      </c>
      <c r="M873" s="16" t="n">
        <v>46054</v>
      </c>
      <c r="N873" s="6" t="s">
        <v>104</v>
      </c>
      <c r="O873" s="21" t="s">
        <v>104</v>
      </c>
      <c r="P873" s="6" t="s">
        <v>104</v>
      </c>
      <c r="Q873" s="6" t="s">
        <v>104</v>
      </c>
      <c r="R873" s="6" t="s">
        <v>104</v>
      </c>
      <c r="S873" s="6" t="s">
        <v>104</v>
      </c>
      <c r="T873" s="21" t="s">
        <v>104</v>
      </c>
      <c r="U873" s="6" t="s">
        <v>104</v>
      </c>
      <c r="V873" s="6" t="s">
        <v>104</v>
      </c>
      <c r="W873" s="6" t="s">
        <v>104</v>
      </c>
      <c r="X873" s="6" t="s">
        <v>104</v>
      </c>
      <c r="Y873" s="21" t="s">
        <v>104</v>
      </c>
      <c r="Z873" s="6" t="s">
        <v>104</v>
      </c>
      <c r="AA873" s="6" t="s">
        <v>104</v>
      </c>
      <c r="AB873" s="6" t="s">
        <v>104</v>
      </c>
      <c r="AC873" s="6" t="s">
        <v>9714</v>
      </c>
      <c r="AD873" s="16" t="n">
        <v>44729</v>
      </c>
      <c r="AE873" s="6" t="s">
        <v>11303</v>
      </c>
      <c r="AF873" s="6" t="s">
        <v>104</v>
      </c>
      <c r="AG873" s="6" t="s">
        <v>104</v>
      </c>
      <c r="AH873" s="6" t="s">
        <v>13946</v>
      </c>
      <c r="AI873" s="6" t="s">
        <v>104</v>
      </c>
      <c r="AJ873" s="6" t="s">
        <v>15936</v>
      </c>
      <c r="AK873" s="6" t="s">
        <v>16699</v>
      </c>
      <c r="AL873" s="6" t="s">
        <v>16932</v>
      </c>
      <c r="AM873" s="6" t="s">
        <v>17571</v>
      </c>
      <c r="AN873" s="6" t="s">
        <v>104</v>
      </c>
      <c r="AO873" s="6" t="s">
        <v>104</v>
      </c>
      <c r="AP873" s="6" t="s">
        <v>104</v>
      </c>
      <c r="AQ873" s="6" t="s">
        <v>104</v>
      </c>
      <c r="AR873" s="6" t="s">
        <v>104</v>
      </c>
      <c r="AS873" s="6" t="s">
        <v>104</v>
      </c>
      <c r="AT873" s="6" t="s">
        <v>104</v>
      </c>
      <c r="AU873" s="6" t="s">
        <v>104</v>
      </c>
      <c r="AV873" s="6" t="s">
        <v>104</v>
      </c>
      <c r="AW873" s="6" t="s">
        <v>104</v>
      </c>
      <c r="AX873" s="6" t="s">
        <v>20803</v>
      </c>
      <c r="AY873" s="6" t="s">
        <v>22579</v>
      </c>
      <c r="AZ873" s="6" t="s">
        <v>104</v>
      </c>
      <c r="BA873" s="6" t="s">
        <v>104</v>
      </c>
      <c r="BB873" s="24" t="n">
        <v>0</v>
      </c>
      <c r="BC873" s="26"/>
      <c r="BD873" s="26"/>
      <c r="BE873" s="26"/>
      <c r="BF873" s="26"/>
      <c r="BG873" s="26"/>
      <c r="BH873" s="26"/>
      <c r="BI873" s="26"/>
      <c r="BJ873" s="26"/>
      <c r="BK873" s="26"/>
      <c r="BL873" s="26"/>
      <c r="BM873" s="26"/>
      <c r="BN873" s="26"/>
      <c r="BO873" s="26"/>
      <c r="BP873" s="16" t="n">
        <v>45690</v>
      </c>
      <c r="BQ873" s="28" t="str">
        <f>HYPERLINK("https://organic.ams.usda.gov/Integrity/Certificate.aspx?cid=24&amp;nopid=7880249655")</f>
        <v>https://organic.ams.usda.gov/Integrity/Certificate.aspx?cid=24&amp;nopid=7880249655</v>
      </c>
    </row>
    <row r="874">
      <c r="A874" t="s">
        <v>3</v>
      </c>
      <c r="B874" s="6" t="s">
        <v>21</v>
      </c>
      <c r="C874" s="6" t="s">
        <v>87</v>
      </c>
      <c r="D874" s="6" t="s">
        <v>152</v>
      </c>
      <c r="E874" s="10" t="s">
        <v>1072</v>
      </c>
      <c r="F874" s="6" t="s">
        <v>3316</v>
      </c>
      <c r="G874" s="6" t="s">
        <v>104</v>
      </c>
      <c r="H874" s="6" t="s">
        <v>5688</v>
      </c>
      <c r="I874" s="6" t="s">
        <v>6974</v>
      </c>
      <c r="J874" s="6" t="s">
        <v>8795</v>
      </c>
      <c r="K874" s="6" t="s">
        <v>9714</v>
      </c>
      <c r="L874" s="16" t="n">
        <v>34916</v>
      </c>
      <c r="M874" s="16" t="n">
        <v>46023</v>
      </c>
      <c r="N874" s="6" t="s">
        <v>9714</v>
      </c>
      <c r="O874" s="16" t="n">
        <v>34916</v>
      </c>
      <c r="P874" s="6" t="s">
        <v>9957</v>
      </c>
      <c r="Q874" s="6" t="s">
        <v>104</v>
      </c>
      <c r="R874" s="6" t="s">
        <v>104</v>
      </c>
      <c r="S874" s="6" t="s">
        <v>9721</v>
      </c>
      <c r="T874" s="16" t="n">
        <v>41416</v>
      </c>
      <c r="U874" s="6" t="s">
        <v>104</v>
      </c>
      <c r="V874" s="6" t="s">
        <v>104</v>
      </c>
      <c r="W874" s="6" t="s">
        <v>104</v>
      </c>
      <c r="X874" s="6" t="s">
        <v>104</v>
      </c>
      <c r="Y874" s="21" t="s">
        <v>104</v>
      </c>
      <c r="Z874" s="6" t="s">
        <v>104</v>
      </c>
      <c r="AA874" s="6" t="s">
        <v>104</v>
      </c>
      <c r="AB874" s="6" t="s">
        <v>104</v>
      </c>
      <c r="AC874" s="6" t="s">
        <v>104</v>
      </c>
      <c r="AD874" s="21" t="s">
        <v>104</v>
      </c>
      <c r="AE874" s="6" t="s">
        <v>104</v>
      </c>
      <c r="AF874" s="6" t="s">
        <v>104</v>
      </c>
      <c r="AG874" s="6" t="s">
        <v>104</v>
      </c>
      <c r="AH874" s="6" t="s">
        <v>13947</v>
      </c>
      <c r="AI874" s="6" t="s">
        <v>15271</v>
      </c>
      <c r="AJ874" s="6" t="s">
        <v>15937</v>
      </c>
      <c r="AK874" s="6" t="s">
        <v>16687</v>
      </c>
      <c r="AL874" s="6" t="s">
        <v>16931</v>
      </c>
      <c r="AM874" s="6" t="s">
        <v>17572</v>
      </c>
      <c r="AN874" s="6" t="s">
        <v>18509</v>
      </c>
      <c r="AO874" s="6" t="s">
        <v>18757</v>
      </c>
      <c r="AP874" s="6" t="s">
        <v>19173</v>
      </c>
      <c r="AQ874" s="6" t="s">
        <v>104</v>
      </c>
      <c r="AR874" s="6" t="s">
        <v>15937</v>
      </c>
      <c r="AS874" s="6" t="s">
        <v>16687</v>
      </c>
      <c r="AT874" s="6" t="s">
        <v>16931</v>
      </c>
      <c r="AU874" s="6" t="s">
        <v>19908</v>
      </c>
      <c r="AV874" s="6" t="s">
        <v>104</v>
      </c>
      <c r="AW874" s="6" t="s">
        <v>104</v>
      </c>
      <c r="AX874" s="6" t="s">
        <v>20804</v>
      </c>
      <c r="AY874" s="6" t="s">
        <v>22580</v>
      </c>
      <c r="AZ874" s="6" t="s">
        <v>23917</v>
      </c>
      <c r="BA874" s="6" t="s">
        <v>24390</v>
      </c>
      <c r="BB874" s="24" t="n">
        <v>36163</v>
      </c>
      <c r="BC874" s="26"/>
      <c r="BD874" s="26"/>
      <c r="BE874" s="26"/>
      <c r="BF874" s="26"/>
      <c r="BG874" s="26"/>
      <c r="BH874" s="26"/>
      <c r="BI874" s="26"/>
      <c r="BJ874" s="26"/>
      <c r="BK874" s="26"/>
      <c r="BL874" s="26"/>
      <c r="BM874" s="26"/>
      <c r="BN874" s="26"/>
      <c r="BO874" s="26"/>
      <c r="BP874" s="16" t="n">
        <v>45727</v>
      </c>
      <c r="BQ874" s="28" t="str">
        <f>HYPERLINK("https://organic.ams.usda.gov/Integrity/Certificate.aspx?cid=15&amp;nopid=5561001038")</f>
        <v>https://organic.ams.usda.gov/Integrity/Certificate.aspx?cid=15&amp;nopid=5561001038</v>
      </c>
    </row>
    <row r="875">
      <c r="A875" t="s">
        <v>3</v>
      </c>
      <c r="B875" s="6" t="s">
        <v>21</v>
      </c>
      <c r="C875" s="6" t="s">
        <v>87</v>
      </c>
      <c r="D875" s="6" t="s">
        <v>152</v>
      </c>
      <c r="E875" s="10" t="s">
        <v>1073</v>
      </c>
      <c r="F875" s="6" t="s">
        <v>3317</v>
      </c>
      <c r="G875" s="6" t="s">
        <v>104</v>
      </c>
      <c r="H875" s="6" t="s">
        <v>5689</v>
      </c>
      <c r="I875" s="6" t="s">
        <v>6974</v>
      </c>
      <c r="J875" s="6" t="s">
        <v>8795</v>
      </c>
      <c r="K875" s="6" t="s">
        <v>9714</v>
      </c>
      <c r="L875" s="16" t="n">
        <v>34916</v>
      </c>
      <c r="M875" s="16" t="n">
        <v>46023</v>
      </c>
      <c r="N875" s="6" t="s">
        <v>9714</v>
      </c>
      <c r="O875" s="16" t="n">
        <v>34916</v>
      </c>
      <c r="P875" s="6" t="s">
        <v>9958</v>
      </c>
      <c r="Q875" s="6" t="s">
        <v>104</v>
      </c>
      <c r="R875" s="6" t="s">
        <v>104</v>
      </c>
      <c r="S875" s="6" t="s">
        <v>104</v>
      </c>
      <c r="T875" s="21" t="s">
        <v>104</v>
      </c>
      <c r="U875" s="6" t="s">
        <v>104</v>
      </c>
      <c r="V875" s="6" t="s">
        <v>104</v>
      </c>
      <c r="W875" s="6" t="s">
        <v>104</v>
      </c>
      <c r="X875" s="6" t="s">
        <v>104</v>
      </c>
      <c r="Y875" s="21" t="s">
        <v>104</v>
      </c>
      <c r="Z875" s="6" t="s">
        <v>104</v>
      </c>
      <c r="AA875" s="6" t="s">
        <v>104</v>
      </c>
      <c r="AB875" s="6" t="s">
        <v>104</v>
      </c>
      <c r="AC875" s="6" t="s">
        <v>104</v>
      </c>
      <c r="AD875" s="21" t="s">
        <v>104</v>
      </c>
      <c r="AE875" s="6" t="s">
        <v>104</v>
      </c>
      <c r="AF875" s="6" t="s">
        <v>104</v>
      </c>
      <c r="AG875" s="6" t="s">
        <v>104</v>
      </c>
      <c r="AH875" s="6" t="s">
        <v>13948</v>
      </c>
      <c r="AI875" s="6" t="s">
        <v>104</v>
      </c>
      <c r="AJ875" s="6" t="s">
        <v>15938</v>
      </c>
      <c r="AK875" s="6" t="s">
        <v>16687</v>
      </c>
      <c r="AL875" s="6" t="s">
        <v>16931</v>
      </c>
      <c r="AM875" s="6" t="s">
        <v>17573</v>
      </c>
      <c r="AN875" s="6" t="s">
        <v>104</v>
      </c>
      <c r="AO875" s="6" t="s">
        <v>104</v>
      </c>
      <c r="AP875" s="6" t="s">
        <v>19173</v>
      </c>
      <c r="AQ875" s="6" t="s">
        <v>104</v>
      </c>
      <c r="AR875" s="6" t="s">
        <v>15937</v>
      </c>
      <c r="AS875" s="6" t="s">
        <v>16687</v>
      </c>
      <c r="AT875" s="6" t="s">
        <v>16931</v>
      </c>
      <c r="AU875" s="6" t="s">
        <v>19908</v>
      </c>
      <c r="AV875" s="6" t="s">
        <v>104</v>
      </c>
      <c r="AW875" s="6" t="s">
        <v>104</v>
      </c>
      <c r="AX875" s="6" t="s">
        <v>20804</v>
      </c>
      <c r="AY875" s="6" t="s">
        <v>22580</v>
      </c>
      <c r="AZ875" s="6" t="s">
        <v>23917</v>
      </c>
      <c r="BA875" s="6" t="s">
        <v>24263</v>
      </c>
      <c r="BB875" s="24" t="n">
        <v>9863</v>
      </c>
      <c r="BC875" s="26"/>
      <c r="BD875" s="26"/>
      <c r="BE875" s="26"/>
      <c r="BF875" s="26"/>
      <c r="BG875" s="26"/>
      <c r="BH875" s="26"/>
      <c r="BI875" s="26"/>
      <c r="BJ875" s="26"/>
      <c r="BK875" s="26"/>
      <c r="BL875" s="26"/>
      <c r="BM875" s="26"/>
      <c r="BN875" s="26"/>
      <c r="BO875" s="26"/>
      <c r="BP875" s="16" t="n">
        <v>45727</v>
      </c>
      <c r="BQ875" s="28" t="str">
        <f>HYPERLINK("https://organic.ams.usda.gov/Integrity/Certificate.aspx?cid=15&amp;nopid=5561008519")</f>
        <v>https://organic.ams.usda.gov/Integrity/Certificate.aspx?cid=15&amp;nopid=5561008519</v>
      </c>
    </row>
    <row r="876">
      <c r="A876" t="s">
        <v>3</v>
      </c>
      <c r="B876" s="6" t="s">
        <v>21</v>
      </c>
      <c r="C876" s="6" t="s">
        <v>87</v>
      </c>
      <c r="D876" s="6" t="s">
        <v>152</v>
      </c>
      <c r="E876" s="10" t="s">
        <v>1074</v>
      </c>
      <c r="F876" s="6" t="s">
        <v>3318</v>
      </c>
      <c r="G876" s="6" t="s">
        <v>104</v>
      </c>
      <c r="H876" s="6" t="s">
        <v>5690</v>
      </c>
      <c r="I876" s="6" t="s">
        <v>6974</v>
      </c>
      <c r="J876" s="6" t="s">
        <v>8795</v>
      </c>
      <c r="K876" s="6" t="s">
        <v>9714</v>
      </c>
      <c r="L876" s="16" t="n">
        <v>34916</v>
      </c>
      <c r="M876" s="16" t="n">
        <v>46023</v>
      </c>
      <c r="N876" s="6" t="s">
        <v>9714</v>
      </c>
      <c r="O876" s="16" t="n">
        <v>34916</v>
      </c>
      <c r="P876" s="6" t="s">
        <v>9958</v>
      </c>
      <c r="Q876" s="6" t="s">
        <v>104</v>
      </c>
      <c r="R876" s="6" t="s">
        <v>104</v>
      </c>
      <c r="S876" s="6" t="s">
        <v>104</v>
      </c>
      <c r="T876" s="21" t="s">
        <v>104</v>
      </c>
      <c r="U876" s="6" t="s">
        <v>104</v>
      </c>
      <c r="V876" s="6" t="s">
        <v>104</v>
      </c>
      <c r="W876" s="6" t="s">
        <v>104</v>
      </c>
      <c r="X876" s="6" t="s">
        <v>104</v>
      </c>
      <c r="Y876" s="21" t="s">
        <v>104</v>
      </c>
      <c r="Z876" s="6" t="s">
        <v>104</v>
      </c>
      <c r="AA876" s="6" t="s">
        <v>104</v>
      </c>
      <c r="AB876" s="6" t="s">
        <v>104</v>
      </c>
      <c r="AC876" s="6" t="s">
        <v>104</v>
      </c>
      <c r="AD876" s="21" t="s">
        <v>104</v>
      </c>
      <c r="AE876" s="6" t="s">
        <v>104</v>
      </c>
      <c r="AF876" s="6" t="s">
        <v>104</v>
      </c>
      <c r="AG876" s="6" t="s">
        <v>104</v>
      </c>
      <c r="AH876" s="6" t="s">
        <v>13949</v>
      </c>
      <c r="AI876" s="6" t="s">
        <v>104</v>
      </c>
      <c r="AJ876" s="6" t="s">
        <v>15939</v>
      </c>
      <c r="AK876" s="6" t="s">
        <v>16687</v>
      </c>
      <c r="AL876" s="6" t="s">
        <v>16931</v>
      </c>
      <c r="AM876" s="6" t="s">
        <v>17574</v>
      </c>
      <c r="AN876" s="6" t="s">
        <v>104</v>
      </c>
      <c r="AO876" s="6" t="s">
        <v>104</v>
      </c>
      <c r="AP876" s="6" t="s">
        <v>19173</v>
      </c>
      <c r="AQ876" s="6" t="s">
        <v>104</v>
      </c>
      <c r="AR876" s="6" t="s">
        <v>15937</v>
      </c>
      <c r="AS876" s="6" t="s">
        <v>16687</v>
      </c>
      <c r="AT876" s="6" t="s">
        <v>16931</v>
      </c>
      <c r="AU876" s="6" t="s">
        <v>19908</v>
      </c>
      <c r="AV876" s="6" t="s">
        <v>104</v>
      </c>
      <c r="AW876" s="6" t="s">
        <v>104</v>
      </c>
      <c r="AX876" s="6" t="s">
        <v>20804</v>
      </c>
      <c r="AY876" s="6" t="s">
        <v>22580</v>
      </c>
      <c r="AZ876" s="6" t="s">
        <v>23917</v>
      </c>
      <c r="BA876" s="6" t="s">
        <v>24263</v>
      </c>
      <c r="BB876" s="24" t="n">
        <v>4343</v>
      </c>
      <c r="BC876" s="26"/>
      <c r="BD876" s="26"/>
      <c r="BE876" s="26"/>
      <c r="BF876" s="26"/>
      <c r="BG876" s="26"/>
      <c r="BH876" s="26"/>
      <c r="BI876" s="26"/>
      <c r="BJ876" s="26"/>
      <c r="BK876" s="26"/>
      <c r="BL876" s="26"/>
      <c r="BM876" s="26"/>
      <c r="BN876" s="26"/>
      <c r="BO876" s="26"/>
      <c r="BP876" s="16" t="n">
        <v>45727</v>
      </c>
      <c r="BQ876" s="28" t="str">
        <f>HYPERLINK("https://organic.ams.usda.gov/Integrity/Certificate.aspx?cid=15&amp;nopid=5561008521")</f>
        <v>https://organic.ams.usda.gov/Integrity/Certificate.aspx?cid=15&amp;nopid=5561008521</v>
      </c>
    </row>
    <row r="877">
      <c r="A877" t="s">
        <v>3</v>
      </c>
      <c r="B877" s="6" t="s">
        <v>21</v>
      </c>
      <c r="C877" s="6" t="s">
        <v>87</v>
      </c>
      <c r="D877" s="6" t="s">
        <v>152</v>
      </c>
      <c r="E877" s="10" t="s">
        <v>1075</v>
      </c>
      <c r="F877" s="6" t="s">
        <v>3319</v>
      </c>
      <c r="G877" s="6" t="s">
        <v>104</v>
      </c>
      <c r="H877" s="6" t="s">
        <v>5691</v>
      </c>
      <c r="I877" s="6" t="s">
        <v>6974</v>
      </c>
      <c r="J877" s="6" t="s">
        <v>8795</v>
      </c>
      <c r="K877" s="6" t="s">
        <v>9714</v>
      </c>
      <c r="L877" s="16" t="n">
        <v>34916</v>
      </c>
      <c r="M877" s="16" t="n">
        <v>46023</v>
      </c>
      <c r="N877" s="6" t="s">
        <v>9714</v>
      </c>
      <c r="O877" s="16" t="n">
        <v>34916</v>
      </c>
      <c r="P877" s="6" t="s">
        <v>9959</v>
      </c>
      <c r="Q877" s="6" t="s">
        <v>104</v>
      </c>
      <c r="R877" s="6" t="s">
        <v>104</v>
      </c>
      <c r="S877" s="6" t="s">
        <v>104</v>
      </c>
      <c r="T877" s="21" t="s">
        <v>104</v>
      </c>
      <c r="U877" s="6" t="s">
        <v>104</v>
      </c>
      <c r="V877" s="6" t="s">
        <v>104</v>
      </c>
      <c r="W877" s="6" t="s">
        <v>104</v>
      </c>
      <c r="X877" s="6" t="s">
        <v>104</v>
      </c>
      <c r="Y877" s="21" t="s">
        <v>104</v>
      </c>
      <c r="Z877" s="6" t="s">
        <v>104</v>
      </c>
      <c r="AA877" s="6" t="s">
        <v>104</v>
      </c>
      <c r="AB877" s="6" t="s">
        <v>104</v>
      </c>
      <c r="AC877" s="6" t="s">
        <v>104</v>
      </c>
      <c r="AD877" s="21" t="s">
        <v>104</v>
      </c>
      <c r="AE877" s="6" t="s">
        <v>104</v>
      </c>
      <c r="AF877" s="6" t="s">
        <v>104</v>
      </c>
      <c r="AG877" s="6" t="s">
        <v>104</v>
      </c>
      <c r="AH877" s="6" t="s">
        <v>13950</v>
      </c>
      <c r="AI877" s="6" t="s">
        <v>104</v>
      </c>
      <c r="AJ877" s="6" t="s">
        <v>15456</v>
      </c>
      <c r="AK877" s="6" t="s">
        <v>16370</v>
      </c>
      <c r="AL877" s="6" t="s">
        <v>16931</v>
      </c>
      <c r="AM877" s="6" t="s">
        <v>17575</v>
      </c>
      <c r="AN877" s="6" t="s">
        <v>104</v>
      </c>
      <c r="AO877" s="6" t="s">
        <v>104</v>
      </c>
      <c r="AP877" s="6" t="s">
        <v>19173</v>
      </c>
      <c r="AQ877" s="6" t="s">
        <v>104</v>
      </c>
      <c r="AR877" s="6" t="s">
        <v>15937</v>
      </c>
      <c r="AS877" s="6" t="s">
        <v>16687</v>
      </c>
      <c r="AT877" s="6" t="s">
        <v>16931</v>
      </c>
      <c r="AU877" s="6" t="s">
        <v>19908</v>
      </c>
      <c r="AV877" s="6" t="s">
        <v>104</v>
      </c>
      <c r="AW877" s="6" t="s">
        <v>104</v>
      </c>
      <c r="AX877" s="6" t="s">
        <v>20804</v>
      </c>
      <c r="AY877" s="6" t="s">
        <v>22580</v>
      </c>
      <c r="AZ877" s="6" t="s">
        <v>23917</v>
      </c>
      <c r="BA877" s="6" t="s">
        <v>104</v>
      </c>
      <c r="BB877" s="24" t="n">
        <v>1744</v>
      </c>
      <c r="BC877" s="26"/>
      <c r="BD877" s="26"/>
      <c r="BE877" s="26"/>
      <c r="BF877" s="26"/>
      <c r="BG877" s="26"/>
      <c r="BH877" s="26"/>
      <c r="BI877" s="26"/>
      <c r="BJ877" s="26"/>
      <c r="BK877" s="26"/>
      <c r="BL877" s="26"/>
      <c r="BM877" s="26"/>
      <c r="BN877" s="26"/>
      <c r="BO877" s="26"/>
      <c r="BP877" s="16" t="n">
        <v>45667</v>
      </c>
      <c r="BQ877" s="28" t="str">
        <f>HYPERLINK("https://organic.ams.usda.gov/Integrity/Certificate.aspx?cid=15&amp;nopid=5561008515")</f>
        <v>https://organic.ams.usda.gov/Integrity/Certificate.aspx?cid=15&amp;nopid=5561008515</v>
      </c>
    </row>
    <row r="878">
      <c r="A878" t="s">
        <v>3</v>
      </c>
      <c r="B878" s="6" t="s">
        <v>21</v>
      </c>
      <c r="C878" s="6" t="s">
        <v>87</v>
      </c>
      <c r="D878" s="6" t="s">
        <v>152</v>
      </c>
      <c r="E878" s="10" t="s">
        <v>1076</v>
      </c>
      <c r="F878" s="6" t="s">
        <v>3320</v>
      </c>
      <c r="G878" s="6" t="s">
        <v>4761</v>
      </c>
      <c r="H878" s="6" t="s">
        <v>5692</v>
      </c>
      <c r="I878" s="6" t="s">
        <v>6974</v>
      </c>
      <c r="J878" s="6" t="s">
        <v>8795</v>
      </c>
      <c r="K878" s="6" t="s">
        <v>9714</v>
      </c>
      <c r="L878" s="16" t="n">
        <v>34916</v>
      </c>
      <c r="M878" s="16" t="n">
        <v>46023</v>
      </c>
      <c r="N878" s="6" t="s">
        <v>104</v>
      </c>
      <c r="O878" s="21" t="s">
        <v>104</v>
      </c>
      <c r="P878" s="6" t="s">
        <v>104</v>
      </c>
      <c r="Q878" s="6" t="s">
        <v>104</v>
      </c>
      <c r="R878" s="6" t="s">
        <v>104</v>
      </c>
      <c r="S878" s="6" t="s">
        <v>104</v>
      </c>
      <c r="T878" s="21" t="s">
        <v>104</v>
      </c>
      <c r="U878" s="6" t="s">
        <v>104</v>
      </c>
      <c r="V878" s="6" t="s">
        <v>104</v>
      </c>
      <c r="W878" s="6" t="s">
        <v>104</v>
      </c>
      <c r="X878" s="6" t="s">
        <v>104</v>
      </c>
      <c r="Y878" s="21" t="s">
        <v>104</v>
      </c>
      <c r="Z878" s="6" t="s">
        <v>104</v>
      </c>
      <c r="AA878" s="6" t="s">
        <v>104</v>
      </c>
      <c r="AB878" s="6" t="s">
        <v>104</v>
      </c>
      <c r="AC878" s="6" t="s">
        <v>9714</v>
      </c>
      <c r="AD878" s="16" t="n">
        <v>34916</v>
      </c>
      <c r="AE878" s="6" t="s">
        <v>11304</v>
      </c>
      <c r="AF878" s="6" t="s">
        <v>104</v>
      </c>
      <c r="AG878" s="6" t="s">
        <v>104</v>
      </c>
      <c r="AH878" s="6" t="s">
        <v>13951</v>
      </c>
      <c r="AI878" s="6" t="s">
        <v>104</v>
      </c>
      <c r="AJ878" s="6" t="s">
        <v>15940</v>
      </c>
      <c r="AK878" s="6" t="s">
        <v>16687</v>
      </c>
      <c r="AL878" s="6" t="s">
        <v>16931</v>
      </c>
      <c r="AM878" s="6" t="s">
        <v>17572</v>
      </c>
      <c r="AN878" s="6" t="s">
        <v>18509</v>
      </c>
      <c r="AO878" s="6" t="s">
        <v>18757</v>
      </c>
      <c r="AP878" s="6" t="s">
        <v>19173</v>
      </c>
      <c r="AQ878" s="6" t="s">
        <v>104</v>
      </c>
      <c r="AR878" s="6" t="s">
        <v>15937</v>
      </c>
      <c r="AS878" s="6" t="s">
        <v>16687</v>
      </c>
      <c r="AT878" s="6" t="s">
        <v>16931</v>
      </c>
      <c r="AU878" s="6" t="s">
        <v>19908</v>
      </c>
      <c r="AV878" s="6" t="s">
        <v>104</v>
      </c>
      <c r="AW878" s="6" t="s">
        <v>104</v>
      </c>
      <c r="AX878" s="6" t="s">
        <v>20804</v>
      </c>
      <c r="AY878" s="6" t="s">
        <v>22580</v>
      </c>
      <c r="AZ878" s="6" t="s">
        <v>23918</v>
      </c>
      <c r="BA878" s="6" t="s">
        <v>24390</v>
      </c>
      <c r="BB878" s="6" t="s">
        <v>104</v>
      </c>
      <c r="BC878" s="26"/>
      <c r="BD878" s="26"/>
      <c r="BE878" s="26"/>
      <c r="BF878" s="26"/>
      <c r="BG878" s="26" t="s">
        <v>24533</v>
      </c>
      <c r="BH878" s="26"/>
      <c r="BI878" s="26"/>
      <c r="BJ878" s="26"/>
      <c r="BK878" s="26"/>
      <c r="BL878" s="26" t="s">
        <v>24533</v>
      </c>
      <c r="BM878" s="26"/>
      <c r="BN878" s="26" t="s">
        <v>24533</v>
      </c>
      <c r="BO878" s="26"/>
      <c r="BP878" s="16" t="n">
        <v>45737</v>
      </c>
      <c r="BQ878" s="28" t="str">
        <f>HYPERLINK("https://organic.ams.usda.gov/Integrity/Certificate.aspx?cid=15&amp;nopid=5561002149")</f>
        <v>https://organic.ams.usda.gov/Integrity/Certificate.aspx?cid=15&amp;nopid=5561002149</v>
      </c>
    </row>
    <row r="879">
      <c r="A879" t="s">
        <v>3</v>
      </c>
      <c r="B879" s="6" t="s">
        <v>21</v>
      </c>
      <c r="C879" s="6" t="s">
        <v>87</v>
      </c>
      <c r="D879" s="6" t="s">
        <v>152</v>
      </c>
      <c r="E879" s="10" t="s">
        <v>1077</v>
      </c>
      <c r="F879" s="6" t="s">
        <v>3321</v>
      </c>
      <c r="G879" s="6" t="s">
        <v>104</v>
      </c>
      <c r="H879" s="6" t="s">
        <v>5693</v>
      </c>
      <c r="I879" s="6" t="s">
        <v>7253</v>
      </c>
      <c r="J879" s="6" t="s">
        <v>8796</v>
      </c>
      <c r="K879" s="6" t="s">
        <v>9714</v>
      </c>
      <c r="L879" s="16" t="n">
        <v>45113</v>
      </c>
      <c r="M879" s="16" t="n">
        <v>46023</v>
      </c>
      <c r="N879" s="6" t="s">
        <v>104</v>
      </c>
      <c r="O879" s="21" t="s">
        <v>104</v>
      </c>
      <c r="P879" s="6" t="s">
        <v>104</v>
      </c>
      <c r="Q879" s="6" t="s">
        <v>104</v>
      </c>
      <c r="R879" s="6" t="s">
        <v>104</v>
      </c>
      <c r="S879" s="6" t="s">
        <v>104</v>
      </c>
      <c r="T879" s="21" t="s">
        <v>104</v>
      </c>
      <c r="U879" s="6" t="s">
        <v>104</v>
      </c>
      <c r="V879" s="6" t="s">
        <v>104</v>
      </c>
      <c r="W879" s="6" t="s">
        <v>104</v>
      </c>
      <c r="X879" s="6" t="s">
        <v>104</v>
      </c>
      <c r="Y879" s="21" t="s">
        <v>104</v>
      </c>
      <c r="Z879" s="6" t="s">
        <v>104</v>
      </c>
      <c r="AA879" s="6" t="s">
        <v>104</v>
      </c>
      <c r="AB879" s="6" t="s">
        <v>104</v>
      </c>
      <c r="AC879" s="6" t="s">
        <v>9714</v>
      </c>
      <c r="AD879" s="16" t="n">
        <v>45113</v>
      </c>
      <c r="AE879" s="6" t="s">
        <v>11305</v>
      </c>
      <c r="AF879" s="6" t="s">
        <v>104</v>
      </c>
      <c r="AG879" s="6" t="s">
        <v>104</v>
      </c>
      <c r="AH879" s="6" t="s">
        <v>13952</v>
      </c>
      <c r="AI879" s="6" t="s">
        <v>104</v>
      </c>
      <c r="AJ879" s="6" t="s">
        <v>15941</v>
      </c>
      <c r="AK879" s="6" t="s">
        <v>16687</v>
      </c>
      <c r="AL879" s="6" t="s">
        <v>16931</v>
      </c>
      <c r="AM879" s="6" t="s">
        <v>17576</v>
      </c>
      <c r="AN879" s="6" t="s">
        <v>18471</v>
      </c>
      <c r="AO879" s="6" t="s">
        <v>18579</v>
      </c>
      <c r="AP879" s="6" t="s">
        <v>13952</v>
      </c>
      <c r="AQ879" s="6" t="s">
        <v>104</v>
      </c>
      <c r="AR879" s="6" t="s">
        <v>15941</v>
      </c>
      <c r="AS879" s="6" t="s">
        <v>16687</v>
      </c>
      <c r="AT879" s="6" t="s">
        <v>16931</v>
      </c>
      <c r="AU879" s="6" t="s">
        <v>17576</v>
      </c>
      <c r="AV879" s="6" t="s">
        <v>104</v>
      </c>
      <c r="AW879" s="6" t="s">
        <v>104</v>
      </c>
      <c r="AX879" s="6" t="s">
        <v>20805</v>
      </c>
      <c r="AY879" s="6" t="s">
        <v>22581</v>
      </c>
      <c r="AZ879" s="6" t="s">
        <v>23919</v>
      </c>
      <c r="BA879" s="6" t="s">
        <v>24391</v>
      </c>
      <c r="BB879" s="6" t="s">
        <v>104</v>
      </c>
      <c r="BC879" s="26"/>
      <c r="BD879" s="26"/>
      <c r="BE879" s="26"/>
      <c r="BF879" s="26"/>
      <c r="BG879" s="26"/>
      <c r="BH879" s="26"/>
      <c r="BI879" s="26"/>
      <c r="BJ879" s="26"/>
      <c r="BK879" s="26"/>
      <c r="BL879" s="26"/>
      <c r="BM879" s="26"/>
      <c r="BN879" s="26"/>
      <c r="BO879" s="26"/>
      <c r="BP879" s="16" t="n">
        <v>45674</v>
      </c>
      <c r="BQ879" s="28" t="str">
        <f>HYPERLINK("https://organic.ams.usda.gov/Integrity/Certificate.aspx?cid=15&amp;nopid=5561007774")</f>
        <v>https://organic.ams.usda.gov/Integrity/Certificate.aspx?cid=15&amp;nopid=5561007774</v>
      </c>
    </row>
    <row r="880">
      <c r="A880" t="s">
        <v>3</v>
      </c>
      <c r="B880" s="6" t="s">
        <v>47</v>
      </c>
      <c r="C880" s="6" t="s">
        <v>113</v>
      </c>
      <c r="D880" s="6" t="s">
        <v>177</v>
      </c>
      <c r="E880" s="10" t="s">
        <v>1078</v>
      </c>
      <c r="F880" s="6" t="s">
        <v>3322</v>
      </c>
      <c r="G880" s="6" t="s">
        <v>104</v>
      </c>
      <c r="H880" s="6" t="s">
        <v>5694</v>
      </c>
      <c r="I880" s="6" t="s">
        <v>7487</v>
      </c>
      <c r="J880" s="6" t="s">
        <v>8797</v>
      </c>
      <c r="K880" s="6" t="s">
        <v>9714</v>
      </c>
      <c r="L880" s="16" t="n">
        <v>41866</v>
      </c>
      <c r="M880" s="16" t="n">
        <v>45762</v>
      </c>
      <c r="N880" s="6" t="s">
        <v>9714</v>
      </c>
      <c r="O880" s="16" t="n">
        <v>41866</v>
      </c>
      <c r="P880" s="6" t="s">
        <v>9960</v>
      </c>
      <c r="Q880" s="6" t="s">
        <v>104</v>
      </c>
      <c r="R880" s="6" t="s">
        <v>10356</v>
      </c>
      <c r="S880" s="6" t="s">
        <v>104</v>
      </c>
      <c r="T880" s="21" t="s">
        <v>104</v>
      </c>
      <c r="U880" s="6" t="s">
        <v>104</v>
      </c>
      <c r="V880" s="6" t="s">
        <v>104</v>
      </c>
      <c r="W880" s="6" t="s">
        <v>104</v>
      </c>
      <c r="X880" s="6" t="s">
        <v>104</v>
      </c>
      <c r="Y880" s="21" t="s">
        <v>104</v>
      </c>
      <c r="Z880" s="6" t="s">
        <v>104</v>
      </c>
      <c r="AA880" s="6" t="s">
        <v>104</v>
      </c>
      <c r="AB880" s="6" t="s">
        <v>104</v>
      </c>
      <c r="AC880" s="6" t="s">
        <v>104</v>
      </c>
      <c r="AD880" s="21" t="s">
        <v>104</v>
      </c>
      <c r="AE880" s="6" t="s">
        <v>104</v>
      </c>
      <c r="AF880" s="6" t="s">
        <v>104</v>
      </c>
      <c r="AG880" s="6" t="s">
        <v>104</v>
      </c>
      <c r="AH880" s="6" t="s">
        <v>13953</v>
      </c>
      <c r="AI880" s="6" t="s">
        <v>104</v>
      </c>
      <c r="AJ880" s="6" t="s">
        <v>15378</v>
      </c>
      <c r="AK880" s="6" t="s">
        <v>16734</v>
      </c>
      <c r="AL880" s="6" t="s">
        <v>16931</v>
      </c>
      <c r="AM880" s="6" t="s">
        <v>17577</v>
      </c>
      <c r="AN880" s="6" t="s">
        <v>18472</v>
      </c>
      <c r="AO880" s="6" t="s">
        <v>18600</v>
      </c>
      <c r="AP880" s="6" t="s">
        <v>19174</v>
      </c>
      <c r="AQ880" s="6" t="s">
        <v>104</v>
      </c>
      <c r="AR880" s="6" t="s">
        <v>19681</v>
      </c>
      <c r="AS880" s="6" t="s">
        <v>16734</v>
      </c>
      <c r="AT880" s="6" t="s">
        <v>16931</v>
      </c>
      <c r="AU880" s="6" t="s">
        <v>19909</v>
      </c>
      <c r="AV880" s="6" t="s">
        <v>104</v>
      </c>
      <c r="AW880" s="6" t="s">
        <v>104</v>
      </c>
      <c r="AX880" s="6" t="s">
        <v>20806</v>
      </c>
      <c r="AY880" s="6" t="s">
        <v>22582</v>
      </c>
      <c r="AZ880" s="6" t="s">
        <v>23920</v>
      </c>
      <c r="BA880" s="6" t="s">
        <v>104</v>
      </c>
      <c r="BB880" s="24" t="n">
        <v>6</v>
      </c>
      <c r="BC880" s="26"/>
      <c r="BD880" s="26"/>
      <c r="BE880" s="26"/>
      <c r="BF880" s="26"/>
      <c r="BG880" s="26"/>
      <c r="BH880" s="26"/>
      <c r="BI880" s="26"/>
      <c r="BJ880" s="26"/>
      <c r="BK880" s="26"/>
      <c r="BL880" s="26"/>
      <c r="BM880" s="26"/>
      <c r="BN880" s="26"/>
      <c r="BO880" s="26"/>
      <c r="BP880" s="16" t="n">
        <v>45694</v>
      </c>
      <c r="BQ880" s="28" t="str">
        <f>HYPERLINK("https://organic.ams.usda.gov/Integrity/Certificate.aspx?cid=47&amp;nopid=7142074515")</f>
        <v>https://organic.ams.usda.gov/Integrity/Certificate.aspx?cid=47&amp;nopid=7142074515</v>
      </c>
    </row>
    <row r="881">
      <c r="A881" t="s">
        <v>3</v>
      </c>
      <c r="B881" s="6" t="s">
        <v>57</v>
      </c>
      <c r="C881" s="6" t="s">
        <v>123</v>
      </c>
      <c r="D881" s="6" t="s">
        <v>187</v>
      </c>
      <c r="E881" s="10" t="s">
        <v>1079</v>
      </c>
      <c r="F881" s="6" t="s">
        <v>3323</v>
      </c>
      <c r="G881" s="6" t="s">
        <v>4762</v>
      </c>
      <c r="H881" s="6" t="s">
        <v>5695</v>
      </c>
      <c r="I881" s="6" t="s">
        <v>7488</v>
      </c>
      <c r="J881" s="6" t="s">
        <v>8798</v>
      </c>
      <c r="K881" s="6" t="s">
        <v>9714</v>
      </c>
      <c r="L881" s="16" t="n">
        <v>45295</v>
      </c>
      <c r="M881" s="16" t="n">
        <v>45931</v>
      </c>
      <c r="N881" s="6" t="s">
        <v>104</v>
      </c>
      <c r="O881" s="21" t="s">
        <v>104</v>
      </c>
      <c r="P881" s="6" t="s">
        <v>104</v>
      </c>
      <c r="Q881" s="6" t="s">
        <v>104</v>
      </c>
      <c r="R881" s="6" t="s">
        <v>104</v>
      </c>
      <c r="S881" s="6" t="s">
        <v>104</v>
      </c>
      <c r="T881" s="21" t="s">
        <v>104</v>
      </c>
      <c r="U881" s="6" t="s">
        <v>104</v>
      </c>
      <c r="V881" s="6" t="s">
        <v>104</v>
      </c>
      <c r="W881" s="6" t="s">
        <v>104</v>
      </c>
      <c r="X881" s="6" t="s">
        <v>104</v>
      </c>
      <c r="Y881" s="21" t="s">
        <v>104</v>
      </c>
      <c r="Z881" s="6" t="s">
        <v>104</v>
      </c>
      <c r="AA881" s="6" t="s">
        <v>104</v>
      </c>
      <c r="AB881" s="6" t="s">
        <v>104</v>
      </c>
      <c r="AC881" s="6" t="s">
        <v>9714</v>
      </c>
      <c r="AD881" s="16" t="n">
        <v>45295</v>
      </c>
      <c r="AE881" s="6" t="s">
        <v>11306</v>
      </c>
      <c r="AF881" s="6" t="s">
        <v>104</v>
      </c>
      <c r="AG881" s="6" t="s">
        <v>104</v>
      </c>
      <c r="AH881" s="6" t="s">
        <v>13954</v>
      </c>
      <c r="AI881" s="6" t="s">
        <v>104</v>
      </c>
      <c r="AJ881" s="6" t="s">
        <v>15942</v>
      </c>
      <c r="AK881" s="6" t="s">
        <v>16730</v>
      </c>
      <c r="AL881" s="6" t="s">
        <v>16931</v>
      </c>
      <c r="AM881" s="6" t="s">
        <v>17578</v>
      </c>
      <c r="AN881" s="6" t="s">
        <v>18477</v>
      </c>
      <c r="AO881" s="6" t="s">
        <v>18710</v>
      </c>
      <c r="AP881" s="6" t="s">
        <v>19175</v>
      </c>
      <c r="AQ881" s="6" t="s">
        <v>104</v>
      </c>
      <c r="AR881" s="6" t="s">
        <v>15942</v>
      </c>
      <c r="AS881" s="6" t="s">
        <v>16730</v>
      </c>
      <c r="AT881" s="6" t="s">
        <v>16931</v>
      </c>
      <c r="AU881" s="6" t="s">
        <v>17578</v>
      </c>
      <c r="AV881" s="6" t="s">
        <v>104</v>
      </c>
      <c r="AW881" s="6" t="s">
        <v>104</v>
      </c>
      <c r="AX881" s="6" t="s">
        <v>20807</v>
      </c>
      <c r="AY881" s="6" t="s">
        <v>22583</v>
      </c>
      <c r="AZ881" s="6" t="s">
        <v>104</v>
      </c>
      <c r="BA881" s="6" t="s">
        <v>104</v>
      </c>
      <c r="BB881" s="6" t="s">
        <v>104</v>
      </c>
      <c r="BC881" s="26"/>
      <c r="BD881" s="26"/>
      <c r="BE881" s="26"/>
      <c r="BF881" s="26"/>
      <c r="BG881" s="26"/>
      <c r="BH881" s="26"/>
      <c r="BI881" s="26"/>
      <c r="BJ881" s="26"/>
      <c r="BK881" s="26"/>
      <c r="BL881" s="26"/>
      <c r="BM881" s="26"/>
      <c r="BN881" s="26"/>
      <c r="BO881" s="26"/>
      <c r="BP881" s="16" t="n">
        <v>45735</v>
      </c>
      <c r="BQ881" s="28" t="str">
        <f>HYPERLINK("https://organic.ams.usda.gov/Integrity/Certificate.aspx?cid=19&amp;nopid=6350000461")</f>
        <v>https://organic.ams.usda.gov/Integrity/Certificate.aspx?cid=19&amp;nopid=6350000461</v>
      </c>
    </row>
    <row r="882">
      <c r="A882" t="s">
        <v>3</v>
      </c>
      <c r="B882" s="6" t="s">
        <v>25</v>
      </c>
      <c r="C882" s="6" t="s">
        <v>91</v>
      </c>
      <c r="D882" s="6" t="s">
        <v>156</v>
      </c>
      <c r="E882" s="10" t="s">
        <v>1080</v>
      </c>
      <c r="F882" s="6" t="s">
        <v>3324</v>
      </c>
      <c r="G882" s="6" t="s">
        <v>104</v>
      </c>
      <c r="H882" s="6" t="s">
        <v>5696</v>
      </c>
      <c r="I882" s="6" t="s">
        <v>7489</v>
      </c>
      <c r="J882" s="6" t="s">
        <v>8799</v>
      </c>
      <c r="K882" s="6" t="s">
        <v>9714</v>
      </c>
      <c r="L882" s="16" t="n">
        <v>45427</v>
      </c>
      <c r="M882" s="16" t="n">
        <v>45717</v>
      </c>
      <c r="N882" s="6" t="s">
        <v>104</v>
      </c>
      <c r="O882" s="21" t="s">
        <v>104</v>
      </c>
      <c r="P882" s="6" t="s">
        <v>104</v>
      </c>
      <c r="Q882" s="6" t="s">
        <v>104</v>
      </c>
      <c r="R882" s="6" t="s">
        <v>104</v>
      </c>
      <c r="S882" s="6" t="s">
        <v>104</v>
      </c>
      <c r="T882" s="21" t="s">
        <v>104</v>
      </c>
      <c r="U882" s="6" t="s">
        <v>104</v>
      </c>
      <c r="V882" s="6" t="s">
        <v>104</v>
      </c>
      <c r="W882" s="6" t="s">
        <v>104</v>
      </c>
      <c r="X882" s="6" t="s">
        <v>104</v>
      </c>
      <c r="Y882" s="21" t="s">
        <v>104</v>
      </c>
      <c r="Z882" s="6" t="s">
        <v>104</v>
      </c>
      <c r="AA882" s="6" t="s">
        <v>104</v>
      </c>
      <c r="AB882" s="6" t="s">
        <v>104</v>
      </c>
      <c r="AC882" s="6" t="s">
        <v>9714</v>
      </c>
      <c r="AD882" s="16" t="n">
        <v>45427</v>
      </c>
      <c r="AE882" s="6" t="s">
        <v>11307</v>
      </c>
      <c r="AF882" s="6" t="s">
        <v>104</v>
      </c>
      <c r="AG882" s="6" t="s">
        <v>104</v>
      </c>
      <c r="AH882" s="6" t="s">
        <v>13955</v>
      </c>
      <c r="AI882" s="6" t="s">
        <v>104</v>
      </c>
      <c r="AJ882" s="6" t="s">
        <v>15943</v>
      </c>
      <c r="AK882" s="6" t="s">
        <v>16820</v>
      </c>
      <c r="AL882" s="6" t="s">
        <v>16935</v>
      </c>
      <c r="AM882" s="6" t="s">
        <v>17579</v>
      </c>
      <c r="AN882" s="6" t="s">
        <v>104</v>
      </c>
      <c r="AO882" s="6" t="s">
        <v>104</v>
      </c>
      <c r="AP882" s="6" t="s">
        <v>19176</v>
      </c>
      <c r="AQ882" s="6" t="s">
        <v>104</v>
      </c>
      <c r="AR882" s="6" t="s">
        <v>16820</v>
      </c>
      <c r="AS882" s="6" t="s">
        <v>16820</v>
      </c>
      <c r="AT882" s="6" t="s">
        <v>16935</v>
      </c>
      <c r="AU882" s="6" t="s">
        <v>19910</v>
      </c>
      <c r="AV882" s="6" t="s">
        <v>104</v>
      </c>
      <c r="AW882" s="6" t="s">
        <v>104</v>
      </c>
      <c r="AX882" s="6" t="s">
        <v>104</v>
      </c>
      <c r="AY882" s="6" t="s">
        <v>22584</v>
      </c>
      <c r="AZ882" s="6" t="s">
        <v>104</v>
      </c>
      <c r="BA882" s="6" t="s">
        <v>24264</v>
      </c>
      <c r="BB882" s="6" t="s">
        <v>104</v>
      </c>
      <c r="BC882" s="26"/>
      <c r="BD882" s="26"/>
      <c r="BE882" s="26"/>
      <c r="BF882" s="26"/>
      <c r="BG882" s="26"/>
      <c r="BH882" s="26" t="s">
        <v>24533</v>
      </c>
      <c r="BI882" s="26"/>
      <c r="BJ882" s="26"/>
      <c r="BK882" s="26"/>
      <c r="BL882" s="26"/>
      <c r="BM882" s="26"/>
      <c r="BN882" s="26"/>
      <c r="BO882" s="26"/>
      <c r="BP882" s="16" t="n">
        <v>45427</v>
      </c>
      <c r="BQ882" s="28" t="str">
        <f>HYPERLINK("https://organic.ams.usda.gov/Integrity/Certificate.aspx?cid=66&amp;nopid=5500007214")</f>
        <v>https://organic.ams.usda.gov/Integrity/Certificate.aspx?cid=66&amp;nopid=5500007214</v>
      </c>
    </row>
    <row r="883">
      <c r="A883" t="s">
        <v>3</v>
      </c>
      <c r="B883" s="6" t="s">
        <v>13</v>
      </c>
      <c r="C883" s="6" t="s">
        <v>79</v>
      </c>
      <c r="D883" s="6" t="s">
        <v>144</v>
      </c>
      <c r="E883" s="10" t="s">
        <v>1081</v>
      </c>
      <c r="F883" s="6" t="s">
        <v>3325</v>
      </c>
      <c r="G883" s="6" t="s">
        <v>104</v>
      </c>
      <c r="H883" s="6" t="s">
        <v>5697</v>
      </c>
      <c r="I883" s="6" t="s">
        <v>7490</v>
      </c>
      <c r="J883" s="6" t="s">
        <v>8800</v>
      </c>
      <c r="K883" s="6" t="s">
        <v>9714</v>
      </c>
      <c r="L883" s="16" t="n">
        <v>41802</v>
      </c>
      <c r="M883" s="16" t="n">
        <v>45748</v>
      </c>
      <c r="N883" s="6" t="s">
        <v>9714</v>
      </c>
      <c r="O883" s="16" t="n">
        <v>41802</v>
      </c>
      <c r="P883" s="6" t="s">
        <v>9961</v>
      </c>
      <c r="Q883" s="6" t="s">
        <v>104</v>
      </c>
      <c r="R883" s="6" t="s">
        <v>104</v>
      </c>
      <c r="S883" s="6" t="s">
        <v>104</v>
      </c>
      <c r="T883" s="21" t="s">
        <v>104</v>
      </c>
      <c r="U883" s="6" t="s">
        <v>104</v>
      </c>
      <c r="V883" s="6" t="s">
        <v>104</v>
      </c>
      <c r="W883" s="6" t="s">
        <v>104</v>
      </c>
      <c r="X883" s="6" t="s">
        <v>104</v>
      </c>
      <c r="Y883" s="21" t="s">
        <v>104</v>
      </c>
      <c r="Z883" s="6" t="s">
        <v>104</v>
      </c>
      <c r="AA883" s="6" t="s">
        <v>104</v>
      </c>
      <c r="AB883" s="6" t="s">
        <v>104</v>
      </c>
      <c r="AC883" s="6" t="s">
        <v>9714</v>
      </c>
      <c r="AD883" s="16" t="n">
        <v>43322</v>
      </c>
      <c r="AE883" s="6" t="s">
        <v>11308</v>
      </c>
      <c r="AF883" s="6" t="s">
        <v>104</v>
      </c>
      <c r="AG883" s="6" t="s">
        <v>104</v>
      </c>
      <c r="AH883" s="6" t="s">
        <v>104</v>
      </c>
      <c r="AI883" s="6" t="s">
        <v>104</v>
      </c>
      <c r="AJ883" s="6" t="s">
        <v>104</v>
      </c>
      <c r="AK883" s="6" t="s">
        <v>104</v>
      </c>
      <c r="AL883" s="6" t="s">
        <v>104</v>
      </c>
      <c r="AM883" s="6" t="s">
        <v>104</v>
      </c>
      <c r="AN883" s="6" t="s">
        <v>104</v>
      </c>
      <c r="AO883" s="6" t="s">
        <v>104</v>
      </c>
      <c r="AP883" s="6" t="s">
        <v>19177</v>
      </c>
      <c r="AQ883" s="6" t="s">
        <v>104</v>
      </c>
      <c r="AR883" s="6" t="s">
        <v>15974</v>
      </c>
      <c r="AS883" s="6" t="s">
        <v>16382</v>
      </c>
      <c r="AT883" s="6" t="s">
        <v>16931</v>
      </c>
      <c r="AU883" s="6" t="s">
        <v>17613</v>
      </c>
      <c r="AV883" s="6" t="s">
        <v>18538</v>
      </c>
      <c r="AW883" s="6" t="s">
        <v>18890</v>
      </c>
      <c r="AX883" s="6" t="s">
        <v>20808</v>
      </c>
      <c r="AY883" s="6" t="s">
        <v>22585</v>
      </c>
      <c r="AZ883" s="6" t="s">
        <v>104</v>
      </c>
      <c r="BA883" s="6" t="s">
        <v>104</v>
      </c>
      <c r="BB883" s="24" t="n">
        <v>34</v>
      </c>
      <c r="BC883" s="26"/>
      <c r="BD883" s="26" t="s">
        <v>24533</v>
      </c>
      <c r="BE883" s="26" t="s">
        <v>24533</v>
      </c>
      <c r="BF883" s="26"/>
      <c r="BG883" s="26"/>
      <c r="BH883" s="26"/>
      <c r="BI883" s="26"/>
      <c r="BJ883" s="26"/>
      <c r="BK883" s="26"/>
      <c r="BL883" s="26"/>
      <c r="BM883" s="26"/>
      <c r="BN883" s="26"/>
      <c r="BO883" s="26"/>
      <c r="BP883" s="16" t="n">
        <v>45720</v>
      </c>
      <c r="BQ883" s="28" t="str">
        <f>HYPERLINK("https://organic.ams.usda.gov/Integrity/Certificate.aspx?cid=62&amp;nopid=8150001062")</f>
        <v>https://organic.ams.usda.gov/Integrity/Certificate.aspx?cid=62&amp;nopid=8150001062</v>
      </c>
    </row>
    <row r="884">
      <c r="A884" t="s">
        <v>3</v>
      </c>
      <c r="B884" s="6" t="s">
        <v>14</v>
      </c>
      <c r="C884" s="6" t="s">
        <v>80</v>
      </c>
      <c r="D884" s="6" t="s">
        <v>145</v>
      </c>
      <c r="E884" s="10" t="s">
        <v>1082</v>
      </c>
      <c r="F884" s="6" t="s">
        <v>3326</v>
      </c>
      <c r="G884" s="6" t="s">
        <v>104</v>
      </c>
      <c r="H884" s="6" t="s">
        <v>5698</v>
      </c>
      <c r="I884" s="6" t="s">
        <v>7491</v>
      </c>
      <c r="J884" s="6" t="s">
        <v>8604</v>
      </c>
      <c r="K884" s="6" t="s">
        <v>9714</v>
      </c>
      <c r="L884" s="16" t="n">
        <v>43522</v>
      </c>
      <c r="M884" s="16" t="n">
        <v>45698</v>
      </c>
      <c r="N884" s="6" t="s">
        <v>104</v>
      </c>
      <c r="O884" s="21" t="s">
        <v>104</v>
      </c>
      <c r="P884" s="6" t="s">
        <v>104</v>
      </c>
      <c r="Q884" s="6" t="s">
        <v>104</v>
      </c>
      <c r="R884" s="6" t="s">
        <v>104</v>
      </c>
      <c r="S884" s="6" t="s">
        <v>104</v>
      </c>
      <c r="T884" s="21" t="s">
        <v>104</v>
      </c>
      <c r="U884" s="6" t="s">
        <v>104</v>
      </c>
      <c r="V884" s="6" t="s">
        <v>104</v>
      </c>
      <c r="W884" s="6" t="s">
        <v>104</v>
      </c>
      <c r="X884" s="6" t="s">
        <v>104</v>
      </c>
      <c r="Y884" s="21" t="s">
        <v>104</v>
      </c>
      <c r="Z884" s="6" t="s">
        <v>104</v>
      </c>
      <c r="AA884" s="6" t="s">
        <v>104</v>
      </c>
      <c r="AB884" s="6" t="s">
        <v>104</v>
      </c>
      <c r="AC884" s="6" t="s">
        <v>9714</v>
      </c>
      <c r="AD884" s="16" t="n">
        <v>43522</v>
      </c>
      <c r="AE884" s="6" t="s">
        <v>11309</v>
      </c>
      <c r="AF884" s="6" t="s">
        <v>104</v>
      </c>
      <c r="AG884" s="6" t="s">
        <v>104</v>
      </c>
      <c r="AH884" s="6" t="s">
        <v>13956</v>
      </c>
      <c r="AI884" s="6" t="s">
        <v>104</v>
      </c>
      <c r="AJ884" s="6" t="s">
        <v>15769</v>
      </c>
      <c r="AK884" s="6" t="s">
        <v>16699</v>
      </c>
      <c r="AL884" s="6" t="s">
        <v>16932</v>
      </c>
      <c r="AM884" s="6" t="s">
        <v>17580</v>
      </c>
      <c r="AN884" s="6" t="s">
        <v>104</v>
      </c>
      <c r="AO884" s="6" t="s">
        <v>104</v>
      </c>
      <c r="AP884" s="6" t="s">
        <v>104</v>
      </c>
      <c r="AQ884" s="6" t="s">
        <v>104</v>
      </c>
      <c r="AR884" s="6" t="s">
        <v>104</v>
      </c>
      <c r="AS884" s="6" t="s">
        <v>104</v>
      </c>
      <c r="AT884" s="6" t="s">
        <v>104</v>
      </c>
      <c r="AU884" s="6" t="s">
        <v>104</v>
      </c>
      <c r="AV884" s="6" t="s">
        <v>104</v>
      </c>
      <c r="AW884" s="6" t="s">
        <v>104</v>
      </c>
      <c r="AX884" s="6" t="s">
        <v>20809</v>
      </c>
      <c r="AY884" s="6" t="s">
        <v>22586</v>
      </c>
      <c r="AZ884" s="6" t="s">
        <v>23921</v>
      </c>
      <c r="BA884" s="6" t="s">
        <v>24319</v>
      </c>
      <c r="BB884" s="6" t="s">
        <v>104</v>
      </c>
      <c r="BC884" s="26"/>
      <c r="BD884" s="26"/>
      <c r="BE884" s="26"/>
      <c r="BF884" s="26"/>
      <c r="BG884" s="26"/>
      <c r="BH884" s="26"/>
      <c r="BI884" s="26"/>
      <c r="BJ884" s="26"/>
      <c r="BK884" s="26"/>
      <c r="BL884" s="26"/>
      <c r="BM884" s="26"/>
      <c r="BN884" s="26"/>
      <c r="BO884" s="26"/>
      <c r="BP884" s="16" t="n">
        <v>45373</v>
      </c>
      <c r="BQ884" s="28" t="str">
        <f>HYPERLINK("https://organic.ams.usda.gov/Integrity/Certificate.aspx?cid=89&amp;nopid=4920002158")</f>
        <v>https://organic.ams.usda.gov/Integrity/Certificate.aspx?cid=89&amp;nopid=4920002158</v>
      </c>
    </row>
    <row r="885">
      <c r="A885" t="s">
        <v>3</v>
      </c>
      <c r="B885" s="6" t="s">
        <v>29</v>
      </c>
      <c r="C885" s="6" t="s">
        <v>95</v>
      </c>
      <c r="D885" s="6" t="s">
        <v>160</v>
      </c>
      <c r="E885" s="10" t="s">
        <v>1083</v>
      </c>
      <c r="F885" s="6" t="s">
        <v>3327</v>
      </c>
      <c r="G885" s="6" t="s">
        <v>104</v>
      </c>
      <c r="H885" s="6" t="s">
        <v>5699</v>
      </c>
      <c r="I885" s="6" t="s">
        <v>104</v>
      </c>
      <c r="J885" s="6" t="s">
        <v>8801</v>
      </c>
      <c r="K885" s="6" t="s">
        <v>9714</v>
      </c>
      <c r="L885" s="16" t="n">
        <v>44617</v>
      </c>
      <c r="M885" s="16" t="n">
        <v>45962</v>
      </c>
      <c r="N885" s="6" t="s">
        <v>104</v>
      </c>
      <c r="O885" s="21" t="s">
        <v>104</v>
      </c>
      <c r="P885" s="6" t="s">
        <v>104</v>
      </c>
      <c r="Q885" s="6" t="s">
        <v>104</v>
      </c>
      <c r="R885" s="6" t="s">
        <v>104</v>
      </c>
      <c r="S885" s="6" t="s">
        <v>104</v>
      </c>
      <c r="T885" s="21" t="s">
        <v>104</v>
      </c>
      <c r="U885" s="6" t="s">
        <v>104</v>
      </c>
      <c r="V885" s="6" t="s">
        <v>104</v>
      </c>
      <c r="W885" s="6" t="s">
        <v>104</v>
      </c>
      <c r="X885" s="6" t="s">
        <v>104</v>
      </c>
      <c r="Y885" s="21" t="s">
        <v>104</v>
      </c>
      <c r="Z885" s="6" t="s">
        <v>104</v>
      </c>
      <c r="AA885" s="6" t="s">
        <v>104</v>
      </c>
      <c r="AB885" s="6" t="s">
        <v>104</v>
      </c>
      <c r="AC885" s="6" t="s">
        <v>9714</v>
      </c>
      <c r="AD885" s="16" t="n">
        <v>44617</v>
      </c>
      <c r="AE885" s="6" t="s">
        <v>11310</v>
      </c>
      <c r="AF885" s="6" t="s">
        <v>104</v>
      </c>
      <c r="AG885" s="6" t="s">
        <v>104</v>
      </c>
      <c r="AH885" s="6" t="s">
        <v>13957</v>
      </c>
      <c r="AI885" s="6" t="s">
        <v>104</v>
      </c>
      <c r="AJ885" s="6" t="s">
        <v>15944</v>
      </c>
      <c r="AK885" s="6" t="s">
        <v>16821</v>
      </c>
      <c r="AL885" s="6" t="s">
        <v>16943</v>
      </c>
      <c r="AM885" s="6" t="s">
        <v>17581</v>
      </c>
      <c r="AN885" s="6" t="s">
        <v>104</v>
      </c>
      <c r="AO885" s="6" t="s">
        <v>104</v>
      </c>
      <c r="AP885" s="6" t="s">
        <v>104</v>
      </c>
      <c r="AQ885" s="6" t="s">
        <v>104</v>
      </c>
      <c r="AR885" s="6" t="s">
        <v>104</v>
      </c>
      <c r="AS885" s="6" t="s">
        <v>104</v>
      </c>
      <c r="AT885" s="6" t="s">
        <v>104</v>
      </c>
      <c r="AU885" s="6" t="s">
        <v>104</v>
      </c>
      <c r="AV885" s="6" t="s">
        <v>104</v>
      </c>
      <c r="AW885" s="6" t="s">
        <v>104</v>
      </c>
      <c r="AX885" s="6" t="s">
        <v>20810</v>
      </c>
      <c r="AY885" s="6" t="s">
        <v>22587</v>
      </c>
      <c r="AZ885" s="6" t="s">
        <v>104</v>
      </c>
      <c r="BA885" s="6" t="s">
        <v>24269</v>
      </c>
      <c r="BB885" s="24" t="n">
        <v>0</v>
      </c>
      <c r="BC885" s="26"/>
      <c r="BD885" s="26"/>
      <c r="BE885" s="26"/>
      <c r="BF885" s="26"/>
      <c r="BG885" s="26"/>
      <c r="BH885" s="26"/>
      <c r="BI885" s="26"/>
      <c r="BJ885" s="26"/>
      <c r="BK885" s="26"/>
      <c r="BL885" s="26"/>
      <c r="BM885" s="26"/>
      <c r="BN885" s="26"/>
      <c r="BO885" s="26"/>
      <c r="BP885" s="16" t="n">
        <v>45681</v>
      </c>
      <c r="BQ885" s="28" t="str">
        <f>HYPERLINK("https://organic.ams.usda.gov/Integrity/Certificate.aspx?cid=24&amp;nopid=7880250921")</f>
        <v>https://organic.ams.usda.gov/Integrity/Certificate.aspx?cid=24&amp;nopid=7880250921</v>
      </c>
    </row>
    <row r="886">
      <c r="A886" t="s">
        <v>3</v>
      </c>
      <c r="B886" s="6" t="s">
        <v>20</v>
      </c>
      <c r="C886" s="6" t="s">
        <v>86</v>
      </c>
      <c r="D886" s="6" t="s">
        <v>151</v>
      </c>
      <c r="E886" s="10" t="s">
        <v>1084</v>
      </c>
      <c r="F886" s="6" t="s">
        <v>3328</v>
      </c>
      <c r="G886" s="6" t="s">
        <v>104</v>
      </c>
      <c r="H886" s="6" t="s">
        <v>5700</v>
      </c>
      <c r="I886" s="6" t="s">
        <v>7492</v>
      </c>
      <c r="J886" s="6" t="s">
        <v>8802</v>
      </c>
      <c r="K886" s="6" t="s">
        <v>9714</v>
      </c>
      <c r="L886" s="16" t="n">
        <v>45104</v>
      </c>
      <c r="M886" s="16" t="n">
        <v>45808</v>
      </c>
      <c r="N886" s="6" t="s">
        <v>104</v>
      </c>
      <c r="O886" s="21" t="s">
        <v>104</v>
      </c>
      <c r="P886" s="6" t="s">
        <v>104</v>
      </c>
      <c r="Q886" s="6" t="s">
        <v>104</v>
      </c>
      <c r="R886" s="6" t="s">
        <v>104</v>
      </c>
      <c r="S886" s="6" t="s">
        <v>104</v>
      </c>
      <c r="T886" s="21" t="s">
        <v>104</v>
      </c>
      <c r="U886" s="6" t="s">
        <v>104</v>
      </c>
      <c r="V886" s="6" t="s">
        <v>104</v>
      </c>
      <c r="W886" s="6" t="s">
        <v>104</v>
      </c>
      <c r="X886" s="6" t="s">
        <v>104</v>
      </c>
      <c r="Y886" s="21" t="s">
        <v>104</v>
      </c>
      <c r="Z886" s="6" t="s">
        <v>104</v>
      </c>
      <c r="AA886" s="6" t="s">
        <v>104</v>
      </c>
      <c r="AB886" s="6" t="s">
        <v>104</v>
      </c>
      <c r="AC886" s="6" t="s">
        <v>9714</v>
      </c>
      <c r="AD886" s="16" t="n">
        <v>45104</v>
      </c>
      <c r="AE886" s="6" t="s">
        <v>11311</v>
      </c>
      <c r="AF886" s="6" t="s">
        <v>104</v>
      </c>
      <c r="AG886" s="6" t="s">
        <v>12768</v>
      </c>
      <c r="AH886" s="6" t="s">
        <v>13958</v>
      </c>
      <c r="AI886" s="6" t="s">
        <v>104</v>
      </c>
      <c r="AJ886" s="6" t="s">
        <v>15661</v>
      </c>
      <c r="AK886" s="6" t="s">
        <v>15661</v>
      </c>
      <c r="AL886" s="6" t="s">
        <v>16939</v>
      </c>
      <c r="AM886" s="6" t="s">
        <v>104</v>
      </c>
      <c r="AN886" s="6" t="s">
        <v>104</v>
      </c>
      <c r="AO886" s="6" t="s">
        <v>104</v>
      </c>
      <c r="AP886" s="6" t="s">
        <v>104</v>
      </c>
      <c r="AQ886" s="6" t="s">
        <v>104</v>
      </c>
      <c r="AR886" s="6" t="s">
        <v>104</v>
      </c>
      <c r="AS886" s="6" t="s">
        <v>104</v>
      </c>
      <c r="AT886" s="6" t="s">
        <v>104</v>
      </c>
      <c r="AU886" s="6" t="s">
        <v>104</v>
      </c>
      <c r="AV886" s="6" t="s">
        <v>104</v>
      </c>
      <c r="AW886" s="6" t="s">
        <v>104</v>
      </c>
      <c r="AX886" s="6" t="s">
        <v>20811</v>
      </c>
      <c r="AY886" s="6" t="s">
        <v>22588</v>
      </c>
      <c r="AZ886" s="6" t="s">
        <v>104</v>
      </c>
      <c r="BA886" s="6" t="s">
        <v>24392</v>
      </c>
      <c r="BB886" s="6" t="s">
        <v>104</v>
      </c>
      <c r="BC886" s="26"/>
      <c r="BD886" s="26"/>
      <c r="BE886" s="26"/>
      <c r="BF886" s="26"/>
      <c r="BG886" s="26"/>
      <c r="BH886" s="26"/>
      <c r="BI886" s="26"/>
      <c r="BJ886" s="26"/>
      <c r="BK886" s="26"/>
      <c r="BL886" s="26"/>
      <c r="BM886" s="26"/>
      <c r="BN886" s="26"/>
      <c r="BO886" s="26"/>
      <c r="BP886" s="16" t="n">
        <v>45567</v>
      </c>
      <c r="BQ886" s="28" t="str">
        <f>HYPERLINK("https://organic.ams.usda.gov/Integrity/Certificate.aspx?cid=17&amp;nopid=4080206707")</f>
        <v>https://organic.ams.usda.gov/Integrity/Certificate.aspx?cid=17&amp;nopid=4080206707</v>
      </c>
    </row>
    <row r="887">
      <c r="A887" t="s">
        <v>3</v>
      </c>
      <c r="B887" s="6" t="s">
        <v>20</v>
      </c>
      <c r="C887" s="6" t="s">
        <v>86</v>
      </c>
      <c r="D887" s="6" t="s">
        <v>151</v>
      </c>
      <c r="E887" s="10" t="s">
        <v>1085</v>
      </c>
      <c r="F887" s="6" t="s">
        <v>3329</v>
      </c>
      <c r="G887" s="6" t="s">
        <v>104</v>
      </c>
      <c r="H887" s="6" t="s">
        <v>5701</v>
      </c>
      <c r="I887" s="6" t="s">
        <v>7493</v>
      </c>
      <c r="J887" s="6" t="s">
        <v>8803</v>
      </c>
      <c r="K887" s="6" t="s">
        <v>9714</v>
      </c>
      <c r="L887" s="16" t="n">
        <v>45404</v>
      </c>
      <c r="M887" s="16" t="n">
        <v>45626</v>
      </c>
      <c r="N887" s="6" t="s">
        <v>104</v>
      </c>
      <c r="O887" s="21" t="s">
        <v>104</v>
      </c>
      <c r="P887" s="6" t="s">
        <v>104</v>
      </c>
      <c r="Q887" s="6" t="s">
        <v>104</v>
      </c>
      <c r="R887" s="6" t="s">
        <v>104</v>
      </c>
      <c r="S887" s="6" t="s">
        <v>104</v>
      </c>
      <c r="T887" s="21" t="s">
        <v>104</v>
      </c>
      <c r="U887" s="6" t="s">
        <v>104</v>
      </c>
      <c r="V887" s="6" t="s">
        <v>104</v>
      </c>
      <c r="W887" s="6" t="s">
        <v>104</v>
      </c>
      <c r="X887" s="6" t="s">
        <v>104</v>
      </c>
      <c r="Y887" s="21" t="s">
        <v>104</v>
      </c>
      <c r="Z887" s="6" t="s">
        <v>104</v>
      </c>
      <c r="AA887" s="6" t="s">
        <v>104</v>
      </c>
      <c r="AB887" s="6" t="s">
        <v>104</v>
      </c>
      <c r="AC887" s="6" t="s">
        <v>9714</v>
      </c>
      <c r="AD887" s="16" t="n">
        <v>45404</v>
      </c>
      <c r="AE887" s="6" t="s">
        <v>11312</v>
      </c>
      <c r="AF887" s="6" t="s">
        <v>104</v>
      </c>
      <c r="AG887" s="6" t="s">
        <v>12769</v>
      </c>
      <c r="AH887" s="6" t="s">
        <v>13959</v>
      </c>
      <c r="AI887" s="6" t="s">
        <v>104</v>
      </c>
      <c r="AJ887" s="6" t="s">
        <v>15373</v>
      </c>
      <c r="AK887" s="6" t="s">
        <v>15373</v>
      </c>
      <c r="AL887" s="6" t="s">
        <v>16933</v>
      </c>
      <c r="AM887" s="6" t="s">
        <v>17582</v>
      </c>
      <c r="AN887" s="6" t="s">
        <v>104</v>
      </c>
      <c r="AO887" s="6" t="s">
        <v>104</v>
      </c>
      <c r="AP887" s="6" t="s">
        <v>104</v>
      </c>
      <c r="AQ887" s="6" t="s">
        <v>104</v>
      </c>
      <c r="AR887" s="6" t="s">
        <v>104</v>
      </c>
      <c r="AS887" s="6" t="s">
        <v>104</v>
      </c>
      <c r="AT887" s="6" t="s">
        <v>104</v>
      </c>
      <c r="AU887" s="6" t="s">
        <v>104</v>
      </c>
      <c r="AV887" s="6" t="s">
        <v>104</v>
      </c>
      <c r="AW887" s="6" t="s">
        <v>104</v>
      </c>
      <c r="AX887" s="6" t="s">
        <v>104</v>
      </c>
      <c r="AY887" s="6" t="s">
        <v>22589</v>
      </c>
      <c r="AZ887" s="6" t="s">
        <v>104</v>
      </c>
      <c r="BA887" s="6" t="s">
        <v>104</v>
      </c>
      <c r="BB887" s="6" t="s">
        <v>104</v>
      </c>
      <c r="BC887" s="26"/>
      <c r="BD887" s="26"/>
      <c r="BE887" s="26"/>
      <c r="BF887" s="26"/>
      <c r="BG887" s="26"/>
      <c r="BH887" s="26"/>
      <c r="BI887" s="26"/>
      <c r="BJ887" s="26"/>
      <c r="BK887" s="26"/>
      <c r="BL887" s="26"/>
      <c r="BM887" s="26"/>
      <c r="BN887" s="26"/>
      <c r="BO887" s="26"/>
      <c r="BP887" s="16" t="n">
        <v>45407</v>
      </c>
      <c r="BQ887" s="28" t="str">
        <f>HYPERLINK("https://organic.ams.usda.gov/Integrity/Certificate.aspx?cid=17&amp;nopid=4080207400")</f>
        <v>https://organic.ams.usda.gov/Integrity/Certificate.aspx?cid=17&amp;nopid=4080207400</v>
      </c>
    </row>
    <row r="888">
      <c r="A888" t="s">
        <v>3</v>
      </c>
      <c r="B888" s="6" t="s">
        <v>47</v>
      </c>
      <c r="C888" s="6" t="s">
        <v>113</v>
      </c>
      <c r="D888" s="6" t="s">
        <v>177</v>
      </c>
      <c r="E888" s="10" t="s">
        <v>1086</v>
      </c>
      <c r="F888" s="6" t="s">
        <v>3330</v>
      </c>
      <c r="G888" s="6" t="s">
        <v>104</v>
      </c>
      <c r="H888" s="6" t="s">
        <v>5702</v>
      </c>
      <c r="I888" s="6" t="s">
        <v>7123</v>
      </c>
      <c r="J888" s="6" t="s">
        <v>8804</v>
      </c>
      <c r="K888" s="6" t="s">
        <v>9714</v>
      </c>
      <c r="L888" s="16" t="n">
        <v>41046</v>
      </c>
      <c r="M888" s="16" t="n">
        <v>46142</v>
      </c>
      <c r="N888" s="6" t="s">
        <v>104</v>
      </c>
      <c r="O888" s="21" t="s">
        <v>104</v>
      </c>
      <c r="P888" s="6" t="s">
        <v>104</v>
      </c>
      <c r="Q888" s="6" t="s">
        <v>104</v>
      </c>
      <c r="R888" s="6" t="s">
        <v>104</v>
      </c>
      <c r="S888" s="6" t="s">
        <v>104</v>
      </c>
      <c r="T888" s="21" t="s">
        <v>104</v>
      </c>
      <c r="U888" s="6" t="s">
        <v>104</v>
      </c>
      <c r="V888" s="6" t="s">
        <v>104</v>
      </c>
      <c r="W888" s="6" t="s">
        <v>104</v>
      </c>
      <c r="X888" s="6" t="s">
        <v>104</v>
      </c>
      <c r="Y888" s="21" t="s">
        <v>104</v>
      </c>
      <c r="Z888" s="6" t="s">
        <v>104</v>
      </c>
      <c r="AA888" s="6" t="s">
        <v>104</v>
      </c>
      <c r="AB888" s="6" t="s">
        <v>104</v>
      </c>
      <c r="AC888" s="6" t="s">
        <v>9714</v>
      </c>
      <c r="AD888" s="16" t="n">
        <v>41046</v>
      </c>
      <c r="AE888" s="6" t="s">
        <v>11313</v>
      </c>
      <c r="AF888" s="6" t="s">
        <v>104</v>
      </c>
      <c r="AG888" s="6" t="s">
        <v>12770</v>
      </c>
      <c r="AH888" s="6" t="s">
        <v>13960</v>
      </c>
      <c r="AI888" s="6" t="s">
        <v>104</v>
      </c>
      <c r="AJ888" s="6" t="s">
        <v>15945</v>
      </c>
      <c r="AK888" s="6" t="s">
        <v>16734</v>
      </c>
      <c r="AL888" s="6" t="s">
        <v>16931</v>
      </c>
      <c r="AM888" s="6" t="s">
        <v>17583</v>
      </c>
      <c r="AN888" s="6" t="s">
        <v>18456</v>
      </c>
      <c r="AO888" s="6" t="s">
        <v>18758</v>
      </c>
      <c r="AP888" s="6" t="s">
        <v>13960</v>
      </c>
      <c r="AQ888" s="6" t="s">
        <v>104</v>
      </c>
      <c r="AR888" s="6" t="s">
        <v>15945</v>
      </c>
      <c r="AS888" s="6" t="s">
        <v>16734</v>
      </c>
      <c r="AT888" s="6" t="s">
        <v>16931</v>
      </c>
      <c r="AU888" s="6" t="s">
        <v>17583</v>
      </c>
      <c r="AV888" s="6" t="s">
        <v>104</v>
      </c>
      <c r="AW888" s="6" t="s">
        <v>104</v>
      </c>
      <c r="AX888" s="6" t="s">
        <v>20812</v>
      </c>
      <c r="AY888" s="6" t="s">
        <v>22590</v>
      </c>
      <c r="AZ888" s="6" t="s">
        <v>23922</v>
      </c>
      <c r="BA888" s="6" t="s">
        <v>104</v>
      </c>
      <c r="BB888" s="24" t="n">
        <v>0</v>
      </c>
      <c r="BC888" s="26"/>
      <c r="BD888" s="26"/>
      <c r="BE888" s="26"/>
      <c r="BF888" s="26"/>
      <c r="BG888" s="26"/>
      <c r="BH888" s="26"/>
      <c r="BI888" s="26"/>
      <c r="BJ888" s="26"/>
      <c r="BK888" s="26"/>
      <c r="BL888" s="26"/>
      <c r="BM888" s="26"/>
      <c r="BN888" s="26"/>
      <c r="BO888" s="26"/>
      <c r="BP888" s="16" t="n">
        <v>45706</v>
      </c>
      <c r="BQ888" s="28" t="str">
        <f>HYPERLINK("https://organic.ams.usda.gov/Integrity/Certificate.aspx?cid=47&amp;nopid=7142074212")</f>
        <v>https://organic.ams.usda.gov/Integrity/Certificate.aspx?cid=47&amp;nopid=7142074212</v>
      </c>
    </row>
    <row r="889">
      <c r="A889" t="s">
        <v>3</v>
      </c>
      <c r="B889" s="6" t="s">
        <v>29</v>
      </c>
      <c r="C889" s="6" t="s">
        <v>95</v>
      </c>
      <c r="D889" s="6" t="s">
        <v>160</v>
      </c>
      <c r="E889" s="10" t="s">
        <v>1087</v>
      </c>
      <c r="F889" s="6" t="s">
        <v>3331</v>
      </c>
      <c r="G889" s="6" t="s">
        <v>104</v>
      </c>
      <c r="H889" s="6" t="s">
        <v>5703</v>
      </c>
      <c r="I889" s="6" t="s">
        <v>104</v>
      </c>
      <c r="J889" s="6" t="s">
        <v>8805</v>
      </c>
      <c r="K889" s="6" t="s">
        <v>9714</v>
      </c>
      <c r="L889" s="16" t="n">
        <v>44235</v>
      </c>
      <c r="M889" s="16" t="n">
        <v>45962</v>
      </c>
      <c r="N889" s="6" t="s">
        <v>104</v>
      </c>
      <c r="O889" s="21" t="s">
        <v>104</v>
      </c>
      <c r="P889" s="6" t="s">
        <v>104</v>
      </c>
      <c r="Q889" s="6" t="s">
        <v>104</v>
      </c>
      <c r="R889" s="6" t="s">
        <v>104</v>
      </c>
      <c r="S889" s="6" t="s">
        <v>104</v>
      </c>
      <c r="T889" s="21" t="s">
        <v>104</v>
      </c>
      <c r="U889" s="6" t="s">
        <v>104</v>
      </c>
      <c r="V889" s="6" t="s">
        <v>104</v>
      </c>
      <c r="W889" s="6" t="s">
        <v>104</v>
      </c>
      <c r="X889" s="6" t="s">
        <v>104</v>
      </c>
      <c r="Y889" s="21" t="s">
        <v>104</v>
      </c>
      <c r="Z889" s="6" t="s">
        <v>104</v>
      </c>
      <c r="AA889" s="6" t="s">
        <v>104</v>
      </c>
      <c r="AB889" s="6" t="s">
        <v>104</v>
      </c>
      <c r="AC889" s="6" t="s">
        <v>9714</v>
      </c>
      <c r="AD889" s="16" t="n">
        <v>44235</v>
      </c>
      <c r="AE889" s="6" t="s">
        <v>11314</v>
      </c>
      <c r="AF889" s="6" t="s">
        <v>104</v>
      </c>
      <c r="AG889" s="6" t="s">
        <v>104</v>
      </c>
      <c r="AH889" s="6" t="s">
        <v>13961</v>
      </c>
      <c r="AI889" s="6" t="s">
        <v>15272</v>
      </c>
      <c r="AJ889" s="6" t="s">
        <v>15946</v>
      </c>
      <c r="AK889" s="6" t="s">
        <v>16822</v>
      </c>
      <c r="AL889" s="6" t="s">
        <v>16766</v>
      </c>
      <c r="AM889" s="6" t="s">
        <v>104</v>
      </c>
      <c r="AN889" s="6" t="s">
        <v>104</v>
      </c>
      <c r="AO889" s="6" t="s">
        <v>104</v>
      </c>
      <c r="AP889" s="6" t="s">
        <v>104</v>
      </c>
      <c r="AQ889" s="6" t="s">
        <v>104</v>
      </c>
      <c r="AR889" s="6" t="s">
        <v>104</v>
      </c>
      <c r="AS889" s="6" t="s">
        <v>104</v>
      </c>
      <c r="AT889" s="6" t="s">
        <v>104</v>
      </c>
      <c r="AU889" s="6" t="s">
        <v>104</v>
      </c>
      <c r="AV889" s="6" t="s">
        <v>104</v>
      </c>
      <c r="AW889" s="6" t="s">
        <v>104</v>
      </c>
      <c r="AX889" s="6" t="s">
        <v>20813</v>
      </c>
      <c r="AY889" s="6" t="s">
        <v>22591</v>
      </c>
      <c r="AZ889" s="6" t="s">
        <v>104</v>
      </c>
      <c r="BA889" s="6" t="s">
        <v>104</v>
      </c>
      <c r="BB889" s="24" t="n">
        <v>0</v>
      </c>
      <c r="BC889" s="26"/>
      <c r="BD889" s="26"/>
      <c r="BE889" s="26"/>
      <c r="BF889" s="26"/>
      <c r="BG889" s="26"/>
      <c r="BH889" s="26"/>
      <c r="BI889" s="26"/>
      <c r="BJ889" s="26"/>
      <c r="BK889" s="26"/>
      <c r="BL889" s="26"/>
      <c r="BM889" s="26"/>
      <c r="BN889" s="26"/>
      <c r="BO889" s="26"/>
      <c r="BP889" s="16" t="n">
        <v>45600</v>
      </c>
      <c r="BQ889" s="28" t="str">
        <f>HYPERLINK("https://organic.ams.usda.gov/Integrity/Certificate.aspx?cid=24&amp;nopid=7880217274")</f>
        <v>https://organic.ams.usda.gov/Integrity/Certificate.aspx?cid=24&amp;nopid=7880217274</v>
      </c>
    </row>
    <row r="890">
      <c r="A890" t="s">
        <v>3</v>
      </c>
      <c r="B890" s="6" t="s">
        <v>29</v>
      </c>
      <c r="C890" s="6" t="s">
        <v>95</v>
      </c>
      <c r="D890" s="6" t="s">
        <v>160</v>
      </c>
      <c r="E890" s="10" t="s">
        <v>1088</v>
      </c>
      <c r="F890" s="6" t="s">
        <v>3332</v>
      </c>
      <c r="G890" s="6" t="s">
        <v>104</v>
      </c>
      <c r="H890" s="6" t="s">
        <v>5704</v>
      </c>
      <c r="I890" s="6" t="s">
        <v>104</v>
      </c>
      <c r="J890" s="6" t="s">
        <v>8806</v>
      </c>
      <c r="K890" s="6" t="s">
        <v>9714</v>
      </c>
      <c r="L890" s="16" t="n">
        <v>41044</v>
      </c>
      <c r="M890" s="16" t="n">
        <v>46054</v>
      </c>
      <c r="N890" s="6" t="s">
        <v>104</v>
      </c>
      <c r="O890" s="21" t="s">
        <v>104</v>
      </c>
      <c r="P890" s="6" t="s">
        <v>104</v>
      </c>
      <c r="Q890" s="6" t="s">
        <v>104</v>
      </c>
      <c r="R890" s="6" t="s">
        <v>104</v>
      </c>
      <c r="S890" s="6" t="s">
        <v>104</v>
      </c>
      <c r="T890" s="21" t="s">
        <v>104</v>
      </c>
      <c r="U890" s="6" t="s">
        <v>104</v>
      </c>
      <c r="V890" s="6" t="s">
        <v>104</v>
      </c>
      <c r="W890" s="6" t="s">
        <v>104</v>
      </c>
      <c r="X890" s="6" t="s">
        <v>104</v>
      </c>
      <c r="Y890" s="21" t="s">
        <v>104</v>
      </c>
      <c r="Z890" s="6" t="s">
        <v>104</v>
      </c>
      <c r="AA890" s="6" t="s">
        <v>104</v>
      </c>
      <c r="AB890" s="6" t="s">
        <v>104</v>
      </c>
      <c r="AC890" s="6" t="s">
        <v>9714</v>
      </c>
      <c r="AD890" s="16" t="n">
        <v>41044</v>
      </c>
      <c r="AE890" s="6" t="s">
        <v>11315</v>
      </c>
      <c r="AF890" s="6" t="s">
        <v>104</v>
      </c>
      <c r="AG890" s="6" t="s">
        <v>104</v>
      </c>
      <c r="AH890" s="6" t="s">
        <v>13962</v>
      </c>
      <c r="AI890" s="6" t="s">
        <v>15273</v>
      </c>
      <c r="AJ890" s="6" t="s">
        <v>104</v>
      </c>
      <c r="AK890" s="6" t="s">
        <v>16823</v>
      </c>
      <c r="AL890" s="6" t="s">
        <v>16766</v>
      </c>
      <c r="AM890" s="6" t="s">
        <v>104</v>
      </c>
      <c r="AN890" s="6" t="s">
        <v>104</v>
      </c>
      <c r="AO890" s="6" t="s">
        <v>104</v>
      </c>
      <c r="AP890" s="6" t="s">
        <v>104</v>
      </c>
      <c r="AQ890" s="6" t="s">
        <v>104</v>
      </c>
      <c r="AR890" s="6" t="s">
        <v>104</v>
      </c>
      <c r="AS890" s="6" t="s">
        <v>104</v>
      </c>
      <c r="AT890" s="6" t="s">
        <v>104</v>
      </c>
      <c r="AU890" s="6" t="s">
        <v>104</v>
      </c>
      <c r="AV890" s="6" t="s">
        <v>104</v>
      </c>
      <c r="AW890" s="6" t="s">
        <v>104</v>
      </c>
      <c r="AX890" s="6" t="s">
        <v>20814</v>
      </c>
      <c r="AY890" s="6" t="s">
        <v>22592</v>
      </c>
      <c r="AZ890" s="6" t="s">
        <v>104</v>
      </c>
      <c r="BA890" s="6" t="s">
        <v>24269</v>
      </c>
      <c r="BB890" s="24" t="n">
        <v>0</v>
      </c>
      <c r="BC890" s="26"/>
      <c r="BD890" s="26"/>
      <c r="BE890" s="26"/>
      <c r="BF890" s="26"/>
      <c r="BG890" s="26"/>
      <c r="BH890" s="26"/>
      <c r="BI890" s="26"/>
      <c r="BJ890" s="26"/>
      <c r="BK890" s="26"/>
      <c r="BL890" s="26"/>
      <c r="BM890" s="26"/>
      <c r="BN890" s="26"/>
      <c r="BO890" s="26"/>
      <c r="BP890" s="16" t="n">
        <v>45739</v>
      </c>
      <c r="BQ890" s="28" t="str">
        <f>HYPERLINK("https://organic.ams.usda.gov/Integrity/Certificate.aspx?cid=24&amp;nopid=7889134000")</f>
        <v>https://organic.ams.usda.gov/Integrity/Certificate.aspx?cid=24&amp;nopid=7889134000</v>
      </c>
    </row>
    <row r="891">
      <c r="A891" t="s">
        <v>3</v>
      </c>
      <c r="B891" s="6" t="s">
        <v>6</v>
      </c>
      <c r="C891" s="6" t="s">
        <v>72</v>
      </c>
      <c r="D891" s="6" t="s">
        <v>137</v>
      </c>
      <c r="E891" s="10" t="s">
        <v>1089</v>
      </c>
      <c r="F891" s="6" t="s">
        <v>3333</v>
      </c>
      <c r="G891" s="6" t="s">
        <v>104</v>
      </c>
      <c r="H891" s="6" t="s">
        <v>5705</v>
      </c>
      <c r="I891" s="6" t="s">
        <v>7494</v>
      </c>
      <c r="J891" s="6" t="s">
        <v>8807</v>
      </c>
      <c r="K891" s="6" t="s">
        <v>9714</v>
      </c>
      <c r="L891" s="16" t="n">
        <v>45394</v>
      </c>
      <c r="M891" s="16" t="n">
        <v>45751</v>
      </c>
      <c r="N891" s="6" t="s">
        <v>104</v>
      </c>
      <c r="O891" s="21" t="s">
        <v>104</v>
      </c>
      <c r="P891" s="6" t="s">
        <v>104</v>
      </c>
      <c r="Q891" s="6" t="s">
        <v>104</v>
      </c>
      <c r="R891" s="6" t="s">
        <v>104</v>
      </c>
      <c r="S891" s="6" t="s">
        <v>104</v>
      </c>
      <c r="T891" s="21" t="s">
        <v>104</v>
      </c>
      <c r="U891" s="6" t="s">
        <v>104</v>
      </c>
      <c r="V891" s="6" t="s">
        <v>104</v>
      </c>
      <c r="W891" s="6" t="s">
        <v>104</v>
      </c>
      <c r="X891" s="6" t="s">
        <v>104</v>
      </c>
      <c r="Y891" s="21" t="s">
        <v>104</v>
      </c>
      <c r="Z891" s="6" t="s">
        <v>104</v>
      </c>
      <c r="AA891" s="6" t="s">
        <v>104</v>
      </c>
      <c r="AB891" s="6" t="s">
        <v>104</v>
      </c>
      <c r="AC891" s="6" t="s">
        <v>9714</v>
      </c>
      <c r="AD891" s="16" t="n">
        <v>45394</v>
      </c>
      <c r="AE891" s="6" t="s">
        <v>11316</v>
      </c>
      <c r="AF891" s="6" t="s">
        <v>104</v>
      </c>
      <c r="AG891" s="6" t="s">
        <v>12771</v>
      </c>
      <c r="AH891" s="6" t="s">
        <v>13963</v>
      </c>
      <c r="AI891" s="6" t="s">
        <v>104</v>
      </c>
      <c r="AJ891" s="6" t="s">
        <v>15947</v>
      </c>
      <c r="AK891" s="6" t="s">
        <v>16707</v>
      </c>
      <c r="AL891" s="6" t="s">
        <v>16930</v>
      </c>
      <c r="AM891" s="6" t="s">
        <v>17584</v>
      </c>
      <c r="AN891" s="6" t="s">
        <v>104</v>
      </c>
      <c r="AO891" s="6" t="s">
        <v>104</v>
      </c>
      <c r="AP891" s="6" t="s">
        <v>104</v>
      </c>
      <c r="AQ891" s="6" t="s">
        <v>104</v>
      </c>
      <c r="AR891" s="6" t="s">
        <v>104</v>
      </c>
      <c r="AS891" s="6" t="s">
        <v>104</v>
      </c>
      <c r="AT891" s="6" t="s">
        <v>104</v>
      </c>
      <c r="AU891" s="6" t="s">
        <v>104</v>
      </c>
      <c r="AV891" s="6" t="s">
        <v>104</v>
      </c>
      <c r="AW891" s="6" t="s">
        <v>104</v>
      </c>
      <c r="AX891" s="6" t="s">
        <v>20815</v>
      </c>
      <c r="AY891" s="6" t="s">
        <v>22593</v>
      </c>
      <c r="AZ891" s="6" t="s">
        <v>104</v>
      </c>
      <c r="BA891" s="6" t="s">
        <v>104</v>
      </c>
      <c r="BB891" s="6" t="s">
        <v>104</v>
      </c>
      <c r="BC891" s="26"/>
      <c r="BD891" s="26"/>
      <c r="BE891" s="26"/>
      <c r="BF891" s="26"/>
      <c r="BG891" s="26"/>
      <c r="BH891" s="26"/>
      <c r="BI891" s="26"/>
      <c r="BJ891" s="26"/>
      <c r="BK891" s="26"/>
      <c r="BL891" s="26"/>
      <c r="BM891" s="26"/>
      <c r="BN891" s="26"/>
      <c r="BO891" s="26"/>
      <c r="BP891" s="16" t="n">
        <v>45737</v>
      </c>
      <c r="BQ891" s="28" t="str">
        <f>HYPERLINK("https://organic.ams.usda.gov/Integrity/Certificate.aspx?cid=32&amp;nopid=2230011301")</f>
        <v>https://organic.ams.usda.gov/Integrity/Certificate.aspx?cid=32&amp;nopid=2230011301</v>
      </c>
    </row>
    <row r="892">
      <c r="A892" t="s">
        <v>3</v>
      </c>
      <c r="B892" s="6" t="s">
        <v>34</v>
      </c>
      <c r="C892" s="6" t="s">
        <v>100</v>
      </c>
      <c r="D892" s="6" t="s">
        <v>165</v>
      </c>
      <c r="E892" s="10" t="s">
        <v>1090</v>
      </c>
      <c r="F892" s="6" t="s">
        <v>3334</v>
      </c>
      <c r="G892" s="6" t="s">
        <v>104</v>
      </c>
      <c r="H892" s="6" t="s">
        <v>5706</v>
      </c>
      <c r="I892" s="6" t="s">
        <v>7495</v>
      </c>
      <c r="J892" s="6" t="s">
        <v>8808</v>
      </c>
      <c r="K892" s="6" t="s">
        <v>9714</v>
      </c>
      <c r="L892" s="16" t="n">
        <v>39272</v>
      </c>
      <c r="M892" s="16" t="n">
        <v>46016</v>
      </c>
      <c r="N892" s="6" t="s">
        <v>104</v>
      </c>
      <c r="O892" s="21" t="s">
        <v>104</v>
      </c>
      <c r="P892" s="6" t="s">
        <v>104</v>
      </c>
      <c r="Q892" s="6" t="s">
        <v>104</v>
      </c>
      <c r="R892" s="6" t="s">
        <v>104</v>
      </c>
      <c r="S892" s="6" t="s">
        <v>104</v>
      </c>
      <c r="T892" s="21" t="s">
        <v>104</v>
      </c>
      <c r="U892" s="6" t="s">
        <v>104</v>
      </c>
      <c r="V892" s="6" t="s">
        <v>104</v>
      </c>
      <c r="W892" s="6" t="s">
        <v>104</v>
      </c>
      <c r="X892" s="6" t="s">
        <v>104</v>
      </c>
      <c r="Y892" s="21" t="s">
        <v>104</v>
      </c>
      <c r="Z892" s="6" t="s">
        <v>104</v>
      </c>
      <c r="AA892" s="6" t="s">
        <v>104</v>
      </c>
      <c r="AB892" s="6" t="s">
        <v>104</v>
      </c>
      <c r="AC892" s="6" t="s">
        <v>9714</v>
      </c>
      <c r="AD892" s="16" t="n">
        <v>39272</v>
      </c>
      <c r="AE892" s="6" t="s">
        <v>11317</v>
      </c>
      <c r="AF892" s="6" t="s">
        <v>104</v>
      </c>
      <c r="AG892" s="6" t="s">
        <v>12772</v>
      </c>
      <c r="AH892" s="6" t="s">
        <v>13964</v>
      </c>
      <c r="AI892" s="6" t="s">
        <v>104</v>
      </c>
      <c r="AJ892" s="6" t="s">
        <v>15948</v>
      </c>
      <c r="AK892" s="6" t="s">
        <v>16684</v>
      </c>
      <c r="AL892" s="6" t="s">
        <v>16931</v>
      </c>
      <c r="AM892" s="6" t="s">
        <v>17585</v>
      </c>
      <c r="AN892" s="6" t="s">
        <v>18532</v>
      </c>
      <c r="AO892" s="6" t="s">
        <v>18759</v>
      </c>
      <c r="AP892" s="6" t="s">
        <v>13964</v>
      </c>
      <c r="AQ892" s="6" t="s">
        <v>104</v>
      </c>
      <c r="AR892" s="6" t="s">
        <v>15948</v>
      </c>
      <c r="AS892" s="6" t="s">
        <v>16684</v>
      </c>
      <c r="AT892" s="6" t="s">
        <v>16931</v>
      </c>
      <c r="AU892" s="6" t="s">
        <v>17585</v>
      </c>
      <c r="AV892" s="6" t="s">
        <v>104</v>
      </c>
      <c r="AW892" s="6" t="s">
        <v>104</v>
      </c>
      <c r="AX892" s="6" t="s">
        <v>20816</v>
      </c>
      <c r="AY892" s="6" t="s">
        <v>22594</v>
      </c>
      <c r="AZ892" s="6" t="s">
        <v>23923</v>
      </c>
      <c r="BA892" s="6" t="s">
        <v>104</v>
      </c>
      <c r="BB892" s="6" t="s">
        <v>104</v>
      </c>
      <c r="BC892" s="26"/>
      <c r="BD892" s="26"/>
      <c r="BE892" s="26" t="s">
        <v>24533</v>
      </c>
      <c r="BF892" s="26"/>
      <c r="BG892" s="26"/>
      <c r="BH892" s="26"/>
      <c r="BI892" s="26"/>
      <c r="BJ892" s="26"/>
      <c r="BK892" s="26"/>
      <c r="BL892" s="26"/>
      <c r="BM892" s="26"/>
      <c r="BN892" s="26"/>
      <c r="BO892" s="26"/>
      <c r="BP892" s="16" t="n">
        <v>45737</v>
      </c>
      <c r="BQ892" s="28" t="str">
        <f>HYPERLINK("https://organic.ams.usda.gov/Integrity/Certificate.aspx?cid=71&amp;nopid=5520031318")</f>
        <v>https://organic.ams.usda.gov/Integrity/Certificate.aspx?cid=71&amp;nopid=5520031318</v>
      </c>
    </row>
    <row r="893">
      <c r="A893" t="s">
        <v>3</v>
      </c>
      <c r="B893" s="6" t="s">
        <v>55</v>
      </c>
      <c r="C893" s="6" t="s">
        <v>121</v>
      </c>
      <c r="D893" s="6" t="s">
        <v>185</v>
      </c>
      <c r="E893" s="10" t="s">
        <v>1091</v>
      </c>
      <c r="F893" s="6" t="s">
        <v>3335</v>
      </c>
      <c r="G893" s="6" t="s">
        <v>104</v>
      </c>
      <c r="H893" s="6" t="s">
        <v>5707</v>
      </c>
      <c r="I893" s="6" t="s">
        <v>6974</v>
      </c>
      <c r="J893" s="6" t="s">
        <v>8809</v>
      </c>
      <c r="K893" s="6" t="s">
        <v>9714</v>
      </c>
      <c r="L893" s="16" t="n">
        <v>44132</v>
      </c>
      <c r="M893" s="16" t="n">
        <v>45166</v>
      </c>
      <c r="N893" s="6" t="s">
        <v>104</v>
      </c>
      <c r="O893" s="21" t="s">
        <v>104</v>
      </c>
      <c r="P893" s="6" t="s">
        <v>104</v>
      </c>
      <c r="Q893" s="6" t="s">
        <v>104</v>
      </c>
      <c r="R893" s="6" t="s">
        <v>104</v>
      </c>
      <c r="S893" s="6" t="s">
        <v>104</v>
      </c>
      <c r="T893" s="21" t="s">
        <v>104</v>
      </c>
      <c r="U893" s="6" t="s">
        <v>104</v>
      </c>
      <c r="V893" s="6" t="s">
        <v>104</v>
      </c>
      <c r="W893" s="6" t="s">
        <v>104</v>
      </c>
      <c r="X893" s="6" t="s">
        <v>104</v>
      </c>
      <c r="Y893" s="21" t="s">
        <v>104</v>
      </c>
      <c r="Z893" s="6" t="s">
        <v>104</v>
      </c>
      <c r="AA893" s="6" t="s">
        <v>104</v>
      </c>
      <c r="AB893" s="6" t="s">
        <v>104</v>
      </c>
      <c r="AC893" s="6" t="s">
        <v>9714</v>
      </c>
      <c r="AD893" s="16" t="n">
        <v>44132</v>
      </c>
      <c r="AE893" s="6" t="s">
        <v>11318</v>
      </c>
      <c r="AF893" s="6" t="s">
        <v>104</v>
      </c>
      <c r="AG893" s="6" t="s">
        <v>5707</v>
      </c>
      <c r="AH893" s="6" t="s">
        <v>13965</v>
      </c>
      <c r="AI893" s="6" t="s">
        <v>15274</v>
      </c>
      <c r="AJ893" s="6" t="s">
        <v>15776</v>
      </c>
      <c r="AK893" s="6" t="s">
        <v>16694</v>
      </c>
      <c r="AL893" s="6" t="s">
        <v>16931</v>
      </c>
      <c r="AM893" s="6" t="s">
        <v>17586</v>
      </c>
      <c r="AN893" s="6" t="s">
        <v>18522</v>
      </c>
      <c r="AO893" s="6" t="s">
        <v>18698</v>
      </c>
      <c r="AP893" s="6" t="s">
        <v>13965</v>
      </c>
      <c r="AQ893" s="6" t="s">
        <v>15274</v>
      </c>
      <c r="AR893" s="6" t="s">
        <v>15776</v>
      </c>
      <c r="AS893" s="6" t="s">
        <v>16694</v>
      </c>
      <c r="AT893" s="6" t="s">
        <v>16931</v>
      </c>
      <c r="AU893" s="6" t="s">
        <v>17586</v>
      </c>
      <c r="AV893" s="6" t="s">
        <v>104</v>
      </c>
      <c r="AW893" s="6" t="s">
        <v>104</v>
      </c>
      <c r="AX893" s="6" t="s">
        <v>20817</v>
      </c>
      <c r="AY893" s="6" t="s">
        <v>22595</v>
      </c>
      <c r="AZ893" s="6" t="s">
        <v>23924</v>
      </c>
      <c r="BA893" s="6" t="s">
        <v>104</v>
      </c>
      <c r="BB893" s="6" t="s">
        <v>104</v>
      </c>
      <c r="BC893" s="26"/>
      <c r="BD893" s="26"/>
      <c r="BE893" s="26"/>
      <c r="BF893" s="26"/>
      <c r="BG893" s="26"/>
      <c r="BH893" s="26"/>
      <c r="BI893" s="26"/>
      <c r="BJ893" s="26"/>
      <c r="BK893" s="26"/>
      <c r="BL893" s="26"/>
      <c r="BM893" s="26"/>
      <c r="BN893" s="26" t="s">
        <v>24533</v>
      </c>
      <c r="BO893" s="26"/>
      <c r="BP893" s="16" t="n">
        <v>45343</v>
      </c>
      <c r="BQ893" s="28" t="str">
        <f>HYPERLINK("https://organic.ams.usda.gov/Integrity/Certificate.aspx?cid=70&amp;nopid=6436060000")</f>
        <v>https://organic.ams.usda.gov/Integrity/Certificate.aspx?cid=70&amp;nopid=6436060000</v>
      </c>
    </row>
    <row r="894">
      <c r="A894" t="s">
        <v>3</v>
      </c>
      <c r="B894" s="6" t="s">
        <v>29</v>
      </c>
      <c r="C894" s="6" t="s">
        <v>95</v>
      </c>
      <c r="D894" s="6" t="s">
        <v>160</v>
      </c>
      <c r="E894" s="10" t="s">
        <v>1092</v>
      </c>
      <c r="F894" s="6" t="s">
        <v>3336</v>
      </c>
      <c r="G894" s="6" t="s">
        <v>104</v>
      </c>
      <c r="H894" s="6" t="s">
        <v>5708</v>
      </c>
      <c r="I894" s="6" t="s">
        <v>104</v>
      </c>
      <c r="J894" s="6" t="s">
        <v>8810</v>
      </c>
      <c r="K894" s="6" t="s">
        <v>9714</v>
      </c>
      <c r="L894" s="16" t="n">
        <v>45049</v>
      </c>
      <c r="M894" s="16" t="n">
        <v>45962</v>
      </c>
      <c r="N894" s="6" t="s">
        <v>104</v>
      </c>
      <c r="O894" s="21" t="s">
        <v>104</v>
      </c>
      <c r="P894" s="6" t="s">
        <v>104</v>
      </c>
      <c r="Q894" s="6" t="s">
        <v>104</v>
      </c>
      <c r="R894" s="6" t="s">
        <v>104</v>
      </c>
      <c r="S894" s="6" t="s">
        <v>104</v>
      </c>
      <c r="T894" s="21" t="s">
        <v>104</v>
      </c>
      <c r="U894" s="6" t="s">
        <v>104</v>
      </c>
      <c r="V894" s="6" t="s">
        <v>104</v>
      </c>
      <c r="W894" s="6" t="s">
        <v>104</v>
      </c>
      <c r="X894" s="6" t="s">
        <v>104</v>
      </c>
      <c r="Y894" s="21" t="s">
        <v>104</v>
      </c>
      <c r="Z894" s="6" t="s">
        <v>104</v>
      </c>
      <c r="AA894" s="6" t="s">
        <v>104</v>
      </c>
      <c r="AB894" s="6" t="s">
        <v>104</v>
      </c>
      <c r="AC894" s="6" t="s">
        <v>9714</v>
      </c>
      <c r="AD894" s="16" t="n">
        <v>45049</v>
      </c>
      <c r="AE894" s="6" t="s">
        <v>11319</v>
      </c>
      <c r="AF894" s="6" t="s">
        <v>104</v>
      </c>
      <c r="AG894" s="6" t="s">
        <v>104</v>
      </c>
      <c r="AH894" s="6" t="s">
        <v>13966</v>
      </c>
      <c r="AI894" s="6" t="s">
        <v>15275</v>
      </c>
      <c r="AJ894" s="6" t="s">
        <v>104</v>
      </c>
      <c r="AK894" s="6" t="s">
        <v>15885</v>
      </c>
      <c r="AL894" s="6" t="s">
        <v>16932</v>
      </c>
      <c r="AM894" s="6" t="s">
        <v>17587</v>
      </c>
      <c r="AN894" s="6" t="s">
        <v>104</v>
      </c>
      <c r="AO894" s="6" t="s">
        <v>104</v>
      </c>
      <c r="AP894" s="6" t="s">
        <v>104</v>
      </c>
      <c r="AQ894" s="6" t="s">
        <v>104</v>
      </c>
      <c r="AR894" s="6" t="s">
        <v>104</v>
      </c>
      <c r="AS894" s="6" t="s">
        <v>104</v>
      </c>
      <c r="AT894" s="6" t="s">
        <v>104</v>
      </c>
      <c r="AU894" s="6" t="s">
        <v>104</v>
      </c>
      <c r="AV894" s="6" t="s">
        <v>104</v>
      </c>
      <c r="AW894" s="6" t="s">
        <v>104</v>
      </c>
      <c r="AX894" s="6" t="s">
        <v>20818</v>
      </c>
      <c r="AY894" s="6" t="s">
        <v>22596</v>
      </c>
      <c r="AZ894" s="6" t="s">
        <v>104</v>
      </c>
      <c r="BA894" s="6" t="s">
        <v>104</v>
      </c>
      <c r="BB894" s="24" t="n">
        <v>0</v>
      </c>
      <c r="BC894" s="26"/>
      <c r="BD894" s="26"/>
      <c r="BE894" s="26"/>
      <c r="BF894" s="26"/>
      <c r="BG894" s="26"/>
      <c r="BH894" s="26"/>
      <c r="BI894" s="26"/>
      <c r="BJ894" s="26"/>
      <c r="BK894" s="26"/>
      <c r="BL894" s="26"/>
      <c r="BM894" s="26"/>
      <c r="BN894" s="26"/>
      <c r="BO894" s="26"/>
      <c r="BP894" s="16" t="n">
        <v>45738</v>
      </c>
      <c r="BQ894" s="28" t="str">
        <f>HYPERLINK("https://organic.ams.usda.gov/Integrity/Certificate.aspx?cid=24&amp;nopid=7880275723")</f>
        <v>https://organic.ams.usda.gov/Integrity/Certificate.aspx?cid=24&amp;nopid=7880275723</v>
      </c>
    </row>
    <row r="895">
      <c r="A895" t="s">
        <v>3</v>
      </c>
      <c r="B895" s="6" t="s">
        <v>11</v>
      </c>
      <c r="C895" s="6" t="s">
        <v>77</v>
      </c>
      <c r="D895" s="6" t="s">
        <v>142</v>
      </c>
      <c r="E895" s="10" t="s">
        <v>1093</v>
      </c>
      <c r="F895" s="6" t="s">
        <v>3337</v>
      </c>
      <c r="G895" s="6" t="s">
        <v>104</v>
      </c>
      <c r="H895" s="6" t="s">
        <v>104</v>
      </c>
      <c r="I895" s="6" t="s">
        <v>7363</v>
      </c>
      <c r="J895" s="6" t="s">
        <v>8642</v>
      </c>
      <c r="K895" s="6" t="s">
        <v>9714</v>
      </c>
      <c r="L895" s="16" t="n">
        <v>44915</v>
      </c>
      <c r="M895" s="16" t="n">
        <v>45934</v>
      </c>
      <c r="N895" s="6" t="s">
        <v>9714</v>
      </c>
      <c r="O895" s="16" t="n">
        <v>44915</v>
      </c>
      <c r="P895" s="6" t="s">
        <v>9962</v>
      </c>
      <c r="Q895" s="6" t="s">
        <v>104</v>
      </c>
      <c r="R895" s="6" t="s">
        <v>104</v>
      </c>
      <c r="S895" s="6" t="s">
        <v>104</v>
      </c>
      <c r="T895" s="21" t="s">
        <v>104</v>
      </c>
      <c r="U895" s="6" t="s">
        <v>104</v>
      </c>
      <c r="V895" s="6" t="s">
        <v>104</v>
      </c>
      <c r="W895" s="6" t="s">
        <v>104</v>
      </c>
      <c r="X895" s="6" t="s">
        <v>104</v>
      </c>
      <c r="Y895" s="21" t="s">
        <v>104</v>
      </c>
      <c r="Z895" s="6" t="s">
        <v>104</v>
      </c>
      <c r="AA895" s="6" t="s">
        <v>104</v>
      </c>
      <c r="AB895" s="6" t="s">
        <v>104</v>
      </c>
      <c r="AC895" s="6" t="s">
        <v>9714</v>
      </c>
      <c r="AD895" s="16" t="n">
        <v>44915</v>
      </c>
      <c r="AE895" s="6" t="s">
        <v>11320</v>
      </c>
      <c r="AF895" s="6" t="s">
        <v>104</v>
      </c>
      <c r="AG895" s="6" t="s">
        <v>104</v>
      </c>
      <c r="AH895" s="6" t="s">
        <v>13967</v>
      </c>
      <c r="AI895" s="6" t="s">
        <v>104</v>
      </c>
      <c r="AJ895" s="6" t="s">
        <v>15799</v>
      </c>
      <c r="AK895" s="6" t="s">
        <v>16795</v>
      </c>
      <c r="AL895" s="6" t="s">
        <v>16966</v>
      </c>
      <c r="AM895" s="6" t="s">
        <v>17588</v>
      </c>
      <c r="AN895" s="6" t="s">
        <v>104</v>
      </c>
      <c r="AO895" s="6" t="s">
        <v>104</v>
      </c>
      <c r="AP895" s="6" t="s">
        <v>104</v>
      </c>
      <c r="AQ895" s="6" t="s">
        <v>104</v>
      </c>
      <c r="AR895" s="6" t="s">
        <v>104</v>
      </c>
      <c r="AS895" s="6" t="s">
        <v>104</v>
      </c>
      <c r="AT895" s="6" t="s">
        <v>104</v>
      </c>
      <c r="AU895" s="6" t="s">
        <v>104</v>
      </c>
      <c r="AV895" s="6" t="s">
        <v>104</v>
      </c>
      <c r="AW895" s="6" t="s">
        <v>104</v>
      </c>
      <c r="AX895" s="6" t="s">
        <v>20630</v>
      </c>
      <c r="AY895" s="6" t="s">
        <v>22404</v>
      </c>
      <c r="AZ895" s="6" t="s">
        <v>104</v>
      </c>
      <c r="BA895" s="6" t="s">
        <v>24360</v>
      </c>
      <c r="BB895" s="24" t="n">
        <v>9</v>
      </c>
      <c r="BC895" s="26"/>
      <c r="BD895" s="26"/>
      <c r="BE895" s="26"/>
      <c r="BF895" s="26"/>
      <c r="BG895" s="26"/>
      <c r="BH895" s="26"/>
      <c r="BI895" s="26"/>
      <c r="BJ895" s="26"/>
      <c r="BK895" s="26"/>
      <c r="BL895" s="26"/>
      <c r="BM895" s="26"/>
      <c r="BN895" s="26"/>
      <c r="BO895" s="26"/>
      <c r="BP895" s="16" t="n">
        <v>45645</v>
      </c>
      <c r="BQ895" s="28" t="str">
        <f>HYPERLINK("https://organic.ams.usda.gov/Integrity/Certificate.aspx?cid=21&amp;nopid=1780891237")</f>
        <v>https://organic.ams.usda.gov/Integrity/Certificate.aspx?cid=21&amp;nopid=1780891237</v>
      </c>
    </row>
    <row r="896">
      <c r="A896" t="s">
        <v>3</v>
      </c>
      <c r="B896" s="6" t="s">
        <v>11</v>
      </c>
      <c r="C896" s="6" t="s">
        <v>77</v>
      </c>
      <c r="D896" s="6" t="s">
        <v>142</v>
      </c>
      <c r="E896" s="10" t="s">
        <v>1094</v>
      </c>
      <c r="F896" s="6" t="s">
        <v>3338</v>
      </c>
      <c r="G896" s="6" t="s">
        <v>104</v>
      </c>
      <c r="H896" s="6" t="s">
        <v>5709</v>
      </c>
      <c r="I896" s="6" t="s">
        <v>7496</v>
      </c>
      <c r="J896" s="6" t="s">
        <v>8811</v>
      </c>
      <c r="K896" s="6" t="s">
        <v>9714</v>
      </c>
      <c r="L896" s="16" t="n">
        <v>39668</v>
      </c>
      <c r="M896" s="16" t="n">
        <v>45728</v>
      </c>
      <c r="N896" s="6" t="s">
        <v>9714</v>
      </c>
      <c r="O896" s="16" t="n">
        <v>39668</v>
      </c>
      <c r="P896" s="6" t="s">
        <v>9963</v>
      </c>
      <c r="Q896" s="6" t="s">
        <v>104</v>
      </c>
      <c r="R896" s="6" t="s">
        <v>104</v>
      </c>
      <c r="S896" s="6" t="s">
        <v>104</v>
      </c>
      <c r="T896" s="21" t="s">
        <v>104</v>
      </c>
      <c r="U896" s="6" t="s">
        <v>104</v>
      </c>
      <c r="V896" s="6" t="s">
        <v>104</v>
      </c>
      <c r="W896" s="6" t="s">
        <v>104</v>
      </c>
      <c r="X896" s="6" t="s">
        <v>104</v>
      </c>
      <c r="Y896" s="21" t="s">
        <v>104</v>
      </c>
      <c r="Z896" s="6" t="s">
        <v>104</v>
      </c>
      <c r="AA896" s="6" t="s">
        <v>104</v>
      </c>
      <c r="AB896" s="6" t="s">
        <v>104</v>
      </c>
      <c r="AC896" s="6" t="s">
        <v>9714</v>
      </c>
      <c r="AD896" s="16" t="n">
        <v>39668</v>
      </c>
      <c r="AE896" s="6" t="s">
        <v>11321</v>
      </c>
      <c r="AF896" s="6" t="s">
        <v>104</v>
      </c>
      <c r="AG896" s="6" t="s">
        <v>104</v>
      </c>
      <c r="AH896" s="6" t="s">
        <v>13968</v>
      </c>
      <c r="AI896" s="6" t="s">
        <v>104</v>
      </c>
      <c r="AJ896" s="6" t="s">
        <v>104</v>
      </c>
      <c r="AK896" s="6" t="s">
        <v>104</v>
      </c>
      <c r="AL896" s="6" t="s">
        <v>16940</v>
      </c>
      <c r="AM896" s="6" t="s">
        <v>104</v>
      </c>
      <c r="AN896" s="6" t="s">
        <v>104</v>
      </c>
      <c r="AO896" s="6" t="s">
        <v>104</v>
      </c>
      <c r="AP896" s="6" t="s">
        <v>104</v>
      </c>
      <c r="AQ896" s="6" t="s">
        <v>104</v>
      </c>
      <c r="AR896" s="6" t="s">
        <v>104</v>
      </c>
      <c r="AS896" s="6" t="s">
        <v>104</v>
      </c>
      <c r="AT896" s="6" t="s">
        <v>104</v>
      </c>
      <c r="AU896" s="6" t="s">
        <v>104</v>
      </c>
      <c r="AV896" s="6" t="s">
        <v>104</v>
      </c>
      <c r="AW896" s="6" t="s">
        <v>104</v>
      </c>
      <c r="AX896" s="6" t="s">
        <v>104</v>
      </c>
      <c r="AY896" s="6" t="s">
        <v>22597</v>
      </c>
      <c r="AZ896" s="6" t="s">
        <v>104</v>
      </c>
      <c r="BA896" s="6" t="s">
        <v>104</v>
      </c>
      <c r="BB896" s="24" t="n">
        <v>6748</v>
      </c>
      <c r="BC896" s="26"/>
      <c r="BD896" s="26"/>
      <c r="BE896" s="26"/>
      <c r="BF896" s="26"/>
      <c r="BG896" s="26"/>
      <c r="BH896" s="26"/>
      <c r="BI896" s="26"/>
      <c r="BJ896" s="26"/>
      <c r="BK896" s="26"/>
      <c r="BL896" s="26"/>
      <c r="BM896" s="26"/>
      <c r="BN896" s="26"/>
      <c r="BO896" s="26"/>
      <c r="BP896" s="16" t="n">
        <v>45434</v>
      </c>
      <c r="BQ896" s="28" t="str">
        <f>HYPERLINK("https://organic.ams.usda.gov/Integrity/Certificate.aspx?cid=21&amp;nopid=1780025313")</f>
        <v>https://organic.ams.usda.gov/Integrity/Certificate.aspx?cid=21&amp;nopid=1780025313</v>
      </c>
    </row>
    <row r="897">
      <c r="A897" t="s">
        <v>3</v>
      </c>
      <c r="B897" s="6" t="s">
        <v>6</v>
      </c>
      <c r="C897" s="6" t="s">
        <v>72</v>
      </c>
      <c r="D897" s="6" t="s">
        <v>137</v>
      </c>
      <c r="E897" s="10" t="s">
        <v>1095</v>
      </c>
      <c r="F897" s="6" t="s">
        <v>3339</v>
      </c>
      <c r="G897" s="6" t="s">
        <v>104</v>
      </c>
      <c r="H897" s="6" t="s">
        <v>5710</v>
      </c>
      <c r="I897" s="6" t="s">
        <v>7497</v>
      </c>
      <c r="J897" s="6" t="s">
        <v>8812</v>
      </c>
      <c r="K897" s="6" t="s">
        <v>9714</v>
      </c>
      <c r="L897" s="16" t="n">
        <v>45127</v>
      </c>
      <c r="M897" s="16" t="n">
        <v>45767</v>
      </c>
      <c r="N897" s="6" t="s">
        <v>104</v>
      </c>
      <c r="O897" s="21" t="s">
        <v>104</v>
      </c>
      <c r="P897" s="6" t="s">
        <v>104</v>
      </c>
      <c r="Q897" s="6" t="s">
        <v>104</v>
      </c>
      <c r="R897" s="6" t="s">
        <v>104</v>
      </c>
      <c r="S897" s="6" t="s">
        <v>104</v>
      </c>
      <c r="T897" s="21" t="s">
        <v>104</v>
      </c>
      <c r="U897" s="6" t="s">
        <v>104</v>
      </c>
      <c r="V897" s="6" t="s">
        <v>104</v>
      </c>
      <c r="W897" s="6" t="s">
        <v>104</v>
      </c>
      <c r="X897" s="6" t="s">
        <v>104</v>
      </c>
      <c r="Y897" s="21" t="s">
        <v>104</v>
      </c>
      <c r="Z897" s="6" t="s">
        <v>104</v>
      </c>
      <c r="AA897" s="6" t="s">
        <v>104</v>
      </c>
      <c r="AB897" s="6" t="s">
        <v>104</v>
      </c>
      <c r="AC897" s="6" t="s">
        <v>9714</v>
      </c>
      <c r="AD897" s="16" t="n">
        <v>45127</v>
      </c>
      <c r="AE897" s="6" t="s">
        <v>11322</v>
      </c>
      <c r="AF897" s="6" t="s">
        <v>104</v>
      </c>
      <c r="AG897" s="6" t="s">
        <v>12773</v>
      </c>
      <c r="AH897" s="6" t="s">
        <v>13969</v>
      </c>
      <c r="AI897" s="6" t="s">
        <v>104</v>
      </c>
      <c r="AJ897" s="6" t="s">
        <v>15949</v>
      </c>
      <c r="AK897" s="6" t="s">
        <v>16741</v>
      </c>
      <c r="AL897" s="6" t="s">
        <v>16766</v>
      </c>
      <c r="AM897" s="6" t="s">
        <v>104</v>
      </c>
      <c r="AN897" s="6" t="s">
        <v>104</v>
      </c>
      <c r="AO897" s="6" t="s">
        <v>104</v>
      </c>
      <c r="AP897" s="6" t="s">
        <v>104</v>
      </c>
      <c r="AQ897" s="6" t="s">
        <v>104</v>
      </c>
      <c r="AR897" s="6" t="s">
        <v>104</v>
      </c>
      <c r="AS897" s="6" t="s">
        <v>104</v>
      </c>
      <c r="AT897" s="6" t="s">
        <v>104</v>
      </c>
      <c r="AU897" s="6" t="s">
        <v>104</v>
      </c>
      <c r="AV897" s="6" t="s">
        <v>104</v>
      </c>
      <c r="AW897" s="6" t="s">
        <v>104</v>
      </c>
      <c r="AX897" s="6" t="s">
        <v>104</v>
      </c>
      <c r="AY897" s="6" t="s">
        <v>22598</v>
      </c>
      <c r="AZ897" s="6" t="s">
        <v>104</v>
      </c>
      <c r="BA897" s="6" t="s">
        <v>24258</v>
      </c>
      <c r="BB897" s="6" t="s">
        <v>104</v>
      </c>
      <c r="BC897" s="26"/>
      <c r="BD897" s="26"/>
      <c r="BE897" s="26"/>
      <c r="BF897" s="26"/>
      <c r="BG897" s="26"/>
      <c r="BH897" s="26"/>
      <c r="BI897" s="26"/>
      <c r="BJ897" s="26"/>
      <c r="BK897" s="26"/>
      <c r="BL897" s="26"/>
      <c r="BM897" s="26"/>
      <c r="BN897" s="26"/>
      <c r="BO897" s="26"/>
      <c r="BP897" s="16" t="n">
        <v>45737</v>
      </c>
      <c r="BQ897" s="28" t="str">
        <f>HYPERLINK("https://organic.ams.usda.gov/Integrity/Certificate.aspx?cid=32&amp;nopid=2230010428")</f>
        <v>https://organic.ams.usda.gov/Integrity/Certificate.aspx?cid=32&amp;nopid=2230010428</v>
      </c>
    </row>
    <row r="898">
      <c r="A898" t="s">
        <v>3</v>
      </c>
      <c r="B898" s="6" t="s">
        <v>6</v>
      </c>
      <c r="C898" s="6" t="s">
        <v>72</v>
      </c>
      <c r="D898" s="6" t="s">
        <v>137</v>
      </c>
      <c r="E898" s="10" t="s">
        <v>1096</v>
      </c>
      <c r="F898" s="6" t="s">
        <v>3340</v>
      </c>
      <c r="G898" s="6" t="s">
        <v>104</v>
      </c>
      <c r="H898" s="6" t="s">
        <v>5711</v>
      </c>
      <c r="I898" s="6" t="s">
        <v>7498</v>
      </c>
      <c r="J898" s="6" t="s">
        <v>8813</v>
      </c>
      <c r="K898" s="6" t="s">
        <v>9714</v>
      </c>
      <c r="L898" s="16" t="n">
        <v>44489</v>
      </c>
      <c r="M898" s="16" t="n">
        <v>45766</v>
      </c>
      <c r="N898" s="6" t="s">
        <v>104</v>
      </c>
      <c r="O898" s="21" t="s">
        <v>104</v>
      </c>
      <c r="P898" s="6" t="s">
        <v>104</v>
      </c>
      <c r="Q898" s="6" t="s">
        <v>104</v>
      </c>
      <c r="R898" s="6" t="s">
        <v>104</v>
      </c>
      <c r="S898" s="6" t="s">
        <v>104</v>
      </c>
      <c r="T898" s="21" t="s">
        <v>104</v>
      </c>
      <c r="U898" s="6" t="s">
        <v>104</v>
      </c>
      <c r="V898" s="6" t="s">
        <v>104</v>
      </c>
      <c r="W898" s="6" t="s">
        <v>104</v>
      </c>
      <c r="X898" s="6" t="s">
        <v>104</v>
      </c>
      <c r="Y898" s="21" t="s">
        <v>104</v>
      </c>
      <c r="Z898" s="6" t="s">
        <v>104</v>
      </c>
      <c r="AA898" s="6" t="s">
        <v>104</v>
      </c>
      <c r="AB898" s="6" t="s">
        <v>104</v>
      </c>
      <c r="AC898" s="6" t="s">
        <v>9714</v>
      </c>
      <c r="AD898" s="16" t="n">
        <v>44489</v>
      </c>
      <c r="AE898" s="6" t="s">
        <v>11323</v>
      </c>
      <c r="AF898" s="6" t="s">
        <v>104</v>
      </c>
      <c r="AG898" s="6" t="s">
        <v>12774</v>
      </c>
      <c r="AH898" s="6" t="s">
        <v>13970</v>
      </c>
      <c r="AI898" s="6" t="s">
        <v>104</v>
      </c>
      <c r="AJ898" s="6" t="s">
        <v>15949</v>
      </c>
      <c r="AK898" s="6" t="s">
        <v>16767</v>
      </c>
      <c r="AL898" s="6" t="s">
        <v>16766</v>
      </c>
      <c r="AM898" s="6" t="s">
        <v>104</v>
      </c>
      <c r="AN898" s="6" t="s">
        <v>104</v>
      </c>
      <c r="AO898" s="6" t="s">
        <v>104</v>
      </c>
      <c r="AP898" s="6" t="s">
        <v>104</v>
      </c>
      <c r="AQ898" s="6" t="s">
        <v>104</v>
      </c>
      <c r="AR898" s="6" t="s">
        <v>104</v>
      </c>
      <c r="AS898" s="6" t="s">
        <v>104</v>
      </c>
      <c r="AT898" s="6" t="s">
        <v>104</v>
      </c>
      <c r="AU898" s="6" t="s">
        <v>104</v>
      </c>
      <c r="AV898" s="6" t="s">
        <v>104</v>
      </c>
      <c r="AW898" s="6" t="s">
        <v>104</v>
      </c>
      <c r="AX898" s="6" t="s">
        <v>104</v>
      </c>
      <c r="AY898" s="6" t="s">
        <v>22598</v>
      </c>
      <c r="AZ898" s="6" t="s">
        <v>104</v>
      </c>
      <c r="BA898" s="6" t="s">
        <v>24290</v>
      </c>
      <c r="BB898" s="6" t="s">
        <v>104</v>
      </c>
      <c r="BC898" s="26"/>
      <c r="BD898" s="26"/>
      <c r="BE898" s="26"/>
      <c r="BF898" s="26"/>
      <c r="BG898" s="26"/>
      <c r="BH898" s="26"/>
      <c r="BI898" s="26"/>
      <c r="BJ898" s="26"/>
      <c r="BK898" s="26"/>
      <c r="BL898" s="26"/>
      <c r="BM898" s="26"/>
      <c r="BN898" s="26"/>
      <c r="BO898" s="26"/>
      <c r="BP898" s="16" t="n">
        <v>45737</v>
      </c>
      <c r="BQ898" s="28" t="str">
        <f>HYPERLINK("https://organic.ams.usda.gov/Integrity/Certificate.aspx?cid=32&amp;nopid=2230008904")</f>
        <v>https://organic.ams.usda.gov/Integrity/Certificate.aspx?cid=32&amp;nopid=2230008904</v>
      </c>
    </row>
    <row r="899">
      <c r="A899" t="s">
        <v>3</v>
      </c>
      <c r="B899" s="6" t="s">
        <v>34</v>
      </c>
      <c r="C899" s="6" t="s">
        <v>100</v>
      </c>
      <c r="D899" s="6" t="s">
        <v>165</v>
      </c>
      <c r="E899" s="10" t="s">
        <v>1097</v>
      </c>
      <c r="F899" s="6" t="s">
        <v>3341</v>
      </c>
      <c r="G899" s="6" t="s">
        <v>104</v>
      </c>
      <c r="H899" s="6" t="s">
        <v>5712</v>
      </c>
      <c r="I899" s="6" t="s">
        <v>7499</v>
      </c>
      <c r="J899" s="6" t="s">
        <v>8814</v>
      </c>
      <c r="K899" s="6" t="s">
        <v>9714</v>
      </c>
      <c r="L899" s="16" t="n">
        <v>37375</v>
      </c>
      <c r="M899" s="16" t="n">
        <v>45772</v>
      </c>
      <c r="N899" s="6" t="s">
        <v>104</v>
      </c>
      <c r="O899" s="21" t="s">
        <v>104</v>
      </c>
      <c r="P899" s="6" t="s">
        <v>104</v>
      </c>
      <c r="Q899" s="6" t="s">
        <v>104</v>
      </c>
      <c r="R899" s="6" t="s">
        <v>104</v>
      </c>
      <c r="S899" s="6" t="s">
        <v>104</v>
      </c>
      <c r="T899" s="21" t="s">
        <v>104</v>
      </c>
      <c r="U899" s="6" t="s">
        <v>104</v>
      </c>
      <c r="V899" s="6" t="s">
        <v>104</v>
      </c>
      <c r="W899" s="6" t="s">
        <v>104</v>
      </c>
      <c r="X899" s="6" t="s">
        <v>104</v>
      </c>
      <c r="Y899" s="21" t="s">
        <v>104</v>
      </c>
      <c r="Z899" s="6" t="s">
        <v>104</v>
      </c>
      <c r="AA899" s="6" t="s">
        <v>104</v>
      </c>
      <c r="AB899" s="6" t="s">
        <v>104</v>
      </c>
      <c r="AC899" s="6" t="s">
        <v>9714</v>
      </c>
      <c r="AD899" s="16" t="n">
        <v>37375</v>
      </c>
      <c r="AE899" s="6" t="s">
        <v>11324</v>
      </c>
      <c r="AF899" s="6" t="s">
        <v>104</v>
      </c>
      <c r="AG899" s="6" t="s">
        <v>12775</v>
      </c>
      <c r="AH899" s="6" t="s">
        <v>13971</v>
      </c>
      <c r="AI899" s="6" t="s">
        <v>15276</v>
      </c>
      <c r="AJ899" s="6" t="s">
        <v>15950</v>
      </c>
      <c r="AK899" s="6" t="s">
        <v>16680</v>
      </c>
      <c r="AL899" s="6" t="s">
        <v>16931</v>
      </c>
      <c r="AM899" s="6" t="s">
        <v>17589</v>
      </c>
      <c r="AN899" s="6" t="s">
        <v>18517</v>
      </c>
      <c r="AO899" s="6" t="s">
        <v>104</v>
      </c>
      <c r="AP899" s="6" t="s">
        <v>13971</v>
      </c>
      <c r="AQ899" s="6" t="s">
        <v>15276</v>
      </c>
      <c r="AR899" s="6" t="s">
        <v>15950</v>
      </c>
      <c r="AS899" s="6" t="s">
        <v>16680</v>
      </c>
      <c r="AT899" s="6" t="s">
        <v>16931</v>
      </c>
      <c r="AU899" s="6" t="s">
        <v>17589</v>
      </c>
      <c r="AV899" s="6" t="s">
        <v>104</v>
      </c>
      <c r="AW899" s="6" t="s">
        <v>104</v>
      </c>
      <c r="AX899" s="6" t="s">
        <v>20819</v>
      </c>
      <c r="AY899" s="6" t="s">
        <v>22599</v>
      </c>
      <c r="AZ899" s="6" t="s">
        <v>104</v>
      </c>
      <c r="BA899" s="6" t="s">
        <v>104</v>
      </c>
      <c r="BB899" s="6" t="s">
        <v>104</v>
      </c>
      <c r="BC899" s="26"/>
      <c r="BD899" s="26"/>
      <c r="BE899" s="26"/>
      <c r="BF899" s="26"/>
      <c r="BG899" s="26"/>
      <c r="BH899" s="26" t="s">
        <v>24533</v>
      </c>
      <c r="BI899" s="26"/>
      <c r="BJ899" s="26"/>
      <c r="BK899" s="26"/>
      <c r="BL899" s="26"/>
      <c r="BM899" s="26"/>
      <c r="BN899" s="26"/>
      <c r="BO899" s="26"/>
      <c r="BP899" s="16" t="n">
        <v>45737</v>
      </c>
      <c r="BQ899" s="28" t="str">
        <f>HYPERLINK("https://organic.ams.usda.gov/Integrity/Certificate.aspx?cid=71&amp;nopid=5520030742")</f>
        <v>https://organic.ams.usda.gov/Integrity/Certificate.aspx?cid=71&amp;nopid=5520030742</v>
      </c>
    </row>
    <row r="900">
      <c r="A900" t="s">
        <v>3</v>
      </c>
      <c r="B900" s="6" t="s">
        <v>24</v>
      </c>
      <c r="C900" s="6" t="s">
        <v>90</v>
      </c>
      <c r="D900" s="6" t="s">
        <v>155</v>
      </c>
      <c r="E900" s="10" t="s">
        <v>1098</v>
      </c>
      <c r="F900" s="6" t="s">
        <v>3342</v>
      </c>
      <c r="G900" s="6" t="s">
        <v>4667</v>
      </c>
      <c r="H900" s="6" t="s">
        <v>5713</v>
      </c>
      <c r="I900" s="6" t="s">
        <v>7500</v>
      </c>
      <c r="J900" s="6" t="s">
        <v>8815</v>
      </c>
      <c r="K900" s="6" t="s">
        <v>9714</v>
      </c>
      <c r="L900" s="16" t="n">
        <v>39596</v>
      </c>
      <c r="M900" s="16" t="n">
        <v>45991</v>
      </c>
      <c r="N900" s="6" t="s">
        <v>104</v>
      </c>
      <c r="O900" s="21" t="s">
        <v>104</v>
      </c>
      <c r="P900" s="6" t="s">
        <v>104</v>
      </c>
      <c r="Q900" s="6" t="s">
        <v>104</v>
      </c>
      <c r="R900" s="6" t="s">
        <v>104</v>
      </c>
      <c r="S900" s="6" t="s">
        <v>104</v>
      </c>
      <c r="T900" s="21" t="s">
        <v>104</v>
      </c>
      <c r="U900" s="6" t="s">
        <v>104</v>
      </c>
      <c r="V900" s="6" t="s">
        <v>104</v>
      </c>
      <c r="W900" s="6" t="s">
        <v>104</v>
      </c>
      <c r="X900" s="6" t="s">
        <v>104</v>
      </c>
      <c r="Y900" s="21" t="s">
        <v>104</v>
      </c>
      <c r="Z900" s="6" t="s">
        <v>104</v>
      </c>
      <c r="AA900" s="6" t="s">
        <v>104</v>
      </c>
      <c r="AB900" s="6" t="s">
        <v>104</v>
      </c>
      <c r="AC900" s="6" t="s">
        <v>9714</v>
      </c>
      <c r="AD900" s="16" t="n">
        <v>39596</v>
      </c>
      <c r="AE900" s="6" t="s">
        <v>11325</v>
      </c>
      <c r="AF900" s="6" t="s">
        <v>104</v>
      </c>
      <c r="AG900" s="6" t="s">
        <v>5713</v>
      </c>
      <c r="AH900" s="6" t="s">
        <v>13972</v>
      </c>
      <c r="AI900" s="6" t="s">
        <v>104</v>
      </c>
      <c r="AJ900" s="6" t="s">
        <v>15951</v>
      </c>
      <c r="AK900" s="6" t="s">
        <v>7191</v>
      </c>
      <c r="AL900" s="6" t="s">
        <v>16934</v>
      </c>
      <c r="AM900" s="6" t="s">
        <v>17590</v>
      </c>
      <c r="AN900" s="6" t="s">
        <v>104</v>
      </c>
      <c r="AO900" s="6" t="s">
        <v>104</v>
      </c>
      <c r="AP900" s="6" t="s">
        <v>13972</v>
      </c>
      <c r="AQ900" s="6" t="s">
        <v>104</v>
      </c>
      <c r="AR900" s="6" t="s">
        <v>15951</v>
      </c>
      <c r="AS900" s="6" t="s">
        <v>7191</v>
      </c>
      <c r="AT900" s="6" t="s">
        <v>16934</v>
      </c>
      <c r="AU900" s="6" t="s">
        <v>17590</v>
      </c>
      <c r="AV900" s="6" t="s">
        <v>104</v>
      </c>
      <c r="AW900" s="6" t="s">
        <v>104</v>
      </c>
      <c r="AX900" s="6" t="s">
        <v>20820</v>
      </c>
      <c r="AY900" s="6" t="s">
        <v>22600</v>
      </c>
      <c r="AZ900" s="6" t="s">
        <v>104</v>
      </c>
      <c r="BA900" s="6" t="s">
        <v>24262</v>
      </c>
      <c r="BB900" s="24" t="n">
        <v>0</v>
      </c>
      <c r="BC900" s="26"/>
      <c r="BD900" s="26"/>
      <c r="BE900" s="26"/>
      <c r="BF900" s="26"/>
      <c r="BG900" s="26"/>
      <c r="BH900" s="26"/>
      <c r="BI900" s="26"/>
      <c r="BJ900" s="26"/>
      <c r="BK900" s="26"/>
      <c r="BL900" s="26"/>
      <c r="BM900" s="26"/>
      <c r="BN900" s="26"/>
      <c r="BO900" s="26"/>
      <c r="BP900" s="16" t="n">
        <v>45730</v>
      </c>
      <c r="BQ900" s="28" t="str">
        <f>HYPERLINK("https://organic.ams.usda.gov/Integrity/Certificate.aspx?cid=7&amp;nopid=3950000125")</f>
        <v>https://organic.ams.usda.gov/Integrity/Certificate.aspx?cid=7&amp;nopid=3950000125</v>
      </c>
    </row>
    <row r="901">
      <c r="A901" t="s">
        <v>3</v>
      </c>
      <c r="B901" s="6" t="s">
        <v>11</v>
      </c>
      <c r="C901" s="6" t="s">
        <v>77</v>
      </c>
      <c r="D901" s="6" t="s">
        <v>142</v>
      </c>
      <c r="E901" s="10" t="s">
        <v>1099</v>
      </c>
      <c r="F901" s="6" t="s">
        <v>3343</v>
      </c>
      <c r="G901" s="6" t="s">
        <v>104</v>
      </c>
      <c r="H901" s="6" t="s">
        <v>5714</v>
      </c>
      <c r="I901" s="6" t="s">
        <v>7035</v>
      </c>
      <c r="J901" s="6" t="s">
        <v>8816</v>
      </c>
      <c r="K901" s="6" t="s">
        <v>9714</v>
      </c>
      <c r="L901" s="16" t="n">
        <v>45155</v>
      </c>
      <c r="M901" s="16" t="n">
        <v>45759</v>
      </c>
      <c r="N901" s="6" t="s">
        <v>9714</v>
      </c>
      <c r="O901" s="16" t="n">
        <v>45155</v>
      </c>
      <c r="P901" s="6" t="s">
        <v>9964</v>
      </c>
      <c r="Q901" s="6" t="s">
        <v>104</v>
      </c>
      <c r="R901" s="6" t="s">
        <v>104</v>
      </c>
      <c r="S901" s="6" t="s">
        <v>104</v>
      </c>
      <c r="T901" s="21" t="s">
        <v>104</v>
      </c>
      <c r="U901" s="6" t="s">
        <v>104</v>
      </c>
      <c r="V901" s="6" t="s">
        <v>104</v>
      </c>
      <c r="W901" s="6" t="s">
        <v>104</v>
      </c>
      <c r="X901" s="6" t="s">
        <v>104</v>
      </c>
      <c r="Y901" s="21" t="s">
        <v>104</v>
      </c>
      <c r="Z901" s="6" t="s">
        <v>104</v>
      </c>
      <c r="AA901" s="6" t="s">
        <v>104</v>
      </c>
      <c r="AB901" s="6" t="s">
        <v>104</v>
      </c>
      <c r="AC901" s="6" t="s">
        <v>9714</v>
      </c>
      <c r="AD901" s="16" t="n">
        <v>45155</v>
      </c>
      <c r="AE901" s="6" t="s">
        <v>11326</v>
      </c>
      <c r="AF901" s="6" t="s">
        <v>104</v>
      </c>
      <c r="AG901" s="6" t="s">
        <v>104</v>
      </c>
      <c r="AH901" s="6" t="s">
        <v>13973</v>
      </c>
      <c r="AI901" s="6" t="s">
        <v>104</v>
      </c>
      <c r="AJ901" s="6" t="s">
        <v>104</v>
      </c>
      <c r="AK901" s="6" t="s">
        <v>104</v>
      </c>
      <c r="AL901" s="6" t="s">
        <v>16940</v>
      </c>
      <c r="AM901" s="6" t="s">
        <v>104</v>
      </c>
      <c r="AN901" s="6" t="s">
        <v>104</v>
      </c>
      <c r="AO901" s="6" t="s">
        <v>104</v>
      </c>
      <c r="AP901" s="6" t="s">
        <v>104</v>
      </c>
      <c r="AQ901" s="6" t="s">
        <v>104</v>
      </c>
      <c r="AR901" s="6" t="s">
        <v>104</v>
      </c>
      <c r="AS901" s="6" t="s">
        <v>104</v>
      </c>
      <c r="AT901" s="6" t="s">
        <v>104</v>
      </c>
      <c r="AU901" s="6" t="s">
        <v>104</v>
      </c>
      <c r="AV901" s="6" t="s">
        <v>104</v>
      </c>
      <c r="AW901" s="6" t="s">
        <v>104</v>
      </c>
      <c r="AX901" s="6" t="s">
        <v>20821</v>
      </c>
      <c r="AY901" s="6" t="s">
        <v>22601</v>
      </c>
      <c r="AZ901" s="6" t="s">
        <v>104</v>
      </c>
      <c r="BA901" s="6" t="s">
        <v>104</v>
      </c>
      <c r="BB901" s="24" t="n">
        <v>6122</v>
      </c>
      <c r="BC901" s="26"/>
      <c r="BD901" s="26"/>
      <c r="BE901" s="26"/>
      <c r="BF901" s="26"/>
      <c r="BG901" s="26"/>
      <c r="BH901" s="26"/>
      <c r="BI901" s="26"/>
      <c r="BJ901" s="26"/>
      <c r="BK901" s="26"/>
      <c r="BL901" s="26"/>
      <c r="BM901" s="26"/>
      <c r="BN901" s="26"/>
      <c r="BO901" s="26"/>
      <c r="BP901" s="16" t="n">
        <v>45434</v>
      </c>
      <c r="BQ901" s="28" t="str">
        <f>HYPERLINK("https://organic.ams.usda.gov/Integrity/Certificate.aspx?cid=21&amp;nopid=1780815940")</f>
        <v>https://organic.ams.usda.gov/Integrity/Certificate.aspx?cid=21&amp;nopid=1780815940</v>
      </c>
    </row>
    <row r="902">
      <c r="A902" t="s">
        <v>3</v>
      </c>
      <c r="B902" s="6" t="s">
        <v>24</v>
      </c>
      <c r="C902" s="6" t="s">
        <v>90</v>
      </c>
      <c r="D902" s="6" t="s">
        <v>155</v>
      </c>
      <c r="E902" s="10" t="s">
        <v>1100</v>
      </c>
      <c r="F902" s="6" t="s">
        <v>3344</v>
      </c>
      <c r="G902" s="6" t="s">
        <v>104</v>
      </c>
      <c r="H902" s="6" t="s">
        <v>5715</v>
      </c>
      <c r="I902" s="6" t="s">
        <v>7501</v>
      </c>
      <c r="J902" s="6" t="s">
        <v>8817</v>
      </c>
      <c r="K902" s="6" t="s">
        <v>9714</v>
      </c>
      <c r="L902" s="16" t="n">
        <v>45468</v>
      </c>
      <c r="M902" s="16" t="n">
        <v>45716</v>
      </c>
      <c r="N902" s="6" t="s">
        <v>104</v>
      </c>
      <c r="O902" s="21" t="s">
        <v>104</v>
      </c>
      <c r="P902" s="6" t="s">
        <v>104</v>
      </c>
      <c r="Q902" s="6" t="s">
        <v>104</v>
      </c>
      <c r="R902" s="6" t="s">
        <v>104</v>
      </c>
      <c r="S902" s="6" t="s">
        <v>104</v>
      </c>
      <c r="T902" s="21" t="s">
        <v>104</v>
      </c>
      <c r="U902" s="6" t="s">
        <v>104</v>
      </c>
      <c r="V902" s="6" t="s">
        <v>104</v>
      </c>
      <c r="W902" s="6" t="s">
        <v>104</v>
      </c>
      <c r="X902" s="6" t="s">
        <v>104</v>
      </c>
      <c r="Y902" s="21" t="s">
        <v>104</v>
      </c>
      <c r="Z902" s="6" t="s">
        <v>104</v>
      </c>
      <c r="AA902" s="6" t="s">
        <v>104</v>
      </c>
      <c r="AB902" s="6" t="s">
        <v>104</v>
      </c>
      <c r="AC902" s="6" t="s">
        <v>9714</v>
      </c>
      <c r="AD902" s="16" t="n">
        <v>45468</v>
      </c>
      <c r="AE902" s="6" t="s">
        <v>11327</v>
      </c>
      <c r="AF902" s="6" t="s">
        <v>104</v>
      </c>
      <c r="AG902" s="6" t="s">
        <v>5715</v>
      </c>
      <c r="AH902" s="6" t="s">
        <v>13974</v>
      </c>
      <c r="AI902" s="6" t="s">
        <v>104</v>
      </c>
      <c r="AJ902" s="6" t="s">
        <v>15952</v>
      </c>
      <c r="AK902" s="6" t="s">
        <v>16824</v>
      </c>
      <c r="AL902" s="6" t="s">
        <v>16766</v>
      </c>
      <c r="AM902" s="6" t="s">
        <v>17591</v>
      </c>
      <c r="AN902" s="6" t="s">
        <v>104</v>
      </c>
      <c r="AO902" s="6" t="s">
        <v>104</v>
      </c>
      <c r="AP902" s="6" t="s">
        <v>13974</v>
      </c>
      <c r="AQ902" s="6" t="s">
        <v>104</v>
      </c>
      <c r="AR902" s="6" t="s">
        <v>15952</v>
      </c>
      <c r="AS902" s="6" t="s">
        <v>16824</v>
      </c>
      <c r="AT902" s="6" t="s">
        <v>16766</v>
      </c>
      <c r="AU902" s="6" t="s">
        <v>17591</v>
      </c>
      <c r="AV902" s="6" t="s">
        <v>104</v>
      </c>
      <c r="AW902" s="6" t="s">
        <v>104</v>
      </c>
      <c r="AX902" s="6" t="s">
        <v>20822</v>
      </c>
      <c r="AY902" s="6" t="s">
        <v>22602</v>
      </c>
      <c r="AZ902" s="6" t="s">
        <v>104</v>
      </c>
      <c r="BA902" s="6" t="s">
        <v>24306</v>
      </c>
      <c r="BB902" s="6" t="s">
        <v>104</v>
      </c>
      <c r="BC902" s="26"/>
      <c r="BD902" s="26"/>
      <c r="BE902" s="26"/>
      <c r="BF902" s="26"/>
      <c r="BG902" s="26"/>
      <c r="BH902" s="26"/>
      <c r="BI902" s="26"/>
      <c r="BJ902" s="26"/>
      <c r="BK902" s="26"/>
      <c r="BL902" s="26"/>
      <c r="BM902" s="26"/>
      <c r="BN902" s="26"/>
      <c r="BO902" s="26"/>
      <c r="BP902" s="16" t="n">
        <v>45477</v>
      </c>
      <c r="BQ902" s="28" t="str">
        <f>HYPERLINK("https://organic.ams.usda.gov/Integrity/Certificate.aspx?cid=7&amp;nopid=3950001151")</f>
        <v>https://organic.ams.usda.gov/Integrity/Certificate.aspx?cid=7&amp;nopid=3950001151</v>
      </c>
    </row>
    <row r="903">
      <c r="A903" t="s">
        <v>3</v>
      </c>
      <c r="B903" s="6" t="s">
        <v>6</v>
      </c>
      <c r="C903" s="6" t="s">
        <v>72</v>
      </c>
      <c r="D903" s="6" t="s">
        <v>137</v>
      </c>
      <c r="E903" s="10" t="s">
        <v>1101</v>
      </c>
      <c r="F903" s="6" t="s">
        <v>3345</v>
      </c>
      <c r="G903" s="6" t="s">
        <v>104</v>
      </c>
      <c r="H903" s="6" t="s">
        <v>5716</v>
      </c>
      <c r="I903" s="6" t="s">
        <v>7095</v>
      </c>
      <c r="J903" s="6" t="s">
        <v>8818</v>
      </c>
      <c r="K903" s="6" t="s">
        <v>9714</v>
      </c>
      <c r="L903" s="16" t="n">
        <v>44551</v>
      </c>
      <c r="M903" s="16" t="n">
        <v>46007</v>
      </c>
      <c r="N903" s="6" t="s">
        <v>104</v>
      </c>
      <c r="O903" s="21" t="s">
        <v>104</v>
      </c>
      <c r="P903" s="6" t="s">
        <v>104</v>
      </c>
      <c r="Q903" s="6" t="s">
        <v>104</v>
      </c>
      <c r="R903" s="6" t="s">
        <v>104</v>
      </c>
      <c r="S903" s="6" t="s">
        <v>104</v>
      </c>
      <c r="T903" s="21" t="s">
        <v>104</v>
      </c>
      <c r="U903" s="6" t="s">
        <v>104</v>
      </c>
      <c r="V903" s="6" t="s">
        <v>104</v>
      </c>
      <c r="W903" s="6" t="s">
        <v>104</v>
      </c>
      <c r="X903" s="6" t="s">
        <v>104</v>
      </c>
      <c r="Y903" s="21" t="s">
        <v>104</v>
      </c>
      <c r="Z903" s="6" t="s">
        <v>104</v>
      </c>
      <c r="AA903" s="6" t="s">
        <v>104</v>
      </c>
      <c r="AB903" s="6" t="s">
        <v>104</v>
      </c>
      <c r="AC903" s="6" t="s">
        <v>9714</v>
      </c>
      <c r="AD903" s="16" t="n">
        <v>44551</v>
      </c>
      <c r="AE903" s="6" t="s">
        <v>11328</v>
      </c>
      <c r="AF903" s="6" t="s">
        <v>104</v>
      </c>
      <c r="AG903" s="6" t="s">
        <v>12776</v>
      </c>
      <c r="AH903" s="6" t="s">
        <v>13975</v>
      </c>
      <c r="AI903" s="6" t="s">
        <v>104</v>
      </c>
      <c r="AJ903" s="6" t="s">
        <v>15953</v>
      </c>
      <c r="AK903" s="6" t="s">
        <v>16824</v>
      </c>
      <c r="AL903" s="6" t="s">
        <v>16766</v>
      </c>
      <c r="AM903" s="6" t="s">
        <v>104</v>
      </c>
      <c r="AN903" s="6" t="s">
        <v>104</v>
      </c>
      <c r="AO903" s="6" t="s">
        <v>104</v>
      </c>
      <c r="AP903" s="6" t="s">
        <v>104</v>
      </c>
      <c r="AQ903" s="6" t="s">
        <v>104</v>
      </c>
      <c r="AR903" s="6" t="s">
        <v>104</v>
      </c>
      <c r="AS903" s="6" t="s">
        <v>104</v>
      </c>
      <c r="AT903" s="6" t="s">
        <v>104</v>
      </c>
      <c r="AU903" s="6" t="s">
        <v>104</v>
      </c>
      <c r="AV903" s="6" t="s">
        <v>104</v>
      </c>
      <c r="AW903" s="6" t="s">
        <v>104</v>
      </c>
      <c r="AX903" s="6" t="s">
        <v>104</v>
      </c>
      <c r="AY903" s="6" t="s">
        <v>22603</v>
      </c>
      <c r="AZ903" s="6" t="s">
        <v>104</v>
      </c>
      <c r="BA903" s="6" t="s">
        <v>24290</v>
      </c>
      <c r="BB903" s="6" t="s">
        <v>104</v>
      </c>
      <c r="BC903" s="26"/>
      <c r="BD903" s="26"/>
      <c r="BE903" s="26"/>
      <c r="BF903" s="26"/>
      <c r="BG903" s="26"/>
      <c r="BH903" s="26"/>
      <c r="BI903" s="26"/>
      <c r="BJ903" s="26"/>
      <c r="BK903" s="26"/>
      <c r="BL903" s="26"/>
      <c r="BM903" s="26"/>
      <c r="BN903" s="26"/>
      <c r="BO903" s="26"/>
      <c r="BP903" s="16" t="n">
        <v>45737</v>
      </c>
      <c r="BQ903" s="28" t="str">
        <f>HYPERLINK("https://organic.ams.usda.gov/Integrity/Certificate.aspx?cid=32&amp;nopid=2230009128")</f>
        <v>https://organic.ams.usda.gov/Integrity/Certificate.aspx?cid=32&amp;nopid=2230009128</v>
      </c>
    </row>
    <row r="904">
      <c r="A904" t="s">
        <v>3</v>
      </c>
      <c r="B904" s="6" t="s">
        <v>20</v>
      </c>
      <c r="C904" s="6" t="s">
        <v>86</v>
      </c>
      <c r="D904" s="6" t="s">
        <v>151</v>
      </c>
      <c r="E904" s="10" t="s">
        <v>1102</v>
      </c>
      <c r="F904" s="6" t="s">
        <v>3346</v>
      </c>
      <c r="G904" s="6" t="s">
        <v>104</v>
      </c>
      <c r="H904" s="6" t="s">
        <v>5717</v>
      </c>
      <c r="I904" s="6" t="s">
        <v>7206</v>
      </c>
      <c r="J904" s="6" t="s">
        <v>8819</v>
      </c>
      <c r="K904" s="6" t="s">
        <v>9714</v>
      </c>
      <c r="L904" s="16" t="n">
        <v>43220</v>
      </c>
      <c r="M904" s="16" t="n">
        <v>45991</v>
      </c>
      <c r="N904" s="6" t="s">
        <v>104</v>
      </c>
      <c r="O904" s="21" t="s">
        <v>104</v>
      </c>
      <c r="P904" s="6" t="s">
        <v>104</v>
      </c>
      <c r="Q904" s="6" t="s">
        <v>104</v>
      </c>
      <c r="R904" s="6" t="s">
        <v>104</v>
      </c>
      <c r="S904" s="6" t="s">
        <v>104</v>
      </c>
      <c r="T904" s="21" t="s">
        <v>104</v>
      </c>
      <c r="U904" s="6" t="s">
        <v>104</v>
      </c>
      <c r="V904" s="6" t="s">
        <v>104</v>
      </c>
      <c r="W904" s="6" t="s">
        <v>104</v>
      </c>
      <c r="X904" s="6" t="s">
        <v>104</v>
      </c>
      <c r="Y904" s="21" t="s">
        <v>104</v>
      </c>
      <c r="Z904" s="6" t="s">
        <v>104</v>
      </c>
      <c r="AA904" s="6" t="s">
        <v>104</v>
      </c>
      <c r="AB904" s="6" t="s">
        <v>104</v>
      </c>
      <c r="AC904" s="6" t="s">
        <v>9714</v>
      </c>
      <c r="AD904" s="16" t="n">
        <v>43220</v>
      </c>
      <c r="AE904" s="6" t="s">
        <v>11329</v>
      </c>
      <c r="AF904" s="6" t="s">
        <v>104</v>
      </c>
      <c r="AG904" s="6" t="s">
        <v>12777</v>
      </c>
      <c r="AH904" s="6" t="s">
        <v>13976</v>
      </c>
      <c r="AI904" s="6" t="s">
        <v>104</v>
      </c>
      <c r="AJ904" s="6" t="s">
        <v>15952</v>
      </c>
      <c r="AK904" s="6" t="s">
        <v>16825</v>
      </c>
      <c r="AL904" s="6" t="s">
        <v>16766</v>
      </c>
      <c r="AM904" s="6" t="s">
        <v>17592</v>
      </c>
      <c r="AN904" s="6" t="s">
        <v>104</v>
      </c>
      <c r="AO904" s="6" t="s">
        <v>104</v>
      </c>
      <c r="AP904" s="6" t="s">
        <v>104</v>
      </c>
      <c r="AQ904" s="6" t="s">
        <v>104</v>
      </c>
      <c r="AR904" s="6" t="s">
        <v>104</v>
      </c>
      <c r="AS904" s="6" t="s">
        <v>104</v>
      </c>
      <c r="AT904" s="6" t="s">
        <v>104</v>
      </c>
      <c r="AU904" s="6" t="s">
        <v>104</v>
      </c>
      <c r="AV904" s="6" t="s">
        <v>104</v>
      </c>
      <c r="AW904" s="6" t="s">
        <v>104</v>
      </c>
      <c r="AX904" s="6" t="s">
        <v>20823</v>
      </c>
      <c r="AY904" s="6" t="s">
        <v>22604</v>
      </c>
      <c r="AZ904" s="6" t="s">
        <v>104</v>
      </c>
      <c r="BA904" s="6" t="s">
        <v>104</v>
      </c>
      <c r="BB904" s="6" t="s">
        <v>104</v>
      </c>
      <c r="BC904" s="26"/>
      <c r="BD904" s="26"/>
      <c r="BE904" s="26"/>
      <c r="BF904" s="26"/>
      <c r="BG904" s="26"/>
      <c r="BH904" s="26"/>
      <c r="BI904" s="26"/>
      <c r="BJ904" s="26"/>
      <c r="BK904" s="26"/>
      <c r="BL904" s="26"/>
      <c r="BM904" s="26"/>
      <c r="BN904" s="26"/>
      <c r="BO904" s="26"/>
      <c r="BP904" s="16" t="n">
        <v>45622</v>
      </c>
      <c r="BQ904" s="28" t="str">
        <f>HYPERLINK("https://organic.ams.usda.gov/Integrity/Certificate.aspx?cid=17&amp;nopid=4087185248")</f>
        <v>https://organic.ams.usda.gov/Integrity/Certificate.aspx?cid=17&amp;nopid=4087185248</v>
      </c>
    </row>
    <row r="905">
      <c r="A905" t="s">
        <v>3</v>
      </c>
      <c r="B905" s="6" t="s">
        <v>12</v>
      </c>
      <c r="C905" s="6" t="s">
        <v>78</v>
      </c>
      <c r="D905" s="6" t="s">
        <v>143</v>
      </c>
      <c r="E905" s="10" t="s">
        <v>1103</v>
      </c>
      <c r="F905" s="6" t="s">
        <v>3347</v>
      </c>
      <c r="G905" s="6" t="s">
        <v>104</v>
      </c>
      <c r="H905" s="6" t="s">
        <v>104</v>
      </c>
      <c r="I905" s="6" t="s">
        <v>7253</v>
      </c>
      <c r="J905" s="6" t="s">
        <v>8820</v>
      </c>
      <c r="K905" s="6" t="s">
        <v>9714</v>
      </c>
      <c r="L905" s="16" t="n">
        <v>45092</v>
      </c>
      <c r="M905" s="16" t="n">
        <v>45748</v>
      </c>
      <c r="N905" s="6" t="s">
        <v>104</v>
      </c>
      <c r="O905" s="21" t="s">
        <v>104</v>
      </c>
      <c r="P905" s="6" t="s">
        <v>104</v>
      </c>
      <c r="Q905" s="6" t="s">
        <v>104</v>
      </c>
      <c r="R905" s="6" t="s">
        <v>104</v>
      </c>
      <c r="S905" s="6" t="s">
        <v>104</v>
      </c>
      <c r="T905" s="21" t="s">
        <v>104</v>
      </c>
      <c r="U905" s="6" t="s">
        <v>104</v>
      </c>
      <c r="V905" s="6" t="s">
        <v>104</v>
      </c>
      <c r="W905" s="6" t="s">
        <v>104</v>
      </c>
      <c r="X905" s="6" t="s">
        <v>104</v>
      </c>
      <c r="Y905" s="21" t="s">
        <v>104</v>
      </c>
      <c r="Z905" s="6" t="s">
        <v>104</v>
      </c>
      <c r="AA905" s="6" t="s">
        <v>104</v>
      </c>
      <c r="AB905" s="6" t="s">
        <v>104</v>
      </c>
      <c r="AC905" s="6" t="s">
        <v>9714</v>
      </c>
      <c r="AD905" s="16" t="n">
        <v>45092</v>
      </c>
      <c r="AE905" s="6" t="s">
        <v>11330</v>
      </c>
      <c r="AF905" s="6" t="s">
        <v>104</v>
      </c>
      <c r="AG905" s="6" t="s">
        <v>104</v>
      </c>
      <c r="AH905" s="6" t="s">
        <v>13977</v>
      </c>
      <c r="AI905" s="6" t="s">
        <v>104</v>
      </c>
      <c r="AJ905" s="6" t="s">
        <v>15948</v>
      </c>
      <c r="AK905" s="6" t="s">
        <v>16684</v>
      </c>
      <c r="AL905" s="6" t="s">
        <v>16931</v>
      </c>
      <c r="AM905" s="6" t="s">
        <v>17593</v>
      </c>
      <c r="AN905" s="6" t="s">
        <v>104</v>
      </c>
      <c r="AO905" s="6" t="s">
        <v>104</v>
      </c>
      <c r="AP905" s="6" t="s">
        <v>19178</v>
      </c>
      <c r="AQ905" s="6" t="s">
        <v>104</v>
      </c>
      <c r="AR905" s="6" t="s">
        <v>19682</v>
      </c>
      <c r="AS905" s="6" t="s">
        <v>16743</v>
      </c>
      <c r="AT905" s="6" t="s">
        <v>16931</v>
      </c>
      <c r="AU905" s="6" t="s">
        <v>19911</v>
      </c>
      <c r="AV905" s="6" t="s">
        <v>104</v>
      </c>
      <c r="AW905" s="6" t="s">
        <v>104</v>
      </c>
      <c r="AX905" s="6" t="s">
        <v>104</v>
      </c>
      <c r="AY905" s="6" t="s">
        <v>22605</v>
      </c>
      <c r="AZ905" s="6" t="s">
        <v>104</v>
      </c>
      <c r="BA905" s="6" t="s">
        <v>104</v>
      </c>
      <c r="BB905" s="6" t="s">
        <v>104</v>
      </c>
      <c r="BC905" s="26"/>
      <c r="BD905" s="26"/>
      <c r="BE905" s="26"/>
      <c r="BF905" s="26"/>
      <c r="BG905" s="26"/>
      <c r="BH905" s="26"/>
      <c r="BI905" s="26"/>
      <c r="BJ905" s="26"/>
      <c r="BK905" s="26"/>
      <c r="BL905" s="26"/>
      <c r="BM905" s="26"/>
      <c r="BN905" s="26"/>
      <c r="BO905" s="26"/>
      <c r="BP905" s="16" t="n">
        <v>45628</v>
      </c>
      <c r="BQ905" s="28" t="str">
        <f>HYPERLINK("https://organic.ams.usda.gov/Integrity/Certificate.aspx?cid=1&amp;nopid=9092309602")</f>
        <v>https://organic.ams.usda.gov/Integrity/Certificate.aspx?cid=1&amp;nopid=9092309602</v>
      </c>
    </row>
    <row r="906">
      <c r="A906" t="s">
        <v>3</v>
      </c>
      <c r="B906" s="6" t="s">
        <v>12</v>
      </c>
      <c r="C906" s="6" t="s">
        <v>78</v>
      </c>
      <c r="D906" s="6" t="s">
        <v>143</v>
      </c>
      <c r="E906" s="10" t="s">
        <v>1104</v>
      </c>
      <c r="F906" s="6" t="s">
        <v>3348</v>
      </c>
      <c r="G906" s="6" t="s">
        <v>104</v>
      </c>
      <c r="H906" s="6" t="s">
        <v>104</v>
      </c>
      <c r="I906" s="6" t="s">
        <v>7253</v>
      </c>
      <c r="J906" s="6" t="s">
        <v>8820</v>
      </c>
      <c r="K906" s="6" t="s">
        <v>9714</v>
      </c>
      <c r="L906" s="16" t="n">
        <v>44494</v>
      </c>
      <c r="M906" s="16" t="n">
        <v>45826</v>
      </c>
      <c r="N906" s="6" t="s">
        <v>104</v>
      </c>
      <c r="O906" s="21" t="s">
        <v>104</v>
      </c>
      <c r="P906" s="6" t="s">
        <v>104</v>
      </c>
      <c r="Q906" s="6" t="s">
        <v>104</v>
      </c>
      <c r="R906" s="6" t="s">
        <v>104</v>
      </c>
      <c r="S906" s="6" t="s">
        <v>104</v>
      </c>
      <c r="T906" s="21" t="s">
        <v>104</v>
      </c>
      <c r="U906" s="6" t="s">
        <v>104</v>
      </c>
      <c r="V906" s="6" t="s">
        <v>104</v>
      </c>
      <c r="W906" s="6" t="s">
        <v>104</v>
      </c>
      <c r="X906" s="6" t="s">
        <v>104</v>
      </c>
      <c r="Y906" s="21" t="s">
        <v>104</v>
      </c>
      <c r="Z906" s="6" t="s">
        <v>104</v>
      </c>
      <c r="AA906" s="6" t="s">
        <v>104</v>
      </c>
      <c r="AB906" s="6" t="s">
        <v>104</v>
      </c>
      <c r="AC906" s="6" t="s">
        <v>9714</v>
      </c>
      <c r="AD906" s="16" t="n">
        <v>44494</v>
      </c>
      <c r="AE906" s="6" t="s">
        <v>11331</v>
      </c>
      <c r="AF906" s="6" t="s">
        <v>104</v>
      </c>
      <c r="AG906" s="6" t="s">
        <v>104</v>
      </c>
      <c r="AH906" s="6" t="s">
        <v>13978</v>
      </c>
      <c r="AI906" s="6" t="s">
        <v>104</v>
      </c>
      <c r="AJ906" s="6" t="s">
        <v>15954</v>
      </c>
      <c r="AK906" s="6" t="s">
        <v>16694</v>
      </c>
      <c r="AL906" s="6" t="s">
        <v>16931</v>
      </c>
      <c r="AM906" s="6" t="s">
        <v>17594</v>
      </c>
      <c r="AN906" s="6" t="s">
        <v>18533</v>
      </c>
      <c r="AO906" s="6" t="s">
        <v>18719</v>
      </c>
      <c r="AP906" s="6" t="s">
        <v>13978</v>
      </c>
      <c r="AQ906" s="6" t="s">
        <v>104</v>
      </c>
      <c r="AR906" s="6" t="s">
        <v>15954</v>
      </c>
      <c r="AS906" s="6" t="s">
        <v>16694</v>
      </c>
      <c r="AT906" s="6" t="s">
        <v>16931</v>
      </c>
      <c r="AU906" s="6" t="s">
        <v>17594</v>
      </c>
      <c r="AV906" s="6" t="s">
        <v>104</v>
      </c>
      <c r="AW906" s="6" t="s">
        <v>104</v>
      </c>
      <c r="AX906" s="6" t="s">
        <v>104</v>
      </c>
      <c r="AY906" s="6" t="s">
        <v>22605</v>
      </c>
      <c r="AZ906" s="6" t="s">
        <v>104</v>
      </c>
      <c r="BA906" s="6" t="s">
        <v>104</v>
      </c>
      <c r="BB906" s="6" t="s">
        <v>104</v>
      </c>
      <c r="BC906" s="26"/>
      <c r="BD906" s="26"/>
      <c r="BE906" s="26"/>
      <c r="BF906" s="26"/>
      <c r="BG906" s="26"/>
      <c r="BH906" s="26"/>
      <c r="BI906" s="26"/>
      <c r="BJ906" s="26"/>
      <c r="BK906" s="26"/>
      <c r="BL906" s="26"/>
      <c r="BM906" s="26"/>
      <c r="BN906" s="26"/>
      <c r="BO906" s="26"/>
      <c r="BP906" s="16" t="n">
        <v>45628</v>
      </c>
      <c r="BQ906" s="28" t="str">
        <f>HYPERLINK("https://organic.ams.usda.gov/Integrity/Certificate.aspx?cid=1&amp;nopid=9092124602")</f>
        <v>https://organic.ams.usda.gov/Integrity/Certificate.aspx?cid=1&amp;nopid=9092124602</v>
      </c>
    </row>
    <row r="907">
      <c r="A907" t="s">
        <v>3</v>
      </c>
      <c r="B907" s="6" t="s">
        <v>29</v>
      </c>
      <c r="C907" s="6" t="s">
        <v>95</v>
      </c>
      <c r="D907" s="6" t="s">
        <v>160</v>
      </c>
      <c r="E907" s="10" t="s">
        <v>1105</v>
      </c>
      <c r="F907" s="6" t="s">
        <v>3349</v>
      </c>
      <c r="G907" s="6" t="s">
        <v>104</v>
      </c>
      <c r="H907" s="6" t="s">
        <v>5718</v>
      </c>
      <c r="I907" s="6" t="s">
        <v>104</v>
      </c>
      <c r="J907" s="6" t="s">
        <v>8821</v>
      </c>
      <c r="K907" s="6" t="s">
        <v>9714</v>
      </c>
      <c r="L907" s="16" t="n">
        <v>40059</v>
      </c>
      <c r="M907" s="16" t="n">
        <v>46054</v>
      </c>
      <c r="N907" s="6" t="s">
        <v>9714</v>
      </c>
      <c r="O907" s="16" t="n">
        <v>40059</v>
      </c>
      <c r="P907" s="6" t="s">
        <v>9965</v>
      </c>
      <c r="Q907" s="6" t="s">
        <v>104</v>
      </c>
      <c r="R907" s="6" t="s">
        <v>104</v>
      </c>
      <c r="S907" s="6" t="s">
        <v>104</v>
      </c>
      <c r="T907" s="21" t="s">
        <v>104</v>
      </c>
      <c r="U907" s="6" t="s">
        <v>104</v>
      </c>
      <c r="V907" s="6" t="s">
        <v>104</v>
      </c>
      <c r="W907" s="6" t="s">
        <v>104</v>
      </c>
      <c r="X907" s="6" t="s">
        <v>104</v>
      </c>
      <c r="Y907" s="21" t="s">
        <v>104</v>
      </c>
      <c r="Z907" s="6" t="s">
        <v>104</v>
      </c>
      <c r="AA907" s="6" t="s">
        <v>104</v>
      </c>
      <c r="AB907" s="6" t="s">
        <v>104</v>
      </c>
      <c r="AC907" s="6" t="s">
        <v>9714</v>
      </c>
      <c r="AD907" s="16" t="n">
        <v>40059</v>
      </c>
      <c r="AE907" s="6" t="s">
        <v>11332</v>
      </c>
      <c r="AF907" s="6" t="s">
        <v>104</v>
      </c>
      <c r="AG907" s="6" t="s">
        <v>104</v>
      </c>
      <c r="AH907" s="6" t="s">
        <v>13979</v>
      </c>
      <c r="AI907" s="6" t="s">
        <v>104</v>
      </c>
      <c r="AJ907" s="6" t="s">
        <v>15955</v>
      </c>
      <c r="AK907" s="6" t="s">
        <v>16741</v>
      </c>
      <c r="AL907" s="6" t="s">
        <v>16766</v>
      </c>
      <c r="AM907" s="6" t="s">
        <v>104</v>
      </c>
      <c r="AN907" s="6" t="s">
        <v>104</v>
      </c>
      <c r="AO907" s="6" t="s">
        <v>104</v>
      </c>
      <c r="AP907" s="6" t="s">
        <v>104</v>
      </c>
      <c r="AQ907" s="6" t="s">
        <v>104</v>
      </c>
      <c r="AR907" s="6" t="s">
        <v>104</v>
      </c>
      <c r="AS907" s="6" t="s">
        <v>104</v>
      </c>
      <c r="AT907" s="6" t="s">
        <v>104</v>
      </c>
      <c r="AU907" s="6" t="s">
        <v>104</v>
      </c>
      <c r="AV907" s="6" t="s">
        <v>104</v>
      </c>
      <c r="AW907" s="6" t="s">
        <v>104</v>
      </c>
      <c r="AX907" s="6" t="s">
        <v>20824</v>
      </c>
      <c r="AY907" s="6" t="s">
        <v>22606</v>
      </c>
      <c r="AZ907" s="6" t="s">
        <v>104</v>
      </c>
      <c r="BA907" s="6" t="s">
        <v>24269</v>
      </c>
      <c r="BB907" s="24" t="n">
        <v>1307</v>
      </c>
      <c r="BC907" s="26"/>
      <c r="BD907" s="26"/>
      <c r="BE907" s="26"/>
      <c r="BF907" s="26"/>
      <c r="BG907" s="26"/>
      <c r="BH907" s="26"/>
      <c r="BI907" s="26"/>
      <c r="BJ907" s="26"/>
      <c r="BK907" s="26"/>
      <c r="BL907" s="26"/>
      <c r="BM907" s="26"/>
      <c r="BN907" s="26"/>
      <c r="BO907" s="26" t="s">
        <v>24533</v>
      </c>
      <c r="BP907" s="16" t="n">
        <v>45691</v>
      </c>
      <c r="BQ907" s="28" t="str">
        <f>HYPERLINK("https://organic.ams.usda.gov/Integrity/Certificate.aspx?cid=24&amp;nopid=7886712000")</f>
        <v>https://organic.ams.usda.gov/Integrity/Certificate.aspx?cid=24&amp;nopid=7886712000</v>
      </c>
    </row>
    <row r="908">
      <c r="A908" t="s">
        <v>3</v>
      </c>
      <c r="B908" s="6" t="s">
        <v>6</v>
      </c>
      <c r="C908" s="6" t="s">
        <v>72</v>
      </c>
      <c r="D908" s="6" t="s">
        <v>137</v>
      </c>
      <c r="E908" s="10" t="s">
        <v>1106</v>
      </c>
      <c r="F908" s="6" t="s">
        <v>3350</v>
      </c>
      <c r="G908" s="6" t="s">
        <v>104</v>
      </c>
      <c r="H908" s="6" t="s">
        <v>5719</v>
      </c>
      <c r="I908" s="6" t="s">
        <v>7286</v>
      </c>
      <c r="J908" s="6" t="s">
        <v>7290</v>
      </c>
      <c r="K908" s="6" t="s">
        <v>9714</v>
      </c>
      <c r="L908" s="16" t="n">
        <v>45051</v>
      </c>
      <c r="M908" s="16" t="n">
        <v>45975</v>
      </c>
      <c r="N908" s="6" t="s">
        <v>104</v>
      </c>
      <c r="O908" s="21" t="s">
        <v>104</v>
      </c>
      <c r="P908" s="6" t="s">
        <v>104</v>
      </c>
      <c r="Q908" s="6" t="s">
        <v>104</v>
      </c>
      <c r="R908" s="6" t="s">
        <v>104</v>
      </c>
      <c r="S908" s="6" t="s">
        <v>104</v>
      </c>
      <c r="T908" s="21" t="s">
        <v>104</v>
      </c>
      <c r="U908" s="6" t="s">
        <v>104</v>
      </c>
      <c r="V908" s="6" t="s">
        <v>104</v>
      </c>
      <c r="W908" s="6" t="s">
        <v>104</v>
      </c>
      <c r="X908" s="6" t="s">
        <v>104</v>
      </c>
      <c r="Y908" s="21" t="s">
        <v>104</v>
      </c>
      <c r="Z908" s="6" t="s">
        <v>104</v>
      </c>
      <c r="AA908" s="6" t="s">
        <v>104</v>
      </c>
      <c r="AB908" s="6" t="s">
        <v>104</v>
      </c>
      <c r="AC908" s="6" t="s">
        <v>9714</v>
      </c>
      <c r="AD908" s="16" t="n">
        <v>45051</v>
      </c>
      <c r="AE908" s="6" t="s">
        <v>11333</v>
      </c>
      <c r="AF908" s="6" t="s">
        <v>104</v>
      </c>
      <c r="AG908" s="6" t="s">
        <v>12778</v>
      </c>
      <c r="AH908" s="6" t="s">
        <v>13980</v>
      </c>
      <c r="AI908" s="6" t="s">
        <v>104</v>
      </c>
      <c r="AJ908" s="6" t="s">
        <v>15956</v>
      </c>
      <c r="AK908" s="6" t="s">
        <v>16741</v>
      </c>
      <c r="AL908" s="6" t="s">
        <v>16766</v>
      </c>
      <c r="AM908" s="6" t="s">
        <v>104</v>
      </c>
      <c r="AN908" s="6" t="s">
        <v>104</v>
      </c>
      <c r="AO908" s="6" t="s">
        <v>104</v>
      </c>
      <c r="AP908" s="6" t="s">
        <v>104</v>
      </c>
      <c r="AQ908" s="6" t="s">
        <v>104</v>
      </c>
      <c r="AR908" s="6" t="s">
        <v>104</v>
      </c>
      <c r="AS908" s="6" t="s">
        <v>104</v>
      </c>
      <c r="AT908" s="6" t="s">
        <v>104</v>
      </c>
      <c r="AU908" s="6" t="s">
        <v>104</v>
      </c>
      <c r="AV908" s="6" t="s">
        <v>104</v>
      </c>
      <c r="AW908" s="6" t="s">
        <v>104</v>
      </c>
      <c r="AX908" s="6" t="s">
        <v>104</v>
      </c>
      <c r="AY908" s="6" t="s">
        <v>22308</v>
      </c>
      <c r="AZ908" s="6" t="s">
        <v>104</v>
      </c>
      <c r="BA908" s="6" t="s">
        <v>24258</v>
      </c>
      <c r="BB908" s="6" t="s">
        <v>104</v>
      </c>
      <c r="BC908" s="26"/>
      <c r="BD908" s="26"/>
      <c r="BE908" s="26"/>
      <c r="BF908" s="26"/>
      <c r="BG908" s="26"/>
      <c r="BH908" s="26"/>
      <c r="BI908" s="26"/>
      <c r="BJ908" s="26"/>
      <c r="BK908" s="26"/>
      <c r="BL908" s="26"/>
      <c r="BM908" s="26"/>
      <c r="BN908" s="26"/>
      <c r="BO908" s="26"/>
      <c r="BP908" s="16" t="n">
        <v>45737</v>
      </c>
      <c r="BQ908" s="28" t="str">
        <f>HYPERLINK("https://organic.ams.usda.gov/Integrity/Certificate.aspx?cid=32&amp;nopid=2230009731")</f>
        <v>https://organic.ams.usda.gov/Integrity/Certificate.aspx?cid=32&amp;nopid=2230009731</v>
      </c>
    </row>
    <row r="909">
      <c r="A909" t="s">
        <v>3</v>
      </c>
      <c r="B909" s="6" t="s">
        <v>44</v>
      </c>
      <c r="C909" s="6" t="s">
        <v>110</v>
      </c>
      <c r="D909" s="6" t="s">
        <v>174</v>
      </c>
      <c r="E909" s="10" t="s">
        <v>1107</v>
      </c>
      <c r="F909" s="6" t="s">
        <v>3351</v>
      </c>
      <c r="G909" s="6" t="s">
        <v>104</v>
      </c>
      <c r="H909" s="6" t="s">
        <v>5720</v>
      </c>
      <c r="I909" s="6" t="s">
        <v>7502</v>
      </c>
      <c r="J909" s="6" t="s">
        <v>7686</v>
      </c>
      <c r="K909" s="6" t="s">
        <v>9714</v>
      </c>
      <c r="L909" s="16" t="n">
        <v>43648</v>
      </c>
      <c r="M909" s="16" t="n">
        <v>46081</v>
      </c>
      <c r="N909" s="6" t="s">
        <v>9714</v>
      </c>
      <c r="O909" s="16" t="n">
        <v>45100</v>
      </c>
      <c r="P909" s="6" t="s">
        <v>9966</v>
      </c>
      <c r="Q909" s="6" t="s">
        <v>104</v>
      </c>
      <c r="R909" s="6" t="s">
        <v>104</v>
      </c>
      <c r="S909" s="6" t="s">
        <v>104</v>
      </c>
      <c r="T909" s="21" t="s">
        <v>104</v>
      </c>
      <c r="U909" s="6" t="s">
        <v>104</v>
      </c>
      <c r="V909" s="6" t="s">
        <v>104</v>
      </c>
      <c r="W909" s="6" t="s">
        <v>104</v>
      </c>
      <c r="X909" s="6" t="s">
        <v>104</v>
      </c>
      <c r="Y909" s="21" t="s">
        <v>104</v>
      </c>
      <c r="Z909" s="6" t="s">
        <v>104</v>
      </c>
      <c r="AA909" s="6" t="s">
        <v>104</v>
      </c>
      <c r="AB909" s="6" t="s">
        <v>104</v>
      </c>
      <c r="AC909" s="6" t="s">
        <v>9714</v>
      </c>
      <c r="AD909" s="16" t="n">
        <v>45176</v>
      </c>
      <c r="AE909" s="6" t="s">
        <v>11334</v>
      </c>
      <c r="AF909" s="6" t="s">
        <v>104</v>
      </c>
      <c r="AG909" s="6" t="s">
        <v>104</v>
      </c>
      <c r="AH909" s="6" t="s">
        <v>13981</v>
      </c>
      <c r="AI909" s="6" t="s">
        <v>104</v>
      </c>
      <c r="AJ909" s="6" t="s">
        <v>15667</v>
      </c>
      <c r="AK909" s="6" t="s">
        <v>15697</v>
      </c>
      <c r="AL909" s="6" t="s">
        <v>16931</v>
      </c>
      <c r="AM909" s="6" t="s">
        <v>17285</v>
      </c>
      <c r="AN909" s="6" t="s">
        <v>104</v>
      </c>
      <c r="AO909" s="6" t="s">
        <v>104</v>
      </c>
      <c r="AP909" s="6" t="s">
        <v>13981</v>
      </c>
      <c r="AQ909" s="6" t="s">
        <v>104</v>
      </c>
      <c r="AR909" s="6" t="s">
        <v>15667</v>
      </c>
      <c r="AS909" s="6" t="s">
        <v>15697</v>
      </c>
      <c r="AT909" s="6" t="s">
        <v>16931</v>
      </c>
      <c r="AU909" s="6" t="s">
        <v>17285</v>
      </c>
      <c r="AV909" s="6" t="s">
        <v>104</v>
      </c>
      <c r="AW909" s="6" t="s">
        <v>104</v>
      </c>
      <c r="AX909" s="6" t="s">
        <v>20825</v>
      </c>
      <c r="AY909" s="6" t="s">
        <v>104</v>
      </c>
      <c r="AZ909" s="6" t="s">
        <v>104</v>
      </c>
      <c r="BA909" s="6" t="s">
        <v>104</v>
      </c>
      <c r="BB909" s="24" t="n">
        <v>109</v>
      </c>
      <c r="BC909" s="26"/>
      <c r="BD909" s="26"/>
      <c r="BE909" s="26"/>
      <c r="BF909" s="26"/>
      <c r="BG909" s="26"/>
      <c r="BH909" s="26"/>
      <c r="BI909" s="26"/>
      <c r="BJ909" s="26"/>
      <c r="BK909" s="26"/>
      <c r="BL909" s="26"/>
      <c r="BM909" s="26"/>
      <c r="BN909" s="26"/>
      <c r="BO909" s="26"/>
      <c r="BP909" s="16" t="n">
        <v>45700</v>
      </c>
      <c r="BQ909" s="28" t="str">
        <f>HYPERLINK("https://organic.ams.usda.gov/Integrity/Certificate.aspx?cid=57&amp;nopid=3252023029")</f>
        <v>https://organic.ams.usda.gov/Integrity/Certificate.aspx?cid=57&amp;nopid=3252023029</v>
      </c>
    </row>
    <row r="910">
      <c r="A910" t="s">
        <v>3</v>
      </c>
      <c r="B910" s="6" t="s">
        <v>6</v>
      </c>
      <c r="C910" s="6" t="s">
        <v>72</v>
      </c>
      <c r="D910" s="6" t="s">
        <v>137</v>
      </c>
      <c r="E910" s="10" t="s">
        <v>1108</v>
      </c>
      <c r="F910" s="6" t="s">
        <v>3352</v>
      </c>
      <c r="G910" s="6" t="s">
        <v>104</v>
      </c>
      <c r="H910" s="6" t="s">
        <v>5721</v>
      </c>
      <c r="I910" s="6" t="s">
        <v>7503</v>
      </c>
      <c r="J910" s="6" t="s">
        <v>104</v>
      </c>
      <c r="K910" s="6" t="s">
        <v>9714</v>
      </c>
      <c r="L910" s="16" t="n">
        <v>45022</v>
      </c>
      <c r="M910" s="16" t="n">
        <v>45805</v>
      </c>
      <c r="N910" s="6" t="s">
        <v>104</v>
      </c>
      <c r="O910" s="21" t="s">
        <v>104</v>
      </c>
      <c r="P910" s="6" t="s">
        <v>104</v>
      </c>
      <c r="Q910" s="6" t="s">
        <v>104</v>
      </c>
      <c r="R910" s="6" t="s">
        <v>104</v>
      </c>
      <c r="S910" s="6" t="s">
        <v>104</v>
      </c>
      <c r="T910" s="21" t="s">
        <v>104</v>
      </c>
      <c r="U910" s="6" t="s">
        <v>104</v>
      </c>
      <c r="V910" s="6" t="s">
        <v>104</v>
      </c>
      <c r="W910" s="6" t="s">
        <v>104</v>
      </c>
      <c r="X910" s="6" t="s">
        <v>104</v>
      </c>
      <c r="Y910" s="21" t="s">
        <v>104</v>
      </c>
      <c r="Z910" s="6" t="s">
        <v>104</v>
      </c>
      <c r="AA910" s="6" t="s">
        <v>104</v>
      </c>
      <c r="AB910" s="6" t="s">
        <v>104</v>
      </c>
      <c r="AC910" s="6" t="s">
        <v>9714</v>
      </c>
      <c r="AD910" s="16" t="n">
        <v>45022</v>
      </c>
      <c r="AE910" s="6" t="s">
        <v>11335</v>
      </c>
      <c r="AF910" s="6" t="s">
        <v>104</v>
      </c>
      <c r="AG910" s="6" t="s">
        <v>12779</v>
      </c>
      <c r="AH910" s="6" t="s">
        <v>13982</v>
      </c>
      <c r="AI910" s="6" t="s">
        <v>104</v>
      </c>
      <c r="AJ910" s="6" t="s">
        <v>15957</v>
      </c>
      <c r="AK910" s="6" t="s">
        <v>16697</v>
      </c>
      <c r="AL910" s="6" t="s">
        <v>16932</v>
      </c>
      <c r="AM910" s="6" t="s">
        <v>17595</v>
      </c>
      <c r="AN910" s="6" t="s">
        <v>104</v>
      </c>
      <c r="AO910" s="6" t="s">
        <v>104</v>
      </c>
      <c r="AP910" s="6" t="s">
        <v>104</v>
      </c>
      <c r="AQ910" s="6" t="s">
        <v>104</v>
      </c>
      <c r="AR910" s="6" t="s">
        <v>104</v>
      </c>
      <c r="AS910" s="6" t="s">
        <v>104</v>
      </c>
      <c r="AT910" s="6" t="s">
        <v>104</v>
      </c>
      <c r="AU910" s="6" t="s">
        <v>104</v>
      </c>
      <c r="AV910" s="6" t="s">
        <v>104</v>
      </c>
      <c r="AW910" s="6" t="s">
        <v>104</v>
      </c>
      <c r="AX910" s="6" t="s">
        <v>20826</v>
      </c>
      <c r="AY910" s="6" t="s">
        <v>22607</v>
      </c>
      <c r="AZ910" s="6" t="s">
        <v>104</v>
      </c>
      <c r="BA910" s="6" t="s">
        <v>104</v>
      </c>
      <c r="BB910" s="6" t="s">
        <v>104</v>
      </c>
      <c r="BC910" s="26"/>
      <c r="BD910" s="26"/>
      <c r="BE910" s="26"/>
      <c r="BF910" s="26"/>
      <c r="BG910" s="26"/>
      <c r="BH910" s="26"/>
      <c r="BI910" s="26"/>
      <c r="BJ910" s="26"/>
      <c r="BK910" s="26"/>
      <c r="BL910" s="26"/>
      <c r="BM910" s="26"/>
      <c r="BN910" s="26"/>
      <c r="BO910" s="26"/>
      <c r="BP910" s="16" t="n">
        <v>45737</v>
      </c>
      <c r="BQ910" s="28" t="str">
        <f>HYPERLINK("https://organic.ams.usda.gov/Integrity/Certificate.aspx?cid=32&amp;nopid=2230010217")</f>
        <v>https://organic.ams.usda.gov/Integrity/Certificate.aspx?cid=32&amp;nopid=2230010217</v>
      </c>
    </row>
    <row r="911">
      <c r="A911" t="s">
        <v>3</v>
      </c>
      <c r="B911" s="6" t="s">
        <v>13</v>
      </c>
      <c r="C911" s="6" t="s">
        <v>79</v>
      </c>
      <c r="D911" s="6" t="s">
        <v>144</v>
      </c>
      <c r="E911" s="10" t="s">
        <v>1109</v>
      </c>
      <c r="F911" s="6" t="s">
        <v>3353</v>
      </c>
      <c r="G911" s="6" t="s">
        <v>104</v>
      </c>
      <c r="H911" s="6" t="s">
        <v>5722</v>
      </c>
      <c r="I911" s="6" t="s">
        <v>7504</v>
      </c>
      <c r="J911" s="6" t="s">
        <v>8822</v>
      </c>
      <c r="K911" s="6" t="s">
        <v>9714</v>
      </c>
      <c r="L911" s="16" t="n">
        <v>39436</v>
      </c>
      <c r="M911" s="16" t="n">
        <v>46023</v>
      </c>
      <c r="N911" s="6" t="s">
        <v>104</v>
      </c>
      <c r="O911" s="21" t="s">
        <v>104</v>
      </c>
      <c r="P911" s="6" t="s">
        <v>104</v>
      </c>
      <c r="Q911" s="6" t="s">
        <v>104</v>
      </c>
      <c r="R911" s="6" t="s">
        <v>104</v>
      </c>
      <c r="S911" s="6" t="s">
        <v>104</v>
      </c>
      <c r="T911" s="21" t="s">
        <v>104</v>
      </c>
      <c r="U911" s="6" t="s">
        <v>104</v>
      </c>
      <c r="V911" s="6" t="s">
        <v>104</v>
      </c>
      <c r="W911" s="6" t="s">
        <v>104</v>
      </c>
      <c r="X911" s="6" t="s">
        <v>104</v>
      </c>
      <c r="Y911" s="21" t="s">
        <v>104</v>
      </c>
      <c r="Z911" s="6" t="s">
        <v>104</v>
      </c>
      <c r="AA911" s="6" t="s">
        <v>104</v>
      </c>
      <c r="AB911" s="6" t="s">
        <v>104</v>
      </c>
      <c r="AC911" s="6" t="s">
        <v>9714</v>
      </c>
      <c r="AD911" s="16" t="n">
        <v>39436</v>
      </c>
      <c r="AE911" s="6" t="s">
        <v>11336</v>
      </c>
      <c r="AF911" s="6" t="s">
        <v>104</v>
      </c>
      <c r="AG911" s="6" t="s">
        <v>104</v>
      </c>
      <c r="AH911" s="6" t="s">
        <v>104</v>
      </c>
      <c r="AI911" s="6" t="s">
        <v>104</v>
      </c>
      <c r="AJ911" s="6" t="s">
        <v>104</v>
      </c>
      <c r="AK911" s="6" t="s">
        <v>104</v>
      </c>
      <c r="AL911" s="6" t="s">
        <v>104</v>
      </c>
      <c r="AM911" s="6" t="s">
        <v>104</v>
      </c>
      <c r="AN911" s="6" t="s">
        <v>104</v>
      </c>
      <c r="AO911" s="6" t="s">
        <v>104</v>
      </c>
      <c r="AP911" s="6" t="s">
        <v>19179</v>
      </c>
      <c r="AQ911" s="6" t="s">
        <v>104</v>
      </c>
      <c r="AR911" s="6" t="s">
        <v>15621</v>
      </c>
      <c r="AS911" s="6" t="s">
        <v>16710</v>
      </c>
      <c r="AT911" s="6" t="s">
        <v>16931</v>
      </c>
      <c r="AU911" s="6" t="s">
        <v>19912</v>
      </c>
      <c r="AV911" s="6" t="s">
        <v>18468</v>
      </c>
      <c r="AW911" s="6" t="s">
        <v>18575</v>
      </c>
      <c r="AX911" s="6" t="s">
        <v>20827</v>
      </c>
      <c r="AY911" s="6" t="s">
        <v>22608</v>
      </c>
      <c r="AZ911" s="6" t="s">
        <v>23925</v>
      </c>
      <c r="BA911" s="6" t="s">
        <v>104</v>
      </c>
      <c r="BB911" s="6" t="s">
        <v>104</v>
      </c>
      <c r="BC911" s="26"/>
      <c r="BD911" s="26"/>
      <c r="BE911" s="26" t="s">
        <v>24533</v>
      </c>
      <c r="BF911" s="26"/>
      <c r="BG911" s="26"/>
      <c r="BH911" s="26"/>
      <c r="BI911" s="26"/>
      <c r="BJ911" s="26"/>
      <c r="BK911" s="26"/>
      <c r="BL911" s="26"/>
      <c r="BM911" s="26"/>
      <c r="BN911" s="26"/>
      <c r="BO911" s="26"/>
      <c r="BP911" s="16" t="n">
        <v>45720</v>
      </c>
      <c r="BQ911" s="28" t="str">
        <f>HYPERLINK("https://organic.ams.usda.gov/Integrity/Certificate.aspx?cid=62&amp;nopid=8150001400")</f>
        <v>https://organic.ams.usda.gov/Integrity/Certificate.aspx?cid=62&amp;nopid=8150001400</v>
      </c>
    </row>
    <row r="912">
      <c r="A912" t="s">
        <v>3</v>
      </c>
      <c r="B912" s="6" t="s">
        <v>18</v>
      </c>
      <c r="C912" s="6" t="s">
        <v>84</v>
      </c>
      <c r="D912" s="6" t="s">
        <v>149</v>
      </c>
      <c r="E912" s="10" t="s">
        <v>1110</v>
      </c>
      <c r="F912" s="6" t="s">
        <v>3354</v>
      </c>
      <c r="G912" s="6" t="s">
        <v>104</v>
      </c>
      <c r="H912" s="6" t="s">
        <v>5723</v>
      </c>
      <c r="I912" s="6" t="s">
        <v>7232</v>
      </c>
      <c r="J912" s="6" t="s">
        <v>8823</v>
      </c>
      <c r="K912" s="6" t="s">
        <v>9714</v>
      </c>
      <c r="L912" s="16" t="n">
        <v>42928</v>
      </c>
      <c r="M912" s="16" t="n">
        <v>45505</v>
      </c>
      <c r="N912" s="6" t="s">
        <v>104</v>
      </c>
      <c r="O912" s="21" t="s">
        <v>104</v>
      </c>
      <c r="P912" s="6" t="s">
        <v>104</v>
      </c>
      <c r="Q912" s="6" t="s">
        <v>104</v>
      </c>
      <c r="R912" s="6" t="s">
        <v>104</v>
      </c>
      <c r="S912" s="6" t="s">
        <v>104</v>
      </c>
      <c r="T912" s="21" t="s">
        <v>104</v>
      </c>
      <c r="U912" s="6" t="s">
        <v>104</v>
      </c>
      <c r="V912" s="6" t="s">
        <v>104</v>
      </c>
      <c r="W912" s="6" t="s">
        <v>104</v>
      </c>
      <c r="X912" s="6" t="s">
        <v>104</v>
      </c>
      <c r="Y912" s="21" t="s">
        <v>104</v>
      </c>
      <c r="Z912" s="6" t="s">
        <v>104</v>
      </c>
      <c r="AA912" s="6" t="s">
        <v>104</v>
      </c>
      <c r="AB912" s="6" t="s">
        <v>104</v>
      </c>
      <c r="AC912" s="6" t="s">
        <v>9714</v>
      </c>
      <c r="AD912" s="16" t="n">
        <v>42928</v>
      </c>
      <c r="AE912" s="6" t="s">
        <v>11337</v>
      </c>
      <c r="AF912" s="6" t="s">
        <v>104</v>
      </c>
      <c r="AG912" s="6" t="s">
        <v>12780</v>
      </c>
      <c r="AH912" s="6" t="s">
        <v>13983</v>
      </c>
      <c r="AI912" s="6" t="s">
        <v>104</v>
      </c>
      <c r="AJ912" s="6" t="s">
        <v>15958</v>
      </c>
      <c r="AK912" s="6" t="s">
        <v>16684</v>
      </c>
      <c r="AL912" s="6" t="s">
        <v>16931</v>
      </c>
      <c r="AM912" s="6" t="s">
        <v>17596</v>
      </c>
      <c r="AN912" s="6" t="s">
        <v>18460</v>
      </c>
      <c r="AO912" s="6" t="s">
        <v>18760</v>
      </c>
      <c r="AP912" s="6" t="s">
        <v>19180</v>
      </c>
      <c r="AQ912" s="6" t="s">
        <v>104</v>
      </c>
      <c r="AR912" s="6" t="s">
        <v>15958</v>
      </c>
      <c r="AS912" s="6" t="s">
        <v>16684</v>
      </c>
      <c r="AT912" s="6" t="s">
        <v>16931</v>
      </c>
      <c r="AU912" s="6" t="s">
        <v>17596</v>
      </c>
      <c r="AV912" s="6" t="s">
        <v>104</v>
      </c>
      <c r="AW912" s="6" t="s">
        <v>104</v>
      </c>
      <c r="AX912" s="6" t="s">
        <v>20828</v>
      </c>
      <c r="AY912" s="6" t="s">
        <v>22609</v>
      </c>
      <c r="AZ912" s="6" t="s">
        <v>104</v>
      </c>
      <c r="BA912" s="6" t="s">
        <v>104</v>
      </c>
      <c r="BB912" s="6" t="s">
        <v>104</v>
      </c>
      <c r="BC912" s="26"/>
      <c r="BD912" s="26"/>
      <c r="BE912" s="26"/>
      <c r="BF912" s="26"/>
      <c r="BG912" s="26"/>
      <c r="BH912" s="26"/>
      <c r="BI912" s="26"/>
      <c r="BJ912" s="26"/>
      <c r="BK912" s="26"/>
      <c r="BL912" s="26"/>
      <c r="BM912" s="26"/>
      <c r="BN912" s="26"/>
      <c r="BO912" s="26"/>
      <c r="BP912" s="16" t="n">
        <v>45737</v>
      </c>
      <c r="BQ912" s="28" t="str">
        <f>HYPERLINK("https://organic.ams.usda.gov/Integrity/Certificate.aspx?cid=31&amp;nopid=3921791001")</f>
        <v>https://organic.ams.usda.gov/Integrity/Certificate.aspx?cid=31&amp;nopid=3921791001</v>
      </c>
    </row>
    <row r="913">
      <c r="A913" t="s">
        <v>3</v>
      </c>
      <c r="B913" s="6" t="s">
        <v>6</v>
      </c>
      <c r="C913" s="6" t="s">
        <v>72</v>
      </c>
      <c r="D913" s="6" t="s">
        <v>137</v>
      </c>
      <c r="E913" s="10" t="s">
        <v>1111</v>
      </c>
      <c r="F913" s="6" t="s">
        <v>3355</v>
      </c>
      <c r="G913" s="6" t="s">
        <v>104</v>
      </c>
      <c r="H913" s="6" t="s">
        <v>5724</v>
      </c>
      <c r="I913" s="6" t="s">
        <v>7505</v>
      </c>
      <c r="J913" s="6" t="s">
        <v>7748</v>
      </c>
      <c r="K913" s="6" t="s">
        <v>9714</v>
      </c>
      <c r="L913" s="16" t="n">
        <v>44897</v>
      </c>
      <c r="M913" s="16" t="n">
        <v>45633</v>
      </c>
      <c r="N913" s="6" t="s">
        <v>104</v>
      </c>
      <c r="O913" s="21" t="s">
        <v>104</v>
      </c>
      <c r="P913" s="6" t="s">
        <v>104</v>
      </c>
      <c r="Q913" s="6" t="s">
        <v>104</v>
      </c>
      <c r="R913" s="6" t="s">
        <v>104</v>
      </c>
      <c r="S913" s="6" t="s">
        <v>104</v>
      </c>
      <c r="T913" s="21" t="s">
        <v>104</v>
      </c>
      <c r="U913" s="6" t="s">
        <v>104</v>
      </c>
      <c r="V913" s="6" t="s">
        <v>104</v>
      </c>
      <c r="W913" s="6" t="s">
        <v>104</v>
      </c>
      <c r="X913" s="6" t="s">
        <v>104</v>
      </c>
      <c r="Y913" s="21" t="s">
        <v>104</v>
      </c>
      <c r="Z913" s="6" t="s">
        <v>104</v>
      </c>
      <c r="AA913" s="6" t="s">
        <v>104</v>
      </c>
      <c r="AB913" s="6" t="s">
        <v>104</v>
      </c>
      <c r="AC913" s="6" t="s">
        <v>9714</v>
      </c>
      <c r="AD913" s="16" t="n">
        <v>44897</v>
      </c>
      <c r="AE913" s="6" t="s">
        <v>11338</v>
      </c>
      <c r="AF913" s="6" t="s">
        <v>104</v>
      </c>
      <c r="AG913" s="6" t="s">
        <v>12781</v>
      </c>
      <c r="AH913" s="6" t="s">
        <v>13984</v>
      </c>
      <c r="AI913" s="6" t="s">
        <v>104</v>
      </c>
      <c r="AJ913" s="6" t="s">
        <v>15959</v>
      </c>
      <c r="AK913" s="6" t="s">
        <v>16699</v>
      </c>
      <c r="AL913" s="6" t="s">
        <v>16932</v>
      </c>
      <c r="AM913" s="6" t="s">
        <v>17597</v>
      </c>
      <c r="AN913" s="6" t="s">
        <v>104</v>
      </c>
      <c r="AO913" s="6" t="s">
        <v>104</v>
      </c>
      <c r="AP913" s="6" t="s">
        <v>104</v>
      </c>
      <c r="AQ913" s="6" t="s">
        <v>104</v>
      </c>
      <c r="AR913" s="6" t="s">
        <v>104</v>
      </c>
      <c r="AS913" s="6" t="s">
        <v>104</v>
      </c>
      <c r="AT913" s="6" t="s">
        <v>104</v>
      </c>
      <c r="AU913" s="6" t="s">
        <v>104</v>
      </c>
      <c r="AV913" s="6" t="s">
        <v>104</v>
      </c>
      <c r="AW913" s="6" t="s">
        <v>104</v>
      </c>
      <c r="AX913" s="6" t="s">
        <v>20829</v>
      </c>
      <c r="AY913" s="6" t="s">
        <v>22610</v>
      </c>
      <c r="AZ913" s="6" t="s">
        <v>104</v>
      </c>
      <c r="BA913" s="6" t="s">
        <v>104</v>
      </c>
      <c r="BB913" s="6" t="s">
        <v>104</v>
      </c>
      <c r="BC913" s="26"/>
      <c r="BD913" s="26"/>
      <c r="BE913" s="26"/>
      <c r="BF913" s="26"/>
      <c r="BG913" s="26"/>
      <c r="BH913" s="26"/>
      <c r="BI913" s="26"/>
      <c r="BJ913" s="26"/>
      <c r="BK913" s="26"/>
      <c r="BL913" s="26"/>
      <c r="BM913" s="26"/>
      <c r="BN913" s="26"/>
      <c r="BO913" s="26"/>
      <c r="BP913" s="16" t="n">
        <v>45737</v>
      </c>
      <c r="BQ913" s="28" t="str">
        <f>HYPERLINK("https://organic.ams.usda.gov/Integrity/Certificate.aspx?cid=32&amp;nopid=2230009618")</f>
        <v>https://organic.ams.usda.gov/Integrity/Certificate.aspx?cid=32&amp;nopid=2230009618</v>
      </c>
    </row>
    <row r="914">
      <c r="A914" t="s">
        <v>3</v>
      </c>
      <c r="B914" s="6" t="s">
        <v>21</v>
      </c>
      <c r="C914" s="6" t="s">
        <v>87</v>
      </c>
      <c r="D914" s="6" t="s">
        <v>152</v>
      </c>
      <c r="E914" s="10" t="s">
        <v>1112</v>
      </c>
      <c r="F914" s="6" t="s">
        <v>3356</v>
      </c>
      <c r="G914" s="6" t="s">
        <v>104</v>
      </c>
      <c r="H914" s="6" t="s">
        <v>5725</v>
      </c>
      <c r="I914" s="6" t="s">
        <v>7138</v>
      </c>
      <c r="J914" s="6" t="s">
        <v>8824</v>
      </c>
      <c r="K914" s="6" t="s">
        <v>9714</v>
      </c>
      <c r="L914" s="16" t="n">
        <v>45686</v>
      </c>
      <c r="M914" s="16" t="n">
        <v>46023</v>
      </c>
      <c r="N914" s="6" t="s">
        <v>104</v>
      </c>
      <c r="O914" s="21" t="s">
        <v>104</v>
      </c>
      <c r="P914" s="6" t="s">
        <v>104</v>
      </c>
      <c r="Q914" s="6" t="s">
        <v>104</v>
      </c>
      <c r="R914" s="6" t="s">
        <v>104</v>
      </c>
      <c r="S914" s="6" t="s">
        <v>104</v>
      </c>
      <c r="T914" s="21" t="s">
        <v>104</v>
      </c>
      <c r="U914" s="6" t="s">
        <v>104</v>
      </c>
      <c r="V914" s="6" t="s">
        <v>104</v>
      </c>
      <c r="W914" s="6" t="s">
        <v>104</v>
      </c>
      <c r="X914" s="6" t="s">
        <v>104</v>
      </c>
      <c r="Y914" s="21" t="s">
        <v>104</v>
      </c>
      <c r="Z914" s="6" t="s">
        <v>104</v>
      </c>
      <c r="AA914" s="6" t="s">
        <v>104</v>
      </c>
      <c r="AB914" s="6" t="s">
        <v>104</v>
      </c>
      <c r="AC914" s="6" t="s">
        <v>9714</v>
      </c>
      <c r="AD914" s="16" t="n">
        <v>45686</v>
      </c>
      <c r="AE914" s="6" t="s">
        <v>11339</v>
      </c>
      <c r="AF914" s="6" t="s">
        <v>104</v>
      </c>
      <c r="AG914" s="6" t="s">
        <v>104</v>
      </c>
      <c r="AH914" s="6" t="s">
        <v>13985</v>
      </c>
      <c r="AI914" s="6" t="s">
        <v>104</v>
      </c>
      <c r="AJ914" s="6" t="s">
        <v>15782</v>
      </c>
      <c r="AK914" s="6" t="s">
        <v>16725</v>
      </c>
      <c r="AL914" s="6" t="s">
        <v>16931</v>
      </c>
      <c r="AM914" s="6" t="s">
        <v>17598</v>
      </c>
      <c r="AN914" s="6" t="s">
        <v>104</v>
      </c>
      <c r="AO914" s="6" t="s">
        <v>104</v>
      </c>
      <c r="AP914" s="6" t="s">
        <v>19181</v>
      </c>
      <c r="AQ914" s="6" t="s">
        <v>104</v>
      </c>
      <c r="AR914" s="6" t="s">
        <v>15782</v>
      </c>
      <c r="AS914" s="6" t="s">
        <v>16725</v>
      </c>
      <c r="AT914" s="6" t="s">
        <v>16931</v>
      </c>
      <c r="AU914" s="6" t="s">
        <v>19913</v>
      </c>
      <c r="AV914" s="6" t="s">
        <v>104</v>
      </c>
      <c r="AW914" s="6" t="s">
        <v>104</v>
      </c>
      <c r="AX914" s="6" t="s">
        <v>20830</v>
      </c>
      <c r="AY914" s="6" t="s">
        <v>22611</v>
      </c>
      <c r="AZ914" s="6" t="s">
        <v>23926</v>
      </c>
      <c r="BA914" s="6" t="s">
        <v>24263</v>
      </c>
      <c r="BB914" s="6" t="s">
        <v>104</v>
      </c>
      <c r="BC914" s="26"/>
      <c r="BD914" s="26"/>
      <c r="BE914" s="26"/>
      <c r="BF914" s="26"/>
      <c r="BG914" s="26"/>
      <c r="BH914" s="26"/>
      <c r="BI914" s="26"/>
      <c r="BJ914" s="26"/>
      <c r="BK914" s="26"/>
      <c r="BL914" s="26"/>
      <c r="BM914" s="26"/>
      <c r="BN914" s="26"/>
      <c r="BO914" s="26"/>
      <c r="BP914" s="16" t="n">
        <v>45686</v>
      </c>
      <c r="BQ914" s="28" t="str">
        <f>HYPERLINK("https://organic.ams.usda.gov/Integrity/Certificate.aspx?cid=15&amp;nopid=5561008760")</f>
        <v>https://organic.ams.usda.gov/Integrity/Certificate.aspx?cid=15&amp;nopid=5561008760</v>
      </c>
    </row>
    <row r="915">
      <c r="A915" t="s">
        <v>3</v>
      </c>
      <c r="B915" s="6" t="s">
        <v>34</v>
      </c>
      <c r="C915" s="6" t="s">
        <v>100</v>
      </c>
      <c r="D915" s="6" t="s">
        <v>165</v>
      </c>
      <c r="E915" s="10" t="s">
        <v>1113</v>
      </c>
      <c r="F915" s="6" t="s">
        <v>3357</v>
      </c>
      <c r="G915" s="6" t="s">
        <v>104</v>
      </c>
      <c r="H915" s="6" t="s">
        <v>5726</v>
      </c>
      <c r="I915" s="6" t="s">
        <v>7506</v>
      </c>
      <c r="J915" s="6" t="s">
        <v>8825</v>
      </c>
      <c r="K915" s="6" t="s">
        <v>9714</v>
      </c>
      <c r="L915" s="16" t="n">
        <v>43104</v>
      </c>
      <c r="M915" s="16" t="n">
        <v>45845</v>
      </c>
      <c r="N915" s="6" t="s">
        <v>104</v>
      </c>
      <c r="O915" s="21" t="s">
        <v>104</v>
      </c>
      <c r="P915" s="6" t="s">
        <v>104</v>
      </c>
      <c r="Q915" s="6" t="s">
        <v>104</v>
      </c>
      <c r="R915" s="6" t="s">
        <v>104</v>
      </c>
      <c r="S915" s="6" t="s">
        <v>104</v>
      </c>
      <c r="T915" s="21" t="s">
        <v>104</v>
      </c>
      <c r="U915" s="6" t="s">
        <v>104</v>
      </c>
      <c r="V915" s="6" t="s">
        <v>104</v>
      </c>
      <c r="W915" s="6" t="s">
        <v>104</v>
      </c>
      <c r="X915" s="6" t="s">
        <v>104</v>
      </c>
      <c r="Y915" s="21" t="s">
        <v>104</v>
      </c>
      <c r="Z915" s="6" t="s">
        <v>104</v>
      </c>
      <c r="AA915" s="6" t="s">
        <v>104</v>
      </c>
      <c r="AB915" s="6" t="s">
        <v>104</v>
      </c>
      <c r="AC915" s="6" t="s">
        <v>9714</v>
      </c>
      <c r="AD915" s="16" t="n">
        <v>43104</v>
      </c>
      <c r="AE915" s="6" t="s">
        <v>11340</v>
      </c>
      <c r="AF915" s="6" t="s">
        <v>104</v>
      </c>
      <c r="AG915" s="6" t="s">
        <v>12782</v>
      </c>
      <c r="AH915" s="6" t="s">
        <v>13986</v>
      </c>
      <c r="AI915" s="6" t="s">
        <v>104</v>
      </c>
      <c r="AJ915" s="6" t="s">
        <v>15960</v>
      </c>
      <c r="AK915" s="6" t="s">
        <v>16710</v>
      </c>
      <c r="AL915" s="6" t="s">
        <v>16931</v>
      </c>
      <c r="AM915" s="6" t="s">
        <v>17599</v>
      </c>
      <c r="AN915" s="6" t="s">
        <v>18534</v>
      </c>
      <c r="AO915" s="6" t="s">
        <v>18756</v>
      </c>
      <c r="AP915" s="6" t="s">
        <v>19182</v>
      </c>
      <c r="AQ915" s="6" t="s">
        <v>104</v>
      </c>
      <c r="AR915" s="6" t="s">
        <v>16218</v>
      </c>
      <c r="AS915" s="6" t="s">
        <v>16683</v>
      </c>
      <c r="AT915" s="6" t="s">
        <v>16931</v>
      </c>
      <c r="AU915" s="6" t="s">
        <v>19914</v>
      </c>
      <c r="AV915" s="6" t="s">
        <v>104</v>
      </c>
      <c r="AW915" s="6" t="s">
        <v>104</v>
      </c>
      <c r="AX915" s="6" t="s">
        <v>20831</v>
      </c>
      <c r="AY915" s="6" t="s">
        <v>22612</v>
      </c>
      <c r="AZ915" s="6" t="s">
        <v>23927</v>
      </c>
      <c r="BA915" s="6" t="s">
        <v>104</v>
      </c>
      <c r="BB915" s="6" t="s">
        <v>104</v>
      </c>
      <c r="BC915" s="26"/>
      <c r="BD915" s="26"/>
      <c r="BE915" s="26"/>
      <c r="BF915" s="26"/>
      <c r="BG915" s="26"/>
      <c r="BH915" s="26"/>
      <c r="BI915" s="26"/>
      <c r="BJ915" s="26"/>
      <c r="BK915" s="26"/>
      <c r="BL915" s="26"/>
      <c r="BM915" s="26"/>
      <c r="BN915" s="26"/>
      <c r="BO915" s="26"/>
      <c r="BP915" s="16" t="n">
        <v>45737</v>
      </c>
      <c r="BQ915" s="28" t="str">
        <f>HYPERLINK("https://organic.ams.usda.gov/Integrity/Certificate.aspx?cid=71&amp;nopid=5520351171")</f>
        <v>https://organic.ams.usda.gov/Integrity/Certificate.aspx?cid=71&amp;nopid=5520351171</v>
      </c>
    </row>
    <row r="916">
      <c r="A916" t="s">
        <v>3</v>
      </c>
      <c r="B916" s="6" t="s">
        <v>11</v>
      </c>
      <c r="C916" s="6" t="s">
        <v>77</v>
      </c>
      <c r="D916" s="6" t="s">
        <v>142</v>
      </c>
      <c r="E916" s="10" t="s">
        <v>1114</v>
      </c>
      <c r="F916" s="6" t="s">
        <v>3358</v>
      </c>
      <c r="G916" s="6" t="s">
        <v>104</v>
      </c>
      <c r="H916" s="6" t="s">
        <v>104</v>
      </c>
      <c r="I916" s="6" t="s">
        <v>7507</v>
      </c>
      <c r="J916" s="6" t="s">
        <v>8826</v>
      </c>
      <c r="K916" s="6" t="s">
        <v>9714</v>
      </c>
      <c r="L916" s="16" t="n">
        <v>43200</v>
      </c>
      <c r="M916" s="16" t="n">
        <v>46098</v>
      </c>
      <c r="N916" s="6" t="s">
        <v>104</v>
      </c>
      <c r="O916" s="21" t="s">
        <v>104</v>
      </c>
      <c r="P916" s="6" t="s">
        <v>104</v>
      </c>
      <c r="Q916" s="6" t="s">
        <v>104</v>
      </c>
      <c r="R916" s="6" t="s">
        <v>104</v>
      </c>
      <c r="S916" s="6" t="s">
        <v>104</v>
      </c>
      <c r="T916" s="21" t="s">
        <v>104</v>
      </c>
      <c r="U916" s="6" t="s">
        <v>104</v>
      </c>
      <c r="V916" s="6" t="s">
        <v>104</v>
      </c>
      <c r="W916" s="6" t="s">
        <v>104</v>
      </c>
      <c r="X916" s="6" t="s">
        <v>104</v>
      </c>
      <c r="Y916" s="21" t="s">
        <v>104</v>
      </c>
      <c r="Z916" s="6" t="s">
        <v>104</v>
      </c>
      <c r="AA916" s="6" t="s">
        <v>104</v>
      </c>
      <c r="AB916" s="6" t="s">
        <v>104</v>
      </c>
      <c r="AC916" s="6" t="s">
        <v>9714</v>
      </c>
      <c r="AD916" s="16" t="n">
        <v>43200</v>
      </c>
      <c r="AE916" s="6" t="s">
        <v>11341</v>
      </c>
      <c r="AF916" s="6" t="s">
        <v>104</v>
      </c>
      <c r="AG916" s="6" t="s">
        <v>104</v>
      </c>
      <c r="AH916" s="6" t="s">
        <v>13987</v>
      </c>
      <c r="AI916" s="6" t="s">
        <v>104</v>
      </c>
      <c r="AJ916" s="6" t="s">
        <v>104</v>
      </c>
      <c r="AK916" s="6" t="s">
        <v>104</v>
      </c>
      <c r="AL916" s="6" t="s">
        <v>16940</v>
      </c>
      <c r="AM916" s="6" t="s">
        <v>104</v>
      </c>
      <c r="AN916" s="6" t="s">
        <v>104</v>
      </c>
      <c r="AO916" s="6" t="s">
        <v>104</v>
      </c>
      <c r="AP916" s="6" t="s">
        <v>104</v>
      </c>
      <c r="AQ916" s="6" t="s">
        <v>104</v>
      </c>
      <c r="AR916" s="6" t="s">
        <v>104</v>
      </c>
      <c r="AS916" s="6" t="s">
        <v>104</v>
      </c>
      <c r="AT916" s="6" t="s">
        <v>104</v>
      </c>
      <c r="AU916" s="6" t="s">
        <v>104</v>
      </c>
      <c r="AV916" s="6" t="s">
        <v>104</v>
      </c>
      <c r="AW916" s="6" t="s">
        <v>104</v>
      </c>
      <c r="AX916" s="6" t="s">
        <v>20832</v>
      </c>
      <c r="AY916" s="6" t="s">
        <v>22613</v>
      </c>
      <c r="AZ916" s="6" t="s">
        <v>104</v>
      </c>
      <c r="BA916" s="6" t="s">
        <v>104</v>
      </c>
      <c r="BB916" s="6" t="s">
        <v>104</v>
      </c>
      <c r="BC916" s="26"/>
      <c r="BD916" s="26"/>
      <c r="BE916" s="26"/>
      <c r="BF916" s="26"/>
      <c r="BG916" s="26"/>
      <c r="BH916" s="26"/>
      <c r="BI916" s="26"/>
      <c r="BJ916" s="26"/>
      <c r="BK916" s="26"/>
      <c r="BL916" s="26"/>
      <c r="BM916" s="26"/>
      <c r="BN916" s="26"/>
      <c r="BO916" s="26"/>
      <c r="BP916" s="16" t="n">
        <v>45727</v>
      </c>
      <c r="BQ916" s="28" t="str">
        <f>HYPERLINK("https://organic.ams.usda.gov/Integrity/Certificate.aspx?cid=21&amp;nopid=1780856995")</f>
        <v>https://organic.ams.usda.gov/Integrity/Certificate.aspx?cid=21&amp;nopid=1780856995</v>
      </c>
    </row>
    <row r="917">
      <c r="A917" t="s">
        <v>3</v>
      </c>
      <c r="B917" s="6" t="s">
        <v>24</v>
      </c>
      <c r="C917" s="6" t="s">
        <v>90</v>
      </c>
      <c r="D917" s="6" t="s">
        <v>155</v>
      </c>
      <c r="E917" s="10" t="s">
        <v>1115</v>
      </c>
      <c r="F917" s="6" t="s">
        <v>3359</v>
      </c>
      <c r="G917" s="6" t="s">
        <v>4667</v>
      </c>
      <c r="H917" s="6" t="s">
        <v>5727</v>
      </c>
      <c r="I917" s="6" t="s">
        <v>7138</v>
      </c>
      <c r="J917" s="6" t="s">
        <v>8827</v>
      </c>
      <c r="K917" s="6" t="s">
        <v>9714</v>
      </c>
      <c r="L917" s="16" t="n">
        <v>41775</v>
      </c>
      <c r="M917" s="16" t="n">
        <v>45626</v>
      </c>
      <c r="N917" s="6" t="s">
        <v>104</v>
      </c>
      <c r="O917" s="21" t="s">
        <v>104</v>
      </c>
      <c r="P917" s="6" t="s">
        <v>104</v>
      </c>
      <c r="Q917" s="6" t="s">
        <v>104</v>
      </c>
      <c r="R917" s="6" t="s">
        <v>104</v>
      </c>
      <c r="S917" s="6" t="s">
        <v>104</v>
      </c>
      <c r="T917" s="21" t="s">
        <v>104</v>
      </c>
      <c r="U917" s="6" t="s">
        <v>104</v>
      </c>
      <c r="V917" s="6" t="s">
        <v>104</v>
      </c>
      <c r="W917" s="6" t="s">
        <v>104</v>
      </c>
      <c r="X917" s="6" t="s">
        <v>104</v>
      </c>
      <c r="Y917" s="21" t="s">
        <v>104</v>
      </c>
      <c r="Z917" s="6" t="s">
        <v>104</v>
      </c>
      <c r="AA917" s="6" t="s">
        <v>104</v>
      </c>
      <c r="AB917" s="6" t="s">
        <v>104</v>
      </c>
      <c r="AC917" s="6" t="s">
        <v>9714</v>
      </c>
      <c r="AD917" s="16" t="n">
        <v>42935</v>
      </c>
      <c r="AE917" s="6" t="s">
        <v>11342</v>
      </c>
      <c r="AF917" s="6" t="s">
        <v>104</v>
      </c>
      <c r="AG917" s="6" t="s">
        <v>5727</v>
      </c>
      <c r="AH917" s="6" t="s">
        <v>13988</v>
      </c>
      <c r="AI917" s="6" t="s">
        <v>104</v>
      </c>
      <c r="AJ917" s="6" t="s">
        <v>15961</v>
      </c>
      <c r="AK917" s="6" t="s">
        <v>16826</v>
      </c>
      <c r="AL917" s="6" t="s">
        <v>16934</v>
      </c>
      <c r="AM917" s="6" t="s">
        <v>5833</v>
      </c>
      <c r="AN917" s="6" t="s">
        <v>104</v>
      </c>
      <c r="AO917" s="6" t="s">
        <v>104</v>
      </c>
      <c r="AP917" s="6" t="s">
        <v>19183</v>
      </c>
      <c r="AQ917" s="6" t="s">
        <v>104</v>
      </c>
      <c r="AR917" s="6" t="s">
        <v>15961</v>
      </c>
      <c r="AS917" s="6" t="s">
        <v>16826</v>
      </c>
      <c r="AT917" s="6" t="s">
        <v>16934</v>
      </c>
      <c r="AU917" s="6" t="s">
        <v>5833</v>
      </c>
      <c r="AV917" s="6" t="s">
        <v>104</v>
      </c>
      <c r="AW917" s="6" t="s">
        <v>104</v>
      </c>
      <c r="AX917" s="6" t="s">
        <v>20833</v>
      </c>
      <c r="AY917" s="6" t="s">
        <v>22614</v>
      </c>
      <c r="AZ917" s="6" t="s">
        <v>104</v>
      </c>
      <c r="BA917" s="6" t="s">
        <v>24262</v>
      </c>
      <c r="BB917" s="24" t="n">
        <v>0</v>
      </c>
      <c r="BC917" s="26"/>
      <c r="BD917" s="26"/>
      <c r="BE917" s="26"/>
      <c r="BF917" s="26"/>
      <c r="BG917" s="26"/>
      <c r="BH917" s="26"/>
      <c r="BI917" s="26"/>
      <c r="BJ917" s="26"/>
      <c r="BK917" s="26"/>
      <c r="BL917" s="26"/>
      <c r="BM917" s="26"/>
      <c r="BN917" s="26"/>
      <c r="BO917" s="26"/>
      <c r="BP917" s="16" t="n">
        <v>45468</v>
      </c>
      <c r="BQ917" s="28" t="str">
        <f>HYPERLINK("https://organic.ams.usda.gov/Integrity/Certificate.aspx?cid=7&amp;nopid=3950000852")</f>
        <v>https://organic.ams.usda.gov/Integrity/Certificate.aspx?cid=7&amp;nopid=3950000852</v>
      </c>
    </row>
    <row r="918">
      <c r="A918" t="s">
        <v>3</v>
      </c>
      <c r="B918" s="6" t="s">
        <v>19</v>
      </c>
      <c r="C918" s="6" t="s">
        <v>85</v>
      </c>
      <c r="D918" s="6" t="s">
        <v>150</v>
      </c>
      <c r="E918" s="10" t="s">
        <v>1116</v>
      </c>
      <c r="F918" s="6" t="s">
        <v>3360</v>
      </c>
      <c r="G918" s="6" t="s">
        <v>104</v>
      </c>
      <c r="H918" s="6" t="s">
        <v>5728</v>
      </c>
      <c r="I918" s="6" t="s">
        <v>7336</v>
      </c>
      <c r="J918" s="6" t="s">
        <v>8828</v>
      </c>
      <c r="K918" s="6" t="s">
        <v>9714</v>
      </c>
      <c r="L918" s="16" t="n">
        <v>45525</v>
      </c>
      <c r="M918" s="16" t="n">
        <v>45717</v>
      </c>
      <c r="N918" s="6" t="s">
        <v>104</v>
      </c>
      <c r="O918" s="21" t="s">
        <v>104</v>
      </c>
      <c r="P918" s="6" t="s">
        <v>104</v>
      </c>
      <c r="Q918" s="6" t="s">
        <v>104</v>
      </c>
      <c r="R918" s="6" t="s">
        <v>104</v>
      </c>
      <c r="S918" s="6" t="s">
        <v>104</v>
      </c>
      <c r="T918" s="21" t="s">
        <v>104</v>
      </c>
      <c r="U918" s="6" t="s">
        <v>104</v>
      </c>
      <c r="V918" s="6" t="s">
        <v>104</v>
      </c>
      <c r="W918" s="6" t="s">
        <v>104</v>
      </c>
      <c r="X918" s="6" t="s">
        <v>104</v>
      </c>
      <c r="Y918" s="21" t="s">
        <v>104</v>
      </c>
      <c r="Z918" s="6" t="s">
        <v>104</v>
      </c>
      <c r="AA918" s="6" t="s">
        <v>104</v>
      </c>
      <c r="AB918" s="6" t="s">
        <v>104</v>
      </c>
      <c r="AC918" s="6" t="s">
        <v>9714</v>
      </c>
      <c r="AD918" s="16" t="n">
        <v>45525</v>
      </c>
      <c r="AE918" s="6" t="s">
        <v>11343</v>
      </c>
      <c r="AF918" s="6" t="s">
        <v>104</v>
      </c>
      <c r="AG918" s="6" t="s">
        <v>104</v>
      </c>
      <c r="AH918" s="6" t="s">
        <v>13989</v>
      </c>
      <c r="AI918" s="6" t="s">
        <v>104</v>
      </c>
      <c r="AJ918" s="6" t="s">
        <v>15962</v>
      </c>
      <c r="AK918" s="6" t="s">
        <v>16827</v>
      </c>
      <c r="AL918" s="6" t="s">
        <v>16931</v>
      </c>
      <c r="AM918" s="6" t="s">
        <v>17600</v>
      </c>
      <c r="AN918" s="6" t="s">
        <v>104</v>
      </c>
      <c r="AO918" s="6" t="s">
        <v>104</v>
      </c>
      <c r="AP918" s="6" t="s">
        <v>19184</v>
      </c>
      <c r="AQ918" s="6" t="s">
        <v>19558</v>
      </c>
      <c r="AR918" s="6" t="s">
        <v>15697</v>
      </c>
      <c r="AS918" s="6" t="s">
        <v>15697</v>
      </c>
      <c r="AT918" s="6" t="s">
        <v>16931</v>
      </c>
      <c r="AU918" s="6" t="s">
        <v>19915</v>
      </c>
      <c r="AV918" s="6" t="s">
        <v>104</v>
      </c>
      <c r="AW918" s="6" t="s">
        <v>104</v>
      </c>
      <c r="AX918" s="6" t="s">
        <v>20834</v>
      </c>
      <c r="AY918" s="6" t="s">
        <v>22615</v>
      </c>
      <c r="AZ918" s="6" t="s">
        <v>104</v>
      </c>
      <c r="BA918" s="6" t="s">
        <v>104</v>
      </c>
      <c r="BB918" s="6" t="s">
        <v>104</v>
      </c>
      <c r="BC918" s="26"/>
      <c r="BD918" s="26"/>
      <c r="BE918" s="26"/>
      <c r="BF918" s="26"/>
      <c r="BG918" s="26"/>
      <c r="BH918" s="26"/>
      <c r="BI918" s="26"/>
      <c r="BJ918" s="26"/>
      <c r="BK918" s="26"/>
      <c r="BL918" s="26"/>
      <c r="BM918" s="26"/>
      <c r="BN918" s="26"/>
      <c r="BO918" s="26"/>
      <c r="BP918" s="16" t="n">
        <v>45684</v>
      </c>
      <c r="BQ918" s="28" t="str">
        <f>HYPERLINK("https://organic.ams.usda.gov/Integrity/Certificate.aspx?cid=68&amp;nopid=8210009170")</f>
        <v>https://organic.ams.usda.gov/Integrity/Certificate.aspx?cid=68&amp;nopid=8210009170</v>
      </c>
    </row>
    <row r="919">
      <c r="A919" t="s">
        <v>3</v>
      </c>
      <c r="B919" s="6" t="s">
        <v>11</v>
      </c>
      <c r="C919" s="6" t="s">
        <v>77</v>
      </c>
      <c r="D919" s="6" t="s">
        <v>142</v>
      </c>
      <c r="E919" s="10" t="s">
        <v>1117</v>
      </c>
      <c r="F919" s="6" t="s">
        <v>3361</v>
      </c>
      <c r="G919" s="6" t="s">
        <v>104</v>
      </c>
      <c r="H919" s="6" t="s">
        <v>5729</v>
      </c>
      <c r="I919" s="6" t="s">
        <v>7508</v>
      </c>
      <c r="J919" s="6" t="s">
        <v>8829</v>
      </c>
      <c r="K919" s="6" t="s">
        <v>9714</v>
      </c>
      <c r="L919" s="16" t="n">
        <v>38499</v>
      </c>
      <c r="M919" s="16" t="n">
        <v>45809</v>
      </c>
      <c r="N919" s="6" t="s">
        <v>9714</v>
      </c>
      <c r="O919" s="16" t="n">
        <v>38499</v>
      </c>
      <c r="P919" s="6" t="s">
        <v>9967</v>
      </c>
      <c r="Q919" s="6" t="s">
        <v>104</v>
      </c>
      <c r="R919" s="6" t="s">
        <v>104</v>
      </c>
      <c r="S919" s="6" t="s">
        <v>104</v>
      </c>
      <c r="T919" s="21" t="s">
        <v>104</v>
      </c>
      <c r="U919" s="6" t="s">
        <v>104</v>
      </c>
      <c r="V919" s="6" t="s">
        <v>104</v>
      </c>
      <c r="W919" s="6" t="s">
        <v>104</v>
      </c>
      <c r="X919" s="6" t="s">
        <v>104</v>
      </c>
      <c r="Y919" s="21" t="s">
        <v>104</v>
      </c>
      <c r="Z919" s="6" t="s">
        <v>104</v>
      </c>
      <c r="AA919" s="6" t="s">
        <v>104</v>
      </c>
      <c r="AB919" s="6" t="s">
        <v>104</v>
      </c>
      <c r="AC919" s="6" t="s">
        <v>9714</v>
      </c>
      <c r="AD919" s="16" t="n">
        <v>38499</v>
      </c>
      <c r="AE919" s="6" t="s">
        <v>11344</v>
      </c>
      <c r="AF919" s="6" t="s">
        <v>104</v>
      </c>
      <c r="AG919" s="6" t="s">
        <v>104</v>
      </c>
      <c r="AH919" s="6" t="s">
        <v>13990</v>
      </c>
      <c r="AI919" s="6" t="s">
        <v>15277</v>
      </c>
      <c r="AJ919" s="6" t="s">
        <v>15963</v>
      </c>
      <c r="AK919" s="6" t="s">
        <v>104</v>
      </c>
      <c r="AL919" s="6" t="s">
        <v>16961</v>
      </c>
      <c r="AM919" s="6" t="s">
        <v>13990</v>
      </c>
      <c r="AN919" s="6" t="s">
        <v>104</v>
      </c>
      <c r="AO919" s="6" t="s">
        <v>104</v>
      </c>
      <c r="AP919" s="6" t="s">
        <v>15277</v>
      </c>
      <c r="AQ919" s="6" t="s">
        <v>15963</v>
      </c>
      <c r="AR919" s="6" t="s">
        <v>104</v>
      </c>
      <c r="AS919" s="6" t="s">
        <v>104</v>
      </c>
      <c r="AT919" s="6" t="s">
        <v>16961</v>
      </c>
      <c r="AU919" s="6" t="s">
        <v>104</v>
      </c>
      <c r="AV919" s="6" t="s">
        <v>104</v>
      </c>
      <c r="AW919" s="6" t="s">
        <v>104</v>
      </c>
      <c r="AX919" s="6" t="s">
        <v>20835</v>
      </c>
      <c r="AY919" s="6" t="s">
        <v>22616</v>
      </c>
      <c r="AZ919" s="6" t="s">
        <v>104</v>
      </c>
      <c r="BA919" s="6" t="s">
        <v>104</v>
      </c>
      <c r="BB919" s="24" t="n">
        <v>232</v>
      </c>
      <c r="BC919" s="26"/>
      <c r="BD919" s="26"/>
      <c r="BE919" s="26"/>
      <c r="BF919" s="26"/>
      <c r="BG919" s="26"/>
      <c r="BH919" s="26"/>
      <c r="BI919" s="26"/>
      <c r="BJ919" s="26"/>
      <c r="BK919" s="26"/>
      <c r="BL919" s="26"/>
      <c r="BM919" s="26"/>
      <c r="BN919" s="26"/>
      <c r="BO919" s="26" t="s">
        <v>24533</v>
      </c>
      <c r="BP919" s="16" t="n">
        <v>45731</v>
      </c>
      <c r="BQ919" s="28" t="str">
        <f>HYPERLINK("https://organic.ams.usda.gov/Integrity/Certificate.aspx?cid=21&amp;nopid=1780800697")</f>
        <v>https://organic.ams.usda.gov/Integrity/Certificate.aspx?cid=21&amp;nopid=1780800697</v>
      </c>
    </row>
    <row r="920">
      <c r="A920" t="s">
        <v>3</v>
      </c>
      <c r="B920" s="6" t="s">
        <v>13</v>
      </c>
      <c r="C920" s="6" t="s">
        <v>79</v>
      </c>
      <c r="D920" s="6" t="s">
        <v>144</v>
      </c>
      <c r="E920" s="10" t="s">
        <v>1118</v>
      </c>
      <c r="F920" s="6" t="s">
        <v>3362</v>
      </c>
      <c r="G920" s="6" t="s">
        <v>104</v>
      </c>
      <c r="H920" s="6" t="s">
        <v>5730</v>
      </c>
      <c r="I920" s="6" t="s">
        <v>7080</v>
      </c>
      <c r="J920" s="6" t="s">
        <v>8830</v>
      </c>
      <c r="K920" s="6" t="s">
        <v>9714</v>
      </c>
      <c r="L920" s="16" t="n">
        <v>41338</v>
      </c>
      <c r="M920" s="16" t="n">
        <v>46023</v>
      </c>
      <c r="N920" s="6" t="s">
        <v>104</v>
      </c>
      <c r="O920" s="21" t="s">
        <v>104</v>
      </c>
      <c r="P920" s="6" t="s">
        <v>104</v>
      </c>
      <c r="Q920" s="6" t="s">
        <v>104</v>
      </c>
      <c r="R920" s="6" t="s">
        <v>104</v>
      </c>
      <c r="S920" s="6" t="s">
        <v>104</v>
      </c>
      <c r="T920" s="21" t="s">
        <v>104</v>
      </c>
      <c r="U920" s="6" t="s">
        <v>104</v>
      </c>
      <c r="V920" s="6" t="s">
        <v>104</v>
      </c>
      <c r="W920" s="6" t="s">
        <v>104</v>
      </c>
      <c r="X920" s="6" t="s">
        <v>104</v>
      </c>
      <c r="Y920" s="21" t="s">
        <v>104</v>
      </c>
      <c r="Z920" s="6" t="s">
        <v>104</v>
      </c>
      <c r="AA920" s="6" t="s">
        <v>104</v>
      </c>
      <c r="AB920" s="6" t="s">
        <v>104</v>
      </c>
      <c r="AC920" s="6" t="s">
        <v>9714</v>
      </c>
      <c r="AD920" s="16" t="n">
        <v>41338</v>
      </c>
      <c r="AE920" s="6" t="s">
        <v>11345</v>
      </c>
      <c r="AF920" s="6" t="s">
        <v>104</v>
      </c>
      <c r="AG920" s="6" t="s">
        <v>104</v>
      </c>
      <c r="AH920" s="6" t="s">
        <v>104</v>
      </c>
      <c r="AI920" s="6" t="s">
        <v>104</v>
      </c>
      <c r="AJ920" s="6" t="s">
        <v>104</v>
      </c>
      <c r="AK920" s="6" t="s">
        <v>104</v>
      </c>
      <c r="AL920" s="6" t="s">
        <v>104</v>
      </c>
      <c r="AM920" s="6" t="s">
        <v>104</v>
      </c>
      <c r="AN920" s="6" t="s">
        <v>104</v>
      </c>
      <c r="AO920" s="6" t="s">
        <v>104</v>
      </c>
      <c r="AP920" s="6" t="s">
        <v>19185</v>
      </c>
      <c r="AQ920" s="6" t="s">
        <v>104</v>
      </c>
      <c r="AR920" s="6" t="s">
        <v>16537</v>
      </c>
      <c r="AS920" s="6" t="s">
        <v>16687</v>
      </c>
      <c r="AT920" s="6" t="s">
        <v>16931</v>
      </c>
      <c r="AU920" s="6" t="s">
        <v>19916</v>
      </c>
      <c r="AV920" s="6" t="s">
        <v>18503</v>
      </c>
      <c r="AW920" s="6" t="s">
        <v>18780</v>
      </c>
      <c r="AX920" s="6" t="s">
        <v>20836</v>
      </c>
      <c r="AY920" s="6" t="s">
        <v>22617</v>
      </c>
      <c r="AZ920" s="6" t="s">
        <v>104</v>
      </c>
      <c r="BA920" s="6" t="s">
        <v>104</v>
      </c>
      <c r="BB920" s="6" t="s">
        <v>104</v>
      </c>
      <c r="BC920" s="26"/>
      <c r="BD920" s="26"/>
      <c r="BE920" s="26"/>
      <c r="BF920" s="26"/>
      <c r="BG920" s="26"/>
      <c r="BH920" s="26"/>
      <c r="BI920" s="26"/>
      <c r="BJ920" s="26"/>
      <c r="BK920" s="26"/>
      <c r="BL920" s="26"/>
      <c r="BM920" s="26"/>
      <c r="BN920" s="26"/>
      <c r="BO920" s="26"/>
      <c r="BP920" s="16" t="n">
        <v>45664</v>
      </c>
      <c r="BQ920" s="28" t="str">
        <f>HYPERLINK("https://organic.ams.usda.gov/Integrity/Certificate.aspx?cid=62&amp;nopid=8150001888")</f>
        <v>https://organic.ams.usda.gov/Integrity/Certificate.aspx?cid=62&amp;nopid=8150001888</v>
      </c>
    </row>
    <row r="921">
      <c r="A921" t="s">
        <v>3</v>
      </c>
      <c r="B921" s="6" t="s">
        <v>11</v>
      </c>
      <c r="C921" s="6" t="s">
        <v>77</v>
      </c>
      <c r="D921" s="6" t="s">
        <v>142</v>
      </c>
      <c r="E921" s="10" t="s">
        <v>1119</v>
      </c>
      <c r="F921" s="6" t="s">
        <v>3363</v>
      </c>
      <c r="G921" s="6" t="s">
        <v>104</v>
      </c>
      <c r="H921" s="6" t="s">
        <v>1119</v>
      </c>
      <c r="I921" s="6" t="s">
        <v>7509</v>
      </c>
      <c r="J921" s="6" t="s">
        <v>8831</v>
      </c>
      <c r="K921" s="6" t="s">
        <v>9714</v>
      </c>
      <c r="L921" s="16" t="n">
        <v>44845</v>
      </c>
      <c r="M921" s="16" t="n">
        <v>45998</v>
      </c>
      <c r="N921" s="6" t="s">
        <v>104</v>
      </c>
      <c r="O921" s="21" t="s">
        <v>104</v>
      </c>
      <c r="P921" s="6" t="s">
        <v>104</v>
      </c>
      <c r="Q921" s="6" t="s">
        <v>104</v>
      </c>
      <c r="R921" s="6" t="s">
        <v>104</v>
      </c>
      <c r="S921" s="6" t="s">
        <v>104</v>
      </c>
      <c r="T921" s="21" t="s">
        <v>104</v>
      </c>
      <c r="U921" s="6" t="s">
        <v>104</v>
      </c>
      <c r="V921" s="6" t="s">
        <v>104</v>
      </c>
      <c r="W921" s="6" t="s">
        <v>104</v>
      </c>
      <c r="X921" s="6" t="s">
        <v>104</v>
      </c>
      <c r="Y921" s="21" t="s">
        <v>104</v>
      </c>
      <c r="Z921" s="6" t="s">
        <v>104</v>
      </c>
      <c r="AA921" s="6" t="s">
        <v>104</v>
      </c>
      <c r="AB921" s="6" t="s">
        <v>104</v>
      </c>
      <c r="AC921" s="6" t="s">
        <v>9714</v>
      </c>
      <c r="AD921" s="16" t="n">
        <v>44845</v>
      </c>
      <c r="AE921" s="6" t="s">
        <v>11346</v>
      </c>
      <c r="AF921" s="6" t="s">
        <v>104</v>
      </c>
      <c r="AG921" s="6" t="s">
        <v>12783</v>
      </c>
      <c r="AH921" s="6" t="s">
        <v>13991</v>
      </c>
      <c r="AI921" s="6" t="s">
        <v>104</v>
      </c>
      <c r="AJ921" s="6" t="s">
        <v>15381</v>
      </c>
      <c r="AK921" s="6" t="s">
        <v>15885</v>
      </c>
      <c r="AL921" s="6" t="s">
        <v>16932</v>
      </c>
      <c r="AM921" s="6" t="s">
        <v>17601</v>
      </c>
      <c r="AN921" s="6" t="s">
        <v>104</v>
      </c>
      <c r="AO921" s="6" t="s">
        <v>104</v>
      </c>
      <c r="AP921" s="6" t="s">
        <v>19186</v>
      </c>
      <c r="AQ921" s="6" t="s">
        <v>104</v>
      </c>
      <c r="AR921" s="6" t="s">
        <v>15381</v>
      </c>
      <c r="AS921" s="6" t="s">
        <v>15885</v>
      </c>
      <c r="AT921" s="6" t="s">
        <v>16932</v>
      </c>
      <c r="AU921" s="6" t="s">
        <v>19917</v>
      </c>
      <c r="AV921" s="6" t="s">
        <v>104</v>
      </c>
      <c r="AW921" s="6" t="s">
        <v>104</v>
      </c>
      <c r="AX921" s="6" t="s">
        <v>20837</v>
      </c>
      <c r="AY921" s="6" t="s">
        <v>22618</v>
      </c>
      <c r="AZ921" s="6" t="s">
        <v>104</v>
      </c>
      <c r="BA921" s="6" t="s">
        <v>104</v>
      </c>
      <c r="BB921" s="6" t="s">
        <v>104</v>
      </c>
      <c r="BC921" s="26"/>
      <c r="BD921" s="26"/>
      <c r="BE921" s="26"/>
      <c r="BF921" s="26"/>
      <c r="BG921" s="26"/>
      <c r="BH921" s="26"/>
      <c r="BI921" s="26"/>
      <c r="BJ921" s="26"/>
      <c r="BK921" s="26"/>
      <c r="BL921" s="26"/>
      <c r="BM921" s="26"/>
      <c r="BN921" s="26" t="s">
        <v>24533</v>
      </c>
      <c r="BO921" s="26"/>
      <c r="BP921" s="16" t="n">
        <v>45565</v>
      </c>
      <c r="BQ921" s="28" t="str">
        <f>HYPERLINK("https://organic.ams.usda.gov/Integrity/Certificate.aspx?cid=21&amp;nopid=1780859348")</f>
        <v>https://organic.ams.usda.gov/Integrity/Certificate.aspx?cid=21&amp;nopid=1780859348</v>
      </c>
    </row>
    <row r="922">
      <c r="A922" t="s">
        <v>3</v>
      </c>
      <c r="B922" s="6" t="s">
        <v>12</v>
      </c>
      <c r="C922" s="6" t="s">
        <v>78</v>
      </c>
      <c r="D922" s="6" t="s">
        <v>143</v>
      </c>
      <c r="E922" s="10" t="s">
        <v>1120</v>
      </c>
      <c r="F922" s="6" t="s">
        <v>3364</v>
      </c>
      <c r="G922" s="6" t="s">
        <v>104</v>
      </c>
      <c r="H922" s="6" t="s">
        <v>104</v>
      </c>
      <c r="I922" s="6" t="s">
        <v>7510</v>
      </c>
      <c r="J922" s="6" t="s">
        <v>8832</v>
      </c>
      <c r="K922" s="6" t="s">
        <v>9714</v>
      </c>
      <c r="L922" s="16" t="n">
        <v>44158</v>
      </c>
      <c r="M922" s="16" t="n">
        <v>45717</v>
      </c>
      <c r="N922" s="6" t="s">
        <v>104</v>
      </c>
      <c r="O922" s="21" t="s">
        <v>104</v>
      </c>
      <c r="P922" s="6" t="s">
        <v>104</v>
      </c>
      <c r="Q922" s="6" t="s">
        <v>104</v>
      </c>
      <c r="R922" s="6" t="s">
        <v>104</v>
      </c>
      <c r="S922" s="6" t="s">
        <v>104</v>
      </c>
      <c r="T922" s="21" t="s">
        <v>104</v>
      </c>
      <c r="U922" s="6" t="s">
        <v>104</v>
      </c>
      <c r="V922" s="6" t="s">
        <v>104</v>
      </c>
      <c r="W922" s="6" t="s">
        <v>104</v>
      </c>
      <c r="X922" s="6" t="s">
        <v>104</v>
      </c>
      <c r="Y922" s="21" t="s">
        <v>104</v>
      </c>
      <c r="Z922" s="6" t="s">
        <v>104</v>
      </c>
      <c r="AA922" s="6" t="s">
        <v>104</v>
      </c>
      <c r="AB922" s="6" t="s">
        <v>104</v>
      </c>
      <c r="AC922" s="6" t="s">
        <v>9714</v>
      </c>
      <c r="AD922" s="16" t="n">
        <v>44158</v>
      </c>
      <c r="AE922" s="6" t="s">
        <v>11347</v>
      </c>
      <c r="AF922" s="6" t="s">
        <v>104</v>
      </c>
      <c r="AG922" s="6" t="s">
        <v>12784</v>
      </c>
      <c r="AH922" s="6" t="s">
        <v>13992</v>
      </c>
      <c r="AI922" s="6" t="s">
        <v>104</v>
      </c>
      <c r="AJ922" s="6" t="s">
        <v>15705</v>
      </c>
      <c r="AK922" s="6" t="s">
        <v>16720</v>
      </c>
      <c r="AL922" s="6" t="s">
        <v>16931</v>
      </c>
      <c r="AM922" s="6" t="s">
        <v>17602</v>
      </c>
      <c r="AN922" s="6" t="s">
        <v>18466</v>
      </c>
      <c r="AO922" s="6" t="s">
        <v>18675</v>
      </c>
      <c r="AP922" s="6" t="s">
        <v>19187</v>
      </c>
      <c r="AQ922" s="6" t="s">
        <v>104</v>
      </c>
      <c r="AR922" s="6" t="s">
        <v>15705</v>
      </c>
      <c r="AS922" s="6" t="s">
        <v>16720</v>
      </c>
      <c r="AT922" s="6" t="s">
        <v>16931</v>
      </c>
      <c r="AU922" s="6" t="s">
        <v>17602</v>
      </c>
      <c r="AV922" s="6" t="s">
        <v>104</v>
      </c>
      <c r="AW922" s="6" t="s">
        <v>104</v>
      </c>
      <c r="AX922" s="6" t="s">
        <v>104</v>
      </c>
      <c r="AY922" s="6" t="s">
        <v>22619</v>
      </c>
      <c r="AZ922" s="6" t="s">
        <v>104</v>
      </c>
      <c r="BA922" s="6" t="s">
        <v>104</v>
      </c>
      <c r="BB922" s="6" t="s">
        <v>104</v>
      </c>
      <c r="BC922" s="26"/>
      <c r="BD922" s="26"/>
      <c r="BE922" s="26"/>
      <c r="BF922" s="26"/>
      <c r="BG922" s="26"/>
      <c r="BH922" s="26"/>
      <c r="BI922" s="26"/>
      <c r="BJ922" s="26"/>
      <c r="BK922" s="26"/>
      <c r="BL922" s="26"/>
      <c r="BM922" s="26"/>
      <c r="BN922" s="26"/>
      <c r="BO922" s="26"/>
      <c r="BP922" s="16" t="n">
        <v>45700</v>
      </c>
      <c r="BQ922" s="28" t="str">
        <f>HYPERLINK("https://organic.ams.usda.gov/Integrity/Certificate.aspx?cid=1&amp;nopid=9092032301")</f>
        <v>https://organic.ams.usda.gov/Integrity/Certificate.aspx?cid=1&amp;nopid=9092032301</v>
      </c>
    </row>
    <row r="923">
      <c r="A923" t="s">
        <v>3</v>
      </c>
      <c r="B923" s="6" t="s">
        <v>12</v>
      </c>
      <c r="C923" s="6" t="s">
        <v>78</v>
      </c>
      <c r="D923" s="6" t="s">
        <v>143</v>
      </c>
      <c r="E923" s="10" t="s">
        <v>1121</v>
      </c>
      <c r="F923" s="6" t="s">
        <v>3365</v>
      </c>
      <c r="G923" s="6" t="s">
        <v>104</v>
      </c>
      <c r="H923" s="6" t="s">
        <v>104</v>
      </c>
      <c r="I923" s="6" t="s">
        <v>7510</v>
      </c>
      <c r="J923" s="6" t="s">
        <v>8832</v>
      </c>
      <c r="K923" s="6" t="s">
        <v>9714</v>
      </c>
      <c r="L923" s="16" t="n">
        <v>44400</v>
      </c>
      <c r="M923" s="16" t="n">
        <v>45717</v>
      </c>
      <c r="N923" s="6" t="s">
        <v>104</v>
      </c>
      <c r="O923" s="21" t="s">
        <v>104</v>
      </c>
      <c r="P923" s="6" t="s">
        <v>104</v>
      </c>
      <c r="Q923" s="6" t="s">
        <v>104</v>
      </c>
      <c r="R923" s="6" t="s">
        <v>104</v>
      </c>
      <c r="S923" s="6" t="s">
        <v>104</v>
      </c>
      <c r="T923" s="21" t="s">
        <v>104</v>
      </c>
      <c r="U923" s="6" t="s">
        <v>104</v>
      </c>
      <c r="V923" s="6" t="s">
        <v>104</v>
      </c>
      <c r="W923" s="6" t="s">
        <v>104</v>
      </c>
      <c r="X923" s="6" t="s">
        <v>104</v>
      </c>
      <c r="Y923" s="21" t="s">
        <v>104</v>
      </c>
      <c r="Z923" s="6" t="s">
        <v>104</v>
      </c>
      <c r="AA923" s="6" t="s">
        <v>104</v>
      </c>
      <c r="AB923" s="6" t="s">
        <v>104</v>
      </c>
      <c r="AC923" s="6" t="s">
        <v>9714</v>
      </c>
      <c r="AD923" s="16" t="n">
        <v>44400</v>
      </c>
      <c r="AE923" s="6" t="s">
        <v>11348</v>
      </c>
      <c r="AF923" s="6" t="s">
        <v>104</v>
      </c>
      <c r="AG923" s="6" t="s">
        <v>104</v>
      </c>
      <c r="AH923" s="6" t="s">
        <v>13993</v>
      </c>
      <c r="AI923" s="6" t="s">
        <v>104</v>
      </c>
      <c r="AJ923" s="6" t="s">
        <v>15532</v>
      </c>
      <c r="AK923" s="6" t="s">
        <v>16743</v>
      </c>
      <c r="AL923" s="6" t="s">
        <v>16931</v>
      </c>
      <c r="AM923" s="6" t="s">
        <v>17150</v>
      </c>
      <c r="AN923" s="6" t="s">
        <v>18473</v>
      </c>
      <c r="AO923" s="6" t="s">
        <v>18595</v>
      </c>
      <c r="AP923" s="6" t="s">
        <v>19188</v>
      </c>
      <c r="AQ923" s="6" t="s">
        <v>104</v>
      </c>
      <c r="AR923" s="6" t="s">
        <v>15705</v>
      </c>
      <c r="AS923" s="6" t="s">
        <v>16720</v>
      </c>
      <c r="AT923" s="6" t="s">
        <v>16931</v>
      </c>
      <c r="AU923" s="6" t="s">
        <v>17602</v>
      </c>
      <c r="AV923" s="6" t="s">
        <v>104</v>
      </c>
      <c r="AW923" s="6" t="s">
        <v>104</v>
      </c>
      <c r="AX923" s="6" t="s">
        <v>104</v>
      </c>
      <c r="AY923" s="6" t="s">
        <v>22619</v>
      </c>
      <c r="AZ923" s="6" t="s">
        <v>104</v>
      </c>
      <c r="BA923" s="6" t="s">
        <v>104</v>
      </c>
      <c r="BB923" s="6" t="s">
        <v>104</v>
      </c>
      <c r="BC923" s="26"/>
      <c r="BD923" s="26"/>
      <c r="BE923" s="26"/>
      <c r="BF923" s="26"/>
      <c r="BG923" s="26"/>
      <c r="BH923" s="26"/>
      <c r="BI923" s="26"/>
      <c r="BJ923" s="26"/>
      <c r="BK923" s="26"/>
      <c r="BL923" s="26"/>
      <c r="BM923" s="26"/>
      <c r="BN923" s="26"/>
      <c r="BO923" s="26"/>
      <c r="BP923" s="16" t="n">
        <v>45616</v>
      </c>
      <c r="BQ923" s="28" t="str">
        <f>HYPERLINK("https://organic.ams.usda.gov/Integrity/Certificate.aspx?cid=1&amp;nopid=9092119701")</f>
        <v>https://organic.ams.usda.gov/Integrity/Certificate.aspx?cid=1&amp;nopid=9092119701</v>
      </c>
    </row>
    <row r="924">
      <c r="A924" t="s">
        <v>3</v>
      </c>
      <c r="B924" s="6" t="s">
        <v>12</v>
      </c>
      <c r="C924" s="6" t="s">
        <v>78</v>
      </c>
      <c r="D924" s="6" t="s">
        <v>143</v>
      </c>
      <c r="E924" s="10" t="s">
        <v>1122</v>
      </c>
      <c r="F924" s="6" t="s">
        <v>3366</v>
      </c>
      <c r="G924" s="6" t="s">
        <v>104</v>
      </c>
      <c r="H924" s="6" t="s">
        <v>104</v>
      </c>
      <c r="I924" s="6" t="s">
        <v>7510</v>
      </c>
      <c r="J924" s="6" t="s">
        <v>8832</v>
      </c>
      <c r="K924" s="6" t="s">
        <v>9714</v>
      </c>
      <c r="L924" s="16" t="n">
        <v>44409</v>
      </c>
      <c r="M924" s="16" t="n">
        <v>45717</v>
      </c>
      <c r="N924" s="6" t="s">
        <v>104</v>
      </c>
      <c r="O924" s="21" t="s">
        <v>104</v>
      </c>
      <c r="P924" s="6" t="s">
        <v>104</v>
      </c>
      <c r="Q924" s="6" t="s">
        <v>104</v>
      </c>
      <c r="R924" s="6" t="s">
        <v>104</v>
      </c>
      <c r="S924" s="6" t="s">
        <v>104</v>
      </c>
      <c r="T924" s="21" t="s">
        <v>104</v>
      </c>
      <c r="U924" s="6" t="s">
        <v>104</v>
      </c>
      <c r="V924" s="6" t="s">
        <v>104</v>
      </c>
      <c r="W924" s="6" t="s">
        <v>104</v>
      </c>
      <c r="X924" s="6" t="s">
        <v>104</v>
      </c>
      <c r="Y924" s="21" t="s">
        <v>104</v>
      </c>
      <c r="Z924" s="6" t="s">
        <v>104</v>
      </c>
      <c r="AA924" s="6" t="s">
        <v>104</v>
      </c>
      <c r="AB924" s="6" t="s">
        <v>104</v>
      </c>
      <c r="AC924" s="6" t="s">
        <v>9714</v>
      </c>
      <c r="AD924" s="16" t="n">
        <v>44409</v>
      </c>
      <c r="AE924" s="6" t="s">
        <v>11349</v>
      </c>
      <c r="AF924" s="6" t="s">
        <v>104</v>
      </c>
      <c r="AG924" s="6" t="s">
        <v>104</v>
      </c>
      <c r="AH924" s="6" t="s">
        <v>13994</v>
      </c>
      <c r="AI924" s="6" t="s">
        <v>104</v>
      </c>
      <c r="AJ924" s="6" t="s">
        <v>15480</v>
      </c>
      <c r="AK924" s="6" t="s">
        <v>16683</v>
      </c>
      <c r="AL924" s="6" t="s">
        <v>16931</v>
      </c>
      <c r="AM924" s="6" t="s">
        <v>17104</v>
      </c>
      <c r="AN924" s="6" t="s">
        <v>18483</v>
      </c>
      <c r="AO924" s="6" t="s">
        <v>18595</v>
      </c>
      <c r="AP924" s="6" t="s">
        <v>13992</v>
      </c>
      <c r="AQ924" s="6" t="s">
        <v>104</v>
      </c>
      <c r="AR924" s="6" t="s">
        <v>15705</v>
      </c>
      <c r="AS924" s="6" t="s">
        <v>16720</v>
      </c>
      <c r="AT924" s="6" t="s">
        <v>16931</v>
      </c>
      <c r="AU924" s="6" t="s">
        <v>17602</v>
      </c>
      <c r="AV924" s="6" t="s">
        <v>104</v>
      </c>
      <c r="AW924" s="6" t="s">
        <v>104</v>
      </c>
      <c r="AX924" s="6" t="s">
        <v>104</v>
      </c>
      <c r="AY924" s="6" t="s">
        <v>22619</v>
      </c>
      <c r="AZ924" s="6" t="s">
        <v>104</v>
      </c>
      <c r="BA924" s="6" t="s">
        <v>104</v>
      </c>
      <c r="BB924" s="6" t="s">
        <v>104</v>
      </c>
      <c r="BC924" s="26"/>
      <c r="BD924" s="26"/>
      <c r="BE924" s="26"/>
      <c r="BF924" s="26"/>
      <c r="BG924" s="26"/>
      <c r="BH924" s="26"/>
      <c r="BI924" s="26"/>
      <c r="BJ924" s="26"/>
      <c r="BK924" s="26"/>
      <c r="BL924" s="26"/>
      <c r="BM924" s="26"/>
      <c r="BN924" s="26"/>
      <c r="BO924" s="26"/>
      <c r="BP924" s="16" t="n">
        <v>45616</v>
      </c>
      <c r="BQ924" s="28" t="str">
        <f>HYPERLINK("https://organic.ams.usda.gov/Integrity/Certificate.aspx?cid=1&amp;nopid=9092102902")</f>
        <v>https://organic.ams.usda.gov/Integrity/Certificate.aspx?cid=1&amp;nopid=9092102902</v>
      </c>
    </row>
    <row r="925">
      <c r="A925" t="s">
        <v>3</v>
      </c>
      <c r="B925" s="6" t="s">
        <v>12</v>
      </c>
      <c r="C925" s="6" t="s">
        <v>78</v>
      </c>
      <c r="D925" s="6" t="s">
        <v>143</v>
      </c>
      <c r="E925" s="10" t="s">
        <v>1123</v>
      </c>
      <c r="F925" s="6" t="s">
        <v>3367</v>
      </c>
      <c r="G925" s="6" t="s">
        <v>104</v>
      </c>
      <c r="H925" s="6" t="s">
        <v>104</v>
      </c>
      <c r="I925" s="6" t="s">
        <v>7510</v>
      </c>
      <c r="J925" s="6" t="s">
        <v>8832</v>
      </c>
      <c r="K925" s="6" t="s">
        <v>9714</v>
      </c>
      <c r="L925" s="16" t="n">
        <v>44409</v>
      </c>
      <c r="M925" s="16" t="n">
        <v>45717</v>
      </c>
      <c r="N925" s="6" t="s">
        <v>104</v>
      </c>
      <c r="O925" s="21" t="s">
        <v>104</v>
      </c>
      <c r="P925" s="6" t="s">
        <v>104</v>
      </c>
      <c r="Q925" s="6" t="s">
        <v>104</v>
      </c>
      <c r="R925" s="6" t="s">
        <v>104</v>
      </c>
      <c r="S925" s="6" t="s">
        <v>104</v>
      </c>
      <c r="T925" s="21" t="s">
        <v>104</v>
      </c>
      <c r="U925" s="6" t="s">
        <v>104</v>
      </c>
      <c r="V925" s="6" t="s">
        <v>104</v>
      </c>
      <c r="W925" s="6" t="s">
        <v>104</v>
      </c>
      <c r="X925" s="6" t="s">
        <v>104</v>
      </c>
      <c r="Y925" s="21" t="s">
        <v>104</v>
      </c>
      <c r="Z925" s="6" t="s">
        <v>104</v>
      </c>
      <c r="AA925" s="6" t="s">
        <v>104</v>
      </c>
      <c r="AB925" s="6" t="s">
        <v>104</v>
      </c>
      <c r="AC925" s="6" t="s">
        <v>9714</v>
      </c>
      <c r="AD925" s="16" t="n">
        <v>44409</v>
      </c>
      <c r="AE925" s="6" t="s">
        <v>11350</v>
      </c>
      <c r="AF925" s="6" t="s">
        <v>104</v>
      </c>
      <c r="AG925" s="6" t="s">
        <v>12785</v>
      </c>
      <c r="AH925" s="6" t="s">
        <v>13995</v>
      </c>
      <c r="AI925" s="6" t="s">
        <v>104</v>
      </c>
      <c r="AJ925" s="6" t="s">
        <v>15964</v>
      </c>
      <c r="AK925" s="6" t="s">
        <v>16720</v>
      </c>
      <c r="AL925" s="6" t="s">
        <v>16931</v>
      </c>
      <c r="AM925" s="6" t="s">
        <v>17603</v>
      </c>
      <c r="AN925" s="6" t="s">
        <v>18472</v>
      </c>
      <c r="AO925" s="6" t="s">
        <v>18761</v>
      </c>
      <c r="AP925" s="6" t="s">
        <v>13992</v>
      </c>
      <c r="AQ925" s="6" t="s">
        <v>104</v>
      </c>
      <c r="AR925" s="6" t="s">
        <v>15705</v>
      </c>
      <c r="AS925" s="6" t="s">
        <v>16720</v>
      </c>
      <c r="AT925" s="6" t="s">
        <v>16931</v>
      </c>
      <c r="AU925" s="6" t="s">
        <v>17602</v>
      </c>
      <c r="AV925" s="6" t="s">
        <v>104</v>
      </c>
      <c r="AW925" s="6" t="s">
        <v>104</v>
      </c>
      <c r="AX925" s="6" t="s">
        <v>104</v>
      </c>
      <c r="AY925" s="6" t="s">
        <v>22619</v>
      </c>
      <c r="AZ925" s="6" t="s">
        <v>104</v>
      </c>
      <c r="BA925" s="6" t="s">
        <v>104</v>
      </c>
      <c r="BB925" s="6" t="s">
        <v>104</v>
      </c>
      <c r="BC925" s="26"/>
      <c r="BD925" s="26"/>
      <c r="BE925" s="26"/>
      <c r="BF925" s="26"/>
      <c r="BG925" s="26"/>
      <c r="BH925" s="26"/>
      <c r="BI925" s="26"/>
      <c r="BJ925" s="26"/>
      <c r="BK925" s="26"/>
      <c r="BL925" s="26"/>
      <c r="BM925" s="26"/>
      <c r="BN925" s="26"/>
      <c r="BO925" s="26"/>
      <c r="BP925" s="16" t="n">
        <v>45667</v>
      </c>
      <c r="BQ925" s="28" t="str">
        <f>HYPERLINK("https://organic.ams.usda.gov/Integrity/Certificate.aspx?cid=1&amp;nopid=9092102901")</f>
        <v>https://organic.ams.usda.gov/Integrity/Certificate.aspx?cid=1&amp;nopid=9092102901</v>
      </c>
    </row>
    <row r="926">
      <c r="A926" t="s">
        <v>3</v>
      </c>
      <c r="B926" s="6" t="s">
        <v>12</v>
      </c>
      <c r="C926" s="6" t="s">
        <v>78</v>
      </c>
      <c r="D926" s="6" t="s">
        <v>143</v>
      </c>
      <c r="E926" s="10" t="s">
        <v>1124</v>
      </c>
      <c r="F926" s="6" t="s">
        <v>3368</v>
      </c>
      <c r="G926" s="6" t="s">
        <v>104</v>
      </c>
      <c r="H926" s="6" t="s">
        <v>104</v>
      </c>
      <c r="I926" s="6" t="s">
        <v>7510</v>
      </c>
      <c r="J926" s="6" t="s">
        <v>8832</v>
      </c>
      <c r="K926" s="6" t="s">
        <v>9714</v>
      </c>
      <c r="L926" s="16" t="n">
        <v>44252</v>
      </c>
      <c r="M926" s="16" t="n">
        <v>45717</v>
      </c>
      <c r="N926" s="6" t="s">
        <v>104</v>
      </c>
      <c r="O926" s="21" t="s">
        <v>104</v>
      </c>
      <c r="P926" s="6" t="s">
        <v>104</v>
      </c>
      <c r="Q926" s="6" t="s">
        <v>104</v>
      </c>
      <c r="R926" s="6" t="s">
        <v>104</v>
      </c>
      <c r="S926" s="6" t="s">
        <v>104</v>
      </c>
      <c r="T926" s="21" t="s">
        <v>104</v>
      </c>
      <c r="U926" s="6" t="s">
        <v>104</v>
      </c>
      <c r="V926" s="6" t="s">
        <v>104</v>
      </c>
      <c r="W926" s="6" t="s">
        <v>104</v>
      </c>
      <c r="X926" s="6" t="s">
        <v>104</v>
      </c>
      <c r="Y926" s="21" t="s">
        <v>104</v>
      </c>
      <c r="Z926" s="6" t="s">
        <v>104</v>
      </c>
      <c r="AA926" s="6" t="s">
        <v>104</v>
      </c>
      <c r="AB926" s="6" t="s">
        <v>104</v>
      </c>
      <c r="AC926" s="6" t="s">
        <v>9714</v>
      </c>
      <c r="AD926" s="16" t="n">
        <v>44252</v>
      </c>
      <c r="AE926" s="6" t="s">
        <v>11351</v>
      </c>
      <c r="AF926" s="6" t="s">
        <v>104</v>
      </c>
      <c r="AG926" s="6" t="s">
        <v>104</v>
      </c>
      <c r="AH926" s="6" t="s">
        <v>13996</v>
      </c>
      <c r="AI926" s="6" t="s">
        <v>104</v>
      </c>
      <c r="AJ926" s="6" t="s">
        <v>15965</v>
      </c>
      <c r="AK926" s="6" t="s">
        <v>16742</v>
      </c>
      <c r="AL926" s="6" t="s">
        <v>16931</v>
      </c>
      <c r="AM926" s="6" t="s">
        <v>17604</v>
      </c>
      <c r="AN926" s="6" t="s">
        <v>18509</v>
      </c>
      <c r="AO926" s="6" t="s">
        <v>18762</v>
      </c>
      <c r="AP926" s="6" t="s">
        <v>13992</v>
      </c>
      <c r="AQ926" s="6" t="s">
        <v>104</v>
      </c>
      <c r="AR926" s="6" t="s">
        <v>15705</v>
      </c>
      <c r="AS926" s="6" t="s">
        <v>16720</v>
      </c>
      <c r="AT926" s="6" t="s">
        <v>16931</v>
      </c>
      <c r="AU926" s="6" t="s">
        <v>17602</v>
      </c>
      <c r="AV926" s="6" t="s">
        <v>104</v>
      </c>
      <c r="AW926" s="6" t="s">
        <v>104</v>
      </c>
      <c r="AX926" s="6" t="s">
        <v>104</v>
      </c>
      <c r="AY926" s="6" t="s">
        <v>22619</v>
      </c>
      <c r="AZ926" s="6" t="s">
        <v>104</v>
      </c>
      <c r="BA926" s="6" t="s">
        <v>104</v>
      </c>
      <c r="BB926" s="6" t="s">
        <v>104</v>
      </c>
      <c r="BC926" s="26"/>
      <c r="BD926" s="26"/>
      <c r="BE926" s="26"/>
      <c r="BF926" s="26"/>
      <c r="BG926" s="26"/>
      <c r="BH926" s="26"/>
      <c r="BI926" s="26"/>
      <c r="BJ926" s="26"/>
      <c r="BK926" s="26"/>
      <c r="BL926" s="26"/>
      <c r="BM926" s="26"/>
      <c r="BN926" s="26"/>
      <c r="BO926" s="26"/>
      <c r="BP926" s="16" t="n">
        <v>45616</v>
      </c>
      <c r="BQ926" s="28" t="str">
        <f>HYPERLINK("https://organic.ams.usda.gov/Integrity/Certificate.aspx?cid=1&amp;nopid=9092102301")</f>
        <v>https://organic.ams.usda.gov/Integrity/Certificate.aspx?cid=1&amp;nopid=9092102301</v>
      </c>
    </row>
    <row r="927">
      <c r="A927" t="s">
        <v>3</v>
      </c>
      <c r="B927" s="6" t="s">
        <v>49</v>
      </c>
      <c r="C927" s="6" t="s">
        <v>115</v>
      </c>
      <c r="D927" s="6" t="s">
        <v>179</v>
      </c>
      <c r="E927" s="10" t="s">
        <v>1125</v>
      </c>
      <c r="F927" s="6" t="s">
        <v>3369</v>
      </c>
      <c r="G927" s="6" t="s">
        <v>104</v>
      </c>
      <c r="H927" s="6" t="s">
        <v>5731</v>
      </c>
      <c r="I927" s="6" t="s">
        <v>104</v>
      </c>
      <c r="J927" s="6" t="s">
        <v>104</v>
      </c>
      <c r="K927" s="6" t="s">
        <v>9714</v>
      </c>
      <c r="L927" s="16" t="n">
        <v>44333</v>
      </c>
      <c r="M927" s="16" t="n">
        <v>45663</v>
      </c>
      <c r="N927" s="6" t="s">
        <v>9714</v>
      </c>
      <c r="O927" s="16" t="n">
        <v>44333</v>
      </c>
      <c r="P927" s="6" t="s">
        <v>9968</v>
      </c>
      <c r="Q927" s="6" t="s">
        <v>104</v>
      </c>
      <c r="R927" s="6" t="s">
        <v>10357</v>
      </c>
      <c r="S927" s="6" t="s">
        <v>104</v>
      </c>
      <c r="T927" s="21" t="s">
        <v>104</v>
      </c>
      <c r="U927" s="6" t="s">
        <v>104</v>
      </c>
      <c r="V927" s="6" t="s">
        <v>104</v>
      </c>
      <c r="W927" s="6" t="s">
        <v>104</v>
      </c>
      <c r="X927" s="6" t="s">
        <v>104</v>
      </c>
      <c r="Y927" s="21" t="s">
        <v>104</v>
      </c>
      <c r="Z927" s="6" t="s">
        <v>104</v>
      </c>
      <c r="AA927" s="6" t="s">
        <v>104</v>
      </c>
      <c r="AB927" s="6" t="s">
        <v>104</v>
      </c>
      <c r="AC927" s="6" t="s">
        <v>9714</v>
      </c>
      <c r="AD927" s="16" t="n">
        <v>44333</v>
      </c>
      <c r="AE927" s="6" t="s">
        <v>11352</v>
      </c>
      <c r="AF927" s="6" t="s">
        <v>104</v>
      </c>
      <c r="AG927" s="6" t="s">
        <v>10357</v>
      </c>
      <c r="AH927" s="6" t="s">
        <v>13997</v>
      </c>
      <c r="AI927" s="6" t="s">
        <v>104</v>
      </c>
      <c r="AJ927" s="6" t="s">
        <v>15966</v>
      </c>
      <c r="AK927" s="6" t="s">
        <v>104</v>
      </c>
      <c r="AL927" s="6" t="s">
        <v>16957</v>
      </c>
      <c r="AM927" s="6" t="s">
        <v>17605</v>
      </c>
      <c r="AN927" s="6" t="s">
        <v>104</v>
      </c>
      <c r="AO927" s="6" t="s">
        <v>104</v>
      </c>
      <c r="AP927" s="6" t="s">
        <v>104</v>
      </c>
      <c r="AQ927" s="6" t="s">
        <v>104</v>
      </c>
      <c r="AR927" s="6" t="s">
        <v>104</v>
      </c>
      <c r="AS927" s="6" t="s">
        <v>104</v>
      </c>
      <c r="AT927" s="6" t="s">
        <v>104</v>
      </c>
      <c r="AU927" s="6" t="s">
        <v>104</v>
      </c>
      <c r="AV927" s="6" t="s">
        <v>104</v>
      </c>
      <c r="AW927" s="6" t="s">
        <v>104</v>
      </c>
      <c r="AX927" s="6" t="s">
        <v>104</v>
      </c>
      <c r="AY927" s="6" t="s">
        <v>22620</v>
      </c>
      <c r="AZ927" s="6" t="s">
        <v>104</v>
      </c>
      <c r="BA927" s="6" t="s">
        <v>104</v>
      </c>
      <c r="BB927" s="24" t="n">
        <v>4510</v>
      </c>
      <c r="BC927" s="26"/>
      <c r="BD927" s="26"/>
      <c r="BE927" s="26"/>
      <c r="BF927" s="26"/>
      <c r="BG927" s="26"/>
      <c r="BH927" s="26"/>
      <c r="BI927" s="26"/>
      <c r="BJ927" s="26"/>
      <c r="BK927" s="26"/>
      <c r="BL927" s="26"/>
      <c r="BM927" s="26"/>
      <c r="BN927" s="26"/>
      <c r="BO927" s="26"/>
      <c r="BP927" s="16" t="n">
        <v>45433</v>
      </c>
      <c r="BQ927" s="28" t="str">
        <f>HYPERLINK("https://organic.ams.usda.gov/Integrity/Certificate.aspx?cid=12&amp;nopid=8699693731")</f>
        <v>https://organic.ams.usda.gov/Integrity/Certificate.aspx?cid=12&amp;nopid=8699693731</v>
      </c>
    </row>
    <row r="928">
      <c r="A928" t="s">
        <v>3</v>
      </c>
      <c r="B928" s="6" t="s">
        <v>54</v>
      </c>
      <c r="C928" s="6" t="s">
        <v>120</v>
      </c>
      <c r="D928" s="6" t="s">
        <v>184</v>
      </c>
      <c r="E928" s="10" t="s">
        <v>1126</v>
      </c>
      <c r="F928" s="6" t="s">
        <v>3370</v>
      </c>
      <c r="G928" s="6" t="s">
        <v>104</v>
      </c>
      <c r="H928" s="6" t="s">
        <v>5732</v>
      </c>
      <c r="I928" s="6" t="s">
        <v>7511</v>
      </c>
      <c r="J928" s="6" t="s">
        <v>8833</v>
      </c>
      <c r="K928" s="6" t="s">
        <v>9714</v>
      </c>
      <c r="L928" s="16" t="n">
        <v>45496</v>
      </c>
      <c r="M928" s="16" t="n">
        <v>45748</v>
      </c>
      <c r="N928" s="6" t="s">
        <v>104</v>
      </c>
      <c r="O928" s="21" t="s">
        <v>104</v>
      </c>
      <c r="P928" s="6" t="s">
        <v>104</v>
      </c>
      <c r="Q928" s="6" t="s">
        <v>104</v>
      </c>
      <c r="R928" s="6" t="s">
        <v>104</v>
      </c>
      <c r="S928" s="6" t="s">
        <v>104</v>
      </c>
      <c r="T928" s="21" t="s">
        <v>104</v>
      </c>
      <c r="U928" s="6" t="s">
        <v>104</v>
      </c>
      <c r="V928" s="6" t="s">
        <v>104</v>
      </c>
      <c r="W928" s="6" t="s">
        <v>104</v>
      </c>
      <c r="X928" s="6" t="s">
        <v>104</v>
      </c>
      <c r="Y928" s="21" t="s">
        <v>104</v>
      </c>
      <c r="Z928" s="6" t="s">
        <v>104</v>
      </c>
      <c r="AA928" s="6" t="s">
        <v>104</v>
      </c>
      <c r="AB928" s="6" t="s">
        <v>104</v>
      </c>
      <c r="AC928" s="6" t="s">
        <v>9714</v>
      </c>
      <c r="AD928" s="16" t="n">
        <v>45496</v>
      </c>
      <c r="AE928" s="6" t="s">
        <v>11353</v>
      </c>
      <c r="AF928" s="6" t="s">
        <v>104</v>
      </c>
      <c r="AG928" s="6" t="s">
        <v>104</v>
      </c>
      <c r="AH928" s="6" t="s">
        <v>13998</v>
      </c>
      <c r="AI928" s="6" t="s">
        <v>104</v>
      </c>
      <c r="AJ928" s="6" t="s">
        <v>15967</v>
      </c>
      <c r="AK928" s="6" t="s">
        <v>16827</v>
      </c>
      <c r="AL928" s="6" t="s">
        <v>16931</v>
      </c>
      <c r="AM928" s="6" t="s">
        <v>17606</v>
      </c>
      <c r="AN928" s="6" t="s">
        <v>104</v>
      </c>
      <c r="AO928" s="6" t="s">
        <v>104</v>
      </c>
      <c r="AP928" s="6" t="s">
        <v>104</v>
      </c>
      <c r="AQ928" s="6" t="s">
        <v>104</v>
      </c>
      <c r="AR928" s="6" t="s">
        <v>104</v>
      </c>
      <c r="AS928" s="6" t="s">
        <v>104</v>
      </c>
      <c r="AT928" s="6" t="s">
        <v>104</v>
      </c>
      <c r="AU928" s="6" t="s">
        <v>104</v>
      </c>
      <c r="AV928" s="6" t="s">
        <v>104</v>
      </c>
      <c r="AW928" s="6" t="s">
        <v>104</v>
      </c>
      <c r="AX928" s="6" t="s">
        <v>20838</v>
      </c>
      <c r="AY928" s="6" t="s">
        <v>22621</v>
      </c>
      <c r="AZ928" s="6" t="s">
        <v>104</v>
      </c>
      <c r="BA928" s="6" t="s">
        <v>104</v>
      </c>
      <c r="BB928" s="6" t="s">
        <v>104</v>
      </c>
      <c r="BC928" s="26" t="s">
        <v>24533</v>
      </c>
      <c r="BD928" s="26"/>
      <c r="BE928" s="26"/>
      <c r="BF928" s="26"/>
      <c r="BG928" s="26" t="s">
        <v>24533</v>
      </c>
      <c r="BH928" s="26" t="s">
        <v>24533</v>
      </c>
      <c r="BI928" s="26"/>
      <c r="BJ928" s="26" t="s">
        <v>24533</v>
      </c>
      <c r="BK928" s="26"/>
      <c r="BL928" s="26"/>
      <c r="BM928" s="26"/>
      <c r="BN928" s="26"/>
      <c r="BO928" s="26"/>
      <c r="BP928" s="16" t="n">
        <v>45699</v>
      </c>
      <c r="BQ928" s="28" t="str">
        <f>HYPERLINK("https://organic.ams.usda.gov/Integrity/Certificate.aspx?cid=60&amp;nopid=2580006744")</f>
        <v>https://organic.ams.usda.gov/Integrity/Certificate.aspx?cid=60&amp;nopid=2580006744</v>
      </c>
    </row>
    <row r="929">
      <c r="A929" t="s">
        <v>3</v>
      </c>
      <c r="B929" s="6" t="s">
        <v>34</v>
      </c>
      <c r="C929" s="6" t="s">
        <v>100</v>
      </c>
      <c r="D929" s="6" t="s">
        <v>165</v>
      </c>
      <c r="E929" s="10" t="s">
        <v>1127</v>
      </c>
      <c r="F929" s="6" t="s">
        <v>3371</v>
      </c>
      <c r="G929" s="6" t="s">
        <v>104</v>
      </c>
      <c r="H929" s="6" t="s">
        <v>5733</v>
      </c>
      <c r="I929" s="6" t="s">
        <v>7512</v>
      </c>
      <c r="J929" s="6" t="s">
        <v>8834</v>
      </c>
      <c r="K929" s="6" t="s">
        <v>9714</v>
      </c>
      <c r="L929" s="16" t="n">
        <v>41227</v>
      </c>
      <c r="M929" s="16" t="n">
        <v>45868</v>
      </c>
      <c r="N929" s="6" t="s">
        <v>104</v>
      </c>
      <c r="O929" s="21" t="s">
        <v>104</v>
      </c>
      <c r="P929" s="6" t="s">
        <v>104</v>
      </c>
      <c r="Q929" s="6" t="s">
        <v>104</v>
      </c>
      <c r="R929" s="6" t="s">
        <v>104</v>
      </c>
      <c r="S929" s="6" t="s">
        <v>104</v>
      </c>
      <c r="T929" s="21" t="s">
        <v>104</v>
      </c>
      <c r="U929" s="6" t="s">
        <v>104</v>
      </c>
      <c r="V929" s="6" t="s">
        <v>104</v>
      </c>
      <c r="W929" s="6" t="s">
        <v>104</v>
      </c>
      <c r="X929" s="6" t="s">
        <v>104</v>
      </c>
      <c r="Y929" s="21" t="s">
        <v>104</v>
      </c>
      <c r="Z929" s="6" t="s">
        <v>104</v>
      </c>
      <c r="AA929" s="6" t="s">
        <v>104</v>
      </c>
      <c r="AB929" s="6" t="s">
        <v>104</v>
      </c>
      <c r="AC929" s="6" t="s">
        <v>9714</v>
      </c>
      <c r="AD929" s="16" t="n">
        <v>41227</v>
      </c>
      <c r="AE929" s="6" t="s">
        <v>11354</v>
      </c>
      <c r="AF929" s="6" t="s">
        <v>104</v>
      </c>
      <c r="AG929" s="6" t="s">
        <v>12786</v>
      </c>
      <c r="AH929" s="6" t="s">
        <v>13999</v>
      </c>
      <c r="AI929" s="6" t="s">
        <v>104</v>
      </c>
      <c r="AJ929" s="6" t="s">
        <v>15968</v>
      </c>
      <c r="AK929" s="6" t="s">
        <v>16710</v>
      </c>
      <c r="AL929" s="6" t="s">
        <v>16931</v>
      </c>
      <c r="AM929" s="6" t="s">
        <v>17607</v>
      </c>
      <c r="AN929" s="6" t="s">
        <v>18491</v>
      </c>
      <c r="AO929" s="6" t="s">
        <v>18763</v>
      </c>
      <c r="AP929" s="6" t="s">
        <v>13999</v>
      </c>
      <c r="AQ929" s="6" t="s">
        <v>104</v>
      </c>
      <c r="AR929" s="6" t="s">
        <v>15968</v>
      </c>
      <c r="AS929" s="6" t="s">
        <v>16710</v>
      </c>
      <c r="AT929" s="6" t="s">
        <v>16931</v>
      </c>
      <c r="AU929" s="6" t="s">
        <v>17607</v>
      </c>
      <c r="AV929" s="6" t="s">
        <v>104</v>
      </c>
      <c r="AW929" s="6" t="s">
        <v>104</v>
      </c>
      <c r="AX929" s="6" t="s">
        <v>20839</v>
      </c>
      <c r="AY929" s="6" t="s">
        <v>22622</v>
      </c>
      <c r="AZ929" s="6" t="s">
        <v>104</v>
      </c>
      <c r="BA929" s="6" t="s">
        <v>104</v>
      </c>
      <c r="BB929" s="6" t="s">
        <v>104</v>
      </c>
      <c r="BC929" s="26"/>
      <c r="BD929" s="26"/>
      <c r="BE929" s="26" t="s">
        <v>24533</v>
      </c>
      <c r="BF929" s="26"/>
      <c r="BG929" s="26"/>
      <c r="BH929" s="26"/>
      <c r="BI929" s="26"/>
      <c r="BJ929" s="26"/>
      <c r="BK929" s="26"/>
      <c r="BL929" s="26"/>
      <c r="BM929" s="26"/>
      <c r="BN929" s="26"/>
      <c r="BO929" s="26"/>
      <c r="BP929" s="16" t="n">
        <v>45737</v>
      </c>
      <c r="BQ929" s="28" t="str">
        <f>HYPERLINK("https://organic.ams.usda.gov/Integrity/Certificate.aspx?cid=71&amp;nopid=5520352536")</f>
        <v>https://organic.ams.usda.gov/Integrity/Certificate.aspx?cid=71&amp;nopid=5520352536</v>
      </c>
    </row>
    <row r="930">
      <c r="A930" t="s">
        <v>3</v>
      </c>
      <c r="B930" s="6" t="s">
        <v>34</v>
      </c>
      <c r="C930" s="6" t="s">
        <v>100</v>
      </c>
      <c r="D930" s="6" t="s">
        <v>165</v>
      </c>
      <c r="E930" s="10" t="s">
        <v>1128</v>
      </c>
      <c r="F930" s="6" t="s">
        <v>3372</v>
      </c>
      <c r="G930" s="6" t="s">
        <v>104</v>
      </c>
      <c r="H930" s="6" t="s">
        <v>5734</v>
      </c>
      <c r="I930" s="6" t="s">
        <v>7512</v>
      </c>
      <c r="J930" s="6" t="s">
        <v>8834</v>
      </c>
      <c r="K930" s="6" t="s">
        <v>9714</v>
      </c>
      <c r="L930" s="16" t="n">
        <v>44305</v>
      </c>
      <c r="M930" s="16" t="n">
        <v>45839</v>
      </c>
      <c r="N930" s="6" t="s">
        <v>104</v>
      </c>
      <c r="O930" s="21" t="s">
        <v>104</v>
      </c>
      <c r="P930" s="6" t="s">
        <v>104</v>
      </c>
      <c r="Q930" s="6" t="s">
        <v>104</v>
      </c>
      <c r="R930" s="6" t="s">
        <v>104</v>
      </c>
      <c r="S930" s="6" t="s">
        <v>104</v>
      </c>
      <c r="T930" s="21" t="s">
        <v>104</v>
      </c>
      <c r="U930" s="6" t="s">
        <v>104</v>
      </c>
      <c r="V930" s="6" t="s">
        <v>104</v>
      </c>
      <c r="W930" s="6" t="s">
        <v>104</v>
      </c>
      <c r="X930" s="6" t="s">
        <v>104</v>
      </c>
      <c r="Y930" s="21" t="s">
        <v>104</v>
      </c>
      <c r="Z930" s="6" t="s">
        <v>104</v>
      </c>
      <c r="AA930" s="6" t="s">
        <v>104</v>
      </c>
      <c r="AB930" s="6" t="s">
        <v>104</v>
      </c>
      <c r="AC930" s="6" t="s">
        <v>9714</v>
      </c>
      <c r="AD930" s="16" t="n">
        <v>44305</v>
      </c>
      <c r="AE930" s="6" t="s">
        <v>11355</v>
      </c>
      <c r="AF930" s="6" t="s">
        <v>104</v>
      </c>
      <c r="AG930" s="6" t="s">
        <v>12787</v>
      </c>
      <c r="AH930" s="6" t="s">
        <v>14000</v>
      </c>
      <c r="AI930" s="6" t="s">
        <v>104</v>
      </c>
      <c r="AJ930" s="6" t="s">
        <v>15969</v>
      </c>
      <c r="AK930" s="6" t="s">
        <v>16738</v>
      </c>
      <c r="AL930" s="6" t="s">
        <v>16931</v>
      </c>
      <c r="AM930" s="6" t="s">
        <v>17608</v>
      </c>
      <c r="AN930" s="6" t="s">
        <v>18507</v>
      </c>
      <c r="AO930" s="6" t="s">
        <v>18764</v>
      </c>
      <c r="AP930" s="6" t="s">
        <v>19189</v>
      </c>
      <c r="AQ930" s="6" t="s">
        <v>104</v>
      </c>
      <c r="AR930" s="6" t="s">
        <v>19683</v>
      </c>
      <c r="AS930" s="6" t="s">
        <v>16710</v>
      </c>
      <c r="AT930" s="6" t="s">
        <v>16931</v>
      </c>
      <c r="AU930" s="6" t="s">
        <v>19918</v>
      </c>
      <c r="AV930" s="6" t="s">
        <v>104</v>
      </c>
      <c r="AW930" s="6" t="s">
        <v>104</v>
      </c>
      <c r="AX930" s="6" t="s">
        <v>20840</v>
      </c>
      <c r="AY930" s="6" t="s">
        <v>22622</v>
      </c>
      <c r="AZ930" s="6" t="s">
        <v>104</v>
      </c>
      <c r="BA930" s="6" t="s">
        <v>104</v>
      </c>
      <c r="BB930" s="6" t="s">
        <v>104</v>
      </c>
      <c r="BC930" s="26"/>
      <c r="BD930" s="26"/>
      <c r="BE930" s="26"/>
      <c r="BF930" s="26"/>
      <c r="BG930" s="26"/>
      <c r="BH930" s="26"/>
      <c r="BI930" s="26"/>
      <c r="BJ930" s="26"/>
      <c r="BK930" s="26"/>
      <c r="BL930" s="26"/>
      <c r="BM930" s="26"/>
      <c r="BN930" s="26"/>
      <c r="BO930" s="26"/>
      <c r="BP930" s="16" t="n">
        <v>45737</v>
      </c>
      <c r="BQ930" s="28" t="str">
        <f>HYPERLINK("https://organic.ams.usda.gov/Integrity/Certificate.aspx?cid=71&amp;nopid=5520308316")</f>
        <v>https://organic.ams.usda.gov/Integrity/Certificate.aspx?cid=71&amp;nopid=5520308316</v>
      </c>
    </row>
    <row r="931">
      <c r="A931" t="s">
        <v>3</v>
      </c>
      <c r="B931" s="6" t="s">
        <v>34</v>
      </c>
      <c r="C931" s="6" t="s">
        <v>100</v>
      </c>
      <c r="D931" s="6" t="s">
        <v>165</v>
      </c>
      <c r="E931" s="10" t="s">
        <v>1129</v>
      </c>
      <c r="F931" s="6" t="s">
        <v>3373</v>
      </c>
      <c r="G931" s="6" t="s">
        <v>104</v>
      </c>
      <c r="H931" s="6" t="s">
        <v>5735</v>
      </c>
      <c r="I931" s="6" t="s">
        <v>7512</v>
      </c>
      <c r="J931" s="6" t="s">
        <v>8834</v>
      </c>
      <c r="K931" s="6" t="s">
        <v>9714</v>
      </c>
      <c r="L931" s="16" t="n">
        <v>44214</v>
      </c>
      <c r="M931" s="16" t="n">
        <v>45840</v>
      </c>
      <c r="N931" s="6" t="s">
        <v>104</v>
      </c>
      <c r="O931" s="21" t="s">
        <v>104</v>
      </c>
      <c r="P931" s="6" t="s">
        <v>104</v>
      </c>
      <c r="Q931" s="6" t="s">
        <v>104</v>
      </c>
      <c r="R931" s="6" t="s">
        <v>104</v>
      </c>
      <c r="S931" s="6" t="s">
        <v>104</v>
      </c>
      <c r="T931" s="21" t="s">
        <v>104</v>
      </c>
      <c r="U931" s="6" t="s">
        <v>104</v>
      </c>
      <c r="V931" s="6" t="s">
        <v>104</v>
      </c>
      <c r="W931" s="6" t="s">
        <v>104</v>
      </c>
      <c r="X931" s="6" t="s">
        <v>104</v>
      </c>
      <c r="Y931" s="21" t="s">
        <v>104</v>
      </c>
      <c r="Z931" s="6" t="s">
        <v>104</v>
      </c>
      <c r="AA931" s="6" t="s">
        <v>104</v>
      </c>
      <c r="AB931" s="6" t="s">
        <v>104</v>
      </c>
      <c r="AC931" s="6" t="s">
        <v>9714</v>
      </c>
      <c r="AD931" s="16" t="n">
        <v>44214</v>
      </c>
      <c r="AE931" s="6" t="s">
        <v>11356</v>
      </c>
      <c r="AF931" s="6" t="s">
        <v>104</v>
      </c>
      <c r="AG931" s="6" t="s">
        <v>12788</v>
      </c>
      <c r="AH931" s="6" t="s">
        <v>14001</v>
      </c>
      <c r="AI931" s="6" t="s">
        <v>104</v>
      </c>
      <c r="AJ931" s="6" t="s">
        <v>15970</v>
      </c>
      <c r="AK931" s="6" t="s">
        <v>16738</v>
      </c>
      <c r="AL931" s="6" t="s">
        <v>16931</v>
      </c>
      <c r="AM931" s="6" t="s">
        <v>17609</v>
      </c>
      <c r="AN931" s="6" t="s">
        <v>18507</v>
      </c>
      <c r="AO931" s="6" t="s">
        <v>18764</v>
      </c>
      <c r="AP931" s="6" t="s">
        <v>19189</v>
      </c>
      <c r="AQ931" s="6" t="s">
        <v>104</v>
      </c>
      <c r="AR931" s="6" t="s">
        <v>19683</v>
      </c>
      <c r="AS931" s="6" t="s">
        <v>16710</v>
      </c>
      <c r="AT931" s="6" t="s">
        <v>16931</v>
      </c>
      <c r="AU931" s="6" t="s">
        <v>19918</v>
      </c>
      <c r="AV931" s="6" t="s">
        <v>104</v>
      </c>
      <c r="AW931" s="6" t="s">
        <v>104</v>
      </c>
      <c r="AX931" s="6" t="s">
        <v>20840</v>
      </c>
      <c r="AY931" s="6" t="s">
        <v>22622</v>
      </c>
      <c r="AZ931" s="6" t="s">
        <v>104</v>
      </c>
      <c r="BA931" s="6" t="s">
        <v>104</v>
      </c>
      <c r="BB931" s="6" t="s">
        <v>104</v>
      </c>
      <c r="BC931" s="26"/>
      <c r="BD931" s="26"/>
      <c r="BE931" s="26" t="s">
        <v>24533</v>
      </c>
      <c r="BF931" s="26"/>
      <c r="BG931" s="26"/>
      <c r="BH931" s="26"/>
      <c r="BI931" s="26"/>
      <c r="BJ931" s="26"/>
      <c r="BK931" s="26"/>
      <c r="BL931" s="26"/>
      <c r="BM931" s="26"/>
      <c r="BN931" s="26"/>
      <c r="BO931" s="26"/>
      <c r="BP931" s="16" t="n">
        <v>45737</v>
      </c>
      <c r="BQ931" s="28" t="str">
        <f>HYPERLINK("https://organic.ams.usda.gov/Integrity/Certificate.aspx?cid=71&amp;nopid=5520129177")</f>
        <v>https://organic.ams.usda.gov/Integrity/Certificate.aspx?cid=71&amp;nopid=5520129177</v>
      </c>
    </row>
    <row r="932">
      <c r="A932" t="s">
        <v>3</v>
      </c>
      <c r="B932" s="6" t="s">
        <v>32</v>
      </c>
      <c r="C932" s="6" t="s">
        <v>98</v>
      </c>
      <c r="D932" s="6" t="s">
        <v>163</v>
      </c>
      <c r="E932" s="10" t="s">
        <v>1130</v>
      </c>
      <c r="F932" s="6" t="s">
        <v>3374</v>
      </c>
      <c r="G932" s="6" t="s">
        <v>104</v>
      </c>
      <c r="H932" s="6" t="s">
        <v>5736</v>
      </c>
      <c r="I932" s="6" t="s">
        <v>7041</v>
      </c>
      <c r="J932" s="6" t="s">
        <v>8835</v>
      </c>
      <c r="K932" s="6" t="s">
        <v>9714</v>
      </c>
      <c r="L932" s="16" t="n">
        <v>40413</v>
      </c>
      <c r="M932" s="16" t="n">
        <v>45717</v>
      </c>
      <c r="N932" s="6" t="s">
        <v>104</v>
      </c>
      <c r="O932" s="21" t="s">
        <v>104</v>
      </c>
      <c r="P932" s="6" t="s">
        <v>104</v>
      </c>
      <c r="Q932" s="6" t="s">
        <v>104</v>
      </c>
      <c r="R932" s="6" t="s">
        <v>104</v>
      </c>
      <c r="S932" s="6" t="s">
        <v>104</v>
      </c>
      <c r="T932" s="21" t="s">
        <v>104</v>
      </c>
      <c r="U932" s="6" t="s">
        <v>104</v>
      </c>
      <c r="V932" s="6" t="s">
        <v>104</v>
      </c>
      <c r="W932" s="6" t="s">
        <v>104</v>
      </c>
      <c r="X932" s="6" t="s">
        <v>104</v>
      </c>
      <c r="Y932" s="21" t="s">
        <v>104</v>
      </c>
      <c r="Z932" s="6" t="s">
        <v>104</v>
      </c>
      <c r="AA932" s="6" t="s">
        <v>104</v>
      </c>
      <c r="AB932" s="6" t="s">
        <v>104</v>
      </c>
      <c r="AC932" s="6" t="s">
        <v>9714</v>
      </c>
      <c r="AD932" s="16" t="n">
        <v>40413</v>
      </c>
      <c r="AE932" s="6" t="s">
        <v>11357</v>
      </c>
      <c r="AF932" s="6" t="s">
        <v>104</v>
      </c>
      <c r="AG932" s="6" t="s">
        <v>104</v>
      </c>
      <c r="AH932" s="6" t="s">
        <v>14002</v>
      </c>
      <c r="AI932" s="6" t="s">
        <v>104</v>
      </c>
      <c r="AJ932" s="6" t="s">
        <v>15971</v>
      </c>
      <c r="AK932" s="6" t="s">
        <v>16743</v>
      </c>
      <c r="AL932" s="6" t="s">
        <v>16931</v>
      </c>
      <c r="AM932" s="6" t="s">
        <v>17610</v>
      </c>
      <c r="AN932" s="6" t="s">
        <v>18457</v>
      </c>
      <c r="AO932" s="6" t="s">
        <v>18566</v>
      </c>
      <c r="AP932" s="6" t="s">
        <v>104</v>
      </c>
      <c r="AQ932" s="6" t="s">
        <v>104</v>
      </c>
      <c r="AR932" s="6" t="s">
        <v>104</v>
      </c>
      <c r="AS932" s="6" t="s">
        <v>104</v>
      </c>
      <c r="AT932" s="6" t="s">
        <v>104</v>
      </c>
      <c r="AU932" s="6" t="s">
        <v>104</v>
      </c>
      <c r="AV932" s="6" t="s">
        <v>104</v>
      </c>
      <c r="AW932" s="6" t="s">
        <v>104</v>
      </c>
      <c r="AX932" s="6" t="s">
        <v>20841</v>
      </c>
      <c r="AY932" s="6" t="s">
        <v>22623</v>
      </c>
      <c r="AZ932" s="6" t="s">
        <v>23928</v>
      </c>
      <c r="BA932" s="6" t="s">
        <v>104</v>
      </c>
      <c r="BB932" s="6" t="s">
        <v>104</v>
      </c>
      <c r="BC932" s="26"/>
      <c r="BD932" s="26"/>
      <c r="BE932" s="26"/>
      <c r="BF932" s="26"/>
      <c r="BG932" s="26"/>
      <c r="BH932" s="26"/>
      <c r="BI932" s="26"/>
      <c r="BJ932" s="26"/>
      <c r="BK932" s="26"/>
      <c r="BL932" s="26" t="s">
        <v>24533</v>
      </c>
      <c r="BM932" s="26"/>
      <c r="BN932" s="26"/>
      <c r="BO932" s="26"/>
      <c r="BP932" s="16" t="n">
        <v>45705</v>
      </c>
      <c r="BQ932" s="28" t="str">
        <f>HYPERLINK("https://organic.ams.usda.gov/Integrity/Certificate.aspx?cid=64&amp;nopid=8830000035")</f>
        <v>https://organic.ams.usda.gov/Integrity/Certificate.aspx?cid=64&amp;nopid=8830000035</v>
      </c>
    </row>
    <row r="933">
      <c r="A933" t="s">
        <v>3</v>
      </c>
      <c r="B933" s="6" t="s">
        <v>34</v>
      </c>
      <c r="C933" s="6" t="s">
        <v>100</v>
      </c>
      <c r="D933" s="6" t="s">
        <v>165</v>
      </c>
      <c r="E933" s="10" t="s">
        <v>1131</v>
      </c>
      <c r="F933" s="6" t="s">
        <v>3375</v>
      </c>
      <c r="G933" s="6" t="s">
        <v>104</v>
      </c>
      <c r="H933" s="6" t="s">
        <v>5737</v>
      </c>
      <c r="I933" s="6" t="s">
        <v>7513</v>
      </c>
      <c r="J933" s="6" t="s">
        <v>8836</v>
      </c>
      <c r="K933" s="6" t="s">
        <v>9714</v>
      </c>
      <c r="L933" s="16" t="n">
        <v>37375</v>
      </c>
      <c r="M933" s="16" t="n">
        <v>45814</v>
      </c>
      <c r="N933" s="6" t="s">
        <v>104</v>
      </c>
      <c r="O933" s="21" t="s">
        <v>104</v>
      </c>
      <c r="P933" s="6" t="s">
        <v>104</v>
      </c>
      <c r="Q933" s="6" t="s">
        <v>104</v>
      </c>
      <c r="R933" s="6" t="s">
        <v>104</v>
      </c>
      <c r="S933" s="6" t="s">
        <v>104</v>
      </c>
      <c r="T933" s="21" t="s">
        <v>104</v>
      </c>
      <c r="U933" s="6" t="s">
        <v>104</v>
      </c>
      <c r="V933" s="6" t="s">
        <v>104</v>
      </c>
      <c r="W933" s="6" t="s">
        <v>104</v>
      </c>
      <c r="X933" s="6" t="s">
        <v>104</v>
      </c>
      <c r="Y933" s="21" t="s">
        <v>104</v>
      </c>
      <c r="Z933" s="6" t="s">
        <v>104</v>
      </c>
      <c r="AA933" s="6" t="s">
        <v>104</v>
      </c>
      <c r="AB933" s="6" t="s">
        <v>104</v>
      </c>
      <c r="AC933" s="6" t="s">
        <v>9714</v>
      </c>
      <c r="AD933" s="16" t="n">
        <v>37375</v>
      </c>
      <c r="AE933" s="6" t="s">
        <v>11358</v>
      </c>
      <c r="AF933" s="6" t="s">
        <v>104</v>
      </c>
      <c r="AG933" s="6" t="s">
        <v>12789</v>
      </c>
      <c r="AH933" s="6" t="s">
        <v>14003</v>
      </c>
      <c r="AI933" s="6" t="s">
        <v>104</v>
      </c>
      <c r="AJ933" s="6" t="s">
        <v>15972</v>
      </c>
      <c r="AK933" s="6" t="s">
        <v>16704</v>
      </c>
      <c r="AL933" s="6" t="s">
        <v>16931</v>
      </c>
      <c r="AM933" s="6" t="s">
        <v>17611</v>
      </c>
      <c r="AN933" s="6" t="s">
        <v>18535</v>
      </c>
      <c r="AO933" s="6" t="s">
        <v>18765</v>
      </c>
      <c r="AP933" s="6" t="s">
        <v>14003</v>
      </c>
      <c r="AQ933" s="6" t="s">
        <v>104</v>
      </c>
      <c r="AR933" s="6" t="s">
        <v>15972</v>
      </c>
      <c r="AS933" s="6" t="s">
        <v>16704</v>
      </c>
      <c r="AT933" s="6" t="s">
        <v>16931</v>
      </c>
      <c r="AU933" s="6" t="s">
        <v>17611</v>
      </c>
      <c r="AV933" s="6" t="s">
        <v>104</v>
      </c>
      <c r="AW933" s="6" t="s">
        <v>104</v>
      </c>
      <c r="AX933" s="6" t="s">
        <v>20842</v>
      </c>
      <c r="AY933" s="6" t="s">
        <v>104</v>
      </c>
      <c r="AZ933" s="6" t="s">
        <v>104</v>
      </c>
      <c r="BA933" s="6" t="s">
        <v>104</v>
      </c>
      <c r="BB933" s="6" t="s">
        <v>104</v>
      </c>
      <c r="BC933" s="26"/>
      <c r="BD933" s="26"/>
      <c r="BE933" s="26"/>
      <c r="BF933" s="26"/>
      <c r="BG933" s="26"/>
      <c r="BH933" s="26"/>
      <c r="BI933" s="26"/>
      <c r="BJ933" s="26"/>
      <c r="BK933" s="26"/>
      <c r="BL933" s="26"/>
      <c r="BM933" s="26"/>
      <c r="BN933" s="26"/>
      <c r="BO933" s="26"/>
      <c r="BP933" s="16" t="n">
        <v>45739</v>
      </c>
      <c r="BQ933" s="28" t="str">
        <f>HYPERLINK("https://organic.ams.usda.gov/Integrity/Certificate.aspx?cid=71&amp;nopid=5520029554")</f>
        <v>https://organic.ams.usda.gov/Integrity/Certificate.aspx?cid=71&amp;nopid=5520029554</v>
      </c>
    </row>
    <row r="934">
      <c r="A934" t="s">
        <v>3</v>
      </c>
      <c r="B934" s="6" t="s">
        <v>23</v>
      </c>
      <c r="C934" s="6" t="s">
        <v>89</v>
      </c>
      <c r="D934" s="6" t="s">
        <v>154</v>
      </c>
      <c r="E934" s="10" t="s">
        <v>1132</v>
      </c>
      <c r="F934" s="6" t="s">
        <v>3376</v>
      </c>
      <c r="G934" s="6" t="s">
        <v>4763</v>
      </c>
      <c r="H934" s="6" t="s">
        <v>5738</v>
      </c>
      <c r="I934" s="6" t="s">
        <v>7514</v>
      </c>
      <c r="J934" s="6" t="s">
        <v>8837</v>
      </c>
      <c r="K934" s="6" t="s">
        <v>9714</v>
      </c>
      <c r="L934" s="16" t="n">
        <v>44071</v>
      </c>
      <c r="M934" s="16" t="n">
        <v>45383</v>
      </c>
      <c r="N934" s="6" t="s">
        <v>104</v>
      </c>
      <c r="O934" s="21" t="s">
        <v>104</v>
      </c>
      <c r="P934" s="6" t="s">
        <v>104</v>
      </c>
      <c r="Q934" s="6" t="s">
        <v>104</v>
      </c>
      <c r="R934" s="6" t="s">
        <v>104</v>
      </c>
      <c r="S934" s="6" t="s">
        <v>104</v>
      </c>
      <c r="T934" s="21" t="s">
        <v>104</v>
      </c>
      <c r="U934" s="6" t="s">
        <v>104</v>
      </c>
      <c r="V934" s="6" t="s">
        <v>104</v>
      </c>
      <c r="W934" s="6" t="s">
        <v>104</v>
      </c>
      <c r="X934" s="6" t="s">
        <v>104</v>
      </c>
      <c r="Y934" s="21" t="s">
        <v>104</v>
      </c>
      <c r="Z934" s="6" t="s">
        <v>104</v>
      </c>
      <c r="AA934" s="6" t="s">
        <v>104</v>
      </c>
      <c r="AB934" s="6" t="s">
        <v>104</v>
      </c>
      <c r="AC934" s="6" t="s">
        <v>9714</v>
      </c>
      <c r="AD934" s="16" t="n">
        <v>44071</v>
      </c>
      <c r="AE934" s="6" t="s">
        <v>11359</v>
      </c>
      <c r="AF934" s="6" t="s">
        <v>104</v>
      </c>
      <c r="AG934" s="6" t="s">
        <v>5738</v>
      </c>
      <c r="AH934" s="6" t="s">
        <v>14004</v>
      </c>
      <c r="AI934" s="6" t="s">
        <v>104</v>
      </c>
      <c r="AJ934" s="6" t="s">
        <v>15973</v>
      </c>
      <c r="AK934" s="6" t="s">
        <v>16738</v>
      </c>
      <c r="AL934" s="6" t="s">
        <v>16931</v>
      </c>
      <c r="AM934" s="6" t="s">
        <v>17612</v>
      </c>
      <c r="AN934" s="6" t="s">
        <v>18536</v>
      </c>
      <c r="AO934" s="6" t="s">
        <v>18766</v>
      </c>
      <c r="AP934" s="6" t="s">
        <v>19190</v>
      </c>
      <c r="AQ934" s="6" t="s">
        <v>104</v>
      </c>
      <c r="AR934" s="6" t="s">
        <v>15973</v>
      </c>
      <c r="AS934" s="6" t="s">
        <v>16738</v>
      </c>
      <c r="AT934" s="6" t="s">
        <v>16931</v>
      </c>
      <c r="AU934" s="6" t="s">
        <v>19919</v>
      </c>
      <c r="AV934" s="6" t="s">
        <v>104</v>
      </c>
      <c r="AW934" s="6" t="s">
        <v>104</v>
      </c>
      <c r="AX934" s="6" t="s">
        <v>20843</v>
      </c>
      <c r="AY934" s="6" t="s">
        <v>22624</v>
      </c>
      <c r="AZ934" s="6" t="s">
        <v>23929</v>
      </c>
      <c r="BA934" s="6" t="s">
        <v>104</v>
      </c>
      <c r="BB934" s="24" t="n">
        <v>0</v>
      </c>
      <c r="BC934" s="26"/>
      <c r="BD934" s="26"/>
      <c r="BE934" s="26"/>
      <c r="BF934" s="26"/>
      <c r="BG934" s="26"/>
      <c r="BH934" s="26"/>
      <c r="BI934" s="26"/>
      <c r="BJ934" s="26"/>
      <c r="BK934" s="26"/>
      <c r="BL934" s="26" t="s">
        <v>24533</v>
      </c>
      <c r="BM934" s="26"/>
      <c r="BN934" s="26"/>
      <c r="BO934" s="26"/>
      <c r="BP934" s="16" t="n">
        <v>45408</v>
      </c>
      <c r="BQ934" s="28" t="str">
        <f>HYPERLINK("https://organic.ams.usda.gov/Integrity/Certificate.aspx?cid=45&amp;nopid=9950012191")</f>
        <v>https://organic.ams.usda.gov/Integrity/Certificate.aspx?cid=45&amp;nopid=9950012191</v>
      </c>
    </row>
    <row r="935">
      <c r="A935" t="s">
        <v>3</v>
      </c>
      <c r="B935" s="6" t="s">
        <v>45</v>
      </c>
      <c r="C935" s="6" t="s">
        <v>111</v>
      </c>
      <c r="D935" s="6" t="s">
        <v>175</v>
      </c>
      <c r="E935" s="10" t="s">
        <v>1133</v>
      </c>
      <c r="F935" s="6" t="s">
        <v>3377</v>
      </c>
      <c r="G935" s="6" t="s">
        <v>104</v>
      </c>
      <c r="H935" s="6" t="s">
        <v>5739</v>
      </c>
      <c r="I935" s="6" t="s">
        <v>7515</v>
      </c>
      <c r="J935" s="6" t="s">
        <v>8838</v>
      </c>
      <c r="K935" s="6" t="s">
        <v>9714</v>
      </c>
      <c r="L935" s="16" t="n">
        <v>37845</v>
      </c>
      <c r="M935" s="16" t="n">
        <v>46082</v>
      </c>
      <c r="N935" s="6" t="s">
        <v>9714</v>
      </c>
      <c r="O935" s="16" t="n">
        <v>37845</v>
      </c>
      <c r="P935" s="6" t="s">
        <v>9969</v>
      </c>
      <c r="Q935" s="6" t="s">
        <v>104</v>
      </c>
      <c r="R935" s="6" t="s">
        <v>4667</v>
      </c>
      <c r="S935" s="6" t="s">
        <v>104</v>
      </c>
      <c r="T935" s="21" t="s">
        <v>104</v>
      </c>
      <c r="U935" s="6" t="s">
        <v>104</v>
      </c>
      <c r="V935" s="6" t="s">
        <v>104</v>
      </c>
      <c r="W935" s="6" t="s">
        <v>104</v>
      </c>
      <c r="X935" s="6" t="s">
        <v>104</v>
      </c>
      <c r="Y935" s="21" t="s">
        <v>104</v>
      </c>
      <c r="Z935" s="6" t="s">
        <v>104</v>
      </c>
      <c r="AA935" s="6" t="s">
        <v>104</v>
      </c>
      <c r="AB935" s="6" t="s">
        <v>104</v>
      </c>
      <c r="AC935" s="6" t="s">
        <v>104</v>
      </c>
      <c r="AD935" s="21" t="s">
        <v>104</v>
      </c>
      <c r="AE935" s="6" t="s">
        <v>104</v>
      </c>
      <c r="AF935" s="6" t="s">
        <v>104</v>
      </c>
      <c r="AG935" s="6" t="s">
        <v>104</v>
      </c>
      <c r="AH935" s="6" t="s">
        <v>14005</v>
      </c>
      <c r="AI935" s="6" t="s">
        <v>104</v>
      </c>
      <c r="AJ935" s="6" t="s">
        <v>15974</v>
      </c>
      <c r="AK935" s="6" t="s">
        <v>16382</v>
      </c>
      <c r="AL935" s="6" t="s">
        <v>16931</v>
      </c>
      <c r="AM935" s="6" t="s">
        <v>17613</v>
      </c>
      <c r="AN935" s="6" t="s">
        <v>104</v>
      </c>
      <c r="AO935" s="6" t="s">
        <v>104</v>
      </c>
      <c r="AP935" s="6" t="s">
        <v>14005</v>
      </c>
      <c r="AQ935" s="6" t="s">
        <v>104</v>
      </c>
      <c r="AR935" s="6" t="s">
        <v>15974</v>
      </c>
      <c r="AS935" s="6" t="s">
        <v>16382</v>
      </c>
      <c r="AT935" s="6" t="s">
        <v>16931</v>
      </c>
      <c r="AU935" s="6" t="s">
        <v>17613</v>
      </c>
      <c r="AV935" s="6" t="s">
        <v>18538</v>
      </c>
      <c r="AW935" s="6" t="s">
        <v>18890</v>
      </c>
      <c r="AX935" s="6" t="s">
        <v>20844</v>
      </c>
      <c r="AY935" s="6" t="s">
        <v>22625</v>
      </c>
      <c r="AZ935" s="6" t="s">
        <v>104</v>
      </c>
      <c r="BA935" s="6" t="s">
        <v>104</v>
      </c>
      <c r="BB935" s="24" t="n">
        <v>47</v>
      </c>
      <c r="BC935" s="26"/>
      <c r="BD935" s="26"/>
      <c r="BE935" s="26"/>
      <c r="BF935" s="26"/>
      <c r="BG935" s="26"/>
      <c r="BH935" s="26"/>
      <c r="BI935" s="26"/>
      <c r="BJ935" s="26"/>
      <c r="BK935" s="26"/>
      <c r="BL935" s="26"/>
      <c r="BM935" s="26"/>
      <c r="BN935" s="26"/>
      <c r="BO935" s="26"/>
      <c r="BP935" s="16" t="n">
        <v>45739</v>
      </c>
      <c r="BQ935" s="28" t="str">
        <f>HYPERLINK("https://organic.ams.usda.gov/Integrity/Certificate.aspx?cid=82&amp;nopid=2780001353")</f>
        <v>https://organic.ams.usda.gov/Integrity/Certificate.aspx?cid=82&amp;nopid=2780001353</v>
      </c>
    </row>
    <row r="936">
      <c r="A936" t="s">
        <v>3</v>
      </c>
      <c r="B936" s="6" t="s">
        <v>29</v>
      </c>
      <c r="C936" s="6" t="s">
        <v>95</v>
      </c>
      <c r="D936" s="6" t="s">
        <v>160</v>
      </c>
      <c r="E936" s="10" t="s">
        <v>1134</v>
      </c>
      <c r="F936" s="6" t="s">
        <v>3378</v>
      </c>
      <c r="G936" s="6" t="s">
        <v>104</v>
      </c>
      <c r="H936" s="6" t="s">
        <v>5740</v>
      </c>
      <c r="I936" s="6" t="s">
        <v>104</v>
      </c>
      <c r="J936" s="6" t="s">
        <v>8839</v>
      </c>
      <c r="K936" s="6" t="s">
        <v>9714</v>
      </c>
      <c r="L936" s="16" t="n">
        <v>45315</v>
      </c>
      <c r="M936" s="16" t="n">
        <v>45778</v>
      </c>
      <c r="N936" s="6" t="s">
        <v>9714</v>
      </c>
      <c r="O936" s="16" t="n">
        <v>45315</v>
      </c>
      <c r="P936" s="6" t="s">
        <v>9970</v>
      </c>
      <c r="Q936" s="6" t="s">
        <v>104</v>
      </c>
      <c r="R936" s="6" t="s">
        <v>104</v>
      </c>
      <c r="S936" s="6" t="s">
        <v>104</v>
      </c>
      <c r="T936" s="21" t="s">
        <v>104</v>
      </c>
      <c r="U936" s="6" t="s">
        <v>104</v>
      </c>
      <c r="V936" s="6" t="s">
        <v>104</v>
      </c>
      <c r="W936" s="6" t="s">
        <v>104</v>
      </c>
      <c r="X936" s="6" t="s">
        <v>104</v>
      </c>
      <c r="Y936" s="21" t="s">
        <v>104</v>
      </c>
      <c r="Z936" s="6" t="s">
        <v>104</v>
      </c>
      <c r="AA936" s="6" t="s">
        <v>104</v>
      </c>
      <c r="AB936" s="6" t="s">
        <v>104</v>
      </c>
      <c r="AC936" s="6" t="s">
        <v>104</v>
      </c>
      <c r="AD936" s="21" t="s">
        <v>104</v>
      </c>
      <c r="AE936" s="6" t="s">
        <v>104</v>
      </c>
      <c r="AF936" s="6" t="s">
        <v>104</v>
      </c>
      <c r="AG936" s="6" t="s">
        <v>104</v>
      </c>
      <c r="AH936" s="6" t="s">
        <v>14006</v>
      </c>
      <c r="AI936" s="6" t="s">
        <v>104</v>
      </c>
      <c r="AJ936" s="6" t="s">
        <v>15975</v>
      </c>
      <c r="AK936" s="6" t="s">
        <v>16828</v>
      </c>
      <c r="AL936" s="6" t="s">
        <v>16766</v>
      </c>
      <c r="AM936" s="6" t="s">
        <v>17614</v>
      </c>
      <c r="AN936" s="6" t="s">
        <v>104</v>
      </c>
      <c r="AO936" s="6" t="s">
        <v>104</v>
      </c>
      <c r="AP936" s="6" t="s">
        <v>104</v>
      </c>
      <c r="AQ936" s="6" t="s">
        <v>104</v>
      </c>
      <c r="AR936" s="6" t="s">
        <v>104</v>
      </c>
      <c r="AS936" s="6" t="s">
        <v>104</v>
      </c>
      <c r="AT936" s="6" t="s">
        <v>104</v>
      </c>
      <c r="AU936" s="6" t="s">
        <v>104</v>
      </c>
      <c r="AV936" s="6" t="s">
        <v>104</v>
      </c>
      <c r="AW936" s="6" t="s">
        <v>104</v>
      </c>
      <c r="AX936" s="6" t="s">
        <v>20845</v>
      </c>
      <c r="AY936" s="6" t="s">
        <v>22045</v>
      </c>
      <c r="AZ936" s="6" t="s">
        <v>104</v>
      </c>
      <c r="BA936" s="6" t="s">
        <v>24269</v>
      </c>
      <c r="BB936" s="24" t="n">
        <v>0</v>
      </c>
      <c r="BC936" s="26"/>
      <c r="BD936" s="26"/>
      <c r="BE936" s="26"/>
      <c r="BF936" s="26"/>
      <c r="BG936" s="26"/>
      <c r="BH936" s="26"/>
      <c r="BI936" s="26"/>
      <c r="BJ936" s="26"/>
      <c r="BK936" s="26"/>
      <c r="BL936" s="26"/>
      <c r="BM936" s="26"/>
      <c r="BN936" s="26"/>
      <c r="BO936" s="26"/>
      <c r="BP936" s="16" t="n">
        <v>45680</v>
      </c>
      <c r="BQ936" s="28" t="str">
        <f>HYPERLINK("https://organic.ams.usda.gov/Integrity/Certificate.aspx?cid=24&amp;nopid=7880278993")</f>
        <v>https://organic.ams.usda.gov/Integrity/Certificate.aspx?cid=24&amp;nopid=7880278993</v>
      </c>
    </row>
    <row r="937">
      <c r="A937" t="s">
        <v>3</v>
      </c>
      <c r="B937" s="6" t="s">
        <v>20</v>
      </c>
      <c r="C937" s="6" t="s">
        <v>86</v>
      </c>
      <c r="D937" s="6" t="s">
        <v>151</v>
      </c>
      <c r="E937" s="10" t="s">
        <v>1135</v>
      </c>
      <c r="F937" s="6" t="s">
        <v>3379</v>
      </c>
      <c r="G937" s="6" t="s">
        <v>104</v>
      </c>
      <c r="H937" s="6" t="s">
        <v>5741</v>
      </c>
      <c r="I937" s="6" t="s">
        <v>7275</v>
      </c>
      <c r="J937" s="6" t="s">
        <v>7202</v>
      </c>
      <c r="K937" s="6" t="s">
        <v>9714</v>
      </c>
      <c r="L937" s="16" t="n">
        <v>45488</v>
      </c>
      <c r="M937" s="16" t="n">
        <v>45838</v>
      </c>
      <c r="N937" s="6" t="s">
        <v>104</v>
      </c>
      <c r="O937" s="21" t="s">
        <v>104</v>
      </c>
      <c r="P937" s="6" t="s">
        <v>104</v>
      </c>
      <c r="Q937" s="6" t="s">
        <v>104</v>
      </c>
      <c r="R937" s="6" t="s">
        <v>104</v>
      </c>
      <c r="S937" s="6" t="s">
        <v>104</v>
      </c>
      <c r="T937" s="21" t="s">
        <v>104</v>
      </c>
      <c r="U937" s="6" t="s">
        <v>104</v>
      </c>
      <c r="V937" s="6" t="s">
        <v>104</v>
      </c>
      <c r="W937" s="6" t="s">
        <v>104</v>
      </c>
      <c r="X937" s="6" t="s">
        <v>104</v>
      </c>
      <c r="Y937" s="21" t="s">
        <v>104</v>
      </c>
      <c r="Z937" s="6" t="s">
        <v>104</v>
      </c>
      <c r="AA937" s="6" t="s">
        <v>104</v>
      </c>
      <c r="AB937" s="6" t="s">
        <v>104</v>
      </c>
      <c r="AC937" s="6" t="s">
        <v>9714</v>
      </c>
      <c r="AD937" s="16" t="n">
        <v>45488</v>
      </c>
      <c r="AE937" s="6" t="s">
        <v>11360</v>
      </c>
      <c r="AF937" s="6" t="s">
        <v>104</v>
      </c>
      <c r="AG937" s="6" t="s">
        <v>12790</v>
      </c>
      <c r="AH937" s="6" t="s">
        <v>14007</v>
      </c>
      <c r="AI937" s="6" t="s">
        <v>104</v>
      </c>
      <c r="AJ937" s="6" t="s">
        <v>15976</v>
      </c>
      <c r="AK937" s="6" t="s">
        <v>16767</v>
      </c>
      <c r="AL937" s="6" t="s">
        <v>16766</v>
      </c>
      <c r="AM937" s="6" t="s">
        <v>17615</v>
      </c>
      <c r="AN937" s="6" t="s">
        <v>104</v>
      </c>
      <c r="AO937" s="6" t="s">
        <v>104</v>
      </c>
      <c r="AP937" s="6" t="s">
        <v>104</v>
      </c>
      <c r="AQ937" s="6" t="s">
        <v>104</v>
      </c>
      <c r="AR937" s="6" t="s">
        <v>104</v>
      </c>
      <c r="AS937" s="6" t="s">
        <v>104</v>
      </c>
      <c r="AT937" s="6" t="s">
        <v>104</v>
      </c>
      <c r="AU937" s="6" t="s">
        <v>104</v>
      </c>
      <c r="AV937" s="6" t="s">
        <v>104</v>
      </c>
      <c r="AW937" s="6" t="s">
        <v>104</v>
      </c>
      <c r="AX937" s="6" t="s">
        <v>20846</v>
      </c>
      <c r="AY937" s="6" t="s">
        <v>22626</v>
      </c>
      <c r="AZ937" s="6" t="s">
        <v>104</v>
      </c>
      <c r="BA937" s="6" t="s">
        <v>104</v>
      </c>
      <c r="BB937" s="6" t="s">
        <v>104</v>
      </c>
      <c r="BC937" s="26"/>
      <c r="BD937" s="26"/>
      <c r="BE937" s="26"/>
      <c r="BF937" s="26"/>
      <c r="BG937" s="26"/>
      <c r="BH937" s="26"/>
      <c r="BI937" s="26"/>
      <c r="BJ937" s="26"/>
      <c r="BK937" s="26"/>
      <c r="BL937" s="26"/>
      <c r="BM937" s="26"/>
      <c r="BN937" s="26"/>
      <c r="BO937" s="26"/>
      <c r="BP937" s="16" t="n">
        <v>45490</v>
      </c>
      <c r="BQ937" s="28" t="str">
        <f>HYPERLINK("https://organic.ams.usda.gov/Integrity/Certificate.aspx?cid=17&amp;nopid=4080208021")</f>
        <v>https://organic.ams.usda.gov/Integrity/Certificate.aspx?cid=17&amp;nopid=4080208021</v>
      </c>
    </row>
    <row r="938">
      <c r="A938" t="s">
        <v>3</v>
      </c>
      <c r="B938" s="6" t="s">
        <v>6</v>
      </c>
      <c r="C938" s="6" t="s">
        <v>72</v>
      </c>
      <c r="D938" s="6" t="s">
        <v>137</v>
      </c>
      <c r="E938" s="10" t="s">
        <v>1136</v>
      </c>
      <c r="F938" s="6" t="s">
        <v>3380</v>
      </c>
      <c r="G938" s="6" t="s">
        <v>104</v>
      </c>
      <c r="H938" s="6" t="s">
        <v>5742</v>
      </c>
      <c r="I938" s="6" t="s">
        <v>7202</v>
      </c>
      <c r="J938" s="6" t="s">
        <v>8840</v>
      </c>
      <c r="K938" s="6" t="s">
        <v>9714</v>
      </c>
      <c r="L938" s="16" t="n">
        <v>44083</v>
      </c>
      <c r="M938" s="16" t="n">
        <v>45901</v>
      </c>
      <c r="N938" s="6" t="s">
        <v>104</v>
      </c>
      <c r="O938" s="21" t="s">
        <v>104</v>
      </c>
      <c r="P938" s="6" t="s">
        <v>104</v>
      </c>
      <c r="Q938" s="6" t="s">
        <v>104</v>
      </c>
      <c r="R938" s="6" t="s">
        <v>104</v>
      </c>
      <c r="S938" s="6" t="s">
        <v>104</v>
      </c>
      <c r="T938" s="21" t="s">
        <v>104</v>
      </c>
      <c r="U938" s="6" t="s">
        <v>104</v>
      </c>
      <c r="V938" s="6" t="s">
        <v>104</v>
      </c>
      <c r="W938" s="6" t="s">
        <v>104</v>
      </c>
      <c r="X938" s="6" t="s">
        <v>104</v>
      </c>
      <c r="Y938" s="21" t="s">
        <v>104</v>
      </c>
      <c r="Z938" s="6" t="s">
        <v>104</v>
      </c>
      <c r="AA938" s="6" t="s">
        <v>104</v>
      </c>
      <c r="AB938" s="6" t="s">
        <v>104</v>
      </c>
      <c r="AC938" s="6" t="s">
        <v>9714</v>
      </c>
      <c r="AD938" s="16" t="n">
        <v>44083</v>
      </c>
      <c r="AE938" s="6" t="s">
        <v>11361</v>
      </c>
      <c r="AF938" s="6" t="s">
        <v>104</v>
      </c>
      <c r="AG938" s="6" t="s">
        <v>12791</v>
      </c>
      <c r="AH938" s="6" t="s">
        <v>14008</v>
      </c>
      <c r="AI938" s="6" t="s">
        <v>104</v>
      </c>
      <c r="AJ938" s="6" t="s">
        <v>15640</v>
      </c>
      <c r="AK938" s="6" t="s">
        <v>16741</v>
      </c>
      <c r="AL938" s="6" t="s">
        <v>16766</v>
      </c>
      <c r="AM938" s="6" t="s">
        <v>104</v>
      </c>
      <c r="AN938" s="6" t="s">
        <v>104</v>
      </c>
      <c r="AO938" s="6" t="s">
        <v>104</v>
      </c>
      <c r="AP938" s="6" t="s">
        <v>104</v>
      </c>
      <c r="AQ938" s="6" t="s">
        <v>104</v>
      </c>
      <c r="AR938" s="6" t="s">
        <v>104</v>
      </c>
      <c r="AS938" s="6" t="s">
        <v>104</v>
      </c>
      <c r="AT938" s="6" t="s">
        <v>104</v>
      </c>
      <c r="AU938" s="6" t="s">
        <v>104</v>
      </c>
      <c r="AV938" s="6" t="s">
        <v>104</v>
      </c>
      <c r="AW938" s="6" t="s">
        <v>104</v>
      </c>
      <c r="AX938" s="6" t="s">
        <v>20847</v>
      </c>
      <c r="AY938" s="6" t="s">
        <v>22626</v>
      </c>
      <c r="AZ938" s="6" t="s">
        <v>104</v>
      </c>
      <c r="BA938" s="6" t="s">
        <v>24258</v>
      </c>
      <c r="BB938" s="6" t="s">
        <v>104</v>
      </c>
      <c r="BC938" s="26"/>
      <c r="BD938" s="26"/>
      <c r="BE938" s="26"/>
      <c r="BF938" s="26"/>
      <c r="BG938" s="26"/>
      <c r="BH938" s="26"/>
      <c r="BI938" s="26"/>
      <c r="BJ938" s="26"/>
      <c r="BK938" s="26"/>
      <c r="BL938" s="26"/>
      <c r="BM938" s="26"/>
      <c r="BN938" s="26"/>
      <c r="BO938" s="26"/>
      <c r="BP938" s="16" t="n">
        <v>45737</v>
      </c>
      <c r="BQ938" s="28" t="str">
        <f>HYPERLINK("https://organic.ams.usda.gov/Integrity/Certificate.aspx?cid=32&amp;nopid=2230006833")</f>
        <v>https://organic.ams.usda.gov/Integrity/Certificate.aspx?cid=32&amp;nopid=2230006833</v>
      </c>
    </row>
    <row r="939">
      <c r="A939" t="s">
        <v>3</v>
      </c>
      <c r="B939" s="6" t="s">
        <v>48</v>
      </c>
      <c r="C939" s="6" t="s">
        <v>114</v>
      </c>
      <c r="D939" s="6" t="s">
        <v>178</v>
      </c>
      <c r="E939" s="10" t="s">
        <v>1137</v>
      </c>
      <c r="F939" s="6" t="s">
        <v>3381</v>
      </c>
      <c r="G939" s="6" t="s">
        <v>104</v>
      </c>
      <c r="H939" s="6" t="s">
        <v>5743</v>
      </c>
      <c r="I939" s="6" t="s">
        <v>7516</v>
      </c>
      <c r="J939" s="6" t="s">
        <v>8841</v>
      </c>
      <c r="K939" s="6" t="s">
        <v>9714</v>
      </c>
      <c r="L939" s="16" t="n">
        <v>42039</v>
      </c>
      <c r="M939" s="16" t="n">
        <v>46112</v>
      </c>
      <c r="N939" s="6" t="s">
        <v>9714</v>
      </c>
      <c r="O939" s="16" t="n">
        <v>42039</v>
      </c>
      <c r="P939" s="6" t="s">
        <v>9971</v>
      </c>
      <c r="Q939" s="6" t="s">
        <v>104</v>
      </c>
      <c r="R939" s="6" t="s">
        <v>104</v>
      </c>
      <c r="S939" s="6" t="s">
        <v>104</v>
      </c>
      <c r="T939" s="21" t="s">
        <v>104</v>
      </c>
      <c r="U939" s="6" t="s">
        <v>104</v>
      </c>
      <c r="V939" s="6" t="s">
        <v>104</v>
      </c>
      <c r="W939" s="6" t="s">
        <v>104</v>
      </c>
      <c r="X939" s="6" t="s">
        <v>104</v>
      </c>
      <c r="Y939" s="21" t="s">
        <v>104</v>
      </c>
      <c r="Z939" s="6" t="s">
        <v>104</v>
      </c>
      <c r="AA939" s="6" t="s">
        <v>104</v>
      </c>
      <c r="AB939" s="6" t="s">
        <v>104</v>
      </c>
      <c r="AC939" s="6" t="s">
        <v>104</v>
      </c>
      <c r="AD939" s="21" t="s">
        <v>104</v>
      </c>
      <c r="AE939" s="6" t="s">
        <v>104</v>
      </c>
      <c r="AF939" s="6" t="s">
        <v>104</v>
      </c>
      <c r="AG939" s="6" t="s">
        <v>104</v>
      </c>
      <c r="AH939" s="6" t="s">
        <v>14009</v>
      </c>
      <c r="AI939" s="6" t="s">
        <v>104</v>
      </c>
      <c r="AJ939" s="6" t="s">
        <v>15977</v>
      </c>
      <c r="AK939" s="6" t="s">
        <v>104</v>
      </c>
      <c r="AL939" s="6" t="s">
        <v>16766</v>
      </c>
      <c r="AM939" s="6" t="s">
        <v>17616</v>
      </c>
      <c r="AN939" s="6" t="s">
        <v>104</v>
      </c>
      <c r="AO939" s="6" t="s">
        <v>104</v>
      </c>
      <c r="AP939" s="6" t="s">
        <v>14009</v>
      </c>
      <c r="AQ939" s="6" t="s">
        <v>104</v>
      </c>
      <c r="AR939" s="6" t="s">
        <v>15977</v>
      </c>
      <c r="AS939" s="6" t="s">
        <v>104</v>
      </c>
      <c r="AT939" s="6" t="s">
        <v>16766</v>
      </c>
      <c r="AU939" s="6" t="s">
        <v>17616</v>
      </c>
      <c r="AV939" s="6" t="s">
        <v>104</v>
      </c>
      <c r="AW939" s="6" t="s">
        <v>104</v>
      </c>
      <c r="AX939" s="6" t="s">
        <v>20848</v>
      </c>
      <c r="AY939" s="6" t="s">
        <v>104</v>
      </c>
      <c r="AZ939" s="6" t="s">
        <v>104</v>
      </c>
      <c r="BA939" s="6" t="s">
        <v>104</v>
      </c>
      <c r="BB939" s="24" t="n">
        <v>4382</v>
      </c>
      <c r="BC939" s="26"/>
      <c r="BD939" s="26"/>
      <c r="BE939" s="26"/>
      <c r="BF939" s="26"/>
      <c r="BG939" s="26"/>
      <c r="BH939" s="26"/>
      <c r="BI939" s="26"/>
      <c r="BJ939" s="26"/>
      <c r="BK939" s="26"/>
      <c r="BL939" s="26"/>
      <c r="BM939" s="26"/>
      <c r="BN939" s="26"/>
      <c r="BO939" s="26"/>
      <c r="BP939" s="16" t="n">
        <v>45656</v>
      </c>
      <c r="BQ939" s="28" t="str">
        <f>HYPERLINK("https://organic.ams.usda.gov/Integrity/Certificate.aspx?cid=9&amp;nopid=1202581401")</f>
        <v>https://organic.ams.usda.gov/Integrity/Certificate.aspx?cid=9&amp;nopid=1202581401</v>
      </c>
    </row>
    <row r="940">
      <c r="A940" t="s">
        <v>3</v>
      </c>
      <c r="B940" s="6" t="s">
        <v>27</v>
      </c>
      <c r="C940" s="6" t="s">
        <v>93</v>
      </c>
      <c r="D940" s="6" t="s">
        <v>158</v>
      </c>
      <c r="E940" s="10" t="s">
        <v>1138</v>
      </c>
      <c r="F940" s="6" t="s">
        <v>3382</v>
      </c>
      <c r="G940" s="6" t="s">
        <v>104</v>
      </c>
      <c r="H940" s="6" t="s">
        <v>5744</v>
      </c>
      <c r="I940" s="6" t="s">
        <v>6952</v>
      </c>
      <c r="J940" s="6" t="s">
        <v>7285</v>
      </c>
      <c r="K940" s="6" t="s">
        <v>9714</v>
      </c>
      <c r="L940" s="16" t="n">
        <v>45022</v>
      </c>
      <c r="M940" s="16" t="n">
        <v>45716</v>
      </c>
      <c r="N940" s="6" t="s">
        <v>104</v>
      </c>
      <c r="O940" s="21" t="s">
        <v>104</v>
      </c>
      <c r="P940" s="6" t="s">
        <v>104</v>
      </c>
      <c r="Q940" s="6" t="s">
        <v>104</v>
      </c>
      <c r="R940" s="6" t="s">
        <v>104</v>
      </c>
      <c r="S940" s="6" t="s">
        <v>104</v>
      </c>
      <c r="T940" s="21" t="s">
        <v>104</v>
      </c>
      <c r="U940" s="6" t="s">
        <v>104</v>
      </c>
      <c r="V940" s="6" t="s">
        <v>104</v>
      </c>
      <c r="W940" s="6" t="s">
        <v>104</v>
      </c>
      <c r="X940" s="6" t="s">
        <v>104</v>
      </c>
      <c r="Y940" s="21" t="s">
        <v>104</v>
      </c>
      <c r="Z940" s="6" t="s">
        <v>104</v>
      </c>
      <c r="AA940" s="6" t="s">
        <v>104</v>
      </c>
      <c r="AB940" s="6" t="s">
        <v>104</v>
      </c>
      <c r="AC940" s="6" t="s">
        <v>9714</v>
      </c>
      <c r="AD940" s="16" t="n">
        <v>45022</v>
      </c>
      <c r="AE940" s="6" t="s">
        <v>11362</v>
      </c>
      <c r="AF940" s="6" t="s">
        <v>104</v>
      </c>
      <c r="AG940" s="6" t="s">
        <v>12792</v>
      </c>
      <c r="AH940" s="6" t="s">
        <v>14010</v>
      </c>
      <c r="AI940" s="6" t="s">
        <v>15278</v>
      </c>
      <c r="AJ940" s="6" t="s">
        <v>15978</v>
      </c>
      <c r="AK940" s="6" t="s">
        <v>16767</v>
      </c>
      <c r="AL940" s="6" t="s">
        <v>16766</v>
      </c>
      <c r="AM940" s="6" t="s">
        <v>104</v>
      </c>
      <c r="AN940" s="6" t="s">
        <v>104</v>
      </c>
      <c r="AO940" s="6" t="s">
        <v>104</v>
      </c>
      <c r="AP940" s="6" t="s">
        <v>14010</v>
      </c>
      <c r="AQ940" s="6" t="s">
        <v>15278</v>
      </c>
      <c r="AR940" s="6" t="s">
        <v>15978</v>
      </c>
      <c r="AS940" s="6" t="s">
        <v>16767</v>
      </c>
      <c r="AT940" s="6" t="s">
        <v>16766</v>
      </c>
      <c r="AU940" s="6" t="s">
        <v>104</v>
      </c>
      <c r="AV940" s="6" t="s">
        <v>104</v>
      </c>
      <c r="AW940" s="6" t="s">
        <v>104</v>
      </c>
      <c r="AX940" s="6" t="s">
        <v>20849</v>
      </c>
      <c r="AY940" s="6" t="s">
        <v>22627</v>
      </c>
      <c r="AZ940" s="6" t="s">
        <v>104</v>
      </c>
      <c r="BA940" s="6" t="s">
        <v>104</v>
      </c>
      <c r="BB940" s="6" t="s">
        <v>104</v>
      </c>
      <c r="BC940" s="26"/>
      <c r="BD940" s="26"/>
      <c r="BE940" s="26"/>
      <c r="BF940" s="26"/>
      <c r="BG940" s="26"/>
      <c r="BH940" s="26"/>
      <c r="BI940" s="26"/>
      <c r="BJ940" s="26"/>
      <c r="BK940" s="26"/>
      <c r="BL940" s="26"/>
      <c r="BM940" s="26"/>
      <c r="BN940" s="26"/>
      <c r="BO940" s="26"/>
      <c r="BP940" s="16" t="n">
        <v>45581</v>
      </c>
      <c r="BQ940" s="28" t="str">
        <f>HYPERLINK("https://organic.ams.usda.gov/Integrity/Certificate.aspx?cid=93&amp;nopid=6361627524")</f>
        <v>https://organic.ams.usda.gov/Integrity/Certificate.aspx?cid=93&amp;nopid=6361627524</v>
      </c>
    </row>
    <row r="941">
      <c r="A941" t="s">
        <v>3</v>
      </c>
      <c r="B941" s="6" t="s">
        <v>29</v>
      </c>
      <c r="C941" s="6" t="s">
        <v>95</v>
      </c>
      <c r="D941" s="6" t="s">
        <v>160</v>
      </c>
      <c r="E941" s="10" t="s">
        <v>1139</v>
      </c>
      <c r="F941" s="6" t="s">
        <v>3383</v>
      </c>
      <c r="G941" s="6" t="s">
        <v>104</v>
      </c>
      <c r="H941" s="6" t="s">
        <v>5745</v>
      </c>
      <c r="I941" s="6" t="s">
        <v>104</v>
      </c>
      <c r="J941" s="6" t="s">
        <v>8842</v>
      </c>
      <c r="K941" s="6" t="s">
        <v>9714</v>
      </c>
      <c r="L941" s="16" t="n">
        <v>44809</v>
      </c>
      <c r="M941" s="16" t="n">
        <v>45778</v>
      </c>
      <c r="N941" s="6" t="s">
        <v>9714</v>
      </c>
      <c r="O941" s="16" t="n">
        <v>44809</v>
      </c>
      <c r="P941" s="6" t="s">
        <v>9972</v>
      </c>
      <c r="Q941" s="6" t="s">
        <v>104</v>
      </c>
      <c r="R941" s="6" t="s">
        <v>104</v>
      </c>
      <c r="S941" s="6" t="s">
        <v>104</v>
      </c>
      <c r="T941" s="21" t="s">
        <v>104</v>
      </c>
      <c r="U941" s="6" t="s">
        <v>104</v>
      </c>
      <c r="V941" s="6" t="s">
        <v>104</v>
      </c>
      <c r="W941" s="6" t="s">
        <v>104</v>
      </c>
      <c r="X941" s="6" t="s">
        <v>104</v>
      </c>
      <c r="Y941" s="21" t="s">
        <v>104</v>
      </c>
      <c r="Z941" s="6" t="s">
        <v>104</v>
      </c>
      <c r="AA941" s="6" t="s">
        <v>104</v>
      </c>
      <c r="AB941" s="6" t="s">
        <v>104</v>
      </c>
      <c r="AC941" s="6" t="s">
        <v>104</v>
      </c>
      <c r="AD941" s="21" t="s">
        <v>104</v>
      </c>
      <c r="AE941" s="6" t="s">
        <v>104</v>
      </c>
      <c r="AF941" s="6" t="s">
        <v>104</v>
      </c>
      <c r="AG941" s="6" t="s">
        <v>104</v>
      </c>
      <c r="AH941" s="6" t="s">
        <v>14011</v>
      </c>
      <c r="AI941" s="6" t="s">
        <v>15279</v>
      </c>
      <c r="AJ941" s="6" t="s">
        <v>15979</v>
      </c>
      <c r="AK941" s="6" t="s">
        <v>16741</v>
      </c>
      <c r="AL941" s="6" t="s">
        <v>16766</v>
      </c>
      <c r="AM941" s="6" t="s">
        <v>104</v>
      </c>
      <c r="AN941" s="6" t="s">
        <v>104</v>
      </c>
      <c r="AO941" s="6" t="s">
        <v>104</v>
      </c>
      <c r="AP941" s="6" t="s">
        <v>104</v>
      </c>
      <c r="AQ941" s="6" t="s">
        <v>104</v>
      </c>
      <c r="AR941" s="6" t="s">
        <v>104</v>
      </c>
      <c r="AS941" s="6" t="s">
        <v>104</v>
      </c>
      <c r="AT941" s="6" t="s">
        <v>104</v>
      </c>
      <c r="AU941" s="6" t="s">
        <v>104</v>
      </c>
      <c r="AV941" s="6" t="s">
        <v>104</v>
      </c>
      <c r="AW941" s="6" t="s">
        <v>104</v>
      </c>
      <c r="AX941" s="6" t="s">
        <v>20850</v>
      </c>
      <c r="AY941" s="6" t="s">
        <v>22628</v>
      </c>
      <c r="AZ941" s="6" t="s">
        <v>104</v>
      </c>
      <c r="BA941" s="6" t="s">
        <v>104</v>
      </c>
      <c r="BB941" s="24" t="n">
        <v>1667</v>
      </c>
      <c r="BC941" s="26"/>
      <c r="BD941" s="26"/>
      <c r="BE941" s="26"/>
      <c r="BF941" s="26"/>
      <c r="BG941" s="26"/>
      <c r="BH941" s="26"/>
      <c r="BI941" s="26"/>
      <c r="BJ941" s="26"/>
      <c r="BK941" s="26"/>
      <c r="BL941" s="26"/>
      <c r="BM941" s="26"/>
      <c r="BN941" s="26"/>
      <c r="BO941" s="26"/>
      <c r="BP941" s="16" t="n">
        <v>45581</v>
      </c>
      <c r="BQ941" s="28" t="str">
        <f>HYPERLINK("https://organic.ams.usda.gov/Integrity/Certificate.aspx?cid=24&amp;nopid=7880265135")</f>
        <v>https://organic.ams.usda.gov/Integrity/Certificate.aspx?cid=24&amp;nopid=7880265135</v>
      </c>
    </row>
    <row r="942">
      <c r="A942" t="s">
        <v>3</v>
      </c>
      <c r="B942" s="6" t="s">
        <v>48</v>
      </c>
      <c r="C942" s="6" t="s">
        <v>114</v>
      </c>
      <c r="D942" s="6" t="s">
        <v>178</v>
      </c>
      <c r="E942" s="10" t="s">
        <v>1140</v>
      </c>
      <c r="F942" s="6" t="s">
        <v>3384</v>
      </c>
      <c r="G942" s="6" t="s">
        <v>104</v>
      </c>
      <c r="H942" s="6" t="s">
        <v>5746</v>
      </c>
      <c r="I942" s="6" t="s">
        <v>104</v>
      </c>
      <c r="J942" s="6" t="s">
        <v>104</v>
      </c>
      <c r="K942" s="6" t="s">
        <v>9714</v>
      </c>
      <c r="L942" s="16" t="n">
        <v>38717</v>
      </c>
      <c r="M942" s="16" t="n">
        <v>46053</v>
      </c>
      <c r="N942" s="6" t="s">
        <v>9714</v>
      </c>
      <c r="O942" s="16" t="n">
        <v>38717</v>
      </c>
      <c r="P942" s="6" t="s">
        <v>9973</v>
      </c>
      <c r="Q942" s="6" t="s">
        <v>104</v>
      </c>
      <c r="R942" s="6" t="s">
        <v>104</v>
      </c>
      <c r="S942" s="6" t="s">
        <v>104</v>
      </c>
      <c r="T942" s="21" t="s">
        <v>104</v>
      </c>
      <c r="U942" s="6" t="s">
        <v>104</v>
      </c>
      <c r="V942" s="6" t="s">
        <v>104</v>
      </c>
      <c r="W942" s="6" t="s">
        <v>104</v>
      </c>
      <c r="X942" s="6" t="s">
        <v>104</v>
      </c>
      <c r="Y942" s="21" t="s">
        <v>104</v>
      </c>
      <c r="Z942" s="6" t="s">
        <v>104</v>
      </c>
      <c r="AA942" s="6" t="s">
        <v>104</v>
      </c>
      <c r="AB942" s="6" t="s">
        <v>104</v>
      </c>
      <c r="AC942" s="6" t="s">
        <v>104</v>
      </c>
      <c r="AD942" s="21" t="s">
        <v>104</v>
      </c>
      <c r="AE942" s="6" t="s">
        <v>104</v>
      </c>
      <c r="AF942" s="6" t="s">
        <v>104</v>
      </c>
      <c r="AG942" s="6" t="s">
        <v>104</v>
      </c>
      <c r="AH942" s="6" t="s">
        <v>14012</v>
      </c>
      <c r="AI942" s="6" t="s">
        <v>104</v>
      </c>
      <c r="AJ942" s="6" t="s">
        <v>15980</v>
      </c>
      <c r="AK942" s="6" t="s">
        <v>104</v>
      </c>
      <c r="AL942" s="6" t="s">
        <v>16766</v>
      </c>
      <c r="AM942" s="6" t="s">
        <v>17617</v>
      </c>
      <c r="AN942" s="6" t="s">
        <v>104</v>
      </c>
      <c r="AO942" s="6" t="s">
        <v>104</v>
      </c>
      <c r="AP942" s="6" t="s">
        <v>14012</v>
      </c>
      <c r="AQ942" s="6" t="s">
        <v>104</v>
      </c>
      <c r="AR942" s="6" t="s">
        <v>15980</v>
      </c>
      <c r="AS942" s="6" t="s">
        <v>104</v>
      </c>
      <c r="AT942" s="6" t="s">
        <v>16766</v>
      </c>
      <c r="AU942" s="6" t="s">
        <v>17617</v>
      </c>
      <c r="AV942" s="6" t="s">
        <v>104</v>
      </c>
      <c r="AW942" s="6" t="s">
        <v>104</v>
      </c>
      <c r="AX942" s="6" t="s">
        <v>20851</v>
      </c>
      <c r="AY942" s="6" t="s">
        <v>22629</v>
      </c>
      <c r="AZ942" s="6" t="s">
        <v>104</v>
      </c>
      <c r="BA942" s="6" t="s">
        <v>104</v>
      </c>
      <c r="BB942" s="24" t="n">
        <v>3494</v>
      </c>
      <c r="BC942" s="26"/>
      <c r="BD942" s="26"/>
      <c r="BE942" s="26"/>
      <c r="BF942" s="26"/>
      <c r="BG942" s="26"/>
      <c r="BH942" s="26"/>
      <c r="BI942" s="26"/>
      <c r="BJ942" s="26"/>
      <c r="BK942" s="26"/>
      <c r="BL942" s="26"/>
      <c r="BM942" s="26"/>
      <c r="BN942" s="26"/>
      <c r="BO942" s="26"/>
      <c r="BP942" s="16" t="n">
        <v>45656</v>
      </c>
      <c r="BQ942" s="28" t="str">
        <f>HYPERLINK("https://organic.ams.usda.gov/Integrity/Certificate.aspx?cid=9&amp;nopid=1200848901")</f>
        <v>https://organic.ams.usda.gov/Integrity/Certificate.aspx?cid=9&amp;nopid=1200848901</v>
      </c>
    </row>
    <row r="943">
      <c r="A943" t="s">
        <v>3</v>
      </c>
      <c r="B943" s="6" t="s">
        <v>20</v>
      </c>
      <c r="C943" s="6" t="s">
        <v>86</v>
      </c>
      <c r="D943" s="6" t="s">
        <v>151</v>
      </c>
      <c r="E943" s="10" t="s">
        <v>1141</v>
      </c>
      <c r="F943" s="6" t="s">
        <v>3385</v>
      </c>
      <c r="G943" s="6" t="s">
        <v>104</v>
      </c>
      <c r="H943" s="6" t="s">
        <v>5747</v>
      </c>
      <c r="I943" s="6" t="s">
        <v>7517</v>
      </c>
      <c r="J943" s="6" t="s">
        <v>7095</v>
      </c>
      <c r="K943" s="6" t="s">
        <v>9714</v>
      </c>
      <c r="L943" s="16" t="n">
        <v>45603</v>
      </c>
      <c r="M943" s="16" t="n">
        <v>45960</v>
      </c>
      <c r="N943" s="6" t="s">
        <v>104</v>
      </c>
      <c r="O943" s="21" t="s">
        <v>104</v>
      </c>
      <c r="P943" s="6" t="s">
        <v>104</v>
      </c>
      <c r="Q943" s="6" t="s">
        <v>104</v>
      </c>
      <c r="R943" s="6" t="s">
        <v>104</v>
      </c>
      <c r="S943" s="6" t="s">
        <v>104</v>
      </c>
      <c r="T943" s="21" t="s">
        <v>104</v>
      </c>
      <c r="U943" s="6" t="s">
        <v>104</v>
      </c>
      <c r="V943" s="6" t="s">
        <v>104</v>
      </c>
      <c r="W943" s="6" t="s">
        <v>104</v>
      </c>
      <c r="X943" s="6" t="s">
        <v>104</v>
      </c>
      <c r="Y943" s="21" t="s">
        <v>104</v>
      </c>
      <c r="Z943" s="6" t="s">
        <v>104</v>
      </c>
      <c r="AA943" s="6" t="s">
        <v>104</v>
      </c>
      <c r="AB943" s="6" t="s">
        <v>104</v>
      </c>
      <c r="AC943" s="6" t="s">
        <v>9714</v>
      </c>
      <c r="AD943" s="16" t="n">
        <v>45603</v>
      </c>
      <c r="AE943" s="6" t="s">
        <v>11363</v>
      </c>
      <c r="AF943" s="6" t="s">
        <v>104</v>
      </c>
      <c r="AG943" s="6" t="s">
        <v>12793</v>
      </c>
      <c r="AH943" s="6" t="s">
        <v>14013</v>
      </c>
      <c r="AI943" s="6" t="s">
        <v>104</v>
      </c>
      <c r="AJ943" s="6" t="s">
        <v>15981</v>
      </c>
      <c r="AK943" s="6" t="s">
        <v>16767</v>
      </c>
      <c r="AL943" s="6" t="s">
        <v>16766</v>
      </c>
      <c r="AM943" s="6" t="s">
        <v>104</v>
      </c>
      <c r="AN943" s="6" t="s">
        <v>104</v>
      </c>
      <c r="AO943" s="6" t="s">
        <v>104</v>
      </c>
      <c r="AP943" s="6" t="s">
        <v>104</v>
      </c>
      <c r="AQ943" s="6" t="s">
        <v>104</v>
      </c>
      <c r="AR943" s="6" t="s">
        <v>104</v>
      </c>
      <c r="AS943" s="6" t="s">
        <v>104</v>
      </c>
      <c r="AT943" s="6" t="s">
        <v>104</v>
      </c>
      <c r="AU943" s="6" t="s">
        <v>104</v>
      </c>
      <c r="AV943" s="6" t="s">
        <v>104</v>
      </c>
      <c r="AW943" s="6" t="s">
        <v>104</v>
      </c>
      <c r="AX943" s="6" t="s">
        <v>104</v>
      </c>
      <c r="AY943" s="6" t="s">
        <v>104</v>
      </c>
      <c r="AZ943" s="6" t="s">
        <v>104</v>
      </c>
      <c r="BA943" s="6" t="s">
        <v>104</v>
      </c>
      <c r="BB943" s="6" t="s">
        <v>104</v>
      </c>
      <c r="BC943" s="26"/>
      <c r="BD943" s="26"/>
      <c r="BE943" s="26"/>
      <c r="BF943" s="26"/>
      <c r="BG943" s="26"/>
      <c r="BH943" s="26"/>
      <c r="BI943" s="26"/>
      <c r="BJ943" s="26"/>
      <c r="BK943" s="26"/>
      <c r="BL943" s="26"/>
      <c r="BM943" s="26"/>
      <c r="BN943" s="26"/>
      <c r="BO943" s="26"/>
      <c r="BP943" s="16" t="n">
        <v>45678</v>
      </c>
      <c r="BQ943" s="28" t="str">
        <f>HYPERLINK("https://organic.ams.usda.gov/Integrity/Certificate.aspx?cid=17&amp;nopid=4081208300")</f>
        <v>https://organic.ams.usda.gov/Integrity/Certificate.aspx?cid=17&amp;nopid=4081208300</v>
      </c>
    </row>
    <row r="944">
      <c r="A944" t="s">
        <v>3</v>
      </c>
      <c r="B944" s="6" t="s">
        <v>29</v>
      </c>
      <c r="C944" s="6" t="s">
        <v>95</v>
      </c>
      <c r="D944" s="6" t="s">
        <v>160</v>
      </c>
      <c r="E944" s="10" t="s">
        <v>1142</v>
      </c>
      <c r="F944" s="6" t="s">
        <v>3386</v>
      </c>
      <c r="G944" s="6" t="s">
        <v>104</v>
      </c>
      <c r="H944" s="6" t="s">
        <v>5748</v>
      </c>
      <c r="I944" s="6" t="s">
        <v>104</v>
      </c>
      <c r="J944" s="6" t="s">
        <v>8843</v>
      </c>
      <c r="K944" s="6" t="s">
        <v>9714</v>
      </c>
      <c r="L944" s="16" t="n">
        <v>44309</v>
      </c>
      <c r="M944" s="16" t="n">
        <v>45778</v>
      </c>
      <c r="N944" s="6" t="s">
        <v>9714</v>
      </c>
      <c r="O944" s="16" t="n">
        <v>44309</v>
      </c>
      <c r="P944" s="6" t="s">
        <v>9974</v>
      </c>
      <c r="Q944" s="6" t="s">
        <v>104</v>
      </c>
      <c r="R944" s="6" t="s">
        <v>104</v>
      </c>
      <c r="S944" s="6" t="s">
        <v>104</v>
      </c>
      <c r="T944" s="21" t="s">
        <v>104</v>
      </c>
      <c r="U944" s="6" t="s">
        <v>104</v>
      </c>
      <c r="V944" s="6" t="s">
        <v>104</v>
      </c>
      <c r="W944" s="6" t="s">
        <v>104</v>
      </c>
      <c r="X944" s="6" t="s">
        <v>104</v>
      </c>
      <c r="Y944" s="21" t="s">
        <v>104</v>
      </c>
      <c r="Z944" s="6" t="s">
        <v>104</v>
      </c>
      <c r="AA944" s="6" t="s">
        <v>104</v>
      </c>
      <c r="AB944" s="6" t="s">
        <v>104</v>
      </c>
      <c r="AC944" s="6" t="s">
        <v>9714</v>
      </c>
      <c r="AD944" s="16" t="n">
        <v>44309</v>
      </c>
      <c r="AE944" s="6" t="s">
        <v>11364</v>
      </c>
      <c r="AF944" s="6" t="s">
        <v>104</v>
      </c>
      <c r="AG944" s="6" t="s">
        <v>104</v>
      </c>
      <c r="AH944" s="6" t="s">
        <v>14014</v>
      </c>
      <c r="AI944" s="6" t="s">
        <v>104</v>
      </c>
      <c r="AJ944" s="6" t="s">
        <v>15982</v>
      </c>
      <c r="AK944" s="6" t="s">
        <v>16741</v>
      </c>
      <c r="AL944" s="6" t="s">
        <v>16766</v>
      </c>
      <c r="AM944" s="6" t="s">
        <v>17618</v>
      </c>
      <c r="AN944" s="6" t="s">
        <v>104</v>
      </c>
      <c r="AO944" s="6" t="s">
        <v>104</v>
      </c>
      <c r="AP944" s="6" t="s">
        <v>104</v>
      </c>
      <c r="AQ944" s="6" t="s">
        <v>104</v>
      </c>
      <c r="AR944" s="6" t="s">
        <v>104</v>
      </c>
      <c r="AS944" s="6" t="s">
        <v>104</v>
      </c>
      <c r="AT944" s="6" t="s">
        <v>104</v>
      </c>
      <c r="AU944" s="6" t="s">
        <v>104</v>
      </c>
      <c r="AV944" s="6" t="s">
        <v>104</v>
      </c>
      <c r="AW944" s="6" t="s">
        <v>104</v>
      </c>
      <c r="AX944" s="6" t="s">
        <v>20852</v>
      </c>
      <c r="AY944" s="6" t="s">
        <v>22630</v>
      </c>
      <c r="AZ944" s="6" t="s">
        <v>104</v>
      </c>
      <c r="BA944" s="6" t="s">
        <v>24269</v>
      </c>
      <c r="BB944" s="24" t="n">
        <v>0</v>
      </c>
      <c r="BC944" s="26"/>
      <c r="BD944" s="26"/>
      <c r="BE944" s="26"/>
      <c r="BF944" s="26"/>
      <c r="BG944" s="26"/>
      <c r="BH944" s="26"/>
      <c r="BI944" s="26"/>
      <c r="BJ944" s="26"/>
      <c r="BK944" s="26"/>
      <c r="BL944" s="26"/>
      <c r="BM944" s="26"/>
      <c r="BN944" s="26"/>
      <c r="BO944" s="26"/>
      <c r="BP944" s="16" t="n">
        <v>45680</v>
      </c>
      <c r="BQ944" s="28" t="str">
        <f>HYPERLINK("https://organic.ams.usda.gov/Integrity/Certificate.aspx?cid=24&amp;nopid=7880255481")</f>
        <v>https://organic.ams.usda.gov/Integrity/Certificate.aspx?cid=24&amp;nopid=7880255481</v>
      </c>
    </row>
    <row r="945">
      <c r="A945" t="s">
        <v>3</v>
      </c>
      <c r="B945" s="6" t="s">
        <v>20</v>
      </c>
      <c r="C945" s="6" t="s">
        <v>86</v>
      </c>
      <c r="D945" s="6" t="s">
        <v>151</v>
      </c>
      <c r="E945" s="10" t="s">
        <v>1143</v>
      </c>
      <c r="F945" s="6" t="s">
        <v>3387</v>
      </c>
      <c r="G945" s="6" t="s">
        <v>104</v>
      </c>
      <c r="H945" s="6" t="s">
        <v>5749</v>
      </c>
      <c r="I945" s="6" t="s">
        <v>7517</v>
      </c>
      <c r="J945" s="6" t="s">
        <v>7095</v>
      </c>
      <c r="K945" s="6" t="s">
        <v>9714</v>
      </c>
      <c r="L945" s="16" t="n">
        <v>45603</v>
      </c>
      <c r="M945" s="16" t="n">
        <v>45960</v>
      </c>
      <c r="N945" s="6" t="s">
        <v>9714</v>
      </c>
      <c r="O945" s="16" t="n">
        <v>45603</v>
      </c>
      <c r="P945" s="6" t="s">
        <v>9975</v>
      </c>
      <c r="Q945" s="6" t="s">
        <v>104</v>
      </c>
      <c r="R945" s="6" t="s">
        <v>10358</v>
      </c>
      <c r="S945" s="6" t="s">
        <v>104</v>
      </c>
      <c r="T945" s="21" t="s">
        <v>104</v>
      </c>
      <c r="U945" s="6" t="s">
        <v>104</v>
      </c>
      <c r="V945" s="6" t="s">
        <v>104</v>
      </c>
      <c r="W945" s="6" t="s">
        <v>104</v>
      </c>
      <c r="X945" s="6" t="s">
        <v>104</v>
      </c>
      <c r="Y945" s="21" t="s">
        <v>104</v>
      </c>
      <c r="Z945" s="6" t="s">
        <v>104</v>
      </c>
      <c r="AA945" s="6" t="s">
        <v>104</v>
      </c>
      <c r="AB945" s="6" t="s">
        <v>104</v>
      </c>
      <c r="AC945" s="6" t="s">
        <v>9714</v>
      </c>
      <c r="AD945" s="16" t="n">
        <v>45603</v>
      </c>
      <c r="AE945" s="6" t="s">
        <v>11365</v>
      </c>
      <c r="AF945" s="6" t="s">
        <v>104</v>
      </c>
      <c r="AG945" s="6" t="s">
        <v>10358</v>
      </c>
      <c r="AH945" s="6" t="s">
        <v>14015</v>
      </c>
      <c r="AI945" s="6" t="s">
        <v>104</v>
      </c>
      <c r="AJ945" s="6" t="s">
        <v>15981</v>
      </c>
      <c r="AK945" s="6" t="s">
        <v>16767</v>
      </c>
      <c r="AL945" s="6" t="s">
        <v>16766</v>
      </c>
      <c r="AM945" s="6" t="s">
        <v>17619</v>
      </c>
      <c r="AN945" s="6" t="s">
        <v>104</v>
      </c>
      <c r="AO945" s="6" t="s">
        <v>104</v>
      </c>
      <c r="AP945" s="6" t="s">
        <v>104</v>
      </c>
      <c r="AQ945" s="6" t="s">
        <v>104</v>
      </c>
      <c r="AR945" s="6" t="s">
        <v>104</v>
      </c>
      <c r="AS945" s="6" t="s">
        <v>104</v>
      </c>
      <c r="AT945" s="6" t="s">
        <v>104</v>
      </c>
      <c r="AU945" s="6" t="s">
        <v>104</v>
      </c>
      <c r="AV945" s="6" t="s">
        <v>104</v>
      </c>
      <c r="AW945" s="6" t="s">
        <v>104</v>
      </c>
      <c r="AX945" s="6" t="s">
        <v>20853</v>
      </c>
      <c r="AY945" s="6" t="s">
        <v>22631</v>
      </c>
      <c r="AZ945" s="6" t="s">
        <v>104</v>
      </c>
      <c r="BA945" s="6" t="s">
        <v>104</v>
      </c>
      <c r="BB945" s="24" t="n">
        <v>694</v>
      </c>
      <c r="BC945" s="26"/>
      <c r="BD945" s="26"/>
      <c r="BE945" s="26"/>
      <c r="BF945" s="26"/>
      <c r="BG945" s="26"/>
      <c r="BH945" s="26"/>
      <c r="BI945" s="26"/>
      <c r="BJ945" s="26"/>
      <c r="BK945" s="26"/>
      <c r="BL945" s="26"/>
      <c r="BM945" s="26"/>
      <c r="BN945" s="26"/>
      <c r="BO945" s="26"/>
      <c r="BP945" s="16" t="n">
        <v>45607</v>
      </c>
      <c r="BQ945" s="28" t="str">
        <f>HYPERLINK("https://organic.ams.usda.gov/Integrity/Certificate.aspx?cid=17&amp;nopid=4080208300")</f>
        <v>https://organic.ams.usda.gov/Integrity/Certificate.aspx?cid=17&amp;nopid=4080208300</v>
      </c>
    </row>
    <row r="946">
      <c r="A946" t="s">
        <v>3</v>
      </c>
      <c r="B946" s="6" t="s">
        <v>29</v>
      </c>
      <c r="C946" s="6" t="s">
        <v>95</v>
      </c>
      <c r="D946" s="6" t="s">
        <v>160</v>
      </c>
      <c r="E946" s="10" t="s">
        <v>1144</v>
      </c>
      <c r="F946" s="6" t="s">
        <v>3388</v>
      </c>
      <c r="G946" s="6" t="s">
        <v>104</v>
      </c>
      <c r="H946" s="6" t="s">
        <v>5750</v>
      </c>
      <c r="I946" s="6" t="s">
        <v>104</v>
      </c>
      <c r="J946" s="6" t="s">
        <v>8844</v>
      </c>
      <c r="K946" s="6" t="s">
        <v>9714</v>
      </c>
      <c r="L946" s="16" t="n">
        <v>43248</v>
      </c>
      <c r="M946" s="16" t="n">
        <v>46054</v>
      </c>
      <c r="N946" s="6" t="s">
        <v>104</v>
      </c>
      <c r="O946" s="21" t="s">
        <v>104</v>
      </c>
      <c r="P946" s="6" t="s">
        <v>104</v>
      </c>
      <c r="Q946" s="6" t="s">
        <v>104</v>
      </c>
      <c r="R946" s="6" t="s">
        <v>104</v>
      </c>
      <c r="S946" s="6" t="s">
        <v>104</v>
      </c>
      <c r="T946" s="21" t="s">
        <v>104</v>
      </c>
      <c r="U946" s="6" t="s">
        <v>104</v>
      </c>
      <c r="V946" s="6" t="s">
        <v>104</v>
      </c>
      <c r="W946" s="6" t="s">
        <v>104</v>
      </c>
      <c r="X946" s="6" t="s">
        <v>104</v>
      </c>
      <c r="Y946" s="21" t="s">
        <v>104</v>
      </c>
      <c r="Z946" s="6" t="s">
        <v>104</v>
      </c>
      <c r="AA946" s="6" t="s">
        <v>104</v>
      </c>
      <c r="AB946" s="6" t="s">
        <v>104</v>
      </c>
      <c r="AC946" s="6" t="s">
        <v>9714</v>
      </c>
      <c r="AD946" s="16" t="n">
        <v>43248</v>
      </c>
      <c r="AE946" s="6" t="s">
        <v>11366</v>
      </c>
      <c r="AF946" s="6" t="s">
        <v>104</v>
      </c>
      <c r="AG946" s="6" t="s">
        <v>104</v>
      </c>
      <c r="AH946" s="6" t="s">
        <v>14016</v>
      </c>
      <c r="AI946" s="6" t="s">
        <v>104</v>
      </c>
      <c r="AJ946" s="6" t="s">
        <v>15983</v>
      </c>
      <c r="AK946" s="6" t="s">
        <v>16829</v>
      </c>
      <c r="AL946" s="6" t="s">
        <v>16952</v>
      </c>
      <c r="AM946" s="6" t="s">
        <v>104</v>
      </c>
      <c r="AN946" s="6" t="s">
        <v>104</v>
      </c>
      <c r="AO946" s="6" t="s">
        <v>104</v>
      </c>
      <c r="AP946" s="6" t="s">
        <v>104</v>
      </c>
      <c r="AQ946" s="6" t="s">
        <v>104</v>
      </c>
      <c r="AR946" s="6" t="s">
        <v>104</v>
      </c>
      <c r="AS946" s="6" t="s">
        <v>104</v>
      </c>
      <c r="AT946" s="6" t="s">
        <v>104</v>
      </c>
      <c r="AU946" s="6" t="s">
        <v>104</v>
      </c>
      <c r="AV946" s="6" t="s">
        <v>104</v>
      </c>
      <c r="AW946" s="6" t="s">
        <v>104</v>
      </c>
      <c r="AX946" s="6" t="s">
        <v>20854</v>
      </c>
      <c r="AY946" s="6" t="s">
        <v>22632</v>
      </c>
      <c r="AZ946" s="6" t="s">
        <v>23930</v>
      </c>
      <c r="BA946" s="6" t="s">
        <v>24269</v>
      </c>
      <c r="BB946" s="24" t="n">
        <v>0</v>
      </c>
      <c r="BC946" s="26"/>
      <c r="BD946" s="26"/>
      <c r="BE946" s="26"/>
      <c r="BF946" s="26"/>
      <c r="BG946" s="26" t="s">
        <v>24533</v>
      </c>
      <c r="BH946" s="26"/>
      <c r="BI946" s="26"/>
      <c r="BJ946" s="26"/>
      <c r="BK946" s="26"/>
      <c r="BL946" s="26"/>
      <c r="BM946" s="26"/>
      <c r="BN946" s="26"/>
      <c r="BO946" s="26"/>
      <c r="BP946" s="16" t="n">
        <v>45690</v>
      </c>
      <c r="BQ946" s="28" t="str">
        <f>HYPERLINK("https://organic.ams.usda.gov/Integrity/Certificate.aspx?cid=24&amp;nopid=7880162557")</f>
        <v>https://organic.ams.usda.gov/Integrity/Certificate.aspx?cid=24&amp;nopid=7880162557</v>
      </c>
    </row>
    <row r="947">
      <c r="A947" t="s">
        <v>3</v>
      </c>
      <c r="B947" s="6" t="s">
        <v>13</v>
      </c>
      <c r="C947" s="6" t="s">
        <v>79</v>
      </c>
      <c r="D947" s="6" t="s">
        <v>144</v>
      </c>
      <c r="E947" s="10" t="s">
        <v>1145</v>
      </c>
      <c r="F947" s="6" t="s">
        <v>3389</v>
      </c>
      <c r="G947" s="6" t="s">
        <v>104</v>
      </c>
      <c r="H947" s="6" t="s">
        <v>5751</v>
      </c>
      <c r="I947" s="6" t="s">
        <v>7518</v>
      </c>
      <c r="J947" s="6" t="s">
        <v>8305</v>
      </c>
      <c r="K947" s="6" t="s">
        <v>9714</v>
      </c>
      <c r="L947" s="16" t="n">
        <v>43173</v>
      </c>
      <c r="M947" s="16" t="n">
        <v>46023</v>
      </c>
      <c r="N947" s="6" t="s">
        <v>104</v>
      </c>
      <c r="O947" s="21" t="s">
        <v>104</v>
      </c>
      <c r="P947" s="6" t="s">
        <v>104</v>
      </c>
      <c r="Q947" s="6" t="s">
        <v>104</v>
      </c>
      <c r="R947" s="6" t="s">
        <v>104</v>
      </c>
      <c r="S947" s="6" t="s">
        <v>104</v>
      </c>
      <c r="T947" s="21" t="s">
        <v>104</v>
      </c>
      <c r="U947" s="6" t="s">
        <v>104</v>
      </c>
      <c r="V947" s="6" t="s">
        <v>104</v>
      </c>
      <c r="W947" s="6" t="s">
        <v>104</v>
      </c>
      <c r="X947" s="6" t="s">
        <v>104</v>
      </c>
      <c r="Y947" s="21" t="s">
        <v>104</v>
      </c>
      <c r="Z947" s="6" t="s">
        <v>104</v>
      </c>
      <c r="AA947" s="6" t="s">
        <v>104</v>
      </c>
      <c r="AB947" s="6" t="s">
        <v>104</v>
      </c>
      <c r="AC947" s="6" t="s">
        <v>9714</v>
      </c>
      <c r="AD947" s="16" t="n">
        <v>43173</v>
      </c>
      <c r="AE947" s="6" t="s">
        <v>11367</v>
      </c>
      <c r="AF947" s="6" t="s">
        <v>104</v>
      </c>
      <c r="AG947" s="6" t="s">
        <v>104</v>
      </c>
      <c r="AH947" s="6" t="s">
        <v>104</v>
      </c>
      <c r="AI947" s="6" t="s">
        <v>104</v>
      </c>
      <c r="AJ947" s="6" t="s">
        <v>104</v>
      </c>
      <c r="AK947" s="6" t="s">
        <v>104</v>
      </c>
      <c r="AL947" s="6" t="s">
        <v>104</v>
      </c>
      <c r="AM947" s="6" t="s">
        <v>104</v>
      </c>
      <c r="AN947" s="6" t="s">
        <v>104</v>
      </c>
      <c r="AO947" s="6" t="s">
        <v>104</v>
      </c>
      <c r="AP947" s="6" t="s">
        <v>19191</v>
      </c>
      <c r="AQ947" s="6" t="s">
        <v>104</v>
      </c>
      <c r="AR947" s="6" t="s">
        <v>15575</v>
      </c>
      <c r="AS947" s="6" t="s">
        <v>16710</v>
      </c>
      <c r="AT947" s="6" t="s">
        <v>16931</v>
      </c>
      <c r="AU947" s="6" t="s">
        <v>18429</v>
      </c>
      <c r="AV947" s="6" t="s">
        <v>18471</v>
      </c>
      <c r="AW947" s="6" t="s">
        <v>18632</v>
      </c>
      <c r="AX947" s="6" t="s">
        <v>20855</v>
      </c>
      <c r="AY947" s="6" t="s">
        <v>22633</v>
      </c>
      <c r="AZ947" s="6" t="s">
        <v>104</v>
      </c>
      <c r="BA947" s="6" t="s">
        <v>104</v>
      </c>
      <c r="BB947" s="6" t="s">
        <v>104</v>
      </c>
      <c r="BC947" s="26"/>
      <c r="BD947" s="26"/>
      <c r="BE947" s="26" t="s">
        <v>24533</v>
      </c>
      <c r="BF947" s="26"/>
      <c r="BG947" s="26"/>
      <c r="BH947" s="26"/>
      <c r="BI947" s="26"/>
      <c r="BJ947" s="26"/>
      <c r="BK947" s="26"/>
      <c r="BL947" s="26"/>
      <c r="BM947" s="26"/>
      <c r="BN947" s="26"/>
      <c r="BO947" s="26"/>
      <c r="BP947" s="16" t="n">
        <v>45730</v>
      </c>
      <c r="BQ947" s="28" t="str">
        <f>HYPERLINK("https://organic.ams.usda.gov/Integrity/Certificate.aspx?cid=62&amp;nopid=8150005275")</f>
        <v>https://organic.ams.usda.gov/Integrity/Certificate.aspx?cid=62&amp;nopid=8150005275</v>
      </c>
    </row>
    <row r="948">
      <c r="A948" t="s">
        <v>3</v>
      </c>
      <c r="B948" s="6" t="s">
        <v>11</v>
      </c>
      <c r="C948" s="6" t="s">
        <v>77</v>
      </c>
      <c r="D948" s="6" t="s">
        <v>142</v>
      </c>
      <c r="E948" s="10" t="s">
        <v>1146</v>
      </c>
      <c r="F948" s="6" t="s">
        <v>3390</v>
      </c>
      <c r="G948" s="6" t="s">
        <v>104</v>
      </c>
      <c r="H948" s="6" t="s">
        <v>5752</v>
      </c>
      <c r="I948" s="6" t="s">
        <v>7519</v>
      </c>
      <c r="J948" s="6" t="s">
        <v>8845</v>
      </c>
      <c r="K948" s="6" t="s">
        <v>9714</v>
      </c>
      <c r="L948" s="16" t="n">
        <v>45301</v>
      </c>
      <c r="M948" s="16" t="n">
        <v>46032</v>
      </c>
      <c r="N948" s="6" t="s">
        <v>104</v>
      </c>
      <c r="O948" s="21" t="s">
        <v>104</v>
      </c>
      <c r="P948" s="6" t="s">
        <v>104</v>
      </c>
      <c r="Q948" s="6" t="s">
        <v>104</v>
      </c>
      <c r="R948" s="6" t="s">
        <v>104</v>
      </c>
      <c r="S948" s="6" t="s">
        <v>104</v>
      </c>
      <c r="T948" s="21" t="s">
        <v>104</v>
      </c>
      <c r="U948" s="6" t="s">
        <v>104</v>
      </c>
      <c r="V948" s="6" t="s">
        <v>104</v>
      </c>
      <c r="W948" s="6" t="s">
        <v>104</v>
      </c>
      <c r="X948" s="6" t="s">
        <v>104</v>
      </c>
      <c r="Y948" s="21" t="s">
        <v>104</v>
      </c>
      <c r="Z948" s="6" t="s">
        <v>104</v>
      </c>
      <c r="AA948" s="6" t="s">
        <v>104</v>
      </c>
      <c r="AB948" s="6" t="s">
        <v>104</v>
      </c>
      <c r="AC948" s="6" t="s">
        <v>9714</v>
      </c>
      <c r="AD948" s="16" t="n">
        <v>45301</v>
      </c>
      <c r="AE948" s="6" t="s">
        <v>11368</v>
      </c>
      <c r="AF948" s="6" t="s">
        <v>104</v>
      </c>
      <c r="AG948" s="6" t="s">
        <v>104</v>
      </c>
      <c r="AH948" s="6" t="s">
        <v>14017</v>
      </c>
      <c r="AI948" s="6" t="s">
        <v>104</v>
      </c>
      <c r="AJ948" s="6" t="s">
        <v>15984</v>
      </c>
      <c r="AK948" s="6" t="s">
        <v>16370</v>
      </c>
      <c r="AL948" s="6" t="s">
        <v>16931</v>
      </c>
      <c r="AM948" s="6" t="s">
        <v>17620</v>
      </c>
      <c r="AN948" s="6" t="s">
        <v>104</v>
      </c>
      <c r="AO948" s="6" t="s">
        <v>104</v>
      </c>
      <c r="AP948" s="6" t="s">
        <v>14017</v>
      </c>
      <c r="AQ948" s="6" t="s">
        <v>104</v>
      </c>
      <c r="AR948" s="6" t="s">
        <v>15984</v>
      </c>
      <c r="AS948" s="6" t="s">
        <v>16370</v>
      </c>
      <c r="AT948" s="6" t="s">
        <v>16931</v>
      </c>
      <c r="AU948" s="6" t="s">
        <v>17620</v>
      </c>
      <c r="AV948" s="6" t="s">
        <v>104</v>
      </c>
      <c r="AW948" s="6" t="s">
        <v>104</v>
      </c>
      <c r="AX948" s="6" t="s">
        <v>20856</v>
      </c>
      <c r="AY948" s="6" t="s">
        <v>22634</v>
      </c>
      <c r="AZ948" s="6" t="s">
        <v>104</v>
      </c>
      <c r="BA948" s="6" t="s">
        <v>104</v>
      </c>
      <c r="BB948" s="24" t="n">
        <v>0</v>
      </c>
      <c r="BC948" s="26"/>
      <c r="BD948" s="26"/>
      <c r="BE948" s="26"/>
      <c r="BF948" s="26"/>
      <c r="BG948" s="26"/>
      <c r="BH948" s="26" t="s">
        <v>24533</v>
      </c>
      <c r="BI948" s="26"/>
      <c r="BJ948" s="26"/>
      <c r="BK948" s="26"/>
      <c r="BL948" s="26"/>
      <c r="BM948" s="26"/>
      <c r="BN948" s="26"/>
      <c r="BO948" s="26"/>
      <c r="BP948" s="16" t="n">
        <v>45692</v>
      </c>
      <c r="BQ948" s="28" t="str">
        <f>HYPERLINK("https://organic.ams.usda.gov/Integrity/Certificate.aspx?cid=21&amp;nopid=1780898197")</f>
        <v>https://organic.ams.usda.gov/Integrity/Certificate.aspx?cid=21&amp;nopid=1780898197</v>
      </c>
    </row>
    <row r="949">
      <c r="A949" t="s">
        <v>3</v>
      </c>
      <c r="B949" s="6" t="s">
        <v>37</v>
      </c>
      <c r="C949" s="6" t="s">
        <v>103</v>
      </c>
      <c r="D949" s="6" t="s">
        <v>168</v>
      </c>
      <c r="E949" s="10" t="s">
        <v>1147</v>
      </c>
      <c r="F949" s="6" t="s">
        <v>3391</v>
      </c>
      <c r="G949" s="6" t="s">
        <v>104</v>
      </c>
      <c r="H949" s="6" t="s">
        <v>5753</v>
      </c>
      <c r="I949" s="6" t="s">
        <v>7520</v>
      </c>
      <c r="J949" s="6" t="s">
        <v>8846</v>
      </c>
      <c r="K949" s="6" t="s">
        <v>9714</v>
      </c>
      <c r="L949" s="16" t="n">
        <v>41024</v>
      </c>
      <c r="M949" s="16" t="n">
        <v>45748</v>
      </c>
      <c r="N949" s="6" t="s">
        <v>104</v>
      </c>
      <c r="O949" s="21" t="s">
        <v>104</v>
      </c>
      <c r="P949" s="6" t="s">
        <v>104</v>
      </c>
      <c r="Q949" s="6" t="s">
        <v>104</v>
      </c>
      <c r="R949" s="6" t="s">
        <v>104</v>
      </c>
      <c r="S949" s="6" t="s">
        <v>104</v>
      </c>
      <c r="T949" s="21" t="s">
        <v>104</v>
      </c>
      <c r="U949" s="6" t="s">
        <v>104</v>
      </c>
      <c r="V949" s="6" t="s">
        <v>104</v>
      </c>
      <c r="W949" s="6" t="s">
        <v>104</v>
      </c>
      <c r="X949" s="6" t="s">
        <v>104</v>
      </c>
      <c r="Y949" s="21" t="s">
        <v>104</v>
      </c>
      <c r="Z949" s="6" t="s">
        <v>104</v>
      </c>
      <c r="AA949" s="6" t="s">
        <v>104</v>
      </c>
      <c r="AB949" s="6" t="s">
        <v>104</v>
      </c>
      <c r="AC949" s="6" t="s">
        <v>9714</v>
      </c>
      <c r="AD949" s="16" t="n">
        <v>41024</v>
      </c>
      <c r="AE949" s="6" t="s">
        <v>11369</v>
      </c>
      <c r="AF949" s="6" t="s">
        <v>104</v>
      </c>
      <c r="AG949" s="6" t="s">
        <v>12794</v>
      </c>
      <c r="AH949" s="6" t="s">
        <v>14018</v>
      </c>
      <c r="AI949" s="6" t="s">
        <v>104</v>
      </c>
      <c r="AJ949" s="6" t="s">
        <v>15985</v>
      </c>
      <c r="AK949" s="6" t="s">
        <v>16738</v>
      </c>
      <c r="AL949" s="6" t="s">
        <v>16931</v>
      </c>
      <c r="AM949" s="6" t="s">
        <v>17621</v>
      </c>
      <c r="AN949" s="6" t="s">
        <v>18502</v>
      </c>
      <c r="AO949" s="6" t="s">
        <v>18682</v>
      </c>
      <c r="AP949" s="6" t="s">
        <v>19192</v>
      </c>
      <c r="AQ949" s="6" t="s">
        <v>104</v>
      </c>
      <c r="AR949" s="6" t="s">
        <v>19684</v>
      </c>
      <c r="AS949" s="6" t="s">
        <v>16738</v>
      </c>
      <c r="AT949" s="6" t="s">
        <v>16931</v>
      </c>
      <c r="AU949" s="6" t="s">
        <v>19920</v>
      </c>
      <c r="AV949" s="6" t="s">
        <v>104</v>
      </c>
      <c r="AW949" s="6" t="s">
        <v>104</v>
      </c>
      <c r="AX949" s="6" t="s">
        <v>20857</v>
      </c>
      <c r="AY949" s="6" t="s">
        <v>22635</v>
      </c>
      <c r="AZ949" s="6" t="s">
        <v>104</v>
      </c>
      <c r="BA949" s="6" t="s">
        <v>104</v>
      </c>
      <c r="BB949" s="6" t="s">
        <v>104</v>
      </c>
      <c r="BC949" s="26"/>
      <c r="BD949" s="26"/>
      <c r="BE949" s="26"/>
      <c r="BF949" s="26"/>
      <c r="BG949" s="26"/>
      <c r="BH949" s="26"/>
      <c r="BI949" s="26"/>
      <c r="BJ949" s="26"/>
      <c r="BK949" s="26"/>
      <c r="BL949" s="26"/>
      <c r="BM949" s="26"/>
      <c r="BN949" s="26"/>
      <c r="BO949" s="26"/>
      <c r="BP949" s="16" t="n">
        <v>45730</v>
      </c>
      <c r="BQ949" s="28" t="str">
        <f>HYPERLINK("https://organic.ams.usda.gov/Integrity/Certificate.aspx?cid=90&amp;nopid=7170210434")</f>
        <v>https://organic.ams.usda.gov/Integrity/Certificate.aspx?cid=90&amp;nopid=7170210434</v>
      </c>
    </row>
    <row r="950">
      <c r="A950" t="s">
        <v>3</v>
      </c>
      <c r="B950" s="6" t="s">
        <v>17</v>
      </c>
      <c r="C950" s="6" t="s">
        <v>83</v>
      </c>
      <c r="D950" s="6" t="s">
        <v>148</v>
      </c>
      <c r="E950" s="10" t="s">
        <v>1148</v>
      </c>
      <c r="F950" s="6" t="s">
        <v>3392</v>
      </c>
      <c r="G950" s="6" t="s">
        <v>104</v>
      </c>
      <c r="H950" s="6" t="s">
        <v>5754</v>
      </c>
      <c r="I950" s="6" t="s">
        <v>7481</v>
      </c>
      <c r="J950" s="6" t="s">
        <v>8847</v>
      </c>
      <c r="K950" s="6" t="s">
        <v>9714</v>
      </c>
      <c r="L950" s="16" t="n">
        <v>45145</v>
      </c>
      <c r="M950" s="16" t="n">
        <v>45870</v>
      </c>
      <c r="N950" s="6" t="s">
        <v>104</v>
      </c>
      <c r="O950" s="21" t="s">
        <v>104</v>
      </c>
      <c r="P950" s="6" t="s">
        <v>104</v>
      </c>
      <c r="Q950" s="6" t="s">
        <v>104</v>
      </c>
      <c r="R950" s="6" t="s">
        <v>104</v>
      </c>
      <c r="S950" s="6" t="s">
        <v>104</v>
      </c>
      <c r="T950" s="21" t="s">
        <v>104</v>
      </c>
      <c r="U950" s="6" t="s">
        <v>104</v>
      </c>
      <c r="V950" s="6" t="s">
        <v>104</v>
      </c>
      <c r="W950" s="6" t="s">
        <v>104</v>
      </c>
      <c r="X950" s="6" t="s">
        <v>104</v>
      </c>
      <c r="Y950" s="21" t="s">
        <v>104</v>
      </c>
      <c r="Z950" s="6" t="s">
        <v>104</v>
      </c>
      <c r="AA950" s="6" t="s">
        <v>104</v>
      </c>
      <c r="AB950" s="6" t="s">
        <v>104</v>
      </c>
      <c r="AC950" s="6" t="s">
        <v>9714</v>
      </c>
      <c r="AD950" s="16" t="n">
        <v>45145</v>
      </c>
      <c r="AE950" s="6" t="s">
        <v>11370</v>
      </c>
      <c r="AF950" s="6" t="s">
        <v>104</v>
      </c>
      <c r="AG950" s="6" t="s">
        <v>104</v>
      </c>
      <c r="AH950" s="6" t="s">
        <v>14019</v>
      </c>
      <c r="AI950" s="6" t="s">
        <v>104</v>
      </c>
      <c r="AJ950" s="6" t="s">
        <v>15986</v>
      </c>
      <c r="AK950" s="6" t="s">
        <v>16680</v>
      </c>
      <c r="AL950" s="6" t="s">
        <v>16931</v>
      </c>
      <c r="AM950" s="6" t="s">
        <v>17622</v>
      </c>
      <c r="AN950" s="6" t="s">
        <v>104</v>
      </c>
      <c r="AO950" s="6" t="s">
        <v>104</v>
      </c>
      <c r="AP950" s="6" t="s">
        <v>14019</v>
      </c>
      <c r="AQ950" s="6" t="s">
        <v>104</v>
      </c>
      <c r="AR950" s="6" t="s">
        <v>15986</v>
      </c>
      <c r="AS950" s="6" t="s">
        <v>16680</v>
      </c>
      <c r="AT950" s="6" t="s">
        <v>16931</v>
      </c>
      <c r="AU950" s="6" t="s">
        <v>17622</v>
      </c>
      <c r="AV950" s="6" t="s">
        <v>104</v>
      </c>
      <c r="AW950" s="6" t="s">
        <v>104</v>
      </c>
      <c r="AX950" s="6" t="s">
        <v>20858</v>
      </c>
      <c r="AY950" s="6" t="s">
        <v>22636</v>
      </c>
      <c r="AZ950" s="6" t="s">
        <v>104</v>
      </c>
      <c r="BA950" s="6" t="s">
        <v>104</v>
      </c>
      <c r="BB950" s="24" t="n">
        <v>0</v>
      </c>
      <c r="BC950" s="26"/>
      <c r="BD950" s="26"/>
      <c r="BE950" s="26"/>
      <c r="BF950" s="26"/>
      <c r="BG950" s="26"/>
      <c r="BH950" s="26"/>
      <c r="BI950" s="26"/>
      <c r="BJ950" s="26"/>
      <c r="BK950" s="26"/>
      <c r="BL950" s="26"/>
      <c r="BM950" s="26"/>
      <c r="BN950" s="26"/>
      <c r="BO950" s="26"/>
      <c r="BP950" s="16" t="n">
        <v>45722</v>
      </c>
      <c r="BQ950" s="28" t="str">
        <f>HYPERLINK("https://organic.ams.usda.gov/Integrity/Certificate.aspx?cid=51&amp;nopid=8240102323")</f>
        <v>https://organic.ams.usda.gov/Integrity/Certificate.aspx?cid=51&amp;nopid=8240102323</v>
      </c>
    </row>
    <row r="951">
      <c r="A951" t="s">
        <v>3</v>
      </c>
      <c r="B951" s="6" t="s">
        <v>22</v>
      </c>
      <c r="C951" s="6" t="s">
        <v>88</v>
      </c>
      <c r="D951" s="6" t="s">
        <v>153</v>
      </c>
      <c r="E951" s="10" t="s">
        <v>1149</v>
      </c>
      <c r="F951" s="6" t="s">
        <v>3393</v>
      </c>
      <c r="G951" s="6" t="s">
        <v>104</v>
      </c>
      <c r="H951" s="6" t="s">
        <v>5755</v>
      </c>
      <c r="I951" s="6" t="s">
        <v>7209</v>
      </c>
      <c r="J951" s="6" t="s">
        <v>8848</v>
      </c>
      <c r="K951" s="6" t="s">
        <v>9714</v>
      </c>
      <c r="L951" s="16" t="n">
        <v>45215</v>
      </c>
      <c r="M951" s="16" t="n">
        <v>45839</v>
      </c>
      <c r="N951" s="6" t="s">
        <v>104</v>
      </c>
      <c r="O951" s="21" t="s">
        <v>104</v>
      </c>
      <c r="P951" s="6" t="s">
        <v>104</v>
      </c>
      <c r="Q951" s="6" t="s">
        <v>104</v>
      </c>
      <c r="R951" s="6" t="s">
        <v>104</v>
      </c>
      <c r="S951" s="6" t="s">
        <v>104</v>
      </c>
      <c r="T951" s="21" t="s">
        <v>104</v>
      </c>
      <c r="U951" s="6" t="s">
        <v>104</v>
      </c>
      <c r="V951" s="6" t="s">
        <v>104</v>
      </c>
      <c r="W951" s="6" t="s">
        <v>104</v>
      </c>
      <c r="X951" s="6" t="s">
        <v>104</v>
      </c>
      <c r="Y951" s="21" t="s">
        <v>104</v>
      </c>
      <c r="Z951" s="6" t="s">
        <v>104</v>
      </c>
      <c r="AA951" s="6" t="s">
        <v>104</v>
      </c>
      <c r="AB951" s="6" t="s">
        <v>104</v>
      </c>
      <c r="AC951" s="6" t="s">
        <v>9714</v>
      </c>
      <c r="AD951" s="16" t="n">
        <v>45215</v>
      </c>
      <c r="AE951" s="6" t="s">
        <v>11371</v>
      </c>
      <c r="AF951" s="6" t="s">
        <v>104</v>
      </c>
      <c r="AG951" s="6" t="s">
        <v>12795</v>
      </c>
      <c r="AH951" s="6" t="s">
        <v>14020</v>
      </c>
      <c r="AI951" s="6" t="s">
        <v>15280</v>
      </c>
      <c r="AJ951" s="6" t="s">
        <v>15987</v>
      </c>
      <c r="AK951" s="6" t="s">
        <v>16711</v>
      </c>
      <c r="AL951" s="6" t="s">
        <v>16931</v>
      </c>
      <c r="AM951" s="6" t="s">
        <v>17623</v>
      </c>
      <c r="AN951" s="6" t="s">
        <v>104</v>
      </c>
      <c r="AO951" s="6" t="s">
        <v>104</v>
      </c>
      <c r="AP951" s="6" t="s">
        <v>14020</v>
      </c>
      <c r="AQ951" s="6" t="s">
        <v>15280</v>
      </c>
      <c r="AR951" s="6" t="s">
        <v>15987</v>
      </c>
      <c r="AS951" s="6" t="s">
        <v>16711</v>
      </c>
      <c r="AT951" s="6" t="s">
        <v>16931</v>
      </c>
      <c r="AU951" s="6" t="s">
        <v>17623</v>
      </c>
      <c r="AV951" s="6" t="s">
        <v>104</v>
      </c>
      <c r="AW951" s="6" t="s">
        <v>104</v>
      </c>
      <c r="AX951" s="6" t="s">
        <v>20859</v>
      </c>
      <c r="AY951" s="6" t="s">
        <v>22637</v>
      </c>
      <c r="AZ951" s="6" t="s">
        <v>104</v>
      </c>
      <c r="BA951" s="6" t="s">
        <v>104</v>
      </c>
      <c r="BB951" s="6" t="s">
        <v>104</v>
      </c>
      <c r="BC951" s="26"/>
      <c r="BD951" s="26"/>
      <c r="BE951" s="26"/>
      <c r="BF951" s="26"/>
      <c r="BG951" s="26"/>
      <c r="BH951" s="26"/>
      <c r="BI951" s="26"/>
      <c r="BJ951" s="26"/>
      <c r="BK951" s="26"/>
      <c r="BL951" s="26"/>
      <c r="BM951" s="26"/>
      <c r="BN951" s="26"/>
      <c r="BO951" s="26"/>
      <c r="BP951" s="16" t="n">
        <v>45674</v>
      </c>
      <c r="BQ951" s="28" t="str">
        <f>HYPERLINK("https://organic.ams.usda.gov/Integrity/Certificate.aspx?cid=72&amp;nopid=5870106888")</f>
        <v>https://organic.ams.usda.gov/Integrity/Certificate.aspx?cid=72&amp;nopid=5870106888</v>
      </c>
    </row>
    <row r="952">
      <c r="A952" t="s">
        <v>3</v>
      </c>
      <c r="B952" s="6" t="s">
        <v>49</v>
      </c>
      <c r="C952" s="6" t="s">
        <v>115</v>
      </c>
      <c r="D952" s="6" t="s">
        <v>179</v>
      </c>
      <c r="E952" s="10" t="s">
        <v>1150</v>
      </c>
      <c r="F952" s="6" t="s">
        <v>3394</v>
      </c>
      <c r="G952" s="6" t="s">
        <v>104</v>
      </c>
      <c r="H952" s="6" t="s">
        <v>5756</v>
      </c>
      <c r="I952" s="6" t="s">
        <v>104</v>
      </c>
      <c r="J952" s="6" t="s">
        <v>8849</v>
      </c>
      <c r="K952" s="6" t="s">
        <v>9714</v>
      </c>
      <c r="L952" s="16" t="n">
        <v>45162</v>
      </c>
      <c r="M952" s="16" t="n">
        <v>45422</v>
      </c>
      <c r="N952" s="6" t="s">
        <v>104</v>
      </c>
      <c r="O952" s="21" t="s">
        <v>104</v>
      </c>
      <c r="P952" s="6" t="s">
        <v>104</v>
      </c>
      <c r="Q952" s="6" t="s">
        <v>104</v>
      </c>
      <c r="R952" s="6" t="s">
        <v>104</v>
      </c>
      <c r="S952" s="6" t="s">
        <v>104</v>
      </c>
      <c r="T952" s="21" t="s">
        <v>104</v>
      </c>
      <c r="U952" s="6" t="s">
        <v>104</v>
      </c>
      <c r="V952" s="6" t="s">
        <v>104</v>
      </c>
      <c r="W952" s="6" t="s">
        <v>104</v>
      </c>
      <c r="X952" s="6" t="s">
        <v>104</v>
      </c>
      <c r="Y952" s="21" t="s">
        <v>104</v>
      </c>
      <c r="Z952" s="6" t="s">
        <v>104</v>
      </c>
      <c r="AA952" s="6" t="s">
        <v>104</v>
      </c>
      <c r="AB952" s="6" t="s">
        <v>104</v>
      </c>
      <c r="AC952" s="6" t="s">
        <v>9714</v>
      </c>
      <c r="AD952" s="16" t="n">
        <v>45162</v>
      </c>
      <c r="AE952" s="6" t="s">
        <v>11372</v>
      </c>
      <c r="AF952" s="6" t="s">
        <v>104</v>
      </c>
      <c r="AG952" s="6" t="s">
        <v>12796</v>
      </c>
      <c r="AH952" s="6" t="s">
        <v>14021</v>
      </c>
      <c r="AI952" s="6" t="s">
        <v>104</v>
      </c>
      <c r="AJ952" s="6" t="s">
        <v>15513</v>
      </c>
      <c r="AK952" s="6" t="s">
        <v>104</v>
      </c>
      <c r="AL952" s="6" t="s">
        <v>15513</v>
      </c>
      <c r="AM952" s="6" t="s">
        <v>17624</v>
      </c>
      <c r="AN952" s="6" t="s">
        <v>104</v>
      </c>
      <c r="AO952" s="6" t="s">
        <v>104</v>
      </c>
      <c r="AP952" s="6" t="s">
        <v>104</v>
      </c>
      <c r="AQ952" s="6" t="s">
        <v>104</v>
      </c>
      <c r="AR952" s="6" t="s">
        <v>104</v>
      </c>
      <c r="AS952" s="6" t="s">
        <v>104</v>
      </c>
      <c r="AT952" s="6" t="s">
        <v>104</v>
      </c>
      <c r="AU952" s="6" t="s">
        <v>104</v>
      </c>
      <c r="AV952" s="6" t="s">
        <v>104</v>
      </c>
      <c r="AW952" s="6" t="s">
        <v>104</v>
      </c>
      <c r="AX952" s="6" t="s">
        <v>20860</v>
      </c>
      <c r="AY952" s="6" t="s">
        <v>22638</v>
      </c>
      <c r="AZ952" s="6" t="s">
        <v>104</v>
      </c>
      <c r="BA952" s="6" t="s">
        <v>104</v>
      </c>
      <c r="BB952" s="24" t="n">
        <v>0</v>
      </c>
      <c r="BC952" s="26"/>
      <c r="BD952" s="26"/>
      <c r="BE952" s="26"/>
      <c r="BF952" s="26"/>
      <c r="BG952" s="26"/>
      <c r="BH952" s="26"/>
      <c r="BI952" s="26"/>
      <c r="BJ952" s="26"/>
      <c r="BK952" s="26"/>
      <c r="BL952" s="26"/>
      <c r="BM952" s="26"/>
      <c r="BN952" s="26"/>
      <c r="BO952" s="26"/>
      <c r="BP952" s="16" t="n">
        <v>45653</v>
      </c>
      <c r="BQ952" s="28" t="str">
        <f>HYPERLINK("https://organic.ams.usda.gov/Integrity/Certificate.aspx?cid=12&amp;nopid=8699694444")</f>
        <v>https://organic.ams.usda.gov/Integrity/Certificate.aspx?cid=12&amp;nopid=8699694444</v>
      </c>
    </row>
    <row r="953">
      <c r="A953" t="s">
        <v>3</v>
      </c>
      <c r="B953" s="6" t="s">
        <v>44</v>
      </c>
      <c r="C953" s="6" t="s">
        <v>110</v>
      </c>
      <c r="D953" s="6" t="s">
        <v>174</v>
      </c>
      <c r="E953" s="10" t="s">
        <v>1151</v>
      </c>
      <c r="F953" s="6" t="s">
        <v>3395</v>
      </c>
      <c r="G953" s="6" t="s">
        <v>104</v>
      </c>
      <c r="H953" s="6" t="s">
        <v>5757</v>
      </c>
      <c r="I953" s="6" t="s">
        <v>7521</v>
      </c>
      <c r="J953" s="6" t="s">
        <v>8850</v>
      </c>
      <c r="K953" s="6" t="s">
        <v>9714</v>
      </c>
      <c r="L953" s="16" t="n">
        <v>43724</v>
      </c>
      <c r="M953" s="16" t="n">
        <v>45672</v>
      </c>
      <c r="N953" s="6" t="s">
        <v>104</v>
      </c>
      <c r="O953" s="21" t="s">
        <v>104</v>
      </c>
      <c r="P953" s="6" t="s">
        <v>104</v>
      </c>
      <c r="Q953" s="6" t="s">
        <v>104</v>
      </c>
      <c r="R953" s="6" t="s">
        <v>104</v>
      </c>
      <c r="S953" s="6" t="s">
        <v>104</v>
      </c>
      <c r="T953" s="21" t="s">
        <v>104</v>
      </c>
      <c r="U953" s="6" t="s">
        <v>104</v>
      </c>
      <c r="V953" s="6" t="s">
        <v>104</v>
      </c>
      <c r="W953" s="6" t="s">
        <v>104</v>
      </c>
      <c r="X953" s="6" t="s">
        <v>104</v>
      </c>
      <c r="Y953" s="21" t="s">
        <v>104</v>
      </c>
      <c r="Z953" s="6" t="s">
        <v>104</v>
      </c>
      <c r="AA953" s="6" t="s">
        <v>104</v>
      </c>
      <c r="AB953" s="6" t="s">
        <v>104</v>
      </c>
      <c r="AC953" s="6" t="s">
        <v>9714</v>
      </c>
      <c r="AD953" s="16" t="n">
        <v>43724</v>
      </c>
      <c r="AE953" s="6" t="s">
        <v>11373</v>
      </c>
      <c r="AF953" s="6" t="s">
        <v>104</v>
      </c>
      <c r="AG953" s="6" t="s">
        <v>104</v>
      </c>
      <c r="AH953" s="6" t="s">
        <v>14022</v>
      </c>
      <c r="AI953" s="6" t="s">
        <v>104</v>
      </c>
      <c r="AJ953" s="6" t="s">
        <v>15988</v>
      </c>
      <c r="AK953" s="6" t="s">
        <v>15697</v>
      </c>
      <c r="AL953" s="6" t="s">
        <v>16931</v>
      </c>
      <c r="AM953" s="6" t="s">
        <v>17625</v>
      </c>
      <c r="AN953" s="6" t="s">
        <v>18490</v>
      </c>
      <c r="AO953" s="6" t="s">
        <v>18609</v>
      </c>
      <c r="AP953" s="6" t="s">
        <v>14022</v>
      </c>
      <c r="AQ953" s="6" t="s">
        <v>104</v>
      </c>
      <c r="AR953" s="6" t="s">
        <v>15988</v>
      </c>
      <c r="AS953" s="6" t="s">
        <v>15697</v>
      </c>
      <c r="AT953" s="6" t="s">
        <v>16931</v>
      </c>
      <c r="AU953" s="6" t="s">
        <v>17625</v>
      </c>
      <c r="AV953" s="6" t="s">
        <v>104</v>
      </c>
      <c r="AW953" s="6" t="s">
        <v>104</v>
      </c>
      <c r="AX953" s="6" t="s">
        <v>20861</v>
      </c>
      <c r="AY953" s="6" t="s">
        <v>104</v>
      </c>
      <c r="AZ953" s="6" t="s">
        <v>23931</v>
      </c>
      <c r="BA953" s="6" t="s">
        <v>104</v>
      </c>
      <c r="BB953" s="24" t="n">
        <v>0</v>
      </c>
      <c r="BC953" s="26"/>
      <c r="BD953" s="26"/>
      <c r="BE953" s="26"/>
      <c r="BF953" s="26"/>
      <c r="BG953" s="26"/>
      <c r="BH953" s="26"/>
      <c r="BI953" s="26"/>
      <c r="BJ953" s="26"/>
      <c r="BK953" s="26"/>
      <c r="BL953" s="26"/>
      <c r="BM953" s="26"/>
      <c r="BN953" s="26"/>
      <c r="BO953" s="26"/>
      <c r="BP953" s="16" t="n">
        <v>45709</v>
      </c>
      <c r="BQ953" s="28" t="str">
        <f>HYPERLINK("https://organic.ams.usda.gov/Integrity/Certificate.aspx?cid=57&amp;nopid=3252019079")</f>
        <v>https://organic.ams.usda.gov/Integrity/Certificate.aspx?cid=57&amp;nopid=3252019079</v>
      </c>
    </row>
    <row r="954">
      <c r="A954" t="s">
        <v>3</v>
      </c>
      <c r="B954" s="6" t="s">
        <v>13</v>
      </c>
      <c r="C954" s="6" t="s">
        <v>79</v>
      </c>
      <c r="D954" s="6" t="s">
        <v>144</v>
      </c>
      <c r="E954" s="10" t="s">
        <v>1152</v>
      </c>
      <c r="F954" s="6" t="s">
        <v>3396</v>
      </c>
      <c r="G954" s="6" t="s">
        <v>104</v>
      </c>
      <c r="H954" s="6" t="s">
        <v>5758</v>
      </c>
      <c r="I954" s="6" t="s">
        <v>7522</v>
      </c>
      <c r="J954" s="6" t="s">
        <v>8147</v>
      </c>
      <c r="K954" s="6" t="s">
        <v>9714</v>
      </c>
      <c r="L954" s="16" t="n">
        <v>41096</v>
      </c>
      <c r="M954" s="16" t="n">
        <v>45748</v>
      </c>
      <c r="N954" s="6" t="s">
        <v>104</v>
      </c>
      <c r="O954" s="21" t="s">
        <v>104</v>
      </c>
      <c r="P954" s="6" t="s">
        <v>104</v>
      </c>
      <c r="Q954" s="6" t="s">
        <v>104</v>
      </c>
      <c r="R954" s="6" t="s">
        <v>104</v>
      </c>
      <c r="S954" s="6" t="s">
        <v>104</v>
      </c>
      <c r="T954" s="21" t="s">
        <v>104</v>
      </c>
      <c r="U954" s="6" t="s">
        <v>104</v>
      </c>
      <c r="V954" s="6" t="s">
        <v>104</v>
      </c>
      <c r="W954" s="6" t="s">
        <v>104</v>
      </c>
      <c r="X954" s="6" t="s">
        <v>104</v>
      </c>
      <c r="Y954" s="21" t="s">
        <v>104</v>
      </c>
      <c r="Z954" s="6" t="s">
        <v>104</v>
      </c>
      <c r="AA954" s="6" t="s">
        <v>104</v>
      </c>
      <c r="AB954" s="6" t="s">
        <v>104</v>
      </c>
      <c r="AC954" s="6" t="s">
        <v>9714</v>
      </c>
      <c r="AD954" s="16" t="n">
        <v>41096</v>
      </c>
      <c r="AE954" s="6" t="s">
        <v>11374</v>
      </c>
      <c r="AF954" s="6" t="s">
        <v>104</v>
      </c>
      <c r="AG954" s="6" t="s">
        <v>104</v>
      </c>
      <c r="AH954" s="6" t="s">
        <v>104</v>
      </c>
      <c r="AI954" s="6" t="s">
        <v>104</v>
      </c>
      <c r="AJ954" s="6" t="s">
        <v>104</v>
      </c>
      <c r="AK954" s="6" t="s">
        <v>104</v>
      </c>
      <c r="AL954" s="6" t="s">
        <v>104</v>
      </c>
      <c r="AM954" s="6" t="s">
        <v>104</v>
      </c>
      <c r="AN954" s="6" t="s">
        <v>104</v>
      </c>
      <c r="AO954" s="6" t="s">
        <v>104</v>
      </c>
      <c r="AP954" s="6" t="s">
        <v>19193</v>
      </c>
      <c r="AQ954" s="6" t="s">
        <v>104</v>
      </c>
      <c r="AR954" s="6" t="s">
        <v>15691</v>
      </c>
      <c r="AS954" s="6" t="s">
        <v>16705</v>
      </c>
      <c r="AT954" s="6" t="s">
        <v>16931</v>
      </c>
      <c r="AU954" s="6" t="s">
        <v>19921</v>
      </c>
      <c r="AV954" s="6" t="s">
        <v>18464</v>
      </c>
      <c r="AW954" s="6" t="s">
        <v>18756</v>
      </c>
      <c r="AX954" s="6" t="s">
        <v>20862</v>
      </c>
      <c r="AY954" s="6" t="s">
        <v>22639</v>
      </c>
      <c r="AZ954" s="6" t="s">
        <v>104</v>
      </c>
      <c r="BA954" s="6" t="s">
        <v>104</v>
      </c>
      <c r="BB954" s="6" t="s">
        <v>104</v>
      </c>
      <c r="BC954" s="26"/>
      <c r="BD954" s="26"/>
      <c r="BE954" s="26"/>
      <c r="BF954" s="26"/>
      <c r="BG954" s="26" t="s">
        <v>24533</v>
      </c>
      <c r="BH954" s="26"/>
      <c r="BI954" s="26"/>
      <c r="BJ954" s="26"/>
      <c r="BK954" s="26"/>
      <c r="BL954" s="26"/>
      <c r="BM954" s="26"/>
      <c r="BN954" s="26" t="s">
        <v>24533</v>
      </c>
      <c r="BO954" s="26"/>
      <c r="BP954" s="16" t="n">
        <v>45701</v>
      </c>
      <c r="BQ954" s="28" t="str">
        <f>HYPERLINK("https://organic.ams.usda.gov/Integrity/Certificate.aspx?cid=62&amp;nopid=8150000297")</f>
        <v>https://organic.ams.usda.gov/Integrity/Certificate.aspx?cid=62&amp;nopid=8150000297</v>
      </c>
    </row>
    <row r="955">
      <c r="A955" t="s">
        <v>3</v>
      </c>
      <c r="B955" s="6" t="s">
        <v>57</v>
      </c>
      <c r="C955" s="6" t="s">
        <v>123</v>
      </c>
      <c r="D955" s="6" t="s">
        <v>187</v>
      </c>
      <c r="E955" s="10" t="s">
        <v>1153</v>
      </c>
      <c r="F955" s="6" t="s">
        <v>3397</v>
      </c>
      <c r="G955" s="6" t="s">
        <v>104</v>
      </c>
      <c r="H955" s="6" t="s">
        <v>5759</v>
      </c>
      <c r="I955" s="6" t="s">
        <v>104</v>
      </c>
      <c r="J955" s="6" t="s">
        <v>104</v>
      </c>
      <c r="K955" s="6" t="s">
        <v>9714</v>
      </c>
      <c r="L955" s="16" t="n">
        <v>38112</v>
      </c>
      <c r="M955" s="16" t="n">
        <v>45931</v>
      </c>
      <c r="N955" s="6" t="s">
        <v>104</v>
      </c>
      <c r="O955" s="21" t="s">
        <v>104</v>
      </c>
      <c r="P955" s="6" t="s">
        <v>104</v>
      </c>
      <c r="Q955" s="6" t="s">
        <v>104</v>
      </c>
      <c r="R955" s="6" t="s">
        <v>104</v>
      </c>
      <c r="S955" s="6" t="s">
        <v>104</v>
      </c>
      <c r="T955" s="21" t="s">
        <v>104</v>
      </c>
      <c r="U955" s="6" t="s">
        <v>104</v>
      </c>
      <c r="V955" s="6" t="s">
        <v>104</v>
      </c>
      <c r="W955" s="6" t="s">
        <v>104</v>
      </c>
      <c r="X955" s="6" t="s">
        <v>104</v>
      </c>
      <c r="Y955" s="21" t="s">
        <v>104</v>
      </c>
      <c r="Z955" s="6" t="s">
        <v>104</v>
      </c>
      <c r="AA955" s="6" t="s">
        <v>104</v>
      </c>
      <c r="AB955" s="6" t="s">
        <v>104</v>
      </c>
      <c r="AC955" s="6" t="s">
        <v>9714</v>
      </c>
      <c r="AD955" s="16" t="n">
        <v>38112</v>
      </c>
      <c r="AE955" s="6" t="s">
        <v>11375</v>
      </c>
      <c r="AF955" s="6" t="s">
        <v>104</v>
      </c>
      <c r="AG955" s="6" t="s">
        <v>104</v>
      </c>
      <c r="AH955" s="6" t="s">
        <v>14023</v>
      </c>
      <c r="AI955" s="6" t="s">
        <v>104</v>
      </c>
      <c r="AJ955" s="6" t="s">
        <v>15989</v>
      </c>
      <c r="AK955" s="6" t="s">
        <v>16730</v>
      </c>
      <c r="AL955" s="6" t="s">
        <v>16931</v>
      </c>
      <c r="AM955" s="6" t="s">
        <v>17626</v>
      </c>
      <c r="AN955" s="6" t="s">
        <v>5429</v>
      </c>
      <c r="AO955" s="6" t="s">
        <v>18767</v>
      </c>
      <c r="AP955" s="6" t="s">
        <v>19194</v>
      </c>
      <c r="AQ955" s="6" t="s">
        <v>19559</v>
      </c>
      <c r="AR955" s="6" t="s">
        <v>15989</v>
      </c>
      <c r="AS955" s="6" t="s">
        <v>16730</v>
      </c>
      <c r="AT955" s="6" t="s">
        <v>16931</v>
      </c>
      <c r="AU955" s="6" t="s">
        <v>17626</v>
      </c>
      <c r="AV955" s="6" t="s">
        <v>104</v>
      </c>
      <c r="AW955" s="6" t="s">
        <v>104</v>
      </c>
      <c r="AX955" s="6" t="s">
        <v>20863</v>
      </c>
      <c r="AY955" s="6" t="s">
        <v>19559</v>
      </c>
      <c r="AZ955" s="6" t="s">
        <v>104</v>
      </c>
      <c r="BA955" s="6" t="s">
        <v>104</v>
      </c>
      <c r="BB955" s="6" t="s">
        <v>104</v>
      </c>
      <c r="BC955" s="26"/>
      <c r="BD955" s="26"/>
      <c r="BE955" s="26"/>
      <c r="BF955" s="26"/>
      <c r="BG955" s="26"/>
      <c r="BH955" s="26"/>
      <c r="BI955" s="26"/>
      <c r="BJ955" s="26"/>
      <c r="BK955" s="26"/>
      <c r="BL955" s="26"/>
      <c r="BM955" s="26"/>
      <c r="BN955" s="26"/>
      <c r="BO955" s="26"/>
      <c r="BP955" s="16" t="n">
        <v>45735</v>
      </c>
      <c r="BQ955" s="28" t="str">
        <f>HYPERLINK("https://organic.ams.usda.gov/Integrity/Certificate.aspx?cid=19&amp;nopid=6350000107")</f>
        <v>https://organic.ams.usda.gov/Integrity/Certificate.aspx?cid=19&amp;nopid=6350000107</v>
      </c>
    </row>
    <row r="956">
      <c r="A956" t="s">
        <v>3</v>
      </c>
      <c r="B956" s="6" t="s">
        <v>34</v>
      </c>
      <c r="C956" s="6" t="s">
        <v>100</v>
      </c>
      <c r="D956" s="6" t="s">
        <v>165</v>
      </c>
      <c r="E956" s="10" t="s">
        <v>1154</v>
      </c>
      <c r="F956" s="6" t="s">
        <v>3398</v>
      </c>
      <c r="G956" s="6" t="s">
        <v>104</v>
      </c>
      <c r="H956" s="6" t="s">
        <v>5760</v>
      </c>
      <c r="I956" s="6" t="s">
        <v>7078</v>
      </c>
      <c r="J956" s="6" t="s">
        <v>8851</v>
      </c>
      <c r="K956" s="6" t="s">
        <v>9714</v>
      </c>
      <c r="L956" s="16" t="n">
        <v>44014</v>
      </c>
      <c r="M956" s="16" t="n">
        <v>45660</v>
      </c>
      <c r="N956" s="6" t="s">
        <v>104</v>
      </c>
      <c r="O956" s="21" t="s">
        <v>104</v>
      </c>
      <c r="P956" s="6" t="s">
        <v>104</v>
      </c>
      <c r="Q956" s="6" t="s">
        <v>104</v>
      </c>
      <c r="R956" s="6" t="s">
        <v>104</v>
      </c>
      <c r="S956" s="6" t="s">
        <v>104</v>
      </c>
      <c r="T956" s="21" t="s">
        <v>104</v>
      </c>
      <c r="U956" s="6" t="s">
        <v>104</v>
      </c>
      <c r="V956" s="6" t="s">
        <v>104</v>
      </c>
      <c r="W956" s="6" t="s">
        <v>104</v>
      </c>
      <c r="X956" s="6" t="s">
        <v>104</v>
      </c>
      <c r="Y956" s="21" t="s">
        <v>104</v>
      </c>
      <c r="Z956" s="6" t="s">
        <v>104</v>
      </c>
      <c r="AA956" s="6" t="s">
        <v>104</v>
      </c>
      <c r="AB956" s="6" t="s">
        <v>104</v>
      </c>
      <c r="AC956" s="6" t="s">
        <v>9714</v>
      </c>
      <c r="AD956" s="16" t="n">
        <v>44014</v>
      </c>
      <c r="AE956" s="6" t="s">
        <v>11376</v>
      </c>
      <c r="AF956" s="6" t="s">
        <v>104</v>
      </c>
      <c r="AG956" s="6" t="s">
        <v>12797</v>
      </c>
      <c r="AH956" s="6" t="s">
        <v>14024</v>
      </c>
      <c r="AI956" s="6" t="s">
        <v>104</v>
      </c>
      <c r="AJ956" s="6" t="s">
        <v>15990</v>
      </c>
      <c r="AK956" s="6" t="s">
        <v>16256</v>
      </c>
      <c r="AL956" s="6" t="s">
        <v>16931</v>
      </c>
      <c r="AM956" s="6" t="s">
        <v>17627</v>
      </c>
      <c r="AN956" s="6" t="s">
        <v>18468</v>
      </c>
      <c r="AO956" s="6" t="s">
        <v>18736</v>
      </c>
      <c r="AP956" s="6" t="s">
        <v>14024</v>
      </c>
      <c r="AQ956" s="6" t="s">
        <v>104</v>
      </c>
      <c r="AR956" s="6" t="s">
        <v>15990</v>
      </c>
      <c r="AS956" s="6" t="s">
        <v>16256</v>
      </c>
      <c r="AT956" s="6" t="s">
        <v>16931</v>
      </c>
      <c r="AU956" s="6" t="s">
        <v>17627</v>
      </c>
      <c r="AV956" s="6" t="s">
        <v>104</v>
      </c>
      <c r="AW956" s="6" t="s">
        <v>104</v>
      </c>
      <c r="AX956" s="6" t="s">
        <v>20864</v>
      </c>
      <c r="AY956" s="6" t="s">
        <v>22640</v>
      </c>
      <c r="AZ956" s="6" t="s">
        <v>23932</v>
      </c>
      <c r="BA956" s="6" t="s">
        <v>104</v>
      </c>
      <c r="BB956" s="6" t="s">
        <v>104</v>
      </c>
      <c r="BC956" s="26"/>
      <c r="BD956" s="26"/>
      <c r="BE956" s="26" t="s">
        <v>24533</v>
      </c>
      <c r="BF956" s="26"/>
      <c r="BG956" s="26" t="s">
        <v>24533</v>
      </c>
      <c r="BH956" s="26" t="s">
        <v>24533</v>
      </c>
      <c r="BI956" s="26"/>
      <c r="BJ956" s="26"/>
      <c r="BK956" s="26"/>
      <c r="BL956" s="26"/>
      <c r="BM956" s="26"/>
      <c r="BN956" s="26"/>
      <c r="BO956" s="26"/>
      <c r="BP956" s="16" t="n">
        <v>45737</v>
      </c>
      <c r="BQ956" s="28" t="str">
        <f>HYPERLINK("https://organic.ams.usda.gov/Integrity/Certificate.aspx?cid=71&amp;nopid=5520030534")</f>
        <v>https://organic.ams.usda.gov/Integrity/Certificate.aspx?cid=71&amp;nopid=5520030534</v>
      </c>
    </row>
    <row r="957">
      <c r="A957" t="s">
        <v>3</v>
      </c>
      <c r="B957" s="6" t="s">
        <v>20</v>
      </c>
      <c r="C957" s="6" t="s">
        <v>86</v>
      </c>
      <c r="D957" s="6" t="s">
        <v>151</v>
      </c>
      <c r="E957" s="10" t="s">
        <v>1155</v>
      </c>
      <c r="F957" s="6" t="s">
        <v>3399</v>
      </c>
      <c r="G957" s="6" t="s">
        <v>104</v>
      </c>
      <c r="H957" s="6" t="s">
        <v>5761</v>
      </c>
      <c r="I957" s="6" t="s">
        <v>7523</v>
      </c>
      <c r="J957" s="6" t="s">
        <v>8852</v>
      </c>
      <c r="K957" s="6" t="s">
        <v>9714</v>
      </c>
      <c r="L957" s="16" t="n">
        <v>45160</v>
      </c>
      <c r="M957" s="16" t="n">
        <v>45869</v>
      </c>
      <c r="N957" s="6" t="s">
        <v>104</v>
      </c>
      <c r="O957" s="21" t="s">
        <v>104</v>
      </c>
      <c r="P957" s="6" t="s">
        <v>104</v>
      </c>
      <c r="Q957" s="6" t="s">
        <v>104</v>
      </c>
      <c r="R957" s="6" t="s">
        <v>104</v>
      </c>
      <c r="S957" s="6" t="s">
        <v>104</v>
      </c>
      <c r="T957" s="21" t="s">
        <v>104</v>
      </c>
      <c r="U957" s="6" t="s">
        <v>104</v>
      </c>
      <c r="V957" s="6" t="s">
        <v>104</v>
      </c>
      <c r="W957" s="6" t="s">
        <v>104</v>
      </c>
      <c r="X957" s="6" t="s">
        <v>104</v>
      </c>
      <c r="Y957" s="21" t="s">
        <v>104</v>
      </c>
      <c r="Z957" s="6" t="s">
        <v>104</v>
      </c>
      <c r="AA957" s="6" t="s">
        <v>104</v>
      </c>
      <c r="AB957" s="6" t="s">
        <v>104</v>
      </c>
      <c r="AC957" s="6" t="s">
        <v>9714</v>
      </c>
      <c r="AD957" s="16" t="n">
        <v>45160</v>
      </c>
      <c r="AE957" s="6" t="s">
        <v>11377</v>
      </c>
      <c r="AF957" s="6" t="s">
        <v>104</v>
      </c>
      <c r="AG957" s="6" t="s">
        <v>12798</v>
      </c>
      <c r="AH957" s="6" t="s">
        <v>14025</v>
      </c>
      <c r="AI957" s="6" t="s">
        <v>104</v>
      </c>
      <c r="AJ957" s="6" t="s">
        <v>15373</v>
      </c>
      <c r="AK957" s="6" t="s">
        <v>15373</v>
      </c>
      <c r="AL957" s="6" t="s">
        <v>16933</v>
      </c>
      <c r="AM957" s="6" t="s">
        <v>17628</v>
      </c>
      <c r="AN957" s="6" t="s">
        <v>104</v>
      </c>
      <c r="AO957" s="6" t="s">
        <v>104</v>
      </c>
      <c r="AP957" s="6" t="s">
        <v>104</v>
      </c>
      <c r="AQ957" s="6" t="s">
        <v>104</v>
      </c>
      <c r="AR957" s="6" t="s">
        <v>104</v>
      </c>
      <c r="AS957" s="6" t="s">
        <v>104</v>
      </c>
      <c r="AT957" s="6" t="s">
        <v>104</v>
      </c>
      <c r="AU957" s="6" t="s">
        <v>104</v>
      </c>
      <c r="AV957" s="6" t="s">
        <v>104</v>
      </c>
      <c r="AW957" s="6" t="s">
        <v>104</v>
      </c>
      <c r="AX957" s="6" t="s">
        <v>104</v>
      </c>
      <c r="AY957" s="6" t="s">
        <v>22641</v>
      </c>
      <c r="AZ957" s="6" t="s">
        <v>23933</v>
      </c>
      <c r="BA957" s="6" t="s">
        <v>104</v>
      </c>
      <c r="BB957" s="6" t="s">
        <v>104</v>
      </c>
      <c r="BC957" s="26"/>
      <c r="BD957" s="26"/>
      <c r="BE957" s="26"/>
      <c r="BF957" s="26"/>
      <c r="BG957" s="26"/>
      <c r="BH957" s="26"/>
      <c r="BI957" s="26"/>
      <c r="BJ957" s="26"/>
      <c r="BK957" s="26"/>
      <c r="BL957" s="26"/>
      <c r="BM957" s="26"/>
      <c r="BN957" s="26"/>
      <c r="BO957" s="26"/>
      <c r="BP957" s="16" t="n">
        <v>45497</v>
      </c>
      <c r="BQ957" s="28" t="str">
        <f>HYPERLINK("https://organic.ams.usda.gov/Integrity/Certificate.aspx?cid=17&amp;nopid=4080206857")</f>
        <v>https://organic.ams.usda.gov/Integrity/Certificate.aspx?cid=17&amp;nopid=4080206857</v>
      </c>
    </row>
    <row r="958">
      <c r="A958" t="s">
        <v>3</v>
      </c>
      <c r="B958" s="6" t="s">
        <v>18</v>
      </c>
      <c r="C958" s="6" t="s">
        <v>84</v>
      </c>
      <c r="D958" s="6" t="s">
        <v>149</v>
      </c>
      <c r="E958" s="10" t="s">
        <v>1156</v>
      </c>
      <c r="F958" s="6" t="s">
        <v>3400</v>
      </c>
      <c r="G958" s="6" t="s">
        <v>4764</v>
      </c>
      <c r="H958" s="6" t="s">
        <v>5762</v>
      </c>
      <c r="I958" s="6" t="s">
        <v>7524</v>
      </c>
      <c r="J958" s="6" t="s">
        <v>8853</v>
      </c>
      <c r="K958" s="6" t="s">
        <v>9714</v>
      </c>
      <c r="L958" s="16" t="n">
        <v>37825</v>
      </c>
      <c r="M958" s="16" t="n">
        <v>45870</v>
      </c>
      <c r="N958" s="6" t="s">
        <v>9714</v>
      </c>
      <c r="O958" s="16" t="n">
        <v>37825</v>
      </c>
      <c r="P958" s="6" t="s">
        <v>9976</v>
      </c>
      <c r="Q958" s="6" t="s">
        <v>104</v>
      </c>
      <c r="R958" s="6" t="s">
        <v>10359</v>
      </c>
      <c r="S958" s="6" t="s">
        <v>104</v>
      </c>
      <c r="T958" s="21" t="s">
        <v>104</v>
      </c>
      <c r="U958" s="6" t="s">
        <v>104</v>
      </c>
      <c r="V958" s="6" t="s">
        <v>104</v>
      </c>
      <c r="W958" s="6" t="s">
        <v>104</v>
      </c>
      <c r="X958" s="6" t="s">
        <v>104</v>
      </c>
      <c r="Y958" s="21" t="s">
        <v>104</v>
      </c>
      <c r="Z958" s="6" t="s">
        <v>104</v>
      </c>
      <c r="AA958" s="6" t="s">
        <v>104</v>
      </c>
      <c r="AB958" s="6" t="s">
        <v>104</v>
      </c>
      <c r="AC958" s="6" t="s">
        <v>9714</v>
      </c>
      <c r="AD958" s="16" t="n">
        <v>37825</v>
      </c>
      <c r="AE958" s="6" t="s">
        <v>11378</v>
      </c>
      <c r="AF958" s="6" t="s">
        <v>104</v>
      </c>
      <c r="AG958" s="6" t="s">
        <v>12799</v>
      </c>
      <c r="AH958" s="6" t="s">
        <v>14026</v>
      </c>
      <c r="AI958" s="6" t="s">
        <v>104</v>
      </c>
      <c r="AJ958" s="6" t="s">
        <v>15991</v>
      </c>
      <c r="AK958" s="6" t="s">
        <v>16683</v>
      </c>
      <c r="AL958" s="6" t="s">
        <v>16931</v>
      </c>
      <c r="AM958" s="6" t="s">
        <v>17629</v>
      </c>
      <c r="AN958" s="6" t="s">
        <v>18505</v>
      </c>
      <c r="AO958" s="6" t="s">
        <v>18768</v>
      </c>
      <c r="AP958" s="6" t="s">
        <v>104</v>
      </c>
      <c r="AQ958" s="6" t="s">
        <v>104</v>
      </c>
      <c r="AR958" s="6" t="s">
        <v>104</v>
      </c>
      <c r="AS958" s="6" t="s">
        <v>104</v>
      </c>
      <c r="AT958" s="6" t="s">
        <v>104</v>
      </c>
      <c r="AU958" s="6" t="s">
        <v>104</v>
      </c>
      <c r="AV958" s="6" t="s">
        <v>104</v>
      </c>
      <c r="AW958" s="6" t="s">
        <v>104</v>
      </c>
      <c r="AX958" s="6" t="s">
        <v>20865</v>
      </c>
      <c r="AY958" s="6" t="s">
        <v>22642</v>
      </c>
      <c r="AZ958" s="6" t="s">
        <v>104</v>
      </c>
      <c r="BA958" s="6" t="s">
        <v>104</v>
      </c>
      <c r="BB958" s="24" t="n">
        <v>770</v>
      </c>
      <c r="BC958" s="26"/>
      <c r="BD958" s="26"/>
      <c r="BE958" s="26"/>
      <c r="BF958" s="26"/>
      <c r="BG958" s="26"/>
      <c r="BH958" s="26"/>
      <c r="BI958" s="26"/>
      <c r="BJ958" s="26"/>
      <c r="BK958" s="26"/>
      <c r="BL958" s="26"/>
      <c r="BM958" s="26"/>
      <c r="BN958" s="26"/>
      <c r="BO958" s="26"/>
      <c r="BP958" s="16" t="n">
        <v>45737</v>
      </c>
      <c r="BQ958" s="28" t="str">
        <f>HYPERLINK("https://organic.ams.usda.gov/Integrity/Certificate.aspx?cid=31&amp;nopid=3920897270")</f>
        <v>https://organic.ams.usda.gov/Integrity/Certificate.aspx?cid=31&amp;nopid=3920897270</v>
      </c>
    </row>
    <row r="959">
      <c r="A959" t="s">
        <v>3</v>
      </c>
      <c r="B959" s="6" t="s">
        <v>27</v>
      </c>
      <c r="C959" s="6" t="s">
        <v>93</v>
      </c>
      <c r="D959" s="6" t="s">
        <v>158</v>
      </c>
      <c r="E959" s="10" t="s">
        <v>1157</v>
      </c>
      <c r="F959" s="6" t="s">
        <v>3401</v>
      </c>
      <c r="G959" s="6" t="s">
        <v>104</v>
      </c>
      <c r="H959" s="6" t="s">
        <v>5763</v>
      </c>
      <c r="I959" s="6" t="s">
        <v>7525</v>
      </c>
      <c r="J959" s="6" t="s">
        <v>8854</v>
      </c>
      <c r="K959" s="6" t="s">
        <v>9714</v>
      </c>
      <c r="L959" s="16" t="n">
        <v>45421</v>
      </c>
      <c r="M959" s="16" t="n">
        <v>45657</v>
      </c>
      <c r="N959" s="6" t="s">
        <v>9714</v>
      </c>
      <c r="O959" s="16" t="n">
        <v>45421</v>
      </c>
      <c r="P959" s="6" t="s">
        <v>9977</v>
      </c>
      <c r="Q959" s="6" t="s">
        <v>104</v>
      </c>
      <c r="R959" s="6" t="s">
        <v>10360</v>
      </c>
      <c r="S959" s="6" t="s">
        <v>104</v>
      </c>
      <c r="T959" s="21" t="s">
        <v>104</v>
      </c>
      <c r="U959" s="6" t="s">
        <v>104</v>
      </c>
      <c r="V959" s="6" t="s">
        <v>104</v>
      </c>
      <c r="W959" s="6" t="s">
        <v>104</v>
      </c>
      <c r="X959" s="6" t="s">
        <v>104</v>
      </c>
      <c r="Y959" s="21" t="s">
        <v>104</v>
      </c>
      <c r="Z959" s="6" t="s">
        <v>104</v>
      </c>
      <c r="AA959" s="6" t="s">
        <v>104</v>
      </c>
      <c r="AB959" s="6" t="s">
        <v>104</v>
      </c>
      <c r="AC959" s="6" t="s">
        <v>104</v>
      </c>
      <c r="AD959" s="21" t="s">
        <v>104</v>
      </c>
      <c r="AE959" s="6" t="s">
        <v>104</v>
      </c>
      <c r="AF959" s="6" t="s">
        <v>104</v>
      </c>
      <c r="AG959" s="6" t="s">
        <v>104</v>
      </c>
      <c r="AH959" s="6" t="s">
        <v>14027</v>
      </c>
      <c r="AI959" s="6" t="s">
        <v>104</v>
      </c>
      <c r="AJ959" s="6" t="s">
        <v>15992</v>
      </c>
      <c r="AK959" s="6" t="s">
        <v>16802</v>
      </c>
      <c r="AL959" s="6" t="s">
        <v>16932</v>
      </c>
      <c r="AM959" s="6" t="s">
        <v>17630</v>
      </c>
      <c r="AN959" s="6" t="s">
        <v>104</v>
      </c>
      <c r="AO959" s="6" t="s">
        <v>104</v>
      </c>
      <c r="AP959" s="6" t="s">
        <v>19195</v>
      </c>
      <c r="AQ959" s="6" t="s">
        <v>104</v>
      </c>
      <c r="AR959" s="6" t="s">
        <v>15836</v>
      </c>
      <c r="AS959" s="6" t="s">
        <v>16802</v>
      </c>
      <c r="AT959" s="6" t="s">
        <v>16932</v>
      </c>
      <c r="AU959" s="6" t="s">
        <v>19922</v>
      </c>
      <c r="AV959" s="6" t="s">
        <v>104</v>
      </c>
      <c r="AW959" s="6" t="s">
        <v>104</v>
      </c>
      <c r="AX959" s="6" t="s">
        <v>20866</v>
      </c>
      <c r="AY959" s="6" t="s">
        <v>22643</v>
      </c>
      <c r="AZ959" s="6" t="s">
        <v>104</v>
      </c>
      <c r="BA959" s="6" t="s">
        <v>24355</v>
      </c>
      <c r="BB959" s="24" t="n">
        <v>1028</v>
      </c>
      <c r="BC959" s="26"/>
      <c r="BD959" s="26"/>
      <c r="BE959" s="26"/>
      <c r="BF959" s="26"/>
      <c r="BG959" s="26"/>
      <c r="BH959" s="26"/>
      <c r="BI959" s="26"/>
      <c r="BJ959" s="26"/>
      <c r="BK959" s="26"/>
      <c r="BL959" s="26"/>
      <c r="BM959" s="26"/>
      <c r="BN959" s="26"/>
      <c r="BO959" s="26" t="s">
        <v>24533</v>
      </c>
      <c r="BP959" s="16" t="n">
        <v>45448</v>
      </c>
      <c r="BQ959" s="28" t="str">
        <f>HYPERLINK("https://organic.ams.usda.gov/Integrity/Certificate.aspx?cid=93&amp;nopid=6369549555")</f>
        <v>https://organic.ams.usda.gov/Integrity/Certificate.aspx?cid=93&amp;nopid=6369549555</v>
      </c>
    </row>
    <row r="960">
      <c r="A960" t="s">
        <v>3</v>
      </c>
      <c r="B960" s="6" t="s">
        <v>11</v>
      </c>
      <c r="C960" s="6" t="s">
        <v>77</v>
      </c>
      <c r="D960" s="6" t="s">
        <v>142</v>
      </c>
      <c r="E960" s="10" t="s">
        <v>1158</v>
      </c>
      <c r="F960" s="6" t="s">
        <v>3402</v>
      </c>
      <c r="G960" s="6" t="s">
        <v>104</v>
      </c>
      <c r="H960" s="6" t="s">
        <v>1158</v>
      </c>
      <c r="I960" s="6" t="s">
        <v>7526</v>
      </c>
      <c r="J960" s="6" t="s">
        <v>8604</v>
      </c>
      <c r="K960" s="6" t="s">
        <v>9714</v>
      </c>
      <c r="L960" s="16" t="n">
        <v>44697</v>
      </c>
      <c r="M960" s="16" t="n">
        <v>45760</v>
      </c>
      <c r="N960" s="6" t="s">
        <v>104</v>
      </c>
      <c r="O960" s="21" t="s">
        <v>104</v>
      </c>
      <c r="P960" s="6" t="s">
        <v>104</v>
      </c>
      <c r="Q960" s="6" t="s">
        <v>104</v>
      </c>
      <c r="R960" s="6" t="s">
        <v>104</v>
      </c>
      <c r="S960" s="6" t="s">
        <v>104</v>
      </c>
      <c r="T960" s="21" t="s">
        <v>104</v>
      </c>
      <c r="U960" s="6" t="s">
        <v>104</v>
      </c>
      <c r="V960" s="6" t="s">
        <v>104</v>
      </c>
      <c r="W960" s="6" t="s">
        <v>104</v>
      </c>
      <c r="X960" s="6" t="s">
        <v>104</v>
      </c>
      <c r="Y960" s="21" t="s">
        <v>104</v>
      </c>
      <c r="Z960" s="6" t="s">
        <v>104</v>
      </c>
      <c r="AA960" s="6" t="s">
        <v>104</v>
      </c>
      <c r="AB960" s="6" t="s">
        <v>104</v>
      </c>
      <c r="AC960" s="6" t="s">
        <v>9714</v>
      </c>
      <c r="AD960" s="16" t="n">
        <v>44697</v>
      </c>
      <c r="AE960" s="6" t="s">
        <v>11379</v>
      </c>
      <c r="AF960" s="6" t="s">
        <v>104</v>
      </c>
      <c r="AG960" s="6" t="s">
        <v>12800</v>
      </c>
      <c r="AH960" s="6" t="s">
        <v>14028</v>
      </c>
      <c r="AI960" s="6" t="s">
        <v>104</v>
      </c>
      <c r="AJ960" s="6" t="s">
        <v>15993</v>
      </c>
      <c r="AK960" s="6" t="s">
        <v>16830</v>
      </c>
      <c r="AL960" s="6" t="s">
        <v>16932</v>
      </c>
      <c r="AM960" s="6" t="s">
        <v>17631</v>
      </c>
      <c r="AN960" s="6" t="s">
        <v>104</v>
      </c>
      <c r="AO960" s="6" t="s">
        <v>104</v>
      </c>
      <c r="AP960" s="6" t="s">
        <v>14028</v>
      </c>
      <c r="AQ960" s="6" t="s">
        <v>104</v>
      </c>
      <c r="AR960" s="6" t="s">
        <v>15993</v>
      </c>
      <c r="AS960" s="6" t="s">
        <v>16830</v>
      </c>
      <c r="AT960" s="6" t="s">
        <v>16932</v>
      </c>
      <c r="AU960" s="6" t="s">
        <v>19923</v>
      </c>
      <c r="AV960" s="6" t="s">
        <v>104</v>
      </c>
      <c r="AW960" s="6" t="s">
        <v>104</v>
      </c>
      <c r="AX960" s="6" t="s">
        <v>20867</v>
      </c>
      <c r="AY960" s="6" t="s">
        <v>22644</v>
      </c>
      <c r="AZ960" s="6" t="s">
        <v>104</v>
      </c>
      <c r="BA960" s="6" t="s">
        <v>104</v>
      </c>
      <c r="BB960" s="6" t="s">
        <v>104</v>
      </c>
      <c r="BC960" s="26"/>
      <c r="BD960" s="26"/>
      <c r="BE960" s="26"/>
      <c r="BF960" s="26"/>
      <c r="BG960" s="26"/>
      <c r="BH960" s="26"/>
      <c r="BI960" s="26"/>
      <c r="BJ960" s="26"/>
      <c r="BK960" s="26"/>
      <c r="BL960" s="26"/>
      <c r="BM960" s="26"/>
      <c r="BN960" s="26" t="s">
        <v>24533</v>
      </c>
      <c r="BO960" s="26"/>
      <c r="BP960" s="16" t="n">
        <v>45623</v>
      </c>
      <c r="BQ960" s="28" t="str">
        <f>HYPERLINK("https://organic.ams.usda.gov/Integrity/Certificate.aspx?cid=21&amp;nopid=1780857388")</f>
        <v>https://organic.ams.usda.gov/Integrity/Certificate.aspx?cid=21&amp;nopid=1780857388</v>
      </c>
    </row>
    <row r="961">
      <c r="A961" t="s">
        <v>3</v>
      </c>
      <c r="B961" s="6" t="s">
        <v>20</v>
      </c>
      <c r="C961" s="6" t="s">
        <v>86</v>
      </c>
      <c r="D961" s="6" t="s">
        <v>151</v>
      </c>
      <c r="E961" s="10" t="s">
        <v>1159</v>
      </c>
      <c r="F961" s="6" t="s">
        <v>3403</v>
      </c>
      <c r="G961" s="6" t="s">
        <v>104</v>
      </c>
      <c r="H961" s="6" t="s">
        <v>5764</v>
      </c>
      <c r="I961" s="6" t="s">
        <v>104</v>
      </c>
      <c r="J961" s="6" t="s">
        <v>8855</v>
      </c>
      <c r="K961" s="6" t="s">
        <v>9714</v>
      </c>
      <c r="L961" s="16" t="n">
        <v>45359</v>
      </c>
      <c r="M961" s="16" t="n">
        <v>45688</v>
      </c>
      <c r="N961" s="6" t="s">
        <v>9714</v>
      </c>
      <c r="O961" s="16" t="n">
        <v>45359</v>
      </c>
      <c r="P961" s="6" t="s">
        <v>9978</v>
      </c>
      <c r="Q961" s="6" t="s">
        <v>104</v>
      </c>
      <c r="R961" s="6" t="s">
        <v>10361</v>
      </c>
      <c r="S961" s="6" t="s">
        <v>104</v>
      </c>
      <c r="T961" s="21" t="s">
        <v>104</v>
      </c>
      <c r="U961" s="6" t="s">
        <v>104</v>
      </c>
      <c r="V961" s="6" t="s">
        <v>104</v>
      </c>
      <c r="W961" s="6" t="s">
        <v>104</v>
      </c>
      <c r="X961" s="6" t="s">
        <v>104</v>
      </c>
      <c r="Y961" s="21" t="s">
        <v>104</v>
      </c>
      <c r="Z961" s="6" t="s">
        <v>104</v>
      </c>
      <c r="AA961" s="6" t="s">
        <v>104</v>
      </c>
      <c r="AB961" s="6" t="s">
        <v>104</v>
      </c>
      <c r="AC961" s="6" t="s">
        <v>9714</v>
      </c>
      <c r="AD961" s="16" t="n">
        <v>45359</v>
      </c>
      <c r="AE961" s="6" t="s">
        <v>11380</v>
      </c>
      <c r="AF961" s="6" t="s">
        <v>104</v>
      </c>
      <c r="AG961" s="6" t="s">
        <v>10361</v>
      </c>
      <c r="AH961" s="6" t="s">
        <v>14029</v>
      </c>
      <c r="AI961" s="6" t="s">
        <v>104</v>
      </c>
      <c r="AJ961" s="6" t="s">
        <v>15994</v>
      </c>
      <c r="AK961" s="6" t="s">
        <v>16831</v>
      </c>
      <c r="AL961" s="6" t="s">
        <v>16971</v>
      </c>
      <c r="AM961" s="6" t="s">
        <v>17632</v>
      </c>
      <c r="AN961" s="6" t="s">
        <v>104</v>
      </c>
      <c r="AO961" s="6" t="s">
        <v>104</v>
      </c>
      <c r="AP961" s="6" t="s">
        <v>14029</v>
      </c>
      <c r="AQ961" s="6" t="s">
        <v>104</v>
      </c>
      <c r="AR961" s="6" t="s">
        <v>15994</v>
      </c>
      <c r="AS961" s="6" t="s">
        <v>16831</v>
      </c>
      <c r="AT961" s="6" t="s">
        <v>16971</v>
      </c>
      <c r="AU961" s="6" t="s">
        <v>17632</v>
      </c>
      <c r="AV961" s="6" t="s">
        <v>104</v>
      </c>
      <c r="AW961" s="6" t="s">
        <v>104</v>
      </c>
      <c r="AX961" s="6" t="s">
        <v>20868</v>
      </c>
      <c r="AY961" s="6" t="s">
        <v>22645</v>
      </c>
      <c r="AZ961" s="6" t="s">
        <v>104</v>
      </c>
      <c r="BA961" s="6" t="s">
        <v>104</v>
      </c>
      <c r="BB961" s="24" t="n">
        <v>28</v>
      </c>
      <c r="BC961" s="26"/>
      <c r="BD961" s="26"/>
      <c r="BE961" s="26"/>
      <c r="BF961" s="26"/>
      <c r="BG961" s="26"/>
      <c r="BH961" s="26"/>
      <c r="BI961" s="26"/>
      <c r="BJ961" s="26"/>
      <c r="BK961" s="26"/>
      <c r="BL961" s="26"/>
      <c r="BM961" s="26"/>
      <c r="BN961" s="26"/>
      <c r="BO961" s="26"/>
      <c r="BP961" s="16" t="n">
        <v>45365</v>
      </c>
      <c r="BQ961" s="28" t="str">
        <f>HYPERLINK("https://organic.ams.usda.gov/Integrity/Certificate.aspx?cid=17&amp;nopid=4080207520")</f>
        <v>https://organic.ams.usda.gov/Integrity/Certificate.aspx?cid=17&amp;nopid=4080207520</v>
      </c>
    </row>
    <row r="962">
      <c r="A962" t="s">
        <v>3</v>
      </c>
      <c r="B962" s="6" t="s">
        <v>18</v>
      </c>
      <c r="C962" s="6" t="s">
        <v>84</v>
      </c>
      <c r="D962" s="6" t="s">
        <v>149</v>
      </c>
      <c r="E962" s="10" t="s">
        <v>1160</v>
      </c>
      <c r="F962" s="6" t="s">
        <v>3404</v>
      </c>
      <c r="G962" s="6" t="s">
        <v>104</v>
      </c>
      <c r="H962" s="6" t="s">
        <v>5765</v>
      </c>
      <c r="I962" s="6" t="s">
        <v>7527</v>
      </c>
      <c r="J962" s="6" t="s">
        <v>8856</v>
      </c>
      <c r="K962" s="6" t="s">
        <v>9714</v>
      </c>
      <c r="L962" s="16" t="n">
        <v>37800</v>
      </c>
      <c r="M962" s="16" t="n">
        <v>45505</v>
      </c>
      <c r="N962" s="6" t="s">
        <v>9714</v>
      </c>
      <c r="O962" s="16" t="n">
        <v>37800</v>
      </c>
      <c r="P962" s="6" t="s">
        <v>9979</v>
      </c>
      <c r="Q962" s="6" t="s">
        <v>104</v>
      </c>
      <c r="R962" s="6" t="s">
        <v>10362</v>
      </c>
      <c r="S962" s="6" t="s">
        <v>104</v>
      </c>
      <c r="T962" s="21" t="s">
        <v>104</v>
      </c>
      <c r="U962" s="6" t="s">
        <v>104</v>
      </c>
      <c r="V962" s="6" t="s">
        <v>104</v>
      </c>
      <c r="W962" s="6" t="s">
        <v>104</v>
      </c>
      <c r="X962" s="6" t="s">
        <v>104</v>
      </c>
      <c r="Y962" s="21" t="s">
        <v>104</v>
      </c>
      <c r="Z962" s="6" t="s">
        <v>104</v>
      </c>
      <c r="AA962" s="6" t="s">
        <v>104</v>
      </c>
      <c r="AB962" s="6" t="s">
        <v>104</v>
      </c>
      <c r="AC962" s="6" t="s">
        <v>9714</v>
      </c>
      <c r="AD962" s="16" t="n">
        <v>37800</v>
      </c>
      <c r="AE962" s="6" t="s">
        <v>11381</v>
      </c>
      <c r="AF962" s="6" t="s">
        <v>104</v>
      </c>
      <c r="AG962" s="6" t="s">
        <v>12801</v>
      </c>
      <c r="AH962" s="6" t="s">
        <v>14030</v>
      </c>
      <c r="AI962" s="6" t="s">
        <v>104</v>
      </c>
      <c r="AJ962" s="6" t="s">
        <v>15995</v>
      </c>
      <c r="AK962" s="6" t="s">
        <v>16706</v>
      </c>
      <c r="AL962" s="6" t="s">
        <v>16931</v>
      </c>
      <c r="AM962" s="6" t="s">
        <v>17633</v>
      </c>
      <c r="AN962" s="6" t="s">
        <v>18537</v>
      </c>
      <c r="AO962" s="6" t="s">
        <v>18769</v>
      </c>
      <c r="AP962" s="6" t="s">
        <v>104</v>
      </c>
      <c r="AQ962" s="6" t="s">
        <v>104</v>
      </c>
      <c r="AR962" s="6" t="s">
        <v>104</v>
      </c>
      <c r="AS962" s="6" t="s">
        <v>104</v>
      </c>
      <c r="AT962" s="6" t="s">
        <v>104</v>
      </c>
      <c r="AU962" s="6" t="s">
        <v>104</v>
      </c>
      <c r="AV962" s="6" t="s">
        <v>104</v>
      </c>
      <c r="AW962" s="6" t="s">
        <v>104</v>
      </c>
      <c r="AX962" s="6" t="s">
        <v>20869</v>
      </c>
      <c r="AY962" s="6" t="s">
        <v>22646</v>
      </c>
      <c r="AZ962" s="6" t="s">
        <v>104</v>
      </c>
      <c r="BA962" s="6" t="s">
        <v>104</v>
      </c>
      <c r="BB962" s="24" t="n">
        <v>1190</v>
      </c>
      <c r="BC962" s="26"/>
      <c r="BD962" s="26"/>
      <c r="BE962" s="26"/>
      <c r="BF962" s="26"/>
      <c r="BG962" s="26"/>
      <c r="BH962" s="26"/>
      <c r="BI962" s="26"/>
      <c r="BJ962" s="26"/>
      <c r="BK962" s="26"/>
      <c r="BL962" s="26"/>
      <c r="BM962" s="26"/>
      <c r="BN962" s="26"/>
      <c r="BO962" s="26"/>
      <c r="BP962" s="16" t="n">
        <v>45737</v>
      </c>
      <c r="BQ962" s="28" t="str">
        <f>HYPERLINK("https://organic.ams.usda.gov/Integrity/Certificate.aspx?cid=31&amp;nopid=3920897200")</f>
        <v>https://organic.ams.usda.gov/Integrity/Certificate.aspx?cid=31&amp;nopid=3920897200</v>
      </c>
    </row>
    <row r="963">
      <c r="A963" t="s">
        <v>3</v>
      </c>
      <c r="B963" s="6" t="s">
        <v>23</v>
      </c>
      <c r="C963" s="6" t="s">
        <v>89</v>
      </c>
      <c r="D963" s="6" t="s">
        <v>154</v>
      </c>
      <c r="E963" s="10" t="s">
        <v>1161</v>
      </c>
      <c r="F963" s="6" t="s">
        <v>3405</v>
      </c>
      <c r="G963" s="6" t="s">
        <v>104</v>
      </c>
      <c r="H963" s="6" t="s">
        <v>5766</v>
      </c>
      <c r="I963" s="6" t="s">
        <v>7528</v>
      </c>
      <c r="J963" s="6" t="s">
        <v>8857</v>
      </c>
      <c r="K963" s="6" t="s">
        <v>9714</v>
      </c>
      <c r="L963" s="16" t="n">
        <v>42179</v>
      </c>
      <c r="M963" s="16" t="n">
        <v>45689</v>
      </c>
      <c r="N963" s="6" t="s">
        <v>9714</v>
      </c>
      <c r="O963" s="16" t="n">
        <v>42179</v>
      </c>
      <c r="P963" s="6" t="s">
        <v>9980</v>
      </c>
      <c r="Q963" s="6" t="s">
        <v>104</v>
      </c>
      <c r="R963" s="6" t="s">
        <v>5766</v>
      </c>
      <c r="S963" s="6" t="s">
        <v>104</v>
      </c>
      <c r="T963" s="21" t="s">
        <v>104</v>
      </c>
      <c r="U963" s="6" t="s">
        <v>104</v>
      </c>
      <c r="V963" s="6" t="s">
        <v>104</v>
      </c>
      <c r="W963" s="6" t="s">
        <v>104</v>
      </c>
      <c r="X963" s="6" t="s">
        <v>104</v>
      </c>
      <c r="Y963" s="21" t="s">
        <v>104</v>
      </c>
      <c r="Z963" s="6" t="s">
        <v>104</v>
      </c>
      <c r="AA963" s="6" t="s">
        <v>104</v>
      </c>
      <c r="AB963" s="6" t="s">
        <v>104</v>
      </c>
      <c r="AC963" s="6" t="s">
        <v>104</v>
      </c>
      <c r="AD963" s="21" t="s">
        <v>104</v>
      </c>
      <c r="AE963" s="6" t="s">
        <v>104</v>
      </c>
      <c r="AF963" s="6" t="s">
        <v>104</v>
      </c>
      <c r="AG963" s="6" t="s">
        <v>104</v>
      </c>
      <c r="AH963" s="6" t="s">
        <v>14031</v>
      </c>
      <c r="AI963" s="6" t="s">
        <v>104</v>
      </c>
      <c r="AJ963" s="6" t="s">
        <v>15996</v>
      </c>
      <c r="AK963" s="6" t="s">
        <v>16738</v>
      </c>
      <c r="AL963" s="6" t="s">
        <v>16931</v>
      </c>
      <c r="AM963" s="6" t="s">
        <v>17634</v>
      </c>
      <c r="AN963" s="6" t="s">
        <v>18467</v>
      </c>
      <c r="AO963" s="6" t="s">
        <v>18770</v>
      </c>
      <c r="AP963" s="6" t="s">
        <v>19196</v>
      </c>
      <c r="AQ963" s="6" t="s">
        <v>104</v>
      </c>
      <c r="AR963" s="6" t="s">
        <v>15996</v>
      </c>
      <c r="AS963" s="6" t="s">
        <v>16738</v>
      </c>
      <c r="AT963" s="6" t="s">
        <v>16931</v>
      </c>
      <c r="AU963" s="6" t="s">
        <v>17634</v>
      </c>
      <c r="AV963" s="6" t="s">
        <v>104</v>
      </c>
      <c r="AW963" s="6" t="s">
        <v>104</v>
      </c>
      <c r="AX963" s="6" t="s">
        <v>104</v>
      </c>
      <c r="AY963" s="6" t="s">
        <v>22647</v>
      </c>
      <c r="AZ963" s="6" t="s">
        <v>104</v>
      </c>
      <c r="BA963" s="6" t="s">
        <v>24261</v>
      </c>
      <c r="BB963" s="24" t="n">
        <v>506</v>
      </c>
      <c r="BC963" s="26"/>
      <c r="BD963" s="26"/>
      <c r="BE963" s="26"/>
      <c r="BF963" s="26"/>
      <c r="BG963" s="26"/>
      <c r="BH963" s="26"/>
      <c r="BI963" s="26"/>
      <c r="BJ963" s="26"/>
      <c r="BK963" s="26"/>
      <c r="BL963" s="26"/>
      <c r="BM963" s="26"/>
      <c r="BN963" s="26"/>
      <c r="BO963" s="26"/>
      <c r="BP963" s="16" t="n">
        <v>45712</v>
      </c>
      <c r="BQ963" s="28" t="str">
        <f>HYPERLINK("https://organic.ams.usda.gov/Integrity/Certificate.aspx?cid=45&amp;nopid=9950008291")</f>
        <v>https://organic.ams.usda.gov/Integrity/Certificate.aspx?cid=45&amp;nopid=9950008291</v>
      </c>
    </row>
    <row r="964">
      <c r="A964" t="s">
        <v>3</v>
      </c>
      <c r="B964" s="6" t="s">
        <v>17</v>
      </c>
      <c r="C964" s="6" t="s">
        <v>83</v>
      </c>
      <c r="D964" s="6" t="s">
        <v>148</v>
      </c>
      <c r="E964" s="10" t="s">
        <v>1162</v>
      </c>
      <c r="F964" s="6" t="s">
        <v>3406</v>
      </c>
      <c r="G964" s="6" t="s">
        <v>104</v>
      </c>
      <c r="H964" s="6" t="s">
        <v>5767</v>
      </c>
      <c r="I964" s="6" t="s">
        <v>7529</v>
      </c>
      <c r="J964" s="6" t="s">
        <v>8858</v>
      </c>
      <c r="K964" s="6" t="s">
        <v>9714</v>
      </c>
      <c r="L964" s="16" t="n">
        <v>45392</v>
      </c>
      <c r="M964" s="16" t="n">
        <v>45689</v>
      </c>
      <c r="N964" s="6" t="s">
        <v>104</v>
      </c>
      <c r="O964" s="21" t="s">
        <v>104</v>
      </c>
      <c r="P964" s="6" t="s">
        <v>104</v>
      </c>
      <c r="Q964" s="6" t="s">
        <v>104</v>
      </c>
      <c r="R964" s="6" t="s">
        <v>104</v>
      </c>
      <c r="S964" s="6" t="s">
        <v>104</v>
      </c>
      <c r="T964" s="21" t="s">
        <v>104</v>
      </c>
      <c r="U964" s="6" t="s">
        <v>104</v>
      </c>
      <c r="V964" s="6" t="s">
        <v>104</v>
      </c>
      <c r="W964" s="6" t="s">
        <v>104</v>
      </c>
      <c r="X964" s="6" t="s">
        <v>104</v>
      </c>
      <c r="Y964" s="21" t="s">
        <v>104</v>
      </c>
      <c r="Z964" s="6" t="s">
        <v>104</v>
      </c>
      <c r="AA964" s="6" t="s">
        <v>104</v>
      </c>
      <c r="AB964" s="6" t="s">
        <v>104</v>
      </c>
      <c r="AC964" s="6" t="s">
        <v>9714</v>
      </c>
      <c r="AD964" s="16" t="n">
        <v>45392</v>
      </c>
      <c r="AE964" s="6" t="s">
        <v>11382</v>
      </c>
      <c r="AF964" s="6" t="s">
        <v>104</v>
      </c>
      <c r="AG964" s="6" t="s">
        <v>104</v>
      </c>
      <c r="AH964" s="6" t="s">
        <v>14032</v>
      </c>
      <c r="AI964" s="6" t="s">
        <v>15281</v>
      </c>
      <c r="AJ964" s="6" t="s">
        <v>15721</v>
      </c>
      <c r="AK964" s="6" t="s">
        <v>16680</v>
      </c>
      <c r="AL964" s="6" t="s">
        <v>16931</v>
      </c>
      <c r="AM964" s="6" t="s">
        <v>17635</v>
      </c>
      <c r="AN964" s="6" t="s">
        <v>104</v>
      </c>
      <c r="AO964" s="6" t="s">
        <v>104</v>
      </c>
      <c r="AP964" s="6" t="s">
        <v>14032</v>
      </c>
      <c r="AQ964" s="6" t="s">
        <v>15281</v>
      </c>
      <c r="AR964" s="6" t="s">
        <v>15721</v>
      </c>
      <c r="AS964" s="6" t="s">
        <v>16680</v>
      </c>
      <c r="AT964" s="6" t="s">
        <v>16931</v>
      </c>
      <c r="AU964" s="6" t="s">
        <v>17635</v>
      </c>
      <c r="AV964" s="6" t="s">
        <v>104</v>
      </c>
      <c r="AW964" s="6" t="s">
        <v>104</v>
      </c>
      <c r="AX964" s="6" t="s">
        <v>20870</v>
      </c>
      <c r="AY964" s="6" t="s">
        <v>22648</v>
      </c>
      <c r="AZ964" s="6" t="s">
        <v>104</v>
      </c>
      <c r="BA964" s="6" t="s">
        <v>104</v>
      </c>
      <c r="BB964" s="24" t="n">
        <v>0</v>
      </c>
      <c r="BC964" s="26" t="s">
        <v>24533</v>
      </c>
      <c r="BD964" s="26"/>
      <c r="BE964" s="26"/>
      <c r="BF964" s="26"/>
      <c r="BG964" s="26"/>
      <c r="BH964" s="26" t="s">
        <v>24533</v>
      </c>
      <c r="BI964" s="26"/>
      <c r="BJ964" s="26"/>
      <c r="BK964" s="26"/>
      <c r="BL964" s="26"/>
      <c r="BM964" s="26"/>
      <c r="BN964" s="26"/>
      <c r="BO964" s="26"/>
      <c r="BP964" s="16" t="n">
        <v>45695</v>
      </c>
      <c r="BQ964" s="28" t="str">
        <f>HYPERLINK("https://organic.ams.usda.gov/Integrity/Certificate.aspx?cid=51&amp;nopid=8240041024")</f>
        <v>https://organic.ams.usda.gov/Integrity/Certificate.aspx?cid=51&amp;nopid=8240041024</v>
      </c>
    </row>
    <row r="965">
      <c r="A965" t="s">
        <v>3</v>
      </c>
      <c r="B965" s="6" t="s">
        <v>11</v>
      </c>
      <c r="C965" s="6" t="s">
        <v>77</v>
      </c>
      <c r="D965" s="6" t="s">
        <v>142</v>
      </c>
      <c r="E965" s="10" t="s">
        <v>1163</v>
      </c>
      <c r="F965" s="6" t="s">
        <v>3407</v>
      </c>
      <c r="G965" s="6" t="s">
        <v>104</v>
      </c>
      <c r="H965" s="6" t="s">
        <v>5768</v>
      </c>
      <c r="I965" s="6" t="s">
        <v>7530</v>
      </c>
      <c r="J965" s="6" t="s">
        <v>8859</v>
      </c>
      <c r="K965" s="6" t="s">
        <v>9714</v>
      </c>
      <c r="L965" s="16" t="n">
        <v>43111</v>
      </c>
      <c r="M965" s="16" t="n">
        <v>45668</v>
      </c>
      <c r="N965" s="6" t="s">
        <v>9714</v>
      </c>
      <c r="O965" s="16" t="n">
        <v>43111</v>
      </c>
      <c r="P965" s="6" t="s">
        <v>9981</v>
      </c>
      <c r="Q965" s="6" t="s">
        <v>104</v>
      </c>
      <c r="R965" s="6" t="s">
        <v>104</v>
      </c>
      <c r="S965" s="6" t="s">
        <v>104</v>
      </c>
      <c r="T965" s="21" t="s">
        <v>104</v>
      </c>
      <c r="U965" s="6" t="s">
        <v>104</v>
      </c>
      <c r="V965" s="6" t="s">
        <v>104</v>
      </c>
      <c r="W965" s="6" t="s">
        <v>104</v>
      </c>
      <c r="X965" s="6" t="s">
        <v>104</v>
      </c>
      <c r="Y965" s="21" t="s">
        <v>104</v>
      </c>
      <c r="Z965" s="6" t="s">
        <v>104</v>
      </c>
      <c r="AA965" s="6" t="s">
        <v>104</v>
      </c>
      <c r="AB965" s="6" t="s">
        <v>104</v>
      </c>
      <c r="AC965" s="6" t="s">
        <v>9714</v>
      </c>
      <c r="AD965" s="16" t="n">
        <v>43111</v>
      </c>
      <c r="AE965" s="6" t="s">
        <v>11383</v>
      </c>
      <c r="AF965" s="6" t="s">
        <v>104</v>
      </c>
      <c r="AG965" s="6" t="s">
        <v>104</v>
      </c>
      <c r="AH965" s="6" t="s">
        <v>14033</v>
      </c>
      <c r="AI965" s="6" t="s">
        <v>15282</v>
      </c>
      <c r="AJ965" s="6" t="s">
        <v>15997</v>
      </c>
      <c r="AK965" s="6" t="s">
        <v>16832</v>
      </c>
      <c r="AL965" s="6" t="s">
        <v>16946</v>
      </c>
      <c r="AM965" s="6" t="s">
        <v>17636</v>
      </c>
      <c r="AN965" s="6" t="s">
        <v>104</v>
      </c>
      <c r="AO965" s="6" t="s">
        <v>104</v>
      </c>
      <c r="AP965" s="6" t="s">
        <v>14033</v>
      </c>
      <c r="AQ965" s="6" t="s">
        <v>15282</v>
      </c>
      <c r="AR965" s="6" t="s">
        <v>15997</v>
      </c>
      <c r="AS965" s="6" t="s">
        <v>16832</v>
      </c>
      <c r="AT965" s="6" t="s">
        <v>16946</v>
      </c>
      <c r="AU965" s="6" t="s">
        <v>17636</v>
      </c>
      <c r="AV965" s="6" t="s">
        <v>104</v>
      </c>
      <c r="AW965" s="6" t="s">
        <v>104</v>
      </c>
      <c r="AX965" s="6" t="s">
        <v>20871</v>
      </c>
      <c r="AY965" s="6" t="s">
        <v>22649</v>
      </c>
      <c r="AZ965" s="6" t="s">
        <v>104</v>
      </c>
      <c r="BA965" s="6" t="s">
        <v>104</v>
      </c>
      <c r="BB965" s="24" t="n">
        <v>10</v>
      </c>
      <c r="BC965" s="26"/>
      <c r="BD965" s="26"/>
      <c r="BE965" s="26"/>
      <c r="BF965" s="26"/>
      <c r="BG965" s="26"/>
      <c r="BH965" s="26"/>
      <c r="BI965" s="26"/>
      <c r="BJ965" s="26"/>
      <c r="BK965" s="26"/>
      <c r="BL965" s="26"/>
      <c r="BM965" s="26"/>
      <c r="BN965" s="26"/>
      <c r="BO965" s="26" t="s">
        <v>24533</v>
      </c>
      <c r="BP965" s="16" t="n">
        <v>45478</v>
      </c>
      <c r="BQ965" s="28" t="str">
        <f>HYPERLINK("https://organic.ams.usda.gov/Integrity/Certificate.aspx?cid=21&amp;nopid=1780856965")</f>
        <v>https://organic.ams.usda.gov/Integrity/Certificate.aspx?cid=21&amp;nopid=1780856965</v>
      </c>
    </row>
    <row r="966">
      <c r="A966" t="s">
        <v>3</v>
      </c>
      <c r="B966" s="6" t="s">
        <v>11</v>
      </c>
      <c r="C966" s="6" t="s">
        <v>77</v>
      </c>
      <c r="D966" s="6" t="s">
        <v>142</v>
      </c>
      <c r="E966" s="10" t="s">
        <v>1164</v>
      </c>
      <c r="F966" s="6" t="s">
        <v>3408</v>
      </c>
      <c r="G966" s="6" t="s">
        <v>104</v>
      </c>
      <c r="H966" s="6" t="s">
        <v>5769</v>
      </c>
      <c r="I966" s="6" t="s">
        <v>7531</v>
      </c>
      <c r="J966" s="6" t="s">
        <v>8860</v>
      </c>
      <c r="K966" s="6" t="s">
        <v>9714</v>
      </c>
      <c r="L966" s="16" t="n">
        <v>43444</v>
      </c>
      <c r="M966" s="16" t="n">
        <v>45961</v>
      </c>
      <c r="N966" s="6" t="s">
        <v>9721</v>
      </c>
      <c r="O966" s="16" t="n">
        <v>45643</v>
      </c>
      <c r="P966" s="6" t="s">
        <v>104</v>
      </c>
      <c r="Q966" s="6" t="s">
        <v>104</v>
      </c>
      <c r="R966" s="6" t="s">
        <v>104</v>
      </c>
      <c r="S966" s="6" t="s">
        <v>104</v>
      </c>
      <c r="T966" s="21" t="s">
        <v>104</v>
      </c>
      <c r="U966" s="6" t="s">
        <v>104</v>
      </c>
      <c r="V966" s="6" t="s">
        <v>104</v>
      </c>
      <c r="W966" s="6" t="s">
        <v>104</v>
      </c>
      <c r="X966" s="6" t="s">
        <v>104</v>
      </c>
      <c r="Y966" s="21" t="s">
        <v>104</v>
      </c>
      <c r="Z966" s="6" t="s">
        <v>104</v>
      </c>
      <c r="AA966" s="6" t="s">
        <v>104</v>
      </c>
      <c r="AB966" s="6" t="s">
        <v>104</v>
      </c>
      <c r="AC966" s="6" t="s">
        <v>9714</v>
      </c>
      <c r="AD966" s="16" t="n">
        <v>43444</v>
      </c>
      <c r="AE966" s="6" t="s">
        <v>11384</v>
      </c>
      <c r="AF966" s="6" t="s">
        <v>104</v>
      </c>
      <c r="AG966" s="6" t="s">
        <v>104</v>
      </c>
      <c r="AH966" s="6" t="s">
        <v>14034</v>
      </c>
      <c r="AI966" s="6" t="s">
        <v>15283</v>
      </c>
      <c r="AJ966" s="6" t="s">
        <v>15568</v>
      </c>
      <c r="AK966" s="6" t="s">
        <v>104</v>
      </c>
      <c r="AL966" s="6" t="s">
        <v>16946</v>
      </c>
      <c r="AM966" s="6" t="s">
        <v>104</v>
      </c>
      <c r="AN966" s="6" t="s">
        <v>104</v>
      </c>
      <c r="AO966" s="6" t="s">
        <v>104</v>
      </c>
      <c r="AP966" s="6" t="s">
        <v>14034</v>
      </c>
      <c r="AQ966" s="6" t="s">
        <v>15283</v>
      </c>
      <c r="AR966" s="6" t="s">
        <v>15568</v>
      </c>
      <c r="AS966" s="6" t="s">
        <v>104</v>
      </c>
      <c r="AT966" s="6" t="s">
        <v>16946</v>
      </c>
      <c r="AU966" s="6" t="s">
        <v>104</v>
      </c>
      <c r="AV966" s="6" t="s">
        <v>104</v>
      </c>
      <c r="AW966" s="6" t="s">
        <v>104</v>
      </c>
      <c r="AX966" s="6" t="s">
        <v>20872</v>
      </c>
      <c r="AY966" s="6" t="s">
        <v>22650</v>
      </c>
      <c r="AZ966" s="6" t="s">
        <v>104</v>
      </c>
      <c r="BA966" s="6" t="s">
        <v>104</v>
      </c>
      <c r="BB966" s="6" t="s">
        <v>104</v>
      </c>
      <c r="BC966" s="26"/>
      <c r="BD966" s="26"/>
      <c r="BE966" s="26"/>
      <c r="BF966" s="26"/>
      <c r="BG966" s="26"/>
      <c r="BH966" s="26"/>
      <c r="BI966" s="26"/>
      <c r="BJ966" s="26"/>
      <c r="BK966" s="26"/>
      <c r="BL966" s="26"/>
      <c r="BM966" s="26"/>
      <c r="BN966" s="26"/>
      <c r="BO966" s="26"/>
      <c r="BP966" s="16" t="n">
        <v>45645</v>
      </c>
      <c r="BQ966" s="28" t="str">
        <f>HYPERLINK("https://organic.ams.usda.gov/Integrity/Certificate.aspx?cid=21&amp;nopid=1780862226")</f>
        <v>https://organic.ams.usda.gov/Integrity/Certificate.aspx?cid=21&amp;nopid=1780862226</v>
      </c>
    </row>
    <row r="967">
      <c r="A967" t="s">
        <v>3</v>
      </c>
      <c r="B967" s="6" t="s">
        <v>11</v>
      </c>
      <c r="C967" s="6" t="s">
        <v>77</v>
      </c>
      <c r="D967" s="6" t="s">
        <v>142</v>
      </c>
      <c r="E967" s="10" t="s">
        <v>1165</v>
      </c>
      <c r="F967" s="6" t="s">
        <v>3409</v>
      </c>
      <c r="G967" s="6" t="s">
        <v>104</v>
      </c>
      <c r="H967" s="6" t="s">
        <v>5770</v>
      </c>
      <c r="I967" s="6" t="s">
        <v>7532</v>
      </c>
      <c r="J967" s="6" t="s">
        <v>8861</v>
      </c>
      <c r="K967" s="6" t="s">
        <v>9714</v>
      </c>
      <c r="L967" s="16" t="n">
        <v>45660</v>
      </c>
      <c r="M967" s="16" t="n">
        <v>45948</v>
      </c>
      <c r="N967" s="6" t="s">
        <v>9714</v>
      </c>
      <c r="O967" s="16" t="n">
        <v>45660</v>
      </c>
      <c r="P967" s="6" t="s">
        <v>9982</v>
      </c>
      <c r="Q967" s="6" t="s">
        <v>104</v>
      </c>
      <c r="R967" s="6" t="s">
        <v>104</v>
      </c>
      <c r="S967" s="6" t="s">
        <v>104</v>
      </c>
      <c r="T967" s="21" t="s">
        <v>104</v>
      </c>
      <c r="U967" s="6" t="s">
        <v>104</v>
      </c>
      <c r="V967" s="6" t="s">
        <v>104</v>
      </c>
      <c r="W967" s="6" t="s">
        <v>104</v>
      </c>
      <c r="X967" s="6" t="s">
        <v>104</v>
      </c>
      <c r="Y967" s="21" t="s">
        <v>104</v>
      </c>
      <c r="Z967" s="6" t="s">
        <v>104</v>
      </c>
      <c r="AA967" s="6" t="s">
        <v>104</v>
      </c>
      <c r="AB967" s="6" t="s">
        <v>104</v>
      </c>
      <c r="AC967" s="6" t="s">
        <v>9714</v>
      </c>
      <c r="AD967" s="16" t="n">
        <v>45660</v>
      </c>
      <c r="AE967" s="6" t="s">
        <v>11385</v>
      </c>
      <c r="AF967" s="6" t="s">
        <v>104</v>
      </c>
      <c r="AG967" s="6" t="s">
        <v>104</v>
      </c>
      <c r="AH967" s="6" t="s">
        <v>14035</v>
      </c>
      <c r="AI967" s="6" t="s">
        <v>104</v>
      </c>
      <c r="AJ967" s="6" t="s">
        <v>15998</v>
      </c>
      <c r="AK967" s="6" t="s">
        <v>16833</v>
      </c>
      <c r="AL967" s="6" t="s">
        <v>16946</v>
      </c>
      <c r="AM967" s="6" t="s">
        <v>104</v>
      </c>
      <c r="AN967" s="6" t="s">
        <v>104</v>
      </c>
      <c r="AO967" s="6" t="s">
        <v>104</v>
      </c>
      <c r="AP967" s="6" t="s">
        <v>14035</v>
      </c>
      <c r="AQ967" s="6" t="s">
        <v>104</v>
      </c>
      <c r="AR967" s="6" t="s">
        <v>15998</v>
      </c>
      <c r="AS967" s="6" t="s">
        <v>16833</v>
      </c>
      <c r="AT967" s="6" t="s">
        <v>16946</v>
      </c>
      <c r="AU967" s="6" t="s">
        <v>104</v>
      </c>
      <c r="AV967" s="6" t="s">
        <v>104</v>
      </c>
      <c r="AW967" s="6" t="s">
        <v>104</v>
      </c>
      <c r="AX967" s="6" t="s">
        <v>20873</v>
      </c>
      <c r="AY967" s="6" t="s">
        <v>22651</v>
      </c>
      <c r="AZ967" s="6" t="s">
        <v>104</v>
      </c>
      <c r="BA967" s="6" t="s">
        <v>104</v>
      </c>
      <c r="BB967" s="24" t="n">
        <v>133</v>
      </c>
      <c r="BC967" s="26"/>
      <c r="BD967" s="26"/>
      <c r="BE967" s="26"/>
      <c r="BF967" s="26"/>
      <c r="BG967" s="26"/>
      <c r="BH967" s="26"/>
      <c r="BI967" s="26"/>
      <c r="BJ967" s="26"/>
      <c r="BK967" s="26"/>
      <c r="BL967" s="26"/>
      <c r="BM967" s="26"/>
      <c r="BN967" s="26"/>
      <c r="BO967" s="26" t="s">
        <v>24533</v>
      </c>
      <c r="BP967" s="16" t="n">
        <v>45660</v>
      </c>
      <c r="BQ967" s="28" t="str">
        <f>HYPERLINK("https://organic.ams.usda.gov/Integrity/Certificate.aspx?cid=21&amp;nopid=1780906033")</f>
        <v>https://organic.ams.usda.gov/Integrity/Certificate.aspx?cid=21&amp;nopid=1780906033</v>
      </c>
    </row>
    <row r="968">
      <c r="A968" t="s">
        <v>3</v>
      </c>
      <c r="B968" s="6" t="s">
        <v>57</v>
      </c>
      <c r="C968" s="6" t="s">
        <v>123</v>
      </c>
      <c r="D968" s="6" t="s">
        <v>187</v>
      </c>
      <c r="E968" s="10" t="s">
        <v>1166</v>
      </c>
      <c r="F968" s="6" t="s">
        <v>3410</v>
      </c>
      <c r="G968" s="6" t="s">
        <v>4765</v>
      </c>
      <c r="H968" s="6" t="s">
        <v>5771</v>
      </c>
      <c r="I968" s="6" t="s">
        <v>7006</v>
      </c>
      <c r="J968" s="6" t="s">
        <v>8862</v>
      </c>
      <c r="K968" s="6" t="s">
        <v>9714</v>
      </c>
      <c r="L968" s="16" t="n">
        <v>37903</v>
      </c>
      <c r="M968" s="16" t="n">
        <v>45733</v>
      </c>
      <c r="N968" s="6" t="s">
        <v>9714</v>
      </c>
      <c r="O968" s="16" t="n">
        <v>37903</v>
      </c>
      <c r="P968" s="6" t="s">
        <v>9983</v>
      </c>
      <c r="Q968" s="6" t="s">
        <v>104</v>
      </c>
      <c r="R968" s="6" t="s">
        <v>104</v>
      </c>
      <c r="S968" s="6" t="s">
        <v>104</v>
      </c>
      <c r="T968" s="21" t="s">
        <v>104</v>
      </c>
      <c r="U968" s="6" t="s">
        <v>104</v>
      </c>
      <c r="V968" s="6" t="s">
        <v>104</v>
      </c>
      <c r="W968" s="6" t="s">
        <v>104</v>
      </c>
      <c r="X968" s="6" t="s">
        <v>104</v>
      </c>
      <c r="Y968" s="21" t="s">
        <v>104</v>
      </c>
      <c r="Z968" s="6" t="s">
        <v>104</v>
      </c>
      <c r="AA968" s="6" t="s">
        <v>104</v>
      </c>
      <c r="AB968" s="6" t="s">
        <v>104</v>
      </c>
      <c r="AC968" s="6" t="s">
        <v>9714</v>
      </c>
      <c r="AD968" s="16" t="n">
        <v>37903</v>
      </c>
      <c r="AE968" s="6" t="s">
        <v>11386</v>
      </c>
      <c r="AF968" s="6" t="s">
        <v>104</v>
      </c>
      <c r="AG968" s="6" t="s">
        <v>104</v>
      </c>
      <c r="AH968" s="6" t="s">
        <v>14036</v>
      </c>
      <c r="AI968" s="6" t="s">
        <v>104</v>
      </c>
      <c r="AJ968" s="6" t="s">
        <v>15999</v>
      </c>
      <c r="AK968" s="6" t="s">
        <v>16730</v>
      </c>
      <c r="AL968" s="6" t="s">
        <v>16931</v>
      </c>
      <c r="AM968" s="6" t="s">
        <v>17637</v>
      </c>
      <c r="AN968" s="6" t="s">
        <v>18481</v>
      </c>
      <c r="AO968" s="6" t="s">
        <v>18771</v>
      </c>
      <c r="AP968" s="6" t="s">
        <v>14036</v>
      </c>
      <c r="AQ968" s="6" t="s">
        <v>104</v>
      </c>
      <c r="AR968" s="6" t="s">
        <v>15999</v>
      </c>
      <c r="AS968" s="6" t="s">
        <v>16730</v>
      </c>
      <c r="AT968" s="6" t="s">
        <v>16931</v>
      </c>
      <c r="AU968" s="6" t="s">
        <v>17637</v>
      </c>
      <c r="AV968" s="6" t="s">
        <v>104</v>
      </c>
      <c r="AW968" s="6" t="s">
        <v>104</v>
      </c>
      <c r="AX968" s="6" t="s">
        <v>20874</v>
      </c>
      <c r="AY968" s="6" t="s">
        <v>22652</v>
      </c>
      <c r="AZ968" s="6" t="s">
        <v>104</v>
      </c>
      <c r="BA968" s="6" t="s">
        <v>104</v>
      </c>
      <c r="BB968" s="24" t="n">
        <v>14</v>
      </c>
      <c r="BC968" s="26"/>
      <c r="BD968" s="26"/>
      <c r="BE968" s="26"/>
      <c r="BF968" s="26"/>
      <c r="BG968" s="26"/>
      <c r="BH968" s="26"/>
      <c r="BI968" s="26"/>
      <c r="BJ968" s="26"/>
      <c r="BK968" s="26"/>
      <c r="BL968" s="26"/>
      <c r="BM968" s="26"/>
      <c r="BN968" s="26"/>
      <c r="BO968" s="26"/>
      <c r="BP968" s="16" t="n">
        <v>45735</v>
      </c>
      <c r="BQ968" s="28" t="str">
        <f>HYPERLINK("https://organic.ams.usda.gov/Integrity/Certificate.aspx?cid=19&amp;nopid=6350000113")</f>
        <v>https://organic.ams.usda.gov/Integrity/Certificate.aspx?cid=19&amp;nopid=6350000113</v>
      </c>
    </row>
    <row r="969">
      <c r="A969" t="s">
        <v>3</v>
      </c>
      <c r="B969" s="6" t="s">
        <v>29</v>
      </c>
      <c r="C969" s="6" t="s">
        <v>95</v>
      </c>
      <c r="D969" s="6" t="s">
        <v>160</v>
      </c>
      <c r="E969" s="10" t="s">
        <v>1167</v>
      </c>
      <c r="F969" s="6" t="s">
        <v>3411</v>
      </c>
      <c r="G969" s="6" t="s">
        <v>104</v>
      </c>
      <c r="H969" s="6" t="s">
        <v>5772</v>
      </c>
      <c r="I969" s="6" t="s">
        <v>104</v>
      </c>
      <c r="J969" s="6" t="s">
        <v>8863</v>
      </c>
      <c r="K969" s="6" t="s">
        <v>9714</v>
      </c>
      <c r="L969" s="16" t="n">
        <v>45167</v>
      </c>
      <c r="M969" s="16" t="n">
        <v>45778</v>
      </c>
      <c r="N969" s="6" t="s">
        <v>104</v>
      </c>
      <c r="O969" s="21" t="s">
        <v>104</v>
      </c>
      <c r="P969" s="6" t="s">
        <v>104</v>
      </c>
      <c r="Q969" s="6" t="s">
        <v>104</v>
      </c>
      <c r="R969" s="6" t="s">
        <v>104</v>
      </c>
      <c r="S969" s="6" t="s">
        <v>104</v>
      </c>
      <c r="T969" s="21" t="s">
        <v>104</v>
      </c>
      <c r="U969" s="6" t="s">
        <v>104</v>
      </c>
      <c r="V969" s="6" t="s">
        <v>104</v>
      </c>
      <c r="W969" s="6" t="s">
        <v>104</v>
      </c>
      <c r="X969" s="6" t="s">
        <v>104</v>
      </c>
      <c r="Y969" s="21" t="s">
        <v>104</v>
      </c>
      <c r="Z969" s="6" t="s">
        <v>104</v>
      </c>
      <c r="AA969" s="6" t="s">
        <v>104</v>
      </c>
      <c r="AB969" s="6" t="s">
        <v>104</v>
      </c>
      <c r="AC969" s="6" t="s">
        <v>9714</v>
      </c>
      <c r="AD969" s="16" t="n">
        <v>45167</v>
      </c>
      <c r="AE969" s="6" t="s">
        <v>11387</v>
      </c>
      <c r="AF969" s="6" t="s">
        <v>104</v>
      </c>
      <c r="AG969" s="6" t="s">
        <v>104</v>
      </c>
      <c r="AH969" s="6" t="s">
        <v>14037</v>
      </c>
      <c r="AI969" s="6" t="s">
        <v>104</v>
      </c>
      <c r="AJ969" s="6" t="s">
        <v>16000</v>
      </c>
      <c r="AK969" s="6" t="s">
        <v>104</v>
      </c>
      <c r="AL969" s="6" t="s">
        <v>16898</v>
      </c>
      <c r="AM969" s="6" t="s">
        <v>104</v>
      </c>
      <c r="AN969" s="6" t="s">
        <v>104</v>
      </c>
      <c r="AO969" s="6" t="s">
        <v>104</v>
      </c>
      <c r="AP969" s="6" t="s">
        <v>104</v>
      </c>
      <c r="AQ969" s="6" t="s">
        <v>104</v>
      </c>
      <c r="AR969" s="6" t="s">
        <v>104</v>
      </c>
      <c r="AS969" s="6" t="s">
        <v>104</v>
      </c>
      <c r="AT969" s="6" t="s">
        <v>104</v>
      </c>
      <c r="AU969" s="6" t="s">
        <v>104</v>
      </c>
      <c r="AV969" s="6" t="s">
        <v>104</v>
      </c>
      <c r="AW969" s="6" t="s">
        <v>104</v>
      </c>
      <c r="AX969" s="6" t="s">
        <v>20875</v>
      </c>
      <c r="AY969" s="6" t="s">
        <v>22653</v>
      </c>
      <c r="AZ969" s="6" t="s">
        <v>104</v>
      </c>
      <c r="BA969" s="6" t="s">
        <v>104</v>
      </c>
      <c r="BB969" s="24" t="n">
        <v>0</v>
      </c>
      <c r="BC969" s="26"/>
      <c r="BD969" s="26"/>
      <c r="BE969" s="26"/>
      <c r="BF969" s="26"/>
      <c r="BG969" s="26" t="s">
        <v>24533</v>
      </c>
      <c r="BH969" s="26"/>
      <c r="BI969" s="26"/>
      <c r="BJ969" s="26"/>
      <c r="BK969" s="26"/>
      <c r="BL969" s="26"/>
      <c r="BM969" s="26"/>
      <c r="BN969" s="26" t="s">
        <v>24533</v>
      </c>
      <c r="BO969" s="26"/>
      <c r="BP969" s="16" t="n">
        <v>45699</v>
      </c>
      <c r="BQ969" s="28" t="str">
        <f>HYPERLINK("https://organic.ams.usda.gov/Integrity/Certificate.aspx?cid=24&amp;nopid=7880274856")</f>
        <v>https://organic.ams.usda.gov/Integrity/Certificate.aspx?cid=24&amp;nopid=7880274856</v>
      </c>
    </row>
    <row r="970">
      <c r="A970" t="s">
        <v>3</v>
      </c>
      <c r="B970" s="6" t="s">
        <v>49</v>
      </c>
      <c r="C970" s="6" t="s">
        <v>115</v>
      </c>
      <c r="D970" s="6" t="s">
        <v>179</v>
      </c>
      <c r="E970" s="10" t="s">
        <v>1168</v>
      </c>
      <c r="F970" s="6" t="s">
        <v>3412</v>
      </c>
      <c r="G970" s="6" t="s">
        <v>104</v>
      </c>
      <c r="H970" s="6" t="s">
        <v>5773</v>
      </c>
      <c r="I970" s="6" t="s">
        <v>104</v>
      </c>
      <c r="J970" s="6" t="s">
        <v>104</v>
      </c>
      <c r="K970" s="6" t="s">
        <v>9714</v>
      </c>
      <c r="L970" s="16" t="n">
        <v>45425</v>
      </c>
      <c r="M970" s="16" t="n">
        <v>45637</v>
      </c>
      <c r="N970" s="6" t="s">
        <v>9714</v>
      </c>
      <c r="O970" s="16" t="n">
        <v>45425</v>
      </c>
      <c r="P970" s="6" t="s">
        <v>9984</v>
      </c>
      <c r="Q970" s="6" t="s">
        <v>104</v>
      </c>
      <c r="R970" s="6" t="s">
        <v>10363</v>
      </c>
      <c r="S970" s="6" t="s">
        <v>104</v>
      </c>
      <c r="T970" s="21" t="s">
        <v>104</v>
      </c>
      <c r="U970" s="6" t="s">
        <v>104</v>
      </c>
      <c r="V970" s="6" t="s">
        <v>104</v>
      </c>
      <c r="W970" s="6" t="s">
        <v>104</v>
      </c>
      <c r="X970" s="6" t="s">
        <v>104</v>
      </c>
      <c r="Y970" s="21" t="s">
        <v>104</v>
      </c>
      <c r="Z970" s="6" t="s">
        <v>104</v>
      </c>
      <c r="AA970" s="6" t="s">
        <v>104</v>
      </c>
      <c r="AB970" s="6" t="s">
        <v>104</v>
      </c>
      <c r="AC970" s="6" t="s">
        <v>104</v>
      </c>
      <c r="AD970" s="21" t="s">
        <v>104</v>
      </c>
      <c r="AE970" s="6" t="s">
        <v>104</v>
      </c>
      <c r="AF970" s="6" t="s">
        <v>104</v>
      </c>
      <c r="AG970" s="6" t="s">
        <v>104</v>
      </c>
      <c r="AH970" s="6" t="s">
        <v>14038</v>
      </c>
      <c r="AI970" s="6" t="s">
        <v>104</v>
      </c>
      <c r="AJ970" s="6" t="s">
        <v>16001</v>
      </c>
      <c r="AK970" s="6" t="s">
        <v>104</v>
      </c>
      <c r="AL970" s="6" t="s">
        <v>16932</v>
      </c>
      <c r="AM970" s="6" t="s">
        <v>17638</v>
      </c>
      <c r="AN970" s="6" t="s">
        <v>104</v>
      </c>
      <c r="AO970" s="6" t="s">
        <v>104</v>
      </c>
      <c r="AP970" s="6" t="s">
        <v>104</v>
      </c>
      <c r="AQ970" s="6" t="s">
        <v>104</v>
      </c>
      <c r="AR970" s="6" t="s">
        <v>104</v>
      </c>
      <c r="AS970" s="6" t="s">
        <v>104</v>
      </c>
      <c r="AT970" s="6" t="s">
        <v>104</v>
      </c>
      <c r="AU970" s="6" t="s">
        <v>104</v>
      </c>
      <c r="AV970" s="6" t="s">
        <v>104</v>
      </c>
      <c r="AW970" s="6" t="s">
        <v>104</v>
      </c>
      <c r="AX970" s="6" t="s">
        <v>104</v>
      </c>
      <c r="AY970" s="6" t="s">
        <v>22654</v>
      </c>
      <c r="AZ970" s="6" t="s">
        <v>104</v>
      </c>
      <c r="BA970" s="6" t="s">
        <v>104</v>
      </c>
      <c r="BB970" s="24" t="n">
        <v>10016</v>
      </c>
      <c r="BC970" s="26"/>
      <c r="BD970" s="26"/>
      <c r="BE970" s="26"/>
      <c r="BF970" s="26"/>
      <c r="BG970" s="26"/>
      <c r="BH970" s="26"/>
      <c r="BI970" s="26"/>
      <c r="BJ970" s="26"/>
      <c r="BK970" s="26"/>
      <c r="BL970" s="26"/>
      <c r="BM970" s="26"/>
      <c r="BN970" s="26"/>
      <c r="BO970" s="26"/>
      <c r="BP970" s="16" t="n">
        <v>45428</v>
      </c>
      <c r="BQ970" s="28" t="str">
        <f>HYPERLINK("https://organic.ams.usda.gov/Integrity/Certificate.aspx?cid=12&amp;nopid=8699694545")</f>
        <v>https://organic.ams.usda.gov/Integrity/Certificate.aspx?cid=12&amp;nopid=8699694545</v>
      </c>
    </row>
    <row r="971">
      <c r="A971" t="s">
        <v>3</v>
      </c>
      <c r="B971" s="6" t="s">
        <v>21</v>
      </c>
      <c r="C971" s="6" t="s">
        <v>87</v>
      </c>
      <c r="D971" s="6" t="s">
        <v>152</v>
      </c>
      <c r="E971" s="10" t="s">
        <v>1169</v>
      </c>
      <c r="F971" s="6" t="s">
        <v>3413</v>
      </c>
      <c r="G971" s="6" t="s">
        <v>104</v>
      </c>
      <c r="H971" s="6" t="s">
        <v>5774</v>
      </c>
      <c r="I971" s="6" t="s">
        <v>7159</v>
      </c>
      <c r="J971" s="6" t="s">
        <v>8864</v>
      </c>
      <c r="K971" s="6" t="s">
        <v>9714</v>
      </c>
      <c r="L971" s="16" t="n">
        <v>42478</v>
      </c>
      <c r="M971" s="16" t="n">
        <v>46023</v>
      </c>
      <c r="N971" s="6" t="s">
        <v>9714</v>
      </c>
      <c r="O971" s="16" t="n">
        <v>42478</v>
      </c>
      <c r="P971" s="6" t="s">
        <v>9985</v>
      </c>
      <c r="Q971" s="6" t="s">
        <v>104</v>
      </c>
      <c r="R971" s="6" t="s">
        <v>104</v>
      </c>
      <c r="S971" s="6" t="s">
        <v>104</v>
      </c>
      <c r="T971" s="21" t="s">
        <v>104</v>
      </c>
      <c r="U971" s="6" t="s">
        <v>104</v>
      </c>
      <c r="V971" s="6" t="s">
        <v>104</v>
      </c>
      <c r="W971" s="6" t="s">
        <v>104</v>
      </c>
      <c r="X971" s="6" t="s">
        <v>104</v>
      </c>
      <c r="Y971" s="21" t="s">
        <v>104</v>
      </c>
      <c r="Z971" s="6" t="s">
        <v>104</v>
      </c>
      <c r="AA971" s="6" t="s">
        <v>104</v>
      </c>
      <c r="AB971" s="6" t="s">
        <v>104</v>
      </c>
      <c r="AC971" s="6" t="s">
        <v>9714</v>
      </c>
      <c r="AD971" s="16" t="n">
        <v>42478</v>
      </c>
      <c r="AE971" s="6" t="s">
        <v>11388</v>
      </c>
      <c r="AF971" s="6" t="s">
        <v>104</v>
      </c>
      <c r="AG971" s="6" t="s">
        <v>104</v>
      </c>
      <c r="AH971" s="6" t="s">
        <v>14039</v>
      </c>
      <c r="AI971" s="6" t="s">
        <v>104</v>
      </c>
      <c r="AJ971" s="6" t="s">
        <v>16002</v>
      </c>
      <c r="AK971" s="6" t="s">
        <v>16687</v>
      </c>
      <c r="AL971" s="6" t="s">
        <v>16931</v>
      </c>
      <c r="AM971" s="6" t="s">
        <v>17639</v>
      </c>
      <c r="AN971" s="6" t="s">
        <v>18455</v>
      </c>
      <c r="AO971" s="6" t="s">
        <v>18612</v>
      </c>
      <c r="AP971" s="6" t="s">
        <v>14039</v>
      </c>
      <c r="AQ971" s="6" t="s">
        <v>104</v>
      </c>
      <c r="AR971" s="6" t="s">
        <v>16002</v>
      </c>
      <c r="AS971" s="6" t="s">
        <v>16687</v>
      </c>
      <c r="AT971" s="6" t="s">
        <v>16931</v>
      </c>
      <c r="AU971" s="6" t="s">
        <v>17639</v>
      </c>
      <c r="AV971" s="6" t="s">
        <v>104</v>
      </c>
      <c r="AW971" s="6" t="s">
        <v>104</v>
      </c>
      <c r="AX971" s="6" t="s">
        <v>20876</v>
      </c>
      <c r="AY971" s="6" t="s">
        <v>22655</v>
      </c>
      <c r="AZ971" s="6" t="s">
        <v>23934</v>
      </c>
      <c r="BA971" s="6" t="s">
        <v>104</v>
      </c>
      <c r="BB971" s="24" t="n">
        <v>40</v>
      </c>
      <c r="BC971" s="26"/>
      <c r="BD971" s="26"/>
      <c r="BE971" s="26"/>
      <c r="BF971" s="26"/>
      <c r="BG971" s="26"/>
      <c r="BH971" s="26"/>
      <c r="BI971" s="26"/>
      <c r="BJ971" s="26"/>
      <c r="BK971" s="26"/>
      <c r="BL971" s="26"/>
      <c r="BM971" s="26"/>
      <c r="BN971" s="26"/>
      <c r="BO971" s="26"/>
      <c r="BP971" s="16" t="n">
        <v>45667</v>
      </c>
      <c r="BQ971" s="28" t="str">
        <f>HYPERLINK("https://organic.ams.usda.gov/Integrity/Certificate.aspx?cid=15&amp;nopid=5561004177")</f>
        <v>https://organic.ams.usda.gov/Integrity/Certificate.aspx?cid=15&amp;nopid=5561004177</v>
      </c>
    </row>
    <row r="972">
      <c r="A972" t="s">
        <v>3</v>
      </c>
      <c r="B972" s="6" t="s">
        <v>36</v>
      </c>
      <c r="C972" s="6" t="s">
        <v>102</v>
      </c>
      <c r="D972" s="6" t="s">
        <v>167</v>
      </c>
      <c r="E972" s="10" t="s">
        <v>1170</v>
      </c>
      <c r="F972" s="6" t="s">
        <v>3414</v>
      </c>
      <c r="G972" s="6" t="s">
        <v>104</v>
      </c>
      <c r="H972" s="6" t="s">
        <v>5775</v>
      </c>
      <c r="I972" s="6" t="s">
        <v>7533</v>
      </c>
      <c r="J972" s="6" t="s">
        <v>8412</v>
      </c>
      <c r="K972" s="6" t="s">
        <v>9714</v>
      </c>
      <c r="L972" s="16" t="n">
        <v>40422</v>
      </c>
      <c r="M972" s="16" t="n">
        <v>45808</v>
      </c>
      <c r="N972" s="6" t="s">
        <v>104</v>
      </c>
      <c r="O972" s="21" t="s">
        <v>104</v>
      </c>
      <c r="P972" s="6" t="s">
        <v>104</v>
      </c>
      <c r="Q972" s="6" t="s">
        <v>104</v>
      </c>
      <c r="R972" s="6" t="s">
        <v>104</v>
      </c>
      <c r="S972" s="6" t="s">
        <v>104</v>
      </c>
      <c r="T972" s="21" t="s">
        <v>104</v>
      </c>
      <c r="U972" s="6" t="s">
        <v>104</v>
      </c>
      <c r="V972" s="6" t="s">
        <v>104</v>
      </c>
      <c r="W972" s="6" t="s">
        <v>104</v>
      </c>
      <c r="X972" s="6" t="s">
        <v>104</v>
      </c>
      <c r="Y972" s="21" t="s">
        <v>104</v>
      </c>
      <c r="Z972" s="6" t="s">
        <v>104</v>
      </c>
      <c r="AA972" s="6" t="s">
        <v>104</v>
      </c>
      <c r="AB972" s="6" t="s">
        <v>104</v>
      </c>
      <c r="AC972" s="6" t="s">
        <v>9714</v>
      </c>
      <c r="AD972" s="16" t="n">
        <v>40422</v>
      </c>
      <c r="AE972" s="6" t="s">
        <v>11389</v>
      </c>
      <c r="AF972" s="6" t="s">
        <v>104</v>
      </c>
      <c r="AG972" s="6" t="s">
        <v>104</v>
      </c>
      <c r="AH972" s="6" t="s">
        <v>14040</v>
      </c>
      <c r="AI972" s="6" t="s">
        <v>104</v>
      </c>
      <c r="AJ972" s="6" t="s">
        <v>8077</v>
      </c>
      <c r="AK972" s="6" t="s">
        <v>16705</v>
      </c>
      <c r="AL972" s="6" t="s">
        <v>16931</v>
      </c>
      <c r="AM972" s="6" t="s">
        <v>17640</v>
      </c>
      <c r="AN972" s="6" t="s">
        <v>18486</v>
      </c>
      <c r="AO972" s="6" t="s">
        <v>18599</v>
      </c>
      <c r="AP972" s="6" t="s">
        <v>14040</v>
      </c>
      <c r="AQ972" s="6" t="s">
        <v>104</v>
      </c>
      <c r="AR972" s="6" t="s">
        <v>8077</v>
      </c>
      <c r="AS972" s="6" t="s">
        <v>16705</v>
      </c>
      <c r="AT972" s="6" t="s">
        <v>16931</v>
      </c>
      <c r="AU972" s="6" t="s">
        <v>17640</v>
      </c>
      <c r="AV972" s="6" t="s">
        <v>104</v>
      </c>
      <c r="AW972" s="6" t="s">
        <v>104</v>
      </c>
      <c r="AX972" s="6" t="s">
        <v>20877</v>
      </c>
      <c r="AY972" s="6" t="s">
        <v>22656</v>
      </c>
      <c r="AZ972" s="6" t="s">
        <v>23935</v>
      </c>
      <c r="BA972" s="6" t="s">
        <v>24393</v>
      </c>
      <c r="BB972" s="6" t="s">
        <v>104</v>
      </c>
      <c r="BC972" s="26"/>
      <c r="BD972" s="26"/>
      <c r="BE972" s="26" t="s">
        <v>24533</v>
      </c>
      <c r="BF972" s="26"/>
      <c r="BG972" s="26"/>
      <c r="BH972" s="26"/>
      <c r="BI972" s="26"/>
      <c r="BJ972" s="26"/>
      <c r="BK972" s="26"/>
      <c r="BL972" s="26" t="s">
        <v>24533</v>
      </c>
      <c r="BM972" s="26"/>
      <c r="BN972" s="26"/>
      <c r="BO972" s="26"/>
      <c r="BP972" s="16" t="n">
        <v>45729</v>
      </c>
      <c r="BQ972" s="28" t="str">
        <f>HYPERLINK("https://organic.ams.usda.gov/Integrity/Certificate.aspx?cid=61&amp;nopid=7270000623")</f>
        <v>https://organic.ams.usda.gov/Integrity/Certificate.aspx?cid=61&amp;nopid=7270000623</v>
      </c>
    </row>
    <row r="973">
      <c r="A973" t="s">
        <v>3</v>
      </c>
      <c r="B973" s="6" t="s">
        <v>21</v>
      </c>
      <c r="C973" s="6" t="s">
        <v>87</v>
      </c>
      <c r="D973" s="6" t="s">
        <v>152</v>
      </c>
      <c r="E973" s="10" t="s">
        <v>1171</v>
      </c>
      <c r="F973" s="6" t="s">
        <v>3415</v>
      </c>
      <c r="G973" s="6" t="s">
        <v>104</v>
      </c>
      <c r="H973" s="6" t="s">
        <v>5776</v>
      </c>
      <c r="I973" s="6" t="s">
        <v>7534</v>
      </c>
      <c r="J973" s="6" t="s">
        <v>8865</v>
      </c>
      <c r="K973" s="6" t="s">
        <v>9714</v>
      </c>
      <c r="L973" s="16" t="n">
        <v>45505</v>
      </c>
      <c r="M973" s="16" t="n">
        <v>46023</v>
      </c>
      <c r="N973" s="6" t="s">
        <v>9714</v>
      </c>
      <c r="O973" s="16" t="n">
        <v>45505</v>
      </c>
      <c r="P973" s="6" t="s">
        <v>9986</v>
      </c>
      <c r="Q973" s="6" t="s">
        <v>104</v>
      </c>
      <c r="R973" s="6" t="s">
        <v>104</v>
      </c>
      <c r="S973" s="6" t="s">
        <v>9721</v>
      </c>
      <c r="T973" s="16" t="n">
        <v>45723</v>
      </c>
      <c r="U973" s="6" t="s">
        <v>104</v>
      </c>
      <c r="V973" s="6" t="s">
        <v>104</v>
      </c>
      <c r="W973" s="6" t="s">
        <v>104</v>
      </c>
      <c r="X973" s="6" t="s">
        <v>104</v>
      </c>
      <c r="Y973" s="21" t="s">
        <v>104</v>
      </c>
      <c r="Z973" s="6" t="s">
        <v>104</v>
      </c>
      <c r="AA973" s="6" t="s">
        <v>104</v>
      </c>
      <c r="AB973" s="6" t="s">
        <v>104</v>
      </c>
      <c r="AC973" s="6" t="s">
        <v>104</v>
      </c>
      <c r="AD973" s="21" t="s">
        <v>104</v>
      </c>
      <c r="AE973" s="6" t="s">
        <v>104</v>
      </c>
      <c r="AF973" s="6" t="s">
        <v>104</v>
      </c>
      <c r="AG973" s="6" t="s">
        <v>104</v>
      </c>
      <c r="AH973" s="6" t="s">
        <v>14041</v>
      </c>
      <c r="AI973" s="6" t="s">
        <v>104</v>
      </c>
      <c r="AJ973" s="6" t="s">
        <v>16003</v>
      </c>
      <c r="AK973" s="6" t="s">
        <v>16730</v>
      </c>
      <c r="AL973" s="6" t="s">
        <v>16931</v>
      </c>
      <c r="AM973" s="6" t="s">
        <v>17641</v>
      </c>
      <c r="AN973" s="6" t="s">
        <v>104</v>
      </c>
      <c r="AO973" s="6" t="s">
        <v>104</v>
      </c>
      <c r="AP973" s="6" t="s">
        <v>14041</v>
      </c>
      <c r="AQ973" s="6" t="s">
        <v>104</v>
      </c>
      <c r="AR973" s="6" t="s">
        <v>16003</v>
      </c>
      <c r="AS973" s="6" t="s">
        <v>16730</v>
      </c>
      <c r="AT973" s="6" t="s">
        <v>16931</v>
      </c>
      <c r="AU973" s="6" t="s">
        <v>17641</v>
      </c>
      <c r="AV973" s="6" t="s">
        <v>104</v>
      </c>
      <c r="AW973" s="6" t="s">
        <v>104</v>
      </c>
      <c r="AX973" s="6" t="s">
        <v>20878</v>
      </c>
      <c r="AY973" s="6" t="s">
        <v>22657</v>
      </c>
      <c r="AZ973" s="6" t="s">
        <v>23936</v>
      </c>
      <c r="BA973" s="6" t="s">
        <v>24394</v>
      </c>
      <c r="BB973" s="24" t="n">
        <v>35</v>
      </c>
      <c r="BC973" s="26"/>
      <c r="BD973" s="26"/>
      <c r="BE973" s="26"/>
      <c r="BF973" s="26"/>
      <c r="BG973" s="26"/>
      <c r="BH973" s="26"/>
      <c r="BI973" s="26"/>
      <c r="BJ973" s="26"/>
      <c r="BK973" s="26" t="s">
        <v>24533</v>
      </c>
      <c r="BL973" s="26"/>
      <c r="BM973" s="26"/>
      <c r="BN973" s="26"/>
      <c r="BO973" s="26"/>
      <c r="BP973" s="16" t="n">
        <v>45730</v>
      </c>
      <c r="BQ973" s="28" t="str">
        <f>HYPERLINK("https://organic.ams.usda.gov/Integrity/Certificate.aspx?cid=15&amp;nopid=5561008535")</f>
        <v>https://organic.ams.usda.gov/Integrity/Certificate.aspx?cid=15&amp;nopid=5561008535</v>
      </c>
    </row>
    <row r="974">
      <c r="A974" t="s">
        <v>3</v>
      </c>
      <c r="B974" s="6" t="s">
        <v>50</v>
      </c>
      <c r="C974" s="6" t="s">
        <v>116</v>
      </c>
      <c r="D974" s="6" t="s">
        <v>180</v>
      </c>
      <c r="E974" s="10" t="s">
        <v>1172</v>
      </c>
      <c r="F974" s="6" t="s">
        <v>3416</v>
      </c>
      <c r="G974" s="6" t="s">
        <v>104</v>
      </c>
      <c r="H974" s="6" t="s">
        <v>5777</v>
      </c>
      <c r="I974" s="6" t="s">
        <v>7535</v>
      </c>
      <c r="J974" s="6" t="s">
        <v>8866</v>
      </c>
      <c r="K974" s="6" t="s">
        <v>9714</v>
      </c>
      <c r="L974" s="16" t="n">
        <v>41016</v>
      </c>
      <c r="M974" s="16" t="n">
        <v>46054</v>
      </c>
      <c r="N974" s="6" t="s">
        <v>104</v>
      </c>
      <c r="O974" s="21" t="s">
        <v>104</v>
      </c>
      <c r="P974" s="6" t="s">
        <v>104</v>
      </c>
      <c r="Q974" s="6" t="s">
        <v>104</v>
      </c>
      <c r="R974" s="6" t="s">
        <v>104</v>
      </c>
      <c r="S974" s="6" t="s">
        <v>104</v>
      </c>
      <c r="T974" s="21" t="s">
        <v>104</v>
      </c>
      <c r="U974" s="6" t="s">
        <v>104</v>
      </c>
      <c r="V974" s="6" t="s">
        <v>104</v>
      </c>
      <c r="W974" s="6" t="s">
        <v>104</v>
      </c>
      <c r="X974" s="6" t="s">
        <v>104</v>
      </c>
      <c r="Y974" s="21" t="s">
        <v>104</v>
      </c>
      <c r="Z974" s="6" t="s">
        <v>104</v>
      </c>
      <c r="AA974" s="6" t="s">
        <v>104</v>
      </c>
      <c r="AB974" s="6" t="s">
        <v>104</v>
      </c>
      <c r="AC974" s="6" t="s">
        <v>9714</v>
      </c>
      <c r="AD974" s="16" t="n">
        <v>41016</v>
      </c>
      <c r="AE974" s="6" t="s">
        <v>11390</v>
      </c>
      <c r="AF974" s="6" t="s">
        <v>104</v>
      </c>
      <c r="AG974" s="6" t="s">
        <v>5777</v>
      </c>
      <c r="AH974" s="6" t="s">
        <v>14042</v>
      </c>
      <c r="AI974" s="6" t="s">
        <v>104</v>
      </c>
      <c r="AJ974" s="6" t="s">
        <v>16004</v>
      </c>
      <c r="AK974" s="6" t="s">
        <v>16745</v>
      </c>
      <c r="AL974" s="6" t="s">
        <v>16931</v>
      </c>
      <c r="AM974" s="6" t="s">
        <v>17642</v>
      </c>
      <c r="AN974" s="6" t="s">
        <v>18472</v>
      </c>
      <c r="AO974" s="6" t="s">
        <v>18650</v>
      </c>
      <c r="AP974" s="6" t="s">
        <v>19197</v>
      </c>
      <c r="AQ974" s="6" t="s">
        <v>104</v>
      </c>
      <c r="AR974" s="6" t="s">
        <v>19685</v>
      </c>
      <c r="AS974" s="6" t="s">
        <v>16745</v>
      </c>
      <c r="AT974" s="6" t="s">
        <v>16931</v>
      </c>
      <c r="AU974" s="6" t="s">
        <v>19924</v>
      </c>
      <c r="AV974" s="6" t="s">
        <v>104</v>
      </c>
      <c r="AW974" s="6" t="s">
        <v>104</v>
      </c>
      <c r="AX974" s="6" t="s">
        <v>20879</v>
      </c>
      <c r="AY974" s="6" t="s">
        <v>22658</v>
      </c>
      <c r="AZ974" s="6" t="s">
        <v>104</v>
      </c>
      <c r="BA974" s="6" t="s">
        <v>24395</v>
      </c>
      <c r="BB974" s="24" t="n">
        <v>0</v>
      </c>
      <c r="BC974" s="26"/>
      <c r="BD974" s="26"/>
      <c r="BE974" s="26" t="s">
        <v>24533</v>
      </c>
      <c r="BF974" s="26"/>
      <c r="BG974" s="26"/>
      <c r="BH974" s="26"/>
      <c r="BI974" s="26"/>
      <c r="BJ974" s="26"/>
      <c r="BK974" s="26"/>
      <c r="BL974" s="26" t="s">
        <v>24533</v>
      </c>
      <c r="BM974" s="26"/>
      <c r="BN974" s="26"/>
      <c r="BO974" s="26"/>
      <c r="BP974" s="16" t="n">
        <v>45699</v>
      </c>
      <c r="BQ974" s="28" t="str">
        <f>HYPERLINK("https://organic.ams.usda.gov/Integrity/Certificate.aspx?cid=80&amp;nopid=5090311551")</f>
        <v>https://organic.ams.usda.gov/Integrity/Certificate.aspx?cid=80&amp;nopid=5090311551</v>
      </c>
    </row>
    <row r="975">
      <c r="A975" t="s">
        <v>3</v>
      </c>
      <c r="B975" s="6" t="s">
        <v>6</v>
      </c>
      <c r="C975" s="6" t="s">
        <v>72</v>
      </c>
      <c r="D975" s="6" t="s">
        <v>137</v>
      </c>
      <c r="E975" s="10" t="s">
        <v>1173</v>
      </c>
      <c r="F975" s="6" t="s">
        <v>3417</v>
      </c>
      <c r="G975" s="6" t="s">
        <v>104</v>
      </c>
      <c r="H975" s="6" t="s">
        <v>5778</v>
      </c>
      <c r="I975" s="6" t="s">
        <v>7206</v>
      </c>
      <c r="J975" s="6" t="s">
        <v>8867</v>
      </c>
      <c r="K975" s="6" t="s">
        <v>9714</v>
      </c>
      <c r="L975" s="16" t="n">
        <v>43333</v>
      </c>
      <c r="M975" s="16" t="n">
        <v>45729</v>
      </c>
      <c r="N975" s="6" t="s">
        <v>104</v>
      </c>
      <c r="O975" s="21" t="s">
        <v>104</v>
      </c>
      <c r="P975" s="6" t="s">
        <v>104</v>
      </c>
      <c r="Q975" s="6" t="s">
        <v>104</v>
      </c>
      <c r="R975" s="6" t="s">
        <v>104</v>
      </c>
      <c r="S975" s="6" t="s">
        <v>104</v>
      </c>
      <c r="T975" s="21" t="s">
        <v>104</v>
      </c>
      <c r="U975" s="6" t="s">
        <v>104</v>
      </c>
      <c r="V975" s="6" t="s">
        <v>104</v>
      </c>
      <c r="W975" s="6" t="s">
        <v>104</v>
      </c>
      <c r="X975" s="6" t="s">
        <v>104</v>
      </c>
      <c r="Y975" s="21" t="s">
        <v>104</v>
      </c>
      <c r="Z975" s="6" t="s">
        <v>104</v>
      </c>
      <c r="AA975" s="6" t="s">
        <v>104</v>
      </c>
      <c r="AB975" s="6" t="s">
        <v>104</v>
      </c>
      <c r="AC975" s="6" t="s">
        <v>9714</v>
      </c>
      <c r="AD975" s="16" t="n">
        <v>43333</v>
      </c>
      <c r="AE975" s="6" t="s">
        <v>11391</v>
      </c>
      <c r="AF975" s="6" t="s">
        <v>104</v>
      </c>
      <c r="AG975" s="6" t="s">
        <v>12802</v>
      </c>
      <c r="AH975" s="6" t="s">
        <v>14043</v>
      </c>
      <c r="AI975" s="6" t="s">
        <v>104</v>
      </c>
      <c r="AJ975" s="6" t="s">
        <v>16005</v>
      </c>
      <c r="AK975" s="6" t="s">
        <v>16767</v>
      </c>
      <c r="AL975" s="6" t="s">
        <v>16766</v>
      </c>
      <c r="AM975" s="6" t="s">
        <v>104</v>
      </c>
      <c r="AN975" s="6" t="s">
        <v>104</v>
      </c>
      <c r="AO975" s="6" t="s">
        <v>104</v>
      </c>
      <c r="AP975" s="6" t="s">
        <v>104</v>
      </c>
      <c r="AQ975" s="6" t="s">
        <v>104</v>
      </c>
      <c r="AR975" s="6" t="s">
        <v>104</v>
      </c>
      <c r="AS975" s="6" t="s">
        <v>104</v>
      </c>
      <c r="AT975" s="6" t="s">
        <v>104</v>
      </c>
      <c r="AU975" s="6" t="s">
        <v>104</v>
      </c>
      <c r="AV975" s="6" t="s">
        <v>104</v>
      </c>
      <c r="AW975" s="6" t="s">
        <v>104</v>
      </c>
      <c r="AX975" s="6" t="s">
        <v>20880</v>
      </c>
      <c r="AY975" s="6" t="s">
        <v>22277</v>
      </c>
      <c r="AZ975" s="6" t="s">
        <v>104</v>
      </c>
      <c r="BA975" s="6" t="s">
        <v>104</v>
      </c>
      <c r="BB975" s="6" t="s">
        <v>104</v>
      </c>
      <c r="BC975" s="26"/>
      <c r="BD975" s="26"/>
      <c r="BE975" s="26"/>
      <c r="BF975" s="26"/>
      <c r="BG975" s="26"/>
      <c r="BH975" s="26"/>
      <c r="BI975" s="26"/>
      <c r="BJ975" s="26"/>
      <c r="BK975" s="26"/>
      <c r="BL975" s="26"/>
      <c r="BM975" s="26"/>
      <c r="BN975" s="26"/>
      <c r="BO975" s="26"/>
      <c r="BP975" s="16" t="n">
        <v>45737</v>
      </c>
      <c r="BQ975" s="28" t="str">
        <f>HYPERLINK("https://organic.ams.usda.gov/Integrity/Certificate.aspx?cid=32&amp;nopid=2230005976")</f>
        <v>https://organic.ams.usda.gov/Integrity/Certificate.aspx?cid=32&amp;nopid=2230005976</v>
      </c>
    </row>
    <row r="976">
      <c r="A976" t="s">
        <v>3</v>
      </c>
      <c r="B976" s="6" t="s">
        <v>34</v>
      </c>
      <c r="C976" s="6" t="s">
        <v>100</v>
      </c>
      <c r="D976" s="6" t="s">
        <v>165</v>
      </c>
      <c r="E976" s="10" t="s">
        <v>1174</v>
      </c>
      <c r="F976" s="6" t="s">
        <v>3418</v>
      </c>
      <c r="G976" s="6" t="s">
        <v>104</v>
      </c>
      <c r="H976" s="6" t="s">
        <v>5779</v>
      </c>
      <c r="I976" s="6" t="s">
        <v>7162</v>
      </c>
      <c r="J976" s="6" t="s">
        <v>8300</v>
      </c>
      <c r="K976" s="6" t="s">
        <v>9714</v>
      </c>
      <c r="L976" s="16" t="n">
        <v>43490</v>
      </c>
      <c r="M976" s="16" t="n">
        <v>45938</v>
      </c>
      <c r="N976" s="6" t="s">
        <v>104</v>
      </c>
      <c r="O976" s="21" t="s">
        <v>104</v>
      </c>
      <c r="P976" s="6" t="s">
        <v>104</v>
      </c>
      <c r="Q976" s="6" t="s">
        <v>104</v>
      </c>
      <c r="R976" s="6" t="s">
        <v>104</v>
      </c>
      <c r="S976" s="6" t="s">
        <v>104</v>
      </c>
      <c r="T976" s="21" t="s">
        <v>104</v>
      </c>
      <c r="U976" s="6" t="s">
        <v>104</v>
      </c>
      <c r="V976" s="6" t="s">
        <v>104</v>
      </c>
      <c r="W976" s="6" t="s">
        <v>104</v>
      </c>
      <c r="X976" s="6" t="s">
        <v>104</v>
      </c>
      <c r="Y976" s="21" t="s">
        <v>104</v>
      </c>
      <c r="Z976" s="6" t="s">
        <v>104</v>
      </c>
      <c r="AA976" s="6" t="s">
        <v>104</v>
      </c>
      <c r="AB976" s="6" t="s">
        <v>104</v>
      </c>
      <c r="AC976" s="6" t="s">
        <v>9714</v>
      </c>
      <c r="AD976" s="16" t="n">
        <v>43490</v>
      </c>
      <c r="AE976" s="6" t="s">
        <v>11392</v>
      </c>
      <c r="AF976" s="6" t="s">
        <v>104</v>
      </c>
      <c r="AG976" s="6" t="s">
        <v>12803</v>
      </c>
      <c r="AH976" s="6" t="s">
        <v>14044</v>
      </c>
      <c r="AI976" s="6" t="s">
        <v>104</v>
      </c>
      <c r="AJ976" s="6" t="s">
        <v>16006</v>
      </c>
      <c r="AK976" s="6" t="s">
        <v>16775</v>
      </c>
      <c r="AL976" s="6" t="s">
        <v>16931</v>
      </c>
      <c r="AM976" s="6" t="s">
        <v>17643</v>
      </c>
      <c r="AN976" s="6" t="s">
        <v>18538</v>
      </c>
      <c r="AO976" s="6" t="s">
        <v>18772</v>
      </c>
      <c r="AP976" s="6" t="s">
        <v>14044</v>
      </c>
      <c r="AQ976" s="6" t="s">
        <v>104</v>
      </c>
      <c r="AR976" s="6" t="s">
        <v>16006</v>
      </c>
      <c r="AS976" s="6" t="s">
        <v>16775</v>
      </c>
      <c r="AT976" s="6" t="s">
        <v>16931</v>
      </c>
      <c r="AU976" s="6" t="s">
        <v>17643</v>
      </c>
      <c r="AV976" s="6" t="s">
        <v>104</v>
      </c>
      <c r="AW976" s="6" t="s">
        <v>104</v>
      </c>
      <c r="AX976" s="6" t="s">
        <v>20259</v>
      </c>
      <c r="AY976" s="6" t="s">
        <v>22659</v>
      </c>
      <c r="AZ976" s="6" t="s">
        <v>104</v>
      </c>
      <c r="BA976" s="6" t="s">
        <v>104</v>
      </c>
      <c r="BB976" s="6" t="s">
        <v>104</v>
      </c>
      <c r="BC976" s="26"/>
      <c r="BD976" s="26"/>
      <c r="BE976" s="26"/>
      <c r="BF976" s="26"/>
      <c r="BG976" s="26"/>
      <c r="BH976" s="26"/>
      <c r="BI976" s="26"/>
      <c r="BJ976" s="26"/>
      <c r="BK976" s="26"/>
      <c r="BL976" s="26"/>
      <c r="BM976" s="26"/>
      <c r="BN976" s="26"/>
      <c r="BO976" s="26"/>
      <c r="BP976" s="16" t="n">
        <v>45737</v>
      </c>
      <c r="BQ976" s="28" t="str">
        <f>HYPERLINK("https://organic.ams.usda.gov/Integrity/Certificate.aspx?cid=71&amp;nopid=5520435640")</f>
        <v>https://organic.ams.usda.gov/Integrity/Certificate.aspx?cid=71&amp;nopid=5520435640</v>
      </c>
    </row>
    <row r="977">
      <c r="A977" t="s">
        <v>3</v>
      </c>
      <c r="B977" s="6" t="s">
        <v>20</v>
      </c>
      <c r="C977" s="6" t="s">
        <v>86</v>
      </c>
      <c r="D977" s="6" t="s">
        <v>151</v>
      </c>
      <c r="E977" s="10" t="s">
        <v>1175</v>
      </c>
      <c r="F977" s="6" t="s">
        <v>3419</v>
      </c>
      <c r="G977" s="6" t="s">
        <v>104</v>
      </c>
      <c r="H977" s="6" t="s">
        <v>5780</v>
      </c>
      <c r="I977" s="6" t="s">
        <v>7536</v>
      </c>
      <c r="J977" s="6" t="s">
        <v>8868</v>
      </c>
      <c r="K977" s="6" t="s">
        <v>9714</v>
      </c>
      <c r="L977" s="16" t="n">
        <v>42776</v>
      </c>
      <c r="M977" s="16" t="n">
        <v>46081</v>
      </c>
      <c r="N977" s="6" t="s">
        <v>104</v>
      </c>
      <c r="O977" s="21" t="s">
        <v>104</v>
      </c>
      <c r="P977" s="6" t="s">
        <v>104</v>
      </c>
      <c r="Q977" s="6" t="s">
        <v>104</v>
      </c>
      <c r="R977" s="6" t="s">
        <v>104</v>
      </c>
      <c r="S977" s="6" t="s">
        <v>104</v>
      </c>
      <c r="T977" s="21" t="s">
        <v>104</v>
      </c>
      <c r="U977" s="6" t="s">
        <v>104</v>
      </c>
      <c r="V977" s="6" t="s">
        <v>104</v>
      </c>
      <c r="W977" s="6" t="s">
        <v>104</v>
      </c>
      <c r="X977" s="6" t="s">
        <v>104</v>
      </c>
      <c r="Y977" s="21" t="s">
        <v>104</v>
      </c>
      <c r="Z977" s="6" t="s">
        <v>104</v>
      </c>
      <c r="AA977" s="6" t="s">
        <v>104</v>
      </c>
      <c r="AB977" s="6" t="s">
        <v>104</v>
      </c>
      <c r="AC977" s="6" t="s">
        <v>9714</v>
      </c>
      <c r="AD977" s="16" t="n">
        <v>42776</v>
      </c>
      <c r="AE977" s="6" t="s">
        <v>11393</v>
      </c>
      <c r="AF977" s="6" t="s">
        <v>104</v>
      </c>
      <c r="AG977" s="6" t="s">
        <v>12804</v>
      </c>
      <c r="AH977" s="6" t="s">
        <v>14045</v>
      </c>
      <c r="AI977" s="6" t="s">
        <v>104</v>
      </c>
      <c r="AJ977" s="6" t="s">
        <v>16007</v>
      </c>
      <c r="AK977" s="6" t="s">
        <v>16834</v>
      </c>
      <c r="AL977" s="6" t="s">
        <v>16959</v>
      </c>
      <c r="AM977" s="6" t="s">
        <v>17072</v>
      </c>
      <c r="AN977" s="6" t="s">
        <v>104</v>
      </c>
      <c r="AO977" s="6" t="s">
        <v>104</v>
      </c>
      <c r="AP977" s="6" t="s">
        <v>104</v>
      </c>
      <c r="AQ977" s="6" t="s">
        <v>104</v>
      </c>
      <c r="AR977" s="6" t="s">
        <v>104</v>
      </c>
      <c r="AS977" s="6" t="s">
        <v>104</v>
      </c>
      <c r="AT977" s="6" t="s">
        <v>104</v>
      </c>
      <c r="AU977" s="6" t="s">
        <v>104</v>
      </c>
      <c r="AV977" s="6" t="s">
        <v>104</v>
      </c>
      <c r="AW977" s="6" t="s">
        <v>104</v>
      </c>
      <c r="AX977" s="6" t="s">
        <v>20881</v>
      </c>
      <c r="AY977" s="6" t="s">
        <v>22660</v>
      </c>
      <c r="AZ977" s="6" t="s">
        <v>104</v>
      </c>
      <c r="BA977" s="6" t="s">
        <v>104</v>
      </c>
      <c r="BB977" s="6" t="s">
        <v>104</v>
      </c>
      <c r="BC977" s="26"/>
      <c r="BD977" s="26"/>
      <c r="BE977" s="26"/>
      <c r="BF977" s="26"/>
      <c r="BG977" s="26"/>
      <c r="BH977" s="26"/>
      <c r="BI977" s="26"/>
      <c r="BJ977" s="26"/>
      <c r="BK977" s="26"/>
      <c r="BL977" s="26"/>
      <c r="BM977" s="26"/>
      <c r="BN977" s="26"/>
      <c r="BO977" s="26"/>
      <c r="BP977" s="16" t="n">
        <v>45692</v>
      </c>
      <c r="BQ977" s="28" t="str">
        <f>HYPERLINK("https://organic.ams.usda.gov/Integrity/Certificate.aspx?cid=17&amp;nopid=4081400001")</f>
        <v>https://organic.ams.usda.gov/Integrity/Certificate.aspx?cid=17&amp;nopid=4081400001</v>
      </c>
    </row>
    <row r="978">
      <c r="A978" t="s">
        <v>3</v>
      </c>
      <c r="B978" s="6" t="s">
        <v>13</v>
      </c>
      <c r="C978" s="6" t="s">
        <v>79</v>
      </c>
      <c r="D978" s="6" t="s">
        <v>144</v>
      </c>
      <c r="E978" s="10" t="s">
        <v>1176</v>
      </c>
      <c r="F978" s="6" t="s">
        <v>3420</v>
      </c>
      <c r="G978" s="6" t="s">
        <v>104</v>
      </c>
      <c r="H978" s="6" t="s">
        <v>5781</v>
      </c>
      <c r="I978" s="6" t="s">
        <v>7141</v>
      </c>
      <c r="J978" s="6" t="s">
        <v>8869</v>
      </c>
      <c r="K978" s="6" t="s">
        <v>9714</v>
      </c>
      <c r="L978" s="16" t="n">
        <v>39742</v>
      </c>
      <c r="M978" s="16" t="n">
        <v>46023</v>
      </c>
      <c r="N978" s="6" t="s">
        <v>104</v>
      </c>
      <c r="O978" s="21" t="s">
        <v>104</v>
      </c>
      <c r="P978" s="6" t="s">
        <v>104</v>
      </c>
      <c r="Q978" s="6" t="s">
        <v>104</v>
      </c>
      <c r="R978" s="6" t="s">
        <v>104</v>
      </c>
      <c r="S978" s="6" t="s">
        <v>104</v>
      </c>
      <c r="T978" s="21" t="s">
        <v>104</v>
      </c>
      <c r="U978" s="6" t="s">
        <v>104</v>
      </c>
      <c r="V978" s="6" t="s">
        <v>104</v>
      </c>
      <c r="W978" s="6" t="s">
        <v>104</v>
      </c>
      <c r="X978" s="6" t="s">
        <v>104</v>
      </c>
      <c r="Y978" s="21" t="s">
        <v>104</v>
      </c>
      <c r="Z978" s="6" t="s">
        <v>104</v>
      </c>
      <c r="AA978" s="6" t="s">
        <v>104</v>
      </c>
      <c r="AB978" s="6" t="s">
        <v>104</v>
      </c>
      <c r="AC978" s="6" t="s">
        <v>9714</v>
      </c>
      <c r="AD978" s="16" t="n">
        <v>39742</v>
      </c>
      <c r="AE978" s="6" t="s">
        <v>11394</v>
      </c>
      <c r="AF978" s="6" t="s">
        <v>104</v>
      </c>
      <c r="AG978" s="6" t="s">
        <v>104</v>
      </c>
      <c r="AH978" s="6" t="s">
        <v>104</v>
      </c>
      <c r="AI978" s="6" t="s">
        <v>104</v>
      </c>
      <c r="AJ978" s="6" t="s">
        <v>104</v>
      </c>
      <c r="AK978" s="6" t="s">
        <v>104</v>
      </c>
      <c r="AL978" s="6" t="s">
        <v>104</v>
      </c>
      <c r="AM978" s="6" t="s">
        <v>104</v>
      </c>
      <c r="AN978" s="6" t="s">
        <v>104</v>
      </c>
      <c r="AO978" s="6" t="s">
        <v>104</v>
      </c>
      <c r="AP978" s="6" t="s">
        <v>19198</v>
      </c>
      <c r="AQ978" s="6" t="s">
        <v>104</v>
      </c>
      <c r="AR978" s="6" t="s">
        <v>15415</v>
      </c>
      <c r="AS978" s="6" t="s">
        <v>16705</v>
      </c>
      <c r="AT978" s="6" t="s">
        <v>16931</v>
      </c>
      <c r="AU978" s="6" t="s">
        <v>17405</v>
      </c>
      <c r="AV978" s="6" t="s">
        <v>17550</v>
      </c>
      <c r="AW978" s="6" t="s">
        <v>18702</v>
      </c>
      <c r="AX978" s="6" t="s">
        <v>20882</v>
      </c>
      <c r="AY978" s="6" t="s">
        <v>22661</v>
      </c>
      <c r="AZ978" s="6" t="s">
        <v>23937</v>
      </c>
      <c r="BA978" s="6" t="s">
        <v>104</v>
      </c>
      <c r="BB978" s="6" t="s">
        <v>104</v>
      </c>
      <c r="BC978" s="26"/>
      <c r="BD978" s="26"/>
      <c r="BE978" s="26"/>
      <c r="BF978" s="26"/>
      <c r="BG978" s="26"/>
      <c r="BH978" s="26"/>
      <c r="BI978" s="26"/>
      <c r="BJ978" s="26"/>
      <c r="BK978" s="26"/>
      <c r="BL978" s="26"/>
      <c r="BM978" s="26"/>
      <c r="BN978" s="26"/>
      <c r="BO978" s="26"/>
      <c r="BP978" s="16" t="n">
        <v>45720</v>
      </c>
      <c r="BQ978" s="28" t="str">
        <f>HYPERLINK("https://organic.ams.usda.gov/Integrity/Certificate.aspx?cid=62&amp;nopid=8150000478")</f>
        <v>https://organic.ams.usda.gov/Integrity/Certificate.aspx?cid=62&amp;nopid=8150000478</v>
      </c>
    </row>
    <row r="979">
      <c r="A979" t="s">
        <v>3</v>
      </c>
      <c r="B979" s="6" t="s">
        <v>24</v>
      </c>
      <c r="C979" s="6" t="s">
        <v>90</v>
      </c>
      <c r="D979" s="6" t="s">
        <v>155</v>
      </c>
      <c r="E979" s="10" t="s">
        <v>1177</v>
      </c>
      <c r="F979" s="6" t="s">
        <v>3421</v>
      </c>
      <c r="G979" s="6" t="s">
        <v>104</v>
      </c>
      <c r="H979" s="6" t="s">
        <v>5782</v>
      </c>
      <c r="I979" s="6" t="s">
        <v>104</v>
      </c>
      <c r="J979" s="6" t="s">
        <v>104</v>
      </c>
      <c r="K979" s="6" t="s">
        <v>9714</v>
      </c>
      <c r="L979" s="16" t="n">
        <v>45565</v>
      </c>
      <c r="M979" s="16" t="n">
        <v>45777</v>
      </c>
      <c r="N979" s="6" t="s">
        <v>9714</v>
      </c>
      <c r="O979" s="16" t="n">
        <v>45565</v>
      </c>
      <c r="P979" s="6" t="s">
        <v>9987</v>
      </c>
      <c r="Q979" s="6" t="s">
        <v>104</v>
      </c>
      <c r="R979" s="6" t="s">
        <v>5782</v>
      </c>
      <c r="S979" s="6" t="s">
        <v>104</v>
      </c>
      <c r="T979" s="21" t="s">
        <v>104</v>
      </c>
      <c r="U979" s="6" t="s">
        <v>104</v>
      </c>
      <c r="V979" s="6" t="s">
        <v>104</v>
      </c>
      <c r="W979" s="6" t="s">
        <v>104</v>
      </c>
      <c r="X979" s="6" t="s">
        <v>104</v>
      </c>
      <c r="Y979" s="21" t="s">
        <v>104</v>
      </c>
      <c r="Z979" s="6" t="s">
        <v>104</v>
      </c>
      <c r="AA979" s="6" t="s">
        <v>104</v>
      </c>
      <c r="AB979" s="6" t="s">
        <v>104</v>
      </c>
      <c r="AC979" s="6" t="s">
        <v>104</v>
      </c>
      <c r="AD979" s="21" t="s">
        <v>104</v>
      </c>
      <c r="AE979" s="6" t="s">
        <v>104</v>
      </c>
      <c r="AF979" s="6" t="s">
        <v>104</v>
      </c>
      <c r="AG979" s="6" t="s">
        <v>104</v>
      </c>
      <c r="AH979" s="6" t="s">
        <v>14046</v>
      </c>
      <c r="AI979" s="6" t="s">
        <v>104</v>
      </c>
      <c r="AJ979" s="6" t="s">
        <v>16008</v>
      </c>
      <c r="AK979" s="6" t="s">
        <v>16769</v>
      </c>
      <c r="AL979" s="6" t="s">
        <v>16766</v>
      </c>
      <c r="AM979" s="6" t="s">
        <v>17644</v>
      </c>
      <c r="AN979" s="6" t="s">
        <v>104</v>
      </c>
      <c r="AO979" s="6" t="s">
        <v>104</v>
      </c>
      <c r="AP979" s="6" t="s">
        <v>104</v>
      </c>
      <c r="AQ979" s="6" t="s">
        <v>104</v>
      </c>
      <c r="AR979" s="6" t="s">
        <v>104</v>
      </c>
      <c r="AS979" s="6" t="s">
        <v>104</v>
      </c>
      <c r="AT979" s="6" t="s">
        <v>104</v>
      </c>
      <c r="AU979" s="6" t="s">
        <v>104</v>
      </c>
      <c r="AV979" s="6" t="s">
        <v>104</v>
      </c>
      <c r="AW979" s="6" t="s">
        <v>104</v>
      </c>
      <c r="AX979" s="6" t="s">
        <v>104</v>
      </c>
      <c r="AY979" s="6" t="s">
        <v>104</v>
      </c>
      <c r="AZ979" s="6" t="s">
        <v>104</v>
      </c>
      <c r="BA979" s="6" t="s">
        <v>104</v>
      </c>
      <c r="BB979" s="24" t="n">
        <v>605</v>
      </c>
      <c r="BC979" s="26"/>
      <c r="BD979" s="26"/>
      <c r="BE979" s="26"/>
      <c r="BF979" s="26"/>
      <c r="BG979" s="26"/>
      <c r="BH979" s="26"/>
      <c r="BI979" s="26"/>
      <c r="BJ979" s="26"/>
      <c r="BK979" s="26"/>
      <c r="BL979" s="26"/>
      <c r="BM979" s="26"/>
      <c r="BN979" s="26"/>
      <c r="BO979" s="26"/>
      <c r="BP979" s="16" t="n">
        <v>45578</v>
      </c>
      <c r="BQ979" s="28" t="str">
        <f>HYPERLINK("https://organic.ams.usda.gov/Integrity/Certificate.aspx?cid=7&amp;nopid=3950001218")</f>
        <v>https://organic.ams.usda.gov/Integrity/Certificate.aspx?cid=7&amp;nopid=3950001218</v>
      </c>
    </row>
    <row r="980">
      <c r="A980" t="s">
        <v>3</v>
      </c>
      <c r="B980" s="6" t="s">
        <v>34</v>
      </c>
      <c r="C980" s="6" t="s">
        <v>100</v>
      </c>
      <c r="D980" s="6" t="s">
        <v>165</v>
      </c>
      <c r="E980" s="10" t="s">
        <v>1178</v>
      </c>
      <c r="F980" s="6" t="s">
        <v>3422</v>
      </c>
      <c r="G980" s="6" t="s">
        <v>104</v>
      </c>
      <c r="H980" s="6" t="s">
        <v>5783</v>
      </c>
      <c r="I980" s="6" t="s">
        <v>7537</v>
      </c>
      <c r="J980" s="6" t="s">
        <v>8870</v>
      </c>
      <c r="K980" s="6" t="s">
        <v>9714</v>
      </c>
      <c r="L980" s="16" t="n">
        <v>45723</v>
      </c>
      <c r="M980" s="16" t="n">
        <v>46015</v>
      </c>
      <c r="N980" s="6" t="s">
        <v>104</v>
      </c>
      <c r="O980" s="21" t="s">
        <v>104</v>
      </c>
      <c r="P980" s="6" t="s">
        <v>104</v>
      </c>
      <c r="Q980" s="6" t="s">
        <v>104</v>
      </c>
      <c r="R980" s="6" t="s">
        <v>104</v>
      </c>
      <c r="S980" s="6" t="s">
        <v>104</v>
      </c>
      <c r="T980" s="21" t="s">
        <v>104</v>
      </c>
      <c r="U980" s="6" t="s">
        <v>104</v>
      </c>
      <c r="V980" s="6" t="s">
        <v>104</v>
      </c>
      <c r="W980" s="6" t="s">
        <v>104</v>
      </c>
      <c r="X980" s="6" t="s">
        <v>104</v>
      </c>
      <c r="Y980" s="21" t="s">
        <v>104</v>
      </c>
      <c r="Z980" s="6" t="s">
        <v>104</v>
      </c>
      <c r="AA980" s="6" t="s">
        <v>104</v>
      </c>
      <c r="AB980" s="6" t="s">
        <v>104</v>
      </c>
      <c r="AC980" s="6" t="s">
        <v>9714</v>
      </c>
      <c r="AD980" s="16" t="n">
        <v>45723</v>
      </c>
      <c r="AE980" s="6" t="s">
        <v>11395</v>
      </c>
      <c r="AF980" s="6" t="s">
        <v>104</v>
      </c>
      <c r="AG980" s="6" t="s">
        <v>12805</v>
      </c>
      <c r="AH980" s="6" t="s">
        <v>14047</v>
      </c>
      <c r="AI980" s="6" t="s">
        <v>104</v>
      </c>
      <c r="AJ980" s="6" t="s">
        <v>16009</v>
      </c>
      <c r="AK980" s="6" t="s">
        <v>16687</v>
      </c>
      <c r="AL980" s="6" t="s">
        <v>16931</v>
      </c>
      <c r="AM980" s="6" t="s">
        <v>17645</v>
      </c>
      <c r="AN980" s="6" t="s">
        <v>104</v>
      </c>
      <c r="AO980" s="6" t="s">
        <v>104</v>
      </c>
      <c r="AP980" s="6" t="s">
        <v>14047</v>
      </c>
      <c r="AQ980" s="6" t="s">
        <v>104</v>
      </c>
      <c r="AR980" s="6" t="s">
        <v>16009</v>
      </c>
      <c r="AS980" s="6" t="s">
        <v>16687</v>
      </c>
      <c r="AT980" s="6" t="s">
        <v>16931</v>
      </c>
      <c r="AU980" s="6" t="s">
        <v>17645</v>
      </c>
      <c r="AV980" s="6" t="s">
        <v>104</v>
      </c>
      <c r="AW980" s="6" t="s">
        <v>104</v>
      </c>
      <c r="AX980" s="6" t="s">
        <v>20883</v>
      </c>
      <c r="AY980" s="6" t="s">
        <v>22662</v>
      </c>
      <c r="AZ980" s="6" t="s">
        <v>104</v>
      </c>
      <c r="BA980" s="6" t="s">
        <v>104</v>
      </c>
      <c r="BB980" s="6" t="s">
        <v>104</v>
      </c>
      <c r="BC980" s="26"/>
      <c r="BD980" s="26"/>
      <c r="BE980" s="26"/>
      <c r="BF980" s="26"/>
      <c r="BG980" s="26"/>
      <c r="BH980" s="26" t="s">
        <v>24533</v>
      </c>
      <c r="BI980" s="26"/>
      <c r="BJ980" s="26"/>
      <c r="BK980" s="26"/>
      <c r="BL980" s="26"/>
      <c r="BM980" s="26"/>
      <c r="BN980" s="26"/>
      <c r="BO980" s="26"/>
      <c r="BP980" s="16" t="n">
        <v>45737</v>
      </c>
      <c r="BQ980" s="28" t="str">
        <f>HYPERLINK("https://organic.ams.usda.gov/Integrity/Certificate.aspx?cid=71&amp;nopid=5520845511")</f>
        <v>https://organic.ams.usda.gov/Integrity/Certificate.aspx?cid=71&amp;nopid=5520845511</v>
      </c>
    </row>
    <row r="981">
      <c r="A981" t="s">
        <v>3</v>
      </c>
      <c r="B981" s="6" t="s">
        <v>29</v>
      </c>
      <c r="C981" s="6" t="s">
        <v>95</v>
      </c>
      <c r="D981" s="6" t="s">
        <v>160</v>
      </c>
      <c r="E981" s="10" t="s">
        <v>1179</v>
      </c>
      <c r="F981" s="6" t="s">
        <v>3423</v>
      </c>
      <c r="G981" s="6" t="s">
        <v>104</v>
      </c>
      <c r="H981" s="6" t="s">
        <v>5784</v>
      </c>
      <c r="I981" s="6" t="s">
        <v>104</v>
      </c>
      <c r="J981" s="6" t="s">
        <v>8871</v>
      </c>
      <c r="K981" s="6" t="s">
        <v>9714</v>
      </c>
      <c r="L981" s="16" t="n">
        <v>44622</v>
      </c>
      <c r="M981" s="16" t="n">
        <v>45870</v>
      </c>
      <c r="N981" s="6" t="s">
        <v>9714</v>
      </c>
      <c r="O981" s="16" t="n">
        <v>44622</v>
      </c>
      <c r="P981" s="6" t="s">
        <v>9988</v>
      </c>
      <c r="Q981" s="6" t="s">
        <v>104</v>
      </c>
      <c r="R981" s="6" t="s">
        <v>104</v>
      </c>
      <c r="S981" s="6" t="s">
        <v>104</v>
      </c>
      <c r="T981" s="21" t="s">
        <v>104</v>
      </c>
      <c r="U981" s="6" t="s">
        <v>104</v>
      </c>
      <c r="V981" s="6" t="s">
        <v>104</v>
      </c>
      <c r="W981" s="6" t="s">
        <v>104</v>
      </c>
      <c r="X981" s="6" t="s">
        <v>104</v>
      </c>
      <c r="Y981" s="21" t="s">
        <v>104</v>
      </c>
      <c r="Z981" s="6" t="s">
        <v>104</v>
      </c>
      <c r="AA981" s="6" t="s">
        <v>104</v>
      </c>
      <c r="AB981" s="6" t="s">
        <v>104</v>
      </c>
      <c r="AC981" s="6" t="s">
        <v>9714</v>
      </c>
      <c r="AD981" s="16" t="n">
        <v>44622</v>
      </c>
      <c r="AE981" s="6" t="s">
        <v>11396</v>
      </c>
      <c r="AF981" s="6" t="s">
        <v>104</v>
      </c>
      <c r="AG981" s="6" t="s">
        <v>104</v>
      </c>
      <c r="AH981" s="6" t="s">
        <v>14048</v>
      </c>
      <c r="AI981" s="6" t="s">
        <v>104</v>
      </c>
      <c r="AJ981" s="6" t="s">
        <v>16010</v>
      </c>
      <c r="AK981" s="6" t="s">
        <v>16695</v>
      </c>
      <c r="AL981" s="6" t="s">
        <v>16937</v>
      </c>
      <c r="AM981" s="6" t="s">
        <v>17016</v>
      </c>
      <c r="AN981" s="6" t="s">
        <v>104</v>
      </c>
      <c r="AO981" s="6" t="s">
        <v>104</v>
      </c>
      <c r="AP981" s="6" t="s">
        <v>104</v>
      </c>
      <c r="AQ981" s="6" t="s">
        <v>104</v>
      </c>
      <c r="AR981" s="6" t="s">
        <v>104</v>
      </c>
      <c r="AS981" s="6" t="s">
        <v>104</v>
      </c>
      <c r="AT981" s="6" t="s">
        <v>104</v>
      </c>
      <c r="AU981" s="6" t="s">
        <v>104</v>
      </c>
      <c r="AV981" s="6" t="s">
        <v>104</v>
      </c>
      <c r="AW981" s="6" t="s">
        <v>104</v>
      </c>
      <c r="AX981" s="6" t="s">
        <v>20884</v>
      </c>
      <c r="AY981" s="6" t="s">
        <v>22663</v>
      </c>
      <c r="AZ981" s="6" t="s">
        <v>23938</v>
      </c>
      <c r="BA981" s="6" t="s">
        <v>24269</v>
      </c>
      <c r="BB981" s="24" t="n">
        <v>11</v>
      </c>
      <c r="BC981" s="26"/>
      <c r="BD981" s="26"/>
      <c r="BE981" s="26"/>
      <c r="BF981" s="26"/>
      <c r="BG981" s="26"/>
      <c r="BH981" s="26"/>
      <c r="BI981" s="26"/>
      <c r="BJ981" s="26"/>
      <c r="BK981" s="26"/>
      <c r="BL981" s="26"/>
      <c r="BM981" s="26"/>
      <c r="BN981" s="26"/>
      <c r="BO981" s="26"/>
      <c r="BP981" s="16" t="n">
        <v>45681</v>
      </c>
      <c r="BQ981" s="28" t="str">
        <f>HYPERLINK("https://organic.ams.usda.gov/Integrity/Certificate.aspx?cid=24&amp;nopid=7880252058")</f>
        <v>https://organic.ams.usda.gov/Integrity/Certificate.aspx?cid=24&amp;nopid=7880252058</v>
      </c>
    </row>
    <row r="982">
      <c r="A982" t="s">
        <v>3</v>
      </c>
      <c r="B982" s="6" t="s">
        <v>44</v>
      </c>
      <c r="C982" s="6" t="s">
        <v>110</v>
      </c>
      <c r="D982" s="6" t="s">
        <v>174</v>
      </c>
      <c r="E982" s="10" t="s">
        <v>1180</v>
      </c>
      <c r="F982" s="6" t="s">
        <v>3424</v>
      </c>
      <c r="G982" s="6" t="s">
        <v>104</v>
      </c>
      <c r="H982" s="6" t="s">
        <v>5785</v>
      </c>
      <c r="I982" s="6" t="s">
        <v>7538</v>
      </c>
      <c r="J982" s="6" t="s">
        <v>8872</v>
      </c>
      <c r="K982" s="6" t="s">
        <v>9714</v>
      </c>
      <c r="L982" s="16" t="n">
        <v>42937</v>
      </c>
      <c r="M982" s="16" t="n">
        <v>45716</v>
      </c>
      <c r="N982" s="6" t="s">
        <v>9714</v>
      </c>
      <c r="O982" s="16" t="n">
        <v>42937</v>
      </c>
      <c r="P982" s="6" t="s">
        <v>9989</v>
      </c>
      <c r="Q982" s="6" t="s">
        <v>104</v>
      </c>
      <c r="R982" s="6" t="s">
        <v>104</v>
      </c>
      <c r="S982" s="6" t="s">
        <v>104</v>
      </c>
      <c r="T982" s="21" t="s">
        <v>104</v>
      </c>
      <c r="U982" s="6" t="s">
        <v>104</v>
      </c>
      <c r="V982" s="6" t="s">
        <v>104</v>
      </c>
      <c r="W982" s="6" t="s">
        <v>104</v>
      </c>
      <c r="X982" s="6" t="s">
        <v>104</v>
      </c>
      <c r="Y982" s="21" t="s">
        <v>104</v>
      </c>
      <c r="Z982" s="6" t="s">
        <v>104</v>
      </c>
      <c r="AA982" s="6" t="s">
        <v>104</v>
      </c>
      <c r="AB982" s="6" t="s">
        <v>104</v>
      </c>
      <c r="AC982" s="6" t="s">
        <v>9714</v>
      </c>
      <c r="AD982" s="16" t="n">
        <v>43406</v>
      </c>
      <c r="AE982" s="6" t="s">
        <v>11397</v>
      </c>
      <c r="AF982" s="6" t="s">
        <v>104</v>
      </c>
      <c r="AG982" s="6" t="s">
        <v>104</v>
      </c>
      <c r="AH982" s="6" t="s">
        <v>14049</v>
      </c>
      <c r="AI982" s="6" t="s">
        <v>104</v>
      </c>
      <c r="AJ982" s="6" t="s">
        <v>16011</v>
      </c>
      <c r="AK982" s="6" t="s">
        <v>15697</v>
      </c>
      <c r="AL982" s="6" t="s">
        <v>16931</v>
      </c>
      <c r="AM982" s="6" t="s">
        <v>17646</v>
      </c>
      <c r="AN982" s="6" t="s">
        <v>18492</v>
      </c>
      <c r="AO982" s="6" t="s">
        <v>18729</v>
      </c>
      <c r="AP982" s="6" t="s">
        <v>14049</v>
      </c>
      <c r="AQ982" s="6" t="s">
        <v>104</v>
      </c>
      <c r="AR982" s="6" t="s">
        <v>16011</v>
      </c>
      <c r="AS982" s="6" t="s">
        <v>15697</v>
      </c>
      <c r="AT982" s="6" t="s">
        <v>16931</v>
      </c>
      <c r="AU982" s="6" t="s">
        <v>17646</v>
      </c>
      <c r="AV982" s="6" t="s">
        <v>104</v>
      </c>
      <c r="AW982" s="6" t="s">
        <v>104</v>
      </c>
      <c r="AX982" s="6" t="s">
        <v>20885</v>
      </c>
      <c r="AY982" s="6" t="s">
        <v>22664</v>
      </c>
      <c r="AZ982" s="6" t="s">
        <v>23939</v>
      </c>
      <c r="BA982" s="6" t="s">
        <v>104</v>
      </c>
      <c r="BB982" s="24" t="n">
        <v>418</v>
      </c>
      <c r="BC982" s="26"/>
      <c r="BD982" s="26"/>
      <c r="BE982" s="26"/>
      <c r="BF982" s="26"/>
      <c r="BG982" s="26"/>
      <c r="BH982" s="26"/>
      <c r="BI982" s="26"/>
      <c r="BJ982" s="26"/>
      <c r="BK982" s="26"/>
      <c r="BL982" s="26"/>
      <c r="BM982" s="26"/>
      <c r="BN982" s="26"/>
      <c r="BO982" s="26"/>
      <c r="BP982" s="16" t="n">
        <v>45681</v>
      </c>
      <c r="BQ982" s="28" t="str">
        <f>HYPERLINK("https://organic.ams.usda.gov/Integrity/Certificate.aspx?cid=57&amp;nopid=3252017058")</f>
        <v>https://organic.ams.usda.gov/Integrity/Certificate.aspx?cid=57&amp;nopid=3252017058</v>
      </c>
    </row>
    <row r="983">
      <c r="A983" t="s">
        <v>3</v>
      </c>
      <c r="B983" s="6" t="s">
        <v>54</v>
      </c>
      <c r="C983" s="6" t="s">
        <v>120</v>
      </c>
      <c r="D983" s="6" t="s">
        <v>184</v>
      </c>
      <c r="E983" s="10" t="s">
        <v>1181</v>
      </c>
      <c r="F983" s="6" t="s">
        <v>3425</v>
      </c>
      <c r="G983" s="6" t="s">
        <v>104</v>
      </c>
      <c r="H983" s="6" t="s">
        <v>5786</v>
      </c>
      <c r="I983" s="6" t="s">
        <v>7539</v>
      </c>
      <c r="J983" s="6" t="s">
        <v>8873</v>
      </c>
      <c r="K983" s="6" t="s">
        <v>9714</v>
      </c>
      <c r="L983" s="16" t="n">
        <v>45532</v>
      </c>
      <c r="M983" s="16" t="n">
        <v>45717</v>
      </c>
      <c r="N983" s="6" t="s">
        <v>9714</v>
      </c>
      <c r="O983" s="16" t="n">
        <v>45532</v>
      </c>
      <c r="P983" s="6" t="s">
        <v>9990</v>
      </c>
      <c r="Q983" s="6" t="s">
        <v>104</v>
      </c>
      <c r="R983" s="6" t="s">
        <v>104</v>
      </c>
      <c r="S983" s="6" t="s">
        <v>104</v>
      </c>
      <c r="T983" s="21" t="s">
        <v>104</v>
      </c>
      <c r="U983" s="6" t="s">
        <v>104</v>
      </c>
      <c r="V983" s="6" t="s">
        <v>104</v>
      </c>
      <c r="W983" s="6" t="s">
        <v>104</v>
      </c>
      <c r="X983" s="6" t="s">
        <v>104</v>
      </c>
      <c r="Y983" s="21" t="s">
        <v>104</v>
      </c>
      <c r="Z983" s="6" t="s">
        <v>104</v>
      </c>
      <c r="AA983" s="6" t="s">
        <v>104</v>
      </c>
      <c r="AB983" s="6" t="s">
        <v>104</v>
      </c>
      <c r="AC983" s="6" t="s">
        <v>104</v>
      </c>
      <c r="AD983" s="21" t="s">
        <v>104</v>
      </c>
      <c r="AE983" s="6" t="s">
        <v>104</v>
      </c>
      <c r="AF983" s="6" t="s">
        <v>104</v>
      </c>
      <c r="AG983" s="6" t="s">
        <v>104</v>
      </c>
      <c r="AH983" s="6" t="s">
        <v>14050</v>
      </c>
      <c r="AI983" s="6" t="s">
        <v>104</v>
      </c>
      <c r="AJ983" s="6" t="s">
        <v>7814</v>
      </c>
      <c r="AK983" s="6" t="s">
        <v>16743</v>
      </c>
      <c r="AL983" s="6" t="s">
        <v>16931</v>
      </c>
      <c r="AM983" s="6" t="s">
        <v>17647</v>
      </c>
      <c r="AN983" s="6" t="s">
        <v>104</v>
      </c>
      <c r="AO983" s="6" t="s">
        <v>104</v>
      </c>
      <c r="AP983" s="6" t="s">
        <v>104</v>
      </c>
      <c r="AQ983" s="6" t="s">
        <v>104</v>
      </c>
      <c r="AR983" s="6" t="s">
        <v>104</v>
      </c>
      <c r="AS983" s="6" t="s">
        <v>104</v>
      </c>
      <c r="AT983" s="6" t="s">
        <v>104</v>
      </c>
      <c r="AU983" s="6" t="s">
        <v>104</v>
      </c>
      <c r="AV983" s="6" t="s">
        <v>104</v>
      </c>
      <c r="AW983" s="6" t="s">
        <v>104</v>
      </c>
      <c r="AX983" s="6" t="s">
        <v>104</v>
      </c>
      <c r="AY983" s="6" t="s">
        <v>22665</v>
      </c>
      <c r="AZ983" s="6" t="s">
        <v>104</v>
      </c>
      <c r="BA983" s="6" t="s">
        <v>24323</v>
      </c>
      <c r="BB983" s="24" t="n">
        <v>123</v>
      </c>
      <c r="BC983" s="26"/>
      <c r="BD983" s="26"/>
      <c r="BE983" s="26"/>
      <c r="BF983" s="26"/>
      <c r="BG983" s="26"/>
      <c r="BH983" s="26"/>
      <c r="BI983" s="26"/>
      <c r="BJ983" s="26"/>
      <c r="BK983" s="26"/>
      <c r="BL983" s="26"/>
      <c r="BM983" s="26"/>
      <c r="BN983" s="26"/>
      <c r="BO983" s="26"/>
      <c r="BP983" s="16" t="n">
        <v>45532</v>
      </c>
      <c r="BQ983" s="28" t="str">
        <f>HYPERLINK("https://organic.ams.usda.gov/Integrity/Certificate.aspx?cid=60&amp;nopid=2580006749")</f>
        <v>https://organic.ams.usda.gov/Integrity/Certificate.aspx?cid=60&amp;nopid=2580006749</v>
      </c>
    </row>
    <row r="984">
      <c r="A984" t="s">
        <v>3</v>
      </c>
      <c r="B984" s="6" t="s">
        <v>45</v>
      </c>
      <c r="C984" s="6" t="s">
        <v>111</v>
      </c>
      <c r="D984" s="6" t="s">
        <v>175</v>
      </c>
      <c r="E984" s="10" t="s">
        <v>1182</v>
      </c>
      <c r="F984" s="6" t="s">
        <v>3426</v>
      </c>
      <c r="G984" s="6" t="s">
        <v>104</v>
      </c>
      <c r="H984" s="6" t="s">
        <v>5787</v>
      </c>
      <c r="I984" s="6" t="s">
        <v>7540</v>
      </c>
      <c r="J984" s="6" t="s">
        <v>8874</v>
      </c>
      <c r="K984" s="6" t="s">
        <v>9714</v>
      </c>
      <c r="L984" s="16" t="n">
        <v>38408</v>
      </c>
      <c r="M984" s="16" t="n">
        <v>46082</v>
      </c>
      <c r="N984" s="6" t="s">
        <v>9714</v>
      </c>
      <c r="O984" s="16" t="n">
        <v>38408</v>
      </c>
      <c r="P984" s="6" t="s">
        <v>9991</v>
      </c>
      <c r="Q984" s="6" t="s">
        <v>104</v>
      </c>
      <c r="R984" s="6" t="s">
        <v>4667</v>
      </c>
      <c r="S984" s="6" t="s">
        <v>104</v>
      </c>
      <c r="T984" s="21" t="s">
        <v>104</v>
      </c>
      <c r="U984" s="6" t="s">
        <v>104</v>
      </c>
      <c r="V984" s="6" t="s">
        <v>104</v>
      </c>
      <c r="W984" s="6" t="s">
        <v>104</v>
      </c>
      <c r="X984" s="6" t="s">
        <v>104</v>
      </c>
      <c r="Y984" s="21" t="s">
        <v>104</v>
      </c>
      <c r="Z984" s="6" t="s">
        <v>104</v>
      </c>
      <c r="AA984" s="6" t="s">
        <v>104</v>
      </c>
      <c r="AB984" s="6" t="s">
        <v>104</v>
      </c>
      <c r="AC984" s="6" t="s">
        <v>9714</v>
      </c>
      <c r="AD984" s="16" t="n">
        <v>38408</v>
      </c>
      <c r="AE984" s="6" t="s">
        <v>11398</v>
      </c>
      <c r="AF984" s="6" t="s">
        <v>104</v>
      </c>
      <c r="AG984" s="6" t="s">
        <v>4667</v>
      </c>
      <c r="AH984" s="6" t="s">
        <v>14051</v>
      </c>
      <c r="AI984" s="6" t="s">
        <v>104</v>
      </c>
      <c r="AJ984" s="6" t="s">
        <v>16012</v>
      </c>
      <c r="AK984" s="6" t="s">
        <v>16705</v>
      </c>
      <c r="AL984" s="6" t="s">
        <v>16931</v>
      </c>
      <c r="AM984" s="6" t="s">
        <v>17648</v>
      </c>
      <c r="AN984" s="6" t="s">
        <v>104</v>
      </c>
      <c r="AO984" s="6" t="s">
        <v>104</v>
      </c>
      <c r="AP984" s="6" t="s">
        <v>19199</v>
      </c>
      <c r="AQ984" s="6" t="s">
        <v>104</v>
      </c>
      <c r="AR984" s="6" t="s">
        <v>16656</v>
      </c>
      <c r="AS984" s="6" t="s">
        <v>16382</v>
      </c>
      <c r="AT984" s="6" t="s">
        <v>16931</v>
      </c>
      <c r="AU984" s="6" t="s">
        <v>18425</v>
      </c>
      <c r="AV984" s="6" t="s">
        <v>18460</v>
      </c>
      <c r="AW984" s="6" t="s">
        <v>20092</v>
      </c>
      <c r="AX984" s="6" t="s">
        <v>20886</v>
      </c>
      <c r="AY984" s="6" t="s">
        <v>22666</v>
      </c>
      <c r="AZ984" s="6" t="s">
        <v>23940</v>
      </c>
      <c r="BA984" s="6" t="s">
        <v>104</v>
      </c>
      <c r="BB984" s="24" t="n">
        <v>378</v>
      </c>
      <c r="BC984" s="26"/>
      <c r="BD984" s="26"/>
      <c r="BE984" s="26"/>
      <c r="BF984" s="26"/>
      <c r="BG984" s="26"/>
      <c r="BH984" s="26"/>
      <c r="BI984" s="26"/>
      <c r="BJ984" s="26"/>
      <c r="BK984" s="26"/>
      <c r="BL984" s="26"/>
      <c r="BM984" s="26"/>
      <c r="BN984" s="26"/>
      <c r="BO984" s="26"/>
      <c r="BP984" s="16" t="n">
        <v>45739</v>
      </c>
      <c r="BQ984" s="28" t="str">
        <f>HYPERLINK("https://organic.ams.usda.gov/Integrity/Certificate.aspx?cid=82&amp;nopid=2780001445")</f>
        <v>https://organic.ams.usda.gov/Integrity/Certificate.aspx?cid=82&amp;nopid=2780001445</v>
      </c>
    </row>
    <row r="985">
      <c r="A985" t="s">
        <v>3</v>
      </c>
      <c r="B985" s="6" t="s">
        <v>13</v>
      </c>
      <c r="C985" s="6" t="s">
        <v>79</v>
      </c>
      <c r="D985" s="6" t="s">
        <v>144</v>
      </c>
      <c r="E985" s="10" t="s">
        <v>1183</v>
      </c>
      <c r="F985" s="6" t="s">
        <v>3427</v>
      </c>
      <c r="G985" s="6" t="s">
        <v>104</v>
      </c>
      <c r="H985" s="6" t="s">
        <v>5788</v>
      </c>
      <c r="I985" s="6" t="s">
        <v>7541</v>
      </c>
      <c r="J985" s="6" t="s">
        <v>8875</v>
      </c>
      <c r="K985" s="6" t="s">
        <v>9714</v>
      </c>
      <c r="L985" s="16" t="n">
        <v>42643</v>
      </c>
      <c r="M985" s="16" t="n">
        <v>46023</v>
      </c>
      <c r="N985" s="6" t="s">
        <v>9714</v>
      </c>
      <c r="O985" s="16" t="n">
        <v>42643</v>
      </c>
      <c r="P985" s="6" t="s">
        <v>9992</v>
      </c>
      <c r="Q985" s="6" t="s">
        <v>104</v>
      </c>
      <c r="R985" s="6" t="s">
        <v>104</v>
      </c>
      <c r="S985" s="6" t="s">
        <v>9714</v>
      </c>
      <c r="T985" s="16" t="n">
        <v>42643</v>
      </c>
      <c r="U985" s="6" t="s">
        <v>10487</v>
      </c>
      <c r="V985" s="6" t="s">
        <v>104</v>
      </c>
      <c r="W985" s="6" t="s">
        <v>104</v>
      </c>
      <c r="X985" s="6" t="s">
        <v>104</v>
      </c>
      <c r="Y985" s="21" t="s">
        <v>104</v>
      </c>
      <c r="Z985" s="6" t="s">
        <v>104</v>
      </c>
      <c r="AA985" s="6" t="s">
        <v>104</v>
      </c>
      <c r="AB985" s="6" t="s">
        <v>104</v>
      </c>
      <c r="AC985" s="6" t="s">
        <v>104</v>
      </c>
      <c r="AD985" s="21" t="s">
        <v>104</v>
      </c>
      <c r="AE985" s="6" t="s">
        <v>104</v>
      </c>
      <c r="AF985" s="6" t="s">
        <v>104</v>
      </c>
      <c r="AG985" s="6" t="s">
        <v>104</v>
      </c>
      <c r="AH985" s="6" t="s">
        <v>104</v>
      </c>
      <c r="AI985" s="6" t="s">
        <v>104</v>
      </c>
      <c r="AJ985" s="6" t="s">
        <v>104</v>
      </c>
      <c r="AK985" s="6" t="s">
        <v>104</v>
      </c>
      <c r="AL985" s="6" t="s">
        <v>104</v>
      </c>
      <c r="AM985" s="6" t="s">
        <v>104</v>
      </c>
      <c r="AN985" s="6" t="s">
        <v>104</v>
      </c>
      <c r="AO985" s="6" t="s">
        <v>104</v>
      </c>
      <c r="AP985" s="6" t="s">
        <v>19200</v>
      </c>
      <c r="AQ985" s="6" t="s">
        <v>104</v>
      </c>
      <c r="AR985" s="6" t="s">
        <v>9304</v>
      </c>
      <c r="AS985" s="6" t="s">
        <v>16678</v>
      </c>
      <c r="AT985" s="6" t="s">
        <v>16931</v>
      </c>
      <c r="AU985" s="6" t="s">
        <v>19925</v>
      </c>
      <c r="AV985" s="6" t="s">
        <v>18525</v>
      </c>
      <c r="AW985" s="6" t="s">
        <v>18637</v>
      </c>
      <c r="AX985" s="6" t="s">
        <v>20887</v>
      </c>
      <c r="AY985" s="6" t="s">
        <v>22667</v>
      </c>
      <c r="AZ985" s="6" t="s">
        <v>104</v>
      </c>
      <c r="BA985" s="6" t="s">
        <v>104</v>
      </c>
      <c r="BB985" s="24" t="n">
        <v>254</v>
      </c>
      <c r="BC985" s="26"/>
      <c r="BD985" s="26"/>
      <c r="BE985" s="26"/>
      <c r="BF985" s="26" t="s">
        <v>24533</v>
      </c>
      <c r="BG985" s="26"/>
      <c r="BH985" s="26"/>
      <c r="BI985" s="26"/>
      <c r="BJ985" s="26"/>
      <c r="BK985" s="26"/>
      <c r="BL985" s="26"/>
      <c r="BM985" s="26"/>
      <c r="BN985" s="26"/>
      <c r="BO985" s="26"/>
      <c r="BP985" s="16" t="n">
        <v>45678</v>
      </c>
      <c r="BQ985" s="28" t="str">
        <f>HYPERLINK("https://organic.ams.usda.gov/Integrity/Certificate.aspx?cid=62&amp;nopid=8150002221")</f>
        <v>https://organic.ams.usda.gov/Integrity/Certificate.aspx?cid=62&amp;nopid=8150002221</v>
      </c>
    </row>
    <row r="986">
      <c r="A986" t="s">
        <v>3</v>
      </c>
      <c r="B986" s="6" t="s">
        <v>29</v>
      </c>
      <c r="C986" s="6" t="s">
        <v>95</v>
      </c>
      <c r="D986" s="6" t="s">
        <v>160</v>
      </c>
      <c r="E986" s="10" t="s">
        <v>1184</v>
      </c>
      <c r="F986" s="6" t="s">
        <v>3428</v>
      </c>
      <c r="G986" s="6" t="s">
        <v>104</v>
      </c>
      <c r="H986" s="6" t="s">
        <v>5789</v>
      </c>
      <c r="I986" s="6" t="s">
        <v>104</v>
      </c>
      <c r="J986" s="6" t="s">
        <v>8876</v>
      </c>
      <c r="K986" s="6" t="s">
        <v>9714</v>
      </c>
      <c r="L986" s="16" t="n">
        <v>45427</v>
      </c>
      <c r="M986" s="16" t="n">
        <v>46054</v>
      </c>
      <c r="N986" s="6" t="s">
        <v>104</v>
      </c>
      <c r="O986" s="21" t="s">
        <v>104</v>
      </c>
      <c r="P986" s="6" t="s">
        <v>104</v>
      </c>
      <c r="Q986" s="6" t="s">
        <v>104</v>
      </c>
      <c r="R986" s="6" t="s">
        <v>104</v>
      </c>
      <c r="S986" s="6" t="s">
        <v>104</v>
      </c>
      <c r="T986" s="21" t="s">
        <v>104</v>
      </c>
      <c r="U986" s="6" t="s">
        <v>104</v>
      </c>
      <c r="V986" s="6" t="s">
        <v>104</v>
      </c>
      <c r="W986" s="6" t="s">
        <v>104</v>
      </c>
      <c r="X986" s="6" t="s">
        <v>104</v>
      </c>
      <c r="Y986" s="21" t="s">
        <v>104</v>
      </c>
      <c r="Z986" s="6" t="s">
        <v>104</v>
      </c>
      <c r="AA986" s="6" t="s">
        <v>104</v>
      </c>
      <c r="AB986" s="6" t="s">
        <v>104</v>
      </c>
      <c r="AC986" s="6" t="s">
        <v>9714</v>
      </c>
      <c r="AD986" s="16" t="n">
        <v>45427</v>
      </c>
      <c r="AE986" s="6" t="s">
        <v>11399</v>
      </c>
      <c r="AF986" s="6" t="s">
        <v>104</v>
      </c>
      <c r="AG986" s="6" t="s">
        <v>104</v>
      </c>
      <c r="AH986" s="6" t="s">
        <v>14052</v>
      </c>
      <c r="AI986" s="6" t="s">
        <v>104</v>
      </c>
      <c r="AJ986" s="6" t="s">
        <v>16013</v>
      </c>
      <c r="AK986" s="6" t="s">
        <v>16835</v>
      </c>
      <c r="AL986" s="6" t="s">
        <v>16766</v>
      </c>
      <c r="AM986" s="6" t="s">
        <v>104</v>
      </c>
      <c r="AN986" s="6" t="s">
        <v>104</v>
      </c>
      <c r="AO986" s="6" t="s">
        <v>104</v>
      </c>
      <c r="AP986" s="6" t="s">
        <v>104</v>
      </c>
      <c r="AQ986" s="6" t="s">
        <v>104</v>
      </c>
      <c r="AR986" s="6" t="s">
        <v>104</v>
      </c>
      <c r="AS986" s="6" t="s">
        <v>104</v>
      </c>
      <c r="AT986" s="6" t="s">
        <v>104</v>
      </c>
      <c r="AU986" s="6" t="s">
        <v>104</v>
      </c>
      <c r="AV986" s="6" t="s">
        <v>104</v>
      </c>
      <c r="AW986" s="6" t="s">
        <v>104</v>
      </c>
      <c r="AX986" s="6" t="s">
        <v>20888</v>
      </c>
      <c r="AY986" s="6" t="s">
        <v>22668</v>
      </c>
      <c r="AZ986" s="6" t="s">
        <v>104</v>
      </c>
      <c r="BA986" s="6" t="s">
        <v>24269</v>
      </c>
      <c r="BB986" s="24" t="n">
        <v>0</v>
      </c>
      <c r="BC986" s="26"/>
      <c r="BD986" s="26"/>
      <c r="BE986" s="26"/>
      <c r="BF986" s="26"/>
      <c r="BG986" s="26"/>
      <c r="BH986" s="26"/>
      <c r="BI986" s="26"/>
      <c r="BJ986" s="26"/>
      <c r="BK986" s="26"/>
      <c r="BL986" s="26"/>
      <c r="BM986" s="26"/>
      <c r="BN986" s="26"/>
      <c r="BO986" s="26"/>
      <c r="BP986" s="16" t="n">
        <v>45691</v>
      </c>
      <c r="BQ986" s="28" t="str">
        <f>HYPERLINK("https://organic.ams.usda.gov/Integrity/Certificate.aspx?cid=24&amp;nopid=7880293079")</f>
        <v>https://organic.ams.usda.gov/Integrity/Certificate.aspx?cid=24&amp;nopid=7880293079</v>
      </c>
    </row>
    <row r="987">
      <c r="A987" t="s">
        <v>3</v>
      </c>
      <c r="B987" s="6" t="s">
        <v>20</v>
      </c>
      <c r="C987" s="6" t="s">
        <v>86</v>
      </c>
      <c r="D987" s="6" t="s">
        <v>151</v>
      </c>
      <c r="E987" s="10" t="s">
        <v>1185</v>
      </c>
      <c r="F987" s="6" t="s">
        <v>3429</v>
      </c>
      <c r="G987" s="6" t="s">
        <v>104</v>
      </c>
      <c r="H987" s="6" t="s">
        <v>5790</v>
      </c>
      <c r="I987" s="6" t="s">
        <v>7542</v>
      </c>
      <c r="J987" s="6" t="s">
        <v>7204</v>
      </c>
      <c r="K987" s="6" t="s">
        <v>9714</v>
      </c>
      <c r="L987" s="16" t="n">
        <v>41841</v>
      </c>
      <c r="M987" s="16" t="n">
        <v>45930</v>
      </c>
      <c r="N987" s="6" t="s">
        <v>104</v>
      </c>
      <c r="O987" s="21" t="s">
        <v>104</v>
      </c>
      <c r="P987" s="6" t="s">
        <v>104</v>
      </c>
      <c r="Q987" s="6" t="s">
        <v>104</v>
      </c>
      <c r="R987" s="6" t="s">
        <v>104</v>
      </c>
      <c r="S987" s="6" t="s">
        <v>104</v>
      </c>
      <c r="T987" s="21" t="s">
        <v>104</v>
      </c>
      <c r="U987" s="6" t="s">
        <v>104</v>
      </c>
      <c r="V987" s="6" t="s">
        <v>104</v>
      </c>
      <c r="W987" s="6" t="s">
        <v>104</v>
      </c>
      <c r="X987" s="6" t="s">
        <v>104</v>
      </c>
      <c r="Y987" s="21" t="s">
        <v>104</v>
      </c>
      <c r="Z987" s="6" t="s">
        <v>104</v>
      </c>
      <c r="AA987" s="6" t="s">
        <v>104</v>
      </c>
      <c r="AB987" s="6" t="s">
        <v>104</v>
      </c>
      <c r="AC987" s="6" t="s">
        <v>9714</v>
      </c>
      <c r="AD987" s="16" t="n">
        <v>41841</v>
      </c>
      <c r="AE987" s="6" t="s">
        <v>11400</v>
      </c>
      <c r="AF987" s="6" t="s">
        <v>104</v>
      </c>
      <c r="AG987" s="6" t="s">
        <v>12806</v>
      </c>
      <c r="AH987" s="6" t="s">
        <v>14053</v>
      </c>
      <c r="AI987" s="6" t="s">
        <v>104</v>
      </c>
      <c r="AJ987" s="6" t="s">
        <v>16014</v>
      </c>
      <c r="AK987" s="6" t="s">
        <v>16836</v>
      </c>
      <c r="AL987" s="6" t="s">
        <v>16766</v>
      </c>
      <c r="AM987" s="6" t="s">
        <v>17649</v>
      </c>
      <c r="AN987" s="6" t="s">
        <v>104</v>
      </c>
      <c r="AO987" s="6" t="s">
        <v>104</v>
      </c>
      <c r="AP987" s="6" t="s">
        <v>104</v>
      </c>
      <c r="AQ987" s="6" t="s">
        <v>104</v>
      </c>
      <c r="AR987" s="6" t="s">
        <v>104</v>
      </c>
      <c r="AS987" s="6" t="s">
        <v>104</v>
      </c>
      <c r="AT987" s="6" t="s">
        <v>104</v>
      </c>
      <c r="AU987" s="6" t="s">
        <v>104</v>
      </c>
      <c r="AV987" s="6" t="s">
        <v>104</v>
      </c>
      <c r="AW987" s="6" t="s">
        <v>104</v>
      </c>
      <c r="AX987" s="6" t="s">
        <v>20889</v>
      </c>
      <c r="AY987" s="6" t="s">
        <v>22669</v>
      </c>
      <c r="AZ987" s="6" t="s">
        <v>104</v>
      </c>
      <c r="BA987" s="6" t="s">
        <v>24396</v>
      </c>
      <c r="BB987" s="6" t="s">
        <v>104</v>
      </c>
      <c r="BC987" s="26"/>
      <c r="BD987" s="26"/>
      <c r="BE987" s="26"/>
      <c r="BF987" s="26"/>
      <c r="BG987" s="26"/>
      <c r="BH987" s="26"/>
      <c r="BI987" s="26"/>
      <c r="BJ987" s="26"/>
      <c r="BK987" s="26"/>
      <c r="BL987" s="26"/>
      <c r="BM987" s="26"/>
      <c r="BN987" s="26"/>
      <c r="BO987" s="26"/>
      <c r="BP987" s="16" t="n">
        <v>45672</v>
      </c>
      <c r="BQ987" s="28" t="str">
        <f>HYPERLINK("https://organic.ams.usda.gov/Integrity/Certificate.aspx?cid=17&amp;nopid=4080800114")</f>
        <v>https://organic.ams.usda.gov/Integrity/Certificate.aspx?cid=17&amp;nopid=4080800114</v>
      </c>
    </row>
    <row r="988">
      <c r="A988" t="s">
        <v>3</v>
      </c>
      <c r="B988" s="6" t="s">
        <v>33</v>
      </c>
      <c r="C988" s="6" t="s">
        <v>99</v>
      </c>
      <c r="D988" s="6" t="s">
        <v>164</v>
      </c>
      <c r="E988" s="10" t="s">
        <v>1186</v>
      </c>
      <c r="F988" s="6" t="s">
        <v>3430</v>
      </c>
      <c r="G988" s="6" t="s">
        <v>104</v>
      </c>
      <c r="H988" s="6" t="s">
        <v>104</v>
      </c>
      <c r="I988" s="6" t="s">
        <v>7138</v>
      </c>
      <c r="J988" s="6" t="s">
        <v>8877</v>
      </c>
      <c r="K988" s="6" t="s">
        <v>9714</v>
      </c>
      <c r="L988" s="16" t="n">
        <v>43885</v>
      </c>
      <c r="M988" s="16" t="n">
        <v>45337</v>
      </c>
      <c r="N988" s="6" t="s">
        <v>104</v>
      </c>
      <c r="O988" s="21" t="s">
        <v>104</v>
      </c>
      <c r="P988" s="6" t="s">
        <v>104</v>
      </c>
      <c r="Q988" s="6" t="s">
        <v>104</v>
      </c>
      <c r="R988" s="6" t="s">
        <v>104</v>
      </c>
      <c r="S988" s="6" t="s">
        <v>104</v>
      </c>
      <c r="T988" s="21" t="s">
        <v>104</v>
      </c>
      <c r="U988" s="6" t="s">
        <v>104</v>
      </c>
      <c r="V988" s="6" t="s">
        <v>104</v>
      </c>
      <c r="W988" s="6" t="s">
        <v>104</v>
      </c>
      <c r="X988" s="6" t="s">
        <v>104</v>
      </c>
      <c r="Y988" s="21" t="s">
        <v>104</v>
      </c>
      <c r="Z988" s="6" t="s">
        <v>104</v>
      </c>
      <c r="AA988" s="6" t="s">
        <v>104</v>
      </c>
      <c r="AB988" s="6" t="s">
        <v>104</v>
      </c>
      <c r="AC988" s="6" t="s">
        <v>9714</v>
      </c>
      <c r="AD988" s="16" t="n">
        <v>43885</v>
      </c>
      <c r="AE988" s="6" t="s">
        <v>11401</v>
      </c>
      <c r="AF988" s="6" t="s">
        <v>104</v>
      </c>
      <c r="AG988" s="6" t="s">
        <v>104</v>
      </c>
      <c r="AH988" s="6" t="s">
        <v>14054</v>
      </c>
      <c r="AI988" s="6" t="s">
        <v>104</v>
      </c>
      <c r="AJ988" s="6" t="s">
        <v>15786</v>
      </c>
      <c r="AK988" s="6" t="s">
        <v>16714</v>
      </c>
      <c r="AL988" s="6" t="s">
        <v>16931</v>
      </c>
      <c r="AM988" s="6" t="s">
        <v>17650</v>
      </c>
      <c r="AN988" s="6" t="s">
        <v>18503</v>
      </c>
      <c r="AO988" s="6" t="s">
        <v>18773</v>
      </c>
      <c r="AP988" s="6" t="s">
        <v>14054</v>
      </c>
      <c r="AQ988" s="6" t="s">
        <v>104</v>
      </c>
      <c r="AR988" s="6" t="s">
        <v>15786</v>
      </c>
      <c r="AS988" s="6" t="s">
        <v>16714</v>
      </c>
      <c r="AT988" s="6" t="s">
        <v>16931</v>
      </c>
      <c r="AU988" s="6" t="s">
        <v>17650</v>
      </c>
      <c r="AV988" s="6" t="s">
        <v>104</v>
      </c>
      <c r="AW988" s="6" t="s">
        <v>104</v>
      </c>
      <c r="AX988" s="6" t="s">
        <v>104</v>
      </c>
      <c r="AY988" s="6" t="s">
        <v>104</v>
      </c>
      <c r="AZ988" s="6" t="s">
        <v>104</v>
      </c>
      <c r="BA988" s="6" t="s">
        <v>24297</v>
      </c>
      <c r="BB988" s="6" t="s">
        <v>104</v>
      </c>
      <c r="BC988" s="26"/>
      <c r="BD988" s="26"/>
      <c r="BE988" s="26"/>
      <c r="BF988" s="26"/>
      <c r="BG988" s="26"/>
      <c r="BH988" s="26"/>
      <c r="BI988" s="26"/>
      <c r="BJ988" s="26"/>
      <c r="BK988" s="26"/>
      <c r="BL988" s="26"/>
      <c r="BM988" s="26"/>
      <c r="BN988" s="26"/>
      <c r="BO988" s="26"/>
      <c r="BP988" s="16" t="n">
        <v>45385</v>
      </c>
      <c r="BQ988" s="28" t="str">
        <f>HYPERLINK("https://organic.ams.usda.gov/Integrity/Certificate.aspx?cid=46&amp;nopid=3672000005")</f>
        <v>https://organic.ams.usda.gov/Integrity/Certificate.aspx?cid=46&amp;nopid=3672000005</v>
      </c>
    </row>
    <row r="989">
      <c r="A989" t="s">
        <v>3</v>
      </c>
      <c r="B989" s="6" t="s">
        <v>11</v>
      </c>
      <c r="C989" s="6" t="s">
        <v>77</v>
      </c>
      <c r="D989" s="6" t="s">
        <v>142</v>
      </c>
      <c r="E989" s="10" t="s">
        <v>1187</v>
      </c>
      <c r="F989" s="6" t="s">
        <v>3431</v>
      </c>
      <c r="G989" s="6" t="s">
        <v>104</v>
      </c>
      <c r="H989" s="6" t="s">
        <v>5791</v>
      </c>
      <c r="I989" s="6" t="s">
        <v>7543</v>
      </c>
      <c r="J989" s="6" t="s">
        <v>8878</v>
      </c>
      <c r="K989" s="6" t="s">
        <v>9714</v>
      </c>
      <c r="L989" s="16" t="n">
        <v>39007</v>
      </c>
      <c r="M989" s="16" t="n">
        <v>45717</v>
      </c>
      <c r="N989" s="6" t="s">
        <v>9714</v>
      </c>
      <c r="O989" s="16" t="n">
        <v>39007</v>
      </c>
      <c r="P989" s="6" t="s">
        <v>9993</v>
      </c>
      <c r="Q989" s="6" t="s">
        <v>104</v>
      </c>
      <c r="R989" s="6" t="s">
        <v>104</v>
      </c>
      <c r="S989" s="6" t="s">
        <v>104</v>
      </c>
      <c r="T989" s="21" t="s">
        <v>104</v>
      </c>
      <c r="U989" s="6" t="s">
        <v>104</v>
      </c>
      <c r="V989" s="6" t="s">
        <v>104</v>
      </c>
      <c r="W989" s="6" t="s">
        <v>104</v>
      </c>
      <c r="X989" s="6" t="s">
        <v>104</v>
      </c>
      <c r="Y989" s="21" t="s">
        <v>104</v>
      </c>
      <c r="Z989" s="6" t="s">
        <v>104</v>
      </c>
      <c r="AA989" s="6" t="s">
        <v>104</v>
      </c>
      <c r="AB989" s="6" t="s">
        <v>104</v>
      </c>
      <c r="AC989" s="6" t="s">
        <v>9714</v>
      </c>
      <c r="AD989" s="16" t="n">
        <v>39007</v>
      </c>
      <c r="AE989" s="6" t="s">
        <v>11402</v>
      </c>
      <c r="AF989" s="6" t="s">
        <v>104</v>
      </c>
      <c r="AG989" s="6" t="s">
        <v>104</v>
      </c>
      <c r="AH989" s="6" t="s">
        <v>14055</v>
      </c>
      <c r="AI989" s="6" t="s">
        <v>104</v>
      </c>
      <c r="AJ989" s="6" t="s">
        <v>104</v>
      </c>
      <c r="AK989" s="6" t="s">
        <v>104</v>
      </c>
      <c r="AL989" s="6" t="s">
        <v>16940</v>
      </c>
      <c r="AM989" s="6" t="s">
        <v>104</v>
      </c>
      <c r="AN989" s="6" t="s">
        <v>104</v>
      </c>
      <c r="AO989" s="6" t="s">
        <v>104</v>
      </c>
      <c r="AP989" s="6" t="s">
        <v>104</v>
      </c>
      <c r="AQ989" s="6" t="s">
        <v>104</v>
      </c>
      <c r="AR989" s="6" t="s">
        <v>104</v>
      </c>
      <c r="AS989" s="6" t="s">
        <v>104</v>
      </c>
      <c r="AT989" s="6" t="s">
        <v>104</v>
      </c>
      <c r="AU989" s="6" t="s">
        <v>104</v>
      </c>
      <c r="AV989" s="6" t="s">
        <v>104</v>
      </c>
      <c r="AW989" s="6" t="s">
        <v>104</v>
      </c>
      <c r="AX989" s="6" t="s">
        <v>20890</v>
      </c>
      <c r="AY989" s="6" t="s">
        <v>22670</v>
      </c>
      <c r="AZ989" s="6" t="s">
        <v>104</v>
      </c>
      <c r="BA989" s="6" t="s">
        <v>104</v>
      </c>
      <c r="BB989" s="24" t="n">
        <v>7304</v>
      </c>
      <c r="BC989" s="26"/>
      <c r="BD989" s="26"/>
      <c r="BE989" s="26"/>
      <c r="BF989" s="26"/>
      <c r="BG989" s="26"/>
      <c r="BH989" s="26"/>
      <c r="BI989" s="26"/>
      <c r="BJ989" s="26"/>
      <c r="BK989" s="26"/>
      <c r="BL989" s="26"/>
      <c r="BM989" s="26"/>
      <c r="BN989" s="26"/>
      <c r="BO989" s="26"/>
      <c r="BP989" s="16" t="n">
        <v>45472</v>
      </c>
      <c r="BQ989" s="28" t="str">
        <f>HYPERLINK("https://organic.ams.usda.gov/Integrity/Certificate.aspx?cid=21&amp;nopid=1780022042")</f>
        <v>https://organic.ams.usda.gov/Integrity/Certificate.aspx?cid=21&amp;nopid=1780022042</v>
      </c>
    </row>
    <row r="990">
      <c r="A990" t="s">
        <v>3</v>
      </c>
      <c r="B990" s="6" t="s">
        <v>41</v>
      </c>
      <c r="C990" s="6" t="s">
        <v>107</v>
      </c>
      <c r="D990" s="6" t="s">
        <v>171</v>
      </c>
      <c r="E990" s="10" t="s">
        <v>1188</v>
      </c>
      <c r="F990" s="6" t="s">
        <v>3432</v>
      </c>
      <c r="G990" s="6" t="s">
        <v>104</v>
      </c>
      <c r="H990" s="6" t="s">
        <v>5792</v>
      </c>
      <c r="I990" s="6" t="s">
        <v>7544</v>
      </c>
      <c r="J990" s="6" t="s">
        <v>8879</v>
      </c>
      <c r="K990" s="6" t="s">
        <v>9714</v>
      </c>
      <c r="L990" s="16" t="n">
        <v>39605</v>
      </c>
      <c r="M990" s="16" t="n">
        <v>46157</v>
      </c>
      <c r="N990" s="6" t="s">
        <v>9714</v>
      </c>
      <c r="O990" s="16" t="n">
        <v>39605</v>
      </c>
      <c r="P990" s="6" t="s">
        <v>9994</v>
      </c>
      <c r="Q990" s="6" t="s">
        <v>104</v>
      </c>
      <c r="R990" s="6" t="s">
        <v>104</v>
      </c>
      <c r="S990" s="6" t="s">
        <v>104</v>
      </c>
      <c r="T990" s="21" t="s">
        <v>104</v>
      </c>
      <c r="U990" s="6" t="s">
        <v>104</v>
      </c>
      <c r="V990" s="6" t="s">
        <v>104</v>
      </c>
      <c r="W990" s="6" t="s">
        <v>104</v>
      </c>
      <c r="X990" s="6" t="s">
        <v>104</v>
      </c>
      <c r="Y990" s="21" t="s">
        <v>104</v>
      </c>
      <c r="Z990" s="6" t="s">
        <v>104</v>
      </c>
      <c r="AA990" s="6" t="s">
        <v>104</v>
      </c>
      <c r="AB990" s="6" t="s">
        <v>104</v>
      </c>
      <c r="AC990" s="6" t="s">
        <v>9714</v>
      </c>
      <c r="AD990" s="16" t="n">
        <v>39605</v>
      </c>
      <c r="AE990" s="6" t="s">
        <v>11403</v>
      </c>
      <c r="AF990" s="6" t="s">
        <v>104</v>
      </c>
      <c r="AG990" s="6" t="s">
        <v>104</v>
      </c>
      <c r="AH990" s="6" t="s">
        <v>14056</v>
      </c>
      <c r="AI990" s="6" t="s">
        <v>104</v>
      </c>
      <c r="AJ990" s="6" t="s">
        <v>16015</v>
      </c>
      <c r="AK990" s="6" t="s">
        <v>16686</v>
      </c>
      <c r="AL990" s="6" t="s">
        <v>16931</v>
      </c>
      <c r="AM990" s="6" t="s">
        <v>17651</v>
      </c>
      <c r="AN990" s="6" t="s">
        <v>18460</v>
      </c>
      <c r="AO990" s="6" t="s">
        <v>18566</v>
      </c>
      <c r="AP990" s="6" t="s">
        <v>14056</v>
      </c>
      <c r="AQ990" s="6" t="s">
        <v>104</v>
      </c>
      <c r="AR990" s="6" t="s">
        <v>16015</v>
      </c>
      <c r="AS990" s="6" t="s">
        <v>16686</v>
      </c>
      <c r="AT990" s="6" t="s">
        <v>16931</v>
      </c>
      <c r="AU990" s="6" t="s">
        <v>17651</v>
      </c>
      <c r="AV990" s="6" t="s">
        <v>104</v>
      </c>
      <c r="AW990" s="6" t="s">
        <v>104</v>
      </c>
      <c r="AX990" s="6" t="s">
        <v>20891</v>
      </c>
      <c r="AY990" s="6" t="s">
        <v>22671</v>
      </c>
      <c r="AZ990" s="6" t="s">
        <v>104</v>
      </c>
      <c r="BA990" s="6" t="s">
        <v>104</v>
      </c>
      <c r="BB990" s="24" t="n">
        <v>231</v>
      </c>
      <c r="BC990" s="26"/>
      <c r="BD990" s="26"/>
      <c r="BE990" s="26"/>
      <c r="BF990" s="26"/>
      <c r="BG990" s="26"/>
      <c r="BH990" s="26"/>
      <c r="BI990" s="26"/>
      <c r="BJ990" s="26"/>
      <c r="BK990" s="26"/>
      <c r="BL990" s="26"/>
      <c r="BM990" s="26"/>
      <c r="BN990" s="26"/>
      <c r="BO990" s="26"/>
      <c r="BP990" s="16" t="n">
        <v>45737</v>
      </c>
      <c r="BQ990" s="28" t="str">
        <f>HYPERLINK("https://organic.ams.usda.gov/Integrity/Certificate.aspx?cid=58&amp;nopid=1600002205")</f>
        <v>https://organic.ams.usda.gov/Integrity/Certificate.aspx?cid=58&amp;nopid=1600002205</v>
      </c>
    </row>
    <row r="991">
      <c r="A991" t="s">
        <v>3</v>
      </c>
      <c r="B991" s="6" t="s">
        <v>52</v>
      </c>
      <c r="C991" s="6" t="s">
        <v>118</v>
      </c>
      <c r="D991" s="6" t="s">
        <v>182</v>
      </c>
      <c r="E991" s="10" t="s">
        <v>1189</v>
      </c>
      <c r="F991" s="6" t="s">
        <v>3433</v>
      </c>
      <c r="G991" s="6" t="s">
        <v>104</v>
      </c>
      <c r="H991" s="6" t="s">
        <v>5793</v>
      </c>
      <c r="I991" s="6" t="s">
        <v>7545</v>
      </c>
      <c r="J991" s="6" t="s">
        <v>8880</v>
      </c>
      <c r="K991" s="6" t="s">
        <v>9714</v>
      </c>
      <c r="L991" s="16" t="n">
        <v>38266</v>
      </c>
      <c r="M991" s="16" t="n">
        <v>46068</v>
      </c>
      <c r="N991" s="6" t="s">
        <v>104</v>
      </c>
      <c r="O991" s="21" t="s">
        <v>104</v>
      </c>
      <c r="P991" s="6" t="s">
        <v>104</v>
      </c>
      <c r="Q991" s="6" t="s">
        <v>104</v>
      </c>
      <c r="R991" s="6" t="s">
        <v>104</v>
      </c>
      <c r="S991" s="6" t="s">
        <v>104</v>
      </c>
      <c r="T991" s="21" t="s">
        <v>104</v>
      </c>
      <c r="U991" s="6" t="s">
        <v>104</v>
      </c>
      <c r="V991" s="6" t="s">
        <v>104</v>
      </c>
      <c r="W991" s="6" t="s">
        <v>104</v>
      </c>
      <c r="X991" s="6" t="s">
        <v>104</v>
      </c>
      <c r="Y991" s="21" t="s">
        <v>104</v>
      </c>
      <c r="Z991" s="6" t="s">
        <v>104</v>
      </c>
      <c r="AA991" s="6" t="s">
        <v>104</v>
      </c>
      <c r="AB991" s="6" t="s">
        <v>104</v>
      </c>
      <c r="AC991" s="6" t="s">
        <v>9714</v>
      </c>
      <c r="AD991" s="16" t="n">
        <v>38266</v>
      </c>
      <c r="AE991" s="6" t="s">
        <v>11404</v>
      </c>
      <c r="AF991" s="6" t="s">
        <v>104</v>
      </c>
      <c r="AG991" s="6" t="s">
        <v>5793</v>
      </c>
      <c r="AH991" s="6" t="s">
        <v>14057</v>
      </c>
      <c r="AI991" s="6" t="s">
        <v>104</v>
      </c>
      <c r="AJ991" s="6" t="s">
        <v>16016</v>
      </c>
      <c r="AK991" s="6" t="s">
        <v>16683</v>
      </c>
      <c r="AL991" s="6" t="s">
        <v>16931</v>
      </c>
      <c r="AM991" s="6" t="s">
        <v>17652</v>
      </c>
      <c r="AN991" s="6" t="s">
        <v>18529</v>
      </c>
      <c r="AO991" s="6" t="s">
        <v>18774</v>
      </c>
      <c r="AP991" s="6" t="s">
        <v>104</v>
      </c>
      <c r="AQ991" s="6" t="s">
        <v>104</v>
      </c>
      <c r="AR991" s="6" t="s">
        <v>104</v>
      </c>
      <c r="AS991" s="6" t="s">
        <v>104</v>
      </c>
      <c r="AT991" s="6" t="s">
        <v>104</v>
      </c>
      <c r="AU991" s="6" t="s">
        <v>104</v>
      </c>
      <c r="AV991" s="6" t="s">
        <v>104</v>
      </c>
      <c r="AW991" s="6" t="s">
        <v>104</v>
      </c>
      <c r="AX991" s="6" t="s">
        <v>20892</v>
      </c>
      <c r="AY991" s="6" t="s">
        <v>22672</v>
      </c>
      <c r="AZ991" s="6" t="s">
        <v>104</v>
      </c>
      <c r="BA991" s="6" t="s">
        <v>104</v>
      </c>
      <c r="BB991" s="6" t="s">
        <v>104</v>
      </c>
      <c r="BC991" s="26"/>
      <c r="BD991" s="26"/>
      <c r="BE991" s="26"/>
      <c r="BF991" s="26"/>
      <c r="BG991" s="26"/>
      <c r="BH991" s="26"/>
      <c r="BI991" s="26"/>
      <c r="BJ991" s="26"/>
      <c r="BK991" s="26"/>
      <c r="BL991" s="26"/>
      <c r="BM991" s="26"/>
      <c r="BN991" s="26"/>
      <c r="BO991" s="26"/>
      <c r="BP991" s="16" t="n">
        <v>45707</v>
      </c>
      <c r="BQ991" s="28" t="str">
        <f>HYPERLINK("https://organic.ams.usda.gov/Integrity/Certificate.aspx?cid=36&amp;nopid=5400000242")</f>
        <v>https://organic.ams.usda.gov/Integrity/Certificate.aspx?cid=36&amp;nopid=5400000242</v>
      </c>
    </row>
    <row r="992">
      <c r="A992" t="s">
        <v>3</v>
      </c>
      <c r="B992" s="6" t="s">
        <v>54</v>
      </c>
      <c r="C992" s="6" t="s">
        <v>120</v>
      </c>
      <c r="D992" s="6" t="s">
        <v>184</v>
      </c>
      <c r="E992" s="10" t="s">
        <v>1190</v>
      </c>
      <c r="F992" s="6" t="s">
        <v>3434</v>
      </c>
      <c r="G992" s="6" t="s">
        <v>104</v>
      </c>
      <c r="H992" s="6" t="s">
        <v>5794</v>
      </c>
      <c r="I992" s="6" t="s">
        <v>7546</v>
      </c>
      <c r="J992" s="6" t="s">
        <v>8881</v>
      </c>
      <c r="K992" s="6" t="s">
        <v>9714</v>
      </c>
      <c r="L992" s="16" t="n">
        <v>45411</v>
      </c>
      <c r="M992" s="16" t="n">
        <v>45689</v>
      </c>
      <c r="N992" s="6" t="s">
        <v>104</v>
      </c>
      <c r="O992" s="21" t="s">
        <v>104</v>
      </c>
      <c r="P992" s="6" t="s">
        <v>104</v>
      </c>
      <c r="Q992" s="6" t="s">
        <v>104</v>
      </c>
      <c r="R992" s="6" t="s">
        <v>104</v>
      </c>
      <c r="S992" s="6" t="s">
        <v>104</v>
      </c>
      <c r="T992" s="21" t="s">
        <v>104</v>
      </c>
      <c r="U992" s="6" t="s">
        <v>104</v>
      </c>
      <c r="V992" s="6" t="s">
        <v>104</v>
      </c>
      <c r="W992" s="6" t="s">
        <v>104</v>
      </c>
      <c r="X992" s="6" t="s">
        <v>104</v>
      </c>
      <c r="Y992" s="21" t="s">
        <v>104</v>
      </c>
      <c r="Z992" s="6" t="s">
        <v>104</v>
      </c>
      <c r="AA992" s="6" t="s">
        <v>104</v>
      </c>
      <c r="AB992" s="6" t="s">
        <v>104</v>
      </c>
      <c r="AC992" s="6" t="s">
        <v>9714</v>
      </c>
      <c r="AD992" s="16" t="n">
        <v>45411</v>
      </c>
      <c r="AE992" s="6" t="s">
        <v>11405</v>
      </c>
      <c r="AF992" s="6" t="s">
        <v>104</v>
      </c>
      <c r="AG992" s="6" t="s">
        <v>104</v>
      </c>
      <c r="AH992" s="6" t="s">
        <v>14058</v>
      </c>
      <c r="AI992" s="6" t="s">
        <v>104</v>
      </c>
      <c r="AJ992" s="6" t="s">
        <v>16017</v>
      </c>
      <c r="AK992" s="6" t="s">
        <v>15697</v>
      </c>
      <c r="AL992" s="6" t="s">
        <v>16931</v>
      </c>
      <c r="AM992" s="6" t="s">
        <v>17653</v>
      </c>
      <c r="AN992" s="6" t="s">
        <v>104</v>
      </c>
      <c r="AO992" s="6" t="s">
        <v>104</v>
      </c>
      <c r="AP992" s="6" t="s">
        <v>104</v>
      </c>
      <c r="AQ992" s="6" t="s">
        <v>104</v>
      </c>
      <c r="AR992" s="6" t="s">
        <v>104</v>
      </c>
      <c r="AS992" s="6" t="s">
        <v>104</v>
      </c>
      <c r="AT992" s="6" t="s">
        <v>104</v>
      </c>
      <c r="AU992" s="6" t="s">
        <v>104</v>
      </c>
      <c r="AV992" s="6" t="s">
        <v>104</v>
      </c>
      <c r="AW992" s="6" t="s">
        <v>104</v>
      </c>
      <c r="AX992" s="6" t="s">
        <v>20893</v>
      </c>
      <c r="AY992" s="6" t="s">
        <v>22673</v>
      </c>
      <c r="AZ992" s="6" t="s">
        <v>23941</v>
      </c>
      <c r="BA992" s="6" t="s">
        <v>104</v>
      </c>
      <c r="BB992" s="6" t="s">
        <v>104</v>
      </c>
      <c r="BC992" s="26"/>
      <c r="BD992" s="26"/>
      <c r="BE992" s="26"/>
      <c r="BF992" s="26"/>
      <c r="BG992" s="26"/>
      <c r="BH992" s="26"/>
      <c r="BI992" s="26"/>
      <c r="BJ992" s="26"/>
      <c r="BK992" s="26"/>
      <c r="BL992" s="26"/>
      <c r="BM992" s="26"/>
      <c r="BN992" s="26"/>
      <c r="BO992" s="26"/>
      <c r="BP992" s="16" t="n">
        <v>45721</v>
      </c>
      <c r="BQ992" s="28" t="str">
        <f>HYPERLINK("https://organic.ams.usda.gov/Integrity/Certificate.aspx?cid=60&amp;nopid=2580006748")</f>
        <v>https://organic.ams.usda.gov/Integrity/Certificate.aspx?cid=60&amp;nopid=2580006748</v>
      </c>
    </row>
    <row r="993">
      <c r="A993" t="s">
        <v>3</v>
      </c>
      <c r="B993" s="6" t="s">
        <v>29</v>
      </c>
      <c r="C993" s="6" t="s">
        <v>95</v>
      </c>
      <c r="D993" s="6" t="s">
        <v>160</v>
      </c>
      <c r="E993" s="10" t="s">
        <v>1191</v>
      </c>
      <c r="F993" s="6" t="s">
        <v>3435</v>
      </c>
      <c r="G993" s="6" t="s">
        <v>104</v>
      </c>
      <c r="H993" s="6" t="s">
        <v>5795</v>
      </c>
      <c r="I993" s="6" t="s">
        <v>104</v>
      </c>
      <c r="J993" s="6" t="s">
        <v>8882</v>
      </c>
      <c r="K993" s="6" t="s">
        <v>9714</v>
      </c>
      <c r="L993" s="16" t="n">
        <v>43089</v>
      </c>
      <c r="M993" s="16" t="n">
        <v>45870</v>
      </c>
      <c r="N993" s="6" t="s">
        <v>104</v>
      </c>
      <c r="O993" s="21" t="s">
        <v>104</v>
      </c>
      <c r="P993" s="6" t="s">
        <v>104</v>
      </c>
      <c r="Q993" s="6" t="s">
        <v>104</v>
      </c>
      <c r="R993" s="6" t="s">
        <v>104</v>
      </c>
      <c r="S993" s="6" t="s">
        <v>104</v>
      </c>
      <c r="T993" s="21" t="s">
        <v>104</v>
      </c>
      <c r="U993" s="6" t="s">
        <v>104</v>
      </c>
      <c r="V993" s="6" t="s">
        <v>104</v>
      </c>
      <c r="W993" s="6" t="s">
        <v>104</v>
      </c>
      <c r="X993" s="6" t="s">
        <v>104</v>
      </c>
      <c r="Y993" s="21" t="s">
        <v>104</v>
      </c>
      <c r="Z993" s="6" t="s">
        <v>104</v>
      </c>
      <c r="AA993" s="6" t="s">
        <v>104</v>
      </c>
      <c r="AB993" s="6" t="s">
        <v>104</v>
      </c>
      <c r="AC993" s="6" t="s">
        <v>9714</v>
      </c>
      <c r="AD993" s="16" t="n">
        <v>43089</v>
      </c>
      <c r="AE993" s="6" t="s">
        <v>11406</v>
      </c>
      <c r="AF993" s="6" t="s">
        <v>104</v>
      </c>
      <c r="AG993" s="6" t="s">
        <v>104</v>
      </c>
      <c r="AH993" s="6" t="s">
        <v>14059</v>
      </c>
      <c r="AI993" s="6" t="s">
        <v>104</v>
      </c>
      <c r="AJ993" s="6" t="s">
        <v>16018</v>
      </c>
      <c r="AK993" s="6" t="s">
        <v>104</v>
      </c>
      <c r="AL993" s="6" t="s">
        <v>16945</v>
      </c>
      <c r="AM993" s="6" t="s">
        <v>17654</v>
      </c>
      <c r="AN993" s="6" t="s">
        <v>104</v>
      </c>
      <c r="AO993" s="6" t="s">
        <v>104</v>
      </c>
      <c r="AP993" s="6" t="s">
        <v>104</v>
      </c>
      <c r="AQ993" s="6" t="s">
        <v>104</v>
      </c>
      <c r="AR993" s="6" t="s">
        <v>104</v>
      </c>
      <c r="AS993" s="6" t="s">
        <v>104</v>
      </c>
      <c r="AT993" s="6" t="s">
        <v>104</v>
      </c>
      <c r="AU993" s="6" t="s">
        <v>104</v>
      </c>
      <c r="AV993" s="6" t="s">
        <v>104</v>
      </c>
      <c r="AW993" s="6" t="s">
        <v>104</v>
      </c>
      <c r="AX993" s="6" t="s">
        <v>20894</v>
      </c>
      <c r="AY993" s="6" t="s">
        <v>22674</v>
      </c>
      <c r="AZ993" s="6" t="s">
        <v>104</v>
      </c>
      <c r="BA993" s="6" t="s">
        <v>24269</v>
      </c>
      <c r="BB993" s="24" t="n">
        <v>0</v>
      </c>
      <c r="BC993" s="26"/>
      <c r="BD993" s="26"/>
      <c r="BE993" s="26"/>
      <c r="BF993" s="26"/>
      <c r="BG993" s="26"/>
      <c r="BH993" s="26"/>
      <c r="BI993" s="26"/>
      <c r="BJ993" s="26"/>
      <c r="BK993" s="26"/>
      <c r="BL993" s="26"/>
      <c r="BM993" s="26"/>
      <c r="BN993" s="26"/>
      <c r="BO993" s="26" t="s">
        <v>24533</v>
      </c>
      <c r="BP993" s="16" t="n">
        <v>45704</v>
      </c>
      <c r="BQ993" s="28" t="str">
        <f>HYPERLINK("https://organic.ams.usda.gov/Integrity/Certificate.aspx?cid=24&amp;nopid=7880179359")</f>
        <v>https://organic.ams.usda.gov/Integrity/Certificate.aspx?cid=24&amp;nopid=7880179359</v>
      </c>
    </row>
    <row r="994">
      <c r="A994" t="s">
        <v>3</v>
      </c>
      <c r="B994" s="6" t="s">
        <v>28</v>
      </c>
      <c r="C994" s="6" t="s">
        <v>94</v>
      </c>
      <c r="D994" s="6" t="s">
        <v>159</v>
      </c>
      <c r="E994" s="10" t="s">
        <v>1192</v>
      </c>
      <c r="F994" s="6" t="s">
        <v>3436</v>
      </c>
      <c r="G994" s="6" t="s">
        <v>104</v>
      </c>
      <c r="H994" s="6" t="s">
        <v>5796</v>
      </c>
      <c r="I994" s="6" t="s">
        <v>6955</v>
      </c>
      <c r="J994" s="6" t="s">
        <v>8883</v>
      </c>
      <c r="K994" s="6" t="s">
        <v>9714</v>
      </c>
      <c r="L994" s="16" t="n">
        <v>42760</v>
      </c>
      <c r="M994" s="16" t="n">
        <v>45748</v>
      </c>
      <c r="N994" s="6" t="s">
        <v>104</v>
      </c>
      <c r="O994" s="21" t="s">
        <v>104</v>
      </c>
      <c r="P994" s="6" t="s">
        <v>104</v>
      </c>
      <c r="Q994" s="6" t="s">
        <v>104</v>
      </c>
      <c r="R994" s="6" t="s">
        <v>104</v>
      </c>
      <c r="S994" s="6" t="s">
        <v>104</v>
      </c>
      <c r="T994" s="21" t="s">
        <v>104</v>
      </c>
      <c r="U994" s="6" t="s">
        <v>104</v>
      </c>
      <c r="V994" s="6" t="s">
        <v>104</v>
      </c>
      <c r="W994" s="6" t="s">
        <v>104</v>
      </c>
      <c r="X994" s="6" t="s">
        <v>104</v>
      </c>
      <c r="Y994" s="21" t="s">
        <v>104</v>
      </c>
      <c r="Z994" s="6" t="s">
        <v>104</v>
      </c>
      <c r="AA994" s="6" t="s">
        <v>104</v>
      </c>
      <c r="AB994" s="6" t="s">
        <v>104</v>
      </c>
      <c r="AC994" s="6" t="s">
        <v>9714</v>
      </c>
      <c r="AD994" s="16" t="n">
        <v>42760</v>
      </c>
      <c r="AE994" s="6" t="s">
        <v>11407</v>
      </c>
      <c r="AF994" s="6" t="s">
        <v>104</v>
      </c>
      <c r="AG994" s="6" t="s">
        <v>12807</v>
      </c>
      <c r="AH994" s="6" t="s">
        <v>14060</v>
      </c>
      <c r="AI994" s="6" t="s">
        <v>15284</v>
      </c>
      <c r="AJ994" s="6" t="s">
        <v>16019</v>
      </c>
      <c r="AK994" s="6" t="s">
        <v>16019</v>
      </c>
      <c r="AL994" s="6" t="s">
        <v>16898</v>
      </c>
      <c r="AM994" s="6" t="s">
        <v>104</v>
      </c>
      <c r="AN994" s="6" t="s">
        <v>104</v>
      </c>
      <c r="AO994" s="6" t="s">
        <v>104</v>
      </c>
      <c r="AP994" s="6" t="s">
        <v>104</v>
      </c>
      <c r="AQ994" s="6" t="s">
        <v>104</v>
      </c>
      <c r="AR994" s="6" t="s">
        <v>104</v>
      </c>
      <c r="AS994" s="6" t="s">
        <v>104</v>
      </c>
      <c r="AT994" s="6" t="s">
        <v>104</v>
      </c>
      <c r="AU994" s="6" t="s">
        <v>104</v>
      </c>
      <c r="AV994" s="6" t="s">
        <v>104</v>
      </c>
      <c r="AW994" s="6" t="s">
        <v>104</v>
      </c>
      <c r="AX994" s="6" t="s">
        <v>20895</v>
      </c>
      <c r="AY994" s="6" t="s">
        <v>22675</v>
      </c>
      <c r="AZ994" s="6" t="s">
        <v>23942</v>
      </c>
      <c r="BA994" s="6" t="s">
        <v>24397</v>
      </c>
      <c r="BB994" s="6" t="s">
        <v>104</v>
      </c>
      <c r="BC994" s="26"/>
      <c r="BD994" s="26"/>
      <c r="BE994" s="26"/>
      <c r="BF994" s="26"/>
      <c r="BG994" s="26"/>
      <c r="BH994" s="26"/>
      <c r="BI994" s="26"/>
      <c r="BJ994" s="26"/>
      <c r="BK994" s="26"/>
      <c r="BL994" s="26"/>
      <c r="BM994" s="26"/>
      <c r="BN994" s="26"/>
      <c r="BO994" s="26"/>
      <c r="BP994" s="16" t="n">
        <v>45663</v>
      </c>
      <c r="BQ994" s="28" t="str">
        <f>HYPERLINK("https://organic.ams.usda.gov/Integrity/Certificate.aspx?cid=11&amp;nopid=4791488259")</f>
        <v>https://organic.ams.usda.gov/Integrity/Certificate.aspx?cid=11&amp;nopid=4791488259</v>
      </c>
    </row>
    <row r="995">
      <c r="A995" t="s">
        <v>3</v>
      </c>
      <c r="B995" s="6" t="s">
        <v>11</v>
      </c>
      <c r="C995" s="6" t="s">
        <v>77</v>
      </c>
      <c r="D995" s="6" t="s">
        <v>142</v>
      </c>
      <c r="E995" s="10" t="s">
        <v>1193</v>
      </c>
      <c r="F995" s="6" t="s">
        <v>3437</v>
      </c>
      <c r="G995" s="6" t="s">
        <v>104</v>
      </c>
      <c r="H995" s="6" t="s">
        <v>5797</v>
      </c>
      <c r="I995" s="6" t="s">
        <v>7057</v>
      </c>
      <c r="J995" s="6" t="s">
        <v>8884</v>
      </c>
      <c r="K995" s="6" t="s">
        <v>9714</v>
      </c>
      <c r="L995" s="16" t="n">
        <v>43780</v>
      </c>
      <c r="M995" s="16" t="n">
        <v>45907</v>
      </c>
      <c r="N995" s="6" t="s">
        <v>9714</v>
      </c>
      <c r="O995" s="16" t="n">
        <v>43780</v>
      </c>
      <c r="P995" s="6" t="s">
        <v>9995</v>
      </c>
      <c r="Q995" s="6" t="s">
        <v>104</v>
      </c>
      <c r="R995" s="6" t="s">
        <v>104</v>
      </c>
      <c r="S995" s="6" t="s">
        <v>104</v>
      </c>
      <c r="T995" s="21" t="s">
        <v>104</v>
      </c>
      <c r="U995" s="6" t="s">
        <v>104</v>
      </c>
      <c r="V995" s="6" t="s">
        <v>104</v>
      </c>
      <c r="W995" s="6" t="s">
        <v>104</v>
      </c>
      <c r="X995" s="6" t="s">
        <v>104</v>
      </c>
      <c r="Y995" s="21" t="s">
        <v>104</v>
      </c>
      <c r="Z995" s="6" t="s">
        <v>104</v>
      </c>
      <c r="AA995" s="6" t="s">
        <v>104</v>
      </c>
      <c r="AB995" s="6" t="s">
        <v>104</v>
      </c>
      <c r="AC995" s="6" t="s">
        <v>9714</v>
      </c>
      <c r="AD995" s="16" t="n">
        <v>43780</v>
      </c>
      <c r="AE995" s="6" t="s">
        <v>11408</v>
      </c>
      <c r="AF995" s="6" t="s">
        <v>104</v>
      </c>
      <c r="AG995" s="6" t="s">
        <v>104</v>
      </c>
      <c r="AH995" s="6" t="s">
        <v>14061</v>
      </c>
      <c r="AI995" s="6" t="s">
        <v>104</v>
      </c>
      <c r="AJ995" s="6" t="s">
        <v>104</v>
      </c>
      <c r="AK995" s="6" t="s">
        <v>16660</v>
      </c>
      <c r="AL995" s="6" t="s">
        <v>16940</v>
      </c>
      <c r="AM995" s="6" t="s">
        <v>104</v>
      </c>
      <c r="AN995" s="6" t="s">
        <v>104</v>
      </c>
      <c r="AO995" s="6" t="s">
        <v>104</v>
      </c>
      <c r="AP995" s="6" t="s">
        <v>104</v>
      </c>
      <c r="AQ995" s="6" t="s">
        <v>104</v>
      </c>
      <c r="AR995" s="6" t="s">
        <v>104</v>
      </c>
      <c r="AS995" s="6" t="s">
        <v>104</v>
      </c>
      <c r="AT995" s="6" t="s">
        <v>104</v>
      </c>
      <c r="AU995" s="6" t="s">
        <v>104</v>
      </c>
      <c r="AV995" s="6" t="s">
        <v>104</v>
      </c>
      <c r="AW995" s="6" t="s">
        <v>104</v>
      </c>
      <c r="AX995" s="6" t="s">
        <v>20896</v>
      </c>
      <c r="AY995" s="6" t="s">
        <v>22676</v>
      </c>
      <c r="AZ995" s="6" t="s">
        <v>104</v>
      </c>
      <c r="BA995" s="6" t="s">
        <v>104</v>
      </c>
      <c r="BB995" s="24" t="n">
        <v>1486</v>
      </c>
      <c r="BC995" s="26"/>
      <c r="BD995" s="26"/>
      <c r="BE995" s="26"/>
      <c r="BF995" s="26"/>
      <c r="BG995" s="26"/>
      <c r="BH995" s="26"/>
      <c r="BI995" s="26"/>
      <c r="BJ995" s="26"/>
      <c r="BK995" s="26"/>
      <c r="BL995" s="26"/>
      <c r="BM995" s="26"/>
      <c r="BN995" s="26"/>
      <c r="BO995" s="26" t="s">
        <v>24533</v>
      </c>
      <c r="BP995" s="16" t="n">
        <v>45723</v>
      </c>
      <c r="BQ995" s="28" t="str">
        <f>HYPERLINK("https://organic.ams.usda.gov/Integrity/Certificate.aspx?cid=21&amp;nopid=1780867674")</f>
        <v>https://organic.ams.usda.gov/Integrity/Certificate.aspx?cid=21&amp;nopid=1780867674</v>
      </c>
    </row>
    <row r="996">
      <c r="A996" t="s">
        <v>3</v>
      </c>
      <c r="B996" s="6" t="s">
        <v>11</v>
      </c>
      <c r="C996" s="6" t="s">
        <v>77</v>
      </c>
      <c r="D996" s="6" t="s">
        <v>142</v>
      </c>
      <c r="E996" s="10" t="s">
        <v>1194</v>
      </c>
      <c r="F996" s="6" t="s">
        <v>3438</v>
      </c>
      <c r="G996" s="6" t="s">
        <v>104</v>
      </c>
      <c r="H996" s="6" t="s">
        <v>5798</v>
      </c>
      <c r="I996" s="6" t="s">
        <v>7057</v>
      </c>
      <c r="J996" s="6" t="s">
        <v>8884</v>
      </c>
      <c r="K996" s="6" t="s">
        <v>9714</v>
      </c>
      <c r="L996" s="16" t="n">
        <v>43802</v>
      </c>
      <c r="M996" s="16" t="n">
        <v>45904</v>
      </c>
      <c r="N996" s="6" t="s">
        <v>9714</v>
      </c>
      <c r="O996" s="16" t="n">
        <v>43802</v>
      </c>
      <c r="P996" s="6" t="s">
        <v>9996</v>
      </c>
      <c r="Q996" s="6" t="s">
        <v>104</v>
      </c>
      <c r="R996" s="6" t="s">
        <v>104</v>
      </c>
      <c r="S996" s="6" t="s">
        <v>104</v>
      </c>
      <c r="T996" s="21" t="s">
        <v>104</v>
      </c>
      <c r="U996" s="6" t="s">
        <v>104</v>
      </c>
      <c r="V996" s="6" t="s">
        <v>104</v>
      </c>
      <c r="W996" s="6" t="s">
        <v>104</v>
      </c>
      <c r="X996" s="6" t="s">
        <v>104</v>
      </c>
      <c r="Y996" s="21" t="s">
        <v>104</v>
      </c>
      <c r="Z996" s="6" t="s">
        <v>104</v>
      </c>
      <c r="AA996" s="6" t="s">
        <v>104</v>
      </c>
      <c r="AB996" s="6" t="s">
        <v>104</v>
      </c>
      <c r="AC996" s="6" t="s">
        <v>9714</v>
      </c>
      <c r="AD996" s="16" t="n">
        <v>43802</v>
      </c>
      <c r="AE996" s="6" t="s">
        <v>11408</v>
      </c>
      <c r="AF996" s="6" t="s">
        <v>104</v>
      </c>
      <c r="AG996" s="6" t="s">
        <v>104</v>
      </c>
      <c r="AH996" s="6" t="s">
        <v>14062</v>
      </c>
      <c r="AI996" s="6" t="s">
        <v>104</v>
      </c>
      <c r="AJ996" s="6" t="s">
        <v>104</v>
      </c>
      <c r="AK996" s="6" t="s">
        <v>104</v>
      </c>
      <c r="AL996" s="6" t="s">
        <v>16940</v>
      </c>
      <c r="AM996" s="6" t="s">
        <v>104</v>
      </c>
      <c r="AN996" s="6" t="s">
        <v>104</v>
      </c>
      <c r="AO996" s="6" t="s">
        <v>104</v>
      </c>
      <c r="AP996" s="6" t="s">
        <v>104</v>
      </c>
      <c r="AQ996" s="6" t="s">
        <v>104</v>
      </c>
      <c r="AR996" s="6" t="s">
        <v>104</v>
      </c>
      <c r="AS996" s="6" t="s">
        <v>104</v>
      </c>
      <c r="AT996" s="6" t="s">
        <v>104</v>
      </c>
      <c r="AU996" s="6" t="s">
        <v>104</v>
      </c>
      <c r="AV996" s="6" t="s">
        <v>104</v>
      </c>
      <c r="AW996" s="6" t="s">
        <v>104</v>
      </c>
      <c r="AX996" s="6" t="s">
        <v>20896</v>
      </c>
      <c r="AY996" s="6" t="s">
        <v>22676</v>
      </c>
      <c r="AZ996" s="6" t="s">
        <v>104</v>
      </c>
      <c r="BA996" s="6" t="s">
        <v>104</v>
      </c>
      <c r="BB996" s="24" t="n">
        <v>2250</v>
      </c>
      <c r="BC996" s="26"/>
      <c r="BD996" s="26"/>
      <c r="BE996" s="26"/>
      <c r="BF996" s="26"/>
      <c r="BG996" s="26"/>
      <c r="BH996" s="26"/>
      <c r="BI996" s="26"/>
      <c r="BJ996" s="26"/>
      <c r="BK996" s="26"/>
      <c r="BL996" s="26"/>
      <c r="BM996" s="26"/>
      <c r="BN996" s="26"/>
      <c r="BO996" s="26" t="s">
        <v>24533</v>
      </c>
      <c r="BP996" s="16" t="n">
        <v>45723</v>
      </c>
      <c r="BQ996" s="28" t="str">
        <f>HYPERLINK("https://organic.ams.usda.gov/Integrity/Certificate.aspx?cid=21&amp;nopid=1780867677")</f>
        <v>https://organic.ams.usda.gov/Integrity/Certificate.aspx?cid=21&amp;nopid=1780867677</v>
      </c>
    </row>
    <row r="997">
      <c r="A997" t="s">
        <v>3</v>
      </c>
      <c r="B997" s="6" t="s">
        <v>11</v>
      </c>
      <c r="C997" s="6" t="s">
        <v>77</v>
      </c>
      <c r="D997" s="6" t="s">
        <v>142</v>
      </c>
      <c r="E997" s="10" t="s">
        <v>1195</v>
      </c>
      <c r="F997" s="6" t="s">
        <v>3439</v>
      </c>
      <c r="G997" s="6" t="s">
        <v>104</v>
      </c>
      <c r="H997" s="6" t="s">
        <v>5799</v>
      </c>
      <c r="I997" s="6" t="s">
        <v>7057</v>
      </c>
      <c r="J997" s="6" t="s">
        <v>8884</v>
      </c>
      <c r="K997" s="6" t="s">
        <v>9714</v>
      </c>
      <c r="L997" s="16" t="n">
        <v>43802</v>
      </c>
      <c r="M997" s="16" t="n">
        <v>45913</v>
      </c>
      <c r="N997" s="6" t="s">
        <v>9714</v>
      </c>
      <c r="O997" s="16" t="n">
        <v>43802</v>
      </c>
      <c r="P997" s="6" t="s">
        <v>9995</v>
      </c>
      <c r="Q997" s="6" t="s">
        <v>104</v>
      </c>
      <c r="R997" s="6" t="s">
        <v>104</v>
      </c>
      <c r="S997" s="6" t="s">
        <v>104</v>
      </c>
      <c r="T997" s="21" t="s">
        <v>104</v>
      </c>
      <c r="U997" s="6" t="s">
        <v>104</v>
      </c>
      <c r="V997" s="6" t="s">
        <v>104</v>
      </c>
      <c r="W997" s="6" t="s">
        <v>104</v>
      </c>
      <c r="X997" s="6" t="s">
        <v>104</v>
      </c>
      <c r="Y997" s="21" t="s">
        <v>104</v>
      </c>
      <c r="Z997" s="6" t="s">
        <v>104</v>
      </c>
      <c r="AA997" s="6" t="s">
        <v>104</v>
      </c>
      <c r="AB997" s="6" t="s">
        <v>104</v>
      </c>
      <c r="AC997" s="6" t="s">
        <v>9714</v>
      </c>
      <c r="AD997" s="16" t="n">
        <v>43802</v>
      </c>
      <c r="AE997" s="6" t="s">
        <v>11408</v>
      </c>
      <c r="AF997" s="6" t="s">
        <v>104</v>
      </c>
      <c r="AG997" s="6" t="s">
        <v>104</v>
      </c>
      <c r="AH997" s="6" t="s">
        <v>14062</v>
      </c>
      <c r="AI997" s="6" t="s">
        <v>104</v>
      </c>
      <c r="AJ997" s="6" t="s">
        <v>104</v>
      </c>
      <c r="AK997" s="6" t="s">
        <v>104</v>
      </c>
      <c r="AL997" s="6" t="s">
        <v>16940</v>
      </c>
      <c r="AM997" s="6" t="s">
        <v>104</v>
      </c>
      <c r="AN997" s="6" t="s">
        <v>104</v>
      </c>
      <c r="AO997" s="6" t="s">
        <v>104</v>
      </c>
      <c r="AP997" s="6" t="s">
        <v>104</v>
      </c>
      <c r="AQ997" s="6" t="s">
        <v>104</v>
      </c>
      <c r="AR997" s="6" t="s">
        <v>104</v>
      </c>
      <c r="AS997" s="6" t="s">
        <v>104</v>
      </c>
      <c r="AT997" s="6" t="s">
        <v>104</v>
      </c>
      <c r="AU997" s="6" t="s">
        <v>104</v>
      </c>
      <c r="AV997" s="6" t="s">
        <v>104</v>
      </c>
      <c r="AW997" s="6" t="s">
        <v>104</v>
      </c>
      <c r="AX997" s="6" t="s">
        <v>20896</v>
      </c>
      <c r="AY997" s="6" t="s">
        <v>22676</v>
      </c>
      <c r="AZ997" s="6" t="s">
        <v>104</v>
      </c>
      <c r="BA997" s="6" t="s">
        <v>104</v>
      </c>
      <c r="BB997" s="24" t="n">
        <v>1706</v>
      </c>
      <c r="BC997" s="26"/>
      <c r="BD997" s="26"/>
      <c r="BE997" s="26"/>
      <c r="BF997" s="26"/>
      <c r="BG997" s="26"/>
      <c r="BH997" s="26"/>
      <c r="BI997" s="26"/>
      <c r="BJ997" s="26"/>
      <c r="BK997" s="26"/>
      <c r="BL997" s="26"/>
      <c r="BM997" s="26"/>
      <c r="BN997" s="26"/>
      <c r="BO997" s="26" t="s">
        <v>24533</v>
      </c>
      <c r="BP997" s="16" t="n">
        <v>45723</v>
      </c>
      <c r="BQ997" s="28" t="str">
        <f>HYPERLINK("https://organic.ams.usda.gov/Integrity/Certificate.aspx?cid=21&amp;nopid=1780867678")</f>
        <v>https://organic.ams.usda.gov/Integrity/Certificate.aspx?cid=21&amp;nopid=1780867678</v>
      </c>
    </row>
    <row r="998">
      <c r="A998" t="s">
        <v>3</v>
      </c>
      <c r="B998" s="6" t="s">
        <v>7</v>
      </c>
      <c r="C998" s="6" t="s">
        <v>73</v>
      </c>
      <c r="D998" s="6" t="s">
        <v>138</v>
      </c>
      <c r="E998" s="10" t="s">
        <v>1196</v>
      </c>
      <c r="F998" s="6" t="s">
        <v>3440</v>
      </c>
      <c r="G998" s="6" t="s">
        <v>104</v>
      </c>
      <c r="H998" s="6" t="s">
        <v>5800</v>
      </c>
      <c r="I998" s="6" t="s">
        <v>7547</v>
      </c>
      <c r="J998" s="6" t="s">
        <v>8885</v>
      </c>
      <c r="K998" s="6" t="s">
        <v>9714</v>
      </c>
      <c r="L998" s="16" t="n">
        <v>39661</v>
      </c>
      <c r="M998" s="16" t="n">
        <v>45778</v>
      </c>
      <c r="N998" s="6" t="s">
        <v>9714</v>
      </c>
      <c r="O998" s="16" t="n">
        <v>39661</v>
      </c>
      <c r="P998" s="6" t="s">
        <v>9997</v>
      </c>
      <c r="Q998" s="6" t="s">
        <v>104</v>
      </c>
      <c r="R998" s="6" t="s">
        <v>5800</v>
      </c>
      <c r="S998" s="6" t="s">
        <v>104</v>
      </c>
      <c r="T998" s="21" t="s">
        <v>104</v>
      </c>
      <c r="U998" s="6" t="s">
        <v>104</v>
      </c>
      <c r="V998" s="6" t="s">
        <v>104</v>
      </c>
      <c r="W998" s="6" t="s">
        <v>104</v>
      </c>
      <c r="X998" s="6" t="s">
        <v>104</v>
      </c>
      <c r="Y998" s="21" t="s">
        <v>104</v>
      </c>
      <c r="Z998" s="6" t="s">
        <v>104</v>
      </c>
      <c r="AA998" s="6" t="s">
        <v>104</v>
      </c>
      <c r="AB998" s="6" t="s">
        <v>104</v>
      </c>
      <c r="AC998" s="6" t="s">
        <v>104</v>
      </c>
      <c r="AD998" s="21" t="s">
        <v>104</v>
      </c>
      <c r="AE998" s="6" t="s">
        <v>104</v>
      </c>
      <c r="AF998" s="6" t="s">
        <v>104</v>
      </c>
      <c r="AG998" s="6" t="s">
        <v>104</v>
      </c>
      <c r="AH998" s="6" t="s">
        <v>14063</v>
      </c>
      <c r="AI998" s="6" t="s">
        <v>104</v>
      </c>
      <c r="AJ998" s="6" t="s">
        <v>9381</v>
      </c>
      <c r="AK998" s="6" t="s">
        <v>16678</v>
      </c>
      <c r="AL998" s="6" t="s">
        <v>16931</v>
      </c>
      <c r="AM998" s="6" t="s">
        <v>17655</v>
      </c>
      <c r="AN998" s="6" t="s">
        <v>17550</v>
      </c>
      <c r="AO998" s="6" t="s">
        <v>18559</v>
      </c>
      <c r="AP998" s="6" t="s">
        <v>14063</v>
      </c>
      <c r="AQ998" s="6" t="s">
        <v>104</v>
      </c>
      <c r="AR998" s="6" t="s">
        <v>9381</v>
      </c>
      <c r="AS998" s="6" t="s">
        <v>16678</v>
      </c>
      <c r="AT998" s="6" t="s">
        <v>16931</v>
      </c>
      <c r="AU998" s="6" t="s">
        <v>17655</v>
      </c>
      <c r="AV998" s="6" t="s">
        <v>17550</v>
      </c>
      <c r="AW998" s="6" t="s">
        <v>18559</v>
      </c>
      <c r="AX998" s="6" t="s">
        <v>20897</v>
      </c>
      <c r="AY998" s="6" t="s">
        <v>22677</v>
      </c>
      <c r="AZ998" s="6" t="s">
        <v>104</v>
      </c>
      <c r="BA998" s="6" t="s">
        <v>104</v>
      </c>
      <c r="BB998" s="24" t="n">
        <v>2260</v>
      </c>
      <c r="BC998" s="26"/>
      <c r="BD998" s="26"/>
      <c r="BE998" s="26"/>
      <c r="BF998" s="26"/>
      <c r="BG998" s="26"/>
      <c r="BH998" s="26"/>
      <c r="BI998" s="26"/>
      <c r="BJ998" s="26"/>
      <c r="BK998" s="26"/>
      <c r="BL998" s="26"/>
      <c r="BM998" s="26"/>
      <c r="BN998" s="26"/>
      <c r="BO998" s="26"/>
      <c r="BP998" s="16" t="n">
        <v>45720</v>
      </c>
      <c r="BQ998" s="28" t="str">
        <f>HYPERLINK("https://organic.ams.usda.gov/Integrity/Certificate.aspx?cid=33&amp;nopid=2170026685")</f>
        <v>https://organic.ams.usda.gov/Integrity/Certificate.aspx?cid=33&amp;nopid=2170026685</v>
      </c>
    </row>
    <row r="999">
      <c r="A999" t="s">
        <v>3</v>
      </c>
      <c r="B999" s="6" t="s">
        <v>54</v>
      </c>
      <c r="C999" s="6" t="s">
        <v>120</v>
      </c>
      <c r="D999" s="6" t="s">
        <v>184</v>
      </c>
      <c r="E999" s="10" t="s">
        <v>1197</v>
      </c>
      <c r="F999" s="6" t="s">
        <v>3441</v>
      </c>
      <c r="G999" s="6" t="s">
        <v>104</v>
      </c>
      <c r="H999" s="6" t="s">
        <v>5801</v>
      </c>
      <c r="I999" s="6" t="s">
        <v>7548</v>
      </c>
      <c r="J999" s="6" t="s">
        <v>8886</v>
      </c>
      <c r="K999" s="6" t="s">
        <v>9714</v>
      </c>
      <c r="L999" s="16" t="n">
        <v>44777</v>
      </c>
      <c r="M999" s="16" t="n">
        <v>45809</v>
      </c>
      <c r="N999" s="6" t="s">
        <v>104</v>
      </c>
      <c r="O999" s="21" t="s">
        <v>104</v>
      </c>
      <c r="P999" s="6" t="s">
        <v>104</v>
      </c>
      <c r="Q999" s="6" t="s">
        <v>104</v>
      </c>
      <c r="R999" s="6" t="s">
        <v>104</v>
      </c>
      <c r="S999" s="6" t="s">
        <v>104</v>
      </c>
      <c r="T999" s="21" t="s">
        <v>104</v>
      </c>
      <c r="U999" s="6" t="s">
        <v>104</v>
      </c>
      <c r="V999" s="6" t="s">
        <v>104</v>
      </c>
      <c r="W999" s="6" t="s">
        <v>104</v>
      </c>
      <c r="X999" s="6" t="s">
        <v>104</v>
      </c>
      <c r="Y999" s="21" t="s">
        <v>104</v>
      </c>
      <c r="Z999" s="6" t="s">
        <v>104</v>
      </c>
      <c r="AA999" s="6" t="s">
        <v>104</v>
      </c>
      <c r="AB999" s="6" t="s">
        <v>104</v>
      </c>
      <c r="AC999" s="6" t="s">
        <v>9714</v>
      </c>
      <c r="AD999" s="16" t="n">
        <v>44777</v>
      </c>
      <c r="AE999" s="6" t="s">
        <v>11409</v>
      </c>
      <c r="AF999" s="6" t="s">
        <v>104</v>
      </c>
      <c r="AG999" s="6" t="s">
        <v>104</v>
      </c>
      <c r="AH999" s="6" t="s">
        <v>14064</v>
      </c>
      <c r="AI999" s="6" t="s">
        <v>104</v>
      </c>
      <c r="AJ999" s="6" t="s">
        <v>16020</v>
      </c>
      <c r="AK999" s="6" t="s">
        <v>16730</v>
      </c>
      <c r="AL999" s="6" t="s">
        <v>16931</v>
      </c>
      <c r="AM999" s="6" t="s">
        <v>17656</v>
      </c>
      <c r="AN999" s="6" t="s">
        <v>18463</v>
      </c>
      <c r="AO999" s="6" t="s">
        <v>18596</v>
      </c>
      <c r="AP999" s="6" t="s">
        <v>104</v>
      </c>
      <c r="AQ999" s="6" t="s">
        <v>104</v>
      </c>
      <c r="AR999" s="6" t="s">
        <v>104</v>
      </c>
      <c r="AS999" s="6" t="s">
        <v>104</v>
      </c>
      <c r="AT999" s="6" t="s">
        <v>104</v>
      </c>
      <c r="AU999" s="6" t="s">
        <v>104</v>
      </c>
      <c r="AV999" s="6" t="s">
        <v>104</v>
      </c>
      <c r="AW999" s="6" t="s">
        <v>104</v>
      </c>
      <c r="AX999" s="6" t="s">
        <v>20898</v>
      </c>
      <c r="AY999" s="6" t="s">
        <v>22678</v>
      </c>
      <c r="AZ999" s="6" t="s">
        <v>23943</v>
      </c>
      <c r="BA999" s="6" t="s">
        <v>104</v>
      </c>
      <c r="BB999" s="6" t="s">
        <v>104</v>
      </c>
      <c r="BC999" s="26" t="s">
        <v>24533</v>
      </c>
      <c r="BD999" s="26"/>
      <c r="BE999" s="26"/>
      <c r="BF999" s="26"/>
      <c r="BG999" s="26" t="s">
        <v>24533</v>
      </c>
      <c r="BH999" s="26" t="s">
        <v>24533</v>
      </c>
      <c r="BI999" s="26"/>
      <c r="BJ999" s="26"/>
      <c r="BK999" s="26"/>
      <c r="BL999" s="26"/>
      <c r="BM999" s="26"/>
      <c r="BN999" s="26"/>
      <c r="BO999" s="26"/>
      <c r="BP999" s="16" t="n">
        <v>45701</v>
      </c>
      <c r="BQ999" s="28" t="str">
        <f>HYPERLINK("https://organic.ams.usda.gov/Integrity/Certificate.aspx?cid=60&amp;nopid=2580005390")</f>
        <v>https://organic.ams.usda.gov/Integrity/Certificate.aspx?cid=60&amp;nopid=2580005390</v>
      </c>
    </row>
    <row r="1000">
      <c r="A1000" t="s">
        <v>3</v>
      </c>
      <c r="B1000" s="6" t="s">
        <v>34</v>
      </c>
      <c r="C1000" s="6" t="s">
        <v>100</v>
      </c>
      <c r="D1000" s="6" t="s">
        <v>165</v>
      </c>
      <c r="E1000" s="10" t="s">
        <v>1198</v>
      </c>
      <c r="F1000" s="6" t="s">
        <v>3442</v>
      </c>
      <c r="G1000" s="6" t="s">
        <v>104</v>
      </c>
      <c r="H1000" s="6" t="s">
        <v>5802</v>
      </c>
      <c r="I1000" s="6" t="s">
        <v>6933</v>
      </c>
      <c r="J1000" s="6" t="s">
        <v>8887</v>
      </c>
      <c r="K1000" s="6" t="s">
        <v>9714</v>
      </c>
      <c r="L1000" s="16" t="n">
        <v>42897</v>
      </c>
      <c r="M1000" s="16" t="n">
        <v>45722</v>
      </c>
      <c r="N1000" s="6" t="s">
        <v>104</v>
      </c>
      <c r="O1000" s="21" t="s">
        <v>104</v>
      </c>
      <c r="P1000" s="6" t="s">
        <v>104</v>
      </c>
      <c r="Q1000" s="6" t="s">
        <v>104</v>
      </c>
      <c r="R1000" s="6" t="s">
        <v>104</v>
      </c>
      <c r="S1000" s="6" t="s">
        <v>104</v>
      </c>
      <c r="T1000" s="21" t="s">
        <v>104</v>
      </c>
      <c r="U1000" s="6" t="s">
        <v>104</v>
      </c>
      <c r="V1000" s="6" t="s">
        <v>104</v>
      </c>
      <c r="W1000" s="6" t="s">
        <v>104</v>
      </c>
      <c r="X1000" s="6" t="s">
        <v>104</v>
      </c>
      <c r="Y1000" s="21" t="s">
        <v>104</v>
      </c>
      <c r="Z1000" s="6" t="s">
        <v>104</v>
      </c>
      <c r="AA1000" s="6" t="s">
        <v>104</v>
      </c>
      <c r="AB1000" s="6" t="s">
        <v>104</v>
      </c>
      <c r="AC1000" s="6" t="s">
        <v>9714</v>
      </c>
      <c r="AD1000" s="16" t="n">
        <v>42897</v>
      </c>
      <c r="AE1000" s="6" t="s">
        <v>11410</v>
      </c>
      <c r="AF1000" s="6" t="s">
        <v>104</v>
      </c>
      <c r="AG1000" s="6" t="s">
        <v>12808</v>
      </c>
      <c r="AH1000" s="6" t="s">
        <v>14065</v>
      </c>
      <c r="AI1000" s="6" t="s">
        <v>104</v>
      </c>
      <c r="AJ1000" s="6" t="s">
        <v>16021</v>
      </c>
      <c r="AK1000" s="6" t="s">
        <v>16687</v>
      </c>
      <c r="AL1000" s="6" t="s">
        <v>16931</v>
      </c>
      <c r="AM1000" s="6" t="s">
        <v>17657</v>
      </c>
      <c r="AN1000" s="6" t="s">
        <v>18469</v>
      </c>
      <c r="AO1000" s="6" t="s">
        <v>18677</v>
      </c>
      <c r="AP1000" s="6" t="s">
        <v>19201</v>
      </c>
      <c r="AQ1000" s="6" t="s">
        <v>104</v>
      </c>
      <c r="AR1000" s="6" t="s">
        <v>16021</v>
      </c>
      <c r="AS1000" s="6" t="s">
        <v>16687</v>
      </c>
      <c r="AT1000" s="6" t="s">
        <v>16931</v>
      </c>
      <c r="AU1000" s="6" t="s">
        <v>18060</v>
      </c>
      <c r="AV1000" s="6" t="s">
        <v>104</v>
      </c>
      <c r="AW1000" s="6" t="s">
        <v>104</v>
      </c>
      <c r="AX1000" s="6" t="s">
        <v>20899</v>
      </c>
      <c r="AY1000" s="6" t="s">
        <v>22679</v>
      </c>
      <c r="AZ1000" s="6" t="s">
        <v>104</v>
      </c>
      <c r="BA1000" s="6" t="s">
        <v>104</v>
      </c>
      <c r="BB1000" s="6" t="s">
        <v>104</v>
      </c>
      <c r="BC1000" s="26"/>
      <c r="BD1000" s="26"/>
      <c r="BE1000" s="26" t="s">
        <v>24533</v>
      </c>
      <c r="BF1000" s="26"/>
      <c r="BG1000" s="26"/>
      <c r="BH1000" s="26"/>
      <c r="BI1000" s="26"/>
      <c r="BJ1000" s="26"/>
      <c r="BK1000" s="26"/>
      <c r="BL1000" s="26"/>
      <c r="BM1000" s="26"/>
      <c r="BN1000" s="26"/>
      <c r="BO1000" s="26"/>
      <c r="BP1000" s="16" t="n">
        <v>45737</v>
      </c>
      <c r="BQ1000" s="28" t="str">
        <f>HYPERLINK("https://organic.ams.usda.gov/Integrity/Certificate.aspx?cid=71&amp;nopid=5520337359")</f>
        <v>https://organic.ams.usda.gov/Integrity/Certificate.aspx?cid=71&amp;nopid=5520337359</v>
      </c>
    </row>
    <row r="1001">
      <c r="A1001" t="s">
        <v>3</v>
      </c>
      <c r="B1001" s="6" t="s">
        <v>34</v>
      </c>
      <c r="C1001" s="6" t="s">
        <v>100</v>
      </c>
      <c r="D1001" s="6" t="s">
        <v>165</v>
      </c>
      <c r="E1001" s="10" t="s">
        <v>1199</v>
      </c>
      <c r="F1001" s="6" t="s">
        <v>3443</v>
      </c>
      <c r="G1001" s="6" t="s">
        <v>104</v>
      </c>
      <c r="H1001" s="6" t="s">
        <v>5803</v>
      </c>
      <c r="I1001" s="6" t="s">
        <v>7147</v>
      </c>
      <c r="J1001" s="6" t="s">
        <v>8888</v>
      </c>
      <c r="K1001" s="6" t="s">
        <v>9714</v>
      </c>
      <c r="L1001" s="16" t="n">
        <v>41339</v>
      </c>
      <c r="M1001" s="16" t="n">
        <v>45924</v>
      </c>
      <c r="N1001" s="6" t="s">
        <v>104</v>
      </c>
      <c r="O1001" s="21" t="s">
        <v>104</v>
      </c>
      <c r="P1001" s="6" t="s">
        <v>104</v>
      </c>
      <c r="Q1001" s="6" t="s">
        <v>104</v>
      </c>
      <c r="R1001" s="6" t="s">
        <v>104</v>
      </c>
      <c r="S1001" s="6" t="s">
        <v>104</v>
      </c>
      <c r="T1001" s="21" t="s">
        <v>104</v>
      </c>
      <c r="U1001" s="6" t="s">
        <v>104</v>
      </c>
      <c r="V1001" s="6" t="s">
        <v>104</v>
      </c>
      <c r="W1001" s="6" t="s">
        <v>104</v>
      </c>
      <c r="X1001" s="6" t="s">
        <v>104</v>
      </c>
      <c r="Y1001" s="21" t="s">
        <v>104</v>
      </c>
      <c r="Z1001" s="6" t="s">
        <v>104</v>
      </c>
      <c r="AA1001" s="6" t="s">
        <v>104</v>
      </c>
      <c r="AB1001" s="6" t="s">
        <v>104</v>
      </c>
      <c r="AC1001" s="6" t="s">
        <v>9714</v>
      </c>
      <c r="AD1001" s="16" t="n">
        <v>41339</v>
      </c>
      <c r="AE1001" s="6" t="s">
        <v>11411</v>
      </c>
      <c r="AF1001" s="6" t="s">
        <v>104</v>
      </c>
      <c r="AG1001" s="6" t="s">
        <v>12809</v>
      </c>
      <c r="AH1001" s="6" t="s">
        <v>14066</v>
      </c>
      <c r="AI1001" s="6" t="s">
        <v>104</v>
      </c>
      <c r="AJ1001" s="6" t="s">
        <v>16022</v>
      </c>
      <c r="AK1001" s="6" t="s">
        <v>16706</v>
      </c>
      <c r="AL1001" s="6" t="s">
        <v>16931</v>
      </c>
      <c r="AM1001" s="6" t="s">
        <v>17658</v>
      </c>
      <c r="AN1001" s="6" t="s">
        <v>18479</v>
      </c>
      <c r="AO1001" s="6" t="s">
        <v>18731</v>
      </c>
      <c r="AP1001" s="6" t="s">
        <v>14066</v>
      </c>
      <c r="AQ1001" s="6" t="s">
        <v>104</v>
      </c>
      <c r="AR1001" s="6" t="s">
        <v>16022</v>
      </c>
      <c r="AS1001" s="6" t="s">
        <v>16706</v>
      </c>
      <c r="AT1001" s="6" t="s">
        <v>16931</v>
      </c>
      <c r="AU1001" s="6" t="s">
        <v>17658</v>
      </c>
      <c r="AV1001" s="6" t="s">
        <v>104</v>
      </c>
      <c r="AW1001" s="6" t="s">
        <v>104</v>
      </c>
      <c r="AX1001" s="6" t="s">
        <v>20900</v>
      </c>
      <c r="AY1001" s="6" t="s">
        <v>104</v>
      </c>
      <c r="AZ1001" s="6" t="s">
        <v>104</v>
      </c>
      <c r="BA1001" s="6" t="s">
        <v>104</v>
      </c>
      <c r="BB1001" s="6" t="s">
        <v>104</v>
      </c>
      <c r="BC1001" s="26"/>
      <c r="BD1001" s="26"/>
      <c r="BE1001" s="26" t="s">
        <v>24533</v>
      </c>
      <c r="BF1001" s="26"/>
      <c r="BG1001" s="26"/>
      <c r="BH1001" s="26"/>
      <c r="BI1001" s="26"/>
      <c r="BJ1001" s="26"/>
      <c r="BK1001" s="26"/>
      <c r="BL1001" s="26"/>
      <c r="BM1001" s="26"/>
      <c r="BN1001" s="26"/>
      <c r="BO1001" s="26"/>
      <c r="BP1001" s="16" t="n">
        <v>45737</v>
      </c>
      <c r="BQ1001" s="28" t="str">
        <f>HYPERLINK("https://organic.ams.usda.gov/Integrity/Certificate.aspx?cid=71&amp;nopid=5520147367")</f>
        <v>https://organic.ams.usda.gov/Integrity/Certificate.aspx?cid=71&amp;nopid=5520147367</v>
      </c>
    </row>
    <row r="1002">
      <c r="A1002" t="s">
        <v>3</v>
      </c>
      <c r="B1002" s="6" t="s">
        <v>29</v>
      </c>
      <c r="C1002" s="6" t="s">
        <v>95</v>
      </c>
      <c r="D1002" s="6" t="s">
        <v>160</v>
      </c>
      <c r="E1002" s="10" t="s">
        <v>1200</v>
      </c>
      <c r="F1002" s="6" t="s">
        <v>3444</v>
      </c>
      <c r="G1002" s="6" t="s">
        <v>104</v>
      </c>
      <c r="H1002" s="6" t="s">
        <v>5804</v>
      </c>
      <c r="I1002" s="6" t="s">
        <v>104</v>
      </c>
      <c r="J1002" s="6" t="s">
        <v>8889</v>
      </c>
      <c r="K1002" s="6" t="s">
        <v>9714</v>
      </c>
      <c r="L1002" s="16" t="n">
        <v>45053</v>
      </c>
      <c r="M1002" s="16" t="n">
        <v>46054</v>
      </c>
      <c r="N1002" s="6" t="s">
        <v>104</v>
      </c>
      <c r="O1002" s="21" t="s">
        <v>104</v>
      </c>
      <c r="P1002" s="6" t="s">
        <v>104</v>
      </c>
      <c r="Q1002" s="6" t="s">
        <v>104</v>
      </c>
      <c r="R1002" s="6" t="s">
        <v>104</v>
      </c>
      <c r="S1002" s="6" t="s">
        <v>104</v>
      </c>
      <c r="T1002" s="21" t="s">
        <v>104</v>
      </c>
      <c r="U1002" s="6" t="s">
        <v>104</v>
      </c>
      <c r="V1002" s="6" t="s">
        <v>104</v>
      </c>
      <c r="W1002" s="6" t="s">
        <v>104</v>
      </c>
      <c r="X1002" s="6" t="s">
        <v>104</v>
      </c>
      <c r="Y1002" s="21" t="s">
        <v>104</v>
      </c>
      <c r="Z1002" s="6" t="s">
        <v>104</v>
      </c>
      <c r="AA1002" s="6" t="s">
        <v>104</v>
      </c>
      <c r="AB1002" s="6" t="s">
        <v>104</v>
      </c>
      <c r="AC1002" s="6" t="s">
        <v>9714</v>
      </c>
      <c r="AD1002" s="16" t="n">
        <v>45053</v>
      </c>
      <c r="AE1002" s="6" t="s">
        <v>11412</v>
      </c>
      <c r="AF1002" s="6" t="s">
        <v>104</v>
      </c>
      <c r="AG1002" s="6" t="s">
        <v>104</v>
      </c>
      <c r="AH1002" s="6" t="s">
        <v>14067</v>
      </c>
      <c r="AI1002" s="6" t="s">
        <v>15285</v>
      </c>
      <c r="AJ1002" s="6" t="s">
        <v>16023</v>
      </c>
      <c r="AK1002" s="6" t="s">
        <v>16837</v>
      </c>
      <c r="AL1002" s="6" t="s">
        <v>16952</v>
      </c>
      <c r="AM1002" s="6" t="s">
        <v>17659</v>
      </c>
      <c r="AN1002" s="6" t="s">
        <v>104</v>
      </c>
      <c r="AO1002" s="6" t="s">
        <v>104</v>
      </c>
      <c r="AP1002" s="6" t="s">
        <v>104</v>
      </c>
      <c r="AQ1002" s="6" t="s">
        <v>104</v>
      </c>
      <c r="AR1002" s="6" t="s">
        <v>104</v>
      </c>
      <c r="AS1002" s="6" t="s">
        <v>104</v>
      </c>
      <c r="AT1002" s="6" t="s">
        <v>104</v>
      </c>
      <c r="AU1002" s="6" t="s">
        <v>104</v>
      </c>
      <c r="AV1002" s="6" t="s">
        <v>104</v>
      </c>
      <c r="AW1002" s="6" t="s">
        <v>104</v>
      </c>
      <c r="AX1002" s="6" t="s">
        <v>20901</v>
      </c>
      <c r="AY1002" s="6" t="s">
        <v>22680</v>
      </c>
      <c r="AZ1002" s="6" t="s">
        <v>23944</v>
      </c>
      <c r="BA1002" s="6" t="s">
        <v>104</v>
      </c>
      <c r="BB1002" s="24" t="n">
        <v>0</v>
      </c>
      <c r="BC1002" s="26"/>
      <c r="BD1002" s="26"/>
      <c r="BE1002" s="26"/>
      <c r="BF1002" s="26"/>
      <c r="BG1002" s="26" t="s">
        <v>24533</v>
      </c>
      <c r="BH1002" s="26"/>
      <c r="BI1002" s="26"/>
      <c r="BJ1002" s="26"/>
      <c r="BK1002" s="26"/>
      <c r="BL1002" s="26"/>
      <c r="BM1002" s="26"/>
      <c r="BN1002" s="26"/>
      <c r="BO1002" s="26"/>
      <c r="BP1002" s="16" t="n">
        <v>45690</v>
      </c>
      <c r="BQ1002" s="28" t="str">
        <f>HYPERLINK("https://organic.ams.usda.gov/Integrity/Certificate.aspx?cid=24&amp;nopid=7880231202")</f>
        <v>https://organic.ams.usda.gov/Integrity/Certificate.aspx?cid=24&amp;nopid=7880231202</v>
      </c>
    </row>
    <row r="1003">
      <c r="A1003" t="s">
        <v>3</v>
      </c>
      <c r="B1003" s="6" t="s">
        <v>53</v>
      </c>
      <c r="C1003" s="6" t="s">
        <v>119</v>
      </c>
      <c r="D1003" s="6" t="s">
        <v>183</v>
      </c>
      <c r="E1003" s="10" t="s">
        <v>1201</v>
      </c>
      <c r="F1003" s="6" t="s">
        <v>3445</v>
      </c>
      <c r="G1003" s="6" t="s">
        <v>104</v>
      </c>
      <c r="H1003" s="6" t="s">
        <v>104</v>
      </c>
      <c r="I1003" s="6" t="s">
        <v>7097</v>
      </c>
      <c r="J1003" s="6" t="s">
        <v>8890</v>
      </c>
      <c r="K1003" s="6" t="s">
        <v>9714</v>
      </c>
      <c r="L1003" s="16" t="n">
        <v>44182</v>
      </c>
      <c r="M1003" s="16" t="n">
        <v>45643</v>
      </c>
      <c r="N1003" s="6" t="s">
        <v>104</v>
      </c>
      <c r="O1003" s="21" t="s">
        <v>104</v>
      </c>
      <c r="P1003" s="6" t="s">
        <v>104</v>
      </c>
      <c r="Q1003" s="6" t="s">
        <v>104</v>
      </c>
      <c r="R1003" s="6" t="s">
        <v>104</v>
      </c>
      <c r="S1003" s="6" t="s">
        <v>104</v>
      </c>
      <c r="T1003" s="21" t="s">
        <v>104</v>
      </c>
      <c r="U1003" s="6" t="s">
        <v>104</v>
      </c>
      <c r="V1003" s="6" t="s">
        <v>104</v>
      </c>
      <c r="W1003" s="6" t="s">
        <v>104</v>
      </c>
      <c r="X1003" s="6" t="s">
        <v>104</v>
      </c>
      <c r="Y1003" s="21" t="s">
        <v>104</v>
      </c>
      <c r="Z1003" s="6" t="s">
        <v>104</v>
      </c>
      <c r="AA1003" s="6" t="s">
        <v>104</v>
      </c>
      <c r="AB1003" s="6" t="s">
        <v>104</v>
      </c>
      <c r="AC1003" s="6" t="s">
        <v>9714</v>
      </c>
      <c r="AD1003" s="16" t="n">
        <v>44182</v>
      </c>
      <c r="AE1003" s="6" t="s">
        <v>11413</v>
      </c>
      <c r="AF1003" s="6" t="s">
        <v>12484</v>
      </c>
      <c r="AG1003" s="6" t="s">
        <v>104</v>
      </c>
      <c r="AH1003" s="6" t="s">
        <v>14068</v>
      </c>
      <c r="AI1003" s="6" t="s">
        <v>104</v>
      </c>
      <c r="AJ1003" s="6" t="s">
        <v>16024</v>
      </c>
      <c r="AK1003" s="6" t="s">
        <v>16710</v>
      </c>
      <c r="AL1003" s="6" t="s">
        <v>16931</v>
      </c>
      <c r="AM1003" s="6" t="s">
        <v>17660</v>
      </c>
      <c r="AN1003" s="6" t="s">
        <v>18468</v>
      </c>
      <c r="AO1003" s="6" t="s">
        <v>18575</v>
      </c>
      <c r="AP1003" s="6" t="s">
        <v>104</v>
      </c>
      <c r="AQ1003" s="6" t="s">
        <v>104</v>
      </c>
      <c r="AR1003" s="6" t="s">
        <v>104</v>
      </c>
      <c r="AS1003" s="6" t="s">
        <v>104</v>
      </c>
      <c r="AT1003" s="6" t="s">
        <v>104</v>
      </c>
      <c r="AU1003" s="6" t="s">
        <v>104</v>
      </c>
      <c r="AV1003" s="6" t="s">
        <v>104</v>
      </c>
      <c r="AW1003" s="6" t="s">
        <v>104</v>
      </c>
      <c r="AX1003" s="6" t="s">
        <v>104</v>
      </c>
      <c r="AY1003" s="6" t="s">
        <v>22681</v>
      </c>
      <c r="AZ1003" s="6" t="s">
        <v>23945</v>
      </c>
      <c r="BA1003" s="6" t="s">
        <v>104</v>
      </c>
      <c r="BB1003" s="6" t="s">
        <v>104</v>
      </c>
      <c r="BC1003" s="26"/>
      <c r="BD1003" s="26"/>
      <c r="BE1003" s="26"/>
      <c r="BF1003" s="26"/>
      <c r="BG1003" s="26"/>
      <c r="BH1003" s="26"/>
      <c r="BI1003" s="26"/>
      <c r="BJ1003" s="26"/>
      <c r="BK1003" s="26"/>
      <c r="BL1003" s="26"/>
      <c r="BM1003" s="26"/>
      <c r="BN1003" s="26"/>
      <c r="BO1003" s="26"/>
      <c r="BP1003" s="16" t="n">
        <v>45727</v>
      </c>
      <c r="BQ1003" s="28" t="str">
        <f>HYPERLINK("https://organic.ams.usda.gov/Integrity/Certificate.aspx?cid=74&amp;nopid=5350000154")</f>
        <v>https://organic.ams.usda.gov/Integrity/Certificate.aspx?cid=74&amp;nopid=5350000154</v>
      </c>
    </row>
    <row r="1004">
      <c r="A1004" t="s">
        <v>3</v>
      </c>
      <c r="B1004" s="6" t="s">
        <v>48</v>
      </c>
      <c r="C1004" s="6" t="s">
        <v>114</v>
      </c>
      <c r="D1004" s="6" t="s">
        <v>178</v>
      </c>
      <c r="E1004" s="10" t="s">
        <v>1202</v>
      </c>
      <c r="F1004" s="6" t="s">
        <v>3446</v>
      </c>
      <c r="G1004" s="6" t="s">
        <v>104</v>
      </c>
      <c r="H1004" s="6" t="s">
        <v>5805</v>
      </c>
      <c r="I1004" s="6" t="s">
        <v>7549</v>
      </c>
      <c r="J1004" s="6" t="s">
        <v>8891</v>
      </c>
      <c r="K1004" s="6" t="s">
        <v>9714</v>
      </c>
      <c r="L1004" s="16" t="n">
        <v>42275</v>
      </c>
      <c r="M1004" s="16" t="n">
        <v>45930</v>
      </c>
      <c r="N1004" s="6" t="s">
        <v>104</v>
      </c>
      <c r="O1004" s="21" t="s">
        <v>104</v>
      </c>
      <c r="P1004" s="6" t="s">
        <v>104</v>
      </c>
      <c r="Q1004" s="6" t="s">
        <v>104</v>
      </c>
      <c r="R1004" s="6" t="s">
        <v>104</v>
      </c>
      <c r="S1004" s="6" t="s">
        <v>104</v>
      </c>
      <c r="T1004" s="21" t="s">
        <v>104</v>
      </c>
      <c r="U1004" s="6" t="s">
        <v>104</v>
      </c>
      <c r="V1004" s="6" t="s">
        <v>104</v>
      </c>
      <c r="W1004" s="6" t="s">
        <v>104</v>
      </c>
      <c r="X1004" s="6" t="s">
        <v>104</v>
      </c>
      <c r="Y1004" s="21" t="s">
        <v>104</v>
      </c>
      <c r="Z1004" s="6" t="s">
        <v>104</v>
      </c>
      <c r="AA1004" s="6" t="s">
        <v>104</v>
      </c>
      <c r="AB1004" s="6" t="s">
        <v>104</v>
      </c>
      <c r="AC1004" s="6" t="s">
        <v>9714</v>
      </c>
      <c r="AD1004" s="16" t="n">
        <v>42275</v>
      </c>
      <c r="AE1004" s="6" t="s">
        <v>11414</v>
      </c>
      <c r="AF1004" s="6" t="s">
        <v>104</v>
      </c>
      <c r="AG1004" s="6" t="s">
        <v>104</v>
      </c>
      <c r="AH1004" s="6" t="s">
        <v>14069</v>
      </c>
      <c r="AI1004" s="6" t="s">
        <v>104</v>
      </c>
      <c r="AJ1004" s="6" t="s">
        <v>16025</v>
      </c>
      <c r="AK1004" s="6" t="s">
        <v>104</v>
      </c>
      <c r="AL1004" s="6" t="s">
        <v>16933</v>
      </c>
      <c r="AM1004" s="6" t="s">
        <v>17661</v>
      </c>
      <c r="AN1004" s="6" t="s">
        <v>104</v>
      </c>
      <c r="AO1004" s="6" t="s">
        <v>104</v>
      </c>
      <c r="AP1004" s="6" t="s">
        <v>14069</v>
      </c>
      <c r="AQ1004" s="6" t="s">
        <v>104</v>
      </c>
      <c r="AR1004" s="6" t="s">
        <v>16025</v>
      </c>
      <c r="AS1004" s="6" t="s">
        <v>104</v>
      </c>
      <c r="AT1004" s="6" t="s">
        <v>16933</v>
      </c>
      <c r="AU1004" s="6" t="s">
        <v>17661</v>
      </c>
      <c r="AV1004" s="6" t="s">
        <v>104</v>
      </c>
      <c r="AW1004" s="6" t="s">
        <v>104</v>
      </c>
      <c r="AX1004" s="6" t="s">
        <v>20902</v>
      </c>
      <c r="AY1004" s="6" t="s">
        <v>22682</v>
      </c>
      <c r="AZ1004" s="6" t="s">
        <v>23946</v>
      </c>
      <c r="BA1004" s="6" t="s">
        <v>104</v>
      </c>
      <c r="BB1004" s="6" t="s">
        <v>104</v>
      </c>
      <c r="BC1004" s="26"/>
      <c r="BD1004" s="26"/>
      <c r="BE1004" s="26"/>
      <c r="BF1004" s="26"/>
      <c r="BG1004" s="26"/>
      <c r="BH1004" s="26"/>
      <c r="BI1004" s="26"/>
      <c r="BJ1004" s="26"/>
      <c r="BK1004" s="26"/>
      <c r="BL1004" s="26"/>
      <c r="BM1004" s="26"/>
      <c r="BN1004" s="26"/>
      <c r="BO1004" s="26"/>
      <c r="BP1004" s="16" t="n">
        <v>45669</v>
      </c>
      <c r="BQ1004" s="28" t="str">
        <f>HYPERLINK("https://organic.ams.usda.gov/Integrity/Certificate.aspx?cid=9&amp;nopid=1202452000")</f>
        <v>https://organic.ams.usda.gov/Integrity/Certificate.aspx?cid=9&amp;nopid=1202452000</v>
      </c>
    </row>
    <row r="1005">
      <c r="A1005" t="s">
        <v>3</v>
      </c>
      <c r="B1005" s="6" t="s">
        <v>20</v>
      </c>
      <c r="C1005" s="6" t="s">
        <v>86</v>
      </c>
      <c r="D1005" s="6" t="s">
        <v>151</v>
      </c>
      <c r="E1005" s="10" t="s">
        <v>1203</v>
      </c>
      <c r="F1005" s="6" t="s">
        <v>3447</v>
      </c>
      <c r="G1005" s="6" t="s">
        <v>104</v>
      </c>
      <c r="H1005" s="6" t="s">
        <v>5806</v>
      </c>
      <c r="I1005" s="6" t="s">
        <v>7550</v>
      </c>
      <c r="J1005" s="6" t="s">
        <v>8892</v>
      </c>
      <c r="K1005" s="6" t="s">
        <v>9714</v>
      </c>
      <c r="L1005" s="16" t="n">
        <v>45405</v>
      </c>
      <c r="M1005" s="16" t="n">
        <v>45777</v>
      </c>
      <c r="N1005" s="6" t="s">
        <v>104</v>
      </c>
      <c r="O1005" s="21" t="s">
        <v>104</v>
      </c>
      <c r="P1005" s="6" t="s">
        <v>104</v>
      </c>
      <c r="Q1005" s="6" t="s">
        <v>104</v>
      </c>
      <c r="R1005" s="6" t="s">
        <v>104</v>
      </c>
      <c r="S1005" s="6" t="s">
        <v>104</v>
      </c>
      <c r="T1005" s="21" t="s">
        <v>104</v>
      </c>
      <c r="U1005" s="6" t="s">
        <v>104</v>
      </c>
      <c r="V1005" s="6" t="s">
        <v>104</v>
      </c>
      <c r="W1005" s="6" t="s">
        <v>104</v>
      </c>
      <c r="X1005" s="6" t="s">
        <v>104</v>
      </c>
      <c r="Y1005" s="21" t="s">
        <v>104</v>
      </c>
      <c r="Z1005" s="6" t="s">
        <v>104</v>
      </c>
      <c r="AA1005" s="6" t="s">
        <v>104</v>
      </c>
      <c r="AB1005" s="6" t="s">
        <v>104</v>
      </c>
      <c r="AC1005" s="6" t="s">
        <v>9714</v>
      </c>
      <c r="AD1005" s="16" t="n">
        <v>45405</v>
      </c>
      <c r="AE1005" s="6" t="s">
        <v>11415</v>
      </c>
      <c r="AF1005" s="6" t="s">
        <v>104</v>
      </c>
      <c r="AG1005" s="6" t="s">
        <v>12810</v>
      </c>
      <c r="AH1005" s="6" t="s">
        <v>14070</v>
      </c>
      <c r="AI1005" s="6" t="s">
        <v>104</v>
      </c>
      <c r="AJ1005" s="6" t="s">
        <v>16026</v>
      </c>
      <c r="AK1005" s="6" t="s">
        <v>16838</v>
      </c>
      <c r="AL1005" s="6" t="s">
        <v>16963</v>
      </c>
      <c r="AM1005" s="6" t="s">
        <v>17662</v>
      </c>
      <c r="AN1005" s="6" t="s">
        <v>104</v>
      </c>
      <c r="AO1005" s="6" t="s">
        <v>104</v>
      </c>
      <c r="AP1005" s="6" t="s">
        <v>104</v>
      </c>
      <c r="AQ1005" s="6" t="s">
        <v>104</v>
      </c>
      <c r="AR1005" s="6" t="s">
        <v>104</v>
      </c>
      <c r="AS1005" s="6" t="s">
        <v>104</v>
      </c>
      <c r="AT1005" s="6" t="s">
        <v>104</v>
      </c>
      <c r="AU1005" s="6" t="s">
        <v>104</v>
      </c>
      <c r="AV1005" s="6" t="s">
        <v>104</v>
      </c>
      <c r="AW1005" s="6" t="s">
        <v>104</v>
      </c>
      <c r="AX1005" s="6" t="s">
        <v>20903</v>
      </c>
      <c r="AY1005" s="6" t="s">
        <v>22683</v>
      </c>
      <c r="AZ1005" s="6" t="s">
        <v>104</v>
      </c>
      <c r="BA1005" s="6" t="s">
        <v>104</v>
      </c>
      <c r="BB1005" s="6" t="s">
        <v>104</v>
      </c>
      <c r="BC1005" s="26"/>
      <c r="BD1005" s="26"/>
      <c r="BE1005" s="26"/>
      <c r="BF1005" s="26"/>
      <c r="BG1005" s="26"/>
      <c r="BH1005" s="26"/>
      <c r="BI1005" s="26"/>
      <c r="BJ1005" s="26"/>
      <c r="BK1005" s="26"/>
      <c r="BL1005" s="26"/>
      <c r="BM1005" s="26"/>
      <c r="BN1005" s="26"/>
      <c r="BO1005" s="26"/>
      <c r="BP1005" s="16" t="n">
        <v>45407</v>
      </c>
      <c r="BQ1005" s="28" t="str">
        <f>HYPERLINK("https://organic.ams.usda.gov/Integrity/Certificate.aspx?cid=17&amp;nopid=4080205381")</f>
        <v>https://organic.ams.usda.gov/Integrity/Certificate.aspx?cid=17&amp;nopid=4080205381</v>
      </c>
    </row>
    <row r="1006">
      <c r="A1006" t="s">
        <v>3</v>
      </c>
      <c r="B1006" s="6" t="s">
        <v>41</v>
      </c>
      <c r="C1006" s="6" t="s">
        <v>107</v>
      </c>
      <c r="D1006" s="6" t="s">
        <v>171</v>
      </c>
      <c r="E1006" s="10" t="s">
        <v>1204</v>
      </c>
      <c r="F1006" s="6" t="s">
        <v>3448</v>
      </c>
      <c r="G1006" s="6" t="s">
        <v>4766</v>
      </c>
      <c r="H1006" s="6" t="s">
        <v>5807</v>
      </c>
      <c r="I1006" s="6" t="s">
        <v>6991</v>
      </c>
      <c r="J1006" s="6" t="s">
        <v>8893</v>
      </c>
      <c r="K1006" s="6" t="s">
        <v>9714</v>
      </c>
      <c r="L1006" s="16" t="n">
        <v>40925</v>
      </c>
      <c r="M1006" s="16" t="n">
        <v>45901</v>
      </c>
      <c r="N1006" s="6" t="s">
        <v>104</v>
      </c>
      <c r="O1006" s="21" t="s">
        <v>104</v>
      </c>
      <c r="P1006" s="6" t="s">
        <v>104</v>
      </c>
      <c r="Q1006" s="6" t="s">
        <v>104</v>
      </c>
      <c r="R1006" s="6" t="s">
        <v>104</v>
      </c>
      <c r="S1006" s="6" t="s">
        <v>104</v>
      </c>
      <c r="T1006" s="21" t="s">
        <v>104</v>
      </c>
      <c r="U1006" s="6" t="s">
        <v>104</v>
      </c>
      <c r="V1006" s="6" t="s">
        <v>104</v>
      </c>
      <c r="W1006" s="6" t="s">
        <v>104</v>
      </c>
      <c r="X1006" s="6" t="s">
        <v>104</v>
      </c>
      <c r="Y1006" s="21" t="s">
        <v>104</v>
      </c>
      <c r="Z1006" s="6" t="s">
        <v>104</v>
      </c>
      <c r="AA1006" s="6" t="s">
        <v>104</v>
      </c>
      <c r="AB1006" s="6" t="s">
        <v>104</v>
      </c>
      <c r="AC1006" s="6" t="s">
        <v>9714</v>
      </c>
      <c r="AD1006" s="16" t="n">
        <v>40925</v>
      </c>
      <c r="AE1006" s="6" t="s">
        <v>11416</v>
      </c>
      <c r="AF1006" s="6" t="s">
        <v>104</v>
      </c>
      <c r="AG1006" s="6" t="s">
        <v>104</v>
      </c>
      <c r="AH1006" s="6" t="s">
        <v>14071</v>
      </c>
      <c r="AI1006" s="6" t="s">
        <v>104</v>
      </c>
      <c r="AJ1006" s="6" t="s">
        <v>16027</v>
      </c>
      <c r="AK1006" s="6" t="s">
        <v>16706</v>
      </c>
      <c r="AL1006" s="6" t="s">
        <v>16931</v>
      </c>
      <c r="AM1006" s="6" t="s">
        <v>17663</v>
      </c>
      <c r="AN1006" s="6" t="s">
        <v>18508</v>
      </c>
      <c r="AO1006" s="6" t="s">
        <v>18775</v>
      </c>
      <c r="AP1006" s="6" t="s">
        <v>14071</v>
      </c>
      <c r="AQ1006" s="6" t="s">
        <v>104</v>
      </c>
      <c r="AR1006" s="6" t="s">
        <v>16027</v>
      </c>
      <c r="AS1006" s="6" t="s">
        <v>16706</v>
      </c>
      <c r="AT1006" s="6" t="s">
        <v>16931</v>
      </c>
      <c r="AU1006" s="6" t="s">
        <v>17663</v>
      </c>
      <c r="AV1006" s="6" t="s">
        <v>104</v>
      </c>
      <c r="AW1006" s="6" t="s">
        <v>104</v>
      </c>
      <c r="AX1006" s="6" t="s">
        <v>20904</v>
      </c>
      <c r="AY1006" s="6" t="s">
        <v>22684</v>
      </c>
      <c r="AZ1006" s="6" t="s">
        <v>104</v>
      </c>
      <c r="BA1006" s="6" t="s">
        <v>104</v>
      </c>
      <c r="BB1006" s="6" t="s">
        <v>104</v>
      </c>
      <c r="BC1006" s="26"/>
      <c r="BD1006" s="26"/>
      <c r="BE1006" s="26"/>
      <c r="BF1006" s="26"/>
      <c r="BG1006" s="26"/>
      <c r="BH1006" s="26"/>
      <c r="BI1006" s="26"/>
      <c r="BJ1006" s="26"/>
      <c r="BK1006" s="26"/>
      <c r="BL1006" s="26"/>
      <c r="BM1006" s="26"/>
      <c r="BN1006" s="26"/>
      <c r="BO1006" s="26"/>
      <c r="BP1006" s="16" t="n">
        <v>45737</v>
      </c>
      <c r="BQ1006" s="28" t="str">
        <f>HYPERLINK("https://organic.ams.usda.gov/Integrity/Certificate.aspx?cid=58&amp;nopid=1600001944")</f>
        <v>https://organic.ams.usda.gov/Integrity/Certificate.aspx?cid=58&amp;nopid=1600001944</v>
      </c>
    </row>
    <row r="1007">
      <c r="A1007" t="s">
        <v>3</v>
      </c>
      <c r="B1007" s="6" t="s">
        <v>20</v>
      </c>
      <c r="C1007" s="6" t="s">
        <v>86</v>
      </c>
      <c r="D1007" s="6" t="s">
        <v>151</v>
      </c>
      <c r="E1007" s="10" t="s">
        <v>1205</v>
      </c>
      <c r="F1007" s="6" t="s">
        <v>3449</v>
      </c>
      <c r="G1007" s="6" t="s">
        <v>104</v>
      </c>
      <c r="H1007" s="6" t="s">
        <v>5808</v>
      </c>
      <c r="I1007" s="6" t="s">
        <v>7551</v>
      </c>
      <c r="J1007" s="6" t="s">
        <v>8894</v>
      </c>
      <c r="K1007" s="6" t="s">
        <v>9714</v>
      </c>
      <c r="L1007" s="16" t="n">
        <v>43150</v>
      </c>
      <c r="M1007" s="16" t="n">
        <v>45747</v>
      </c>
      <c r="N1007" s="6" t="s">
        <v>9714</v>
      </c>
      <c r="O1007" s="16" t="n">
        <v>43150</v>
      </c>
      <c r="P1007" s="6" t="s">
        <v>9998</v>
      </c>
      <c r="Q1007" s="6" t="s">
        <v>104</v>
      </c>
      <c r="R1007" s="6" t="s">
        <v>10364</v>
      </c>
      <c r="S1007" s="6" t="s">
        <v>104</v>
      </c>
      <c r="T1007" s="21" t="s">
        <v>104</v>
      </c>
      <c r="U1007" s="6" t="s">
        <v>104</v>
      </c>
      <c r="V1007" s="6" t="s">
        <v>104</v>
      </c>
      <c r="W1007" s="6" t="s">
        <v>104</v>
      </c>
      <c r="X1007" s="6" t="s">
        <v>104</v>
      </c>
      <c r="Y1007" s="21" t="s">
        <v>104</v>
      </c>
      <c r="Z1007" s="6" t="s">
        <v>104</v>
      </c>
      <c r="AA1007" s="6" t="s">
        <v>104</v>
      </c>
      <c r="AB1007" s="6" t="s">
        <v>104</v>
      </c>
      <c r="AC1007" s="6" t="s">
        <v>9714</v>
      </c>
      <c r="AD1007" s="16" t="n">
        <v>43150</v>
      </c>
      <c r="AE1007" s="6" t="s">
        <v>11417</v>
      </c>
      <c r="AF1007" s="6" t="s">
        <v>104</v>
      </c>
      <c r="AG1007" s="6" t="s">
        <v>10364</v>
      </c>
      <c r="AH1007" s="6" t="s">
        <v>14072</v>
      </c>
      <c r="AI1007" s="6" t="s">
        <v>104</v>
      </c>
      <c r="AJ1007" s="6" t="s">
        <v>16028</v>
      </c>
      <c r="AK1007" s="6" t="s">
        <v>16839</v>
      </c>
      <c r="AL1007" s="6" t="s">
        <v>16972</v>
      </c>
      <c r="AM1007" s="6" t="s">
        <v>17664</v>
      </c>
      <c r="AN1007" s="6" t="s">
        <v>104</v>
      </c>
      <c r="AO1007" s="6" t="s">
        <v>104</v>
      </c>
      <c r="AP1007" s="6" t="s">
        <v>104</v>
      </c>
      <c r="AQ1007" s="6" t="s">
        <v>104</v>
      </c>
      <c r="AR1007" s="6" t="s">
        <v>104</v>
      </c>
      <c r="AS1007" s="6" t="s">
        <v>104</v>
      </c>
      <c r="AT1007" s="6" t="s">
        <v>104</v>
      </c>
      <c r="AU1007" s="6" t="s">
        <v>104</v>
      </c>
      <c r="AV1007" s="6" t="s">
        <v>104</v>
      </c>
      <c r="AW1007" s="6" t="s">
        <v>104</v>
      </c>
      <c r="AX1007" s="6" t="s">
        <v>20905</v>
      </c>
      <c r="AY1007" s="6" t="s">
        <v>22685</v>
      </c>
      <c r="AZ1007" s="6" t="s">
        <v>23947</v>
      </c>
      <c r="BA1007" s="6" t="s">
        <v>24398</v>
      </c>
      <c r="BB1007" s="24" t="n">
        <v>8527</v>
      </c>
      <c r="BC1007" s="26"/>
      <c r="BD1007" s="26"/>
      <c r="BE1007" s="26"/>
      <c r="BF1007" s="26"/>
      <c r="BG1007" s="26"/>
      <c r="BH1007" s="26"/>
      <c r="BI1007" s="26"/>
      <c r="BJ1007" s="26"/>
      <c r="BK1007" s="26"/>
      <c r="BL1007" s="26"/>
      <c r="BM1007" s="26"/>
      <c r="BN1007" s="26"/>
      <c r="BO1007" s="26" t="s">
        <v>24533</v>
      </c>
      <c r="BP1007" s="16" t="n">
        <v>45680</v>
      </c>
      <c r="BQ1007" s="28" t="str">
        <f>HYPERLINK("https://organic.ams.usda.gov/Integrity/Certificate.aspx?cid=17&amp;nopid=4087185129")</f>
        <v>https://organic.ams.usda.gov/Integrity/Certificate.aspx?cid=17&amp;nopid=4087185129</v>
      </c>
    </row>
    <row r="1008">
      <c r="A1008" t="s">
        <v>3</v>
      </c>
      <c r="B1008" s="6" t="s">
        <v>11</v>
      </c>
      <c r="C1008" s="6" t="s">
        <v>77</v>
      </c>
      <c r="D1008" s="6" t="s">
        <v>142</v>
      </c>
      <c r="E1008" s="10" t="s">
        <v>1206</v>
      </c>
      <c r="F1008" s="6" t="s">
        <v>3450</v>
      </c>
      <c r="G1008" s="6" t="s">
        <v>104</v>
      </c>
      <c r="H1008" s="6" t="s">
        <v>5809</v>
      </c>
      <c r="I1008" s="6" t="s">
        <v>7552</v>
      </c>
      <c r="J1008" s="6" t="s">
        <v>8895</v>
      </c>
      <c r="K1008" s="6" t="s">
        <v>9714</v>
      </c>
      <c r="L1008" s="16" t="n">
        <v>44764</v>
      </c>
      <c r="M1008" s="16" t="n">
        <v>45914</v>
      </c>
      <c r="N1008" s="6" t="s">
        <v>104</v>
      </c>
      <c r="O1008" s="21" t="s">
        <v>104</v>
      </c>
      <c r="P1008" s="6" t="s">
        <v>104</v>
      </c>
      <c r="Q1008" s="6" t="s">
        <v>104</v>
      </c>
      <c r="R1008" s="6" t="s">
        <v>104</v>
      </c>
      <c r="S1008" s="6" t="s">
        <v>104</v>
      </c>
      <c r="T1008" s="21" t="s">
        <v>104</v>
      </c>
      <c r="U1008" s="6" t="s">
        <v>104</v>
      </c>
      <c r="V1008" s="6" t="s">
        <v>104</v>
      </c>
      <c r="W1008" s="6" t="s">
        <v>104</v>
      </c>
      <c r="X1008" s="6" t="s">
        <v>104</v>
      </c>
      <c r="Y1008" s="21" t="s">
        <v>104</v>
      </c>
      <c r="Z1008" s="6" t="s">
        <v>104</v>
      </c>
      <c r="AA1008" s="6" t="s">
        <v>104</v>
      </c>
      <c r="AB1008" s="6" t="s">
        <v>104</v>
      </c>
      <c r="AC1008" s="6" t="s">
        <v>9714</v>
      </c>
      <c r="AD1008" s="16" t="n">
        <v>45642</v>
      </c>
      <c r="AE1008" s="6" t="s">
        <v>11418</v>
      </c>
      <c r="AF1008" s="6" t="s">
        <v>104</v>
      </c>
      <c r="AG1008" s="6" t="s">
        <v>104</v>
      </c>
      <c r="AH1008" s="6" t="s">
        <v>14073</v>
      </c>
      <c r="AI1008" s="6" t="s">
        <v>104</v>
      </c>
      <c r="AJ1008" s="6" t="s">
        <v>16029</v>
      </c>
      <c r="AK1008" s="6" t="s">
        <v>16840</v>
      </c>
      <c r="AL1008" s="6" t="s">
        <v>16963</v>
      </c>
      <c r="AM1008" s="6" t="s">
        <v>104</v>
      </c>
      <c r="AN1008" s="6" t="s">
        <v>104</v>
      </c>
      <c r="AO1008" s="6" t="s">
        <v>104</v>
      </c>
      <c r="AP1008" s="6" t="s">
        <v>14073</v>
      </c>
      <c r="AQ1008" s="6" t="s">
        <v>104</v>
      </c>
      <c r="AR1008" s="6" t="s">
        <v>16029</v>
      </c>
      <c r="AS1008" s="6" t="s">
        <v>16840</v>
      </c>
      <c r="AT1008" s="6" t="s">
        <v>16963</v>
      </c>
      <c r="AU1008" s="6" t="s">
        <v>104</v>
      </c>
      <c r="AV1008" s="6" t="s">
        <v>104</v>
      </c>
      <c r="AW1008" s="6" t="s">
        <v>104</v>
      </c>
      <c r="AX1008" s="6" t="s">
        <v>20906</v>
      </c>
      <c r="AY1008" s="6" t="s">
        <v>22686</v>
      </c>
      <c r="AZ1008" s="6" t="s">
        <v>104</v>
      </c>
      <c r="BA1008" s="6" t="s">
        <v>104</v>
      </c>
      <c r="BB1008" s="24" t="n">
        <v>0</v>
      </c>
      <c r="BC1008" s="26"/>
      <c r="BD1008" s="26"/>
      <c r="BE1008" s="26"/>
      <c r="BF1008" s="26"/>
      <c r="BG1008" s="26"/>
      <c r="BH1008" s="26"/>
      <c r="BI1008" s="26"/>
      <c r="BJ1008" s="26"/>
      <c r="BK1008" s="26"/>
      <c r="BL1008" s="26"/>
      <c r="BM1008" s="26"/>
      <c r="BN1008" s="26"/>
      <c r="BO1008" s="26"/>
      <c r="BP1008" s="16" t="n">
        <v>45642</v>
      </c>
      <c r="BQ1008" s="28" t="str">
        <f>HYPERLINK("https://organic.ams.usda.gov/Integrity/Certificate.aspx?cid=21&amp;nopid=1780857720")</f>
        <v>https://organic.ams.usda.gov/Integrity/Certificate.aspx?cid=21&amp;nopid=1780857720</v>
      </c>
    </row>
    <row r="1009">
      <c r="A1009" t="s">
        <v>3</v>
      </c>
      <c r="B1009" s="6" t="s">
        <v>34</v>
      </c>
      <c r="C1009" s="6" t="s">
        <v>100</v>
      </c>
      <c r="D1009" s="6" t="s">
        <v>165</v>
      </c>
      <c r="E1009" s="10" t="s">
        <v>1207</v>
      </c>
      <c r="F1009" s="6" t="s">
        <v>3451</v>
      </c>
      <c r="G1009" s="6" t="s">
        <v>104</v>
      </c>
      <c r="H1009" s="6" t="s">
        <v>5810</v>
      </c>
      <c r="I1009" s="6" t="s">
        <v>7553</v>
      </c>
      <c r="J1009" s="6" t="s">
        <v>8896</v>
      </c>
      <c r="K1009" s="6" t="s">
        <v>9714</v>
      </c>
      <c r="L1009" s="16" t="n">
        <v>40618</v>
      </c>
      <c r="M1009" s="16" t="n">
        <v>45736</v>
      </c>
      <c r="N1009" s="6" t="s">
        <v>104</v>
      </c>
      <c r="O1009" s="21" t="s">
        <v>104</v>
      </c>
      <c r="P1009" s="6" t="s">
        <v>104</v>
      </c>
      <c r="Q1009" s="6" t="s">
        <v>104</v>
      </c>
      <c r="R1009" s="6" t="s">
        <v>104</v>
      </c>
      <c r="S1009" s="6" t="s">
        <v>104</v>
      </c>
      <c r="T1009" s="21" t="s">
        <v>104</v>
      </c>
      <c r="U1009" s="6" t="s">
        <v>104</v>
      </c>
      <c r="V1009" s="6" t="s">
        <v>104</v>
      </c>
      <c r="W1009" s="6" t="s">
        <v>104</v>
      </c>
      <c r="X1009" s="6" t="s">
        <v>104</v>
      </c>
      <c r="Y1009" s="21" t="s">
        <v>104</v>
      </c>
      <c r="Z1009" s="6" t="s">
        <v>104</v>
      </c>
      <c r="AA1009" s="6" t="s">
        <v>104</v>
      </c>
      <c r="AB1009" s="6" t="s">
        <v>104</v>
      </c>
      <c r="AC1009" s="6" t="s">
        <v>9714</v>
      </c>
      <c r="AD1009" s="16" t="n">
        <v>40618</v>
      </c>
      <c r="AE1009" s="6" t="s">
        <v>11419</v>
      </c>
      <c r="AF1009" s="6" t="s">
        <v>104</v>
      </c>
      <c r="AG1009" s="6" t="s">
        <v>12811</v>
      </c>
      <c r="AH1009" s="6" t="s">
        <v>14074</v>
      </c>
      <c r="AI1009" s="6" t="s">
        <v>104</v>
      </c>
      <c r="AJ1009" s="6" t="s">
        <v>16030</v>
      </c>
      <c r="AK1009" s="6" t="s">
        <v>16759</v>
      </c>
      <c r="AL1009" s="6" t="s">
        <v>16931</v>
      </c>
      <c r="AM1009" s="6" t="s">
        <v>17665</v>
      </c>
      <c r="AN1009" s="6" t="s">
        <v>18486</v>
      </c>
      <c r="AO1009" s="6" t="s">
        <v>18776</v>
      </c>
      <c r="AP1009" s="6" t="s">
        <v>14074</v>
      </c>
      <c r="AQ1009" s="6" t="s">
        <v>104</v>
      </c>
      <c r="AR1009" s="6" t="s">
        <v>16030</v>
      </c>
      <c r="AS1009" s="6" t="s">
        <v>16759</v>
      </c>
      <c r="AT1009" s="6" t="s">
        <v>16931</v>
      </c>
      <c r="AU1009" s="6" t="s">
        <v>17665</v>
      </c>
      <c r="AV1009" s="6" t="s">
        <v>104</v>
      </c>
      <c r="AW1009" s="6" t="s">
        <v>104</v>
      </c>
      <c r="AX1009" s="6" t="s">
        <v>20907</v>
      </c>
      <c r="AY1009" s="6" t="s">
        <v>22687</v>
      </c>
      <c r="AZ1009" s="6" t="s">
        <v>104</v>
      </c>
      <c r="BA1009" s="6" t="s">
        <v>104</v>
      </c>
      <c r="BB1009" s="6" t="s">
        <v>104</v>
      </c>
      <c r="BC1009" s="26"/>
      <c r="BD1009" s="26"/>
      <c r="BE1009" s="26" t="s">
        <v>24533</v>
      </c>
      <c r="BF1009" s="26"/>
      <c r="BG1009" s="26"/>
      <c r="BH1009" s="26"/>
      <c r="BI1009" s="26"/>
      <c r="BJ1009" s="26"/>
      <c r="BK1009" s="26"/>
      <c r="BL1009" s="26"/>
      <c r="BM1009" s="26"/>
      <c r="BN1009" s="26"/>
      <c r="BO1009" s="26"/>
      <c r="BP1009" s="16" t="n">
        <v>45737</v>
      </c>
      <c r="BQ1009" s="28" t="str">
        <f>HYPERLINK("https://organic.ams.usda.gov/Integrity/Certificate.aspx?cid=71&amp;nopid=5520077381")</f>
        <v>https://organic.ams.usda.gov/Integrity/Certificate.aspx?cid=71&amp;nopid=5520077381</v>
      </c>
    </row>
    <row r="1010">
      <c r="A1010" t="s">
        <v>3</v>
      </c>
      <c r="B1010" s="6" t="s">
        <v>21</v>
      </c>
      <c r="C1010" s="6" t="s">
        <v>87</v>
      </c>
      <c r="D1010" s="6" t="s">
        <v>152</v>
      </c>
      <c r="E1010" s="10" t="s">
        <v>1208</v>
      </c>
      <c r="F1010" s="6" t="s">
        <v>3452</v>
      </c>
      <c r="G1010" s="6" t="s">
        <v>4767</v>
      </c>
      <c r="H1010" s="6" t="s">
        <v>5811</v>
      </c>
      <c r="I1010" s="6" t="s">
        <v>7023</v>
      </c>
      <c r="J1010" s="6" t="s">
        <v>8897</v>
      </c>
      <c r="K1010" s="6" t="s">
        <v>9714</v>
      </c>
      <c r="L1010" s="16" t="n">
        <v>45390</v>
      </c>
      <c r="M1010" s="16" t="n">
        <v>46023</v>
      </c>
      <c r="N1010" s="6" t="s">
        <v>104</v>
      </c>
      <c r="O1010" s="21" t="s">
        <v>104</v>
      </c>
      <c r="P1010" s="6" t="s">
        <v>104</v>
      </c>
      <c r="Q1010" s="6" t="s">
        <v>104</v>
      </c>
      <c r="R1010" s="6" t="s">
        <v>104</v>
      </c>
      <c r="S1010" s="6" t="s">
        <v>104</v>
      </c>
      <c r="T1010" s="21" t="s">
        <v>104</v>
      </c>
      <c r="U1010" s="6" t="s">
        <v>104</v>
      </c>
      <c r="V1010" s="6" t="s">
        <v>104</v>
      </c>
      <c r="W1010" s="6" t="s">
        <v>104</v>
      </c>
      <c r="X1010" s="6" t="s">
        <v>104</v>
      </c>
      <c r="Y1010" s="21" t="s">
        <v>104</v>
      </c>
      <c r="Z1010" s="6" t="s">
        <v>104</v>
      </c>
      <c r="AA1010" s="6" t="s">
        <v>104</v>
      </c>
      <c r="AB1010" s="6" t="s">
        <v>104</v>
      </c>
      <c r="AC1010" s="6" t="s">
        <v>9714</v>
      </c>
      <c r="AD1010" s="16" t="n">
        <v>45390</v>
      </c>
      <c r="AE1010" s="6" t="s">
        <v>11420</v>
      </c>
      <c r="AF1010" s="6" t="s">
        <v>104</v>
      </c>
      <c r="AG1010" s="6" t="s">
        <v>104</v>
      </c>
      <c r="AH1010" s="6" t="s">
        <v>14075</v>
      </c>
      <c r="AI1010" s="6" t="s">
        <v>104</v>
      </c>
      <c r="AJ1010" s="6" t="s">
        <v>15899</v>
      </c>
      <c r="AK1010" s="6" t="s">
        <v>16687</v>
      </c>
      <c r="AL1010" s="6" t="s">
        <v>16931</v>
      </c>
      <c r="AM1010" s="6" t="s">
        <v>17533</v>
      </c>
      <c r="AN1010" s="6" t="s">
        <v>104</v>
      </c>
      <c r="AO1010" s="6" t="s">
        <v>104</v>
      </c>
      <c r="AP1010" s="6" t="s">
        <v>14075</v>
      </c>
      <c r="AQ1010" s="6" t="s">
        <v>104</v>
      </c>
      <c r="AR1010" s="6" t="s">
        <v>15899</v>
      </c>
      <c r="AS1010" s="6" t="s">
        <v>16687</v>
      </c>
      <c r="AT1010" s="6" t="s">
        <v>16931</v>
      </c>
      <c r="AU1010" s="6" t="s">
        <v>17533</v>
      </c>
      <c r="AV1010" s="6" t="s">
        <v>104</v>
      </c>
      <c r="AW1010" s="6" t="s">
        <v>104</v>
      </c>
      <c r="AX1010" s="6" t="s">
        <v>20908</v>
      </c>
      <c r="AY1010" s="6" t="s">
        <v>22688</v>
      </c>
      <c r="AZ1010" s="6" t="s">
        <v>23948</v>
      </c>
      <c r="BA1010" s="6" t="s">
        <v>104</v>
      </c>
      <c r="BB1010" s="6" t="s">
        <v>104</v>
      </c>
      <c r="BC1010" s="26"/>
      <c r="BD1010" s="26"/>
      <c r="BE1010" s="26"/>
      <c r="BF1010" s="26"/>
      <c r="BG1010" s="26"/>
      <c r="BH1010" s="26"/>
      <c r="BI1010" s="26"/>
      <c r="BJ1010" s="26"/>
      <c r="BK1010" s="26"/>
      <c r="BL1010" s="26"/>
      <c r="BM1010" s="26"/>
      <c r="BN1010" s="26"/>
      <c r="BO1010" s="26"/>
      <c r="BP1010" s="16" t="n">
        <v>45667</v>
      </c>
      <c r="BQ1010" s="28" t="str">
        <f>HYPERLINK("https://organic.ams.usda.gov/Integrity/Certificate.aspx?cid=15&amp;nopid=5561008157")</f>
        <v>https://organic.ams.usda.gov/Integrity/Certificate.aspx?cid=15&amp;nopid=5561008157</v>
      </c>
    </row>
    <row r="1011">
      <c r="A1011" t="s">
        <v>3</v>
      </c>
      <c r="B1011" s="6" t="s">
        <v>31</v>
      </c>
      <c r="C1011" s="6" t="s">
        <v>97</v>
      </c>
      <c r="D1011" s="6" t="s">
        <v>162</v>
      </c>
      <c r="E1011" s="10" t="s">
        <v>1209</v>
      </c>
      <c r="F1011" s="6" t="s">
        <v>3453</v>
      </c>
      <c r="G1011" s="6" t="s">
        <v>104</v>
      </c>
      <c r="H1011" s="6" t="s">
        <v>5812</v>
      </c>
      <c r="I1011" s="6" t="s">
        <v>104</v>
      </c>
      <c r="J1011" s="6" t="s">
        <v>104</v>
      </c>
      <c r="K1011" s="6" t="s">
        <v>9714</v>
      </c>
      <c r="L1011" s="16" t="n">
        <v>44071</v>
      </c>
      <c r="M1011" s="16" t="n">
        <v>45897</v>
      </c>
      <c r="N1011" s="6" t="s">
        <v>104</v>
      </c>
      <c r="O1011" s="21" t="s">
        <v>104</v>
      </c>
      <c r="P1011" s="6" t="s">
        <v>104</v>
      </c>
      <c r="Q1011" s="6" t="s">
        <v>104</v>
      </c>
      <c r="R1011" s="6" t="s">
        <v>104</v>
      </c>
      <c r="S1011" s="6" t="s">
        <v>104</v>
      </c>
      <c r="T1011" s="21" t="s">
        <v>104</v>
      </c>
      <c r="U1011" s="6" t="s">
        <v>104</v>
      </c>
      <c r="V1011" s="6" t="s">
        <v>104</v>
      </c>
      <c r="W1011" s="6" t="s">
        <v>104</v>
      </c>
      <c r="X1011" s="6" t="s">
        <v>104</v>
      </c>
      <c r="Y1011" s="21" t="s">
        <v>104</v>
      </c>
      <c r="Z1011" s="6" t="s">
        <v>104</v>
      </c>
      <c r="AA1011" s="6" t="s">
        <v>104</v>
      </c>
      <c r="AB1011" s="6" t="s">
        <v>104</v>
      </c>
      <c r="AC1011" s="6" t="s">
        <v>9714</v>
      </c>
      <c r="AD1011" s="16" t="n">
        <v>44071</v>
      </c>
      <c r="AE1011" s="6" t="s">
        <v>11421</v>
      </c>
      <c r="AF1011" s="6" t="s">
        <v>104</v>
      </c>
      <c r="AG1011" s="6" t="s">
        <v>12812</v>
      </c>
      <c r="AH1011" s="6" t="s">
        <v>14076</v>
      </c>
      <c r="AI1011" s="6" t="s">
        <v>104</v>
      </c>
      <c r="AJ1011" s="6" t="s">
        <v>16031</v>
      </c>
      <c r="AK1011" s="6" t="s">
        <v>16841</v>
      </c>
      <c r="AL1011" s="6" t="s">
        <v>16943</v>
      </c>
      <c r="AM1011" s="6" t="s">
        <v>17666</v>
      </c>
      <c r="AN1011" s="6" t="s">
        <v>104</v>
      </c>
      <c r="AO1011" s="6" t="s">
        <v>104</v>
      </c>
      <c r="AP1011" s="6" t="s">
        <v>14076</v>
      </c>
      <c r="AQ1011" s="6" t="s">
        <v>104</v>
      </c>
      <c r="AR1011" s="6" t="s">
        <v>16031</v>
      </c>
      <c r="AS1011" s="6" t="s">
        <v>16841</v>
      </c>
      <c r="AT1011" s="6" t="s">
        <v>16943</v>
      </c>
      <c r="AU1011" s="6" t="s">
        <v>17666</v>
      </c>
      <c r="AV1011" s="6" t="s">
        <v>104</v>
      </c>
      <c r="AW1011" s="6" t="s">
        <v>104</v>
      </c>
      <c r="AX1011" s="6" t="s">
        <v>104</v>
      </c>
      <c r="AY1011" s="6" t="s">
        <v>104</v>
      </c>
      <c r="AZ1011" s="6" t="s">
        <v>104</v>
      </c>
      <c r="BA1011" s="6" t="s">
        <v>104</v>
      </c>
      <c r="BB1011" s="6" t="s">
        <v>104</v>
      </c>
      <c r="BC1011" s="26"/>
      <c r="BD1011" s="26"/>
      <c r="BE1011" s="26"/>
      <c r="BF1011" s="26"/>
      <c r="BG1011" s="26"/>
      <c r="BH1011" s="26"/>
      <c r="BI1011" s="26"/>
      <c r="BJ1011" s="26"/>
      <c r="BK1011" s="26"/>
      <c r="BL1011" s="26"/>
      <c r="BM1011" s="26"/>
      <c r="BN1011" s="26"/>
      <c r="BO1011" s="26"/>
      <c r="BP1011" s="16" t="n">
        <v>45695</v>
      </c>
      <c r="BQ1011" s="28" t="str">
        <f>HYPERLINK("")</f>
      </c>
    </row>
    <row r="1012">
      <c r="A1012" t="s">
        <v>3</v>
      </c>
      <c r="B1012" s="6" t="s">
        <v>29</v>
      </c>
      <c r="C1012" s="6" t="s">
        <v>95</v>
      </c>
      <c r="D1012" s="6" t="s">
        <v>160</v>
      </c>
      <c r="E1012" s="10" t="s">
        <v>1210</v>
      </c>
      <c r="F1012" s="6" t="s">
        <v>3454</v>
      </c>
      <c r="G1012" s="6" t="s">
        <v>104</v>
      </c>
      <c r="H1012" s="6" t="s">
        <v>5813</v>
      </c>
      <c r="I1012" s="6" t="s">
        <v>104</v>
      </c>
      <c r="J1012" s="6" t="s">
        <v>8898</v>
      </c>
      <c r="K1012" s="6" t="s">
        <v>9714</v>
      </c>
      <c r="L1012" s="16" t="n">
        <v>45034</v>
      </c>
      <c r="M1012" s="16" t="n">
        <v>46054</v>
      </c>
      <c r="N1012" s="6" t="s">
        <v>104</v>
      </c>
      <c r="O1012" s="21" t="s">
        <v>104</v>
      </c>
      <c r="P1012" s="6" t="s">
        <v>104</v>
      </c>
      <c r="Q1012" s="6" t="s">
        <v>104</v>
      </c>
      <c r="R1012" s="6" t="s">
        <v>104</v>
      </c>
      <c r="S1012" s="6" t="s">
        <v>104</v>
      </c>
      <c r="T1012" s="21" t="s">
        <v>104</v>
      </c>
      <c r="U1012" s="6" t="s">
        <v>104</v>
      </c>
      <c r="V1012" s="6" t="s">
        <v>104</v>
      </c>
      <c r="W1012" s="6" t="s">
        <v>104</v>
      </c>
      <c r="X1012" s="6" t="s">
        <v>104</v>
      </c>
      <c r="Y1012" s="21" t="s">
        <v>104</v>
      </c>
      <c r="Z1012" s="6" t="s">
        <v>104</v>
      </c>
      <c r="AA1012" s="6" t="s">
        <v>104</v>
      </c>
      <c r="AB1012" s="6" t="s">
        <v>104</v>
      </c>
      <c r="AC1012" s="6" t="s">
        <v>9714</v>
      </c>
      <c r="AD1012" s="16" t="n">
        <v>45034</v>
      </c>
      <c r="AE1012" s="6" t="s">
        <v>11422</v>
      </c>
      <c r="AF1012" s="6" t="s">
        <v>104</v>
      </c>
      <c r="AG1012" s="6" t="s">
        <v>104</v>
      </c>
      <c r="AH1012" s="6" t="s">
        <v>14077</v>
      </c>
      <c r="AI1012" s="6" t="s">
        <v>104</v>
      </c>
      <c r="AJ1012" s="6" t="s">
        <v>16032</v>
      </c>
      <c r="AK1012" s="6" t="s">
        <v>16694</v>
      </c>
      <c r="AL1012" s="6" t="s">
        <v>16931</v>
      </c>
      <c r="AM1012" s="6" t="s">
        <v>17667</v>
      </c>
      <c r="AN1012" s="6" t="s">
        <v>18468</v>
      </c>
      <c r="AO1012" s="6" t="s">
        <v>18777</v>
      </c>
      <c r="AP1012" s="6" t="s">
        <v>104</v>
      </c>
      <c r="AQ1012" s="6" t="s">
        <v>104</v>
      </c>
      <c r="AR1012" s="6" t="s">
        <v>104</v>
      </c>
      <c r="AS1012" s="6" t="s">
        <v>104</v>
      </c>
      <c r="AT1012" s="6" t="s">
        <v>104</v>
      </c>
      <c r="AU1012" s="6" t="s">
        <v>104</v>
      </c>
      <c r="AV1012" s="6" t="s">
        <v>104</v>
      </c>
      <c r="AW1012" s="6" t="s">
        <v>104</v>
      </c>
      <c r="AX1012" s="6" t="s">
        <v>20909</v>
      </c>
      <c r="AY1012" s="6" t="s">
        <v>22689</v>
      </c>
      <c r="AZ1012" s="6" t="s">
        <v>104</v>
      </c>
      <c r="BA1012" s="6" t="s">
        <v>104</v>
      </c>
      <c r="BB1012" s="24" t="n">
        <v>0</v>
      </c>
      <c r="BC1012" s="26"/>
      <c r="BD1012" s="26"/>
      <c r="BE1012" s="26"/>
      <c r="BF1012" s="26"/>
      <c r="BG1012" s="26"/>
      <c r="BH1012" s="26"/>
      <c r="BI1012" s="26"/>
      <c r="BJ1012" s="26"/>
      <c r="BK1012" s="26"/>
      <c r="BL1012" s="26"/>
      <c r="BM1012" s="26"/>
      <c r="BN1012" s="26"/>
      <c r="BO1012" s="26"/>
      <c r="BP1012" s="16" t="n">
        <v>45690</v>
      </c>
      <c r="BQ1012" s="28" t="str">
        <f>HYPERLINK("https://organic.ams.usda.gov/Integrity/Certificate.aspx?cid=24&amp;nopid=7880257874")</f>
        <v>https://organic.ams.usda.gov/Integrity/Certificate.aspx?cid=24&amp;nopid=7880257874</v>
      </c>
    </row>
    <row r="1013">
      <c r="A1013" t="s">
        <v>3</v>
      </c>
      <c r="B1013" s="6" t="s">
        <v>24</v>
      </c>
      <c r="C1013" s="6" t="s">
        <v>90</v>
      </c>
      <c r="D1013" s="6" t="s">
        <v>155</v>
      </c>
      <c r="E1013" s="10" t="s">
        <v>1211</v>
      </c>
      <c r="F1013" s="6" t="s">
        <v>3455</v>
      </c>
      <c r="G1013" s="6" t="s">
        <v>104</v>
      </c>
      <c r="H1013" s="6" t="s">
        <v>5814</v>
      </c>
      <c r="I1013" s="6" t="s">
        <v>7554</v>
      </c>
      <c r="J1013" s="6" t="s">
        <v>7653</v>
      </c>
      <c r="K1013" s="6" t="s">
        <v>9714</v>
      </c>
      <c r="L1013" s="16" t="n">
        <v>45587</v>
      </c>
      <c r="M1013" s="16" t="n">
        <v>45838</v>
      </c>
      <c r="N1013" s="6" t="s">
        <v>9714</v>
      </c>
      <c r="O1013" s="16" t="n">
        <v>45587</v>
      </c>
      <c r="P1013" s="6" t="s">
        <v>9999</v>
      </c>
      <c r="Q1013" s="6" t="s">
        <v>104</v>
      </c>
      <c r="R1013" s="6" t="s">
        <v>5814</v>
      </c>
      <c r="S1013" s="6" t="s">
        <v>104</v>
      </c>
      <c r="T1013" s="21" t="s">
        <v>104</v>
      </c>
      <c r="U1013" s="6" t="s">
        <v>104</v>
      </c>
      <c r="V1013" s="6" t="s">
        <v>104</v>
      </c>
      <c r="W1013" s="6" t="s">
        <v>104</v>
      </c>
      <c r="X1013" s="6" t="s">
        <v>104</v>
      </c>
      <c r="Y1013" s="21" t="s">
        <v>104</v>
      </c>
      <c r="Z1013" s="6" t="s">
        <v>104</v>
      </c>
      <c r="AA1013" s="6" t="s">
        <v>104</v>
      </c>
      <c r="AB1013" s="6" t="s">
        <v>104</v>
      </c>
      <c r="AC1013" s="6" t="s">
        <v>9714</v>
      </c>
      <c r="AD1013" s="16" t="n">
        <v>45587</v>
      </c>
      <c r="AE1013" s="6" t="s">
        <v>11423</v>
      </c>
      <c r="AF1013" s="6" t="s">
        <v>104</v>
      </c>
      <c r="AG1013" s="6" t="s">
        <v>5814</v>
      </c>
      <c r="AH1013" s="6" t="s">
        <v>14078</v>
      </c>
      <c r="AI1013" s="6" t="s">
        <v>15286</v>
      </c>
      <c r="AJ1013" s="6" t="s">
        <v>15716</v>
      </c>
      <c r="AK1013" s="6" t="s">
        <v>16769</v>
      </c>
      <c r="AL1013" s="6" t="s">
        <v>16766</v>
      </c>
      <c r="AM1013" s="6" t="s">
        <v>17668</v>
      </c>
      <c r="AN1013" s="6" t="s">
        <v>104</v>
      </c>
      <c r="AO1013" s="6" t="s">
        <v>104</v>
      </c>
      <c r="AP1013" s="6" t="s">
        <v>19202</v>
      </c>
      <c r="AQ1013" s="6" t="s">
        <v>15286</v>
      </c>
      <c r="AR1013" s="6" t="s">
        <v>15716</v>
      </c>
      <c r="AS1013" s="6" t="s">
        <v>16769</v>
      </c>
      <c r="AT1013" s="6" t="s">
        <v>16766</v>
      </c>
      <c r="AU1013" s="6" t="s">
        <v>17668</v>
      </c>
      <c r="AV1013" s="6" t="s">
        <v>104</v>
      </c>
      <c r="AW1013" s="6" t="s">
        <v>104</v>
      </c>
      <c r="AX1013" s="6" t="s">
        <v>20910</v>
      </c>
      <c r="AY1013" s="6" t="s">
        <v>22690</v>
      </c>
      <c r="AZ1013" s="6" t="s">
        <v>104</v>
      </c>
      <c r="BA1013" s="6" t="s">
        <v>104</v>
      </c>
      <c r="BB1013" s="24" t="n">
        <v>1371</v>
      </c>
      <c r="BC1013" s="26"/>
      <c r="BD1013" s="26"/>
      <c r="BE1013" s="26"/>
      <c r="BF1013" s="26"/>
      <c r="BG1013" s="26"/>
      <c r="BH1013" s="26"/>
      <c r="BI1013" s="26"/>
      <c r="BJ1013" s="26"/>
      <c r="BK1013" s="26"/>
      <c r="BL1013" s="26"/>
      <c r="BM1013" s="26"/>
      <c r="BN1013" s="26"/>
      <c r="BO1013" s="26"/>
      <c r="BP1013" s="16" t="n">
        <v>45642</v>
      </c>
      <c r="BQ1013" s="28" t="str">
        <f>HYPERLINK("https://organic.ams.usda.gov/Integrity/Certificate.aspx?cid=7&amp;nopid=3950001233")</f>
        <v>https://organic.ams.usda.gov/Integrity/Certificate.aspx?cid=7&amp;nopid=3950001233</v>
      </c>
    </row>
    <row r="1014">
      <c r="A1014" t="s">
        <v>3</v>
      </c>
      <c r="B1014" s="6" t="s">
        <v>29</v>
      </c>
      <c r="C1014" s="6" t="s">
        <v>95</v>
      </c>
      <c r="D1014" s="6" t="s">
        <v>160</v>
      </c>
      <c r="E1014" s="10" t="s">
        <v>1212</v>
      </c>
      <c r="F1014" s="6" t="s">
        <v>3456</v>
      </c>
      <c r="G1014" s="6" t="s">
        <v>104</v>
      </c>
      <c r="H1014" s="6" t="s">
        <v>5815</v>
      </c>
      <c r="I1014" s="6" t="s">
        <v>104</v>
      </c>
      <c r="J1014" s="6" t="s">
        <v>8899</v>
      </c>
      <c r="K1014" s="6" t="s">
        <v>9714</v>
      </c>
      <c r="L1014" s="16" t="n">
        <v>45609</v>
      </c>
      <c r="M1014" s="16" t="n">
        <v>45870</v>
      </c>
      <c r="N1014" s="6" t="s">
        <v>9714</v>
      </c>
      <c r="O1014" s="16" t="n">
        <v>45609</v>
      </c>
      <c r="P1014" s="6" t="s">
        <v>10000</v>
      </c>
      <c r="Q1014" s="6" t="s">
        <v>104</v>
      </c>
      <c r="R1014" s="6" t="s">
        <v>104</v>
      </c>
      <c r="S1014" s="6" t="s">
        <v>104</v>
      </c>
      <c r="T1014" s="21" t="s">
        <v>104</v>
      </c>
      <c r="U1014" s="6" t="s">
        <v>104</v>
      </c>
      <c r="V1014" s="6" t="s">
        <v>104</v>
      </c>
      <c r="W1014" s="6" t="s">
        <v>104</v>
      </c>
      <c r="X1014" s="6" t="s">
        <v>104</v>
      </c>
      <c r="Y1014" s="21" t="s">
        <v>104</v>
      </c>
      <c r="Z1014" s="6" t="s">
        <v>104</v>
      </c>
      <c r="AA1014" s="6" t="s">
        <v>104</v>
      </c>
      <c r="AB1014" s="6" t="s">
        <v>104</v>
      </c>
      <c r="AC1014" s="6" t="s">
        <v>104</v>
      </c>
      <c r="AD1014" s="21" t="s">
        <v>104</v>
      </c>
      <c r="AE1014" s="6" t="s">
        <v>104</v>
      </c>
      <c r="AF1014" s="6" t="s">
        <v>104</v>
      </c>
      <c r="AG1014" s="6" t="s">
        <v>104</v>
      </c>
      <c r="AH1014" s="6" t="s">
        <v>14079</v>
      </c>
      <c r="AI1014" s="6" t="s">
        <v>104</v>
      </c>
      <c r="AJ1014" s="6" t="s">
        <v>16033</v>
      </c>
      <c r="AK1014" s="6" t="s">
        <v>15717</v>
      </c>
      <c r="AL1014" s="6" t="s">
        <v>16766</v>
      </c>
      <c r="AM1014" s="6" t="s">
        <v>17669</v>
      </c>
      <c r="AN1014" s="6" t="s">
        <v>104</v>
      </c>
      <c r="AO1014" s="6" t="s">
        <v>104</v>
      </c>
      <c r="AP1014" s="6" t="s">
        <v>104</v>
      </c>
      <c r="AQ1014" s="6" t="s">
        <v>104</v>
      </c>
      <c r="AR1014" s="6" t="s">
        <v>104</v>
      </c>
      <c r="AS1014" s="6" t="s">
        <v>104</v>
      </c>
      <c r="AT1014" s="6" t="s">
        <v>104</v>
      </c>
      <c r="AU1014" s="6" t="s">
        <v>104</v>
      </c>
      <c r="AV1014" s="6" t="s">
        <v>104</v>
      </c>
      <c r="AW1014" s="6" t="s">
        <v>104</v>
      </c>
      <c r="AX1014" s="6" t="s">
        <v>20911</v>
      </c>
      <c r="AY1014" s="6" t="s">
        <v>22691</v>
      </c>
      <c r="AZ1014" s="6" t="s">
        <v>104</v>
      </c>
      <c r="BA1014" s="6" t="s">
        <v>104</v>
      </c>
      <c r="BB1014" s="24" t="n">
        <v>1387</v>
      </c>
      <c r="BC1014" s="26"/>
      <c r="BD1014" s="26"/>
      <c r="BE1014" s="26"/>
      <c r="BF1014" s="26"/>
      <c r="BG1014" s="26"/>
      <c r="BH1014" s="26"/>
      <c r="BI1014" s="26"/>
      <c r="BJ1014" s="26"/>
      <c r="BK1014" s="26"/>
      <c r="BL1014" s="26"/>
      <c r="BM1014" s="26"/>
      <c r="BN1014" s="26"/>
      <c r="BO1014" s="26"/>
      <c r="BP1014" s="16" t="n">
        <v>45610</v>
      </c>
      <c r="BQ1014" s="28" t="str">
        <f>HYPERLINK("https://organic.ams.usda.gov/Integrity/Certificate.aspx?cid=24&amp;nopid=7880301030")</f>
        <v>https://organic.ams.usda.gov/Integrity/Certificate.aspx?cid=24&amp;nopid=7880301030</v>
      </c>
    </row>
    <row r="1015">
      <c r="A1015" t="s">
        <v>3</v>
      </c>
      <c r="B1015" s="6" t="s">
        <v>6</v>
      </c>
      <c r="C1015" s="6" t="s">
        <v>72</v>
      </c>
      <c r="D1015" s="6" t="s">
        <v>137</v>
      </c>
      <c r="E1015" s="10" t="s">
        <v>1213</v>
      </c>
      <c r="F1015" s="6" t="s">
        <v>3457</v>
      </c>
      <c r="G1015" s="6" t="s">
        <v>104</v>
      </c>
      <c r="H1015" s="6" t="s">
        <v>5816</v>
      </c>
      <c r="I1015" s="6" t="s">
        <v>7555</v>
      </c>
      <c r="J1015" s="6" t="s">
        <v>8900</v>
      </c>
      <c r="K1015" s="6" t="s">
        <v>9714</v>
      </c>
      <c r="L1015" s="16" t="n">
        <v>45414</v>
      </c>
      <c r="M1015" s="16" t="n">
        <v>45637</v>
      </c>
      <c r="N1015" s="6" t="s">
        <v>104</v>
      </c>
      <c r="O1015" s="21" t="s">
        <v>104</v>
      </c>
      <c r="P1015" s="6" t="s">
        <v>104</v>
      </c>
      <c r="Q1015" s="6" t="s">
        <v>104</v>
      </c>
      <c r="R1015" s="6" t="s">
        <v>104</v>
      </c>
      <c r="S1015" s="6" t="s">
        <v>104</v>
      </c>
      <c r="T1015" s="21" t="s">
        <v>104</v>
      </c>
      <c r="U1015" s="6" t="s">
        <v>104</v>
      </c>
      <c r="V1015" s="6" t="s">
        <v>104</v>
      </c>
      <c r="W1015" s="6" t="s">
        <v>104</v>
      </c>
      <c r="X1015" s="6" t="s">
        <v>104</v>
      </c>
      <c r="Y1015" s="21" t="s">
        <v>104</v>
      </c>
      <c r="Z1015" s="6" t="s">
        <v>104</v>
      </c>
      <c r="AA1015" s="6" t="s">
        <v>104</v>
      </c>
      <c r="AB1015" s="6" t="s">
        <v>104</v>
      </c>
      <c r="AC1015" s="6" t="s">
        <v>9714</v>
      </c>
      <c r="AD1015" s="16" t="n">
        <v>45414</v>
      </c>
      <c r="AE1015" s="6" t="s">
        <v>11424</v>
      </c>
      <c r="AF1015" s="6" t="s">
        <v>104</v>
      </c>
      <c r="AG1015" s="6" t="s">
        <v>104</v>
      </c>
      <c r="AH1015" s="6" t="s">
        <v>14080</v>
      </c>
      <c r="AI1015" s="6" t="s">
        <v>104</v>
      </c>
      <c r="AJ1015" s="6" t="s">
        <v>16034</v>
      </c>
      <c r="AK1015" s="6" t="s">
        <v>16769</v>
      </c>
      <c r="AL1015" s="6" t="s">
        <v>16766</v>
      </c>
      <c r="AM1015" s="6" t="s">
        <v>17670</v>
      </c>
      <c r="AN1015" s="6" t="s">
        <v>104</v>
      </c>
      <c r="AO1015" s="6" t="s">
        <v>104</v>
      </c>
      <c r="AP1015" s="6" t="s">
        <v>104</v>
      </c>
      <c r="AQ1015" s="6" t="s">
        <v>104</v>
      </c>
      <c r="AR1015" s="6" t="s">
        <v>104</v>
      </c>
      <c r="AS1015" s="6" t="s">
        <v>104</v>
      </c>
      <c r="AT1015" s="6" t="s">
        <v>104</v>
      </c>
      <c r="AU1015" s="6" t="s">
        <v>104</v>
      </c>
      <c r="AV1015" s="6" t="s">
        <v>104</v>
      </c>
      <c r="AW1015" s="6" t="s">
        <v>104</v>
      </c>
      <c r="AX1015" s="6" t="s">
        <v>104</v>
      </c>
      <c r="AY1015" s="6" t="s">
        <v>22692</v>
      </c>
      <c r="AZ1015" s="6" t="s">
        <v>104</v>
      </c>
      <c r="BA1015" s="6" t="s">
        <v>104</v>
      </c>
      <c r="BB1015" s="6" t="s">
        <v>104</v>
      </c>
      <c r="BC1015" s="26"/>
      <c r="BD1015" s="26"/>
      <c r="BE1015" s="26"/>
      <c r="BF1015" s="26"/>
      <c r="BG1015" s="26"/>
      <c r="BH1015" s="26"/>
      <c r="BI1015" s="26"/>
      <c r="BJ1015" s="26"/>
      <c r="BK1015" s="26"/>
      <c r="BL1015" s="26"/>
      <c r="BM1015" s="26"/>
      <c r="BN1015" s="26"/>
      <c r="BO1015" s="26"/>
      <c r="BP1015" s="16" t="n">
        <v>45737</v>
      </c>
      <c r="BQ1015" s="28" t="str">
        <f>HYPERLINK("https://organic.ams.usda.gov/Integrity/Certificate.aspx?cid=32&amp;nopid=2230010864")</f>
        <v>https://organic.ams.usda.gov/Integrity/Certificate.aspx?cid=32&amp;nopid=2230010864</v>
      </c>
    </row>
    <row r="1016">
      <c r="A1016" t="s">
        <v>3</v>
      </c>
      <c r="B1016" s="6" t="s">
        <v>21</v>
      </c>
      <c r="C1016" s="6" t="s">
        <v>87</v>
      </c>
      <c r="D1016" s="6" t="s">
        <v>152</v>
      </c>
      <c r="E1016" s="10" t="s">
        <v>1214</v>
      </c>
      <c r="F1016" s="6" t="s">
        <v>3458</v>
      </c>
      <c r="G1016" s="6" t="s">
        <v>104</v>
      </c>
      <c r="H1016" s="6" t="s">
        <v>5817</v>
      </c>
      <c r="I1016" s="6" t="s">
        <v>7556</v>
      </c>
      <c r="J1016" s="6" t="s">
        <v>7239</v>
      </c>
      <c r="K1016" s="6" t="s">
        <v>9714</v>
      </c>
      <c r="L1016" s="16" t="n">
        <v>45390</v>
      </c>
      <c r="M1016" s="16" t="n">
        <v>46023</v>
      </c>
      <c r="N1016" s="6" t="s">
        <v>104</v>
      </c>
      <c r="O1016" s="21" t="s">
        <v>104</v>
      </c>
      <c r="P1016" s="6" t="s">
        <v>104</v>
      </c>
      <c r="Q1016" s="6" t="s">
        <v>104</v>
      </c>
      <c r="R1016" s="6" t="s">
        <v>104</v>
      </c>
      <c r="S1016" s="6" t="s">
        <v>104</v>
      </c>
      <c r="T1016" s="21" t="s">
        <v>104</v>
      </c>
      <c r="U1016" s="6" t="s">
        <v>104</v>
      </c>
      <c r="V1016" s="6" t="s">
        <v>104</v>
      </c>
      <c r="W1016" s="6" t="s">
        <v>104</v>
      </c>
      <c r="X1016" s="6" t="s">
        <v>104</v>
      </c>
      <c r="Y1016" s="21" t="s">
        <v>104</v>
      </c>
      <c r="Z1016" s="6" t="s">
        <v>104</v>
      </c>
      <c r="AA1016" s="6" t="s">
        <v>104</v>
      </c>
      <c r="AB1016" s="6" t="s">
        <v>104</v>
      </c>
      <c r="AC1016" s="6" t="s">
        <v>9714</v>
      </c>
      <c r="AD1016" s="16" t="n">
        <v>45390</v>
      </c>
      <c r="AE1016" s="6" t="s">
        <v>11425</v>
      </c>
      <c r="AF1016" s="6" t="s">
        <v>104</v>
      </c>
      <c r="AG1016" s="6" t="s">
        <v>104</v>
      </c>
      <c r="AH1016" s="6" t="s">
        <v>14081</v>
      </c>
      <c r="AI1016" s="6" t="s">
        <v>15260</v>
      </c>
      <c r="AJ1016" s="6" t="s">
        <v>16035</v>
      </c>
      <c r="AK1016" s="6" t="s">
        <v>16687</v>
      </c>
      <c r="AL1016" s="6" t="s">
        <v>16931</v>
      </c>
      <c r="AM1016" s="6" t="s">
        <v>17671</v>
      </c>
      <c r="AN1016" s="6" t="s">
        <v>104</v>
      </c>
      <c r="AO1016" s="6" t="s">
        <v>104</v>
      </c>
      <c r="AP1016" s="6" t="s">
        <v>14081</v>
      </c>
      <c r="AQ1016" s="6" t="s">
        <v>15260</v>
      </c>
      <c r="AR1016" s="6" t="s">
        <v>16035</v>
      </c>
      <c r="AS1016" s="6" t="s">
        <v>16687</v>
      </c>
      <c r="AT1016" s="6" t="s">
        <v>16931</v>
      </c>
      <c r="AU1016" s="6" t="s">
        <v>17671</v>
      </c>
      <c r="AV1016" s="6" t="s">
        <v>104</v>
      </c>
      <c r="AW1016" s="6" t="s">
        <v>104</v>
      </c>
      <c r="AX1016" s="6" t="s">
        <v>20912</v>
      </c>
      <c r="AY1016" s="6" t="s">
        <v>22693</v>
      </c>
      <c r="AZ1016" s="6" t="s">
        <v>23949</v>
      </c>
      <c r="BA1016" s="6" t="s">
        <v>24263</v>
      </c>
      <c r="BB1016" s="6" t="s">
        <v>104</v>
      </c>
      <c r="BC1016" s="26"/>
      <c r="BD1016" s="26"/>
      <c r="BE1016" s="26"/>
      <c r="BF1016" s="26"/>
      <c r="BG1016" s="26"/>
      <c r="BH1016" s="26"/>
      <c r="BI1016" s="26"/>
      <c r="BJ1016" s="26"/>
      <c r="BK1016" s="26"/>
      <c r="BL1016" s="26"/>
      <c r="BM1016" s="26"/>
      <c r="BN1016" s="26"/>
      <c r="BO1016" s="26"/>
      <c r="BP1016" s="16" t="n">
        <v>45700</v>
      </c>
      <c r="BQ1016" s="28" t="str">
        <f>HYPERLINK("https://organic.ams.usda.gov/Integrity/Certificate.aspx?cid=15&amp;nopid=5561008298")</f>
        <v>https://organic.ams.usda.gov/Integrity/Certificate.aspx?cid=15&amp;nopid=5561008298</v>
      </c>
    </row>
    <row r="1017">
      <c r="A1017" t="s">
        <v>3</v>
      </c>
      <c r="B1017" s="6" t="s">
        <v>9</v>
      </c>
      <c r="C1017" s="6" t="s">
        <v>75</v>
      </c>
      <c r="D1017" s="6" t="s">
        <v>140</v>
      </c>
      <c r="E1017" s="10" t="s">
        <v>1215</v>
      </c>
      <c r="F1017" s="6" t="s">
        <v>3459</v>
      </c>
      <c r="G1017" s="6" t="s">
        <v>104</v>
      </c>
      <c r="H1017" s="6" t="s">
        <v>5818</v>
      </c>
      <c r="I1017" s="6" t="s">
        <v>7557</v>
      </c>
      <c r="J1017" s="6" t="s">
        <v>8901</v>
      </c>
      <c r="K1017" s="6" t="s">
        <v>9714</v>
      </c>
      <c r="L1017" s="16" t="n">
        <v>45042</v>
      </c>
      <c r="M1017" s="16" t="n">
        <v>46138</v>
      </c>
      <c r="N1017" s="6" t="s">
        <v>104</v>
      </c>
      <c r="O1017" s="21" t="s">
        <v>104</v>
      </c>
      <c r="P1017" s="6" t="s">
        <v>104</v>
      </c>
      <c r="Q1017" s="6" t="s">
        <v>104</v>
      </c>
      <c r="R1017" s="6" t="s">
        <v>104</v>
      </c>
      <c r="S1017" s="6" t="s">
        <v>104</v>
      </c>
      <c r="T1017" s="21" t="s">
        <v>104</v>
      </c>
      <c r="U1017" s="6" t="s">
        <v>104</v>
      </c>
      <c r="V1017" s="6" t="s">
        <v>104</v>
      </c>
      <c r="W1017" s="6" t="s">
        <v>104</v>
      </c>
      <c r="X1017" s="6" t="s">
        <v>104</v>
      </c>
      <c r="Y1017" s="21" t="s">
        <v>104</v>
      </c>
      <c r="Z1017" s="6" t="s">
        <v>104</v>
      </c>
      <c r="AA1017" s="6" t="s">
        <v>104</v>
      </c>
      <c r="AB1017" s="6" t="s">
        <v>104</v>
      </c>
      <c r="AC1017" s="6" t="s">
        <v>9714</v>
      </c>
      <c r="AD1017" s="16" t="n">
        <v>45042</v>
      </c>
      <c r="AE1017" s="6" t="s">
        <v>11426</v>
      </c>
      <c r="AF1017" s="6" t="s">
        <v>104</v>
      </c>
      <c r="AG1017" s="6" t="s">
        <v>104</v>
      </c>
      <c r="AH1017" s="6" t="s">
        <v>14082</v>
      </c>
      <c r="AI1017" s="6" t="s">
        <v>104</v>
      </c>
      <c r="AJ1017" s="6" t="s">
        <v>15428</v>
      </c>
      <c r="AK1017" s="6" t="s">
        <v>16687</v>
      </c>
      <c r="AL1017" s="6" t="s">
        <v>16931</v>
      </c>
      <c r="AM1017" s="6" t="s">
        <v>17322</v>
      </c>
      <c r="AN1017" s="6" t="s">
        <v>104</v>
      </c>
      <c r="AO1017" s="6" t="s">
        <v>104</v>
      </c>
      <c r="AP1017" s="6" t="s">
        <v>19203</v>
      </c>
      <c r="AQ1017" s="6" t="s">
        <v>104</v>
      </c>
      <c r="AR1017" s="6" t="s">
        <v>15428</v>
      </c>
      <c r="AS1017" s="6" t="s">
        <v>16687</v>
      </c>
      <c r="AT1017" s="6" t="s">
        <v>16931</v>
      </c>
      <c r="AU1017" s="6" t="s">
        <v>17322</v>
      </c>
      <c r="AV1017" s="6" t="s">
        <v>18471</v>
      </c>
      <c r="AW1017" s="6" t="s">
        <v>18579</v>
      </c>
      <c r="AX1017" s="6" t="s">
        <v>20913</v>
      </c>
      <c r="AY1017" s="6" t="s">
        <v>22694</v>
      </c>
      <c r="AZ1017" s="6" t="s">
        <v>104</v>
      </c>
      <c r="BA1017" s="6" t="s">
        <v>104</v>
      </c>
      <c r="BB1017" s="6" t="s">
        <v>104</v>
      </c>
      <c r="BC1017" s="26"/>
      <c r="BD1017" s="26"/>
      <c r="BE1017" s="26"/>
      <c r="BF1017" s="26"/>
      <c r="BG1017" s="26"/>
      <c r="BH1017" s="26"/>
      <c r="BI1017" s="26"/>
      <c r="BJ1017" s="26"/>
      <c r="BK1017" s="26"/>
      <c r="BL1017" s="26"/>
      <c r="BM1017" s="26"/>
      <c r="BN1017" s="26"/>
      <c r="BO1017" s="26"/>
      <c r="BP1017" s="16" t="n">
        <v>45727</v>
      </c>
      <c r="BQ1017" s="28" t="str">
        <f>HYPERLINK("https://organic.ams.usda.gov/Integrity/Certificate.aspx?cid=63&amp;nopid=6220009131")</f>
        <v>https://organic.ams.usda.gov/Integrity/Certificate.aspx?cid=63&amp;nopid=6220009131</v>
      </c>
    </row>
    <row r="1018">
      <c r="A1018" t="s">
        <v>3</v>
      </c>
      <c r="B1018" s="6" t="s">
        <v>21</v>
      </c>
      <c r="C1018" s="6" t="s">
        <v>87</v>
      </c>
      <c r="D1018" s="6" t="s">
        <v>152</v>
      </c>
      <c r="E1018" s="10" t="s">
        <v>1216</v>
      </c>
      <c r="F1018" s="6" t="s">
        <v>3460</v>
      </c>
      <c r="G1018" s="6" t="s">
        <v>4768</v>
      </c>
      <c r="H1018" s="6" t="s">
        <v>5819</v>
      </c>
      <c r="I1018" s="6" t="s">
        <v>7558</v>
      </c>
      <c r="J1018" s="6" t="s">
        <v>8902</v>
      </c>
      <c r="K1018" s="6" t="s">
        <v>9714</v>
      </c>
      <c r="L1018" s="16" t="n">
        <v>37742</v>
      </c>
      <c r="M1018" s="16" t="n">
        <v>46023</v>
      </c>
      <c r="N1018" s="6" t="s">
        <v>104</v>
      </c>
      <c r="O1018" s="21" t="s">
        <v>104</v>
      </c>
      <c r="P1018" s="6" t="s">
        <v>104</v>
      </c>
      <c r="Q1018" s="6" t="s">
        <v>104</v>
      </c>
      <c r="R1018" s="6" t="s">
        <v>104</v>
      </c>
      <c r="S1018" s="6" t="s">
        <v>104</v>
      </c>
      <c r="T1018" s="21" t="s">
        <v>104</v>
      </c>
      <c r="U1018" s="6" t="s">
        <v>104</v>
      </c>
      <c r="V1018" s="6" t="s">
        <v>104</v>
      </c>
      <c r="W1018" s="6" t="s">
        <v>104</v>
      </c>
      <c r="X1018" s="6" t="s">
        <v>104</v>
      </c>
      <c r="Y1018" s="21" t="s">
        <v>104</v>
      </c>
      <c r="Z1018" s="6" t="s">
        <v>104</v>
      </c>
      <c r="AA1018" s="6" t="s">
        <v>104</v>
      </c>
      <c r="AB1018" s="6" t="s">
        <v>104</v>
      </c>
      <c r="AC1018" s="6" t="s">
        <v>9714</v>
      </c>
      <c r="AD1018" s="16" t="n">
        <v>40932</v>
      </c>
      <c r="AE1018" s="6" t="s">
        <v>11427</v>
      </c>
      <c r="AF1018" s="6" t="s">
        <v>104</v>
      </c>
      <c r="AG1018" s="6" t="s">
        <v>104</v>
      </c>
      <c r="AH1018" s="6" t="s">
        <v>14083</v>
      </c>
      <c r="AI1018" s="6" t="s">
        <v>104</v>
      </c>
      <c r="AJ1018" s="6" t="s">
        <v>16036</v>
      </c>
      <c r="AK1018" s="6" t="s">
        <v>16710</v>
      </c>
      <c r="AL1018" s="6" t="s">
        <v>16931</v>
      </c>
      <c r="AM1018" s="6" t="s">
        <v>17672</v>
      </c>
      <c r="AN1018" s="6" t="s">
        <v>18468</v>
      </c>
      <c r="AO1018" s="6" t="s">
        <v>18575</v>
      </c>
      <c r="AP1018" s="6" t="s">
        <v>14083</v>
      </c>
      <c r="AQ1018" s="6" t="s">
        <v>104</v>
      </c>
      <c r="AR1018" s="6" t="s">
        <v>16036</v>
      </c>
      <c r="AS1018" s="6" t="s">
        <v>16710</v>
      </c>
      <c r="AT1018" s="6" t="s">
        <v>16931</v>
      </c>
      <c r="AU1018" s="6" t="s">
        <v>17672</v>
      </c>
      <c r="AV1018" s="6" t="s">
        <v>104</v>
      </c>
      <c r="AW1018" s="6" t="s">
        <v>104</v>
      </c>
      <c r="AX1018" s="6" t="s">
        <v>20914</v>
      </c>
      <c r="AY1018" s="6" t="s">
        <v>22695</v>
      </c>
      <c r="AZ1018" s="6" t="s">
        <v>23950</v>
      </c>
      <c r="BA1018" s="6" t="s">
        <v>24399</v>
      </c>
      <c r="BB1018" s="6" t="s">
        <v>104</v>
      </c>
      <c r="BC1018" s="26"/>
      <c r="BD1018" s="26"/>
      <c r="BE1018" s="26"/>
      <c r="BF1018" s="26"/>
      <c r="BG1018" s="26"/>
      <c r="BH1018" s="26"/>
      <c r="BI1018" s="26"/>
      <c r="BJ1018" s="26"/>
      <c r="BK1018" s="26"/>
      <c r="BL1018" s="26"/>
      <c r="BM1018" s="26"/>
      <c r="BN1018" s="26"/>
      <c r="BO1018" s="26"/>
      <c r="BP1018" s="16" t="n">
        <v>45720</v>
      </c>
      <c r="BQ1018" s="28" t="str">
        <f>HYPERLINK("https://organic.ams.usda.gov/Integrity/Certificate.aspx?cid=15&amp;nopid=5561001683")</f>
        <v>https://organic.ams.usda.gov/Integrity/Certificate.aspx?cid=15&amp;nopid=5561001683</v>
      </c>
    </row>
    <row r="1019">
      <c r="A1019" t="s">
        <v>3</v>
      </c>
      <c r="B1019" s="6" t="s">
        <v>11</v>
      </c>
      <c r="C1019" s="6" t="s">
        <v>77</v>
      </c>
      <c r="D1019" s="6" t="s">
        <v>142</v>
      </c>
      <c r="E1019" s="10" t="s">
        <v>1217</v>
      </c>
      <c r="F1019" s="6" t="s">
        <v>3461</v>
      </c>
      <c r="G1019" s="6" t="s">
        <v>104</v>
      </c>
      <c r="H1019" s="6" t="s">
        <v>5820</v>
      </c>
      <c r="I1019" s="6" t="s">
        <v>7559</v>
      </c>
      <c r="J1019" s="6" t="s">
        <v>8903</v>
      </c>
      <c r="K1019" s="6" t="s">
        <v>9714</v>
      </c>
      <c r="L1019" s="16" t="n">
        <v>45280</v>
      </c>
      <c r="M1019" s="16" t="n">
        <v>45983</v>
      </c>
      <c r="N1019" s="6" t="s">
        <v>104</v>
      </c>
      <c r="O1019" s="21" t="s">
        <v>104</v>
      </c>
      <c r="P1019" s="6" t="s">
        <v>104</v>
      </c>
      <c r="Q1019" s="6" t="s">
        <v>104</v>
      </c>
      <c r="R1019" s="6" t="s">
        <v>104</v>
      </c>
      <c r="S1019" s="6" t="s">
        <v>104</v>
      </c>
      <c r="T1019" s="21" t="s">
        <v>104</v>
      </c>
      <c r="U1019" s="6" t="s">
        <v>104</v>
      </c>
      <c r="V1019" s="6" t="s">
        <v>104</v>
      </c>
      <c r="W1019" s="6" t="s">
        <v>104</v>
      </c>
      <c r="X1019" s="6" t="s">
        <v>104</v>
      </c>
      <c r="Y1019" s="21" t="s">
        <v>104</v>
      </c>
      <c r="Z1019" s="6" t="s">
        <v>104</v>
      </c>
      <c r="AA1019" s="6" t="s">
        <v>104</v>
      </c>
      <c r="AB1019" s="6" t="s">
        <v>104</v>
      </c>
      <c r="AC1019" s="6" t="s">
        <v>9714</v>
      </c>
      <c r="AD1019" s="16" t="n">
        <v>45678</v>
      </c>
      <c r="AE1019" s="6" t="s">
        <v>11428</v>
      </c>
      <c r="AF1019" s="6" t="s">
        <v>104</v>
      </c>
      <c r="AG1019" s="6" t="s">
        <v>104</v>
      </c>
      <c r="AH1019" s="6" t="s">
        <v>14084</v>
      </c>
      <c r="AI1019" s="6" t="s">
        <v>104</v>
      </c>
      <c r="AJ1019" s="6" t="s">
        <v>15383</v>
      </c>
      <c r="AK1019" s="6" t="s">
        <v>15383</v>
      </c>
      <c r="AL1019" s="6" t="s">
        <v>16933</v>
      </c>
      <c r="AM1019" s="6" t="s">
        <v>17673</v>
      </c>
      <c r="AN1019" s="6" t="s">
        <v>104</v>
      </c>
      <c r="AO1019" s="6" t="s">
        <v>104</v>
      </c>
      <c r="AP1019" s="6" t="s">
        <v>19204</v>
      </c>
      <c r="AQ1019" s="6" t="s">
        <v>104</v>
      </c>
      <c r="AR1019" s="6" t="s">
        <v>15383</v>
      </c>
      <c r="AS1019" s="6" t="s">
        <v>15383</v>
      </c>
      <c r="AT1019" s="6" t="s">
        <v>16933</v>
      </c>
      <c r="AU1019" s="6" t="s">
        <v>17673</v>
      </c>
      <c r="AV1019" s="6" t="s">
        <v>104</v>
      </c>
      <c r="AW1019" s="6" t="s">
        <v>104</v>
      </c>
      <c r="AX1019" s="6" t="s">
        <v>20915</v>
      </c>
      <c r="AY1019" s="6" t="s">
        <v>22696</v>
      </c>
      <c r="AZ1019" s="6" t="s">
        <v>104</v>
      </c>
      <c r="BA1019" s="6" t="s">
        <v>104</v>
      </c>
      <c r="BB1019" s="6" t="s">
        <v>104</v>
      </c>
      <c r="BC1019" s="26"/>
      <c r="BD1019" s="26"/>
      <c r="BE1019" s="26"/>
      <c r="BF1019" s="26"/>
      <c r="BG1019" s="26"/>
      <c r="BH1019" s="26"/>
      <c r="BI1019" s="26"/>
      <c r="BJ1019" s="26"/>
      <c r="BK1019" s="26"/>
      <c r="BL1019" s="26"/>
      <c r="BM1019" s="26"/>
      <c r="BN1019" s="26" t="s">
        <v>24533</v>
      </c>
      <c r="BO1019" s="26"/>
      <c r="BP1019" s="16" t="n">
        <v>45678</v>
      </c>
      <c r="BQ1019" s="28" t="str">
        <f>HYPERLINK("https://organic.ams.usda.gov/Integrity/Certificate.aspx?cid=21&amp;nopid=1780899298")</f>
        <v>https://organic.ams.usda.gov/Integrity/Certificate.aspx?cid=21&amp;nopid=1780899298</v>
      </c>
    </row>
    <row r="1020">
      <c r="A1020" t="s">
        <v>3</v>
      </c>
      <c r="B1020" s="6" t="s">
        <v>9</v>
      </c>
      <c r="C1020" s="6" t="s">
        <v>75</v>
      </c>
      <c r="D1020" s="6" t="s">
        <v>140</v>
      </c>
      <c r="E1020" s="10" t="s">
        <v>1218</v>
      </c>
      <c r="F1020" s="6" t="s">
        <v>3462</v>
      </c>
      <c r="G1020" s="6" t="s">
        <v>104</v>
      </c>
      <c r="H1020" s="6" t="s">
        <v>5821</v>
      </c>
      <c r="I1020" s="6" t="s">
        <v>7560</v>
      </c>
      <c r="J1020" s="6" t="s">
        <v>8904</v>
      </c>
      <c r="K1020" s="6" t="s">
        <v>9714</v>
      </c>
      <c r="L1020" s="16" t="n">
        <v>44643</v>
      </c>
      <c r="M1020" s="16" t="n">
        <v>45739</v>
      </c>
      <c r="N1020" s="6" t="s">
        <v>104</v>
      </c>
      <c r="O1020" s="21" t="s">
        <v>104</v>
      </c>
      <c r="P1020" s="6" t="s">
        <v>104</v>
      </c>
      <c r="Q1020" s="6" t="s">
        <v>104</v>
      </c>
      <c r="R1020" s="6" t="s">
        <v>104</v>
      </c>
      <c r="S1020" s="6" t="s">
        <v>104</v>
      </c>
      <c r="T1020" s="21" t="s">
        <v>104</v>
      </c>
      <c r="U1020" s="6" t="s">
        <v>104</v>
      </c>
      <c r="V1020" s="6" t="s">
        <v>104</v>
      </c>
      <c r="W1020" s="6" t="s">
        <v>104</v>
      </c>
      <c r="X1020" s="6" t="s">
        <v>104</v>
      </c>
      <c r="Y1020" s="21" t="s">
        <v>104</v>
      </c>
      <c r="Z1020" s="6" t="s">
        <v>104</v>
      </c>
      <c r="AA1020" s="6" t="s">
        <v>104</v>
      </c>
      <c r="AB1020" s="6" t="s">
        <v>104</v>
      </c>
      <c r="AC1020" s="6" t="s">
        <v>9714</v>
      </c>
      <c r="AD1020" s="16" t="n">
        <v>44643</v>
      </c>
      <c r="AE1020" s="6" t="s">
        <v>11429</v>
      </c>
      <c r="AF1020" s="6" t="s">
        <v>104</v>
      </c>
      <c r="AG1020" s="6" t="s">
        <v>104</v>
      </c>
      <c r="AH1020" s="6" t="s">
        <v>14085</v>
      </c>
      <c r="AI1020" s="6" t="s">
        <v>104</v>
      </c>
      <c r="AJ1020" s="6" t="s">
        <v>15675</v>
      </c>
      <c r="AK1020" s="6" t="s">
        <v>16687</v>
      </c>
      <c r="AL1020" s="6" t="s">
        <v>16931</v>
      </c>
      <c r="AM1020" s="6" t="s">
        <v>17292</v>
      </c>
      <c r="AN1020" s="6" t="s">
        <v>104</v>
      </c>
      <c r="AO1020" s="6" t="s">
        <v>104</v>
      </c>
      <c r="AP1020" s="6" t="s">
        <v>19205</v>
      </c>
      <c r="AQ1020" s="6" t="s">
        <v>104</v>
      </c>
      <c r="AR1020" s="6" t="s">
        <v>15498</v>
      </c>
      <c r="AS1020" s="6" t="s">
        <v>16687</v>
      </c>
      <c r="AT1020" s="6" t="s">
        <v>16931</v>
      </c>
      <c r="AU1020" s="6" t="s">
        <v>19926</v>
      </c>
      <c r="AV1020" s="6" t="s">
        <v>18517</v>
      </c>
      <c r="AW1020" s="6" t="s">
        <v>18726</v>
      </c>
      <c r="AX1020" s="6" t="s">
        <v>20916</v>
      </c>
      <c r="AY1020" s="6" t="s">
        <v>22697</v>
      </c>
      <c r="AZ1020" s="6" t="s">
        <v>104</v>
      </c>
      <c r="BA1020" s="6" t="s">
        <v>104</v>
      </c>
      <c r="BB1020" s="6" t="s">
        <v>104</v>
      </c>
      <c r="BC1020" s="26"/>
      <c r="BD1020" s="26"/>
      <c r="BE1020" s="26"/>
      <c r="BF1020" s="26"/>
      <c r="BG1020" s="26"/>
      <c r="BH1020" s="26"/>
      <c r="BI1020" s="26"/>
      <c r="BJ1020" s="26"/>
      <c r="BK1020" s="26"/>
      <c r="BL1020" s="26"/>
      <c r="BM1020" s="26"/>
      <c r="BN1020" s="26"/>
      <c r="BO1020" s="26"/>
      <c r="BP1020" s="16" t="n">
        <v>45539</v>
      </c>
      <c r="BQ1020" s="28" t="str">
        <f>HYPERLINK("https://organic.ams.usda.gov/Integrity/Certificate.aspx?cid=63&amp;nopid=6220008084")</f>
        <v>https://organic.ams.usda.gov/Integrity/Certificate.aspx?cid=63&amp;nopid=6220008084</v>
      </c>
    </row>
    <row r="1021">
      <c r="A1021" t="s">
        <v>3</v>
      </c>
      <c r="B1021" s="6" t="s">
        <v>44</v>
      </c>
      <c r="C1021" s="6" t="s">
        <v>110</v>
      </c>
      <c r="D1021" s="6" t="s">
        <v>174</v>
      </c>
      <c r="E1021" s="10" t="s">
        <v>1219</v>
      </c>
      <c r="F1021" s="6" t="s">
        <v>3463</v>
      </c>
      <c r="G1021" s="6" t="s">
        <v>104</v>
      </c>
      <c r="H1021" s="6" t="s">
        <v>5822</v>
      </c>
      <c r="I1021" s="6" t="s">
        <v>7151</v>
      </c>
      <c r="J1021" s="6" t="s">
        <v>8905</v>
      </c>
      <c r="K1021" s="6" t="s">
        <v>9714</v>
      </c>
      <c r="L1021" s="16" t="n">
        <v>38222</v>
      </c>
      <c r="M1021" s="16" t="n">
        <v>45672</v>
      </c>
      <c r="N1021" s="6" t="s">
        <v>104</v>
      </c>
      <c r="O1021" s="21" t="s">
        <v>104</v>
      </c>
      <c r="P1021" s="6" t="s">
        <v>104</v>
      </c>
      <c r="Q1021" s="6" t="s">
        <v>104</v>
      </c>
      <c r="R1021" s="6" t="s">
        <v>104</v>
      </c>
      <c r="S1021" s="6" t="s">
        <v>104</v>
      </c>
      <c r="T1021" s="21" t="s">
        <v>104</v>
      </c>
      <c r="U1021" s="6" t="s">
        <v>104</v>
      </c>
      <c r="V1021" s="6" t="s">
        <v>104</v>
      </c>
      <c r="W1021" s="6" t="s">
        <v>104</v>
      </c>
      <c r="X1021" s="6" t="s">
        <v>104</v>
      </c>
      <c r="Y1021" s="21" t="s">
        <v>104</v>
      </c>
      <c r="Z1021" s="6" t="s">
        <v>104</v>
      </c>
      <c r="AA1021" s="6" t="s">
        <v>104</v>
      </c>
      <c r="AB1021" s="6" t="s">
        <v>104</v>
      </c>
      <c r="AC1021" s="6" t="s">
        <v>9714</v>
      </c>
      <c r="AD1021" s="16" t="n">
        <v>38222</v>
      </c>
      <c r="AE1021" s="6" t="s">
        <v>11430</v>
      </c>
      <c r="AF1021" s="6" t="s">
        <v>104</v>
      </c>
      <c r="AG1021" s="6" t="s">
        <v>104</v>
      </c>
      <c r="AH1021" s="6" t="s">
        <v>14086</v>
      </c>
      <c r="AI1021" s="6" t="s">
        <v>104</v>
      </c>
      <c r="AJ1021" s="6" t="s">
        <v>15974</v>
      </c>
      <c r="AK1021" s="6" t="s">
        <v>15697</v>
      </c>
      <c r="AL1021" s="6" t="s">
        <v>16931</v>
      </c>
      <c r="AM1021" s="6" t="s">
        <v>17674</v>
      </c>
      <c r="AN1021" s="6" t="s">
        <v>18490</v>
      </c>
      <c r="AO1021" s="6" t="s">
        <v>18609</v>
      </c>
      <c r="AP1021" s="6" t="s">
        <v>14086</v>
      </c>
      <c r="AQ1021" s="6" t="s">
        <v>104</v>
      </c>
      <c r="AR1021" s="6" t="s">
        <v>15974</v>
      </c>
      <c r="AS1021" s="6" t="s">
        <v>15697</v>
      </c>
      <c r="AT1021" s="6" t="s">
        <v>16931</v>
      </c>
      <c r="AU1021" s="6" t="s">
        <v>17674</v>
      </c>
      <c r="AV1021" s="6" t="s">
        <v>104</v>
      </c>
      <c r="AW1021" s="6" t="s">
        <v>104</v>
      </c>
      <c r="AX1021" s="6" t="s">
        <v>20917</v>
      </c>
      <c r="AY1021" s="6" t="s">
        <v>22698</v>
      </c>
      <c r="AZ1021" s="6" t="s">
        <v>23951</v>
      </c>
      <c r="BA1021" s="6" t="s">
        <v>104</v>
      </c>
      <c r="BB1021" s="24" t="n">
        <v>0</v>
      </c>
      <c r="BC1021" s="26"/>
      <c r="BD1021" s="26"/>
      <c r="BE1021" s="26" t="s">
        <v>24533</v>
      </c>
      <c r="BF1021" s="26"/>
      <c r="BG1021" s="26"/>
      <c r="BH1021" s="26"/>
      <c r="BI1021" s="26"/>
      <c r="BJ1021" s="26"/>
      <c r="BK1021" s="26"/>
      <c r="BL1021" s="26" t="s">
        <v>24533</v>
      </c>
      <c r="BM1021" s="26"/>
      <c r="BN1021" s="26"/>
      <c r="BO1021" s="26"/>
      <c r="BP1021" s="16" t="n">
        <v>45611</v>
      </c>
      <c r="BQ1021" s="28" t="str">
        <f>HYPERLINK("https://organic.ams.usda.gov/Integrity/Certificate.aspx?cid=57&amp;nopid=3250200460")</f>
        <v>https://organic.ams.usda.gov/Integrity/Certificate.aspx?cid=57&amp;nopid=3250200460</v>
      </c>
    </row>
    <row r="1022">
      <c r="A1022" t="s">
        <v>3</v>
      </c>
      <c r="B1022" s="6" t="s">
        <v>22</v>
      </c>
      <c r="C1022" s="6" t="s">
        <v>88</v>
      </c>
      <c r="D1022" s="6" t="s">
        <v>153</v>
      </c>
      <c r="E1022" s="10" t="s">
        <v>1220</v>
      </c>
      <c r="F1022" s="6" t="s">
        <v>3464</v>
      </c>
      <c r="G1022" s="6" t="s">
        <v>104</v>
      </c>
      <c r="H1022" s="6" t="s">
        <v>5823</v>
      </c>
      <c r="I1022" s="6" t="s">
        <v>7561</v>
      </c>
      <c r="J1022" s="6" t="s">
        <v>8906</v>
      </c>
      <c r="K1022" s="6" t="s">
        <v>9714</v>
      </c>
      <c r="L1022" s="16" t="n">
        <v>45602</v>
      </c>
      <c r="M1022" s="16" t="n">
        <v>45839</v>
      </c>
      <c r="N1022" s="6" t="s">
        <v>104</v>
      </c>
      <c r="O1022" s="21" t="s">
        <v>104</v>
      </c>
      <c r="P1022" s="6" t="s">
        <v>104</v>
      </c>
      <c r="Q1022" s="6" t="s">
        <v>104</v>
      </c>
      <c r="R1022" s="6" t="s">
        <v>104</v>
      </c>
      <c r="S1022" s="6" t="s">
        <v>104</v>
      </c>
      <c r="T1022" s="21" t="s">
        <v>104</v>
      </c>
      <c r="U1022" s="6" t="s">
        <v>104</v>
      </c>
      <c r="V1022" s="6" t="s">
        <v>104</v>
      </c>
      <c r="W1022" s="6" t="s">
        <v>104</v>
      </c>
      <c r="X1022" s="6" t="s">
        <v>104</v>
      </c>
      <c r="Y1022" s="21" t="s">
        <v>104</v>
      </c>
      <c r="Z1022" s="6" t="s">
        <v>104</v>
      </c>
      <c r="AA1022" s="6" t="s">
        <v>104</v>
      </c>
      <c r="AB1022" s="6" t="s">
        <v>104</v>
      </c>
      <c r="AC1022" s="6" t="s">
        <v>9714</v>
      </c>
      <c r="AD1022" s="16" t="n">
        <v>45602</v>
      </c>
      <c r="AE1022" s="6" t="s">
        <v>11431</v>
      </c>
      <c r="AF1022" s="6" t="s">
        <v>104</v>
      </c>
      <c r="AG1022" s="6" t="s">
        <v>12813</v>
      </c>
      <c r="AH1022" s="6" t="s">
        <v>14087</v>
      </c>
      <c r="AI1022" s="6" t="s">
        <v>104</v>
      </c>
      <c r="AJ1022" s="6" t="s">
        <v>16037</v>
      </c>
      <c r="AK1022" s="6" t="s">
        <v>16370</v>
      </c>
      <c r="AL1022" s="6" t="s">
        <v>16931</v>
      </c>
      <c r="AM1022" s="6" t="s">
        <v>17675</v>
      </c>
      <c r="AN1022" s="6" t="s">
        <v>104</v>
      </c>
      <c r="AO1022" s="6" t="s">
        <v>104</v>
      </c>
      <c r="AP1022" s="6" t="s">
        <v>14087</v>
      </c>
      <c r="AQ1022" s="6" t="s">
        <v>104</v>
      </c>
      <c r="AR1022" s="6" t="s">
        <v>16037</v>
      </c>
      <c r="AS1022" s="6" t="s">
        <v>16370</v>
      </c>
      <c r="AT1022" s="6" t="s">
        <v>16931</v>
      </c>
      <c r="AU1022" s="6" t="s">
        <v>17675</v>
      </c>
      <c r="AV1022" s="6" t="s">
        <v>104</v>
      </c>
      <c r="AW1022" s="6" t="s">
        <v>104</v>
      </c>
      <c r="AX1022" s="6" t="s">
        <v>20918</v>
      </c>
      <c r="AY1022" s="6" t="s">
        <v>22699</v>
      </c>
      <c r="AZ1022" s="6" t="s">
        <v>23952</v>
      </c>
      <c r="BA1022" s="6" t="s">
        <v>104</v>
      </c>
      <c r="BB1022" s="6" t="s">
        <v>104</v>
      </c>
      <c r="BC1022" s="26"/>
      <c r="BD1022" s="26"/>
      <c r="BE1022" s="26"/>
      <c r="BF1022" s="26"/>
      <c r="BG1022" s="26" t="s">
        <v>24533</v>
      </c>
      <c r="BH1022" s="26"/>
      <c r="BI1022" s="26"/>
      <c r="BJ1022" s="26"/>
      <c r="BK1022" s="26"/>
      <c r="BL1022" s="26"/>
      <c r="BM1022" s="26"/>
      <c r="BN1022" s="26"/>
      <c r="BO1022" s="26"/>
      <c r="BP1022" s="16" t="n">
        <v>45663</v>
      </c>
      <c r="BQ1022" s="28" t="str">
        <f>HYPERLINK("https://organic.ams.usda.gov/Integrity/Certificate.aspx?cid=72&amp;nopid=5870107335")</f>
        <v>https://organic.ams.usda.gov/Integrity/Certificate.aspx?cid=72&amp;nopid=5870107335</v>
      </c>
    </row>
    <row r="1023">
      <c r="A1023" t="s">
        <v>3</v>
      </c>
      <c r="B1023" s="6" t="s">
        <v>49</v>
      </c>
      <c r="C1023" s="6" t="s">
        <v>115</v>
      </c>
      <c r="D1023" s="6" t="s">
        <v>179</v>
      </c>
      <c r="E1023" s="10" t="s">
        <v>1221</v>
      </c>
      <c r="F1023" s="6" t="s">
        <v>3465</v>
      </c>
      <c r="G1023" s="6" t="s">
        <v>104</v>
      </c>
      <c r="H1023" s="6" t="s">
        <v>5824</v>
      </c>
      <c r="I1023" s="6" t="s">
        <v>104</v>
      </c>
      <c r="J1023" s="6" t="s">
        <v>8907</v>
      </c>
      <c r="K1023" s="6" t="s">
        <v>9714</v>
      </c>
      <c r="L1023" s="16" t="n">
        <v>44203</v>
      </c>
      <c r="M1023" s="16" t="n">
        <v>45985</v>
      </c>
      <c r="N1023" s="6" t="s">
        <v>9714</v>
      </c>
      <c r="O1023" s="16" t="n">
        <v>44203</v>
      </c>
      <c r="P1023" s="6" t="s">
        <v>10001</v>
      </c>
      <c r="Q1023" s="6" t="s">
        <v>104</v>
      </c>
      <c r="R1023" s="6" t="s">
        <v>10365</v>
      </c>
      <c r="S1023" s="6" t="s">
        <v>104</v>
      </c>
      <c r="T1023" s="21" t="s">
        <v>104</v>
      </c>
      <c r="U1023" s="6" t="s">
        <v>104</v>
      </c>
      <c r="V1023" s="6" t="s">
        <v>104</v>
      </c>
      <c r="W1023" s="6" t="s">
        <v>104</v>
      </c>
      <c r="X1023" s="6" t="s">
        <v>104</v>
      </c>
      <c r="Y1023" s="21" t="s">
        <v>104</v>
      </c>
      <c r="Z1023" s="6" t="s">
        <v>104</v>
      </c>
      <c r="AA1023" s="6" t="s">
        <v>104</v>
      </c>
      <c r="AB1023" s="6" t="s">
        <v>104</v>
      </c>
      <c r="AC1023" s="6" t="s">
        <v>9714</v>
      </c>
      <c r="AD1023" s="16" t="n">
        <v>44203</v>
      </c>
      <c r="AE1023" s="6" t="s">
        <v>11432</v>
      </c>
      <c r="AF1023" s="6" t="s">
        <v>104</v>
      </c>
      <c r="AG1023" s="6" t="s">
        <v>10365</v>
      </c>
      <c r="AH1023" s="6" t="s">
        <v>14088</v>
      </c>
      <c r="AI1023" s="6" t="s">
        <v>104</v>
      </c>
      <c r="AJ1023" s="6" t="s">
        <v>15966</v>
      </c>
      <c r="AK1023" s="6" t="s">
        <v>104</v>
      </c>
      <c r="AL1023" s="6" t="s">
        <v>16957</v>
      </c>
      <c r="AM1023" s="6" t="s">
        <v>17605</v>
      </c>
      <c r="AN1023" s="6" t="s">
        <v>104</v>
      </c>
      <c r="AO1023" s="6" t="s">
        <v>104</v>
      </c>
      <c r="AP1023" s="6" t="s">
        <v>104</v>
      </c>
      <c r="AQ1023" s="6" t="s">
        <v>104</v>
      </c>
      <c r="AR1023" s="6" t="s">
        <v>104</v>
      </c>
      <c r="AS1023" s="6" t="s">
        <v>104</v>
      </c>
      <c r="AT1023" s="6" t="s">
        <v>104</v>
      </c>
      <c r="AU1023" s="6" t="s">
        <v>104</v>
      </c>
      <c r="AV1023" s="6" t="s">
        <v>104</v>
      </c>
      <c r="AW1023" s="6" t="s">
        <v>104</v>
      </c>
      <c r="AX1023" s="6" t="s">
        <v>20919</v>
      </c>
      <c r="AY1023" s="6" t="s">
        <v>22700</v>
      </c>
      <c r="AZ1023" s="6" t="s">
        <v>104</v>
      </c>
      <c r="BA1023" s="6" t="s">
        <v>104</v>
      </c>
      <c r="BB1023" s="24" t="n">
        <v>5486</v>
      </c>
      <c r="BC1023" s="26"/>
      <c r="BD1023" s="26"/>
      <c r="BE1023" s="26"/>
      <c r="BF1023" s="26"/>
      <c r="BG1023" s="26"/>
      <c r="BH1023" s="26"/>
      <c r="BI1023" s="26"/>
      <c r="BJ1023" s="26"/>
      <c r="BK1023" s="26"/>
      <c r="BL1023" s="26"/>
      <c r="BM1023" s="26"/>
      <c r="BN1023" s="26"/>
      <c r="BO1023" s="26"/>
      <c r="BP1023" s="16" t="n">
        <v>45723</v>
      </c>
      <c r="BQ1023" s="28" t="str">
        <f>HYPERLINK("https://organic.ams.usda.gov/Integrity/Certificate.aspx?cid=12&amp;nopid=8699693742")</f>
        <v>https://organic.ams.usda.gov/Integrity/Certificate.aspx?cid=12&amp;nopid=8699693742</v>
      </c>
    </row>
    <row r="1024">
      <c r="A1024" t="s">
        <v>3</v>
      </c>
      <c r="B1024" s="6" t="s">
        <v>13</v>
      </c>
      <c r="C1024" s="6" t="s">
        <v>79</v>
      </c>
      <c r="D1024" s="6" t="s">
        <v>144</v>
      </c>
      <c r="E1024" s="10" t="s">
        <v>1222</v>
      </c>
      <c r="F1024" s="6" t="s">
        <v>3466</v>
      </c>
      <c r="G1024" s="6" t="s">
        <v>104</v>
      </c>
      <c r="H1024" s="6" t="s">
        <v>5825</v>
      </c>
      <c r="I1024" s="6" t="s">
        <v>7562</v>
      </c>
      <c r="J1024" s="6" t="s">
        <v>8908</v>
      </c>
      <c r="K1024" s="6" t="s">
        <v>9714</v>
      </c>
      <c r="L1024" s="16" t="n">
        <v>45517</v>
      </c>
      <c r="M1024" s="16" t="n">
        <v>46023</v>
      </c>
      <c r="N1024" s="6" t="s">
        <v>104</v>
      </c>
      <c r="O1024" s="21" t="s">
        <v>104</v>
      </c>
      <c r="P1024" s="6" t="s">
        <v>104</v>
      </c>
      <c r="Q1024" s="6" t="s">
        <v>104</v>
      </c>
      <c r="R1024" s="6" t="s">
        <v>104</v>
      </c>
      <c r="S1024" s="6" t="s">
        <v>104</v>
      </c>
      <c r="T1024" s="21" t="s">
        <v>104</v>
      </c>
      <c r="U1024" s="6" t="s">
        <v>104</v>
      </c>
      <c r="V1024" s="6" t="s">
        <v>104</v>
      </c>
      <c r="W1024" s="6" t="s">
        <v>104</v>
      </c>
      <c r="X1024" s="6" t="s">
        <v>104</v>
      </c>
      <c r="Y1024" s="21" t="s">
        <v>104</v>
      </c>
      <c r="Z1024" s="6" t="s">
        <v>104</v>
      </c>
      <c r="AA1024" s="6" t="s">
        <v>104</v>
      </c>
      <c r="AB1024" s="6" t="s">
        <v>104</v>
      </c>
      <c r="AC1024" s="6" t="s">
        <v>9714</v>
      </c>
      <c r="AD1024" s="16" t="n">
        <v>45517</v>
      </c>
      <c r="AE1024" s="6" t="s">
        <v>11433</v>
      </c>
      <c r="AF1024" s="6" t="s">
        <v>104</v>
      </c>
      <c r="AG1024" s="6" t="s">
        <v>104</v>
      </c>
      <c r="AH1024" s="6" t="s">
        <v>104</v>
      </c>
      <c r="AI1024" s="6" t="s">
        <v>104</v>
      </c>
      <c r="AJ1024" s="6" t="s">
        <v>104</v>
      </c>
      <c r="AK1024" s="6" t="s">
        <v>104</v>
      </c>
      <c r="AL1024" s="6" t="s">
        <v>104</v>
      </c>
      <c r="AM1024" s="6" t="s">
        <v>104</v>
      </c>
      <c r="AN1024" s="6" t="s">
        <v>104</v>
      </c>
      <c r="AO1024" s="6" t="s">
        <v>104</v>
      </c>
      <c r="AP1024" s="6" t="s">
        <v>19206</v>
      </c>
      <c r="AQ1024" s="6" t="s">
        <v>19560</v>
      </c>
      <c r="AR1024" s="6" t="s">
        <v>15863</v>
      </c>
      <c r="AS1024" s="6" t="s">
        <v>16735</v>
      </c>
      <c r="AT1024" s="6" t="s">
        <v>16931</v>
      </c>
      <c r="AU1024" s="6" t="s">
        <v>19927</v>
      </c>
      <c r="AV1024" s="6" t="s">
        <v>104</v>
      </c>
      <c r="AW1024" s="6" t="s">
        <v>104</v>
      </c>
      <c r="AX1024" s="6" t="s">
        <v>20920</v>
      </c>
      <c r="AY1024" s="6" t="s">
        <v>22701</v>
      </c>
      <c r="AZ1024" s="6" t="s">
        <v>104</v>
      </c>
      <c r="BA1024" s="6" t="s">
        <v>104</v>
      </c>
      <c r="BB1024" s="6" t="s">
        <v>104</v>
      </c>
      <c r="BC1024" s="26"/>
      <c r="BD1024" s="26"/>
      <c r="BE1024" s="26"/>
      <c r="BF1024" s="26"/>
      <c r="BG1024" s="26"/>
      <c r="BH1024" s="26"/>
      <c r="BI1024" s="26"/>
      <c r="BJ1024" s="26"/>
      <c r="BK1024" s="26"/>
      <c r="BL1024" s="26"/>
      <c r="BM1024" s="26"/>
      <c r="BN1024" s="26"/>
      <c r="BO1024" s="26"/>
      <c r="BP1024" s="16" t="n">
        <v>45670</v>
      </c>
      <c r="BQ1024" s="28" t="str">
        <f>HYPERLINK("https://organic.ams.usda.gov/Integrity/Certificate.aspx?cid=62&amp;nopid=8150024863")</f>
        <v>https://organic.ams.usda.gov/Integrity/Certificate.aspx?cid=62&amp;nopid=8150024863</v>
      </c>
    </row>
    <row r="1025">
      <c r="A1025" t="s">
        <v>3</v>
      </c>
      <c r="B1025" s="6" t="s">
        <v>11</v>
      </c>
      <c r="C1025" s="6" t="s">
        <v>77</v>
      </c>
      <c r="D1025" s="6" t="s">
        <v>142</v>
      </c>
      <c r="E1025" s="10" t="s">
        <v>1223</v>
      </c>
      <c r="F1025" s="6" t="s">
        <v>3467</v>
      </c>
      <c r="G1025" s="6" t="s">
        <v>104</v>
      </c>
      <c r="H1025" s="6" t="s">
        <v>5826</v>
      </c>
      <c r="I1025" s="6" t="s">
        <v>7563</v>
      </c>
      <c r="J1025" s="6" t="s">
        <v>8909</v>
      </c>
      <c r="K1025" s="6" t="s">
        <v>9714</v>
      </c>
      <c r="L1025" s="16" t="n">
        <v>40566</v>
      </c>
      <c r="M1025" s="16" t="n">
        <v>45826</v>
      </c>
      <c r="N1025" s="6" t="s">
        <v>104</v>
      </c>
      <c r="O1025" s="21" t="s">
        <v>104</v>
      </c>
      <c r="P1025" s="6" t="s">
        <v>104</v>
      </c>
      <c r="Q1025" s="6" t="s">
        <v>104</v>
      </c>
      <c r="R1025" s="6" t="s">
        <v>104</v>
      </c>
      <c r="S1025" s="6" t="s">
        <v>104</v>
      </c>
      <c r="T1025" s="21" t="s">
        <v>104</v>
      </c>
      <c r="U1025" s="6" t="s">
        <v>104</v>
      </c>
      <c r="V1025" s="6" t="s">
        <v>104</v>
      </c>
      <c r="W1025" s="6" t="s">
        <v>104</v>
      </c>
      <c r="X1025" s="6" t="s">
        <v>104</v>
      </c>
      <c r="Y1025" s="21" t="s">
        <v>104</v>
      </c>
      <c r="Z1025" s="6" t="s">
        <v>104</v>
      </c>
      <c r="AA1025" s="6" t="s">
        <v>104</v>
      </c>
      <c r="AB1025" s="6" t="s">
        <v>104</v>
      </c>
      <c r="AC1025" s="6" t="s">
        <v>9714</v>
      </c>
      <c r="AD1025" s="16" t="n">
        <v>45461</v>
      </c>
      <c r="AE1025" s="6" t="s">
        <v>11434</v>
      </c>
      <c r="AF1025" s="6" t="s">
        <v>104</v>
      </c>
      <c r="AG1025" s="6" t="s">
        <v>104</v>
      </c>
      <c r="AH1025" s="6" t="s">
        <v>14089</v>
      </c>
      <c r="AI1025" s="6" t="s">
        <v>104</v>
      </c>
      <c r="AJ1025" s="6" t="s">
        <v>15857</v>
      </c>
      <c r="AK1025" s="6" t="s">
        <v>16370</v>
      </c>
      <c r="AL1025" s="6" t="s">
        <v>16931</v>
      </c>
      <c r="AM1025" s="6" t="s">
        <v>17487</v>
      </c>
      <c r="AN1025" s="6" t="s">
        <v>18456</v>
      </c>
      <c r="AO1025" s="6" t="s">
        <v>18582</v>
      </c>
      <c r="AP1025" s="6" t="s">
        <v>14089</v>
      </c>
      <c r="AQ1025" s="6" t="s">
        <v>104</v>
      </c>
      <c r="AR1025" s="6" t="s">
        <v>15857</v>
      </c>
      <c r="AS1025" s="6" t="s">
        <v>16370</v>
      </c>
      <c r="AT1025" s="6" t="s">
        <v>16931</v>
      </c>
      <c r="AU1025" s="6" t="s">
        <v>17487</v>
      </c>
      <c r="AV1025" s="6" t="s">
        <v>104</v>
      </c>
      <c r="AW1025" s="6" t="s">
        <v>104</v>
      </c>
      <c r="AX1025" s="6" t="s">
        <v>20921</v>
      </c>
      <c r="AY1025" s="6" t="s">
        <v>22702</v>
      </c>
      <c r="AZ1025" s="6" t="s">
        <v>104</v>
      </c>
      <c r="BA1025" s="6" t="s">
        <v>104</v>
      </c>
      <c r="BB1025" s="24" t="n">
        <v>0</v>
      </c>
      <c r="BC1025" s="26"/>
      <c r="BD1025" s="26"/>
      <c r="BE1025" s="26"/>
      <c r="BF1025" s="26"/>
      <c r="BG1025" s="26"/>
      <c r="BH1025" s="26"/>
      <c r="BI1025" s="26"/>
      <c r="BJ1025" s="26"/>
      <c r="BK1025" s="26"/>
      <c r="BL1025" s="26"/>
      <c r="BM1025" s="26"/>
      <c r="BN1025" s="26"/>
      <c r="BO1025" s="26"/>
      <c r="BP1025" s="16" t="n">
        <v>45735</v>
      </c>
      <c r="BQ1025" s="28" t="str">
        <f>HYPERLINK("https://organic.ams.usda.gov/Integrity/Certificate.aspx?cid=21&amp;nopid=1780816529")</f>
        <v>https://organic.ams.usda.gov/Integrity/Certificate.aspx?cid=21&amp;nopid=1780816529</v>
      </c>
    </row>
    <row r="1026">
      <c r="A1026" t="s">
        <v>3</v>
      </c>
      <c r="B1026" s="6" t="s">
        <v>30</v>
      </c>
      <c r="C1026" s="6" t="s">
        <v>96</v>
      </c>
      <c r="D1026" s="6" t="s">
        <v>161</v>
      </c>
      <c r="E1026" s="10" t="s">
        <v>1224</v>
      </c>
      <c r="F1026" s="6" t="s">
        <v>3468</v>
      </c>
      <c r="G1026" s="6" t="s">
        <v>104</v>
      </c>
      <c r="H1026" s="6" t="s">
        <v>5827</v>
      </c>
      <c r="I1026" s="6" t="s">
        <v>7564</v>
      </c>
      <c r="J1026" s="6" t="s">
        <v>8910</v>
      </c>
      <c r="K1026" s="6" t="s">
        <v>9714</v>
      </c>
      <c r="L1026" s="16" t="n">
        <v>45217</v>
      </c>
      <c r="M1026" s="16" t="n">
        <v>45872</v>
      </c>
      <c r="N1026" s="6" t="s">
        <v>104</v>
      </c>
      <c r="O1026" s="21" t="s">
        <v>104</v>
      </c>
      <c r="P1026" s="6" t="s">
        <v>104</v>
      </c>
      <c r="Q1026" s="6" t="s">
        <v>104</v>
      </c>
      <c r="R1026" s="6" t="s">
        <v>104</v>
      </c>
      <c r="S1026" s="6" t="s">
        <v>104</v>
      </c>
      <c r="T1026" s="21" t="s">
        <v>104</v>
      </c>
      <c r="U1026" s="6" t="s">
        <v>104</v>
      </c>
      <c r="V1026" s="6" t="s">
        <v>104</v>
      </c>
      <c r="W1026" s="6" t="s">
        <v>104</v>
      </c>
      <c r="X1026" s="6" t="s">
        <v>104</v>
      </c>
      <c r="Y1026" s="21" t="s">
        <v>104</v>
      </c>
      <c r="Z1026" s="6" t="s">
        <v>104</v>
      </c>
      <c r="AA1026" s="6" t="s">
        <v>104</v>
      </c>
      <c r="AB1026" s="6" t="s">
        <v>104</v>
      </c>
      <c r="AC1026" s="6" t="s">
        <v>9714</v>
      </c>
      <c r="AD1026" s="16" t="n">
        <v>45217</v>
      </c>
      <c r="AE1026" s="6" t="s">
        <v>11435</v>
      </c>
      <c r="AF1026" s="6" t="s">
        <v>104</v>
      </c>
      <c r="AG1026" s="6" t="s">
        <v>12814</v>
      </c>
      <c r="AH1026" s="6" t="s">
        <v>14090</v>
      </c>
      <c r="AI1026" s="6" t="s">
        <v>104</v>
      </c>
      <c r="AJ1026" s="6" t="s">
        <v>16038</v>
      </c>
      <c r="AK1026" s="6" t="s">
        <v>16842</v>
      </c>
      <c r="AL1026" s="6" t="s">
        <v>16973</v>
      </c>
      <c r="AM1026" s="6" t="s">
        <v>17676</v>
      </c>
      <c r="AN1026" s="6" t="s">
        <v>104</v>
      </c>
      <c r="AO1026" s="6" t="s">
        <v>104</v>
      </c>
      <c r="AP1026" s="6" t="s">
        <v>14090</v>
      </c>
      <c r="AQ1026" s="6" t="s">
        <v>104</v>
      </c>
      <c r="AR1026" s="6" t="s">
        <v>16038</v>
      </c>
      <c r="AS1026" s="6" t="s">
        <v>16842</v>
      </c>
      <c r="AT1026" s="6" t="s">
        <v>16973</v>
      </c>
      <c r="AU1026" s="6" t="s">
        <v>17676</v>
      </c>
      <c r="AV1026" s="6" t="s">
        <v>104</v>
      </c>
      <c r="AW1026" s="6" t="s">
        <v>104</v>
      </c>
      <c r="AX1026" s="6" t="s">
        <v>20922</v>
      </c>
      <c r="AY1026" s="6" t="s">
        <v>22703</v>
      </c>
      <c r="AZ1026" s="6" t="s">
        <v>104</v>
      </c>
      <c r="BA1026" s="6" t="s">
        <v>104</v>
      </c>
      <c r="BB1026" s="6" t="s">
        <v>104</v>
      </c>
      <c r="BC1026" s="26"/>
      <c r="BD1026" s="26"/>
      <c r="BE1026" s="26"/>
      <c r="BF1026" s="26"/>
      <c r="BG1026" s="26"/>
      <c r="BH1026" s="26"/>
      <c r="BI1026" s="26"/>
      <c r="BJ1026" s="26"/>
      <c r="BK1026" s="26"/>
      <c r="BL1026" s="26"/>
      <c r="BM1026" s="26"/>
      <c r="BN1026" s="26"/>
      <c r="BO1026" s="26"/>
      <c r="BP1026" s="16" t="n">
        <v>45639</v>
      </c>
      <c r="BQ1026" s="28" t="str">
        <f>HYPERLINK("https://organic.ams.usda.gov/Integrity/Certificate.aspx?cid=14&amp;nopid=6250041353")</f>
        <v>https://organic.ams.usda.gov/Integrity/Certificate.aspx?cid=14&amp;nopid=6250041353</v>
      </c>
    </row>
    <row r="1027">
      <c r="A1027" t="s">
        <v>3</v>
      </c>
      <c r="B1027" s="6" t="s">
        <v>17</v>
      </c>
      <c r="C1027" s="6" t="s">
        <v>83</v>
      </c>
      <c r="D1027" s="6" t="s">
        <v>148</v>
      </c>
      <c r="E1027" s="10" t="s">
        <v>1225</v>
      </c>
      <c r="F1027" s="6" t="s">
        <v>3469</v>
      </c>
      <c r="G1027" s="6" t="s">
        <v>104</v>
      </c>
      <c r="H1027" s="6" t="s">
        <v>5828</v>
      </c>
      <c r="I1027" s="6" t="s">
        <v>7565</v>
      </c>
      <c r="J1027" s="6" t="s">
        <v>8911</v>
      </c>
      <c r="K1027" s="6" t="s">
        <v>9714</v>
      </c>
      <c r="L1027" s="16" t="n">
        <v>45559</v>
      </c>
      <c r="M1027" s="16" t="n">
        <v>45748</v>
      </c>
      <c r="N1027" s="6" t="s">
        <v>104</v>
      </c>
      <c r="O1027" s="21" t="s">
        <v>104</v>
      </c>
      <c r="P1027" s="6" t="s">
        <v>104</v>
      </c>
      <c r="Q1027" s="6" t="s">
        <v>104</v>
      </c>
      <c r="R1027" s="6" t="s">
        <v>104</v>
      </c>
      <c r="S1027" s="6" t="s">
        <v>104</v>
      </c>
      <c r="T1027" s="21" t="s">
        <v>104</v>
      </c>
      <c r="U1027" s="6" t="s">
        <v>104</v>
      </c>
      <c r="V1027" s="6" t="s">
        <v>104</v>
      </c>
      <c r="W1027" s="6" t="s">
        <v>104</v>
      </c>
      <c r="X1027" s="6" t="s">
        <v>104</v>
      </c>
      <c r="Y1027" s="21" t="s">
        <v>104</v>
      </c>
      <c r="Z1027" s="6" t="s">
        <v>104</v>
      </c>
      <c r="AA1027" s="6" t="s">
        <v>104</v>
      </c>
      <c r="AB1027" s="6" t="s">
        <v>104</v>
      </c>
      <c r="AC1027" s="6" t="s">
        <v>9714</v>
      </c>
      <c r="AD1027" s="16" t="n">
        <v>45559</v>
      </c>
      <c r="AE1027" s="6" t="s">
        <v>11436</v>
      </c>
      <c r="AF1027" s="6" t="s">
        <v>104</v>
      </c>
      <c r="AG1027" s="6" t="s">
        <v>104</v>
      </c>
      <c r="AH1027" s="6" t="s">
        <v>14091</v>
      </c>
      <c r="AI1027" s="6" t="s">
        <v>15287</v>
      </c>
      <c r="AJ1027" s="6" t="s">
        <v>15498</v>
      </c>
      <c r="AK1027" s="6" t="s">
        <v>16680</v>
      </c>
      <c r="AL1027" s="6" t="s">
        <v>16931</v>
      </c>
      <c r="AM1027" s="6" t="s">
        <v>17677</v>
      </c>
      <c r="AN1027" s="6" t="s">
        <v>104</v>
      </c>
      <c r="AO1027" s="6" t="s">
        <v>104</v>
      </c>
      <c r="AP1027" s="6" t="s">
        <v>19207</v>
      </c>
      <c r="AQ1027" s="6" t="s">
        <v>104</v>
      </c>
      <c r="AR1027" s="6" t="s">
        <v>19686</v>
      </c>
      <c r="AS1027" s="6" t="s">
        <v>16680</v>
      </c>
      <c r="AT1027" s="6" t="s">
        <v>16931</v>
      </c>
      <c r="AU1027" s="6" t="s">
        <v>19928</v>
      </c>
      <c r="AV1027" s="6" t="s">
        <v>104</v>
      </c>
      <c r="AW1027" s="6" t="s">
        <v>104</v>
      </c>
      <c r="AX1027" s="6" t="s">
        <v>20923</v>
      </c>
      <c r="AY1027" s="6" t="s">
        <v>22704</v>
      </c>
      <c r="AZ1027" s="6" t="s">
        <v>104</v>
      </c>
      <c r="BA1027" s="6" t="s">
        <v>104</v>
      </c>
      <c r="BB1027" s="24" t="n">
        <v>0</v>
      </c>
      <c r="BC1027" s="26"/>
      <c r="BD1027" s="26"/>
      <c r="BE1027" s="26"/>
      <c r="BF1027" s="26"/>
      <c r="BG1027" s="26"/>
      <c r="BH1027" s="26" t="s">
        <v>24533</v>
      </c>
      <c r="BI1027" s="26"/>
      <c r="BJ1027" s="26"/>
      <c r="BK1027" s="26"/>
      <c r="BL1027" s="26"/>
      <c r="BM1027" s="26"/>
      <c r="BN1027" s="26"/>
      <c r="BO1027" s="26"/>
      <c r="BP1027" s="16" t="n">
        <v>45720</v>
      </c>
      <c r="BQ1027" s="28" t="str">
        <f>HYPERLINK("https://organic.ams.usda.gov/Integrity/Certificate.aspx?cid=51&amp;nopid=8241000142")</f>
        <v>https://organic.ams.usda.gov/Integrity/Certificate.aspx?cid=51&amp;nopid=8241000142</v>
      </c>
    </row>
    <row r="1028">
      <c r="A1028" t="s">
        <v>3</v>
      </c>
      <c r="B1028" s="6" t="s">
        <v>13</v>
      </c>
      <c r="C1028" s="6" t="s">
        <v>79</v>
      </c>
      <c r="D1028" s="6" t="s">
        <v>144</v>
      </c>
      <c r="E1028" s="10" t="s">
        <v>1226</v>
      </c>
      <c r="F1028" s="6" t="s">
        <v>3470</v>
      </c>
      <c r="G1028" s="6" t="s">
        <v>104</v>
      </c>
      <c r="H1028" s="6" t="s">
        <v>5829</v>
      </c>
      <c r="I1028" s="6" t="s">
        <v>7566</v>
      </c>
      <c r="J1028" s="6" t="s">
        <v>8912</v>
      </c>
      <c r="K1028" s="6" t="s">
        <v>9714</v>
      </c>
      <c r="L1028" s="16" t="n">
        <v>40988</v>
      </c>
      <c r="M1028" s="16" t="n">
        <v>46023</v>
      </c>
      <c r="N1028" s="6" t="s">
        <v>104</v>
      </c>
      <c r="O1028" s="21" t="s">
        <v>104</v>
      </c>
      <c r="P1028" s="6" t="s">
        <v>104</v>
      </c>
      <c r="Q1028" s="6" t="s">
        <v>104</v>
      </c>
      <c r="R1028" s="6" t="s">
        <v>104</v>
      </c>
      <c r="S1028" s="6" t="s">
        <v>104</v>
      </c>
      <c r="T1028" s="21" t="s">
        <v>104</v>
      </c>
      <c r="U1028" s="6" t="s">
        <v>104</v>
      </c>
      <c r="V1028" s="6" t="s">
        <v>104</v>
      </c>
      <c r="W1028" s="6" t="s">
        <v>104</v>
      </c>
      <c r="X1028" s="6" t="s">
        <v>104</v>
      </c>
      <c r="Y1028" s="21" t="s">
        <v>104</v>
      </c>
      <c r="Z1028" s="6" t="s">
        <v>104</v>
      </c>
      <c r="AA1028" s="6" t="s">
        <v>104</v>
      </c>
      <c r="AB1028" s="6" t="s">
        <v>104</v>
      </c>
      <c r="AC1028" s="6" t="s">
        <v>9714</v>
      </c>
      <c r="AD1028" s="16" t="n">
        <v>40988</v>
      </c>
      <c r="AE1028" s="6" t="s">
        <v>11437</v>
      </c>
      <c r="AF1028" s="6" t="s">
        <v>104</v>
      </c>
      <c r="AG1028" s="6" t="s">
        <v>104</v>
      </c>
      <c r="AH1028" s="6" t="s">
        <v>104</v>
      </c>
      <c r="AI1028" s="6" t="s">
        <v>104</v>
      </c>
      <c r="AJ1028" s="6" t="s">
        <v>104</v>
      </c>
      <c r="AK1028" s="6" t="s">
        <v>104</v>
      </c>
      <c r="AL1028" s="6" t="s">
        <v>104</v>
      </c>
      <c r="AM1028" s="6" t="s">
        <v>104</v>
      </c>
      <c r="AN1028" s="6" t="s">
        <v>104</v>
      </c>
      <c r="AO1028" s="6" t="s">
        <v>104</v>
      </c>
      <c r="AP1028" s="6" t="s">
        <v>19208</v>
      </c>
      <c r="AQ1028" s="6" t="s">
        <v>104</v>
      </c>
      <c r="AR1028" s="6" t="s">
        <v>19687</v>
      </c>
      <c r="AS1028" s="6" t="s">
        <v>16714</v>
      </c>
      <c r="AT1028" s="6" t="s">
        <v>16931</v>
      </c>
      <c r="AU1028" s="6" t="s">
        <v>19929</v>
      </c>
      <c r="AV1028" s="6" t="s">
        <v>17469</v>
      </c>
      <c r="AW1028" s="6" t="s">
        <v>18693</v>
      </c>
      <c r="AX1028" s="6" t="s">
        <v>20924</v>
      </c>
      <c r="AY1028" s="6" t="s">
        <v>22705</v>
      </c>
      <c r="AZ1028" s="6" t="s">
        <v>23953</v>
      </c>
      <c r="BA1028" s="6" t="s">
        <v>104</v>
      </c>
      <c r="BB1028" s="6" t="s">
        <v>104</v>
      </c>
      <c r="BC1028" s="26"/>
      <c r="BD1028" s="26"/>
      <c r="BE1028" s="26" t="s">
        <v>24533</v>
      </c>
      <c r="BF1028" s="26"/>
      <c r="BG1028" s="26"/>
      <c r="BH1028" s="26"/>
      <c r="BI1028" s="26"/>
      <c r="BJ1028" s="26"/>
      <c r="BK1028" s="26"/>
      <c r="BL1028" s="26"/>
      <c r="BM1028" s="26"/>
      <c r="BN1028" s="26"/>
      <c r="BO1028" s="26"/>
      <c r="BP1028" s="16" t="n">
        <v>45734</v>
      </c>
      <c r="BQ1028" s="28" t="str">
        <f>HYPERLINK("https://organic.ams.usda.gov/Integrity/Certificate.aspx?cid=62&amp;nopid=8150000001")</f>
        <v>https://organic.ams.usda.gov/Integrity/Certificate.aspx?cid=62&amp;nopid=8150000001</v>
      </c>
    </row>
    <row r="1029">
      <c r="A1029" t="s">
        <v>3</v>
      </c>
      <c r="B1029" s="6" t="s">
        <v>10</v>
      </c>
      <c r="C1029" s="6" t="s">
        <v>76</v>
      </c>
      <c r="D1029" s="6" t="s">
        <v>141</v>
      </c>
      <c r="E1029" s="10" t="s">
        <v>1227</v>
      </c>
      <c r="F1029" s="6" t="s">
        <v>3471</v>
      </c>
      <c r="G1029" s="6" t="s">
        <v>104</v>
      </c>
      <c r="H1029" s="6" t="s">
        <v>1227</v>
      </c>
      <c r="I1029" s="6" t="s">
        <v>7208</v>
      </c>
      <c r="J1029" s="6" t="s">
        <v>8913</v>
      </c>
      <c r="K1029" s="6" t="s">
        <v>9714</v>
      </c>
      <c r="L1029" s="16" t="n">
        <v>45447</v>
      </c>
      <c r="M1029" s="16" t="n">
        <v>45731</v>
      </c>
      <c r="N1029" s="6" t="s">
        <v>9714</v>
      </c>
      <c r="O1029" s="16" t="n">
        <v>45447</v>
      </c>
      <c r="P1029" s="6" t="s">
        <v>10002</v>
      </c>
      <c r="Q1029" s="6" t="s">
        <v>104</v>
      </c>
      <c r="R1029" s="6" t="s">
        <v>3471</v>
      </c>
      <c r="S1029" s="6" t="s">
        <v>104</v>
      </c>
      <c r="T1029" s="21" t="s">
        <v>104</v>
      </c>
      <c r="U1029" s="6" t="s">
        <v>104</v>
      </c>
      <c r="V1029" s="6" t="s">
        <v>104</v>
      </c>
      <c r="W1029" s="6" t="s">
        <v>104</v>
      </c>
      <c r="X1029" s="6" t="s">
        <v>104</v>
      </c>
      <c r="Y1029" s="21" t="s">
        <v>104</v>
      </c>
      <c r="Z1029" s="6" t="s">
        <v>104</v>
      </c>
      <c r="AA1029" s="6" t="s">
        <v>104</v>
      </c>
      <c r="AB1029" s="6" t="s">
        <v>104</v>
      </c>
      <c r="AC1029" s="6" t="s">
        <v>104</v>
      </c>
      <c r="AD1029" s="21" t="s">
        <v>104</v>
      </c>
      <c r="AE1029" s="6" t="s">
        <v>104</v>
      </c>
      <c r="AF1029" s="6" t="s">
        <v>104</v>
      </c>
      <c r="AG1029" s="6" t="s">
        <v>104</v>
      </c>
      <c r="AH1029" s="6" t="s">
        <v>14092</v>
      </c>
      <c r="AI1029" s="6" t="s">
        <v>104</v>
      </c>
      <c r="AJ1029" s="6" t="s">
        <v>16039</v>
      </c>
      <c r="AK1029" s="6" t="s">
        <v>16751</v>
      </c>
      <c r="AL1029" s="6" t="s">
        <v>16931</v>
      </c>
      <c r="AM1029" s="6" t="s">
        <v>17678</v>
      </c>
      <c r="AN1029" s="6" t="s">
        <v>104</v>
      </c>
      <c r="AO1029" s="6" t="s">
        <v>104</v>
      </c>
      <c r="AP1029" s="6" t="s">
        <v>19209</v>
      </c>
      <c r="AQ1029" s="6" t="s">
        <v>104</v>
      </c>
      <c r="AR1029" s="6" t="s">
        <v>16039</v>
      </c>
      <c r="AS1029" s="6" t="s">
        <v>16751</v>
      </c>
      <c r="AT1029" s="6" t="s">
        <v>16931</v>
      </c>
      <c r="AU1029" s="6" t="s">
        <v>17678</v>
      </c>
      <c r="AV1029" s="6" t="s">
        <v>104</v>
      </c>
      <c r="AW1029" s="6" t="s">
        <v>104</v>
      </c>
      <c r="AX1029" s="6" t="s">
        <v>20925</v>
      </c>
      <c r="AY1029" s="6" t="s">
        <v>22706</v>
      </c>
      <c r="AZ1029" s="6" t="s">
        <v>23954</v>
      </c>
      <c r="BA1029" s="6" t="s">
        <v>104</v>
      </c>
      <c r="BB1029" s="24" t="n">
        <v>10</v>
      </c>
      <c r="BC1029" s="26"/>
      <c r="BD1029" s="26"/>
      <c r="BE1029" s="26"/>
      <c r="BF1029" s="26"/>
      <c r="BG1029" s="26"/>
      <c r="BH1029" s="26"/>
      <c r="BI1029" s="26"/>
      <c r="BJ1029" s="26"/>
      <c r="BK1029" s="26"/>
      <c r="BL1029" s="26"/>
      <c r="BM1029" s="26"/>
      <c r="BN1029" s="26"/>
      <c r="BO1029" s="26"/>
      <c r="BP1029" s="16" t="n">
        <v>45450</v>
      </c>
      <c r="BQ1029" s="28" t="str">
        <f>HYPERLINK("https://organic.ams.usda.gov/Integrity/Certificate.aspx?cid=8&amp;nopid=2202407400")</f>
        <v>https://organic.ams.usda.gov/Integrity/Certificate.aspx?cid=8&amp;nopid=2202407400</v>
      </c>
    </row>
    <row r="1030">
      <c r="A1030" t="s">
        <v>3</v>
      </c>
      <c r="B1030" s="6" t="s">
        <v>47</v>
      </c>
      <c r="C1030" s="6" t="s">
        <v>113</v>
      </c>
      <c r="D1030" s="6" t="s">
        <v>177</v>
      </c>
      <c r="E1030" s="10" t="s">
        <v>1228</v>
      </c>
      <c r="F1030" s="6" t="s">
        <v>3472</v>
      </c>
      <c r="G1030" s="6" t="s">
        <v>104</v>
      </c>
      <c r="H1030" s="6" t="s">
        <v>5830</v>
      </c>
      <c r="I1030" s="6" t="s">
        <v>7439</v>
      </c>
      <c r="J1030" s="6" t="s">
        <v>8914</v>
      </c>
      <c r="K1030" s="6" t="s">
        <v>9714</v>
      </c>
      <c r="L1030" s="16" t="n">
        <v>39974</v>
      </c>
      <c r="M1030" s="16" t="n">
        <v>45762</v>
      </c>
      <c r="N1030" s="6" t="s">
        <v>9714</v>
      </c>
      <c r="O1030" s="16" t="n">
        <v>39974</v>
      </c>
      <c r="P1030" s="6" t="s">
        <v>10003</v>
      </c>
      <c r="Q1030" s="6" t="s">
        <v>104</v>
      </c>
      <c r="R1030" s="6" t="s">
        <v>10366</v>
      </c>
      <c r="S1030" s="6" t="s">
        <v>104</v>
      </c>
      <c r="T1030" s="21" t="s">
        <v>104</v>
      </c>
      <c r="U1030" s="6" t="s">
        <v>104</v>
      </c>
      <c r="V1030" s="6" t="s">
        <v>104</v>
      </c>
      <c r="W1030" s="6" t="s">
        <v>104</v>
      </c>
      <c r="X1030" s="6" t="s">
        <v>104</v>
      </c>
      <c r="Y1030" s="21" t="s">
        <v>104</v>
      </c>
      <c r="Z1030" s="6" t="s">
        <v>104</v>
      </c>
      <c r="AA1030" s="6" t="s">
        <v>104</v>
      </c>
      <c r="AB1030" s="6" t="s">
        <v>104</v>
      </c>
      <c r="AC1030" s="6" t="s">
        <v>104</v>
      </c>
      <c r="AD1030" s="21" t="s">
        <v>104</v>
      </c>
      <c r="AE1030" s="6" t="s">
        <v>104</v>
      </c>
      <c r="AF1030" s="6" t="s">
        <v>104</v>
      </c>
      <c r="AG1030" s="6" t="s">
        <v>104</v>
      </c>
      <c r="AH1030" s="6" t="s">
        <v>14093</v>
      </c>
      <c r="AI1030" s="6" t="s">
        <v>104</v>
      </c>
      <c r="AJ1030" s="6" t="s">
        <v>15974</v>
      </c>
      <c r="AK1030" s="6" t="s">
        <v>16734</v>
      </c>
      <c r="AL1030" s="6" t="s">
        <v>16931</v>
      </c>
      <c r="AM1030" s="6" t="s">
        <v>17679</v>
      </c>
      <c r="AN1030" s="6" t="s">
        <v>18456</v>
      </c>
      <c r="AO1030" s="6" t="s">
        <v>18758</v>
      </c>
      <c r="AP1030" s="6" t="s">
        <v>14093</v>
      </c>
      <c r="AQ1030" s="6" t="s">
        <v>104</v>
      </c>
      <c r="AR1030" s="6" t="s">
        <v>15974</v>
      </c>
      <c r="AS1030" s="6" t="s">
        <v>16734</v>
      </c>
      <c r="AT1030" s="6" t="s">
        <v>16931</v>
      </c>
      <c r="AU1030" s="6" t="s">
        <v>17679</v>
      </c>
      <c r="AV1030" s="6" t="s">
        <v>104</v>
      </c>
      <c r="AW1030" s="6" t="s">
        <v>104</v>
      </c>
      <c r="AX1030" s="6" t="s">
        <v>20926</v>
      </c>
      <c r="AY1030" s="6" t="s">
        <v>22707</v>
      </c>
      <c r="AZ1030" s="6" t="s">
        <v>104</v>
      </c>
      <c r="BA1030" s="6" t="s">
        <v>104</v>
      </c>
      <c r="BB1030" s="24" t="n">
        <v>26</v>
      </c>
      <c r="BC1030" s="26"/>
      <c r="BD1030" s="26"/>
      <c r="BE1030" s="26"/>
      <c r="BF1030" s="26"/>
      <c r="BG1030" s="26"/>
      <c r="BH1030" s="26"/>
      <c r="BI1030" s="26"/>
      <c r="BJ1030" s="26"/>
      <c r="BK1030" s="26"/>
      <c r="BL1030" s="26"/>
      <c r="BM1030" s="26"/>
      <c r="BN1030" s="26"/>
      <c r="BO1030" s="26"/>
      <c r="BP1030" s="16" t="n">
        <v>45693</v>
      </c>
      <c r="BQ1030" s="28" t="str">
        <f>HYPERLINK("https://organic.ams.usda.gov/Integrity/Certificate.aspx?cid=47&amp;nopid=7142070610")</f>
        <v>https://organic.ams.usda.gov/Integrity/Certificate.aspx?cid=47&amp;nopid=7142070610</v>
      </c>
    </row>
    <row r="1031">
      <c r="A1031" t="s">
        <v>3</v>
      </c>
      <c r="B1031" s="6" t="s">
        <v>20</v>
      </c>
      <c r="C1031" s="6" t="s">
        <v>86</v>
      </c>
      <c r="D1031" s="6" t="s">
        <v>151</v>
      </c>
      <c r="E1031" s="10" t="s">
        <v>1229</v>
      </c>
      <c r="F1031" s="6" t="s">
        <v>3473</v>
      </c>
      <c r="G1031" s="6" t="s">
        <v>104</v>
      </c>
      <c r="H1031" s="6" t="s">
        <v>5831</v>
      </c>
      <c r="I1031" s="6" t="s">
        <v>7567</v>
      </c>
      <c r="J1031" s="6" t="s">
        <v>8915</v>
      </c>
      <c r="K1031" s="6" t="s">
        <v>9714</v>
      </c>
      <c r="L1031" s="16" t="n">
        <v>43413</v>
      </c>
      <c r="M1031" s="16" t="n">
        <v>45930</v>
      </c>
      <c r="N1031" s="6" t="s">
        <v>104</v>
      </c>
      <c r="O1031" s="21" t="s">
        <v>104</v>
      </c>
      <c r="P1031" s="6" t="s">
        <v>104</v>
      </c>
      <c r="Q1031" s="6" t="s">
        <v>104</v>
      </c>
      <c r="R1031" s="6" t="s">
        <v>104</v>
      </c>
      <c r="S1031" s="6" t="s">
        <v>104</v>
      </c>
      <c r="T1031" s="21" t="s">
        <v>104</v>
      </c>
      <c r="U1031" s="6" t="s">
        <v>104</v>
      </c>
      <c r="V1031" s="6" t="s">
        <v>104</v>
      </c>
      <c r="W1031" s="6" t="s">
        <v>104</v>
      </c>
      <c r="X1031" s="6" t="s">
        <v>104</v>
      </c>
      <c r="Y1031" s="21" t="s">
        <v>104</v>
      </c>
      <c r="Z1031" s="6" t="s">
        <v>104</v>
      </c>
      <c r="AA1031" s="6" t="s">
        <v>104</v>
      </c>
      <c r="AB1031" s="6" t="s">
        <v>104</v>
      </c>
      <c r="AC1031" s="6" t="s">
        <v>9714</v>
      </c>
      <c r="AD1031" s="16" t="n">
        <v>43413</v>
      </c>
      <c r="AE1031" s="6" t="s">
        <v>11438</v>
      </c>
      <c r="AF1031" s="6" t="s">
        <v>104</v>
      </c>
      <c r="AG1031" s="6" t="s">
        <v>12815</v>
      </c>
      <c r="AH1031" s="6" t="s">
        <v>14094</v>
      </c>
      <c r="AI1031" s="6" t="s">
        <v>104</v>
      </c>
      <c r="AJ1031" s="6" t="s">
        <v>15661</v>
      </c>
      <c r="AK1031" s="6" t="s">
        <v>15661</v>
      </c>
      <c r="AL1031" s="6" t="s">
        <v>16939</v>
      </c>
      <c r="AM1031" s="6" t="s">
        <v>17082</v>
      </c>
      <c r="AN1031" s="6" t="s">
        <v>104</v>
      </c>
      <c r="AO1031" s="6" t="s">
        <v>104</v>
      </c>
      <c r="AP1031" s="6" t="s">
        <v>104</v>
      </c>
      <c r="AQ1031" s="6" t="s">
        <v>104</v>
      </c>
      <c r="AR1031" s="6" t="s">
        <v>104</v>
      </c>
      <c r="AS1031" s="6" t="s">
        <v>104</v>
      </c>
      <c r="AT1031" s="6" t="s">
        <v>104</v>
      </c>
      <c r="AU1031" s="6" t="s">
        <v>104</v>
      </c>
      <c r="AV1031" s="6" t="s">
        <v>104</v>
      </c>
      <c r="AW1031" s="6" t="s">
        <v>104</v>
      </c>
      <c r="AX1031" s="6" t="s">
        <v>20927</v>
      </c>
      <c r="AY1031" s="6" t="s">
        <v>22708</v>
      </c>
      <c r="AZ1031" s="6" t="s">
        <v>23955</v>
      </c>
      <c r="BA1031" s="6" t="s">
        <v>24400</v>
      </c>
      <c r="BB1031" s="6" t="s">
        <v>104</v>
      </c>
      <c r="BC1031" s="26"/>
      <c r="BD1031" s="26"/>
      <c r="BE1031" s="26"/>
      <c r="BF1031" s="26"/>
      <c r="BG1031" s="26"/>
      <c r="BH1031" s="26"/>
      <c r="BI1031" s="26"/>
      <c r="BJ1031" s="26"/>
      <c r="BK1031" s="26"/>
      <c r="BL1031" s="26"/>
      <c r="BM1031" s="26"/>
      <c r="BN1031" s="26"/>
      <c r="BO1031" s="26"/>
      <c r="BP1031" s="16" t="n">
        <v>45555</v>
      </c>
      <c r="BQ1031" s="28" t="str">
        <f>HYPERLINK("https://organic.ams.usda.gov/Integrity/Certificate.aspx?cid=17&amp;nopid=4080400043")</f>
        <v>https://organic.ams.usda.gov/Integrity/Certificate.aspx?cid=17&amp;nopid=4080400043</v>
      </c>
    </row>
    <row r="1032">
      <c r="A1032" t="s">
        <v>3</v>
      </c>
      <c r="B1032" s="6" t="s">
        <v>49</v>
      </c>
      <c r="C1032" s="6" t="s">
        <v>115</v>
      </c>
      <c r="D1032" s="6" t="s">
        <v>179</v>
      </c>
      <c r="E1032" s="10" t="s">
        <v>1230</v>
      </c>
      <c r="F1032" s="6" t="s">
        <v>3474</v>
      </c>
      <c r="G1032" s="6" t="s">
        <v>104</v>
      </c>
      <c r="H1032" s="6" t="s">
        <v>5832</v>
      </c>
      <c r="I1032" s="6" t="s">
        <v>104</v>
      </c>
      <c r="J1032" s="6" t="s">
        <v>104</v>
      </c>
      <c r="K1032" s="6" t="s">
        <v>9714</v>
      </c>
      <c r="L1032" s="16" t="n">
        <v>44783</v>
      </c>
      <c r="M1032" s="16" t="n">
        <v>45757</v>
      </c>
      <c r="N1032" s="6" t="s">
        <v>104</v>
      </c>
      <c r="O1032" s="21" t="s">
        <v>104</v>
      </c>
      <c r="P1032" s="6" t="s">
        <v>104</v>
      </c>
      <c r="Q1032" s="6" t="s">
        <v>104</v>
      </c>
      <c r="R1032" s="6" t="s">
        <v>104</v>
      </c>
      <c r="S1032" s="6" t="s">
        <v>104</v>
      </c>
      <c r="T1032" s="21" t="s">
        <v>104</v>
      </c>
      <c r="U1032" s="6" t="s">
        <v>104</v>
      </c>
      <c r="V1032" s="6" t="s">
        <v>104</v>
      </c>
      <c r="W1032" s="6" t="s">
        <v>104</v>
      </c>
      <c r="X1032" s="6" t="s">
        <v>104</v>
      </c>
      <c r="Y1032" s="21" t="s">
        <v>104</v>
      </c>
      <c r="Z1032" s="6" t="s">
        <v>104</v>
      </c>
      <c r="AA1032" s="6" t="s">
        <v>104</v>
      </c>
      <c r="AB1032" s="6" t="s">
        <v>104</v>
      </c>
      <c r="AC1032" s="6" t="s">
        <v>9714</v>
      </c>
      <c r="AD1032" s="16" t="n">
        <v>44783</v>
      </c>
      <c r="AE1032" s="6" t="s">
        <v>11439</v>
      </c>
      <c r="AF1032" s="6" t="s">
        <v>104</v>
      </c>
      <c r="AG1032" s="6" t="s">
        <v>12816</v>
      </c>
      <c r="AH1032" s="6" t="s">
        <v>14095</v>
      </c>
      <c r="AI1032" s="6" t="s">
        <v>104</v>
      </c>
      <c r="AJ1032" s="6" t="s">
        <v>15966</v>
      </c>
      <c r="AK1032" s="6" t="s">
        <v>104</v>
      </c>
      <c r="AL1032" s="6" t="s">
        <v>16957</v>
      </c>
      <c r="AM1032" s="6" t="s">
        <v>17680</v>
      </c>
      <c r="AN1032" s="6" t="s">
        <v>104</v>
      </c>
      <c r="AO1032" s="6" t="s">
        <v>104</v>
      </c>
      <c r="AP1032" s="6" t="s">
        <v>104</v>
      </c>
      <c r="AQ1032" s="6" t="s">
        <v>104</v>
      </c>
      <c r="AR1032" s="6" t="s">
        <v>104</v>
      </c>
      <c r="AS1032" s="6" t="s">
        <v>104</v>
      </c>
      <c r="AT1032" s="6" t="s">
        <v>104</v>
      </c>
      <c r="AU1032" s="6" t="s">
        <v>104</v>
      </c>
      <c r="AV1032" s="6" t="s">
        <v>104</v>
      </c>
      <c r="AW1032" s="6" t="s">
        <v>104</v>
      </c>
      <c r="AX1032" s="6" t="s">
        <v>20928</v>
      </c>
      <c r="AY1032" s="6" t="s">
        <v>22709</v>
      </c>
      <c r="AZ1032" s="6" t="s">
        <v>104</v>
      </c>
      <c r="BA1032" s="6" t="s">
        <v>104</v>
      </c>
      <c r="BB1032" s="24" t="n">
        <v>0</v>
      </c>
      <c r="BC1032" s="26"/>
      <c r="BD1032" s="26"/>
      <c r="BE1032" s="26"/>
      <c r="BF1032" s="26"/>
      <c r="BG1032" s="26"/>
      <c r="BH1032" s="26"/>
      <c r="BI1032" s="26"/>
      <c r="BJ1032" s="26"/>
      <c r="BK1032" s="26"/>
      <c r="BL1032" s="26"/>
      <c r="BM1032" s="26"/>
      <c r="BN1032" s="26"/>
      <c r="BO1032" s="26"/>
      <c r="BP1032" s="16" t="n">
        <v>45513</v>
      </c>
      <c r="BQ1032" s="28" t="str">
        <f>HYPERLINK("https://organic.ams.usda.gov/Integrity/Certificate.aspx?cid=12&amp;nopid=8699694155")</f>
        <v>https://organic.ams.usda.gov/Integrity/Certificate.aspx?cid=12&amp;nopid=8699694155</v>
      </c>
    </row>
    <row r="1033">
      <c r="A1033" t="s">
        <v>3</v>
      </c>
      <c r="B1033" s="6" t="s">
        <v>54</v>
      </c>
      <c r="C1033" s="6" t="s">
        <v>120</v>
      </c>
      <c r="D1033" s="6" t="s">
        <v>184</v>
      </c>
      <c r="E1033" s="10" t="s">
        <v>1231</v>
      </c>
      <c r="F1033" s="6" t="s">
        <v>3475</v>
      </c>
      <c r="G1033" s="6" t="s">
        <v>104</v>
      </c>
      <c r="H1033" s="6" t="s">
        <v>5833</v>
      </c>
      <c r="I1033" s="6" t="s">
        <v>7386</v>
      </c>
      <c r="J1033" s="6" t="s">
        <v>8564</v>
      </c>
      <c r="K1033" s="6" t="s">
        <v>9714</v>
      </c>
      <c r="L1033" s="16" t="n">
        <v>42942</v>
      </c>
      <c r="M1033" s="16" t="n">
        <v>45717</v>
      </c>
      <c r="N1033" s="6" t="s">
        <v>104</v>
      </c>
      <c r="O1033" s="21" t="s">
        <v>104</v>
      </c>
      <c r="P1033" s="6" t="s">
        <v>104</v>
      </c>
      <c r="Q1033" s="6" t="s">
        <v>104</v>
      </c>
      <c r="R1033" s="6" t="s">
        <v>104</v>
      </c>
      <c r="S1033" s="6" t="s">
        <v>104</v>
      </c>
      <c r="T1033" s="21" t="s">
        <v>104</v>
      </c>
      <c r="U1033" s="6" t="s">
        <v>104</v>
      </c>
      <c r="V1033" s="6" t="s">
        <v>104</v>
      </c>
      <c r="W1033" s="6" t="s">
        <v>104</v>
      </c>
      <c r="X1033" s="6" t="s">
        <v>104</v>
      </c>
      <c r="Y1033" s="21" t="s">
        <v>104</v>
      </c>
      <c r="Z1033" s="6" t="s">
        <v>104</v>
      </c>
      <c r="AA1033" s="6" t="s">
        <v>104</v>
      </c>
      <c r="AB1033" s="6" t="s">
        <v>104</v>
      </c>
      <c r="AC1033" s="6" t="s">
        <v>9714</v>
      </c>
      <c r="AD1033" s="16" t="n">
        <v>42942</v>
      </c>
      <c r="AE1033" s="6" t="s">
        <v>11440</v>
      </c>
      <c r="AF1033" s="6" t="s">
        <v>104</v>
      </c>
      <c r="AG1033" s="6" t="s">
        <v>104</v>
      </c>
      <c r="AH1033" s="6" t="s">
        <v>14096</v>
      </c>
      <c r="AI1033" s="6" t="s">
        <v>104</v>
      </c>
      <c r="AJ1033" s="6" t="s">
        <v>15651</v>
      </c>
      <c r="AK1033" s="6" t="s">
        <v>16743</v>
      </c>
      <c r="AL1033" s="6" t="s">
        <v>16931</v>
      </c>
      <c r="AM1033" s="6" t="s">
        <v>17268</v>
      </c>
      <c r="AN1033" s="6" t="s">
        <v>18464</v>
      </c>
      <c r="AO1033" s="6" t="s">
        <v>18558</v>
      </c>
      <c r="AP1033" s="6" t="s">
        <v>19210</v>
      </c>
      <c r="AQ1033" s="6" t="s">
        <v>104</v>
      </c>
      <c r="AR1033" s="6" t="s">
        <v>15651</v>
      </c>
      <c r="AS1033" s="6" t="s">
        <v>16743</v>
      </c>
      <c r="AT1033" s="6" t="s">
        <v>16931</v>
      </c>
      <c r="AU1033" s="6" t="s">
        <v>17268</v>
      </c>
      <c r="AV1033" s="6" t="s">
        <v>104</v>
      </c>
      <c r="AW1033" s="6" t="s">
        <v>104</v>
      </c>
      <c r="AX1033" s="6" t="s">
        <v>20929</v>
      </c>
      <c r="AY1033" s="6" t="s">
        <v>22710</v>
      </c>
      <c r="AZ1033" s="6" t="s">
        <v>104</v>
      </c>
      <c r="BA1033" s="6" t="s">
        <v>24267</v>
      </c>
      <c r="BB1033" s="6" t="s">
        <v>104</v>
      </c>
      <c r="BC1033" s="26"/>
      <c r="BD1033" s="26"/>
      <c r="BE1033" s="26"/>
      <c r="BF1033" s="26"/>
      <c r="BG1033" s="26"/>
      <c r="BH1033" s="26"/>
      <c r="BI1033" s="26"/>
      <c r="BJ1033" s="26"/>
      <c r="BK1033" s="26"/>
      <c r="BL1033" s="26"/>
      <c r="BM1033" s="26"/>
      <c r="BN1033" s="26" t="s">
        <v>24533</v>
      </c>
      <c r="BO1033" s="26"/>
      <c r="BP1033" s="16" t="n">
        <v>45674</v>
      </c>
      <c r="BQ1033" s="28" t="str">
        <f>HYPERLINK("https://organic.ams.usda.gov/Integrity/Certificate.aspx?cid=60&amp;nopid=2580002143")</f>
        <v>https://organic.ams.usda.gov/Integrity/Certificate.aspx?cid=60&amp;nopid=2580002143</v>
      </c>
    </row>
    <row r="1034">
      <c r="A1034" t="s">
        <v>3</v>
      </c>
      <c r="B1034" s="6" t="s">
        <v>21</v>
      </c>
      <c r="C1034" s="6" t="s">
        <v>87</v>
      </c>
      <c r="D1034" s="6" t="s">
        <v>152</v>
      </c>
      <c r="E1034" s="10" t="s">
        <v>1232</v>
      </c>
      <c r="F1034" s="6" t="s">
        <v>3476</v>
      </c>
      <c r="G1034" s="6" t="s">
        <v>104</v>
      </c>
      <c r="H1034" s="6" t="s">
        <v>5834</v>
      </c>
      <c r="I1034" s="6" t="s">
        <v>7568</v>
      </c>
      <c r="J1034" s="6" t="s">
        <v>8916</v>
      </c>
      <c r="K1034" s="6" t="s">
        <v>9714</v>
      </c>
      <c r="L1034" s="16" t="n">
        <v>45399</v>
      </c>
      <c r="M1034" s="16" t="n">
        <v>46023</v>
      </c>
      <c r="N1034" s="6" t="s">
        <v>104</v>
      </c>
      <c r="O1034" s="21" t="s">
        <v>104</v>
      </c>
      <c r="P1034" s="6" t="s">
        <v>104</v>
      </c>
      <c r="Q1034" s="6" t="s">
        <v>104</v>
      </c>
      <c r="R1034" s="6" t="s">
        <v>104</v>
      </c>
      <c r="S1034" s="6" t="s">
        <v>104</v>
      </c>
      <c r="T1034" s="21" t="s">
        <v>104</v>
      </c>
      <c r="U1034" s="6" t="s">
        <v>104</v>
      </c>
      <c r="V1034" s="6" t="s">
        <v>104</v>
      </c>
      <c r="W1034" s="6" t="s">
        <v>104</v>
      </c>
      <c r="X1034" s="6" t="s">
        <v>104</v>
      </c>
      <c r="Y1034" s="21" t="s">
        <v>104</v>
      </c>
      <c r="Z1034" s="6" t="s">
        <v>104</v>
      </c>
      <c r="AA1034" s="6" t="s">
        <v>104</v>
      </c>
      <c r="AB1034" s="6" t="s">
        <v>104</v>
      </c>
      <c r="AC1034" s="6" t="s">
        <v>9714</v>
      </c>
      <c r="AD1034" s="16" t="n">
        <v>45399</v>
      </c>
      <c r="AE1034" s="6" t="s">
        <v>11441</v>
      </c>
      <c r="AF1034" s="6" t="s">
        <v>104</v>
      </c>
      <c r="AG1034" s="6" t="s">
        <v>104</v>
      </c>
      <c r="AH1034" s="6" t="s">
        <v>14097</v>
      </c>
      <c r="AI1034" s="6" t="s">
        <v>104</v>
      </c>
      <c r="AJ1034" s="6" t="s">
        <v>8056</v>
      </c>
      <c r="AK1034" s="6" t="s">
        <v>16680</v>
      </c>
      <c r="AL1034" s="6" t="s">
        <v>16931</v>
      </c>
      <c r="AM1034" s="6" t="s">
        <v>17681</v>
      </c>
      <c r="AN1034" s="6" t="s">
        <v>104</v>
      </c>
      <c r="AO1034" s="6" t="s">
        <v>104</v>
      </c>
      <c r="AP1034" s="6" t="s">
        <v>14097</v>
      </c>
      <c r="AQ1034" s="6" t="s">
        <v>104</v>
      </c>
      <c r="AR1034" s="6" t="s">
        <v>8056</v>
      </c>
      <c r="AS1034" s="6" t="s">
        <v>16680</v>
      </c>
      <c r="AT1034" s="6" t="s">
        <v>16931</v>
      </c>
      <c r="AU1034" s="6" t="s">
        <v>17681</v>
      </c>
      <c r="AV1034" s="6" t="s">
        <v>104</v>
      </c>
      <c r="AW1034" s="6" t="s">
        <v>104</v>
      </c>
      <c r="AX1034" s="6" t="s">
        <v>20930</v>
      </c>
      <c r="AY1034" s="6" t="s">
        <v>22711</v>
      </c>
      <c r="AZ1034" s="6" t="s">
        <v>23956</v>
      </c>
      <c r="BA1034" s="6" t="s">
        <v>104</v>
      </c>
      <c r="BB1034" s="6" t="s">
        <v>104</v>
      </c>
      <c r="BC1034" s="26"/>
      <c r="BD1034" s="26"/>
      <c r="BE1034" s="26"/>
      <c r="BF1034" s="26"/>
      <c r="BG1034" s="26"/>
      <c r="BH1034" s="26"/>
      <c r="BI1034" s="26"/>
      <c r="BJ1034" s="26"/>
      <c r="BK1034" s="26"/>
      <c r="BL1034" s="26"/>
      <c r="BM1034" s="26"/>
      <c r="BN1034" s="26"/>
      <c r="BO1034" s="26"/>
      <c r="BP1034" s="16" t="n">
        <v>45667</v>
      </c>
      <c r="BQ1034" s="28" t="str">
        <f>HYPERLINK("https://organic.ams.usda.gov/Integrity/Certificate.aspx?cid=15&amp;nopid=5561008384")</f>
        <v>https://organic.ams.usda.gov/Integrity/Certificate.aspx?cid=15&amp;nopid=5561008384</v>
      </c>
    </row>
    <row r="1035">
      <c r="A1035" t="s">
        <v>3</v>
      </c>
      <c r="B1035" s="6" t="s">
        <v>14</v>
      </c>
      <c r="C1035" s="6" t="s">
        <v>80</v>
      </c>
      <c r="D1035" s="6" t="s">
        <v>145</v>
      </c>
      <c r="E1035" s="10" t="s">
        <v>1233</v>
      </c>
      <c r="F1035" s="6" t="s">
        <v>3477</v>
      </c>
      <c r="G1035" s="6" t="s">
        <v>104</v>
      </c>
      <c r="H1035" s="6" t="s">
        <v>5835</v>
      </c>
      <c r="I1035" s="6" t="s">
        <v>7569</v>
      </c>
      <c r="J1035" s="6" t="s">
        <v>8917</v>
      </c>
      <c r="K1035" s="6" t="s">
        <v>9714</v>
      </c>
      <c r="L1035" s="16" t="n">
        <v>45490</v>
      </c>
      <c r="M1035" s="16" t="n">
        <v>46052</v>
      </c>
      <c r="N1035" s="6" t="s">
        <v>104</v>
      </c>
      <c r="O1035" s="21" t="s">
        <v>104</v>
      </c>
      <c r="P1035" s="6" t="s">
        <v>104</v>
      </c>
      <c r="Q1035" s="6" t="s">
        <v>104</v>
      </c>
      <c r="R1035" s="6" t="s">
        <v>104</v>
      </c>
      <c r="S1035" s="6" t="s">
        <v>104</v>
      </c>
      <c r="T1035" s="21" t="s">
        <v>104</v>
      </c>
      <c r="U1035" s="6" t="s">
        <v>104</v>
      </c>
      <c r="V1035" s="6" t="s">
        <v>104</v>
      </c>
      <c r="W1035" s="6" t="s">
        <v>104</v>
      </c>
      <c r="X1035" s="6" t="s">
        <v>104</v>
      </c>
      <c r="Y1035" s="21" t="s">
        <v>104</v>
      </c>
      <c r="Z1035" s="6" t="s">
        <v>104</v>
      </c>
      <c r="AA1035" s="6" t="s">
        <v>104</v>
      </c>
      <c r="AB1035" s="6" t="s">
        <v>104</v>
      </c>
      <c r="AC1035" s="6" t="s">
        <v>9714</v>
      </c>
      <c r="AD1035" s="16" t="n">
        <v>45490</v>
      </c>
      <c r="AE1035" s="6" t="s">
        <v>11442</v>
      </c>
      <c r="AF1035" s="6" t="s">
        <v>104</v>
      </c>
      <c r="AG1035" s="6" t="s">
        <v>104</v>
      </c>
      <c r="AH1035" s="6" t="s">
        <v>14098</v>
      </c>
      <c r="AI1035" s="6" t="s">
        <v>104</v>
      </c>
      <c r="AJ1035" s="6" t="s">
        <v>16040</v>
      </c>
      <c r="AK1035" s="6" t="s">
        <v>16270</v>
      </c>
      <c r="AL1035" s="6" t="s">
        <v>16932</v>
      </c>
      <c r="AM1035" s="6" t="s">
        <v>17682</v>
      </c>
      <c r="AN1035" s="6" t="s">
        <v>104</v>
      </c>
      <c r="AO1035" s="6" t="s">
        <v>104</v>
      </c>
      <c r="AP1035" s="6" t="s">
        <v>104</v>
      </c>
      <c r="AQ1035" s="6" t="s">
        <v>104</v>
      </c>
      <c r="AR1035" s="6" t="s">
        <v>104</v>
      </c>
      <c r="AS1035" s="6" t="s">
        <v>104</v>
      </c>
      <c r="AT1035" s="6" t="s">
        <v>104</v>
      </c>
      <c r="AU1035" s="6" t="s">
        <v>104</v>
      </c>
      <c r="AV1035" s="6" t="s">
        <v>104</v>
      </c>
      <c r="AW1035" s="6" t="s">
        <v>104</v>
      </c>
      <c r="AX1035" s="6" t="s">
        <v>20931</v>
      </c>
      <c r="AY1035" s="6" t="s">
        <v>22712</v>
      </c>
      <c r="AZ1035" s="6" t="s">
        <v>104</v>
      </c>
      <c r="BA1035" s="6" t="s">
        <v>24267</v>
      </c>
      <c r="BB1035" s="6" t="s">
        <v>104</v>
      </c>
      <c r="BC1035" s="26"/>
      <c r="BD1035" s="26"/>
      <c r="BE1035" s="26"/>
      <c r="BF1035" s="26"/>
      <c r="BG1035" s="26"/>
      <c r="BH1035" s="26"/>
      <c r="BI1035" s="26"/>
      <c r="BJ1035" s="26"/>
      <c r="BK1035" s="26"/>
      <c r="BL1035" s="26"/>
      <c r="BM1035" s="26"/>
      <c r="BN1035" s="26"/>
      <c r="BO1035" s="26"/>
      <c r="BP1035" s="16" t="n">
        <v>45730</v>
      </c>
      <c r="BQ1035" s="28" t="str">
        <f>HYPERLINK("https://organic.ams.usda.gov/Integrity/Certificate.aspx?cid=89&amp;nopid=4920006645")</f>
        <v>https://organic.ams.usda.gov/Integrity/Certificate.aspx?cid=89&amp;nopid=4920006645</v>
      </c>
    </row>
    <row r="1036">
      <c r="A1036" t="s">
        <v>3</v>
      </c>
      <c r="B1036" s="6" t="s">
        <v>14</v>
      </c>
      <c r="C1036" s="6" t="s">
        <v>80</v>
      </c>
      <c r="D1036" s="6" t="s">
        <v>145</v>
      </c>
      <c r="E1036" s="10" t="s">
        <v>1234</v>
      </c>
      <c r="F1036" s="6" t="s">
        <v>3478</v>
      </c>
      <c r="G1036" s="6" t="s">
        <v>104</v>
      </c>
      <c r="H1036" s="6" t="s">
        <v>5836</v>
      </c>
      <c r="I1036" s="6" t="s">
        <v>7570</v>
      </c>
      <c r="J1036" s="6" t="s">
        <v>8918</v>
      </c>
      <c r="K1036" s="6" t="s">
        <v>9714</v>
      </c>
      <c r="L1036" s="16" t="n">
        <v>44796</v>
      </c>
      <c r="M1036" s="16" t="n">
        <v>45838</v>
      </c>
      <c r="N1036" s="6" t="s">
        <v>104</v>
      </c>
      <c r="O1036" s="21" t="s">
        <v>104</v>
      </c>
      <c r="P1036" s="6" t="s">
        <v>104</v>
      </c>
      <c r="Q1036" s="6" t="s">
        <v>104</v>
      </c>
      <c r="R1036" s="6" t="s">
        <v>104</v>
      </c>
      <c r="S1036" s="6" t="s">
        <v>104</v>
      </c>
      <c r="T1036" s="21" t="s">
        <v>104</v>
      </c>
      <c r="U1036" s="6" t="s">
        <v>104</v>
      </c>
      <c r="V1036" s="6" t="s">
        <v>104</v>
      </c>
      <c r="W1036" s="6" t="s">
        <v>104</v>
      </c>
      <c r="X1036" s="6" t="s">
        <v>104</v>
      </c>
      <c r="Y1036" s="21" t="s">
        <v>104</v>
      </c>
      <c r="Z1036" s="6" t="s">
        <v>104</v>
      </c>
      <c r="AA1036" s="6" t="s">
        <v>104</v>
      </c>
      <c r="AB1036" s="6" t="s">
        <v>104</v>
      </c>
      <c r="AC1036" s="6" t="s">
        <v>9714</v>
      </c>
      <c r="AD1036" s="16" t="n">
        <v>44796</v>
      </c>
      <c r="AE1036" s="6" t="s">
        <v>11443</v>
      </c>
      <c r="AF1036" s="6" t="s">
        <v>104</v>
      </c>
      <c r="AG1036" s="6" t="s">
        <v>104</v>
      </c>
      <c r="AH1036" s="6" t="s">
        <v>14099</v>
      </c>
      <c r="AI1036" s="6" t="s">
        <v>104</v>
      </c>
      <c r="AJ1036" s="6" t="s">
        <v>16041</v>
      </c>
      <c r="AK1036" s="6" t="s">
        <v>16713</v>
      </c>
      <c r="AL1036" s="6" t="s">
        <v>16932</v>
      </c>
      <c r="AM1036" s="6" t="s">
        <v>17683</v>
      </c>
      <c r="AN1036" s="6" t="s">
        <v>104</v>
      </c>
      <c r="AO1036" s="6" t="s">
        <v>104</v>
      </c>
      <c r="AP1036" s="6" t="s">
        <v>104</v>
      </c>
      <c r="AQ1036" s="6" t="s">
        <v>104</v>
      </c>
      <c r="AR1036" s="6" t="s">
        <v>104</v>
      </c>
      <c r="AS1036" s="6" t="s">
        <v>104</v>
      </c>
      <c r="AT1036" s="6" t="s">
        <v>104</v>
      </c>
      <c r="AU1036" s="6" t="s">
        <v>104</v>
      </c>
      <c r="AV1036" s="6" t="s">
        <v>104</v>
      </c>
      <c r="AW1036" s="6" t="s">
        <v>104</v>
      </c>
      <c r="AX1036" s="6" t="s">
        <v>20932</v>
      </c>
      <c r="AY1036" s="6" t="s">
        <v>22713</v>
      </c>
      <c r="AZ1036" s="6" t="s">
        <v>104</v>
      </c>
      <c r="BA1036" s="6" t="s">
        <v>24272</v>
      </c>
      <c r="BB1036" s="6" t="s">
        <v>104</v>
      </c>
      <c r="BC1036" s="26"/>
      <c r="BD1036" s="26"/>
      <c r="BE1036" s="26"/>
      <c r="BF1036" s="26"/>
      <c r="BG1036" s="26"/>
      <c r="BH1036" s="26"/>
      <c r="BI1036" s="26"/>
      <c r="BJ1036" s="26"/>
      <c r="BK1036" s="26"/>
      <c r="BL1036" s="26"/>
      <c r="BM1036" s="26"/>
      <c r="BN1036" s="26"/>
      <c r="BO1036" s="26"/>
      <c r="BP1036" s="16" t="n">
        <v>45603</v>
      </c>
      <c r="BQ1036" s="28" t="str">
        <f>HYPERLINK("https://organic.ams.usda.gov/Integrity/Certificate.aspx?cid=89&amp;nopid=4920004258")</f>
        <v>https://organic.ams.usda.gov/Integrity/Certificate.aspx?cid=89&amp;nopid=4920004258</v>
      </c>
    </row>
    <row r="1037">
      <c r="A1037" t="s">
        <v>3</v>
      </c>
      <c r="B1037" s="6" t="s">
        <v>14</v>
      </c>
      <c r="C1037" s="6" t="s">
        <v>80</v>
      </c>
      <c r="D1037" s="6" t="s">
        <v>145</v>
      </c>
      <c r="E1037" s="10" t="s">
        <v>1235</v>
      </c>
      <c r="F1037" s="6" t="s">
        <v>3479</v>
      </c>
      <c r="G1037" s="6" t="s">
        <v>104</v>
      </c>
      <c r="H1037" s="6" t="s">
        <v>5837</v>
      </c>
      <c r="I1037" s="6" t="s">
        <v>7569</v>
      </c>
      <c r="J1037" s="6" t="s">
        <v>8917</v>
      </c>
      <c r="K1037" s="6" t="s">
        <v>9714</v>
      </c>
      <c r="L1037" s="16" t="n">
        <v>44804</v>
      </c>
      <c r="M1037" s="16" t="n">
        <v>45799</v>
      </c>
      <c r="N1037" s="6" t="s">
        <v>104</v>
      </c>
      <c r="O1037" s="21" t="s">
        <v>104</v>
      </c>
      <c r="P1037" s="6" t="s">
        <v>104</v>
      </c>
      <c r="Q1037" s="6" t="s">
        <v>104</v>
      </c>
      <c r="R1037" s="6" t="s">
        <v>104</v>
      </c>
      <c r="S1037" s="6" t="s">
        <v>104</v>
      </c>
      <c r="T1037" s="21" t="s">
        <v>104</v>
      </c>
      <c r="U1037" s="6" t="s">
        <v>104</v>
      </c>
      <c r="V1037" s="6" t="s">
        <v>104</v>
      </c>
      <c r="W1037" s="6" t="s">
        <v>104</v>
      </c>
      <c r="X1037" s="6" t="s">
        <v>104</v>
      </c>
      <c r="Y1037" s="21" t="s">
        <v>104</v>
      </c>
      <c r="Z1037" s="6" t="s">
        <v>104</v>
      </c>
      <c r="AA1037" s="6" t="s">
        <v>104</v>
      </c>
      <c r="AB1037" s="6" t="s">
        <v>104</v>
      </c>
      <c r="AC1037" s="6" t="s">
        <v>9714</v>
      </c>
      <c r="AD1037" s="16" t="n">
        <v>44804</v>
      </c>
      <c r="AE1037" s="6" t="s">
        <v>11444</v>
      </c>
      <c r="AF1037" s="6" t="s">
        <v>104</v>
      </c>
      <c r="AG1037" s="6" t="s">
        <v>104</v>
      </c>
      <c r="AH1037" s="6" t="s">
        <v>14100</v>
      </c>
      <c r="AI1037" s="6" t="s">
        <v>104</v>
      </c>
      <c r="AJ1037" s="6" t="s">
        <v>16042</v>
      </c>
      <c r="AK1037" s="6" t="s">
        <v>16270</v>
      </c>
      <c r="AL1037" s="6" t="s">
        <v>16932</v>
      </c>
      <c r="AM1037" s="6" t="s">
        <v>17684</v>
      </c>
      <c r="AN1037" s="6" t="s">
        <v>104</v>
      </c>
      <c r="AO1037" s="6" t="s">
        <v>104</v>
      </c>
      <c r="AP1037" s="6" t="s">
        <v>104</v>
      </c>
      <c r="AQ1037" s="6" t="s">
        <v>104</v>
      </c>
      <c r="AR1037" s="6" t="s">
        <v>104</v>
      </c>
      <c r="AS1037" s="6" t="s">
        <v>104</v>
      </c>
      <c r="AT1037" s="6" t="s">
        <v>104</v>
      </c>
      <c r="AU1037" s="6" t="s">
        <v>104</v>
      </c>
      <c r="AV1037" s="6" t="s">
        <v>104</v>
      </c>
      <c r="AW1037" s="6" t="s">
        <v>104</v>
      </c>
      <c r="AX1037" s="6" t="s">
        <v>20931</v>
      </c>
      <c r="AY1037" s="6" t="s">
        <v>22712</v>
      </c>
      <c r="AZ1037" s="6" t="s">
        <v>104</v>
      </c>
      <c r="BA1037" s="6" t="s">
        <v>24323</v>
      </c>
      <c r="BB1037" s="6" t="s">
        <v>104</v>
      </c>
      <c r="BC1037" s="26"/>
      <c r="BD1037" s="26"/>
      <c r="BE1037" s="26"/>
      <c r="BF1037" s="26"/>
      <c r="BG1037" s="26"/>
      <c r="BH1037" s="26"/>
      <c r="BI1037" s="26"/>
      <c r="BJ1037" s="26"/>
      <c r="BK1037" s="26"/>
      <c r="BL1037" s="26"/>
      <c r="BM1037" s="26"/>
      <c r="BN1037" s="26"/>
      <c r="BO1037" s="26"/>
      <c r="BP1037" s="16" t="n">
        <v>45568</v>
      </c>
      <c r="BQ1037" s="28" t="str">
        <f>HYPERLINK("https://organic.ams.usda.gov/Integrity/Certificate.aspx?cid=89&amp;nopid=4920005829")</f>
        <v>https://organic.ams.usda.gov/Integrity/Certificate.aspx?cid=89&amp;nopid=4920005829</v>
      </c>
    </row>
    <row r="1038">
      <c r="A1038" t="s">
        <v>3</v>
      </c>
      <c r="B1038" s="6" t="s">
        <v>20</v>
      </c>
      <c r="C1038" s="6" t="s">
        <v>86</v>
      </c>
      <c r="D1038" s="6" t="s">
        <v>151</v>
      </c>
      <c r="E1038" s="10" t="s">
        <v>1236</v>
      </c>
      <c r="F1038" s="6" t="s">
        <v>3480</v>
      </c>
      <c r="G1038" s="6" t="s">
        <v>104</v>
      </c>
      <c r="H1038" s="6" t="s">
        <v>5838</v>
      </c>
      <c r="I1038" s="6" t="s">
        <v>7571</v>
      </c>
      <c r="J1038" s="6" t="s">
        <v>8919</v>
      </c>
      <c r="K1038" s="6" t="s">
        <v>9714</v>
      </c>
      <c r="L1038" s="16" t="n">
        <v>45540</v>
      </c>
      <c r="M1038" s="16" t="n">
        <v>45869</v>
      </c>
      <c r="N1038" s="6" t="s">
        <v>9714</v>
      </c>
      <c r="O1038" s="16" t="n">
        <v>45540</v>
      </c>
      <c r="P1038" s="6" t="s">
        <v>10004</v>
      </c>
      <c r="Q1038" s="6" t="s">
        <v>104</v>
      </c>
      <c r="R1038" s="6" t="s">
        <v>10367</v>
      </c>
      <c r="S1038" s="6" t="s">
        <v>104</v>
      </c>
      <c r="T1038" s="21" t="s">
        <v>104</v>
      </c>
      <c r="U1038" s="6" t="s">
        <v>104</v>
      </c>
      <c r="V1038" s="6" t="s">
        <v>104</v>
      </c>
      <c r="W1038" s="6" t="s">
        <v>104</v>
      </c>
      <c r="X1038" s="6" t="s">
        <v>9714</v>
      </c>
      <c r="Y1038" s="16" t="n">
        <v>45540</v>
      </c>
      <c r="Z1038" s="6" t="s">
        <v>10522</v>
      </c>
      <c r="AA1038" s="6" t="s">
        <v>104</v>
      </c>
      <c r="AB1038" s="6" t="s">
        <v>10367</v>
      </c>
      <c r="AC1038" s="6" t="s">
        <v>9714</v>
      </c>
      <c r="AD1038" s="16" t="n">
        <v>45540</v>
      </c>
      <c r="AE1038" s="6" t="s">
        <v>11445</v>
      </c>
      <c r="AF1038" s="6" t="s">
        <v>104</v>
      </c>
      <c r="AG1038" s="6" t="s">
        <v>10367</v>
      </c>
      <c r="AH1038" s="6" t="s">
        <v>14101</v>
      </c>
      <c r="AI1038" s="6" t="s">
        <v>104</v>
      </c>
      <c r="AJ1038" s="6" t="s">
        <v>15520</v>
      </c>
      <c r="AK1038" s="6" t="s">
        <v>16843</v>
      </c>
      <c r="AL1038" s="6" t="s">
        <v>16898</v>
      </c>
      <c r="AM1038" s="6" t="s">
        <v>104</v>
      </c>
      <c r="AN1038" s="6" t="s">
        <v>104</v>
      </c>
      <c r="AO1038" s="6" t="s">
        <v>104</v>
      </c>
      <c r="AP1038" s="6" t="s">
        <v>104</v>
      </c>
      <c r="AQ1038" s="6" t="s">
        <v>104</v>
      </c>
      <c r="AR1038" s="6" t="s">
        <v>104</v>
      </c>
      <c r="AS1038" s="6" t="s">
        <v>104</v>
      </c>
      <c r="AT1038" s="6" t="s">
        <v>104</v>
      </c>
      <c r="AU1038" s="6" t="s">
        <v>104</v>
      </c>
      <c r="AV1038" s="6" t="s">
        <v>104</v>
      </c>
      <c r="AW1038" s="6" t="s">
        <v>104</v>
      </c>
      <c r="AX1038" s="6" t="s">
        <v>20933</v>
      </c>
      <c r="AY1038" s="6" t="s">
        <v>22714</v>
      </c>
      <c r="AZ1038" s="6" t="s">
        <v>104</v>
      </c>
      <c r="BA1038" s="6" t="s">
        <v>24401</v>
      </c>
      <c r="BB1038" s="24" t="n">
        <v>8578</v>
      </c>
      <c r="BC1038" s="26"/>
      <c r="BD1038" s="26"/>
      <c r="BE1038" s="26"/>
      <c r="BF1038" s="26"/>
      <c r="BG1038" s="26"/>
      <c r="BH1038" s="26"/>
      <c r="BI1038" s="26"/>
      <c r="BJ1038" s="26"/>
      <c r="BK1038" s="26"/>
      <c r="BL1038" s="26"/>
      <c r="BM1038" s="26"/>
      <c r="BN1038" s="26"/>
      <c r="BO1038" s="26" t="s">
        <v>24533</v>
      </c>
      <c r="BP1038" s="16" t="n">
        <v>45735</v>
      </c>
      <c r="BQ1038" s="28" t="str">
        <f>HYPERLINK("https://organic.ams.usda.gov/Integrity/Certificate.aspx?cid=17&amp;nopid=4080207266")</f>
        <v>https://organic.ams.usda.gov/Integrity/Certificate.aspx?cid=17&amp;nopid=4080207266</v>
      </c>
    </row>
    <row r="1039">
      <c r="A1039" t="s">
        <v>3</v>
      </c>
      <c r="B1039" s="6" t="s">
        <v>35</v>
      </c>
      <c r="C1039" s="6" t="s">
        <v>101</v>
      </c>
      <c r="D1039" s="6" t="s">
        <v>166</v>
      </c>
      <c r="E1039" s="10" t="s">
        <v>1237</v>
      </c>
      <c r="F1039" s="6" t="s">
        <v>3481</v>
      </c>
      <c r="G1039" s="6" t="s">
        <v>104</v>
      </c>
      <c r="H1039" s="6" t="s">
        <v>5839</v>
      </c>
      <c r="I1039" s="6" t="s">
        <v>7572</v>
      </c>
      <c r="J1039" s="6" t="s">
        <v>8920</v>
      </c>
      <c r="K1039" s="6" t="s">
        <v>9714</v>
      </c>
      <c r="L1039" s="16" t="n">
        <v>43921</v>
      </c>
      <c r="M1039" s="16" t="n">
        <v>45716</v>
      </c>
      <c r="N1039" s="6" t="s">
        <v>104</v>
      </c>
      <c r="O1039" s="21" t="s">
        <v>104</v>
      </c>
      <c r="P1039" s="6" t="s">
        <v>104</v>
      </c>
      <c r="Q1039" s="6" t="s">
        <v>104</v>
      </c>
      <c r="R1039" s="6" t="s">
        <v>104</v>
      </c>
      <c r="S1039" s="6" t="s">
        <v>104</v>
      </c>
      <c r="T1039" s="21" t="s">
        <v>104</v>
      </c>
      <c r="U1039" s="6" t="s">
        <v>104</v>
      </c>
      <c r="V1039" s="6" t="s">
        <v>104</v>
      </c>
      <c r="W1039" s="6" t="s">
        <v>104</v>
      </c>
      <c r="X1039" s="6" t="s">
        <v>104</v>
      </c>
      <c r="Y1039" s="21" t="s">
        <v>104</v>
      </c>
      <c r="Z1039" s="6" t="s">
        <v>104</v>
      </c>
      <c r="AA1039" s="6" t="s">
        <v>104</v>
      </c>
      <c r="AB1039" s="6" t="s">
        <v>104</v>
      </c>
      <c r="AC1039" s="6" t="s">
        <v>9714</v>
      </c>
      <c r="AD1039" s="16" t="n">
        <v>43921</v>
      </c>
      <c r="AE1039" s="6" t="s">
        <v>11446</v>
      </c>
      <c r="AF1039" s="6" t="s">
        <v>104</v>
      </c>
      <c r="AG1039" s="6" t="s">
        <v>104</v>
      </c>
      <c r="AH1039" s="6" t="s">
        <v>14102</v>
      </c>
      <c r="AI1039" s="6" t="s">
        <v>104</v>
      </c>
      <c r="AJ1039" s="6" t="s">
        <v>16043</v>
      </c>
      <c r="AK1039" s="6" t="s">
        <v>104</v>
      </c>
      <c r="AL1039" s="6" t="s">
        <v>16898</v>
      </c>
      <c r="AM1039" s="6" t="s">
        <v>104</v>
      </c>
      <c r="AN1039" s="6" t="s">
        <v>104</v>
      </c>
      <c r="AO1039" s="6" t="s">
        <v>104</v>
      </c>
      <c r="AP1039" s="6" t="s">
        <v>14102</v>
      </c>
      <c r="AQ1039" s="6" t="s">
        <v>104</v>
      </c>
      <c r="AR1039" s="6" t="s">
        <v>16043</v>
      </c>
      <c r="AS1039" s="6" t="s">
        <v>104</v>
      </c>
      <c r="AT1039" s="6" t="s">
        <v>16898</v>
      </c>
      <c r="AU1039" s="6" t="s">
        <v>104</v>
      </c>
      <c r="AV1039" s="6" t="s">
        <v>104</v>
      </c>
      <c r="AW1039" s="6" t="s">
        <v>104</v>
      </c>
      <c r="AX1039" s="6" t="s">
        <v>20934</v>
      </c>
      <c r="AY1039" s="6" t="s">
        <v>22715</v>
      </c>
      <c r="AZ1039" s="6" t="s">
        <v>23957</v>
      </c>
      <c r="BA1039" s="6" t="s">
        <v>24402</v>
      </c>
      <c r="BB1039" s="6" t="s">
        <v>104</v>
      </c>
      <c r="BC1039" s="26"/>
      <c r="BD1039" s="26"/>
      <c r="BE1039" s="26"/>
      <c r="BF1039" s="26"/>
      <c r="BG1039" s="26"/>
      <c r="BH1039" s="26"/>
      <c r="BI1039" s="26"/>
      <c r="BJ1039" s="26"/>
      <c r="BK1039" s="26"/>
      <c r="BL1039" s="26"/>
      <c r="BM1039" s="26"/>
      <c r="BN1039" s="26"/>
      <c r="BO1039" s="26"/>
      <c r="BP1039" s="16" t="n">
        <v>45544</v>
      </c>
      <c r="BQ1039" s="28" t="str">
        <f>HYPERLINK("https://organic.ams.usda.gov/Integrity/Certificate.aspx?cid=84&amp;nopid=5380000511")</f>
        <v>https://organic.ams.usda.gov/Integrity/Certificate.aspx?cid=84&amp;nopid=5380000511</v>
      </c>
    </row>
    <row r="1040">
      <c r="A1040" t="s">
        <v>3</v>
      </c>
      <c r="B1040" s="6" t="s">
        <v>38</v>
      </c>
      <c r="C1040" s="6" t="s">
        <v>104</v>
      </c>
      <c r="D1040" s="6" t="s">
        <v>104</v>
      </c>
      <c r="E1040" s="10" t="s">
        <v>1238</v>
      </c>
      <c r="F1040" s="6" t="s">
        <v>3482</v>
      </c>
      <c r="G1040" s="6" t="s">
        <v>4769</v>
      </c>
      <c r="H1040" s="6" t="s">
        <v>5840</v>
      </c>
      <c r="I1040" s="6" t="s">
        <v>6985</v>
      </c>
      <c r="J1040" s="6" t="s">
        <v>8921</v>
      </c>
      <c r="K1040" s="6" t="s">
        <v>9714</v>
      </c>
      <c r="L1040" s="16" t="n">
        <v>39979</v>
      </c>
      <c r="M1040" s="16" t="n">
        <v>45823</v>
      </c>
      <c r="N1040" s="6" t="s">
        <v>9714</v>
      </c>
      <c r="O1040" s="16" t="n">
        <v>39979</v>
      </c>
      <c r="P1040" s="6" t="s">
        <v>10005</v>
      </c>
      <c r="Q1040" s="6" t="s">
        <v>104</v>
      </c>
      <c r="R1040" s="6" t="s">
        <v>5840</v>
      </c>
      <c r="S1040" s="6" t="s">
        <v>104</v>
      </c>
      <c r="T1040" s="21" t="s">
        <v>104</v>
      </c>
      <c r="U1040" s="6" t="s">
        <v>104</v>
      </c>
      <c r="V1040" s="6" t="s">
        <v>104</v>
      </c>
      <c r="W1040" s="6" t="s">
        <v>104</v>
      </c>
      <c r="X1040" s="6" t="s">
        <v>104</v>
      </c>
      <c r="Y1040" s="21" t="s">
        <v>104</v>
      </c>
      <c r="Z1040" s="6" t="s">
        <v>104</v>
      </c>
      <c r="AA1040" s="6" t="s">
        <v>104</v>
      </c>
      <c r="AB1040" s="6" t="s">
        <v>104</v>
      </c>
      <c r="AC1040" s="6" t="s">
        <v>104</v>
      </c>
      <c r="AD1040" s="21" t="s">
        <v>104</v>
      </c>
      <c r="AE1040" s="6" t="s">
        <v>104</v>
      </c>
      <c r="AF1040" s="6" t="s">
        <v>104</v>
      </c>
      <c r="AG1040" s="6" t="s">
        <v>104</v>
      </c>
      <c r="AH1040" s="6" t="s">
        <v>14103</v>
      </c>
      <c r="AI1040" s="6" t="s">
        <v>104</v>
      </c>
      <c r="AJ1040" s="6" t="s">
        <v>16044</v>
      </c>
      <c r="AK1040" s="6" t="s">
        <v>16687</v>
      </c>
      <c r="AL1040" s="6" t="s">
        <v>16931</v>
      </c>
      <c r="AM1040" s="6" t="s">
        <v>17685</v>
      </c>
      <c r="AN1040" s="6" t="s">
        <v>104</v>
      </c>
      <c r="AO1040" s="6" t="s">
        <v>104</v>
      </c>
      <c r="AP1040" s="6" t="s">
        <v>19211</v>
      </c>
      <c r="AQ1040" s="6" t="s">
        <v>104</v>
      </c>
      <c r="AR1040" s="6" t="s">
        <v>16044</v>
      </c>
      <c r="AS1040" s="6" t="s">
        <v>16687</v>
      </c>
      <c r="AT1040" s="6" t="s">
        <v>16931</v>
      </c>
      <c r="AU1040" s="6" t="s">
        <v>17685</v>
      </c>
      <c r="AV1040" s="6" t="s">
        <v>104</v>
      </c>
      <c r="AW1040" s="6" t="s">
        <v>104</v>
      </c>
      <c r="AX1040" s="6" t="s">
        <v>20935</v>
      </c>
      <c r="AY1040" s="6" t="s">
        <v>22716</v>
      </c>
      <c r="AZ1040" s="6" t="s">
        <v>104</v>
      </c>
      <c r="BA1040" s="6" t="s">
        <v>24285</v>
      </c>
      <c r="BB1040" s="24" t="n">
        <v>11599</v>
      </c>
      <c r="BC1040" s="26"/>
      <c r="BD1040" s="26"/>
      <c r="BE1040" s="26"/>
      <c r="BF1040" s="26"/>
      <c r="BG1040" s="26"/>
      <c r="BH1040" s="26"/>
      <c r="BI1040" s="26"/>
      <c r="BJ1040" s="26"/>
      <c r="BK1040" s="26"/>
      <c r="BL1040" s="26"/>
      <c r="BM1040" s="26"/>
      <c r="BN1040" s="26"/>
      <c r="BO1040" s="26"/>
      <c r="BP1040" s="16" t="n">
        <v>45733</v>
      </c>
      <c r="BQ1040" s="28" t="str">
        <f>HYPERLINK("")</f>
      </c>
    </row>
    <row r="1041">
      <c r="A1041" t="s">
        <v>3</v>
      </c>
      <c r="B1041" s="6" t="s">
        <v>15</v>
      </c>
      <c r="C1041" s="6" t="s">
        <v>81</v>
      </c>
      <c r="D1041" s="6" t="s">
        <v>146</v>
      </c>
      <c r="E1041" s="10" t="s">
        <v>1239</v>
      </c>
      <c r="F1041" s="6" t="s">
        <v>3483</v>
      </c>
      <c r="G1041" s="6" t="s">
        <v>104</v>
      </c>
      <c r="H1041" s="6" t="s">
        <v>5841</v>
      </c>
      <c r="I1041" s="6" t="s">
        <v>104</v>
      </c>
      <c r="J1041" s="6" t="s">
        <v>104</v>
      </c>
      <c r="K1041" s="6" t="s">
        <v>9714</v>
      </c>
      <c r="L1041" s="16" t="n">
        <v>45198</v>
      </c>
      <c r="M1041" s="16" t="n">
        <v>45748</v>
      </c>
      <c r="N1041" s="6" t="s">
        <v>104</v>
      </c>
      <c r="O1041" s="21" t="s">
        <v>104</v>
      </c>
      <c r="P1041" s="6" t="s">
        <v>104</v>
      </c>
      <c r="Q1041" s="6" t="s">
        <v>104</v>
      </c>
      <c r="R1041" s="6" t="s">
        <v>104</v>
      </c>
      <c r="S1041" s="6" t="s">
        <v>104</v>
      </c>
      <c r="T1041" s="21" t="s">
        <v>104</v>
      </c>
      <c r="U1041" s="6" t="s">
        <v>104</v>
      </c>
      <c r="V1041" s="6" t="s">
        <v>104</v>
      </c>
      <c r="W1041" s="6" t="s">
        <v>104</v>
      </c>
      <c r="X1041" s="6" t="s">
        <v>104</v>
      </c>
      <c r="Y1041" s="21" t="s">
        <v>104</v>
      </c>
      <c r="Z1041" s="6" t="s">
        <v>104</v>
      </c>
      <c r="AA1041" s="6" t="s">
        <v>104</v>
      </c>
      <c r="AB1041" s="6" t="s">
        <v>104</v>
      </c>
      <c r="AC1041" s="6" t="s">
        <v>9714</v>
      </c>
      <c r="AD1041" s="16" t="n">
        <v>45198</v>
      </c>
      <c r="AE1041" s="6" t="s">
        <v>11447</v>
      </c>
      <c r="AF1041" s="6" t="s">
        <v>104</v>
      </c>
      <c r="AG1041" s="6" t="s">
        <v>12817</v>
      </c>
      <c r="AH1041" s="6" t="s">
        <v>14104</v>
      </c>
      <c r="AI1041" s="6" t="s">
        <v>104</v>
      </c>
      <c r="AJ1041" s="6" t="s">
        <v>16045</v>
      </c>
      <c r="AK1041" s="6" t="s">
        <v>16738</v>
      </c>
      <c r="AL1041" s="6" t="s">
        <v>16931</v>
      </c>
      <c r="AM1041" s="6" t="s">
        <v>17686</v>
      </c>
      <c r="AN1041" s="6" t="s">
        <v>18500</v>
      </c>
      <c r="AO1041" s="6" t="s">
        <v>18778</v>
      </c>
      <c r="AP1041" s="6" t="s">
        <v>104</v>
      </c>
      <c r="AQ1041" s="6" t="s">
        <v>104</v>
      </c>
      <c r="AR1041" s="6" t="s">
        <v>104</v>
      </c>
      <c r="AS1041" s="6" t="s">
        <v>104</v>
      </c>
      <c r="AT1041" s="6" t="s">
        <v>104</v>
      </c>
      <c r="AU1041" s="6" t="s">
        <v>104</v>
      </c>
      <c r="AV1041" s="6" t="s">
        <v>104</v>
      </c>
      <c r="AW1041" s="6" t="s">
        <v>104</v>
      </c>
      <c r="AX1041" s="6" t="s">
        <v>20936</v>
      </c>
      <c r="AY1041" s="6" t="s">
        <v>22717</v>
      </c>
      <c r="AZ1041" s="6" t="s">
        <v>23958</v>
      </c>
      <c r="BA1041" s="6" t="s">
        <v>104</v>
      </c>
      <c r="BB1041" s="6" t="s">
        <v>104</v>
      </c>
      <c r="BC1041" s="26"/>
      <c r="BD1041" s="26"/>
      <c r="BE1041" s="26"/>
      <c r="BF1041" s="26"/>
      <c r="BG1041" s="26"/>
      <c r="BH1041" s="26"/>
      <c r="BI1041" s="26"/>
      <c r="BJ1041" s="26"/>
      <c r="BK1041" s="26"/>
      <c r="BL1041" s="26"/>
      <c r="BM1041" s="26"/>
      <c r="BN1041" s="26"/>
      <c r="BO1041" s="26"/>
      <c r="BP1041" s="16" t="n">
        <v>45738</v>
      </c>
      <c r="BQ1041" s="28" t="str">
        <f>HYPERLINK("https://organic.ams.usda.gov/Integrity/Certificate.aspx?cid=52&amp;nopid=8432302144")</f>
        <v>https://organic.ams.usda.gov/Integrity/Certificate.aspx?cid=52&amp;nopid=8432302144</v>
      </c>
    </row>
    <row r="1042">
      <c r="A1042" t="s">
        <v>3</v>
      </c>
      <c r="B1042" s="6" t="s">
        <v>9</v>
      </c>
      <c r="C1042" s="6" t="s">
        <v>75</v>
      </c>
      <c r="D1042" s="6" t="s">
        <v>140</v>
      </c>
      <c r="E1042" s="10" t="s">
        <v>1240</v>
      </c>
      <c r="F1042" s="6" t="s">
        <v>3484</v>
      </c>
      <c r="G1042" s="6" t="s">
        <v>104</v>
      </c>
      <c r="H1042" s="6" t="s">
        <v>5842</v>
      </c>
      <c r="I1042" s="6" t="s">
        <v>7126</v>
      </c>
      <c r="J1042" s="6" t="s">
        <v>8922</v>
      </c>
      <c r="K1042" s="6" t="s">
        <v>9714</v>
      </c>
      <c r="L1042" s="16" t="n">
        <v>42324</v>
      </c>
      <c r="M1042" s="16" t="n">
        <v>45977</v>
      </c>
      <c r="N1042" s="6" t="s">
        <v>104</v>
      </c>
      <c r="O1042" s="21" t="s">
        <v>104</v>
      </c>
      <c r="P1042" s="6" t="s">
        <v>104</v>
      </c>
      <c r="Q1042" s="6" t="s">
        <v>104</v>
      </c>
      <c r="R1042" s="6" t="s">
        <v>104</v>
      </c>
      <c r="S1042" s="6" t="s">
        <v>104</v>
      </c>
      <c r="T1042" s="21" t="s">
        <v>104</v>
      </c>
      <c r="U1042" s="6" t="s">
        <v>104</v>
      </c>
      <c r="V1042" s="6" t="s">
        <v>104</v>
      </c>
      <c r="W1042" s="6" t="s">
        <v>104</v>
      </c>
      <c r="X1042" s="6" t="s">
        <v>104</v>
      </c>
      <c r="Y1042" s="21" t="s">
        <v>104</v>
      </c>
      <c r="Z1042" s="6" t="s">
        <v>104</v>
      </c>
      <c r="AA1042" s="6" t="s">
        <v>104</v>
      </c>
      <c r="AB1042" s="6" t="s">
        <v>104</v>
      </c>
      <c r="AC1042" s="6" t="s">
        <v>9714</v>
      </c>
      <c r="AD1042" s="16" t="n">
        <v>42324</v>
      </c>
      <c r="AE1042" s="6" t="s">
        <v>11448</v>
      </c>
      <c r="AF1042" s="6" t="s">
        <v>104</v>
      </c>
      <c r="AG1042" s="6" t="s">
        <v>104</v>
      </c>
      <c r="AH1042" s="6" t="s">
        <v>14105</v>
      </c>
      <c r="AI1042" s="6" t="s">
        <v>104</v>
      </c>
      <c r="AJ1042" s="6" t="s">
        <v>16046</v>
      </c>
      <c r="AK1042" s="6" t="s">
        <v>16680</v>
      </c>
      <c r="AL1042" s="6" t="s">
        <v>16931</v>
      </c>
      <c r="AM1042" s="6" t="s">
        <v>17687</v>
      </c>
      <c r="AN1042" s="6" t="s">
        <v>104</v>
      </c>
      <c r="AO1042" s="6" t="s">
        <v>104</v>
      </c>
      <c r="AP1042" s="6" t="s">
        <v>104</v>
      </c>
      <c r="AQ1042" s="6" t="s">
        <v>104</v>
      </c>
      <c r="AR1042" s="6" t="s">
        <v>104</v>
      </c>
      <c r="AS1042" s="6" t="s">
        <v>104</v>
      </c>
      <c r="AT1042" s="6" t="s">
        <v>104</v>
      </c>
      <c r="AU1042" s="6" t="s">
        <v>104</v>
      </c>
      <c r="AV1042" s="6" t="s">
        <v>104</v>
      </c>
      <c r="AW1042" s="6" t="s">
        <v>104</v>
      </c>
      <c r="AX1042" s="6" t="s">
        <v>20937</v>
      </c>
      <c r="AY1042" s="6" t="s">
        <v>22718</v>
      </c>
      <c r="AZ1042" s="6" t="s">
        <v>104</v>
      </c>
      <c r="BA1042" s="6" t="s">
        <v>104</v>
      </c>
      <c r="BB1042" s="6" t="s">
        <v>104</v>
      </c>
      <c r="BC1042" s="26"/>
      <c r="BD1042" s="26"/>
      <c r="BE1042" s="26"/>
      <c r="BF1042" s="26"/>
      <c r="BG1042" s="26"/>
      <c r="BH1042" s="26"/>
      <c r="BI1042" s="26"/>
      <c r="BJ1042" s="26"/>
      <c r="BK1042" s="26"/>
      <c r="BL1042" s="26"/>
      <c r="BM1042" s="26"/>
      <c r="BN1042" s="26"/>
      <c r="BO1042" s="26"/>
      <c r="BP1042" s="16" t="n">
        <v>45615</v>
      </c>
      <c r="BQ1042" s="28" t="str">
        <f>HYPERLINK("https://organic.ams.usda.gov/Integrity/Certificate.aspx?cid=63&amp;nopid=6220006934")</f>
        <v>https://organic.ams.usda.gov/Integrity/Certificate.aspx?cid=63&amp;nopid=6220006934</v>
      </c>
    </row>
    <row r="1043">
      <c r="A1043" t="s">
        <v>3</v>
      </c>
      <c r="B1043" s="6" t="s">
        <v>41</v>
      </c>
      <c r="C1043" s="6" t="s">
        <v>107</v>
      </c>
      <c r="D1043" s="6" t="s">
        <v>171</v>
      </c>
      <c r="E1043" s="10" t="s">
        <v>1241</v>
      </c>
      <c r="F1043" s="6" t="s">
        <v>3485</v>
      </c>
      <c r="G1043" s="6" t="s">
        <v>4770</v>
      </c>
      <c r="H1043" s="6" t="s">
        <v>5843</v>
      </c>
      <c r="I1043" s="6" t="s">
        <v>7573</v>
      </c>
      <c r="J1043" s="6" t="s">
        <v>8689</v>
      </c>
      <c r="K1043" s="6" t="s">
        <v>9714</v>
      </c>
      <c r="L1043" s="16" t="n">
        <v>40690</v>
      </c>
      <c r="M1043" s="16" t="n">
        <v>46157</v>
      </c>
      <c r="N1043" s="6" t="s">
        <v>9714</v>
      </c>
      <c r="O1043" s="16" t="n">
        <v>40690</v>
      </c>
      <c r="P1043" s="6" t="s">
        <v>10006</v>
      </c>
      <c r="Q1043" s="6" t="s">
        <v>104</v>
      </c>
      <c r="R1043" s="6" t="s">
        <v>104</v>
      </c>
      <c r="S1043" s="6" t="s">
        <v>9714</v>
      </c>
      <c r="T1043" s="16" t="n">
        <v>40690</v>
      </c>
      <c r="U1043" s="6" t="s">
        <v>10471</v>
      </c>
      <c r="V1043" s="6" t="s">
        <v>104</v>
      </c>
      <c r="W1043" s="6" t="s">
        <v>104</v>
      </c>
      <c r="X1043" s="6" t="s">
        <v>104</v>
      </c>
      <c r="Y1043" s="21" t="s">
        <v>104</v>
      </c>
      <c r="Z1043" s="6" t="s">
        <v>104</v>
      </c>
      <c r="AA1043" s="6" t="s">
        <v>104</v>
      </c>
      <c r="AB1043" s="6" t="s">
        <v>104</v>
      </c>
      <c r="AC1043" s="6" t="s">
        <v>9714</v>
      </c>
      <c r="AD1043" s="16" t="n">
        <v>40690</v>
      </c>
      <c r="AE1043" s="6" t="s">
        <v>11449</v>
      </c>
      <c r="AF1043" s="6" t="s">
        <v>104</v>
      </c>
      <c r="AG1043" s="6" t="s">
        <v>104</v>
      </c>
      <c r="AH1043" s="6" t="s">
        <v>14106</v>
      </c>
      <c r="AI1043" s="6" t="s">
        <v>104</v>
      </c>
      <c r="AJ1043" s="6" t="s">
        <v>16047</v>
      </c>
      <c r="AK1043" s="6" t="s">
        <v>16686</v>
      </c>
      <c r="AL1043" s="6" t="s">
        <v>16931</v>
      </c>
      <c r="AM1043" s="6" t="s">
        <v>17688</v>
      </c>
      <c r="AN1043" s="6" t="s">
        <v>18509</v>
      </c>
      <c r="AO1043" s="6" t="s">
        <v>18779</v>
      </c>
      <c r="AP1043" s="6" t="s">
        <v>14106</v>
      </c>
      <c r="AQ1043" s="6" t="s">
        <v>104</v>
      </c>
      <c r="AR1043" s="6" t="s">
        <v>16047</v>
      </c>
      <c r="AS1043" s="6" t="s">
        <v>16686</v>
      </c>
      <c r="AT1043" s="6" t="s">
        <v>16931</v>
      </c>
      <c r="AU1043" s="6" t="s">
        <v>17688</v>
      </c>
      <c r="AV1043" s="6" t="s">
        <v>104</v>
      </c>
      <c r="AW1043" s="6" t="s">
        <v>104</v>
      </c>
      <c r="AX1043" s="6" t="s">
        <v>20938</v>
      </c>
      <c r="AY1043" s="6" t="s">
        <v>104</v>
      </c>
      <c r="AZ1043" s="6" t="s">
        <v>104</v>
      </c>
      <c r="BA1043" s="6" t="s">
        <v>104</v>
      </c>
      <c r="BB1043" s="24" t="n">
        <v>53</v>
      </c>
      <c r="BC1043" s="26"/>
      <c r="BD1043" s="26"/>
      <c r="BE1043" s="26"/>
      <c r="BF1043" s="26" t="s">
        <v>24533</v>
      </c>
      <c r="BG1043" s="26"/>
      <c r="BH1043" s="26"/>
      <c r="BI1043" s="26"/>
      <c r="BJ1043" s="26"/>
      <c r="BK1043" s="26"/>
      <c r="BL1043" s="26"/>
      <c r="BM1043" s="26"/>
      <c r="BN1043" s="26"/>
      <c r="BO1043" s="26"/>
      <c r="BP1043" s="16" t="n">
        <v>45737</v>
      </c>
      <c r="BQ1043" s="28" t="str">
        <f>HYPERLINK("https://organic.ams.usda.gov/Integrity/Certificate.aspx?cid=58&amp;nopid=1600001834")</f>
        <v>https://organic.ams.usda.gov/Integrity/Certificate.aspx?cid=58&amp;nopid=1600001834</v>
      </c>
    </row>
    <row r="1044">
      <c r="A1044" t="s">
        <v>3</v>
      </c>
      <c r="B1044" s="6" t="s">
        <v>20</v>
      </c>
      <c r="C1044" s="6" t="s">
        <v>86</v>
      </c>
      <c r="D1044" s="6" t="s">
        <v>151</v>
      </c>
      <c r="E1044" s="10" t="s">
        <v>1242</v>
      </c>
      <c r="F1044" s="6" t="s">
        <v>3486</v>
      </c>
      <c r="G1044" s="6" t="s">
        <v>104</v>
      </c>
      <c r="H1044" s="6" t="s">
        <v>5844</v>
      </c>
      <c r="I1044" s="6" t="s">
        <v>7574</v>
      </c>
      <c r="J1044" s="6" t="s">
        <v>8923</v>
      </c>
      <c r="K1044" s="6" t="s">
        <v>9714</v>
      </c>
      <c r="L1044" s="16" t="n">
        <v>43062</v>
      </c>
      <c r="M1044" s="16" t="n">
        <v>45930</v>
      </c>
      <c r="N1044" s="6" t="s">
        <v>104</v>
      </c>
      <c r="O1044" s="21" t="s">
        <v>104</v>
      </c>
      <c r="P1044" s="6" t="s">
        <v>104</v>
      </c>
      <c r="Q1044" s="6" t="s">
        <v>104</v>
      </c>
      <c r="R1044" s="6" t="s">
        <v>104</v>
      </c>
      <c r="S1044" s="6" t="s">
        <v>104</v>
      </c>
      <c r="T1044" s="21" t="s">
        <v>104</v>
      </c>
      <c r="U1044" s="6" t="s">
        <v>104</v>
      </c>
      <c r="V1044" s="6" t="s">
        <v>104</v>
      </c>
      <c r="W1044" s="6" t="s">
        <v>104</v>
      </c>
      <c r="X1044" s="6" t="s">
        <v>104</v>
      </c>
      <c r="Y1044" s="21" t="s">
        <v>104</v>
      </c>
      <c r="Z1044" s="6" t="s">
        <v>104</v>
      </c>
      <c r="AA1044" s="6" t="s">
        <v>104</v>
      </c>
      <c r="AB1044" s="6" t="s">
        <v>104</v>
      </c>
      <c r="AC1044" s="6" t="s">
        <v>9714</v>
      </c>
      <c r="AD1044" s="16" t="n">
        <v>43062</v>
      </c>
      <c r="AE1044" s="6" t="s">
        <v>11450</v>
      </c>
      <c r="AF1044" s="6" t="s">
        <v>104</v>
      </c>
      <c r="AG1044" s="6" t="s">
        <v>12818</v>
      </c>
      <c r="AH1044" s="6" t="s">
        <v>14107</v>
      </c>
      <c r="AI1044" s="6" t="s">
        <v>104</v>
      </c>
      <c r="AJ1044" s="6" t="s">
        <v>15453</v>
      </c>
      <c r="AK1044" s="6" t="s">
        <v>15661</v>
      </c>
      <c r="AL1044" s="6" t="s">
        <v>16939</v>
      </c>
      <c r="AM1044" s="6" t="s">
        <v>104</v>
      </c>
      <c r="AN1044" s="6" t="s">
        <v>104</v>
      </c>
      <c r="AO1044" s="6" t="s">
        <v>104</v>
      </c>
      <c r="AP1044" s="6" t="s">
        <v>104</v>
      </c>
      <c r="AQ1044" s="6" t="s">
        <v>104</v>
      </c>
      <c r="AR1044" s="6" t="s">
        <v>104</v>
      </c>
      <c r="AS1044" s="6" t="s">
        <v>104</v>
      </c>
      <c r="AT1044" s="6" t="s">
        <v>104</v>
      </c>
      <c r="AU1044" s="6" t="s">
        <v>104</v>
      </c>
      <c r="AV1044" s="6" t="s">
        <v>104</v>
      </c>
      <c r="AW1044" s="6" t="s">
        <v>104</v>
      </c>
      <c r="AX1044" s="6" t="s">
        <v>20939</v>
      </c>
      <c r="AY1044" s="6" t="s">
        <v>22719</v>
      </c>
      <c r="AZ1044" s="6" t="s">
        <v>23959</v>
      </c>
      <c r="BA1044" s="6" t="s">
        <v>24403</v>
      </c>
      <c r="BB1044" s="6" t="s">
        <v>104</v>
      </c>
      <c r="BC1044" s="26"/>
      <c r="BD1044" s="26"/>
      <c r="BE1044" s="26"/>
      <c r="BF1044" s="26"/>
      <c r="BG1044" s="26"/>
      <c r="BH1044" s="26"/>
      <c r="BI1044" s="26"/>
      <c r="BJ1044" s="26"/>
      <c r="BK1044" s="26"/>
      <c r="BL1044" s="26"/>
      <c r="BM1044" s="26"/>
      <c r="BN1044" s="26"/>
      <c r="BO1044" s="26"/>
      <c r="BP1044" s="16" t="n">
        <v>45581</v>
      </c>
      <c r="BQ1044" s="28" t="str">
        <f>HYPERLINK("https://organic.ams.usda.gov/Integrity/Certificate.aspx?cid=17&amp;nopid=4087184930")</f>
        <v>https://organic.ams.usda.gov/Integrity/Certificate.aspx?cid=17&amp;nopid=4087184930</v>
      </c>
    </row>
    <row r="1045">
      <c r="A1045" t="s">
        <v>3</v>
      </c>
      <c r="B1045" s="6" t="s">
        <v>20</v>
      </c>
      <c r="C1045" s="6" t="s">
        <v>86</v>
      </c>
      <c r="D1045" s="6" t="s">
        <v>151</v>
      </c>
      <c r="E1045" s="10" t="s">
        <v>1243</v>
      </c>
      <c r="F1045" s="6" t="s">
        <v>3487</v>
      </c>
      <c r="G1045" s="6" t="s">
        <v>104</v>
      </c>
      <c r="H1045" s="6" t="s">
        <v>5845</v>
      </c>
      <c r="I1045" s="6" t="s">
        <v>7575</v>
      </c>
      <c r="J1045" s="6" t="s">
        <v>8924</v>
      </c>
      <c r="K1045" s="6" t="s">
        <v>9714</v>
      </c>
      <c r="L1045" s="16" t="n">
        <v>43265</v>
      </c>
      <c r="M1045" s="16" t="n">
        <v>45747</v>
      </c>
      <c r="N1045" s="6" t="s">
        <v>9714</v>
      </c>
      <c r="O1045" s="16" t="n">
        <v>43265</v>
      </c>
      <c r="P1045" s="6" t="s">
        <v>9774</v>
      </c>
      <c r="Q1045" s="6" t="s">
        <v>104</v>
      </c>
      <c r="R1045" s="6" t="s">
        <v>10368</v>
      </c>
      <c r="S1045" s="6" t="s">
        <v>104</v>
      </c>
      <c r="T1045" s="21" t="s">
        <v>104</v>
      </c>
      <c r="U1045" s="6" t="s">
        <v>104</v>
      </c>
      <c r="V1045" s="6" t="s">
        <v>104</v>
      </c>
      <c r="W1045" s="6" t="s">
        <v>104</v>
      </c>
      <c r="X1045" s="6" t="s">
        <v>104</v>
      </c>
      <c r="Y1045" s="21" t="s">
        <v>104</v>
      </c>
      <c r="Z1045" s="6" t="s">
        <v>104</v>
      </c>
      <c r="AA1045" s="6" t="s">
        <v>104</v>
      </c>
      <c r="AB1045" s="6" t="s">
        <v>104</v>
      </c>
      <c r="AC1045" s="6" t="s">
        <v>9714</v>
      </c>
      <c r="AD1045" s="16" t="n">
        <v>43265</v>
      </c>
      <c r="AE1045" s="6" t="s">
        <v>10676</v>
      </c>
      <c r="AF1045" s="6" t="s">
        <v>104</v>
      </c>
      <c r="AG1045" s="6" t="s">
        <v>10368</v>
      </c>
      <c r="AH1045" s="6" t="s">
        <v>14108</v>
      </c>
      <c r="AI1045" s="6" t="s">
        <v>104</v>
      </c>
      <c r="AJ1045" s="6" t="s">
        <v>15838</v>
      </c>
      <c r="AK1045" s="6" t="s">
        <v>15482</v>
      </c>
      <c r="AL1045" s="6" t="s">
        <v>16939</v>
      </c>
      <c r="AM1045" s="6" t="s">
        <v>104</v>
      </c>
      <c r="AN1045" s="6" t="s">
        <v>104</v>
      </c>
      <c r="AO1045" s="6" t="s">
        <v>104</v>
      </c>
      <c r="AP1045" s="6" t="s">
        <v>104</v>
      </c>
      <c r="AQ1045" s="6" t="s">
        <v>104</v>
      </c>
      <c r="AR1045" s="6" t="s">
        <v>104</v>
      </c>
      <c r="AS1045" s="6" t="s">
        <v>104</v>
      </c>
      <c r="AT1045" s="6" t="s">
        <v>104</v>
      </c>
      <c r="AU1045" s="6" t="s">
        <v>104</v>
      </c>
      <c r="AV1045" s="6" t="s">
        <v>104</v>
      </c>
      <c r="AW1045" s="6" t="s">
        <v>104</v>
      </c>
      <c r="AX1045" s="6" t="s">
        <v>20940</v>
      </c>
      <c r="AY1045" s="6" t="s">
        <v>22720</v>
      </c>
      <c r="AZ1045" s="6" t="s">
        <v>104</v>
      </c>
      <c r="BA1045" s="6" t="s">
        <v>104</v>
      </c>
      <c r="BB1045" s="24" t="n">
        <v>2343</v>
      </c>
      <c r="BC1045" s="26"/>
      <c r="BD1045" s="26"/>
      <c r="BE1045" s="26"/>
      <c r="BF1045" s="26"/>
      <c r="BG1045" s="26"/>
      <c r="BH1045" s="26"/>
      <c r="BI1045" s="26"/>
      <c r="BJ1045" s="26"/>
      <c r="BK1045" s="26"/>
      <c r="BL1045" s="26"/>
      <c r="BM1045" s="26"/>
      <c r="BN1045" s="26"/>
      <c r="BO1045" s="26"/>
      <c r="BP1045" s="16" t="n">
        <v>45439</v>
      </c>
      <c r="BQ1045" s="28" t="str">
        <f>HYPERLINK("https://organic.ams.usda.gov/Integrity/Certificate.aspx?cid=17&amp;nopid=4087185893")</f>
        <v>https://organic.ams.usda.gov/Integrity/Certificate.aspx?cid=17&amp;nopid=4087185893</v>
      </c>
    </row>
    <row r="1046">
      <c r="A1046" t="s">
        <v>3</v>
      </c>
      <c r="B1046" s="6" t="s">
        <v>54</v>
      </c>
      <c r="C1046" s="6" t="s">
        <v>120</v>
      </c>
      <c r="D1046" s="6" t="s">
        <v>184</v>
      </c>
      <c r="E1046" s="10" t="s">
        <v>1244</v>
      </c>
      <c r="F1046" s="6" t="s">
        <v>3488</v>
      </c>
      <c r="G1046" s="6" t="s">
        <v>104</v>
      </c>
      <c r="H1046" s="6" t="s">
        <v>5846</v>
      </c>
      <c r="I1046" s="6" t="s">
        <v>7421</v>
      </c>
      <c r="J1046" s="6" t="s">
        <v>8186</v>
      </c>
      <c r="K1046" s="6" t="s">
        <v>9714</v>
      </c>
      <c r="L1046" s="16" t="n">
        <v>44012</v>
      </c>
      <c r="M1046" s="16" t="n">
        <v>45717</v>
      </c>
      <c r="N1046" s="6" t="s">
        <v>9714</v>
      </c>
      <c r="O1046" s="16" t="n">
        <v>44012</v>
      </c>
      <c r="P1046" s="6" t="s">
        <v>10007</v>
      </c>
      <c r="Q1046" s="6" t="s">
        <v>104</v>
      </c>
      <c r="R1046" s="6" t="s">
        <v>104</v>
      </c>
      <c r="S1046" s="6" t="s">
        <v>104</v>
      </c>
      <c r="T1046" s="21" t="s">
        <v>104</v>
      </c>
      <c r="U1046" s="6" t="s">
        <v>104</v>
      </c>
      <c r="V1046" s="6" t="s">
        <v>104</v>
      </c>
      <c r="W1046" s="6" t="s">
        <v>104</v>
      </c>
      <c r="X1046" s="6" t="s">
        <v>104</v>
      </c>
      <c r="Y1046" s="21" t="s">
        <v>104</v>
      </c>
      <c r="Z1046" s="6" t="s">
        <v>104</v>
      </c>
      <c r="AA1046" s="6" t="s">
        <v>104</v>
      </c>
      <c r="AB1046" s="6" t="s">
        <v>104</v>
      </c>
      <c r="AC1046" s="6" t="s">
        <v>104</v>
      </c>
      <c r="AD1046" s="21" t="s">
        <v>104</v>
      </c>
      <c r="AE1046" s="6" t="s">
        <v>104</v>
      </c>
      <c r="AF1046" s="6" t="s">
        <v>104</v>
      </c>
      <c r="AG1046" s="6" t="s">
        <v>104</v>
      </c>
      <c r="AH1046" s="6" t="s">
        <v>14109</v>
      </c>
      <c r="AI1046" s="6" t="s">
        <v>104</v>
      </c>
      <c r="AJ1046" s="6" t="s">
        <v>8425</v>
      </c>
      <c r="AK1046" s="6" t="s">
        <v>16704</v>
      </c>
      <c r="AL1046" s="6" t="s">
        <v>16931</v>
      </c>
      <c r="AM1046" s="6" t="s">
        <v>17689</v>
      </c>
      <c r="AN1046" s="6" t="s">
        <v>18463</v>
      </c>
      <c r="AO1046" s="6" t="s">
        <v>18570</v>
      </c>
      <c r="AP1046" s="6" t="s">
        <v>104</v>
      </c>
      <c r="AQ1046" s="6" t="s">
        <v>104</v>
      </c>
      <c r="AR1046" s="6" t="s">
        <v>104</v>
      </c>
      <c r="AS1046" s="6" t="s">
        <v>104</v>
      </c>
      <c r="AT1046" s="6" t="s">
        <v>104</v>
      </c>
      <c r="AU1046" s="6" t="s">
        <v>104</v>
      </c>
      <c r="AV1046" s="6" t="s">
        <v>104</v>
      </c>
      <c r="AW1046" s="6" t="s">
        <v>104</v>
      </c>
      <c r="AX1046" s="6" t="s">
        <v>20941</v>
      </c>
      <c r="AY1046" s="6" t="s">
        <v>22721</v>
      </c>
      <c r="AZ1046" s="6" t="s">
        <v>104</v>
      </c>
      <c r="BA1046" s="6" t="s">
        <v>24267</v>
      </c>
      <c r="BB1046" s="24" t="n">
        <v>136</v>
      </c>
      <c r="BC1046" s="26"/>
      <c r="BD1046" s="26"/>
      <c r="BE1046" s="26"/>
      <c r="BF1046" s="26"/>
      <c r="BG1046" s="26"/>
      <c r="BH1046" s="26"/>
      <c r="BI1046" s="26"/>
      <c r="BJ1046" s="26"/>
      <c r="BK1046" s="26"/>
      <c r="BL1046" s="26"/>
      <c r="BM1046" s="26"/>
      <c r="BN1046" s="26"/>
      <c r="BO1046" s="26"/>
      <c r="BP1046" s="16" t="n">
        <v>45674</v>
      </c>
      <c r="BQ1046" s="28" t="str">
        <f>HYPERLINK("https://organic.ams.usda.gov/Integrity/Certificate.aspx?cid=60&amp;nopid=2580003576")</f>
        <v>https://organic.ams.usda.gov/Integrity/Certificate.aspx?cid=60&amp;nopid=2580003576</v>
      </c>
    </row>
    <row r="1047">
      <c r="A1047" t="s">
        <v>3</v>
      </c>
      <c r="B1047" s="6" t="s">
        <v>54</v>
      </c>
      <c r="C1047" s="6" t="s">
        <v>120</v>
      </c>
      <c r="D1047" s="6" t="s">
        <v>184</v>
      </c>
      <c r="E1047" s="10" t="s">
        <v>1245</v>
      </c>
      <c r="F1047" s="6" t="s">
        <v>3489</v>
      </c>
      <c r="G1047" s="6" t="s">
        <v>104</v>
      </c>
      <c r="H1047" s="6" t="s">
        <v>5847</v>
      </c>
      <c r="I1047" s="6" t="s">
        <v>6920</v>
      </c>
      <c r="J1047" s="6" t="s">
        <v>8925</v>
      </c>
      <c r="K1047" s="6" t="s">
        <v>9714</v>
      </c>
      <c r="L1047" s="16" t="n">
        <v>44084</v>
      </c>
      <c r="M1047" s="16" t="n">
        <v>45717</v>
      </c>
      <c r="N1047" s="6" t="s">
        <v>9714</v>
      </c>
      <c r="O1047" s="16" t="n">
        <v>44084</v>
      </c>
      <c r="P1047" s="6" t="s">
        <v>10008</v>
      </c>
      <c r="Q1047" s="6" t="s">
        <v>104</v>
      </c>
      <c r="R1047" s="6" t="s">
        <v>104</v>
      </c>
      <c r="S1047" s="6" t="s">
        <v>104</v>
      </c>
      <c r="T1047" s="21" t="s">
        <v>104</v>
      </c>
      <c r="U1047" s="6" t="s">
        <v>104</v>
      </c>
      <c r="V1047" s="6" t="s">
        <v>104</v>
      </c>
      <c r="W1047" s="6" t="s">
        <v>104</v>
      </c>
      <c r="X1047" s="6" t="s">
        <v>104</v>
      </c>
      <c r="Y1047" s="21" t="s">
        <v>104</v>
      </c>
      <c r="Z1047" s="6" t="s">
        <v>104</v>
      </c>
      <c r="AA1047" s="6" t="s">
        <v>104</v>
      </c>
      <c r="AB1047" s="6" t="s">
        <v>104</v>
      </c>
      <c r="AC1047" s="6" t="s">
        <v>104</v>
      </c>
      <c r="AD1047" s="21" t="s">
        <v>104</v>
      </c>
      <c r="AE1047" s="6" t="s">
        <v>104</v>
      </c>
      <c r="AF1047" s="6" t="s">
        <v>104</v>
      </c>
      <c r="AG1047" s="6" t="s">
        <v>104</v>
      </c>
      <c r="AH1047" s="6" t="s">
        <v>14110</v>
      </c>
      <c r="AI1047" s="6" t="s">
        <v>104</v>
      </c>
      <c r="AJ1047" s="6" t="s">
        <v>15480</v>
      </c>
      <c r="AK1047" s="6" t="s">
        <v>16683</v>
      </c>
      <c r="AL1047" s="6" t="s">
        <v>16931</v>
      </c>
      <c r="AM1047" s="6" t="s">
        <v>17104</v>
      </c>
      <c r="AN1047" s="6" t="s">
        <v>18483</v>
      </c>
      <c r="AO1047" s="6" t="s">
        <v>18595</v>
      </c>
      <c r="AP1047" s="6" t="s">
        <v>19212</v>
      </c>
      <c r="AQ1047" s="6" t="s">
        <v>104</v>
      </c>
      <c r="AR1047" s="6" t="s">
        <v>19688</v>
      </c>
      <c r="AS1047" s="6" t="s">
        <v>16681</v>
      </c>
      <c r="AT1047" s="6" t="s">
        <v>16931</v>
      </c>
      <c r="AU1047" s="6" t="s">
        <v>19930</v>
      </c>
      <c r="AV1047" s="6" t="s">
        <v>104</v>
      </c>
      <c r="AW1047" s="6" t="s">
        <v>104</v>
      </c>
      <c r="AX1047" s="6" t="s">
        <v>104</v>
      </c>
      <c r="AY1047" s="6" t="s">
        <v>22722</v>
      </c>
      <c r="AZ1047" s="6" t="s">
        <v>104</v>
      </c>
      <c r="BA1047" s="6" t="s">
        <v>24267</v>
      </c>
      <c r="BB1047" s="24" t="n">
        <v>680</v>
      </c>
      <c r="BC1047" s="26"/>
      <c r="BD1047" s="26"/>
      <c r="BE1047" s="26"/>
      <c r="BF1047" s="26"/>
      <c r="BG1047" s="26"/>
      <c r="BH1047" s="26"/>
      <c r="BI1047" s="26"/>
      <c r="BJ1047" s="26"/>
      <c r="BK1047" s="26"/>
      <c r="BL1047" s="26"/>
      <c r="BM1047" s="26"/>
      <c r="BN1047" s="26"/>
      <c r="BO1047" s="26"/>
      <c r="BP1047" s="16" t="n">
        <v>45673</v>
      </c>
      <c r="BQ1047" s="28" t="str">
        <f>HYPERLINK("https://organic.ams.usda.gov/Integrity/Certificate.aspx?cid=60&amp;nopid=2580001627")</f>
        <v>https://organic.ams.usda.gov/Integrity/Certificate.aspx?cid=60&amp;nopid=2580001627</v>
      </c>
    </row>
    <row r="1048">
      <c r="A1048" t="s">
        <v>3</v>
      </c>
      <c r="B1048" s="6" t="s">
        <v>31</v>
      </c>
      <c r="C1048" s="6" t="s">
        <v>97</v>
      </c>
      <c r="D1048" s="6" t="s">
        <v>162</v>
      </c>
      <c r="E1048" s="10" t="s">
        <v>1246</v>
      </c>
      <c r="F1048" s="6" t="s">
        <v>3490</v>
      </c>
      <c r="G1048" s="6" t="s">
        <v>104</v>
      </c>
      <c r="H1048" s="6" t="s">
        <v>5848</v>
      </c>
      <c r="I1048" s="6" t="s">
        <v>6933</v>
      </c>
      <c r="J1048" s="6" t="s">
        <v>8926</v>
      </c>
      <c r="K1048" s="6" t="s">
        <v>9714</v>
      </c>
      <c r="L1048" s="16" t="n">
        <v>45473</v>
      </c>
      <c r="M1048" s="16" t="n">
        <v>45838</v>
      </c>
      <c r="N1048" s="6" t="s">
        <v>104</v>
      </c>
      <c r="O1048" s="21" t="s">
        <v>104</v>
      </c>
      <c r="P1048" s="6" t="s">
        <v>104</v>
      </c>
      <c r="Q1048" s="6" t="s">
        <v>104</v>
      </c>
      <c r="R1048" s="6" t="s">
        <v>104</v>
      </c>
      <c r="S1048" s="6" t="s">
        <v>104</v>
      </c>
      <c r="T1048" s="21" t="s">
        <v>104</v>
      </c>
      <c r="U1048" s="6" t="s">
        <v>104</v>
      </c>
      <c r="V1048" s="6" t="s">
        <v>104</v>
      </c>
      <c r="W1048" s="6" t="s">
        <v>104</v>
      </c>
      <c r="X1048" s="6" t="s">
        <v>104</v>
      </c>
      <c r="Y1048" s="21" t="s">
        <v>104</v>
      </c>
      <c r="Z1048" s="6" t="s">
        <v>104</v>
      </c>
      <c r="AA1048" s="6" t="s">
        <v>104</v>
      </c>
      <c r="AB1048" s="6" t="s">
        <v>104</v>
      </c>
      <c r="AC1048" s="6" t="s">
        <v>9714</v>
      </c>
      <c r="AD1048" s="16" t="n">
        <v>45473</v>
      </c>
      <c r="AE1048" s="6" t="s">
        <v>11451</v>
      </c>
      <c r="AF1048" s="6" t="s">
        <v>104</v>
      </c>
      <c r="AG1048" s="6" t="s">
        <v>12819</v>
      </c>
      <c r="AH1048" s="6" t="s">
        <v>14111</v>
      </c>
      <c r="AI1048" s="6" t="s">
        <v>104</v>
      </c>
      <c r="AJ1048" s="6" t="s">
        <v>15780</v>
      </c>
      <c r="AK1048" s="6" t="s">
        <v>16370</v>
      </c>
      <c r="AL1048" s="6" t="s">
        <v>16931</v>
      </c>
      <c r="AM1048" s="6" t="s">
        <v>17690</v>
      </c>
      <c r="AN1048" s="6" t="s">
        <v>104</v>
      </c>
      <c r="AO1048" s="6" t="s">
        <v>104</v>
      </c>
      <c r="AP1048" s="6" t="s">
        <v>14111</v>
      </c>
      <c r="AQ1048" s="6" t="s">
        <v>104</v>
      </c>
      <c r="AR1048" s="6" t="s">
        <v>15780</v>
      </c>
      <c r="AS1048" s="6" t="s">
        <v>16370</v>
      </c>
      <c r="AT1048" s="6" t="s">
        <v>16931</v>
      </c>
      <c r="AU1048" s="6" t="s">
        <v>17690</v>
      </c>
      <c r="AV1048" s="6" t="s">
        <v>104</v>
      </c>
      <c r="AW1048" s="6" t="s">
        <v>104</v>
      </c>
      <c r="AX1048" s="6" t="s">
        <v>20942</v>
      </c>
      <c r="AY1048" s="6" t="s">
        <v>22723</v>
      </c>
      <c r="AZ1048" s="6" t="s">
        <v>104</v>
      </c>
      <c r="BA1048" s="6" t="s">
        <v>104</v>
      </c>
      <c r="BB1048" s="6" t="s">
        <v>104</v>
      </c>
      <c r="BC1048" s="26"/>
      <c r="BD1048" s="26"/>
      <c r="BE1048" s="26"/>
      <c r="BF1048" s="26"/>
      <c r="BG1048" s="26"/>
      <c r="BH1048" s="26"/>
      <c r="BI1048" s="26"/>
      <c r="BJ1048" s="26"/>
      <c r="BK1048" s="26"/>
      <c r="BL1048" s="26"/>
      <c r="BM1048" s="26"/>
      <c r="BN1048" s="26"/>
      <c r="BO1048" s="26"/>
      <c r="BP1048" s="16" t="n">
        <v>45475</v>
      </c>
      <c r="BQ1048" s="28" t="str">
        <f>HYPERLINK("https://organic.ams.usda.gov/Integrity/Certificate.aspx?cid=43&amp;nopid=3533969153")</f>
        <v>https://organic.ams.usda.gov/Integrity/Certificate.aspx?cid=43&amp;nopid=3533969153</v>
      </c>
    </row>
    <row r="1049">
      <c r="A1049" t="s">
        <v>3</v>
      </c>
      <c r="B1049" s="6" t="s">
        <v>21</v>
      </c>
      <c r="C1049" s="6" t="s">
        <v>87</v>
      </c>
      <c r="D1049" s="6" t="s">
        <v>152</v>
      </c>
      <c r="E1049" s="10" t="s">
        <v>1247</v>
      </c>
      <c r="F1049" s="6" t="s">
        <v>3491</v>
      </c>
      <c r="G1049" s="6" t="s">
        <v>104</v>
      </c>
      <c r="H1049" s="6" t="s">
        <v>5849</v>
      </c>
      <c r="I1049" s="6" t="s">
        <v>7576</v>
      </c>
      <c r="J1049" s="6" t="s">
        <v>8927</v>
      </c>
      <c r="K1049" s="6" t="s">
        <v>9714</v>
      </c>
      <c r="L1049" s="16" t="n">
        <v>40963</v>
      </c>
      <c r="M1049" s="16" t="n">
        <v>46023</v>
      </c>
      <c r="N1049" s="6" t="s">
        <v>104</v>
      </c>
      <c r="O1049" s="21" t="s">
        <v>104</v>
      </c>
      <c r="P1049" s="6" t="s">
        <v>104</v>
      </c>
      <c r="Q1049" s="6" t="s">
        <v>104</v>
      </c>
      <c r="R1049" s="6" t="s">
        <v>104</v>
      </c>
      <c r="S1049" s="6" t="s">
        <v>104</v>
      </c>
      <c r="T1049" s="21" t="s">
        <v>104</v>
      </c>
      <c r="U1049" s="6" t="s">
        <v>104</v>
      </c>
      <c r="V1049" s="6" t="s">
        <v>104</v>
      </c>
      <c r="W1049" s="6" t="s">
        <v>104</v>
      </c>
      <c r="X1049" s="6" t="s">
        <v>104</v>
      </c>
      <c r="Y1049" s="21" t="s">
        <v>104</v>
      </c>
      <c r="Z1049" s="6" t="s">
        <v>104</v>
      </c>
      <c r="AA1049" s="6" t="s">
        <v>104</v>
      </c>
      <c r="AB1049" s="6" t="s">
        <v>104</v>
      </c>
      <c r="AC1049" s="6" t="s">
        <v>9714</v>
      </c>
      <c r="AD1049" s="16" t="n">
        <v>40963</v>
      </c>
      <c r="AE1049" s="6" t="s">
        <v>11452</v>
      </c>
      <c r="AF1049" s="6" t="s">
        <v>104</v>
      </c>
      <c r="AG1049" s="6" t="s">
        <v>104</v>
      </c>
      <c r="AH1049" s="6" t="s">
        <v>14112</v>
      </c>
      <c r="AI1049" s="6" t="s">
        <v>104</v>
      </c>
      <c r="AJ1049" s="6" t="s">
        <v>16048</v>
      </c>
      <c r="AK1049" s="6" t="s">
        <v>16687</v>
      </c>
      <c r="AL1049" s="6" t="s">
        <v>16931</v>
      </c>
      <c r="AM1049" s="6" t="s">
        <v>17691</v>
      </c>
      <c r="AN1049" s="6" t="s">
        <v>18503</v>
      </c>
      <c r="AO1049" s="6" t="s">
        <v>18780</v>
      </c>
      <c r="AP1049" s="6" t="s">
        <v>19213</v>
      </c>
      <c r="AQ1049" s="6" t="s">
        <v>104</v>
      </c>
      <c r="AR1049" s="6" t="s">
        <v>19689</v>
      </c>
      <c r="AS1049" s="6" t="s">
        <v>16687</v>
      </c>
      <c r="AT1049" s="6" t="s">
        <v>16931</v>
      </c>
      <c r="AU1049" s="6" t="s">
        <v>19931</v>
      </c>
      <c r="AV1049" s="6" t="s">
        <v>104</v>
      </c>
      <c r="AW1049" s="6" t="s">
        <v>104</v>
      </c>
      <c r="AX1049" s="6" t="s">
        <v>20943</v>
      </c>
      <c r="AY1049" s="6" t="s">
        <v>22724</v>
      </c>
      <c r="AZ1049" s="6" t="s">
        <v>23960</v>
      </c>
      <c r="BA1049" s="6" t="s">
        <v>24404</v>
      </c>
      <c r="BB1049" s="6" t="s">
        <v>104</v>
      </c>
      <c r="BC1049" s="26"/>
      <c r="BD1049" s="26"/>
      <c r="BE1049" s="26"/>
      <c r="BF1049" s="26"/>
      <c r="BG1049" s="26"/>
      <c r="BH1049" s="26"/>
      <c r="BI1049" s="26"/>
      <c r="BJ1049" s="26"/>
      <c r="BK1049" s="26"/>
      <c r="BL1049" s="26"/>
      <c r="BM1049" s="26"/>
      <c r="BN1049" s="26"/>
      <c r="BO1049" s="26"/>
      <c r="BP1049" s="16" t="n">
        <v>45667</v>
      </c>
      <c r="BQ1049" s="28" t="str">
        <f>HYPERLINK("https://organic.ams.usda.gov/Integrity/Certificate.aspx?cid=15&amp;nopid=5561001719")</f>
        <v>https://organic.ams.usda.gov/Integrity/Certificate.aspx?cid=15&amp;nopid=5561001719</v>
      </c>
    </row>
    <row r="1050">
      <c r="A1050" t="s">
        <v>3</v>
      </c>
      <c r="B1050" s="6" t="s">
        <v>31</v>
      </c>
      <c r="C1050" s="6" t="s">
        <v>97</v>
      </c>
      <c r="D1050" s="6" t="s">
        <v>162</v>
      </c>
      <c r="E1050" s="10" t="s">
        <v>1248</v>
      </c>
      <c r="F1050" s="6" t="s">
        <v>3492</v>
      </c>
      <c r="G1050" s="6" t="s">
        <v>104</v>
      </c>
      <c r="H1050" s="6" t="s">
        <v>5850</v>
      </c>
      <c r="I1050" s="6" t="s">
        <v>7577</v>
      </c>
      <c r="J1050" s="6" t="s">
        <v>8928</v>
      </c>
      <c r="K1050" s="6" t="s">
        <v>9714</v>
      </c>
      <c r="L1050" s="16" t="n">
        <v>45697</v>
      </c>
      <c r="M1050" s="16" t="n">
        <v>46062</v>
      </c>
      <c r="N1050" s="6" t="s">
        <v>9714</v>
      </c>
      <c r="O1050" s="16" t="n">
        <v>45697</v>
      </c>
      <c r="P1050" s="6" t="s">
        <v>10009</v>
      </c>
      <c r="Q1050" s="6" t="s">
        <v>104</v>
      </c>
      <c r="R1050" s="6" t="s">
        <v>10369</v>
      </c>
      <c r="S1050" s="6" t="s">
        <v>104</v>
      </c>
      <c r="T1050" s="21" t="s">
        <v>104</v>
      </c>
      <c r="U1050" s="6" t="s">
        <v>104</v>
      </c>
      <c r="V1050" s="6" t="s">
        <v>104</v>
      </c>
      <c r="W1050" s="6" t="s">
        <v>104</v>
      </c>
      <c r="X1050" s="6" t="s">
        <v>104</v>
      </c>
      <c r="Y1050" s="21" t="s">
        <v>104</v>
      </c>
      <c r="Z1050" s="6" t="s">
        <v>104</v>
      </c>
      <c r="AA1050" s="6" t="s">
        <v>104</v>
      </c>
      <c r="AB1050" s="6" t="s">
        <v>104</v>
      </c>
      <c r="AC1050" s="6" t="s">
        <v>9714</v>
      </c>
      <c r="AD1050" s="16" t="n">
        <v>45697</v>
      </c>
      <c r="AE1050" s="6" t="s">
        <v>11453</v>
      </c>
      <c r="AF1050" s="6" t="s">
        <v>104</v>
      </c>
      <c r="AG1050" s="6" t="s">
        <v>10369</v>
      </c>
      <c r="AH1050" s="6" t="s">
        <v>14113</v>
      </c>
      <c r="AI1050" s="6" t="s">
        <v>104</v>
      </c>
      <c r="AJ1050" s="6" t="s">
        <v>16049</v>
      </c>
      <c r="AK1050" s="6" t="s">
        <v>16844</v>
      </c>
      <c r="AL1050" s="6" t="s">
        <v>16932</v>
      </c>
      <c r="AM1050" s="6" t="s">
        <v>17692</v>
      </c>
      <c r="AN1050" s="6" t="s">
        <v>104</v>
      </c>
      <c r="AO1050" s="6" t="s">
        <v>104</v>
      </c>
      <c r="AP1050" s="6" t="s">
        <v>14113</v>
      </c>
      <c r="AQ1050" s="6" t="s">
        <v>104</v>
      </c>
      <c r="AR1050" s="6" t="s">
        <v>16049</v>
      </c>
      <c r="AS1050" s="6" t="s">
        <v>16844</v>
      </c>
      <c r="AT1050" s="6" t="s">
        <v>16932</v>
      </c>
      <c r="AU1050" s="6" t="s">
        <v>17692</v>
      </c>
      <c r="AV1050" s="6" t="s">
        <v>104</v>
      </c>
      <c r="AW1050" s="6" t="s">
        <v>104</v>
      </c>
      <c r="AX1050" s="6" t="s">
        <v>20944</v>
      </c>
      <c r="AY1050" s="6" t="s">
        <v>22725</v>
      </c>
      <c r="AZ1050" s="6" t="s">
        <v>104</v>
      </c>
      <c r="BA1050" s="6" t="s">
        <v>104</v>
      </c>
      <c r="BB1050" s="24" t="n">
        <v>7115</v>
      </c>
      <c r="BC1050" s="26"/>
      <c r="BD1050" s="26"/>
      <c r="BE1050" s="26"/>
      <c r="BF1050" s="26"/>
      <c r="BG1050" s="26"/>
      <c r="BH1050" s="26"/>
      <c r="BI1050" s="26"/>
      <c r="BJ1050" s="26"/>
      <c r="BK1050" s="26"/>
      <c r="BL1050" s="26"/>
      <c r="BM1050" s="26"/>
      <c r="BN1050" s="26"/>
      <c r="BO1050" s="26" t="s">
        <v>24533</v>
      </c>
      <c r="BP1050" s="16" t="n">
        <v>45706</v>
      </c>
      <c r="BQ1050" s="28" t="str">
        <f>HYPERLINK("https://organic.ams.usda.gov/Integrity/Certificate.aspx?cid=43&amp;nopid=3534635475")</f>
        <v>https://organic.ams.usda.gov/Integrity/Certificate.aspx?cid=43&amp;nopid=3534635475</v>
      </c>
    </row>
    <row r="1051">
      <c r="A1051" t="s">
        <v>3</v>
      </c>
      <c r="B1051" s="6" t="s">
        <v>27</v>
      </c>
      <c r="C1051" s="6" t="s">
        <v>93</v>
      </c>
      <c r="D1051" s="6" t="s">
        <v>158</v>
      </c>
      <c r="E1051" s="10" t="s">
        <v>1249</v>
      </c>
      <c r="F1051" s="6" t="s">
        <v>3493</v>
      </c>
      <c r="G1051" s="6" t="s">
        <v>104</v>
      </c>
      <c r="H1051" s="6" t="s">
        <v>5851</v>
      </c>
      <c r="I1051" s="6" t="s">
        <v>7063</v>
      </c>
      <c r="J1051" s="6" t="s">
        <v>8283</v>
      </c>
      <c r="K1051" s="6" t="s">
        <v>9714</v>
      </c>
      <c r="L1051" s="16" t="n">
        <v>45310</v>
      </c>
      <c r="M1051" s="16" t="n">
        <v>45504</v>
      </c>
      <c r="N1051" s="6" t="s">
        <v>9714</v>
      </c>
      <c r="O1051" s="16" t="n">
        <v>45310</v>
      </c>
      <c r="P1051" s="6" t="s">
        <v>10010</v>
      </c>
      <c r="Q1051" s="6" t="s">
        <v>104</v>
      </c>
      <c r="R1051" s="6" t="s">
        <v>10370</v>
      </c>
      <c r="S1051" s="6" t="s">
        <v>104</v>
      </c>
      <c r="T1051" s="21" t="s">
        <v>104</v>
      </c>
      <c r="U1051" s="6" t="s">
        <v>104</v>
      </c>
      <c r="V1051" s="6" t="s">
        <v>104</v>
      </c>
      <c r="W1051" s="6" t="s">
        <v>104</v>
      </c>
      <c r="X1051" s="6" t="s">
        <v>104</v>
      </c>
      <c r="Y1051" s="21" t="s">
        <v>104</v>
      </c>
      <c r="Z1051" s="6" t="s">
        <v>104</v>
      </c>
      <c r="AA1051" s="6" t="s">
        <v>104</v>
      </c>
      <c r="AB1051" s="6" t="s">
        <v>104</v>
      </c>
      <c r="AC1051" s="6" t="s">
        <v>104</v>
      </c>
      <c r="AD1051" s="21" t="s">
        <v>104</v>
      </c>
      <c r="AE1051" s="6" t="s">
        <v>104</v>
      </c>
      <c r="AF1051" s="6" t="s">
        <v>104</v>
      </c>
      <c r="AG1051" s="6" t="s">
        <v>104</v>
      </c>
      <c r="AH1051" s="6" t="s">
        <v>14114</v>
      </c>
      <c r="AI1051" s="6" t="s">
        <v>15288</v>
      </c>
      <c r="AJ1051" s="6" t="s">
        <v>16050</v>
      </c>
      <c r="AK1051" s="6" t="s">
        <v>16270</v>
      </c>
      <c r="AL1051" s="6" t="s">
        <v>16932</v>
      </c>
      <c r="AM1051" s="6" t="s">
        <v>17118</v>
      </c>
      <c r="AN1051" s="6" t="s">
        <v>104</v>
      </c>
      <c r="AO1051" s="6" t="s">
        <v>104</v>
      </c>
      <c r="AP1051" s="6" t="s">
        <v>19214</v>
      </c>
      <c r="AQ1051" s="6" t="s">
        <v>104</v>
      </c>
      <c r="AR1051" s="6" t="s">
        <v>16625</v>
      </c>
      <c r="AS1051" s="6" t="s">
        <v>16270</v>
      </c>
      <c r="AT1051" s="6" t="s">
        <v>16932</v>
      </c>
      <c r="AU1051" s="6" t="s">
        <v>18385</v>
      </c>
      <c r="AV1051" s="6" t="s">
        <v>104</v>
      </c>
      <c r="AW1051" s="6" t="s">
        <v>104</v>
      </c>
      <c r="AX1051" s="6" t="s">
        <v>20268</v>
      </c>
      <c r="AY1051" s="6" t="s">
        <v>22012</v>
      </c>
      <c r="AZ1051" s="6" t="s">
        <v>23961</v>
      </c>
      <c r="BA1051" s="6" t="s">
        <v>104</v>
      </c>
      <c r="BB1051" s="24" t="n">
        <v>1719</v>
      </c>
      <c r="BC1051" s="26"/>
      <c r="BD1051" s="26"/>
      <c r="BE1051" s="26"/>
      <c r="BF1051" s="26"/>
      <c r="BG1051" s="26"/>
      <c r="BH1051" s="26"/>
      <c r="BI1051" s="26"/>
      <c r="BJ1051" s="26"/>
      <c r="BK1051" s="26"/>
      <c r="BL1051" s="26"/>
      <c r="BM1051" s="26"/>
      <c r="BN1051" s="26"/>
      <c r="BO1051" s="26" t="s">
        <v>24533</v>
      </c>
      <c r="BP1051" s="16" t="n">
        <v>45463</v>
      </c>
      <c r="BQ1051" s="28" t="str">
        <f>HYPERLINK("https://organic.ams.usda.gov/Integrity/Certificate.aspx?cid=93&amp;nopid=6368179788")</f>
        <v>https://organic.ams.usda.gov/Integrity/Certificate.aspx?cid=93&amp;nopid=6368179788</v>
      </c>
    </row>
    <row r="1052">
      <c r="A1052" t="s">
        <v>3</v>
      </c>
      <c r="B1052" s="6" t="s">
        <v>27</v>
      </c>
      <c r="C1052" s="6" t="s">
        <v>93</v>
      </c>
      <c r="D1052" s="6" t="s">
        <v>158</v>
      </c>
      <c r="E1052" s="10" t="s">
        <v>1250</v>
      </c>
      <c r="F1052" s="6" t="s">
        <v>3494</v>
      </c>
      <c r="G1052" s="6" t="s">
        <v>104</v>
      </c>
      <c r="H1052" s="6" t="s">
        <v>5852</v>
      </c>
      <c r="I1052" s="6" t="s">
        <v>7578</v>
      </c>
      <c r="J1052" s="6" t="s">
        <v>8302</v>
      </c>
      <c r="K1052" s="6" t="s">
        <v>9714</v>
      </c>
      <c r="L1052" s="16" t="n">
        <v>45083</v>
      </c>
      <c r="M1052" s="16" t="n">
        <v>45382</v>
      </c>
      <c r="N1052" s="6" t="s">
        <v>9714</v>
      </c>
      <c r="O1052" s="16" t="n">
        <v>45083</v>
      </c>
      <c r="P1052" s="6" t="s">
        <v>10011</v>
      </c>
      <c r="Q1052" s="6" t="s">
        <v>104</v>
      </c>
      <c r="R1052" s="6" t="s">
        <v>10371</v>
      </c>
      <c r="S1052" s="6" t="s">
        <v>104</v>
      </c>
      <c r="T1052" s="21" t="s">
        <v>104</v>
      </c>
      <c r="U1052" s="6" t="s">
        <v>104</v>
      </c>
      <c r="V1052" s="6" t="s">
        <v>104</v>
      </c>
      <c r="W1052" s="6" t="s">
        <v>104</v>
      </c>
      <c r="X1052" s="6" t="s">
        <v>104</v>
      </c>
      <c r="Y1052" s="21" t="s">
        <v>104</v>
      </c>
      <c r="Z1052" s="6" t="s">
        <v>104</v>
      </c>
      <c r="AA1052" s="6" t="s">
        <v>104</v>
      </c>
      <c r="AB1052" s="6" t="s">
        <v>104</v>
      </c>
      <c r="AC1052" s="6" t="s">
        <v>104</v>
      </c>
      <c r="AD1052" s="21" t="s">
        <v>104</v>
      </c>
      <c r="AE1052" s="6" t="s">
        <v>104</v>
      </c>
      <c r="AF1052" s="6" t="s">
        <v>104</v>
      </c>
      <c r="AG1052" s="6" t="s">
        <v>104</v>
      </c>
      <c r="AH1052" s="6" t="s">
        <v>104</v>
      </c>
      <c r="AI1052" s="6" t="s">
        <v>104</v>
      </c>
      <c r="AJ1052" s="6" t="s">
        <v>104</v>
      </c>
      <c r="AK1052" s="6" t="s">
        <v>104</v>
      </c>
      <c r="AL1052" s="6" t="s">
        <v>104</v>
      </c>
      <c r="AM1052" s="6" t="s">
        <v>104</v>
      </c>
      <c r="AN1052" s="6" t="s">
        <v>104</v>
      </c>
      <c r="AO1052" s="6" t="s">
        <v>104</v>
      </c>
      <c r="AP1052" s="6" t="s">
        <v>19215</v>
      </c>
      <c r="AQ1052" s="6" t="s">
        <v>104</v>
      </c>
      <c r="AR1052" s="6" t="s">
        <v>19690</v>
      </c>
      <c r="AS1052" s="6" t="s">
        <v>16270</v>
      </c>
      <c r="AT1052" s="6" t="s">
        <v>16932</v>
      </c>
      <c r="AU1052" s="6" t="s">
        <v>19932</v>
      </c>
      <c r="AV1052" s="6" t="s">
        <v>104</v>
      </c>
      <c r="AW1052" s="6" t="s">
        <v>104</v>
      </c>
      <c r="AX1052" s="6" t="s">
        <v>104</v>
      </c>
      <c r="AY1052" s="6" t="s">
        <v>22726</v>
      </c>
      <c r="AZ1052" s="6" t="s">
        <v>104</v>
      </c>
      <c r="BA1052" s="6" t="s">
        <v>104</v>
      </c>
      <c r="BB1052" s="24" t="n">
        <v>2531</v>
      </c>
      <c r="BC1052" s="26"/>
      <c r="BD1052" s="26"/>
      <c r="BE1052" s="26"/>
      <c r="BF1052" s="26"/>
      <c r="BG1052" s="26"/>
      <c r="BH1052" s="26"/>
      <c r="BI1052" s="26"/>
      <c r="BJ1052" s="26"/>
      <c r="BK1052" s="26"/>
      <c r="BL1052" s="26"/>
      <c r="BM1052" s="26"/>
      <c r="BN1052" s="26"/>
      <c r="BO1052" s="26"/>
      <c r="BP1052" s="16" t="n">
        <v>45503</v>
      </c>
      <c r="BQ1052" s="28" t="str">
        <f>HYPERLINK("https://organic.ams.usda.gov/Integrity/Certificate.aspx?cid=93&amp;nopid=6362024372")</f>
        <v>https://organic.ams.usda.gov/Integrity/Certificate.aspx?cid=93&amp;nopid=6362024372</v>
      </c>
    </row>
    <row r="1053">
      <c r="A1053" t="s">
        <v>3</v>
      </c>
      <c r="B1053" s="6" t="s">
        <v>11</v>
      </c>
      <c r="C1053" s="6" t="s">
        <v>77</v>
      </c>
      <c r="D1053" s="6" t="s">
        <v>142</v>
      </c>
      <c r="E1053" s="10" t="s">
        <v>1251</v>
      </c>
      <c r="F1053" s="6" t="s">
        <v>3495</v>
      </c>
      <c r="G1053" s="6" t="s">
        <v>104</v>
      </c>
      <c r="H1053" s="6" t="s">
        <v>1251</v>
      </c>
      <c r="I1053" s="6" t="s">
        <v>7579</v>
      </c>
      <c r="J1053" s="6" t="s">
        <v>8929</v>
      </c>
      <c r="K1053" s="6" t="s">
        <v>9714</v>
      </c>
      <c r="L1053" s="16" t="n">
        <v>44741</v>
      </c>
      <c r="M1053" s="16" t="n">
        <v>45803</v>
      </c>
      <c r="N1053" s="6" t="s">
        <v>9714</v>
      </c>
      <c r="O1053" s="16" t="n">
        <v>44741</v>
      </c>
      <c r="P1053" s="6" t="s">
        <v>10012</v>
      </c>
      <c r="Q1053" s="6" t="s">
        <v>104</v>
      </c>
      <c r="R1053" s="6" t="s">
        <v>10372</v>
      </c>
      <c r="S1053" s="6" t="s">
        <v>104</v>
      </c>
      <c r="T1053" s="21" t="s">
        <v>104</v>
      </c>
      <c r="U1053" s="6" t="s">
        <v>104</v>
      </c>
      <c r="V1053" s="6" t="s">
        <v>104</v>
      </c>
      <c r="W1053" s="6" t="s">
        <v>104</v>
      </c>
      <c r="X1053" s="6" t="s">
        <v>104</v>
      </c>
      <c r="Y1053" s="21" t="s">
        <v>104</v>
      </c>
      <c r="Z1053" s="6" t="s">
        <v>104</v>
      </c>
      <c r="AA1053" s="6" t="s">
        <v>104</v>
      </c>
      <c r="AB1053" s="6" t="s">
        <v>104</v>
      </c>
      <c r="AC1053" s="6" t="s">
        <v>9714</v>
      </c>
      <c r="AD1053" s="16" t="n">
        <v>44741</v>
      </c>
      <c r="AE1053" s="6" t="s">
        <v>11454</v>
      </c>
      <c r="AF1053" s="6" t="s">
        <v>104</v>
      </c>
      <c r="AG1053" s="6" t="s">
        <v>10372</v>
      </c>
      <c r="AH1053" s="6" t="s">
        <v>14115</v>
      </c>
      <c r="AI1053" s="6" t="s">
        <v>104</v>
      </c>
      <c r="AJ1053" s="6" t="s">
        <v>16051</v>
      </c>
      <c r="AK1053" s="6" t="s">
        <v>15885</v>
      </c>
      <c r="AL1053" s="6" t="s">
        <v>16932</v>
      </c>
      <c r="AM1053" s="6" t="s">
        <v>17693</v>
      </c>
      <c r="AN1053" s="6" t="s">
        <v>104</v>
      </c>
      <c r="AO1053" s="6" t="s">
        <v>104</v>
      </c>
      <c r="AP1053" s="6" t="s">
        <v>14115</v>
      </c>
      <c r="AQ1053" s="6" t="s">
        <v>104</v>
      </c>
      <c r="AR1053" s="6" t="s">
        <v>16051</v>
      </c>
      <c r="AS1053" s="6" t="s">
        <v>15885</v>
      </c>
      <c r="AT1053" s="6" t="s">
        <v>16932</v>
      </c>
      <c r="AU1053" s="6" t="s">
        <v>17693</v>
      </c>
      <c r="AV1053" s="6" t="s">
        <v>104</v>
      </c>
      <c r="AW1053" s="6" t="s">
        <v>104</v>
      </c>
      <c r="AX1053" s="6" t="s">
        <v>20945</v>
      </c>
      <c r="AY1053" s="6" t="s">
        <v>22727</v>
      </c>
      <c r="AZ1053" s="6" t="s">
        <v>104</v>
      </c>
      <c r="BA1053" s="6" t="s">
        <v>104</v>
      </c>
      <c r="BB1053" s="24" t="n">
        <v>94</v>
      </c>
      <c r="BC1053" s="26"/>
      <c r="BD1053" s="26"/>
      <c r="BE1053" s="26"/>
      <c r="BF1053" s="26"/>
      <c r="BG1053" s="26"/>
      <c r="BH1053" s="26"/>
      <c r="BI1053" s="26"/>
      <c r="BJ1053" s="26"/>
      <c r="BK1053" s="26"/>
      <c r="BL1053" s="26"/>
      <c r="BM1053" s="26"/>
      <c r="BN1053" s="26"/>
      <c r="BO1053" s="26"/>
      <c r="BP1053" s="16" t="n">
        <v>45449</v>
      </c>
      <c r="BQ1053" s="28" t="str">
        <f>HYPERLINK("https://organic.ams.usda.gov/Integrity/Certificate.aspx?cid=21&amp;nopid=1780859193")</f>
        <v>https://organic.ams.usda.gov/Integrity/Certificate.aspx?cid=21&amp;nopid=1780859193</v>
      </c>
    </row>
    <row r="1054">
      <c r="A1054" t="s">
        <v>3</v>
      </c>
      <c r="B1054" s="6" t="s">
        <v>14</v>
      </c>
      <c r="C1054" s="6" t="s">
        <v>80</v>
      </c>
      <c r="D1054" s="6" t="s">
        <v>145</v>
      </c>
      <c r="E1054" s="10" t="s">
        <v>1252</v>
      </c>
      <c r="F1054" s="6" t="s">
        <v>3496</v>
      </c>
      <c r="G1054" s="6" t="s">
        <v>104</v>
      </c>
      <c r="H1054" s="6" t="s">
        <v>5853</v>
      </c>
      <c r="I1054" s="6" t="s">
        <v>7580</v>
      </c>
      <c r="J1054" s="6" t="s">
        <v>8930</v>
      </c>
      <c r="K1054" s="6" t="s">
        <v>9714</v>
      </c>
      <c r="L1054" s="16" t="n">
        <v>44513</v>
      </c>
      <c r="M1054" s="16" t="n">
        <v>45761</v>
      </c>
      <c r="N1054" s="6" t="s">
        <v>104</v>
      </c>
      <c r="O1054" s="21" t="s">
        <v>104</v>
      </c>
      <c r="P1054" s="6" t="s">
        <v>104</v>
      </c>
      <c r="Q1054" s="6" t="s">
        <v>104</v>
      </c>
      <c r="R1054" s="6" t="s">
        <v>104</v>
      </c>
      <c r="S1054" s="6" t="s">
        <v>104</v>
      </c>
      <c r="T1054" s="21" t="s">
        <v>104</v>
      </c>
      <c r="U1054" s="6" t="s">
        <v>104</v>
      </c>
      <c r="V1054" s="6" t="s">
        <v>104</v>
      </c>
      <c r="W1054" s="6" t="s">
        <v>104</v>
      </c>
      <c r="X1054" s="6" t="s">
        <v>104</v>
      </c>
      <c r="Y1054" s="21" t="s">
        <v>104</v>
      </c>
      <c r="Z1054" s="6" t="s">
        <v>104</v>
      </c>
      <c r="AA1054" s="6" t="s">
        <v>104</v>
      </c>
      <c r="AB1054" s="6" t="s">
        <v>104</v>
      </c>
      <c r="AC1054" s="6" t="s">
        <v>9714</v>
      </c>
      <c r="AD1054" s="16" t="n">
        <v>44513</v>
      </c>
      <c r="AE1054" s="6" t="s">
        <v>11455</v>
      </c>
      <c r="AF1054" s="6" t="s">
        <v>104</v>
      </c>
      <c r="AG1054" s="6" t="s">
        <v>104</v>
      </c>
      <c r="AH1054" s="6" t="s">
        <v>14116</v>
      </c>
      <c r="AI1054" s="6" t="s">
        <v>104</v>
      </c>
      <c r="AJ1054" s="6" t="s">
        <v>16052</v>
      </c>
      <c r="AK1054" s="6" t="s">
        <v>16699</v>
      </c>
      <c r="AL1054" s="6" t="s">
        <v>16932</v>
      </c>
      <c r="AM1054" s="6" t="s">
        <v>17694</v>
      </c>
      <c r="AN1054" s="6" t="s">
        <v>104</v>
      </c>
      <c r="AO1054" s="6" t="s">
        <v>104</v>
      </c>
      <c r="AP1054" s="6" t="s">
        <v>104</v>
      </c>
      <c r="AQ1054" s="6" t="s">
        <v>104</v>
      </c>
      <c r="AR1054" s="6" t="s">
        <v>104</v>
      </c>
      <c r="AS1054" s="6" t="s">
        <v>104</v>
      </c>
      <c r="AT1054" s="6" t="s">
        <v>104</v>
      </c>
      <c r="AU1054" s="6" t="s">
        <v>104</v>
      </c>
      <c r="AV1054" s="6" t="s">
        <v>104</v>
      </c>
      <c r="AW1054" s="6" t="s">
        <v>104</v>
      </c>
      <c r="AX1054" s="6" t="s">
        <v>20946</v>
      </c>
      <c r="AY1054" s="6" t="s">
        <v>22728</v>
      </c>
      <c r="AZ1054" s="6" t="s">
        <v>104</v>
      </c>
      <c r="BA1054" s="6" t="s">
        <v>104</v>
      </c>
      <c r="BB1054" s="6" t="s">
        <v>104</v>
      </c>
      <c r="BC1054" s="26"/>
      <c r="BD1054" s="26"/>
      <c r="BE1054" s="26"/>
      <c r="BF1054" s="26"/>
      <c r="BG1054" s="26"/>
      <c r="BH1054" s="26"/>
      <c r="BI1054" s="26"/>
      <c r="BJ1054" s="26"/>
      <c r="BK1054" s="26"/>
      <c r="BL1054" s="26"/>
      <c r="BM1054" s="26"/>
      <c r="BN1054" s="26"/>
      <c r="BO1054" s="26"/>
      <c r="BP1054" s="16" t="n">
        <v>45738</v>
      </c>
      <c r="BQ1054" s="28" t="str">
        <f>HYPERLINK("https://organic.ams.usda.gov/Integrity/Certificate.aspx?cid=89&amp;nopid=4920004457")</f>
        <v>https://organic.ams.usda.gov/Integrity/Certificate.aspx?cid=89&amp;nopid=4920004457</v>
      </c>
    </row>
    <row r="1055">
      <c r="A1055" t="s">
        <v>3</v>
      </c>
      <c r="B1055" s="6" t="s">
        <v>29</v>
      </c>
      <c r="C1055" s="6" t="s">
        <v>95</v>
      </c>
      <c r="D1055" s="6" t="s">
        <v>160</v>
      </c>
      <c r="E1055" s="10" t="s">
        <v>1253</v>
      </c>
      <c r="F1055" s="6" t="s">
        <v>3497</v>
      </c>
      <c r="G1055" s="6" t="s">
        <v>104</v>
      </c>
      <c r="H1055" s="6" t="s">
        <v>5854</v>
      </c>
      <c r="I1055" s="6" t="s">
        <v>104</v>
      </c>
      <c r="J1055" s="6" t="s">
        <v>8931</v>
      </c>
      <c r="K1055" s="6" t="s">
        <v>9714</v>
      </c>
      <c r="L1055" s="16" t="n">
        <v>45187</v>
      </c>
      <c r="M1055" s="16" t="n">
        <v>45778</v>
      </c>
      <c r="N1055" s="6" t="s">
        <v>104</v>
      </c>
      <c r="O1055" s="21" t="s">
        <v>104</v>
      </c>
      <c r="P1055" s="6" t="s">
        <v>104</v>
      </c>
      <c r="Q1055" s="6" t="s">
        <v>104</v>
      </c>
      <c r="R1055" s="6" t="s">
        <v>104</v>
      </c>
      <c r="S1055" s="6" t="s">
        <v>104</v>
      </c>
      <c r="T1055" s="21" t="s">
        <v>104</v>
      </c>
      <c r="U1055" s="6" t="s">
        <v>104</v>
      </c>
      <c r="V1055" s="6" t="s">
        <v>104</v>
      </c>
      <c r="W1055" s="6" t="s">
        <v>104</v>
      </c>
      <c r="X1055" s="6" t="s">
        <v>104</v>
      </c>
      <c r="Y1055" s="21" t="s">
        <v>104</v>
      </c>
      <c r="Z1055" s="6" t="s">
        <v>104</v>
      </c>
      <c r="AA1055" s="6" t="s">
        <v>104</v>
      </c>
      <c r="AB1055" s="6" t="s">
        <v>104</v>
      </c>
      <c r="AC1055" s="6" t="s">
        <v>9714</v>
      </c>
      <c r="AD1055" s="16" t="n">
        <v>45187</v>
      </c>
      <c r="AE1055" s="6" t="s">
        <v>11456</v>
      </c>
      <c r="AF1055" s="6" t="s">
        <v>104</v>
      </c>
      <c r="AG1055" s="6" t="s">
        <v>104</v>
      </c>
      <c r="AH1055" s="6" t="s">
        <v>14117</v>
      </c>
      <c r="AI1055" s="6" t="s">
        <v>104</v>
      </c>
      <c r="AJ1055" s="6" t="s">
        <v>104</v>
      </c>
      <c r="AK1055" s="6" t="s">
        <v>16773</v>
      </c>
      <c r="AL1055" s="6" t="s">
        <v>16932</v>
      </c>
      <c r="AM1055" s="6" t="s">
        <v>17695</v>
      </c>
      <c r="AN1055" s="6" t="s">
        <v>104</v>
      </c>
      <c r="AO1055" s="6" t="s">
        <v>104</v>
      </c>
      <c r="AP1055" s="6" t="s">
        <v>104</v>
      </c>
      <c r="AQ1055" s="6" t="s">
        <v>104</v>
      </c>
      <c r="AR1055" s="6" t="s">
        <v>104</v>
      </c>
      <c r="AS1055" s="6" t="s">
        <v>104</v>
      </c>
      <c r="AT1055" s="6" t="s">
        <v>104</v>
      </c>
      <c r="AU1055" s="6" t="s">
        <v>104</v>
      </c>
      <c r="AV1055" s="6" t="s">
        <v>104</v>
      </c>
      <c r="AW1055" s="6" t="s">
        <v>104</v>
      </c>
      <c r="AX1055" s="6" t="s">
        <v>20947</v>
      </c>
      <c r="AY1055" s="6" t="s">
        <v>22729</v>
      </c>
      <c r="AZ1055" s="6" t="s">
        <v>104</v>
      </c>
      <c r="BA1055" s="6" t="s">
        <v>24269</v>
      </c>
      <c r="BB1055" s="24" t="n">
        <v>0</v>
      </c>
      <c r="BC1055" s="26"/>
      <c r="BD1055" s="26"/>
      <c r="BE1055" s="26"/>
      <c r="BF1055" s="26"/>
      <c r="BG1055" s="26"/>
      <c r="BH1055" s="26"/>
      <c r="BI1055" s="26"/>
      <c r="BJ1055" s="26"/>
      <c r="BK1055" s="26"/>
      <c r="BL1055" s="26"/>
      <c r="BM1055" s="26"/>
      <c r="BN1055" s="26"/>
      <c r="BO1055" s="26"/>
      <c r="BP1055" s="16" t="n">
        <v>45680</v>
      </c>
      <c r="BQ1055" s="28" t="str">
        <f>HYPERLINK("https://organic.ams.usda.gov/Integrity/Certificate.aspx?cid=24&amp;nopid=7880283615")</f>
        <v>https://organic.ams.usda.gov/Integrity/Certificate.aspx?cid=24&amp;nopid=7880283615</v>
      </c>
    </row>
    <row r="1056">
      <c r="A1056" t="s">
        <v>3</v>
      </c>
      <c r="B1056" s="6" t="s">
        <v>27</v>
      </c>
      <c r="C1056" s="6" t="s">
        <v>93</v>
      </c>
      <c r="D1056" s="6" t="s">
        <v>158</v>
      </c>
      <c r="E1056" s="10" t="s">
        <v>1254</v>
      </c>
      <c r="F1056" s="6" t="s">
        <v>3498</v>
      </c>
      <c r="G1056" s="6" t="s">
        <v>104</v>
      </c>
      <c r="H1056" s="6" t="s">
        <v>5855</v>
      </c>
      <c r="I1056" s="6" t="s">
        <v>7578</v>
      </c>
      <c r="J1056" s="6" t="s">
        <v>8302</v>
      </c>
      <c r="K1056" s="6" t="s">
        <v>9714</v>
      </c>
      <c r="L1056" s="16" t="n">
        <v>45133</v>
      </c>
      <c r="M1056" s="16" t="n">
        <v>45382</v>
      </c>
      <c r="N1056" s="6" t="s">
        <v>9714</v>
      </c>
      <c r="O1056" s="16" t="n">
        <v>45133</v>
      </c>
      <c r="P1056" s="6" t="s">
        <v>10013</v>
      </c>
      <c r="Q1056" s="6" t="s">
        <v>104</v>
      </c>
      <c r="R1056" s="6" t="s">
        <v>10373</v>
      </c>
      <c r="S1056" s="6" t="s">
        <v>104</v>
      </c>
      <c r="T1056" s="21" t="s">
        <v>104</v>
      </c>
      <c r="U1056" s="6" t="s">
        <v>104</v>
      </c>
      <c r="V1056" s="6" t="s">
        <v>104</v>
      </c>
      <c r="W1056" s="6" t="s">
        <v>104</v>
      </c>
      <c r="X1056" s="6" t="s">
        <v>104</v>
      </c>
      <c r="Y1056" s="21" t="s">
        <v>104</v>
      </c>
      <c r="Z1056" s="6" t="s">
        <v>104</v>
      </c>
      <c r="AA1056" s="6" t="s">
        <v>104</v>
      </c>
      <c r="AB1056" s="6" t="s">
        <v>104</v>
      </c>
      <c r="AC1056" s="6" t="s">
        <v>104</v>
      </c>
      <c r="AD1056" s="21" t="s">
        <v>104</v>
      </c>
      <c r="AE1056" s="6" t="s">
        <v>104</v>
      </c>
      <c r="AF1056" s="6" t="s">
        <v>104</v>
      </c>
      <c r="AG1056" s="6" t="s">
        <v>104</v>
      </c>
      <c r="AH1056" s="6" t="s">
        <v>14118</v>
      </c>
      <c r="AI1056" s="6" t="s">
        <v>15289</v>
      </c>
      <c r="AJ1056" s="6" t="s">
        <v>104</v>
      </c>
      <c r="AK1056" s="6" t="s">
        <v>16270</v>
      </c>
      <c r="AL1056" s="6" t="s">
        <v>16932</v>
      </c>
      <c r="AM1056" s="6" t="s">
        <v>17696</v>
      </c>
      <c r="AN1056" s="6" t="s">
        <v>104</v>
      </c>
      <c r="AO1056" s="6" t="s">
        <v>104</v>
      </c>
      <c r="AP1056" s="6" t="s">
        <v>19216</v>
      </c>
      <c r="AQ1056" s="6" t="s">
        <v>19561</v>
      </c>
      <c r="AR1056" s="6" t="s">
        <v>104</v>
      </c>
      <c r="AS1056" s="6" t="s">
        <v>104</v>
      </c>
      <c r="AT1056" s="6" t="s">
        <v>16932</v>
      </c>
      <c r="AU1056" s="6" t="s">
        <v>19933</v>
      </c>
      <c r="AV1056" s="6" t="s">
        <v>104</v>
      </c>
      <c r="AW1056" s="6" t="s">
        <v>104</v>
      </c>
      <c r="AX1056" s="6" t="s">
        <v>20948</v>
      </c>
      <c r="AY1056" s="6" t="s">
        <v>22726</v>
      </c>
      <c r="AZ1056" s="6" t="s">
        <v>104</v>
      </c>
      <c r="BA1056" s="6" t="s">
        <v>104</v>
      </c>
      <c r="BB1056" s="24" t="n">
        <v>2899</v>
      </c>
      <c r="BC1056" s="26"/>
      <c r="BD1056" s="26"/>
      <c r="BE1056" s="26"/>
      <c r="BF1056" s="26"/>
      <c r="BG1056" s="26"/>
      <c r="BH1056" s="26"/>
      <c r="BI1056" s="26"/>
      <c r="BJ1056" s="26"/>
      <c r="BK1056" s="26"/>
      <c r="BL1056" s="26"/>
      <c r="BM1056" s="26"/>
      <c r="BN1056" s="26"/>
      <c r="BO1056" s="26" t="s">
        <v>24533</v>
      </c>
      <c r="BP1056" s="16" t="n">
        <v>45503</v>
      </c>
      <c r="BQ1056" s="28" t="str">
        <f>HYPERLINK("https://organic.ams.usda.gov/Integrity/Certificate.aspx?cid=93&amp;nopid=6369787344")</f>
        <v>https://organic.ams.usda.gov/Integrity/Certificate.aspx?cid=93&amp;nopid=6369787344</v>
      </c>
    </row>
    <row r="1057">
      <c r="A1057" t="s">
        <v>3</v>
      </c>
      <c r="B1057" s="6" t="s">
        <v>32</v>
      </c>
      <c r="C1057" s="6" t="s">
        <v>98</v>
      </c>
      <c r="D1057" s="6" t="s">
        <v>163</v>
      </c>
      <c r="E1057" s="10" t="s">
        <v>1255</v>
      </c>
      <c r="F1057" s="6" t="s">
        <v>3499</v>
      </c>
      <c r="G1057" s="6" t="s">
        <v>104</v>
      </c>
      <c r="H1057" s="6" t="s">
        <v>5856</v>
      </c>
      <c r="I1057" s="6" t="s">
        <v>7581</v>
      </c>
      <c r="J1057" s="6" t="s">
        <v>8932</v>
      </c>
      <c r="K1057" s="6" t="s">
        <v>9714</v>
      </c>
      <c r="L1057" s="16" t="n">
        <v>42940</v>
      </c>
      <c r="M1057" s="16" t="n">
        <v>45717</v>
      </c>
      <c r="N1057" s="6" t="s">
        <v>104</v>
      </c>
      <c r="O1057" s="21" t="s">
        <v>104</v>
      </c>
      <c r="P1057" s="6" t="s">
        <v>104</v>
      </c>
      <c r="Q1057" s="6" t="s">
        <v>104</v>
      </c>
      <c r="R1057" s="6" t="s">
        <v>104</v>
      </c>
      <c r="S1057" s="6" t="s">
        <v>104</v>
      </c>
      <c r="T1057" s="21" t="s">
        <v>104</v>
      </c>
      <c r="U1057" s="6" t="s">
        <v>104</v>
      </c>
      <c r="V1057" s="6" t="s">
        <v>104</v>
      </c>
      <c r="W1057" s="6" t="s">
        <v>104</v>
      </c>
      <c r="X1057" s="6" t="s">
        <v>104</v>
      </c>
      <c r="Y1057" s="21" t="s">
        <v>104</v>
      </c>
      <c r="Z1057" s="6" t="s">
        <v>104</v>
      </c>
      <c r="AA1057" s="6" t="s">
        <v>104</v>
      </c>
      <c r="AB1057" s="6" t="s">
        <v>104</v>
      </c>
      <c r="AC1057" s="6" t="s">
        <v>9714</v>
      </c>
      <c r="AD1057" s="16" t="n">
        <v>42940</v>
      </c>
      <c r="AE1057" s="6" t="s">
        <v>11457</v>
      </c>
      <c r="AF1057" s="6" t="s">
        <v>104</v>
      </c>
      <c r="AG1057" s="6" t="s">
        <v>104</v>
      </c>
      <c r="AH1057" s="6" t="s">
        <v>14119</v>
      </c>
      <c r="AI1057" s="6" t="s">
        <v>104</v>
      </c>
      <c r="AJ1057" s="6" t="s">
        <v>15917</v>
      </c>
      <c r="AK1057" s="6" t="s">
        <v>16710</v>
      </c>
      <c r="AL1057" s="6" t="s">
        <v>16931</v>
      </c>
      <c r="AM1057" s="6" t="s">
        <v>17697</v>
      </c>
      <c r="AN1057" s="6" t="s">
        <v>18510</v>
      </c>
      <c r="AO1057" s="6" t="s">
        <v>18746</v>
      </c>
      <c r="AP1057" s="6" t="s">
        <v>104</v>
      </c>
      <c r="AQ1057" s="6" t="s">
        <v>104</v>
      </c>
      <c r="AR1057" s="6" t="s">
        <v>104</v>
      </c>
      <c r="AS1057" s="6" t="s">
        <v>104</v>
      </c>
      <c r="AT1057" s="6" t="s">
        <v>104</v>
      </c>
      <c r="AU1057" s="6" t="s">
        <v>104</v>
      </c>
      <c r="AV1057" s="6" t="s">
        <v>104</v>
      </c>
      <c r="AW1057" s="6" t="s">
        <v>104</v>
      </c>
      <c r="AX1057" s="6" t="s">
        <v>20949</v>
      </c>
      <c r="AY1057" s="6" t="s">
        <v>22730</v>
      </c>
      <c r="AZ1057" s="6" t="s">
        <v>23962</v>
      </c>
      <c r="BA1057" s="6" t="s">
        <v>104</v>
      </c>
      <c r="BB1057" s="6" t="s">
        <v>104</v>
      </c>
      <c r="BC1057" s="26"/>
      <c r="BD1057" s="26"/>
      <c r="BE1057" s="26"/>
      <c r="BF1057" s="26"/>
      <c r="BG1057" s="26"/>
      <c r="BH1057" s="26"/>
      <c r="BI1057" s="26"/>
      <c r="BJ1057" s="26"/>
      <c r="BK1057" s="26"/>
      <c r="BL1057" s="26" t="s">
        <v>24533</v>
      </c>
      <c r="BM1057" s="26"/>
      <c r="BN1057" s="26"/>
      <c r="BO1057" s="26"/>
      <c r="BP1057" s="16" t="n">
        <v>45649</v>
      </c>
      <c r="BQ1057" s="28" t="str">
        <f>HYPERLINK("https://organic.ams.usda.gov/Integrity/Certificate.aspx?cid=64&amp;nopid=8830001041")</f>
        <v>https://organic.ams.usda.gov/Integrity/Certificate.aspx?cid=64&amp;nopid=8830001041</v>
      </c>
    </row>
    <row r="1058">
      <c r="A1058" t="s">
        <v>3</v>
      </c>
      <c r="B1058" s="6" t="s">
        <v>9</v>
      </c>
      <c r="C1058" s="6" t="s">
        <v>75</v>
      </c>
      <c r="D1058" s="6" t="s">
        <v>140</v>
      </c>
      <c r="E1058" s="10" t="s">
        <v>1256</v>
      </c>
      <c r="F1058" s="6" t="s">
        <v>3500</v>
      </c>
      <c r="G1058" s="6" t="s">
        <v>104</v>
      </c>
      <c r="H1058" s="6" t="s">
        <v>5857</v>
      </c>
      <c r="I1058" s="6" t="s">
        <v>7582</v>
      </c>
      <c r="J1058" s="6" t="s">
        <v>8933</v>
      </c>
      <c r="K1058" s="6" t="s">
        <v>9714</v>
      </c>
      <c r="L1058" s="16" t="n">
        <v>40422</v>
      </c>
      <c r="M1058" s="16" t="n">
        <v>45627</v>
      </c>
      <c r="N1058" s="6" t="s">
        <v>104</v>
      </c>
      <c r="O1058" s="21" t="s">
        <v>104</v>
      </c>
      <c r="P1058" s="6" t="s">
        <v>104</v>
      </c>
      <c r="Q1058" s="6" t="s">
        <v>104</v>
      </c>
      <c r="R1058" s="6" t="s">
        <v>104</v>
      </c>
      <c r="S1058" s="6" t="s">
        <v>104</v>
      </c>
      <c r="T1058" s="21" t="s">
        <v>104</v>
      </c>
      <c r="U1058" s="6" t="s">
        <v>104</v>
      </c>
      <c r="V1058" s="6" t="s">
        <v>104</v>
      </c>
      <c r="W1058" s="6" t="s">
        <v>104</v>
      </c>
      <c r="X1058" s="6" t="s">
        <v>104</v>
      </c>
      <c r="Y1058" s="21" t="s">
        <v>104</v>
      </c>
      <c r="Z1058" s="6" t="s">
        <v>104</v>
      </c>
      <c r="AA1058" s="6" t="s">
        <v>104</v>
      </c>
      <c r="AB1058" s="6" t="s">
        <v>104</v>
      </c>
      <c r="AC1058" s="6" t="s">
        <v>9714</v>
      </c>
      <c r="AD1058" s="16" t="n">
        <v>40422</v>
      </c>
      <c r="AE1058" s="6" t="s">
        <v>11458</v>
      </c>
      <c r="AF1058" s="6" t="s">
        <v>104</v>
      </c>
      <c r="AG1058" s="6" t="s">
        <v>104</v>
      </c>
      <c r="AH1058" s="6" t="s">
        <v>104</v>
      </c>
      <c r="AI1058" s="6" t="s">
        <v>104</v>
      </c>
      <c r="AJ1058" s="6" t="s">
        <v>104</v>
      </c>
      <c r="AK1058" s="6" t="s">
        <v>104</v>
      </c>
      <c r="AL1058" s="6" t="s">
        <v>104</v>
      </c>
      <c r="AM1058" s="6" t="s">
        <v>104</v>
      </c>
      <c r="AN1058" s="6" t="s">
        <v>104</v>
      </c>
      <c r="AO1058" s="6" t="s">
        <v>104</v>
      </c>
      <c r="AP1058" s="6" t="s">
        <v>19217</v>
      </c>
      <c r="AQ1058" s="6" t="s">
        <v>19562</v>
      </c>
      <c r="AR1058" s="6" t="s">
        <v>19691</v>
      </c>
      <c r="AS1058" s="6" t="s">
        <v>16687</v>
      </c>
      <c r="AT1058" s="6" t="s">
        <v>16931</v>
      </c>
      <c r="AU1058" s="6" t="s">
        <v>19934</v>
      </c>
      <c r="AV1058" s="6" t="s">
        <v>18503</v>
      </c>
      <c r="AW1058" s="6" t="s">
        <v>18780</v>
      </c>
      <c r="AX1058" s="6" t="s">
        <v>20950</v>
      </c>
      <c r="AY1058" s="6" t="s">
        <v>22731</v>
      </c>
      <c r="AZ1058" s="6" t="s">
        <v>104</v>
      </c>
      <c r="BA1058" s="6" t="s">
        <v>104</v>
      </c>
      <c r="BB1058" s="6" t="s">
        <v>104</v>
      </c>
      <c r="BC1058" s="26"/>
      <c r="BD1058" s="26"/>
      <c r="BE1058" s="26"/>
      <c r="BF1058" s="26"/>
      <c r="BG1058" s="26"/>
      <c r="BH1058" s="26"/>
      <c r="BI1058" s="26"/>
      <c r="BJ1058" s="26"/>
      <c r="BK1058" s="26"/>
      <c r="BL1058" s="26"/>
      <c r="BM1058" s="26"/>
      <c r="BN1058" s="26"/>
      <c r="BO1058" s="26"/>
      <c r="BP1058" s="16" t="n">
        <v>45560</v>
      </c>
      <c r="BQ1058" s="28" t="str">
        <f>HYPERLINK("https://organic.ams.usda.gov/Integrity/Certificate.aspx?cid=63&amp;nopid=6220002767")</f>
        <v>https://organic.ams.usda.gov/Integrity/Certificate.aspx?cid=63&amp;nopid=6220002767</v>
      </c>
    </row>
    <row r="1059">
      <c r="A1059" t="s">
        <v>3</v>
      </c>
      <c r="B1059" s="6" t="s">
        <v>20</v>
      </c>
      <c r="C1059" s="6" t="s">
        <v>86</v>
      </c>
      <c r="D1059" s="6" t="s">
        <v>151</v>
      </c>
      <c r="E1059" s="10" t="s">
        <v>1257</v>
      </c>
      <c r="F1059" s="6" t="s">
        <v>3501</v>
      </c>
      <c r="G1059" s="6" t="s">
        <v>104</v>
      </c>
      <c r="H1059" s="6" t="s">
        <v>5858</v>
      </c>
      <c r="I1059" s="6" t="s">
        <v>7583</v>
      </c>
      <c r="J1059" s="6" t="s">
        <v>8934</v>
      </c>
      <c r="K1059" s="6" t="s">
        <v>9714</v>
      </c>
      <c r="L1059" s="16" t="n">
        <v>42824</v>
      </c>
      <c r="M1059" s="16" t="n">
        <v>45900</v>
      </c>
      <c r="N1059" s="6" t="s">
        <v>104</v>
      </c>
      <c r="O1059" s="21" t="s">
        <v>104</v>
      </c>
      <c r="P1059" s="6" t="s">
        <v>104</v>
      </c>
      <c r="Q1059" s="6" t="s">
        <v>104</v>
      </c>
      <c r="R1059" s="6" t="s">
        <v>104</v>
      </c>
      <c r="S1059" s="6" t="s">
        <v>104</v>
      </c>
      <c r="T1059" s="21" t="s">
        <v>104</v>
      </c>
      <c r="U1059" s="6" t="s">
        <v>104</v>
      </c>
      <c r="V1059" s="6" t="s">
        <v>104</v>
      </c>
      <c r="W1059" s="6" t="s">
        <v>104</v>
      </c>
      <c r="X1059" s="6" t="s">
        <v>104</v>
      </c>
      <c r="Y1059" s="21" t="s">
        <v>104</v>
      </c>
      <c r="Z1059" s="6" t="s">
        <v>104</v>
      </c>
      <c r="AA1059" s="6" t="s">
        <v>104</v>
      </c>
      <c r="AB1059" s="6" t="s">
        <v>104</v>
      </c>
      <c r="AC1059" s="6" t="s">
        <v>9714</v>
      </c>
      <c r="AD1059" s="16" t="n">
        <v>42824</v>
      </c>
      <c r="AE1059" s="6" t="s">
        <v>11459</v>
      </c>
      <c r="AF1059" s="6" t="s">
        <v>104</v>
      </c>
      <c r="AG1059" s="6" t="s">
        <v>12820</v>
      </c>
      <c r="AH1059" s="6" t="s">
        <v>14120</v>
      </c>
      <c r="AI1059" s="6" t="s">
        <v>104</v>
      </c>
      <c r="AJ1059" s="6" t="s">
        <v>15363</v>
      </c>
      <c r="AK1059" s="6" t="s">
        <v>104</v>
      </c>
      <c r="AL1059" s="6" t="s">
        <v>15513</v>
      </c>
      <c r="AM1059" s="6" t="s">
        <v>17698</v>
      </c>
      <c r="AN1059" s="6" t="s">
        <v>104</v>
      </c>
      <c r="AO1059" s="6" t="s">
        <v>104</v>
      </c>
      <c r="AP1059" s="6" t="s">
        <v>104</v>
      </c>
      <c r="AQ1059" s="6" t="s">
        <v>104</v>
      </c>
      <c r="AR1059" s="6" t="s">
        <v>104</v>
      </c>
      <c r="AS1059" s="6" t="s">
        <v>104</v>
      </c>
      <c r="AT1059" s="6" t="s">
        <v>104</v>
      </c>
      <c r="AU1059" s="6" t="s">
        <v>104</v>
      </c>
      <c r="AV1059" s="6" t="s">
        <v>104</v>
      </c>
      <c r="AW1059" s="6" t="s">
        <v>104</v>
      </c>
      <c r="AX1059" s="6" t="s">
        <v>20951</v>
      </c>
      <c r="AY1059" s="6" t="s">
        <v>22732</v>
      </c>
      <c r="AZ1059" s="6" t="s">
        <v>104</v>
      </c>
      <c r="BA1059" s="6" t="s">
        <v>104</v>
      </c>
      <c r="BB1059" s="6" t="s">
        <v>104</v>
      </c>
      <c r="BC1059" s="26"/>
      <c r="BD1059" s="26"/>
      <c r="BE1059" s="26"/>
      <c r="BF1059" s="26"/>
      <c r="BG1059" s="26"/>
      <c r="BH1059" s="26"/>
      <c r="BI1059" s="26"/>
      <c r="BJ1059" s="26"/>
      <c r="BK1059" s="26"/>
      <c r="BL1059" s="26"/>
      <c r="BM1059" s="26"/>
      <c r="BN1059" s="26"/>
      <c r="BO1059" s="26"/>
      <c r="BP1059" s="16" t="n">
        <v>45673</v>
      </c>
      <c r="BQ1059" s="28" t="str">
        <f>HYPERLINK("https://organic.ams.usda.gov/Integrity/Certificate.aspx?cid=17&amp;nopid=4087184558")</f>
        <v>https://organic.ams.usda.gov/Integrity/Certificate.aspx?cid=17&amp;nopid=4087184558</v>
      </c>
    </row>
    <row r="1060">
      <c r="A1060" t="s">
        <v>3</v>
      </c>
      <c r="B1060" s="6" t="s">
        <v>14</v>
      </c>
      <c r="C1060" s="6" t="s">
        <v>80</v>
      </c>
      <c r="D1060" s="6" t="s">
        <v>145</v>
      </c>
      <c r="E1060" s="10" t="s">
        <v>1258</v>
      </c>
      <c r="F1060" s="6" t="s">
        <v>3502</v>
      </c>
      <c r="G1060" s="6" t="s">
        <v>104</v>
      </c>
      <c r="H1060" s="6" t="s">
        <v>5859</v>
      </c>
      <c r="I1060" s="6" t="s">
        <v>7333</v>
      </c>
      <c r="J1060" s="6" t="s">
        <v>7333</v>
      </c>
      <c r="K1060" s="6" t="s">
        <v>9714</v>
      </c>
      <c r="L1060" s="16" t="n">
        <v>45020</v>
      </c>
      <c r="M1060" s="16" t="n">
        <v>45991</v>
      </c>
      <c r="N1060" s="6" t="s">
        <v>104</v>
      </c>
      <c r="O1060" s="21" t="s">
        <v>104</v>
      </c>
      <c r="P1060" s="6" t="s">
        <v>104</v>
      </c>
      <c r="Q1060" s="6" t="s">
        <v>104</v>
      </c>
      <c r="R1060" s="6" t="s">
        <v>104</v>
      </c>
      <c r="S1060" s="6" t="s">
        <v>104</v>
      </c>
      <c r="T1060" s="21" t="s">
        <v>104</v>
      </c>
      <c r="U1060" s="6" t="s">
        <v>104</v>
      </c>
      <c r="V1060" s="6" t="s">
        <v>104</v>
      </c>
      <c r="W1060" s="6" t="s">
        <v>104</v>
      </c>
      <c r="X1060" s="6" t="s">
        <v>104</v>
      </c>
      <c r="Y1060" s="21" t="s">
        <v>104</v>
      </c>
      <c r="Z1060" s="6" t="s">
        <v>104</v>
      </c>
      <c r="AA1060" s="6" t="s">
        <v>104</v>
      </c>
      <c r="AB1060" s="6" t="s">
        <v>104</v>
      </c>
      <c r="AC1060" s="6" t="s">
        <v>9714</v>
      </c>
      <c r="AD1060" s="16" t="n">
        <v>45020</v>
      </c>
      <c r="AE1060" s="6" t="s">
        <v>11460</v>
      </c>
      <c r="AF1060" s="6" t="s">
        <v>104</v>
      </c>
      <c r="AG1060" s="6" t="s">
        <v>104</v>
      </c>
      <c r="AH1060" s="6" t="s">
        <v>14121</v>
      </c>
      <c r="AI1060" s="6" t="s">
        <v>104</v>
      </c>
      <c r="AJ1060" s="6" t="s">
        <v>16053</v>
      </c>
      <c r="AK1060" s="6" t="s">
        <v>16685</v>
      </c>
      <c r="AL1060" s="6" t="s">
        <v>16932</v>
      </c>
      <c r="AM1060" s="6" t="s">
        <v>17699</v>
      </c>
      <c r="AN1060" s="6" t="s">
        <v>104</v>
      </c>
      <c r="AO1060" s="6" t="s">
        <v>104</v>
      </c>
      <c r="AP1060" s="6" t="s">
        <v>104</v>
      </c>
      <c r="AQ1060" s="6" t="s">
        <v>104</v>
      </c>
      <c r="AR1060" s="6" t="s">
        <v>104</v>
      </c>
      <c r="AS1060" s="6" t="s">
        <v>104</v>
      </c>
      <c r="AT1060" s="6" t="s">
        <v>104</v>
      </c>
      <c r="AU1060" s="6" t="s">
        <v>104</v>
      </c>
      <c r="AV1060" s="6" t="s">
        <v>104</v>
      </c>
      <c r="AW1060" s="6" t="s">
        <v>104</v>
      </c>
      <c r="AX1060" s="6" t="s">
        <v>104</v>
      </c>
      <c r="AY1060" s="6" t="s">
        <v>22733</v>
      </c>
      <c r="AZ1060" s="6" t="s">
        <v>23963</v>
      </c>
      <c r="BA1060" s="6" t="s">
        <v>24267</v>
      </c>
      <c r="BB1060" s="6" t="s">
        <v>104</v>
      </c>
      <c r="BC1060" s="26"/>
      <c r="BD1060" s="26"/>
      <c r="BE1060" s="26"/>
      <c r="BF1060" s="26"/>
      <c r="BG1060" s="26"/>
      <c r="BH1060" s="26"/>
      <c r="BI1060" s="26"/>
      <c r="BJ1060" s="26"/>
      <c r="BK1060" s="26"/>
      <c r="BL1060" s="26"/>
      <c r="BM1060" s="26"/>
      <c r="BN1060" s="26"/>
      <c r="BO1060" s="26"/>
      <c r="BP1060" s="16" t="n">
        <v>45726</v>
      </c>
      <c r="BQ1060" s="28" t="str">
        <f>HYPERLINK("https://organic.ams.usda.gov/Integrity/Certificate.aspx?cid=89&amp;nopid=4920006281")</f>
        <v>https://organic.ams.usda.gov/Integrity/Certificate.aspx?cid=89&amp;nopid=4920006281</v>
      </c>
    </row>
    <row r="1061">
      <c r="A1061" t="s">
        <v>3</v>
      </c>
      <c r="B1061" s="6" t="s">
        <v>54</v>
      </c>
      <c r="C1061" s="6" t="s">
        <v>120</v>
      </c>
      <c r="D1061" s="6" t="s">
        <v>184</v>
      </c>
      <c r="E1061" s="10" t="s">
        <v>1259</v>
      </c>
      <c r="F1061" s="6" t="s">
        <v>3503</v>
      </c>
      <c r="G1061" s="6" t="s">
        <v>104</v>
      </c>
      <c r="H1061" s="6" t="s">
        <v>5860</v>
      </c>
      <c r="I1061" s="6" t="s">
        <v>7584</v>
      </c>
      <c r="J1061" s="6" t="s">
        <v>8935</v>
      </c>
      <c r="K1061" s="6" t="s">
        <v>9714</v>
      </c>
      <c r="L1061" s="16" t="n">
        <v>44503</v>
      </c>
      <c r="M1061" s="16" t="n">
        <v>45748</v>
      </c>
      <c r="N1061" s="6" t="s">
        <v>104</v>
      </c>
      <c r="O1061" s="21" t="s">
        <v>104</v>
      </c>
      <c r="P1061" s="6" t="s">
        <v>104</v>
      </c>
      <c r="Q1061" s="6" t="s">
        <v>104</v>
      </c>
      <c r="R1061" s="6" t="s">
        <v>104</v>
      </c>
      <c r="S1061" s="6" t="s">
        <v>104</v>
      </c>
      <c r="T1061" s="21" t="s">
        <v>104</v>
      </c>
      <c r="U1061" s="6" t="s">
        <v>104</v>
      </c>
      <c r="V1061" s="6" t="s">
        <v>104</v>
      </c>
      <c r="W1061" s="6" t="s">
        <v>104</v>
      </c>
      <c r="X1061" s="6" t="s">
        <v>104</v>
      </c>
      <c r="Y1061" s="21" t="s">
        <v>104</v>
      </c>
      <c r="Z1061" s="6" t="s">
        <v>104</v>
      </c>
      <c r="AA1061" s="6" t="s">
        <v>104</v>
      </c>
      <c r="AB1061" s="6" t="s">
        <v>104</v>
      </c>
      <c r="AC1061" s="6" t="s">
        <v>9714</v>
      </c>
      <c r="AD1061" s="16" t="n">
        <v>44503</v>
      </c>
      <c r="AE1061" s="6" t="s">
        <v>11461</v>
      </c>
      <c r="AF1061" s="6" t="s">
        <v>104</v>
      </c>
      <c r="AG1061" s="6" t="s">
        <v>104</v>
      </c>
      <c r="AH1061" s="6" t="s">
        <v>14122</v>
      </c>
      <c r="AI1061" s="6" t="s">
        <v>104</v>
      </c>
      <c r="AJ1061" s="6" t="s">
        <v>15721</v>
      </c>
      <c r="AK1061" s="6" t="s">
        <v>16687</v>
      </c>
      <c r="AL1061" s="6" t="s">
        <v>16931</v>
      </c>
      <c r="AM1061" s="6" t="s">
        <v>17700</v>
      </c>
      <c r="AN1061" s="6" t="s">
        <v>18465</v>
      </c>
      <c r="AO1061" s="6" t="s">
        <v>18572</v>
      </c>
      <c r="AP1061" s="6" t="s">
        <v>19218</v>
      </c>
      <c r="AQ1061" s="6" t="s">
        <v>104</v>
      </c>
      <c r="AR1061" s="6" t="s">
        <v>19692</v>
      </c>
      <c r="AS1061" s="6" t="s">
        <v>16687</v>
      </c>
      <c r="AT1061" s="6" t="s">
        <v>16931</v>
      </c>
      <c r="AU1061" s="6" t="s">
        <v>19935</v>
      </c>
      <c r="AV1061" s="6" t="s">
        <v>104</v>
      </c>
      <c r="AW1061" s="6" t="s">
        <v>104</v>
      </c>
      <c r="AX1061" s="6" t="s">
        <v>20952</v>
      </c>
      <c r="AY1061" s="6" t="s">
        <v>22734</v>
      </c>
      <c r="AZ1061" s="6" t="s">
        <v>104</v>
      </c>
      <c r="BA1061" s="6" t="s">
        <v>104</v>
      </c>
      <c r="BB1061" s="6" t="s">
        <v>104</v>
      </c>
      <c r="BC1061" s="26"/>
      <c r="BD1061" s="26"/>
      <c r="BE1061" s="26"/>
      <c r="BF1061" s="26"/>
      <c r="BG1061" s="26" t="s">
        <v>24533</v>
      </c>
      <c r="BH1061" s="26"/>
      <c r="BI1061" s="26"/>
      <c r="BJ1061" s="26"/>
      <c r="BK1061" s="26"/>
      <c r="BL1061" s="26"/>
      <c r="BM1061" s="26"/>
      <c r="BN1061" s="26"/>
      <c r="BO1061" s="26"/>
      <c r="BP1061" s="16" t="n">
        <v>45642</v>
      </c>
      <c r="BQ1061" s="28" t="str">
        <f>HYPERLINK("https://organic.ams.usda.gov/Integrity/Certificate.aspx?cid=60&amp;nopid=2580003812")</f>
        <v>https://organic.ams.usda.gov/Integrity/Certificate.aspx?cid=60&amp;nopid=2580003812</v>
      </c>
    </row>
    <row r="1062">
      <c r="A1062" t="s">
        <v>3</v>
      </c>
      <c r="B1062" s="6" t="s">
        <v>41</v>
      </c>
      <c r="C1062" s="6" t="s">
        <v>107</v>
      </c>
      <c r="D1062" s="6" t="s">
        <v>171</v>
      </c>
      <c r="E1062" s="10" t="s">
        <v>1260</v>
      </c>
      <c r="F1062" s="6" t="s">
        <v>3504</v>
      </c>
      <c r="G1062" s="6" t="s">
        <v>4771</v>
      </c>
      <c r="H1062" s="6" t="s">
        <v>5861</v>
      </c>
      <c r="I1062" s="6" t="s">
        <v>7056</v>
      </c>
      <c r="J1062" s="6" t="s">
        <v>8936</v>
      </c>
      <c r="K1062" s="6" t="s">
        <v>9714</v>
      </c>
      <c r="L1062" s="16" t="n">
        <v>41487</v>
      </c>
      <c r="M1062" s="16" t="n">
        <v>45792</v>
      </c>
      <c r="N1062" s="6" t="s">
        <v>9714</v>
      </c>
      <c r="O1062" s="16" t="n">
        <v>41487</v>
      </c>
      <c r="P1062" s="6" t="s">
        <v>10014</v>
      </c>
      <c r="Q1062" s="6" t="s">
        <v>104</v>
      </c>
      <c r="R1062" s="6" t="s">
        <v>104</v>
      </c>
      <c r="S1062" s="6" t="s">
        <v>104</v>
      </c>
      <c r="T1062" s="21" t="s">
        <v>104</v>
      </c>
      <c r="U1062" s="6" t="s">
        <v>104</v>
      </c>
      <c r="V1062" s="6" t="s">
        <v>104</v>
      </c>
      <c r="W1062" s="6" t="s">
        <v>104</v>
      </c>
      <c r="X1062" s="6" t="s">
        <v>104</v>
      </c>
      <c r="Y1062" s="21" t="s">
        <v>104</v>
      </c>
      <c r="Z1062" s="6" t="s">
        <v>104</v>
      </c>
      <c r="AA1062" s="6" t="s">
        <v>104</v>
      </c>
      <c r="AB1062" s="6" t="s">
        <v>104</v>
      </c>
      <c r="AC1062" s="6" t="s">
        <v>9714</v>
      </c>
      <c r="AD1062" s="16" t="n">
        <v>41487</v>
      </c>
      <c r="AE1062" s="6" t="s">
        <v>11462</v>
      </c>
      <c r="AF1062" s="6" t="s">
        <v>104</v>
      </c>
      <c r="AG1062" s="6" t="s">
        <v>104</v>
      </c>
      <c r="AH1062" s="6" t="s">
        <v>14123</v>
      </c>
      <c r="AI1062" s="6" t="s">
        <v>104</v>
      </c>
      <c r="AJ1062" s="6" t="s">
        <v>16054</v>
      </c>
      <c r="AK1062" s="6" t="s">
        <v>16686</v>
      </c>
      <c r="AL1062" s="6" t="s">
        <v>16931</v>
      </c>
      <c r="AM1062" s="6" t="s">
        <v>17701</v>
      </c>
      <c r="AN1062" s="6" t="s">
        <v>18490</v>
      </c>
      <c r="AO1062" s="6" t="s">
        <v>18644</v>
      </c>
      <c r="AP1062" s="6" t="s">
        <v>14123</v>
      </c>
      <c r="AQ1062" s="6" t="s">
        <v>104</v>
      </c>
      <c r="AR1062" s="6" t="s">
        <v>16054</v>
      </c>
      <c r="AS1062" s="6" t="s">
        <v>16686</v>
      </c>
      <c r="AT1062" s="6" t="s">
        <v>16931</v>
      </c>
      <c r="AU1062" s="6" t="s">
        <v>17701</v>
      </c>
      <c r="AV1062" s="6" t="s">
        <v>104</v>
      </c>
      <c r="AW1062" s="6" t="s">
        <v>104</v>
      </c>
      <c r="AX1062" s="6" t="s">
        <v>20953</v>
      </c>
      <c r="AY1062" s="6" t="s">
        <v>22735</v>
      </c>
      <c r="AZ1062" s="6" t="s">
        <v>104</v>
      </c>
      <c r="BA1062" s="6" t="s">
        <v>104</v>
      </c>
      <c r="BB1062" s="24" t="n">
        <v>158</v>
      </c>
      <c r="BC1062" s="26" t="s">
        <v>24533</v>
      </c>
      <c r="BD1062" s="26"/>
      <c r="BE1062" s="26"/>
      <c r="BF1062" s="26"/>
      <c r="BG1062" s="26"/>
      <c r="BH1062" s="26"/>
      <c r="BI1062" s="26"/>
      <c r="BJ1062" s="26"/>
      <c r="BK1062" s="26"/>
      <c r="BL1062" s="26"/>
      <c r="BM1062" s="26"/>
      <c r="BN1062" s="26" t="s">
        <v>24533</v>
      </c>
      <c r="BO1062" s="26"/>
      <c r="BP1062" s="16" t="n">
        <v>45737</v>
      </c>
      <c r="BQ1062" s="28" t="str">
        <f>HYPERLINK("https://organic.ams.usda.gov/Integrity/Certificate.aspx?cid=58&amp;nopid=1600002149")</f>
        <v>https://organic.ams.usda.gov/Integrity/Certificate.aspx?cid=58&amp;nopid=1600002149</v>
      </c>
    </row>
    <row r="1063">
      <c r="A1063" t="s">
        <v>3</v>
      </c>
      <c r="B1063" s="6" t="s">
        <v>53</v>
      </c>
      <c r="C1063" s="6" t="s">
        <v>119</v>
      </c>
      <c r="D1063" s="6" t="s">
        <v>183</v>
      </c>
      <c r="E1063" s="10" t="s">
        <v>1261</v>
      </c>
      <c r="F1063" s="6" t="s">
        <v>3505</v>
      </c>
      <c r="G1063" s="6" t="s">
        <v>104</v>
      </c>
      <c r="H1063" s="6" t="s">
        <v>104</v>
      </c>
      <c r="I1063" s="6" t="s">
        <v>7141</v>
      </c>
      <c r="J1063" s="6" t="s">
        <v>8937</v>
      </c>
      <c r="K1063" s="6" t="s">
        <v>9714</v>
      </c>
      <c r="L1063" s="16" t="n">
        <v>43601</v>
      </c>
      <c r="M1063" s="16" t="n">
        <v>45793</v>
      </c>
      <c r="N1063" s="6" t="s">
        <v>104</v>
      </c>
      <c r="O1063" s="21" t="s">
        <v>104</v>
      </c>
      <c r="P1063" s="6" t="s">
        <v>104</v>
      </c>
      <c r="Q1063" s="6" t="s">
        <v>104</v>
      </c>
      <c r="R1063" s="6" t="s">
        <v>104</v>
      </c>
      <c r="S1063" s="6" t="s">
        <v>104</v>
      </c>
      <c r="T1063" s="21" t="s">
        <v>104</v>
      </c>
      <c r="U1063" s="6" t="s">
        <v>104</v>
      </c>
      <c r="V1063" s="6" t="s">
        <v>104</v>
      </c>
      <c r="W1063" s="6" t="s">
        <v>104</v>
      </c>
      <c r="X1063" s="6" t="s">
        <v>104</v>
      </c>
      <c r="Y1063" s="21" t="s">
        <v>104</v>
      </c>
      <c r="Z1063" s="6" t="s">
        <v>104</v>
      </c>
      <c r="AA1063" s="6" t="s">
        <v>104</v>
      </c>
      <c r="AB1063" s="6" t="s">
        <v>104</v>
      </c>
      <c r="AC1063" s="6" t="s">
        <v>9714</v>
      </c>
      <c r="AD1063" s="16" t="n">
        <v>43601</v>
      </c>
      <c r="AE1063" s="6" t="s">
        <v>11463</v>
      </c>
      <c r="AF1063" s="6" t="s">
        <v>104</v>
      </c>
      <c r="AG1063" s="6" t="s">
        <v>104</v>
      </c>
      <c r="AH1063" s="6" t="s">
        <v>14124</v>
      </c>
      <c r="AI1063" s="6" t="s">
        <v>104</v>
      </c>
      <c r="AJ1063" s="6" t="s">
        <v>15965</v>
      </c>
      <c r="AK1063" s="6" t="s">
        <v>16714</v>
      </c>
      <c r="AL1063" s="6" t="s">
        <v>16931</v>
      </c>
      <c r="AM1063" s="6" t="s">
        <v>17702</v>
      </c>
      <c r="AN1063" s="6" t="s">
        <v>18504</v>
      </c>
      <c r="AO1063" s="6" t="s">
        <v>18559</v>
      </c>
      <c r="AP1063" s="6" t="s">
        <v>104</v>
      </c>
      <c r="AQ1063" s="6" t="s">
        <v>104</v>
      </c>
      <c r="AR1063" s="6" t="s">
        <v>104</v>
      </c>
      <c r="AS1063" s="6" t="s">
        <v>104</v>
      </c>
      <c r="AT1063" s="6" t="s">
        <v>104</v>
      </c>
      <c r="AU1063" s="6" t="s">
        <v>104</v>
      </c>
      <c r="AV1063" s="6" t="s">
        <v>104</v>
      </c>
      <c r="AW1063" s="6" t="s">
        <v>104</v>
      </c>
      <c r="AX1063" s="6" t="s">
        <v>20954</v>
      </c>
      <c r="AY1063" s="6" t="s">
        <v>22736</v>
      </c>
      <c r="AZ1063" s="6" t="s">
        <v>23964</v>
      </c>
      <c r="BA1063" s="6" t="s">
        <v>104</v>
      </c>
      <c r="BB1063" s="6" t="s">
        <v>104</v>
      </c>
      <c r="BC1063" s="26"/>
      <c r="BD1063" s="26"/>
      <c r="BE1063" s="26"/>
      <c r="BF1063" s="26"/>
      <c r="BG1063" s="26"/>
      <c r="BH1063" s="26"/>
      <c r="BI1063" s="26"/>
      <c r="BJ1063" s="26"/>
      <c r="BK1063" s="26"/>
      <c r="BL1063" s="26"/>
      <c r="BM1063" s="26"/>
      <c r="BN1063" s="26"/>
      <c r="BO1063" s="26"/>
      <c r="BP1063" s="16" t="n">
        <v>45544</v>
      </c>
      <c r="BQ1063" s="28" t="str">
        <f>HYPERLINK("https://organic.ams.usda.gov/Integrity/Certificate.aspx?cid=74&amp;nopid=5350000137")</f>
        <v>https://organic.ams.usda.gov/Integrity/Certificate.aspx?cid=74&amp;nopid=5350000137</v>
      </c>
    </row>
    <row r="1064">
      <c r="A1064" t="s">
        <v>3</v>
      </c>
      <c r="B1064" s="6" t="s">
        <v>29</v>
      </c>
      <c r="C1064" s="6" t="s">
        <v>95</v>
      </c>
      <c r="D1064" s="6" t="s">
        <v>160</v>
      </c>
      <c r="E1064" s="10" t="s">
        <v>1262</v>
      </c>
      <c r="F1064" s="6" t="s">
        <v>3506</v>
      </c>
      <c r="G1064" s="6" t="s">
        <v>104</v>
      </c>
      <c r="H1064" s="6" t="s">
        <v>5862</v>
      </c>
      <c r="I1064" s="6" t="s">
        <v>104</v>
      </c>
      <c r="J1064" s="6" t="s">
        <v>8938</v>
      </c>
      <c r="K1064" s="6" t="s">
        <v>9714</v>
      </c>
      <c r="L1064" s="16" t="n">
        <v>44693</v>
      </c>
      <c r="M1064" s="16" t="n">
        <v>45689</v>
      </c>
      <c r="N1064" s="6" t="s">
        <v>104</v>
      </c>
      <c r="O1064" s="21" t="s">
        <v>104</v>
      </c>
      <c r="P1064" s="6" t="s">
        <v>104</v>
      </c>
      <c r="Q1064" s="6" t="s">
        <v>104</v>
      </c>
      <c r="R1064" s="6" t="s">
        <v>104</v>
      </c>
      <c r="S1064" s="6" t="s">
        <v>104</v>
      </c>
      <c r="T1064" s="21" t="s">
        <v>104</v>
      </c>
      <c r="U1064" s="6" t="s">
        <v>104</v>
      </c>
      <c r="V1064" s="6" t="s">
        <v>104</v>
      </c>
      <c r="W1064" s="6" t="s">
        <v>104</v>
      </c>
      <c r="X1064" s="6" t="s">
        <v>104</v>
      </c>
      <c r="Y1064" s="21" t="s">
        <v>104</v>
      </c>
      <c r="Z1064" s="6" t="s">
        <v>104</v>
      </c>
      <c r="AA1064" s="6" t="s">
        <v>104</v>
      </c>
      <c r="AB1064" s="6" t="s">
        <v>104</v>
      </c>
      <c r="AC1064" s="6" t="s">
        <v>9714</v>
      </c>
      <c r="AD1064" s="16" t="n">
        <v>44693</v>
      </c>
      <c r="AE1064" s="6" t="s">
        <v>11464</v>
      </c>
      <c r="AF1064" s="6" t="s">
        <v>104</v>
      </c>
      <c r="AG1064" s="6" t="s">
        <v>104</v>
      </c>
      <c r="AH1064" s="6" t="s">
        <v>14125</v>
      </c>
      <c r="AI1064" s="6" t="s">
        <v>15290</v>
      </c>
      <c r="AJ1064" s="6" t="s">
        <v>16055</v>
      </c>
      <c r="AK1064" s="6" t="s">
        <v>16845</v>
      </c>
      <c r="AL1064" s="6" t="s">
        <v>16956</v>
      </c>
      <c r="AM1064" s="6" t="s">
        <v>17703</v>
      </c>
      <c r="AN1064" s="6" t="s">
        <v>104</v>
      </c>
      <c r="AO1064" s="6" t="s">
        <v>104</v>
      </c>
      <c r="AP1064" s="6" t="s">
        <v>104</v>
      </c>
      <c r="AQ1064" s="6" t="s">
        <v>104</v>
      </c>
      <c r="AR1064" s="6" t="s">
        <v>104</v>
      </c>
      <c r="AS1064" s="6" t="s">
        <v>104</v>
      </c>
      <c r="AT1064" s="6" t="s">
        <v>104</v>
      </c>
      <c r="AU1064" s="6" t="s">
        <v>104</v>
      </c>
      <c r="AV1064" s="6" t="s">
        <v>104</v>
      </c>
      <c r="AW1064" s="6" t="s">
        <v>104</v>
      </c>
      <c r="AX1064" s="6" t="s">
        <v>20955</v>
      </c>
      <c r="AY1064" s="6" t="s">
        <v>22737</v>
      </c>
      <c r="AZ1064" s="6" t="s">
        <v>104</v>
      </c>
      <c r="BA1064" s="6" t="s">
        <v>104</v>
      </c>
      <c r="BB1064" s="24" t="n">
        <v>0</v>
      </c>
      <c r="BC1064" s="26"/>
      <c r="BD1064" s="26"/>
      <c r="BE1064" s="26"/>
      <c r="BF1064" s="26"/>
      <c r="BG1064" s="26"/>
      <c r="BH1064" s="26"/>
      <c r="BI1064" s="26"/>
      <c r="BJ1064" s="26"/>
      <c r="BK1064" s="26"/>
      <c r="BL1064" s="26"/>
      <c r="BM1064" s="26"/>
      <c r="BN1064" s="26"/>
      <c r="BO1064" s="26"/>
      <c r="BP1064" s="16" t="n">
        <v>45554</v>
      </c>
      <c r="BQ1064" s="28" t="str">
        <f>HYPERLINK("https://organic.ams.usda.gov/Integrity/Certificate.aspx?cid=24&amp;nopid=7882627700")</f>
        <v>https://organic.ams.usda.gov/Integrity/Certificate.aspx?cid=24&amp;nopid=7882627700</v>
      </c>
    </row>
    <row r="1065">
      <c r="A1065" t="s">
        <v>3</v>
      </c>
      <c r="B1065" s="6" t="s">
        <v>49</v>
      </c>
      <c r="C1065" s="6" t="s">
        <v>115</v>
      </c>
      <c r="D1065" s="6" t="s">
        <v>179</v>
      </c>
      <c r="E1065" s="10" t="s">
        <v>1263</v>
      </c>
      <c r="F1065" s="6" t="s">
        <v>3507</v>
      </c>
      <c r="G1065" s="6" t="s">
        <v>104</v>
      </c>
      <c r="H1065" s="6" t="s">
        <v>5863</v>
      </c>
      <c r="I1065" s="6" t="s">
        <v>104</v>
      </c>
      <c r="J1065" s="6" t="s">
        <v>104</v>
      </c>
      <c r="K1065" s="6" t="s">
        <v>9714</v>
      </c>
      <c r="L1065" s="16" t="n">
        <v>45532</v>
      </c>
      <c r="M1065" s="16" t="n">
        <v>45783</v>
      </c>
      <c r="N1065" s="6" t="s">
        <v>104</v>
      </c>
      <c r="O1065" s="21" t="s">
        <v>104</v>
      </c>
      <c r="P1065" s="6" t="s">
        <v>104</v>
      </c>
      <c r="Q1065" s="6" t="s">
        <v>104</v>
      </c>
      <c r="R1065" s="6" t="s">
        <v>104</v>
      </c>
      <c r="S1065" s="6" t="s">
        <v>104</v>
      </c>
      <c r="T1065" s="21" t="s">
        <v>104</v>
      </c>
      <c r="U1065" s="6" t="s">
        <v>104</v>
      </c>
      <c r="V1065" s="6" t="s">
        <v>104</v>
      </c>
      <c r="W1065" s="6" t="s">
        <v>104</v>
      </c>
      <c r="X1065" s="6" t="s">
        <v>104</v>
      </c>
      <c r="Y1065" s="21" t="s">
        <v>104</v>
      </c>
      <c r="Z1065" s="6" t="s">
        <v>104</v>
      </c>
      <c r="AA1065" s="6" t="s">
        <v>104</v>
      </c>
      <c r="AB1065" s="6" t="s">
        <v>104</v>
      </c>
      <c r="AC1065" s="6" t="s">
        <v>9714</v>
      </c>
      <c r="AD1065" s="16" t="n">
        <v>45532</v>
      </c>
      <c r="AE1065" s="6" t="s">
        <v>11465</v>
      </c>
      <c r="AF1065" s="6" t="s">
        <v>104</v>
      </c>
      <c r="AG1065" s="6" t="s">
        <v>12821</v>
      </c>
      <c r="AH1065" s="6" t="s">
        <v>14126</v>
      </c>
      <c r="AI1065" s="6" t="s">
        <v>104</v>
      </c>
      <c r="AJ1065" s="6" t="s">
        <v>16056</v>
      </c>
      <c r="AK1065" s="6" t="s">
        <v>104</v>
      </c>
      <c r="AL1065" s="6" t="s">
        <v>16932</v>
      </c>
      <c r="AM1065" s="6" t="s">
        <v>17704</v>
      </c>
      <c r="AN1065" s="6" t="s">
        <v>104</v>
      </c>
      <c r="AO1065" s="6" t="s">
        <v>104</v>
      </c>
      <c r="AP1065" s="6" t="s">
        <v>104</v>
      </c>
      <c r="AQ1065" s="6" t="s">
        <v>104</v>
      </c>
      <c r="AR1065" s="6" t="s">
        <v>104</v>
      </c>
      <c r="AS1065" s="6" t="s">
        <v>104</v>
      </c>
      <c r="AT1065" s="6" t="s">
        <v>104</v>
      </c>
      <c r="AU1065" s="6" t="s">
        <v>104</v>
      </c>
      <c r="AV1065" s="6" t="s">
        <v>104</v>
      </c>
      <c r="AW1065" s="6" t="s">
        <v>104</v>
      </c>
      <c r="AX1065" s="6" t="s">
        <v>104</v>
      </c>
      <c r="AY1065" s="6" t="s">
        <v>22738</v>
      </c>
      <c r="AZ1065" s="6" t="s">
        <v>104</v>
      </c>
      <c r="BA1065" s="6" t="s">
        <v>104</v>
      </c>
      <c r="BB1065" s="24" t="n">
        <v>0</v>
      </c>
      <c r="BC1065" s="26"/>
      <c r="BD1065" s="26"/>
      <c r="BE1065" s="26"/>
      <c r="BF1065" s="26"/>
      <c r="BG1065" s="26"/>
      <c r="BH1065" s="26"/>
      <c r="BI1065" s="26"/>
      <c r="BJ1065" s="26"/>
      <c r="BK1065" s="26"/>
      <c r="BL1065" s="26"/>
      <c r="BM1065" s="26"/>
      <c r="BN1065" s="26"/>
      <c r="BO1065" s="26"/>
      <c r="BP1065" s="16" t="n">
        <v>45722</v>
      </c>
      <c r="BQ1065" s="28" t="str">
        <f>HYPERLINK("https://organic.ams.usda.gov/Integrity/Certificate.aspx?cid=12&amp;nopid=8699694693")</f>
        <v>https://organic.ams.usda.gov/Integrity/Certificate.aspx?cid=12&amp;nopid=8699694693</v>
      </c>
    </row>
    <row r="1066">
      <c r="A1066" t="s">
        <v>3</v>
      </c>
      <c r="B1066" s="6" t="s">
        <v>49</v>
      </c>
      <c r="C1066" s="6" t="s">
        <v>115</v>
      </c>
      <c r="D1066" s="6" t="s">
        <v>179</v>
      </c>
      <c r="E1066" s="10" t="s">
        <v>1264</v>
      </c>
      <c r="F1066" s="6" t="s">
        <v>3508</v>
      </c>
      <c r="G1066" s="6" t="s">
        <v>104</v>
      </c>
      <c r="H1066" s="6" t="s">
        <v>5864</v>
      </c>
      <c r="I1066" s="6" t="s">
        <v>104</v>
      </c>
      <c r="J1066" s="6" t="s">
        <v>104</v>
      </c>
      <c r="K1066" s="6" t="s">
        <v>9714</v>
      </c>
      <c r="L1066" s="16" t="n">
        <v>44972</v>
      </c>
      <c r="M1066" s="16" t="n">
        <v>45625</v>
      </c>
      <c r="N1066" s="6" t="s">
        <v>104</v>
      </c>
      <c r="O1066" s="21" t="s">
        <v>104</v>
      </c>
      <c r="P1066" s="6" t="s">
        <v>104</v>
      </c>
      <c r="Q1066" s="6" t="s">
        <v>104</v>
      </c>
      <c r="R1066" s="6" t="s">
        <v>104</v>
      </c>
      <c r="S1066" s="6" t="s">
        <v>104</v>
      </c>
      <c r="T1066" s="21" t="s">
        <v>104</v>
      </c>
      <c r="U1066" s="6" t="s">
        <v>104</v>
      </c>
      <c r="V1066" s="6" t="s">
        <v>104</v>
      </c>
      <c r="W1066" s="6" t="s">
        <v>104</v>
      </c>
      <c r="X1066" s="6" t="s">
        <v>104</v>
      </c>
      <c r="Y1066" s="21" t="s">
        <v>104</v>
      </c>
      <c r="Z1066" s="6" t="s">
        <v>104</v>
      </c>
      <c r="AA1066" s="6" t="s">
        <v>104</v>
      </c>
      <c r="AB1066" s="6" t="s">
        <v>104</v>
      </c>
      <c r="AC1066" s="6" t="s">
        <v>9714</v>
      </c>
      <c r="AD1066" s="16" t="n">
        <v>44972</v>
      </c>
      <c r="AE1066" s="6" t="s">
        <v>11466</v>
      </c>
      <c r="AF1066" s="6" t="s">
        <v>104</v>
      </c>
      <c r="AG1066" s="6" t="s">
        <v>12822</v>
      </c>
      <c r="AH1066" s="6" t="s">
        <v>14127</v>
      </c>
      <c r="AI1066" s="6" t="s">
        <v>104</v>
      </c>
      <c r="AJ1066" s="6" t="s">
        <v>16057</v>
      </c>
      <c r="AK1066" s="6" t="s">
        <v>104</v>
      </c>
      <c r="AL1066" s="6" t="s">
        <v>16932</v>
      </c>
      <c r="AM1066" s="6" t="s">
        <v>17705</v>
      </c>
      <c r="AN1066" s="6" t="s">
        <v>104</v>
      </c>
      <c r="AO1066" s="6" t="s">
        <v>104</v>
      </c>
      <c r="AP1066" s="6" t="s">
        <v>104</v>
      </c>
      <c r="AQ1066" s="6" t="s">
        <v>104</v>
      </c>
      <c r="AR1066" s="6" t="s">
        <v>104</v>
      </c>
      <c r="AS1066" s="6" t="s">
        <v>104</v>
      </c>
      <c r="AT1066" s="6" t="s">
        <v>104</v>
      </c>
      <c r="AU1066" s="6" t="s">
        <v>104</v>
      </c>
      <c r="AV1066" s="6" t="s">
        <v>104</v>
      </c>
      <c r="AW1066" s="6" t="s">
        <v>104</v>
      </c>
      <c r="AX1066" s="6" t="s">
        <v>104</v>
      </c>
      <c r="AY1066" s="6" t="s">
        <v>22739</v>
      </c>
      <c r="AZ1066" s="6" t="s">
        <v>104</v>
      </c>
      <c r="BA1066" s="6" t="s">
        <v>104</v>
      </c>
      <c r="BB1066" s="24" t="n">
        <v>0</v>
      </c>
      <c r="BC1066" s="26"/>
      <c r="BD1066" s="26"/>
      <c r="BE1066" s="26"/>
      <c r="BF1066" s="26"/>
      <c r="BG1066" s="26"/>
      <c r="BH1066" s="26"/>
      <c r="BI1066" s="26"/>
      <c r="BJ1066" s="26"/>
      <c r="BK1066" s="26"/>
      <c r="BL1066" s="26"/>
      <c r="BM1066" s="26"/>
      <c r="BN1066" s="26"/>
      <c r="BO1066" s="26"/>
      <c r="BP1066" s="16" t="n">
        <v>45474</v>
      </c>
      <c r="BQ1066" s="28" t="str">
        <f>HYPERLINK("https://organic.ams.usda.gov/Integrity/Certificate.aspx?cid=12&amp;nopid=8699694276")</f>
        <v>https://organic.ams.usda.gov/Integrity/Certificate.aspx?cid=12&amp;nopid=8699694276</v>
      </c>
    </row>
    <row r="1067">
      <c r="A1067" t="s">
        <v>3</v>
      </c>
      <c r="B1067" s="6" t="s">
        <v>54</v>
      </c>
      <c r="C1067" s="6" t="s">
        <v>120</v>
      </c>
      <c r="D1067" s="6" t="s">
        <v>184</v>
      </c>
      <c r="E1067" s="10" t="s">
        <v>1265</v>
      </c>
      <c r="F1067" s="6" t="s">
        <v>3509</v>
      </c>
      <c r="G1067" s="6" t="s">
        <v>104</v>
      </c>
      <c r="H1067" s="6" t="s">
        <v>5865</v>
      </c>
      <c r="I1067" s="6" t="s">
        <v>7189</v>
      </c>
      <c r="J1067" s="6" t="s">
        <v>8939</v>
      </c>
      <c r="K1067" s="6" t="s">
        <v>9714</v>
      </c>
      <c r="L1067" s="16" t="n">
        <v>40794</v>
      </c>
      <c r="M1067" s="16" t="n">
        <v>45717</v>
      </c>
      <c r="N1067" s="6" t="s">
        <v>9714</v>
      </c>
      <c r="O1067" s="16" t="n">
        <v>40794</v>
      </c>
      <c r="P1067" s="6" t="s">
        <v>10015</v>
      </c>
      <c r="Q1067" s="6" t="s">
        <v>104</v>
      </c>
      <c r="R1067" s="6" t="s">
        <v>104</v>
      </c>
      <c r="S1067" s="6" t="s">
        <v>104</v>
      </c>
      <c r="T1067" s="21" t="s">
        <v>104</v>
      </c>
      <c r="U1067" s="6" t="s">
        <v>104</v>
      </c>
      <c r="V1067" s="6" t="s">
        <v>104</v>
      </c>
      <c r="W1067" s="6" t="s">
        <v>104</v>
      </c>
      <c r="X1067" s="6" t="s">
        <v>104</v>
      </c>
      <c r="Y1067" s="21" t="s">
        <v>104</v>
      </c>
      <c r="Z1067" s="6" t="s">
        <v>104</v>
      </c>
      <c r="AA1067" s="6" t="s">
        <v>104</v>
      </c>
      <c r="AB1067" s="6" t="s">
        <v>104</v>
      </c>
      <c r="AC1067" s="6" t="s">
        <v>104</v>
      </c>
      <c r="AD1067" s="21" t="s">
        <v>104</v>
      </c>
      <c r="AE1067" s="6" t="s">
        <v>104</v>
      </c>
      <c r="AF1067" s="6" t="s">
        <v>104</v>
      </c>
      <c r="AG1067" s="6" t="s">
        <v>104</v>
      </c>
      <c r="AH1067" s="6" t="s">
        <v>14128</v>
      </c>
      <c r="AI1067" s="6" t="s">
        <v>104</v>
      </c>
      <c r="AJ1067" s="6" t="s">
        <v>16058</v>
      </c>
      <c r="AK1067" s="6" t="s">
        <v>16681</v>
      </c>
      <c r="AL1067" s="6" t="s">
        <v>16931</v>
      </c>
      <c r="AM1067" s="6" t="s">
        <v>17706</v>
      </c>
      <c r="AN1067" s="6" t="s">
        <v>18537</v>
      </c>
      <c r="AO1067" s="6" t="s">
        <v>18781</v>
      </c>
      <c r="AP1067" s="6" t="s">
        <v>104</v>
      </c>
      <c r="AQ1067" s="6" t="s">
        <v>104</v>
      </c>
      <c r="AR1067" s="6" t="s">
        <v>104</v>
      </c>
      <c r="AS1067" s="6" t="s">
        <v>104</v>
      </c>
      <c r="AT1067" s="6" t="s">
        <v>104</v>
      </c>
      <c r="AU1067" s="6" t="s">
        <v>104</v>
      </c>
      <c r="AV1067" s="6" t="s">
        <v>104</v>
      </c>
      <c r="AW1067" s="6" t="s">
        <v>104</v>
      </c>
      <c r="AX1067" s="6" t="s">
        <v>104</v>
      </c>
      <c r="AY1067" s="6" t="s">
        <v>104</v>
      </c>
      <c r="AZ1067" s="6" t="s">
        <v>104</v>
      </c>
      <c r="BA1067" s="6" t="s">
        <v>24267</v>
      </c>
      <c r="BB1067" s="24" t="n">
        <v>221</v>
      </c>
      <c r="BC1067" s="26"/>
      <c r="BD1067" s="26"/>
      <c r="BE1067" s="26"/>
      <c r="BF1067" s="26"/>
      <c r="BG1067" s="26"/>
      <c r="BH1067" s="26"/>
      <c r="BI1067" s="26"/>
      <c r="BJ1067" s="26"/>
      <c r="BK1067" s="26"/>
      <c r="BL1067" s="26"/>
      <c r="BM1067" s="26"/>
      <c r="BN1067" s="26"/>
      <c r="BO1067" s="26"/>
      <c r="BP1067" s="16" t="n">
        <v>45623</v>
      </c>
      <c r="BQ1067" s="28" t="str">
        <f>HYPERLINK("https://organic.ams.usda.gov/Integrity/Certificate.aspx?cid=60&amp;nopid=2580000899")</f>
        <v>https://organic.ams.usda.gov/Integrity/Certificate.aspx?cid=60&amp;nopid=2580000899</v>
      </c>
    </row>
    <row r="1068">
      <c r="A1068" t="s">
        <v>3</v>
      </c>
      <c r="B1068" s="6" t="s">
        <v>18</v>
      </c>
      <c r="C1068" s="6" t="s">
        <v>84</v>
      </c>
      <c r="D1068" s="6" t="s">
        <v>149</v>
      </c>
      <c r="E1068" s="10" t="s">
        <v>1266</v>
      </c>
      <c r="F1068" s="6" t="s">
        <v>3510</v>
      </c>
      <c r="G1068" s="6" t="s">
        <v>4772</v>
      </c>
      <c r="H1068" s="6" t="s">
        <v>5866</v>
      </c>
      <c r="I1068" s="6" t="s">
        <v>7189</v>
      </c>
      <c r="J1068" s="6" t="s">
        <v>8940</v>
      </c>
      <c r="K1068" s="6" t="s">
        <v>9714</v>
      </c>
      <c r="L1068" s="16" t="n">
        <v>41521</v>
      </c>
      <c r="M1068" s="16" t="n">
        <v>45870</v>
      </c>
      <c r="N1068" s="6" t="s">
        <v>9714</v>
      </c>
      <c r="O1068" s="16" t="n">
        <v>41521</v>
      </c>
      <c r="P1068" s="6" t="s">
        <v>10016</v>
      </c>
      <c r="Q1068" s="6" t="s">
        <v>104</v>
      </c>
      <c r="R1068" s="6" t="s">
        <v>10374</v>
      </c>
      <c r="S1068" s="6" t="s">
        <v>104</v>
      </c>
      <c r="T1068" s="21" t="s">
        <v>104</v>
      </c>
      <c r="U1068" s="6" t="s">
        <v>104</v>
      </c>
      <c r="V1068" s="6" t="s">
        <v>104</v>
      </c>
      <c r="W1068" s="6" t="s">
        <v>104</v>
      </c>
      <c r="X1068" s="6" t="s">
        <v>104</v>
      </c>
      <c r="Y1068" s="21" t="s">
        <v>104</v>
      </c>
      <c r="Z1068" s="6" t="s">
        <v>104</v>
      </c>
      <c r="AA1068" s="6" t="s">
        <v>104</v>
      </c>
      <c r="AB1068" s="6" t="s">
        <v>104</v>
      </c>
      <c r="AC1068" s="6" t="s">
        <v>9714</v>
      </c>
      <c r="AD1068" s="16" t="n">
        <v>41521</v>
      </c>
      <c r="AE1068" s="6" t="s">
        <v>11467</v>
      </c>
      <c r="AF1068" s="6" t="s">
        <v>104</v>
      </c>
      <c r="AG1068" s="6" t="s">
        <v>12823</v>
      </c>
      <c r="AH1068" s="6" t="s">
        <v>14129</v>
      </c>
      <c r="AI1068" s="6" t="s">
        <v>104</v>
      </c>
      <c r="AJ1068" s="6" t="s">
        <v>16059</v>
      </c>
      <c r="AK1068" s="6" t="s">
        <v>16738</v>
      </c>
      <c r="AL1068" s="6" t="s">
        <v>16931</v>
      </c>
      <c r="AM1068" s="6" t="s">
        <v>17707</v>
      </c>
      <c r="AN1068" s="6" t="s">
        <v>18485</v>
      </c>
      <c r="AO1068" s="6" t="s">
        <v>18755</v>
      </c>
      <c r="AP1068" s="6" t="s">
        <v>104</v>
      </c>
      <c r="AQ1068" s="6" t="s">
        <v>104</v>
      </c>
      <c r="AR1068" s="6" t="s">
        <v>104</v>
      </c>
      <c r="AS1068" s="6" t="s">
        <v>104</v>
      </c>
      <c r="AT1068" s="6" t="s">
        <v>104</v>
      </c>
      <c r="AU1068" s="6" t="s">
        <v>104</v>
      </c>
      <c r="AV1068" s="6" t="s">
        <v>104</v>
      </c>
      <c r="AW1068" s="6" t="s">
        <v>104</v>
      </c>
      <c r="AX1068" s="6" t="s">
        <v>20956</v>
      </c>
      <c r="AY1068" s="6" t="s">
        <v>22740</v>
      </c>
      <c r="AZ1068" s="6" t="s">
        <v>104</v>
      </c>
      <c r="BA1068" s="6" t="s">
        <v>24405</v>
      </c>
      <c r="BB1068" s="24" t="n">
        <v>387</v>
      </c>
      <c r="BC1068" s="26"/>
      <c r="BD1068" s="26"/>
      <c r="BE1068" s="26"/>
      <c r="BF1068" s="26"/>
      <c r="BG1068" s="26"/>
      <c r="BH1068" s="26"/>
      <c r="BI1068" s="26"/>
      <c r="BJ1068" s="26"/>
      <c r="BK1068" s="26"/>
      <c r="BL1068" s="26"/>
      <c r="BM1068" s="26"/>
      <c r="BN1068" s="26"/>
      <c r="BO1068" s="26"/>
      <c r="BP1068" s="16" t="n">
        <v>45737</v>
      </c>
      <c r="BQ1068" s="28" t="str">
        <f>HYPERLINK("https://organic.ams.usda.gov/Integrity/Certificate.aspx?cid=31&amp;nopid=3928971319")</f>
        <v>https://organic.ams.usda.gov/Integrity/Certificate.aspx?cid=31&amp;nopid=3928971319</v>
      </c>
    </row>
    <row r="1069">
      <c r="A1069" t="s">
        <v>3</v>
      </c>
      <c r="B1069" s="6" t="s">
        <v>54</v>
      </c>
      <c r="C1069" s="6" t="s">
        <v>120</v>
      </c>
      <c r="D1069" s="6" t="s">
        <v>184</v>
      </c>
      <c r="E1069" s="10" t="s">
        <v>1267</v>
      </c>
      <c r="F1069" s="6" t="s">
        <v>3511</v>
      </c>
      <c r="G1069" s="6" t="s">
        <v>104</v>
      </c>
      <c r="H1069" s="6" t="s">
        <v>5867</v>
      </c>
      <c r="I1069" s="6" t="s">
        <v>7189</v>
      </c>
      <c r="J1069" s="6" t="s">
        <v>8941</v>
      </c>
      <c r="K1069" s="6" t="s">
        <v>9714</v>
      </c>
      <c r="L1069" s="16" t="n">
        <v>45544</v>
      </c>
      <c r="M1069" s="16" t="n">
        <v>45717</v>
      </c>
      <c r="N1069" s="6" t="s">
        <v>9714</v>
      </c>
      <c r="O1069" s="16" t="n">
        <v>45544</v>
      </c>
      <c r="P1069" s="6" t="s">
        <v>10017</v>
      </c>
      <c r="Q1069" s="6" t="s">
        <v>104</v>
      </c>
      <c r="R1069" s="6" t="s">
        <v>104</v>
      </c>
      <c r="S1069" s="6" t="s">
        <v>104</v>
      </c>
      <c r="T1069" s="21" t="s">
        <v>104</v>
      </c>
      <c r="U1069" s="6" t="s">
        <v>104</v>
      </c>
      <c r="V1069" s="6" t="s">
        <v>104</v>
      </c>
      <c r="W1069" s="6" t="s">
        <v>104</v>
      </c>
      <c r="X1069" s="6" t="s">
        <v>104</v>
      </c>
      <c r="Y1069" s="21" t="s">
        <v>104</v>
      </c>
      <c r="Z1069" s="6" t="s">
        <v>104</v>
      </c>
      <c r="AA1069" s="6" t="s">
        <v>104</v>
      </c>
      <c r="AB1069" s="6" t="s">
        <v>104</v>
      </c>
      <c r="AC1069" s="6" t="s">
        <v>104</v>
      </c>
      <c r="AD1069" s="21" t="s">
        <v>104</v>
      </c>
      <c r="AE1069" s="6" t="s">
        <v>104</v>
      </c>
      <c r="AF1069" s="6" t="s">
        <v>104</v>
      </c>
      <c r="AG1069" s="6" t="s">
        <v>104</v>
      </c>
      <c r="AH1069" s="6" t="s">
        <v>14130</v>
      </c>
      <c r="AI1069" s="6" t="s">
        <v>104</v>
      </c>
      <c r="AJ1069" s="6" t="s">
        <v>16060</v>
      </c>
      <c r="AK1069" s="6" t="s">
        <v>16681</v>
      </c>
      <c r="AL1069" s="6" t="s">
        <v>16931</v>
      </c>
      <c r="AM1069" s="6" t="s">
        <v>17708</v>
      </c>
      <c r="AN1069" s="6" t="s">
        <v>104</v>
      </c>
      <c r="AO1069" s="6" t="s">
        <v>104</v>
      </c>
      <c r="AP1069" s="6" t="s">
        <v>104</v>
      </c>
      <c r="AQ1069" s="6" t="s">
        <v>104</v>
      </c>
      <c r="AR1069" s="6" t="s">
        <v>104</v>
      </c>
      <c r="AS1069" s="6" t="s">
        <v>104</v>
      </c>
      <c r="AT1069" s="6" t="s">
        <v>104</v>
      </c>
      <c r="AU1069" s="6" t="s">
        <v>104</v>
      </c>
      <c r="AV1069" s="6" t="s">
        <v>104</v>
      </c>
      <c r="AW1069" s="6" t="s">
        <v>104</v>
      </c>
      <c r="AX1069" s="6" t="s">
        <v>104</v>
      </c>
      <c r="AY1069" s="6" t="s">
        <v>22741</v>
      </c>
      <c r="AZ1069" s="6" t="s">
        <v>104</v>
      </c>
      <c r="BA1069" s="6" t="s">
        <v>24323</v>
      </c>
      <c r="BB1069" s="24" t="n">
        <v>13</v>
      </c>
      <c r="BC1069" s="26"/>
      <c r="BD1069" s="26"/>
      <c r="BE1069" s="26"/>
      <c r="BF1069" s="26"/>
      <c r="BG1069" s="26"/>
      <c r="BH1069" s="26"/>
      <c r="BI1069" s="26"/>
      <c r="BJ1069" s="26"/>
      <c r="BK1069" s="26"/>
      <c r="BL1069" s="26"/>
      <c r="BM1069" s="26"/>
      <c r="BN1069" s="26"/>
      <c r="BO1069" s="26"/>
      <c r="BP1069" s="16" t="n">
        <v>45546</v>
      </c>
      <c r="BQ1069" s="28" t="str">
        <f>HYPERLINK("https://organic.ams.usda.gov/Integrity/Certificate.aspx?cid=60&amp;nopid=2580006694")</f>
        <v>https://organic.ams.usda.gov/Integrity/Certificate.aspx?cid=60&amp;nopid=2580006694</v>
      </c>
    </row>
    <row r="1070">
      <c r="A1070" t="s">
        <v>3</v>
      </c>
      <c r="B1070" s="6" t="s">
        <v>29</v>
      </c>
      <c r="C1070" s="6" t="s">
        <v>95</v>
      </c>
      <c r="D1070" s="6" t="s">
        <v>160</v>
      </c>
      <c r="E1070" s="10" t="s">
        <v>1268</v>
      </c>
      <c r="F1070" s="6" t="s">
        <v>3512</v>
      </c>
      <c r="G1070" s="6" t="s">
        <v>104</v>
      </c>
      <c r="H1070" s="6" t="s">
        <v>5868</v>
      </c>
      <c r="I1070" s="6" t="s">
        <v>104</v>
      </c>
      <c r="J1070" s="6" t="s">
        <v>8942</v>
      </c>
      <c r="K1070" s="6" t="s">
        <v>9714</v>
      </c>
      <c r="L1070" s="16" t="n">
        <v>45481</v>
      </c>
      <c r="M1070" s="16" t="n">
        <v>46054</v>
      </c>
      <c r="N1070" s="6" t="s">
        <v>9714</v>
      </c>
      <c r="O1070" s="16" t="n">
        <v>45481</v>
      </c>
      <c r="P1070" s="6" t="s">
        <v>10018</v>
      </c>
      <c r="Q1070" s="6" t="s">
        <v>104</v>
      </c>
      <c r="R1070" s="6" t="s">
        <v>104</v>
      </c>
      <c r="S1070" s="6" t="s">
        <v>104</v>
      </c>
      <c r="T1070" s="21" t="s">
        <v>104</v>
      </c>
      <c r="U1070" s="6" t="s">
        <v>104</v>
      </c>
      <c r="V1070" s="6" t="s">
        <v>104</v>
      </c>
      <c r="W1070" s="6" t="s">
        <v>104</v>
      </c>
      <c r="X1070" s="6" t="s">
        <v>104</v>
      </c>
      <c r="Y1070" s="21" t="s">
        <v>104</v>
      </c>
      <c r="Z1070" s="6" t="s">
        <v>104</v>
      </c>
      <c r="AA1070" s="6" t="s">
        <v>104</v>
      </c>
      <c r="AB1070" s="6" t="s">
        <v>104</v>
      </c>
      <c r="AC1070" s="6" t="s">
        <v>9714</v>
      </c>
      <c r="AD1070" s="16" t="n">
        <v>45481</v>
      </c>
      <c r="AE1070" s="6" t="s">
        <v>11468</v>
      </c>
      <c r="AF1070" s="6" t="s">
        <v>104</v>
      </c>
      <c r="AG1070" s="6" t="s">
        <v>104</v>
      </c>
      <c r="AH1070" s="6" t="s">
        <v>14131</v>
      </c>
      <c r="AI1070" s="6" t="s">
        <v>104</v>
      </c>
      <c r="AJ1070" s="6" t="s">
        <v>16061</v>
      </c>
      <c r="AK1070" s="6" t="s">
        <v>16683</v>
      </c>
      <c r="AL1070" s="6" t="s">
        <v>16931</v>
      </c>
      <c r="AM1070" s="6" t="s">
        <v>17709</v>
      </c>
      <c r="AN1070" s="6" t="s">
        <v>104</v>
      </c>
      <c r="AO1070" s="6" t="s">
        <v>104</v>
      </c>
      <c r="AP1070" s="6" t="s">
        <v>104</v>
      </c>
      <c r="AQ1070" s="6" t="s">
        <v>104</v>
      </c>
      <c r="AR1070" s="6" t="s">
        <v>104</v>
      </c>
      <c r="AS1070" s="6" t="s">
        <v>104</v>
      </c>
      <c r="AT1070" s="6" t="s">
        <v>104</v>
      </c>
      <c r="AU1070" s="6" t="s">
        <v>104</v>
      </c>
      <c r="AV1070" s="6" t="s">
        <v>104</v>
      </c>
      <c r="AW1070" s="6" t="s">
        <v>104</v>
      </c>
      <c r="AX1070" s="6" t="s">
        <v>20957</v>
      </c>
      <c r="AY1070" s="6" t="s">
        <v>22742</v>
      </c>
      <c r="AZ1070" s="6" t="s">
        <v>104</v>
      </c>
      <c r="BA1070" s="6" t="s">
        <v>24269</v>
      </c>
      <c r="BB1070" s="24" t="n">
        <v>273</v>
      </c>
      <c r="BC1070" s="26"/>
      <c r="BD1070" s="26"/>
      <c r="BE1070" s="26"/>
      <c r="BF1070" s="26"/>
      <c r="BG1070" s="26"/>
      <c r="BH1070" s="26"/>
      <c r="BI1070" s="26"/>
      <c r="BJ1070" s="26"/>
      <c r="BK1070" s="26"/>
      <c r="BL1070" s="26"/>
      <c r="BM1070" s="26"/>
      <c r="BN1070" s="26"/>
      <c r="BO1070" s="26"/>
      <c r="BP1070" s="16" t="n">
        <v>45691</v>
      </c>
      <c r="BQ1070" s="28" t="str">
        <f>HYPERLINK("https://organic.ams.usda.gov/Integrity/Certificate.aspx?cid=24&amp;nopid=7880291111")</f>
        <v>https://organic.ams.usda.gov/Integrity/Certificate.aspx?cid=24&amp;nopid=7880291111</v>
      </c>
    </row>
    <row r="1071">
      <c r="A1071" t="s">
        <v>3</v>
      </c>
      <c r="B1071" s="6" t="s">
        <v>54</v>
      </c>
      <c r="C1071" s="6" t="s">
        <v>120</v>
      </c>
      <c r="D1071" s="6" t="s">
        <v>184</v>
      </c>
      <c r="E1071" s="10" t="s">
        <v>1269</v>
      </c>
      <c r="F1071" s="6" t="s">
        <v>3513</v>
      </c>
      <c r="G1071" s="6" t="s">
        <v>104</v>
      </c>
      <c r="H1071" s="6" t="s">
        <v>5869</v>
      </c>
      <c r="I1071" s="6" t="s">
        <v>7386</v>
      </c>
      <c r="J1071" s="6" t="s">
        <v>8943</v>
      </c>
      <c r="K1071" s="6" t="s">
        <v>9714</v>
      </c>
      <c r="L1071" s="16" t="n">
        <v>43671</v>
      </c>
      <c r="M1071" s="16" t="n">
        <v>45717</v>
      </c>
      <c r="N1071" s="6" t="s">
        <v>9714</v>
      </c>
      <c r="O1071" s="16" t="n">
        <v>43671</v>
      </c>
      <c r="P1071" s="6" t="s">
        <v>10019</v>
      </c>
      <c r="Q1071" s="6" t="s">
        <v>104</v>
      </c>
      <c r="R1071" s="6" t="s">
        <v>104</v>
      </c>
      <c r="S1071" s="6" t="s">
        <v>104</v>
      </c>
      <c r="T1071" s="21" t="s">
        <v>104</v>
      </c>
      <c r="U1071" s="6" t="s">
        <v>104</v>
      </c>
      <c r="V1071" s="6" t="s">
        <v>104</v>
      </c>
      <c r="W1071" s="6" t="s">
        <v>104</v>
      </c>
      <c r="X1071" s="6" t="s">
        <v>104</v>
      </c>
      <c r="Y1071" s="21" t="s">
        <v>104</v>
      </c>
      <c r="Z1071" s="6" t="s">
        <v>104</v>
      </c>
      <c r="AA1071" s="6" t="s">
        <v>104</v>
      </c>
      <c r="AB1071" s="6" t="s">
        <v>104</v>
      </c>
      <c r="AC1071" s="6" t="s">
        <v>104</v>
      </c>
      <c r="AD1071" s="21" t="s">
        <v>104</v>
      </c>
      <c r="AE1071" s="6" t="s">
        <v>104</v>
      </c>
      <c r="AF1071" s="6" t="s">
        <v>104</v>
      </c>
      <c r="AG1071" s="6" t="s">
        <v>104</v>
      </c>
      <c r="AH1071" s="6" t="s">
        <v>14132</v>
      </c>
      <c r="AI1071" s="6" t="s">
        <v>104</v>
      </c>
      <c r="AJ1071" s="6" t="s">
        <v>15689</v>
      </c>
      <c r="AK1071" s="6" t="s">
        <v>16743</v>
      </c>
      <c r="AL1071" s="6" t="s">
        <v>16931</v>
      </c>
      <c r="AM1071" s="6" t="s">
        <v>17394</v>
      </c>
      <c r="AN1071" s="6" t="s">
        <v>18472</v>
      </c>
      <c r="AO1071" s="6" t="s">
        <v>18697</v>
      </c>
      <c r="AP1071" s="6" t="s">
        <v>104</v>
      </c>
      <c r="AQ1071" s="6" t="s">
        <v>104</v>
      </c>
      <c r="AR1071" s="6" t="s">
        <v>104</v>
      </c>
      <c r="AS1071" s="6" t="s">
        <v>104</v>
      </c>
      <c r="AT1071" s="6" t="s">
        <v>104</v>
      </c>
      <c r="AU1071" s="6" t="s">
        <v>104</v>
      </c>
      <c r="AV1071" s="6" t="s">
        <v>104</v>
      </c>
      <c r="AW1071" s="6" t="s">
        <v>104</v>
      </c>
      <c r="AX1071" s="6" t="s">
        <v>20958</v>
      </c>
      <c r="AY1071" s="6" t="s">
        <v>22743</v>
      </c>
      <c r="AZ1071" s="6" t="s">
        <v>104</v>
      </c>
      <c r="BA1071" s="6" t="s">
        <v>24267</v>
      </c>
      <c r="BB1071" s="24" t="n">
        <v>644</v>
      </c>
      <c r="BC1071" s="26"/>
      <c r="BD1071" s="26"/>
      <c r="BE1071" s="26"/>
      <c r="BF1071" s="26"/>
      <c r="BG1071" s="26"/>
      <c r="BH1071" s="26"/>
      <c r="BI1071" s="26"/>
      <c r="BJ1071" s="26"/>
      <c r="BK1071" s="26"/>
      <c r="BL1071" s="26"/>
      <c r="BM1071" s="26"/>
      <c r="BN1071" s="26"/>
      <c r="BO1071" s="26"/>
      <c r="BP1071" s="16" t="n">
        <v>45644</v>
      </c>
      <c r="BQ1071" s="28" t="str">
        <f>HYPERLINK("https://organic.ams.usda.gov/Integrity/Certificate.aspx?cid=60&amp;nopid=2580003071")</f>
        <v>https://organic.ams.usda.gov/Integrity/Certificate.aspx?cid=60&amp;nopid=2580003071</v>
      </c>
    </row>
    <row r="1072">
      <c r="A1072" t="s">
        <v>3</v>
      </c>
      <c r="B1072" s="6" t="s">
        <v>18</v>
      </c>
      <c r="C1072" s="6" t="s">
        <v>84</v>
      </c>
      <c r="D1072" s="6" t="s">
        <v>149</v>
      </c>
      <c r="E1072" s="10" t="s">
        <v>1270</v>
      </c>
      <c r="F1072" s="6" t="s">
        <v>3514</v>
      </c>
      <c r="G1072" s="6" t="s">
        <v>104</v>
      </c>
      <c r="H1072" s="6" t="s">
        <v>5870</v>
      </c>
      <c r="I1072" s="6" t="s">
        <v>7212</v>
      </c>
      <c r="J1072" s="6" t="s">
        <v>8944</v>
      </c>
      <c r="K1072" s="6" t="s">
        <v>9714</v>
      </c>
      <c r="L1072" s="16" t="n">
        <v>37791</v>
      </c>
      <c r="M1072" s="16" t="n">
        <v>45870</v>
      </c>
      <c r="N1072" s="6" t="s">
        <v>9714</v>
      </c>
      <c r="O1072" s="16" t="n">
        <v>37791</v>
      </c>
      <c r="P1072" s="6" t="s">
        <v>10020</v>
      </c>
      <c r="Q1072" s="6" t="s">
        <v>104</v>
      </c>
      <c r="R1072" s="6" t="s">
        <v>10375</v>
      </c>
      <c r="S1072" s="6" t="s">
        <v>104</v>
      </c>
      <c r="T1072" s="21" t="s">
        <v>104</v>
      </c>
      <c r="U1072" s="6" t="s">
        <v>104</v>
      </c>
      <c r="V1072" s="6" t="s">
        <v>104</v>
      </c>
      <c r="W1072" s="6" t="s">
        <v>104</v>
      </c>
      <c r="X1072" s="6" t="s">
        <v>104</v>
      </c>
      <c r="Y1072" s="21" t="s">
        <v>104</v>
      </c>
      <c r="Z1072" s="6" t="s">
        <v>104</v>
      </c>
      <c r="AA1072" s="6" t="s">
        <v>104</v>
      </c>
      <c r="AB1072" s="6" t="s">
        <v>104</v>
      </c>
      <c r="AC1072" s="6" t="s">
        <v>9714</v>
      </c>
      <c r="AD1072" s="16" t="n">
        <v>42522</v>
      </c>
      <c r="AE1072" s="6" t="s">
        <v>11469</v>
      </c>
      <c r="AF1072" s="6" t="s">
        <v>104</v>
      </c>
      <c r="AG1072" s="6" t="s">
        <v>12824</v>
      </c>
      <c r="AH1072" s="6" t="s">
        <v>14133</v>
      </c>
      <c r="AI1072" s="6" t="s">
        <v>104</v>
      </c>
      <c r="AJ1072" s="6" t="s">
        <v>15763</v>
      </c>
      <c r="AK1072" s="6" t="s">
        <v>16791</v>
      </c>
      <c r="AL1072" s="6" t="s">
        <v>16931</v>
      </c>
      <c r="AM1072" s="6" t="s">
        <v>17385</v>
      </c>
      <c r="AN1072" s="6" t="s">
        <v>18492</v>
      </c>
      <c r="AO1072" s="6" t="s">
        <v>18692</v>
      </c>
      <c r="AP1072" s="6" t="s">
        <v>104</v>
      </c>
      <c r="AQ1072" s="6" t="s">
        <v>104</v>
      </c>
      <c r="AR1072" s="6" t="s">
        <v>104</v>
      </c>
      <c r="AS1072" s="6" t="s">
        <v>104</v>
      </c>
      <c r="AT1072" s="6" t="s">
        <v>104</v>
      </c>
      <c r="AU1072" s="6" t="s">
        <v>104</v>
      </c>
      <c r="AV1072" s="6" t="s">
        <v>104</v>
      </c>
      <c r="AW1072" s="6" t="s">
        <v>104</v>
      </c>
      <c r="AX1072" s="6" t="s">
        <v>20959</v>
      </c>
      <c r="AY1072" s="6" t="s">
        <v>22744</v>
      </c>
      <c r="AZ1072" s="6" t="s">
        <v>104</v>
      </c>
      <c r="BA1072" s="6" t="s">
        <v>24406</v>
      </c>
      <c r="BB1072" s="24" t="n">
        <v>15499</v>
      </c>
      <c r="BC1072" s="26"/>
      <c r="BD1072" s="26"/>
      <c r="BE1072" s="26"/>
      <c r="BF1072" s="26"/>
      <c r="BG1072" s="26"/>
      <c r="BH1072" s="26"/>
      <c r="BI1072" s="26"/>
      <c r="BJ1072" s="26"/>
      <c r="BK1072" s="26"/>
      <c r="BL1072" s="26"/>
      <c r="BM1072" s="26"/>
      <c r="BN1072" s="26" t="s">
        <v>24533</v>
      </c>
      <c r="BO1072" s="26"/>
      <c r="BP1072" s="16" t="n">
        <v>45737</v>
      </c>
      <c r="BQ1072" s="28" t="str">
        <f>HYPERLINK("https://organic.ams.usda.gov/Integrity/Certificate.aspx?cid=31&amp;nopid=3920897001")</f>
        <v>https://organic.ams.usda.gov/Integrity/Certificate.aspx?cid=31&amp;nopid=3920897001</v>
      </c>
    </row>
    <row r="1073">
      <c r="A1073" t="s">
        <v>3</v>
      </c>
      <c r="B1073" s="6" t="s">
        <v>34</v>
      </c>
      <c r="C1073" s="6" t="s">
        <v>100</v>
      </c>
      <c r="D1073" s="6" t="s">
        <v>165</v>
      </c>
      <c r="E1073" s="10" t="s">
        <v>1271</v>
      </c>
      <c r="F1073" s="6" t="s">
        <v>3515</v>
      </c>
      <c r="G1073" s="6" t="s">
        <v>104</v>
      </c>
      <c r="H1073" s="6" t="s">
        <v>5871</v>
      </c>
      <c r="I1073" s="6" t="s">
        <v>7585</v>
      </c>
      <c r="J1073" s="6" t="s">
        <v>8561</v>
      </c>
      <c r="K1073" s="6" t="s">
        <v>9714</v>
      </c>
      <c r="L1073" s="16" t="n">
        <v>45051</v>
      </c>
      <c r="M1073" s="16" t="n">
        <v>45694</v>
      </c>
      <c r="N1073" s="6" t="s">
        <v>104</v>
      </c>
      <c r="O1073" s="21" t="s">
        <v>104</v>
      </c>
      <c r="P1073" s="6" t="s">
        <v>104</v>
      </c>
      <c r="Q1073" s="6" t="s">
        <v>104</v>
      </c>
      <c r="R1073" s="6" t="s">
        <v>104</v>
      </c>
      <c r="S1073" s="6" t="s">
        <v>104</v>
      </c>
      <c r="T1073" s="21" t="s">
        <v>104</v>
      </c>
      <c r="U1073" s="6" t="s">
        <v>104</v>
      </c>
      <c r="V1073" s="6" t="s">
        <v>104</v>
      </c>
      <c r="W1073" s="6" t="s">
        <v>104</v>
      </c>
      <c r="X1073" s="6" t="s">
        <v>104</v>
      </c>
      <c r="Y1073" s="21" t="s">
        <v>104</v>
      </c>
      <c r="Z1073" s="6" t="s">
        <v>104</v>
      </c>
      <c r="AA1073" s="6" t="s">
        <v>104</v>
      </c>
      <c r="AB1073" s="6" t="s">
        <v>104</v>
      </c>
      <c r="AC1073" s="6" t="s">
        <v>9714</v>
      </c>
      <c r="AD1073" s="16" t="n">
        <v>45051</v>
      </c>
      <c r="AE1073" s="6" t="s">
        <v>11470</v>
      </c>
      <c r="AF1073" s="6" t="s">
        <v>104</v>
      </c>
      <c r="AG1073" s="6" t="s">
        <v>12825</v>
      </c>
      <c r="AH1073" s="6" t="s">
        <v>14134</v>
      </c>
      <c r="AI1073" s="6" t="s">
        <v>104</v>
      </c>
      <c r="AJ1073" s="6" t="s">
        <v>15928</v>
      </c>
      <c r="AK1073" s="6" t="s">
        <v>16687</v>
      </c>
      <c r="AL1073" s="6" t="s">
        <v>16931</v>
      </c>
      <c r="AM1073" s="6" t="s">
        <v>17710</v>
      </c>
      <c r="AN1073" s="6" t="s">
        <v>18487</v>
      </c>
      <c r="AO1073" s="6" t="s">
        <v>18601</v>
      </c>
      <c r="AP1073" s="6" t="s">
        <v>14134</v>
      </c>
      <c r="AQ1073" s="6" t="s">
        <v>104</v>
      </c>
      <c r="AR1073" s="6" t="s">
        <v>15928</v>
      </c>
      <c r="AS1073" s="6" t="s">
        <v>16687</v>
      </c>
      <c r="AT1073" s="6" t="s">
        <v>16931</v>
      </c>
      <c r="AU1073" s="6" t="s">
        <v>17710</v>
      </c>
      <c r="AV1073" s="6" t="s">
        <v>104</v>
      </c>
      <c r="AW1073" s="6" t="s">
        <v>104</v>
      </c>
      <c r="AX1073" s="6" t="s">
        <v>20259</v>
      </c>
      <c r="AY1073" s="6" t="s">
        <v>22745</v>
      </c>
      <c r="AZ1073" s="6" t="s">
        <v>23965</v>
      </c>
      <c r="BA1073" s="6" t="s">
        <v>104</v>
      </c>
      <c r="BB1073" s="6" t="s">
        <v>104</v>
      </c>
      <c r="BC1073" s="26"/>
      <c r="BD1073" s="26"/>
      <c r="BE1073" s="26"/>
      <c r="BF1073" s="26"/>
      <c r="BG1073" s="26"/>
      <c r="BH1073" s="26"/>
      <c r="BI1073" s="26"/>
      <c r="BJ1073" s="26"/>
      <c r="BK1073" s="26"/>
      <c r="BL1073" s="26"/>
      <c r="BM1073" s="26"/>
      <c r="BN1073" s="26"/>
      <c r="BO1073" s="26"/>
      <c r="BP1073" s="16" t="n">
        <v>45737</v>
      </c>
      <c r="BQ1073" s="28" t="str">
        <f>HYPERLINK("https://organic.ams.usda.gov/Integrity/Certificate.aspx?cid=71&amp;nopid=5520757732")</f>
        <v>https://organic.ams.usda.gov/Integrity/Certificate.aspx?cid=71&amp;nopid=5520757732</v>
      </c>
    </row>
    <row r="1074">
      <c r="A1074" t="s">
        <v>3</v>
      </c>
      <c r="B1074" s="6" t="s">
        <v>34</v>
      </c>
      <c r="C1074" s="6" t="s">
        <v>100</v>
      </c>
      <c r="D1074" s="6" t="s">
        <v>165</v>
      </c>
      <c r="E1074" s="10" t="s">
        <v>1272</v>
      </c>
      <c r="F1074" s="6" t="s">
        <v>3516</v>
      </c>
      <c r="G1074" s="6" t="s">
        <v>104</v>
      </c>
      <c r="H1074" s="6" t="s">
        <v>5872</v>
      </c>
      <c r="I1074" s="6" t="s">
        <v>7586</v>
      </c>
      <c r="J1074" s="6" t="s">
        <v>8945</v>
      </c>
      <c r="K1074" s="6" t="s">
        <v>9714</v>
      </c>
      <c r="L1074" s="16" t="n">
        <v>45548</v>
      </c>
      <c r="M1074" s="16" t="n">
        <v>45854</v>
      </c>
      <c r="N1074" s="6" t="s">
        <v>104</v>
      </c>
      <c r="O1074" s="21" t="s">
        <v>104</v>
      </c>
      <c r="P1074" s="6" t="s">
        <v>104</v>
      </c>
      <c r="Q1074" s="6" t="s">
        <v>104</v>
      </c>
      <c r="R1074" s="6" t="s">
        <v>104</v>
      </c>
      <c r="S1074" s="6" t="s">
        <v>104</v>
      </c>
      <c r="T1074" s="21" t="s">
        <v>104</v>
      </c>
      <c r="U1074" s="6" t="s">
        <v>104</v>
      </c>
      <c r="V1074" s="6" t="s">
        <v>104</v>
      </c>
      <c r="W1074" s="6" t="s">
        <v>104</v>
      </c>
      <c r="X1074" s="6" t="s">
        <v>104</v>
      </c>
      <c r="Y1074" s="21" t="s">
        <v>104</v>
      </c>
      <c r="Z1074" s="6" t="s">
        <v>104</v>
      </c>
      <c r="AA1074" s="6" t="s">
        <v>104</v>
      </c>
      <c r="AB1074" s="6" t="s">
        <v>104</v>
      </c>
      <c r="AC1074" s="6" t="s">
        <v>9714</v>
      </c>
      <c r="AD1074" s="16" t="n">
        <v>45548</v>
      </c>
      <c r="AE1074" s="6" t="s">
        <v>11471</v>
      </c>
      <c r="AF1074" s="6" t="s">
        <v>104</v>
      </c>
      <c r="AG1074" s="6" t="s">
        <v>12826</v>
      </c>
      <c r="AH1074" s="6" t="s">
        <v>14135</v>
      </c>
      <c r="AI1074" s="6" t="s">
        <v>104</v>
      </c>
      <c r="AJ1074" s="6" t="s">
        <v>16062</v>
      </c>
      <c r="AK1074" s="6" t="s">
        <v>16751</v>
      </c>
      <c r="AL1074" s="6" t="s">
        <v>16931</v>
      </c>
      <c r="AM1074" s="6" t="s">
        <v>17711</v>
      </c>
      <c r="AN1074" s="6" t="s">
        <v>104</v>
      </c>
      <c r="AO1074" s="6" t="s">
        <v>104</v>
      </c>
      <c r="AP1074" s="6" t="s">
        <v>14135</v>
      </c>
      <c r="AQ1074" s="6" t="s">
        <v>104</v>
      </c>
      <c r="AR1074" s="6" t="s">
        <v>16062</v>
      </c>
      <c r="AS1074" s="6" t="s">
        <v>16751</v>
      </c>
      <c r="AT1074" s="6" t="s">
        <v>16931</v>
      </c>
      <c r="AU1074" s="6" t="s">
        <v>17711</v>
      </c>
      <c r="AV1074" s="6" t="s">
        <v>104</v>
      </c>
      <c r="AW1074" s="6" t="s">
        <v>104</v>
      </c>
      <c r="AX1074" s="6" t="s">
        <v>20960</v>
      </c>
      <c r="AY1074" s="6" t="s">
        <v>22746</v>
      </c>
      <c r="AZ1074" s="6" t="s">
        <v>23966</v>
      </c>
      <c r="BA1074" s="6" t="s">
        <v>104</v>
      </c>
      <c r="BB1074" s="6" t="s">
        <v>104</v>
      </c>
      <c r="BC1074" s="26"/>
      <c r="BD1074" s="26"/>
      <c r="BE1074" s="26"/>
      <c r="BF1074" s="26"/>
      <c r="BG1074" s="26"/>
      <c r="BH1074" s="26"/>
      <c r="BI1074" s="26"/>
      <c r="BJ1074" s="26"/>
      <c r="BK1074" s="26"/>
      <c r="BL1074" s="26"/>
      <c r="BM1074" s="26"/>
      <c r="BN1074" s="26"/>
      <c r="BO1074" s="26"/>
      <c r="BP1074" s="16" t="n">
        <v>45737</v>
      </c>
      <c r="BQ1074" s="28" t="str">
        <f>HYPERLINK("https://organic.ams.usda.gov/Integrity/Certificate.aspx?cid=71&amp;nopid=5520812915")</f>
        <v>https://organic.ams.usda.gov/Integrity/Certificate.aspx?cid=71&amp;nopid=5520812915</v>
      </c>
    </row>
    <row r="1075">
      <c r="A1075" t="s">
        <v>3</v>
      </c>
      <c r="B1075" s="6" t="s">
        <v>21</v>
      </c>
      <c r="C1075" s="6" t="s">
        <v>87</v>
      </c>
      <c r="D1075" s="6" t="s">
        <v>152</v>
      </c>
      <c r="E1075" s="10" t="s">
        <v>1273</v>
      </c>
      <c r="F1075" s="6" t="s">
        <v>3517</v>
      </c>
      <c r="G1075" s="6" t="s">
        <v>4773</v>
      </c>
      <c r="H1075" s="6" t="s">
        <v>5873</v>
      </c>
      <c r="I1075" s="6" t="s">
        <v>7587</v>
      </c>
      <c r="J1075" s="6" t="s">
        <v>7281</v>
      </c>
      <c r="K1075" s="6" t="s">
        <v>9714</v>
      </c>
      <c r="L1075" s="16" t="n">
        <v>45187</v>
      </c>
      <c r="M1075" s="16" t="n">
        <v>46023</v>
      </c>
      <c r="N1075" s="6" t="s">
        <v>104</v>
      </c>
      <c r="O1075" s="21" t="s">
        <v>104</v>
      </c>
      <c r="P1075" s="6" t="s">
        <v>104</v>
      </c>
      <c r="Q1075" s="6" t="s">
        <v>104</v>
      </c>
      <c r="R1075" s="6" t="s">
        <v>104</v>
      </c>
      <c r="S1075" s="6" t="s">
        <v>104</v>
      </c>
      <c r="T1075" s="21" t="s">
        <v>104</v>
      </c>
      <c r="U1075" s="6" t="s">
        <v>104</v>
      </c>
      <c r="V1075" s="6" t="s">
        <v>104</v>
      </c>
      <c r="W1075" s="6" t="s">
        <v>104</v>
      </c>
      <c r="X1075" s="6" t="s">
        <v>104</v>
      </c>
      <c r="Y1075" s="21" t="s">
        <v>104</v>
      </c>
      <c r="Z1075" s="6" t="s">
        <v>104</v>
      </c>
      <c r="AA1075" s="6" t="s">
        <v>104</v>
      </c>
      <c r="AB1075" s="6" t="s">
        <v>104</v>
      </c>
      <c r="AC1075" s="6" t="s">
        <v>9714</v>
      </c>
      <c r="AD1075" s="16" t="n">
        <v>45187</v>
      </c>
      <c r="AE1075" s="6" t="s">
        <v>11472</v>
      </c>
      <c r="AF1075" s="6" t="s">
        <v>104</v>
      </c>
      <c r="AG1075" s="6" t="s">
        <v>104</v>
      </c>
      <c r="AH1075" s="6" t="s">
        <v>14136</v>
      </c>
      <c r="AI1075" s="6" t="s">
        <v>15258</v>
      </c>
      <c r="AJ1075" s="6" t="s">
        <v>16063</v>
      </c>
      <c r="AK1075" s="6" t="s">
        <v>16687</v>
      </c>
      <c r="AL1075" s="6" t="s">
        <v>16931</v>
      </c>
      <c r="AM1075" s="6" t="s">
        <v>17712</v>
      </c>
      <c r="AN1075" s="6" t="s">
        <v>18487</v>
      </c>
      <c r="AO1075" s="6" t="s">
        <v>18601</v>
      </c>
      <c r="AP1075" s="6" t="s">
        <v>19219</v>
      </c>
      <c r="AQ1075" s="6" t="s">
        <v>19563</v>
      </c>
      <c r="AR1075" s="6" t="s">
        <v>19693</v>
      </c>
      <c r="AS1075" s="6" t="s">
        <v>16687</v>
      </c>
      <c r="AT1075" s="6" t="s">
        <v>16931</v>
      </c>
      <c r="AU1075" s="6" t="s">
        <v>19936</v>
      </c>
      <c r="AV1075" s="6" t="s">
        <v>104</v>
      </c>
      <c r="AW1075" s="6" t="s">
        <v>104</v>
      </c>
      <c r="AX1075" s="6" t="s">
        <v>20961</v>
      </c>
      <c r="AY1075" s="6" t="s">
        <v>22747</v>
      </c>
      <c r="AZ1075" s="6" t="s">
        <v>23967</v>
      </c>
      <c r="BA1075" s="6" t="s">
        <v>24407</v>
      </c>
      <c r="BB1075" s="6" t="s">
        <v>104</v>
      </c>
      <c r="BC1075" s="26"/>
      <c r="BD1075" s="26"/>
      <c r="BE1075" s="26"/>
      <c r="BF1075" s="26"/>
      <c r="BG1075" s="26"/>
      <c r="BH1075" s="26"/>
      <c r="BI1075" s="26"/>
      <c r="BJ1075" s="26"/>
      <c r="BK1075" s="26"/>
      <c r="BL1075" s="26"/>
      <c r="BM1075" s="26"/>
      <c r="BN1075" s="26"/>
      <c r="BO1075" s="26"/>
      <c r="BP1075" s="16" t="n">
        <v>45667</v>
      </c>
      <c r="BQ1075" s="28" t="str">
        <f>HYPERLINK("https://organic.ams.usda.gov/Integrity/Certificate.aspx?cid=15&amp;nopid=5561007863")</f>
        <v>https://organic.ams.usda.gov/Integrity/Certificate.aspx?cid=15&amp;nopid=5561007863</v>
      </c>
    </row>
    <row r="1076">
      <c r="A1076" t="s">
        <v>3</v>
      </c>
      <c r="B1076" s="6" t="s">
        <v>48</v>
      </c>
      <c r="C1076" s="6" t="s">
        <v>114</v>
      </c>
      <c r="D1076" s="6" t="s">
        <v>178</v>
      </c>
      <c r="E1076" s="10" t="s">
        <v>1274</v>
      </c>
      <c r="F1076" s="6" t="s">
        <v>3518</v>
      </c>
      <c r="G1076" s="6" t="s">
        <v>104</v>
      </c>
      <c r="H1076" s="6" t="s">
        <v>5874</v>
      </c>
      <c r="I1076" s="6" t="s">
        <v>104</v>
      </c>
      <c r="J1076" s="6" t="s">
        <v>104</v>
      </c>
      <c r="K1076" s="6" t="s">
        <v>9714</v>
      </c>
      <c r="L1076" s="16" t="n">
        <v>43031</v>
      </c>
      <c r="M1076" s="16" t="n">
        <v>46173</v>
      </c>
      <c r="N1076" s="6" t="s">
        <v>9714</v>
      </c>
      <c r="O1076" s="16" t="n">
        <v>43031</v>
      </c>
      <c r="P1076" s="6" t="s">
        <v>10021</v>
      </c>
      <c r="Q1076" s="6" t="s">
        <v>104</v>
      </c>
      <c r="R1076" s="6" t="s">
        <v>104</v>
      </c>
      <c r="S1076" s="6" t="s">
        <v>104</v>
      </c>
      <c r="T1076" s="21" t="s">
        <v>104</v>
      </c>
      <c r="U1076" s="6" t="s">
        <v>104</v>
      </c>
      <c r="V1076" s="6" t="s">
        <v>104</v>
      </c>
      <c r="W1076" s="6" t="s">
        <v>104</v>
      </c>
      <c r="X1076" s="6" t="s">
        <v>104</v>
      </c>
      <c r="Y1076" s="21" t="s">
        <v>104</v>
      </c>
      <c r="Z1076" s="6" t="s">
        <v>104</v>
      </c>
      <c r="AA1076" s="6" t="s">
        <v>104</v>
      </c>
      <c r="AB1076" s="6" t="s">
        <v>104</v>
      </c>
      <c r="AC1076" s="6" t="s">
        <v>9714</v>
      </c>
      <c r="AD1076" s="16" t="n">
        <v>43031</v>
      </c>
      <c r="AE1076" s="6" t="s">
        <v>11473</v>
      </c>
      <c r="AF1076" s="6" t="s">
        <v>104</v>
      </c>
      <c r="AG1076" s="6" t="s">
        <v>104</v>
      </c>
      <c r="AH1076" s="6" t="s">
        <v>14137</v>
      </c>
      <c r="AI1076" s="6" t="s">
        <v>104</v>
      </c>
      <c r="AJ1076" s="6" t="s">
        <v>16064</v>
      </c>
      <c r="AK1076" s="6" t="s">
        <v>104</v>
      </c>
      <c r="AL1076" s="6" t="s">
        <v>16766</v>
      </c>
      <c r="AM1076" s="6" t="s">
        <v>104</v>
      </c>
      <c r="AN1076" s="6" t="s">
        <v>104</v>
      </c>
      <c r="AO1076" s="6" t="s">
        <v>104</v>
      </c>
      <c r="AP1076" s="6" t="s">
        <v>14137</v>
      </c>
      <c r="AQ1076" s="6" t="s">
        <v>104</v>
      </c>
      <c r="AR1076" s="6" t="s">
        <v>16064</v>
      </c>
      <c r="AS1076" s="6" t="s">
        <v>104</v>
      </c>
      <c r="AT1076" s="6" t="s">
        <v>16766</v>
      </c>
      <c r="AU1076" s="6" t="s">
        <v>104</v>
      </c>
      <c r="AV1076" s="6" t="s">
        <v>104</v>
      </c>
      <c r="AW1076" s="6" t="s">
        <v>104</v>
      </c>
      <c r="AX1076" s="6" t="s">
        <v>104</v>
      </c>
      <c r="AY1076" s="6" t="s">
        <v>22748</v>
      </c>
      <c r="AZ1076" s="6" t="s">
        <v>104</v>
      </c>
      <c r="BA1076" s="6" t="s">
        <v>104</v>
      </c>
      <c r="BB1076" s="24" t="n">
        <v>12847</v>
      </c>
      <c r="BC1076" s="26"/>
      <c r="BD1076" s="26"/>
      <c r="BE1076" s="26"/>
      <c r="BF1076" s="26"/>
      <c r="BG1076" s="26"/>
      <c r="BH1076" s="26"/>
      <c r="BI1076" s="26"/>
      <c r="BJ1076" s="26"/>
      <c r="BK1076" s="26"/>
      <c r="BL1076" s="26"/>
      <c r="BM1076" s="26"/>
      <c r="BN1076" s="26"/>
      <c r="BO1076" s="26"/>
      <c r="BP1076" s="16" t="n">
        <v>45656</v>
      </c>
      <c r="BQ1076" s="28" t="str">
        <f>HYPERLINK("https://organic.ams.usda.gov/Integrity/Certificate.aspx?cid=9&amp;nopid=1203597103")</f>
        <v>https://organic.ams.usda.gov/Integrity/Certificate.aspx?cid=9&amp;nopid=1203597103</v>
      </c>
    </row>
    <row r="1077">
      <c r="A1077" t="s">
        <v>3</v>
      </c>
      <c r="B1077" s="6" t="s">
        <v>6</v>
      </c>
      <c r="C1077" s="6" t="s">
        <v>72</v>
      </c>
      <c r="D1077" s="6" t="s">
        <v>137</v>
      </c>
      <c r="E1077" s="10" t="s">
        <v>1275</v>
      </c>
      <c r="F1077" s="6" t="s">
        <v>3519</v>
      </c>
      <c r="G1077" s="6" t="s">
        <v>104</v>
      </c>
      <c r="H1077" s="6" t="s">
        <v>5875</v>
      </c>
      <c r="I1077" s="6" t="s">
        <v>7206</v>
      </c>
      <c r="J1077" s="6" t="s">
        <v>8946</v>
      </c>
      <c r="K1077" s="6" t="s">
        <v>9714</v>
      </c>
      <c r="L1077" s="16" t="n">
        <v>45622</v>
      </c>
      <c r="M1077" s="16" t="n">
        <v>45842</v>
      </c>
      <c r="N1077" s="6" t="s">
        <v>104</v>
      </c>
      <c r="O1077" s="21" t="s">
        <v>104</v>
      </c>
      <c r="P1077" s="6" t="s">
        <v>104</v>
      </c>
      <c r="Q1077" s="6" t="s">
        <v>104</v>
      </c>
      <c r="R1077" s="6" t="s">
        <v>104</v>
      </c>
      <c r="S1077" s="6" t="s">
        <v>104</v>
      </c>
      <c r="T1077" s="21" t="s">
        <v>104</v>
      </c>
      <c r="U1077" s="6" t="s">
        <v>104</v>
      </c>
      <c r="V1077" s="6" t="s">
        <v>104</v>
      </c>
      <c r="W1077" s="6" t="s">
        <v>104</v>
      </c>
      <c r="X1077" s="6" t="s">
        <v>104</v>
      </c>
      <c r="Y1077" s="21" t="s">
        <v>104</v>
      </c>
      <c r="Z1077" s="6" t="s">
        <v>104</v>
      </c>
      <c r="AA1077" s="6" t="s">
        <v>104</v>
      </c>
      <c r="AB1077" s="6" t="s">
        <v>104</v>
      </c>
      <c r="AC1077" s="6" t="s">
        <v>9714</v>
      </c>
      <c r="AD1077" s="16" t="n">
        <v>45622</v>
      </c>
      <c r="AE1077" s="6" t="s">
        <v>11474</v>
      </c>
      <c r="AF1077" s="6" t="s">
        <v>104</v>
      </c>
      <c r="AG1077" s="6" t="s">
        <v>12827</v>
      </c>
      <c r="AH1077" s="6" t="s">
        <v>14138</v>
      </c>
      <c r="AI1077" s="6" t="s">
        <v>104</v>
      </c>
      <c r="AJ1077" s="6" t="s">
        <v>15527</v>
      </c>
      <c r="AK1077" s="6" t="s">
        <v>16741</v>
      </c>
      <c r="AL1077" s="6" t="s">
        <v>16766</v>
      </c>
      <c r="AM1077" s="6" t="s">
        <v>104</v>
      </c>
      <c r="AN1077" s="6" t="s">
        <v>104</v>
      </c>
      <c r="AO1077" s="6" t="s">
        <v>104</v>
      </c>
      <c r="AP1077" s="6" t="s">
        <v>104</v>
      </c>
      <c r="AQ1077" s="6" t="s">
        <v>104</v>
      </c>
      <c r="AR1077" s="6" t="s">
        <v>104</v>
      </c>
      <c r="AS1077" s="6" t="s">
        <v>104</v>
      </c>
      <c r="AT1077" s="6" t="s">
        <v>104</v>
      </c>
      <c r="AU1077" s="6" t="s">
        <v>104</v>
      </c>
      <c r="AV1077" s="6" t="s">
        <v>104</v>
      </c>
      <c r="AW1077" s="6" t="s">
        <v>104</v>
      </c>
      <c r="AX1077" s="6" t="s">
        <v>104</v>
      </c>
      <c r="AY1077" s="6" t="s">
        <v>22749</v>
      </c>
      <c r="AZ1077" s="6" t="s">
        <v>104</v>
      </c>
      <c r="BA1077" s="6" t="s">
        <v>24258</v>
      </c>
      <c r="BB1077" s="6" t="s">
        <v>104</v>
      </c>
      <c r="BC1077" s="26"/>
      <c r="BD1077" s="26"/>
      <c r="BE1077" s="26"/>
      <c r="BF1077" s="26"/>
      <c r="BG1077" s="26"/>
      <c r="BH1077" s="26"/>
      <c r="BI1077" s="26"/>
      <c r="BJ1077" s="26"/>
      <c r="BK1077" s="26"/>
      <c r="BL1077" s="26"/>
      <c r="BM1077" s="26"/>
      <c r="BN1077" s="26"/>
      <c r="BO1077" s="26"/>
      <c r="BP1077" s="16" t="n">
        <v>45737</v>
      </c>
      <c r="BQ1077" s="28" t="str">
        <f>HYPERLINK("https://organic.ams.usda.gov/Integrity/Certificate.aspx?cid=32&amp;nopid=2230011493")</f>
        <v>https://organic.ams.usda.gov/Integrity/Certificate.aspx?cid=32&amp;nopid=2230011493</v>
      </c>
    </row>
    <row r="1078">
      <c r="A1078" t="s">
        <v>3</v>
      </c>
      <c r="B1078" s="6" t="s">
        <v>6</v>
      </c>
      <c r="C1078" s="6" t="s">
        <v>72</v>
      </c>
      <c r="D1078" s="6" t="s">
        <v>137</v>
      </c>
      <c r="E1078" s="10" t="s">
        <v>1276</v>
      </c>
      <c r="F1078" s="6" t="s">
        <v>3520</v>
      </c>
      <c r="G1078" s="6" t="s">
        <v>104</v>
      </c>
      <c r="H1078" s="6" t="s">
        <v>5876</v>
      </c>
      <c r="I1078" s="6" t="s">
        <v>7588</v>
      </c>
      <c r="J1078" s="6" t="s">
        <v>8947</v>
      </c>
      <c r="K1078" s="6" t="s">
        <v>9714</v>
      </c>
      <c r="L1078" s="16" t="n">
        <v>43453</v>
      </c>
      <c r="M1078" s="16" t="n">
        <v>45637</v>
      </c>
      <c r="N1078" s="6" t="s">
        <v>104</v>
      </c>
      <c r="O1078" s="21" t="s">
        <v>104</v>
      </c>
      <c r="P1078" s="6" t="s">
        <v>104</v>
      </c>
      <c r="Q1078" s="6" t="s">
        <v>104</v>
      </c>
      <c r="R1078" s="6" t="s">
        <v>104</v>
      </c>
      <c r="S1078" s="6" t="s">
        <v>104</v>
      </c>
      <c r="T1078" s="21" t="s">
        <v>104</v>
      </c>
      <c r="U1078" s="6" t="s">
        <v>104</v>
      </c>
      <c r="V1078" s="6" t="s">
        <v>104</v>
      </c>
      <c r="W1078" s="6" t="s">
        <v>104</v>
      </c>
      <c r="X1078" s="6" t="s">
        <v>104</v>
      </c>
      <c r="Y1078" s="21" t="s">
        <v>104</v>
      </c>
      <c r="Z1078" s="6" t="s">
        <v>104</v>
      </c>
      <c r="AA1078" s="6" t="s">
        <v>104</v>
      </c>
      <c r="AB1078" s="6" t="s">
        <v>104</v>
      </c>
      <c r="AC1078" s="6" t="s">
        <v>9714</v>
      </c>
      <c r="AD1078" s="16" t="n">
        <v>43453</v>
      </c>
      <c r="AE1078" s="6" t="s">
        <v>11475</v>
      </c>
      <c r="AF1078" s="6" t="s">
        <v>104</v>
      </c>
      <c r="AG1078" s="6" t="s">
        <v>12828</v>
      </c>
      <c r="AH1078" s="6" t="s">
        <v>14139</v>
      </c>
      <c r="AI1078" s="6" t="s">
        <v>104</v>
      </c>
      <c r="AJ1078" s="6" t="s">
        <v>15528</v>
      </c>
      <c r="AK1078" s="6" t="s">
        <v>16740</v>
      </c>
      <c r="AL1078" s="6" t="s">
        <v>16766</v>
      </c>
      <c r="AM1078" s="6" t="s">
        <v>17713</v>
      </c>
      <c r="AN1078" s="6" t="s">
        <v>104</v>
      </c>
      <c r="AO1078" s="6" t="s">
        <v>104</v>
      </c>
      <c r="AP1078" s="6" t="s">
        <v>104</v>
      </c>
      <c r="AQ1078" s="6" t="s">
        <v>104</v>
      </c>
      <c r="AR1078" s="6" t="s">
        <v>104</v>
      </c>
      <c r="AS1078" s="6" t="s">
        <v>104</v>
      </c>
      <c r="AT1078" s="6" t="s">
        <v>104</v>
      </c>
      <c r="AU1078" s="6" t="s">
        <v>104</v>
      </c>
      <c r="AV1078" s="6" t="s">
        <v>104</v>
      </c>
      <c r="AW1078" s="6" t="s">
        <v>104</v>
      </c>
      <c r="AX1078" s="6" t="s">
        <v>20962</v>
      </c>
      <c r="AY1078" s="6" t="s">
        <v>22750</v>
      </c>
      <c r="AZ1078" s="6" t="s">
        <v>104</v>
      </c>
      <c r="BA1078" s="6" t="s">
        <v>24258</v>
      </c>
      <c r="BB1078" s="6" t="s">
        <v>104</v>
      </c>
      <c r="BC1078" s="26"/>
      <c r="BD1078" s="26"/>
      <c r="BE1078" s="26"/>
      <c r="BF1078" s="26"/>
      <c r="BG1078" s="26"/>
      <c r="BH1078" s="26"/>
      <c r="BI1078" s="26"/>
      <c r="BJ1078" s="26"/>
      <c r="BK1078" s="26"/>
      <c r="BL1078" s="26"/>
      <c r="BM1078" s="26"/>
      <c r="BN1078" s="26"/>
      <c r="BO1078" s="26"/>
      <c r="BP1078" s="16" t="n">
        <v>45737</v>
      </c>
      <c r="BQ1078" s="28" t="str">
        <f>HYPERLINK("https://organic.ams.usda.gov/Integrity/Certificate.aspx?cid=32&amp;nopid=2230006148")</f>
        <v>https://organic.ams.usda.gov/Integrity/Certificate.aspx?cid=32&amp;nopid=2230006148</v>
      </c>
    </row>
    <row r="1079">
      <c r="A1079" t="s">
        <v>3</v>
      </c>
      <c r="B1079" s="6" t="s">
        <v>6</v>
      </c>
      <c r="C1079" s="6" t="s">
        <v>72</v>
      </c>
      <c r="D1079" s="6" t="s">
        <v>137</v>
      </c>
      <c r="E1079" s="10" t="s">
        <v>1277</v>
      </c>
      <c r="F1079" s="6" t="s">
        <v>3521</v>
      </c>
      <c r="G1079" s="6" t="s">
        <v>104</v>
      </c>
      <c r="H1079" s="6" t="s">
        <v>5877</v>
      </c>
      <c r="I1079" s="6" t="s">
        <v>7094</v>
      </c>
      <c r="J1079" s="6" t="s">
        <v>8948</v>
      </c>
      <c r="K1079" s="6" t="s">
        <v>9714</v>
      </c>
      <c r="L1079" s="16" t="n">
        <v>43262</v>
      </c>
      <c r="M1079" s="16" t="n">
        <v>45812</v>
      </c>
      <c r="N1079" s="6" t="s">
        <v>104</v>
      </c>
      <c r="O1079" s="21" t="s">
        <v>104</v>
      </c>
      <c r="P1079" s="6" t="s">
        <v>104</v>
      </c>
      <c r="Q1079" s="6" t="s">
        <v>104</v>
      </c>
      <c r="R1079" s="6" t="s">
        <v>104</v>
      </c>
      <c r="S1079" s="6" t="s">
        <v>104</v>
      </c>
      <c r="T1079" s="21" t="s">
        <v>104</v>
      </c>
      <c r="U1079" s="6" t="s">
        <v>104</v>
      </c>
      <c r="V1079" s="6" t="s">
        <v>104</v>
      </c>
      <c r="W1079" s="6" t="s">
        <v>104</v>
      </c>
      <c r="X1079" s="6" t="s">
        <v>104</v>
      </c>
      <c r="Y1079" s="21" t="s">
        <v>104</v>
      </c>
      <c r="Z1079" s="6" t="s">
        <v>104</v>
      </c>
      <c r="AA1079" s="6" t="s">
        <v>104</v>
      </c>
      <c r="AB1079" s="6" t="s">
        <v>104</v>
      </c>
      <c r="AC1079" s="6" t="s">
        <v>9714</v>
      </c>
      <c r="AD1079" s="16" t="n">
        <v>43262</v>
      </c>
      <c r="AE1079" s="6" t="s">
        <v>11476</v>
      </c>
      <c r="AF1079" s="6" t="s">
        <v>104</v>
      </c>
      <c r="AG1079" s="6" t="s">
        <v>12829</v>
      </c>
      <c r="AH1079" s="6" t="s">
        <v>14140</v>
      </c>
      <c r="AI1079" s="6" t="s">
        <v>104</v>
      </c>
      <c r="AJ1079" s="6" t="s">
        <v>15638</v>
      </c>
      <c r="AK1079" s="6" t="s">
        <v>7588</v>
      </c>
      <c r="AL1079" s="6" t="s">
        <v>16766</v>
      </c>
      <c r="AM1079" s="6" t="s">
        <v>17714</v>
      </c>
      <c r="AN1079" s="6" t="s">
        <v>104</v>
      </c>
      <c r="AO1079" s="6" t="s">
        <v>104</v>
      </c>
      <c r="AP1079" s="6" t="s">
        <v>104</v>
      </c>
      <c r="AQ1079" s="6" t="s">
        <v>104</v>
      </c>
      <c r="AR1079" s="6" t="s">
        <v>104</v>
      </c>
      <c r="AS1079" s="6" t="s">
        <v>104</v>
      </c>
      <c r="AT1079" s="6" t="s">
        <v>104</v>
      </c>
      <c r="AU1079" s="6" t="s">
        <v>104</v>
      </c>
      <c r="AV1079" s="6" t="s">
        <v>104</v>
      </c>
      <c r="AW1079" s="6" t="s">
        <v>104</v>
      </c>
      <c r="AX1079" s="6" t="s">
        <v>20963</v>
      </c>
      <c r="AY1079" s="6" t="s">
        <v>22186</v>
      </c>
      <c r="AZ1079" s="6" t="s">
        <v>104</v>
      </c>
      <c r="BA1079" s="6" t="s">
        <v>104</v>
      </c>
      <c r="BB1079" s="6" t="s">
        <v>104</v>
      </c>
      <c r="BC1079" s="26"/>
      <c r="BD1079" s="26"/>
      <c r="BE1079" s="26"/>
      <c r="BF1079" s="26"/>
      <c r="BG1079" s="26"/>
      <c r="BH1079" s="26"/>
      <c r="BI1079" s="26"/>
      <c r="BJ1079" s="26"/>
      <c r="BK1079" s="26"/>
      <c r="BL1079" s="26"/>
      <c r="BM1079" s="26"/>
      <c r="BN1079" s="26"/>
      <c r="BO1079" s="26"/>
      <c r="BP1079" s="16" t="n">
        <v>45737</v>
      </c>
      <c r="BQ1079" s="28" t="str">
        <f>HYPERLINK("https://organic.ams.usda.gov/Integrity/Certificate.aspx?cid=32&amp;nopid=2230005945")</f>
        <v>https://organic.ams.usda.gov/Integrity/Certificate.aspx?cid=32&amp;nopid=2230005945</v>
      </c>
    </row>
    <row r="1080">
      <c r="A1080" t="s">
        <v>3</v>
      </c>
      <c r="B1080" s="6" t="s">
        <v>6</v>
      </c>
      <c r="C1080" s="6" t="s">
        <v>72</v>
      </c>
      <c r="D1080" s="6" t="s">
        <v>137</v>
      </c>
      <c r="E1080" s="10" t="s">
        <v>1278</v>
      </c>
      <c r="F1080" s="6" t="s">
        <v>3522</v>
      </c>
      <c r="G1080" s="6" t="s">
        <v>104</v>
      </c>
      <c r="H1080" s="6" t="s">
        <v>5878</v>
      </c>
      <c r="I1080" s="6" t="s">
        <v>7206</v>
      </c>
      <c r="J1080" s="6" t="s">
        <v>8949</v>
      </c>
      <c r="K1080" s="6" t="s">
        <v>9714</v>
      </c>
      <c r="L1080" s="16" t="n">
        <v>43488</v>
      </c>
      <c r="M1080" s="16" t="n">
        <v>45915</v>
      </c>
      <c r="N1080" s="6" t="s">
        <v>104</v>
      </c>
      <c r="O1080" s="21" t="s">
        <v>104</v>
      </c>
      <c r="P1080" s="6" t="s">
        <v>104</v>
      </c>
      <c r="Q1080" s="6" t="s">
        <v>104</v>
      </c>
      <c r="R1080" s="6" t="s">
        <v>104</v>
      </c>
      <c r="S1080" s="6" t="s">
        <v>104</v>
      </c>
      <c r="T1080" s="21" t="s">
        <v>104</v>
      </c>
      <c r="U1080" s="6" t="s">
        <v>104</v>
      </c>
      <c r="V1080" s="6" t="s">
        <v>104</v>
      </c>
      <c r="W1080" s="6" t="s">
        <v>104</v>
      </c>
      <c r="X1080" s="6" t="s">
        <v>104</v>
      </c>
      <c r="Y1080" s="21" t="s">
        <v>104</v>
      </c>
      <c r="Z1080" s="6" t="s">
        <v>104</v>
      </c>
      <c r="AA1080" s="6" t="s">
        <v>104</v>
      </c>
      <c r="AB1080" s="6" t="s">
        <v>104</v>
      </c>
      <c r="AC1080" s="6" t="s">
        <v>9714</v>
      </c>
      <c r="AD1080" s="16" t="n">
        <v>43488</v>
      </c>
      <c r="AE1080" s="6" t="s">
        <v>11477</v>
      </c>
      <c r="AF1080" s="6" t="s">
        <v>104</v>
      </c>
      <c r="AG1080" s="6" t="s">
        <v>12830</v>
      </c>
      <c r="AH1080" s="6" t="s">
        <v>14141</v>
      </c>
      <c r="AI1080" s="6" t="s">
        <v>104</v>
      </c>
      <c r="AJ1080" s="6" t="s">
        <v>16065</v>
      </c>
      <c r="AK1080" s="6" t="s">
        <v>16740</v>
      </c>
      <c r="AL1080" s="6" t="s">
        <v>16766</v>
      </c>
      <c r="AM1080" s="6" t="s">
        <v>17715</v>
      </c>
      <c r="AN1080" s="6" t="s">
        <v>104</v>
      </c>
      <c r="AO1080" s="6" t="s">
        <v>104</v>
      </c>
      <c r="AP1080" s="6" t="s">
        <v>104</v>
      </c>
      <c r="AQ1080" s="6" t="s">
        <v>104</v>
      </c>
      <c r="AR1080" s="6" t="s">
        <v>104</v>
      </c>
      <c r="AS1080" s="6" t="s">
        <v>104</v>
      </c>
      <c r="AT1080" s="6" t="s">
        <v>104</v>
      </c>
      <c r="AU1080" s="6" t="s">
        <v>104</v>
      </c>
      <c r="AV1080" s="6" t="s">
        <v>104</v>
      </c>
      <c r="AW1080" s="6" t="s">
        <v>104</v>
      </c>
      <c r="AX1080" s="6" t="s">
        <v>20964</v>
      </c>
      <c r="AY1080" s="6" t="s">
        <v>22751</v>
      </c>
      <c r="AZ1080" s="6" t="s">
        <v>104</v>
      </c>
      <c r="BA1080" s="6" t="s">
        <v>24258</v>
      </c>
      <c r="BB1080" s="6" t="s">
        <v>104</v>
      </c>
      <c r="BC1080" s="26"/>
      <c r="BD1080" s="26"/>
      <c r="BE1080" s="26"/>
      <c r="BF1080" s="26"/>
      <c r="BG1080" s="26"/>
      <c r="BH1080" s="26"/>
      <c r="BI1080" s="26"/>
      <c r="BJ1080" s="26"/>
      <c r="BK1080" s="26"/>
      <c r="BL1080" s="26"/>
      <c r="BM1080" s="26"/>
      <c r="BN1080" s="26"/>
      <c r="BO1080" s="26"/>
      <c r="BP1080" s="16" t="n">
        <v>45737</v>
      </c>
      <c r="BQ1080" s="28" t="str">
        <f>HYPERLINK("https://organic.ams.usda.gov/Integrity/Certificate.aspx?cid=32&amp;nopid=2230006523")</f>
        <v>https://organic.ams.usda.gov/Integrity/Certificate.aspx?cid=32&amp;nopid=2230006523</v>
      </c>
    </row>
    <row r="1081">
      <c r="A1081" t="s">
        <v>3</v>
      </c>
      <c r="B1081" s="6" t="s">
        <v>48</v>
      </c>
      <c r="C1081" s="6" t="s">
        <v>114</v>
      </c>
      <c r="D1081" s="6" t="s">
        <v>178</v>
      </c>
      <c r="E1081" s="10" t="s">
        <v>1279</v>
      </c>
      <c r="F1081" s="6" t="s">
        <v>3523</v>
      </c>
      <c r="G1081" s="6" t="s">
        <v>104</v>
      </c>
      <c r="H1081" s="6" t="s">
        <v>5879</v>
      </c>
      <c r="I1081" s="6" t="s">
        <v>7589</v>
      </c>
      <c r="J1081" s="6" t="s">
        <v>8950</v>
      </c>
      <c r="K1081" s="6" t="s">
        <v>9714</v>
      </c>
      <c r="L1081" s="16" t="n">
        <v>42719</v>
      </c>
      <c r="M1081" s="16" t="n">
        <v>46081</v>
      </c>
      <c r="N1081" s="6" t="s">
        <v>104</v>
      </c>
      <c r="O1081" s="21" t="s">
        <v>104</v>
      </c>
      <c r="P1081" s="6" t="s">
        <v>104</v>
      </c>
      <c r="Q1081" s="6" t="s">
        <v>104</v>
      </c>
      <c r="R1081" s="6" t="s">
        <v>104</v>
      </c>
      <c r="S1081" s="6" t="s">
        <v>104</v>
      </c>
      <c r="T1081" s="21" t="s">
        <v>104</v>
      </c>
      <c r="U1081" s="6" t="s">
        <v>104</v>
      </c>
      <c r="V1081" s="6" t="s">
        <v>104</v>
      </c>
      <c r="W1081" s="6" t="s">
        <v>104</v>
      </c>
      <c r="X1081" s="6" t="s">
        <v>104</v>
      </c>
      <c r="Y1081" s="21" t="s">
        <v>104</v>
      </c>
      <c r="Z1081" s="6" t="s">
        <v>104</v>
      </c>
      <c r="AA1081" s="6" t="s">
        <v>104</v>
      </c>
      <c r="AB1081" s="6" t="s">
        <v>104</v>
      </c>
      <c r="AC1081" s="6" t="s">
        <v>9714</v>
      </c>
      <c r="AD1081" s="16" t="n">
        <v>42719</v>
      </c>
      <c r="AE1081" s="6" t="s">
        <v>11478</v>
      </c>
      <c r="AF1081" s="6" t="s">
        <v>104</v>
      </c>
      <c r="AG1081" s="6" t="s">
        <v>104</v>
      </c>
      <c r="AH1081" s="6" t="s">
        <v>14142</v>
      </c>
      <c r="AI1081" s="6" t="s">
        <v>104</v>
      </c>
      <c r="AJ1081" s="6" t="s">
        <v>16066</v>
      </c>
      <c r="AK1081" s="6" t="s">
        <v>104</v>
      </c>
      <c r="AL1081" s="6" t="s">
        <v>16766</v>
      </c>
      <c r="AM1081" s="6" t="s">
        <v>17716</v>
      </c>
      <c r="AN1081" s="6" t="s">
        <v>104</v>
      </c>
      <c r="AO1081" s="6" t="s">
        <v>104</v>
      </c>
      <c r="AP1081" s="6" t="s">
        <v>14142</v>
      </c>
      <c r="AQ1081" s="6" t="s">
        <v>104</v>
      </c>
      <c r="AR1081" s="6" t="s">
        <v>16066</v>
      </c>
      <c r="AS1081" s="6" t="s">
        <v>104</v>
      </c>
      <c r="AT1081" s="6" t="s">
        <v>16766</v>
      </c>
      <c r="AU1081" s="6" t="s">
        <v>17716</v>
      </c>
      <c r="AV1081" s="6" t="s">
        <v>104</v>
      </c>
      <c r="AW1081" s="6" t="s">
        <v>104</v>
      </c>
      <c r="AX1081" s="6" t="s">
        <v>20965</v>
      </c>
      <c r="AY1081" s="6" t="s">
        <v>22752</v>
      </c>
      <c r="AZ1081" s="6" t="s">
        <v>23968</v>
      </c>
      <c r="BA1081" s="6" t="s">
        <v>104</v>
      </c>
      <c r="BB1081" s="6" t="s">
        <v>104</v>
      </c>
      <c r="BC1081" s="26"/>
      <c r="BD1081" s="26"/>
      <c r="BE1081" s="26"/>
      <c r="BF1081" s="26"/>
      <c r="BG1081" s="26"/>
      <c r="BH1081" s="26"/>
      <c r="BI1081" s="26"/>
      <c r="BJ1081" s="26"/>
      <c r="BK1081" s="26"/>
      <c r="BL1081" s="26"/>
      <c r="BM1081" s="26"/>
      <c r="BN1081" s="26"/>
      <c r="BO1081" s="26"/>
      <c r="BP1081" s="16" t="n">
        <v>45630</v>
      </c>
      <c r="BQ1081" s="28" t="str">
        <f>HYPERLINK("https://organic.ams.usda.gov/Integrity/Certificate.aspx?cid=9&amp;nopid=1202565800")</f>
        <v>https://organic.ams.usda.gov/Integrity/Certificate.aspx?cid=9&amp;nopid=1202565800</v>
      </c>
    </row>
    <row r="1082">
      <c r="A1082" t="s">
        <v>3</v>
      </c>
      <c r="B1082" s="6" t="s">
        <v>48</v>
      </c>
      <c r="C1082" s="6" t="s">
        <v>114</v>
      </c>
      <c r="D1082" s="6" t="s">
        <v>178</v>
      </c>
      <c r="E1082" s="10" t="s">
        <v>1280</v>
      </c>
      <c r="F1082" s="6" t="s">
        <v>3524</v>
      </c>
      <c r="G1082" s="6" t="s">
        <v>104</v>
      </c>
      <c r="H1082" s="6" t="s">
        <v>5880</v>
      </c>
      <c r="I1082" s="6" t="s">
        <v>104</v>
      </c>
      <c r="J1082" s="6" t="s">
        <v>104</v>
      </c>
      <c r="K1082" s="6" t="s">
        <v>9714</v>
      </c>
      <c r="L1082" s="16" t="n">
        <v>42719</v>
      </c>
      <c r="M1082" s="16" t="n">
        <v>46081</v>
      </c>
      <c r="N1082" s="6" t="s">
        <v>9714</v>
      </c>
      <c r="O1082" s="16" t="n">
        <v>42719</v>
      </c>
      <c r="P1082" s="6" t="s">
        <v>10022</v>
      </c>
      <c r="Q1082" s="6" t="s">
        <v>104</v>
      </c>
      <c r="R1082" s="6" t="s">
        <v>104</v>
      </c>
      <c r="S1082" s="6" t="s">
        <v>104</v>
      </c>
      <c r="T1082" s="21" t="s">
        <v>104</v>
      </c>
      <c r="U1082" s="6" t="s">
        <v>104</v>
      </c>
      <c r="V1082" s="6" t="s">
        <v>104</v>
      </c>
      <c r="W1082" s="6" t="s">
        <v>104</v>
      </c>
      <c r="X1082" s="6" t="s">
        <v>104</v>
      </c>
      <c r="Y1082" s="21" t="s">
        <v>104</v>
      </c>
      <c r="Z1082" s="6" t="s">
        <v>104</v>
      </c>
      <c r="AA1082" s="6" t="s">
        <v>104</v>
      </c>
      <c r="AB1082" s="6" t="s">
        <v>104</v>
      </c>
      <c r="AC1082" s="6" t="s">
        <v>104</v>
      </c>
      <c r="AD1082" s="21" t="s">
        <v>104</v>
      </c>
      <c r="AE1082" s="6" t="s">
        <v>104</v>
      </c>
      <c r="AF1082" s="6" t="s">
        <v>104</v>
      </c>
      <c r="AG1082" s="6" t="s">
        <v>104</v>
      </c>
      <c r="AH1082" s="6" t="s">
        <v>14143</v>
      </c>
      <c r="AI1082" s="6" t="s">
        <v>104</v>
      </c>
      <c r="AJ1082" s="6" t="s">
        <v>16067</v>
      </c>
      <c r="AK1082" s="6" t="s">
        <v>104</v>
      </c>
      <c r="AL1082" s="6" t="s">
        <v>16766</v>
      </c>
      <c r="AM1082" s="6" t="s">
        <v>104</v>
      </c>
      <c r="AN1082" s="6" t="s">
        <v>104</v>
      </c>
      <c r="AO1082" s="6" t="s">
        <v>104</v>
      </c>
      <c r="AP1082" s="6" t="s">
        <v>14143</v>
      </c>
      <c r="AQ1082" s="6" t="s">
        <v>104</v>
      </c>
      <c r="AR1082" s="6" t="s">
        <v>16067</v>
      </c>
      <c r="AS1082" s="6" t="s">
        <v>104</v>
      </c>
      <c r="AT1082" s="6" t="s">
        <v>16766</v>
      </c>
      <c r="AU1082" s="6" t="s">
        <v>104</v>
      </c>
      <c r="AV1082" s="6" t="s">
        <v>104</v>
      </c>
      <c r="AW1082" s="6" t="s">
        <v>104</v>
      </c>
      <c r="AX1082" s="6" t="s">
        <v>20966</v>
      </c>
      <c r="AY1082" s="6" t="s">
        <v>22752</v>
      </c>
      <c r="AZ1082" s="6" t="s">
        <v>104</v>
      </c>
      <c r="BA1082" s="6" t="s">
        <v>104</v>
      </c>
      <c r="BB1082" s="24" t="n">
        <v>1643</v>
      </c>
      <c r="BC1082" s="26"/>
      <c r="BD1082" s="26"/>
      <c r="BE1082" s="26"/>
      <c r="BF1082" s="26"/>
      <c r="BG1082" s="26"/>
      <c r="BH1082" s="26"/>
      <c r="BI1082" s="26"/>
      <c r="BJ1082" s="26"/>
      <c r="BK1082" s="26"/>
      <c r="BL1082" s="26"/>
      <c r="BM1082" s="26"/>
      <c r="BN1082" s="26"/>
      <c r="BO1082" s="26"/>
      <c r="BP1082" s="16" t="n">
        <v>45656</v>
      </c>
      <c r="BQ1082" s="28" t="str">
        <f>HYPERLINK("https://organic.ams.usda.gov/Integrity/Certificate.aspx?cid=9&amp;nopid=1202565802")</f>
        <v>https://organic.ams.usda.gov/Integrity/Certificate.aspx?cid=9&amp;nopid=1202565802</v>
      </c>
    </row>
    <row r="1083">
      <c r="A1083" t="s">
        <v>3</v>
      </c>
      <c r="B1083" s="6" t="s">
        <v>48</v>
      </c>
      <c r="C1083" s="6" t="s">
        <v>114</v>
      </c>
      <c r="D1083" s="6" t="s">
        <v>178</v>
      </c>
      <c r="E1083" s="10" t="s">
        <v>1281</v>
      </c>
      <c r="F1083" s="6" t="s">
        <v>3525</v>
      </c>
      <c r="G1083" s="6" t="s">
        <v>104</v>
      </c>
      <c r="H1083" s="6" t="s">
        <v>5881</v>
      </c>
      <c r="I1083" s="6" t="s">
        <v>104</v>
      </c>
      <c r="J1083" s="6" t="s">
        <v>104</v>
      </c>
      <c r="K1083" s="6" t="s">
        <v>9714</v>
      </c>
      <c r="L1083" s="16" t="n">
        <v>44851</v>
      </c>
      <c r="M1083" s="16" t="n">
        <v>45930</v>
      </c>
      <c r="N1083" s="6" t="s">
        <v>9714</v>
      </c>
      <c r="O1083" s="16" t="n">
        <v>44851</v>
      </c>
      <c r="P1083" s="6" t="s">
        <v>10023</v>
      </c>
      <c r="Q1083" s="6" t="s">
        <v>104</v>
      </c>
      <c r="R1083" s="6" t="s">
        <v>104</v>
      </c>
      <c r="S1083" s="6" t="s">
        <v>104</v>
      </c>
      <c r="T1083" s="21" t="s">
        <v>104</v>
      </c>
      <c r="U1083" s="6" t="s">
        <v>104</v>
      </c>
      <c r="V1083" s="6" t="s">
        <v>104</v>
      </c>
      <c r="W1083" s="6" t="s">
        <v>104</v>
      </c>
      <c r="X1083" s="6" t="s">
        <v>104</v>
      </c>
      <c r="Y1083" s="21" t="s">
        <v>104</v>
      </c>
      <c r="Z1083" s="6" t="s">
        <v>104</v>
      </c>
      <c r="AA1083" s="6" t="s">
        <v>104</v>
      </c>
      <c r="AB1083" s="6" t="s">
        <v>104</v>
      </c>
      <c r="AC1083" s="6" t="s">
        <v>104</v>
      </c>
      <c r="AD1083" s="21" t="s">
        <v>104</v>
      </c>
      <c r="AE1083" s="6" t="s">
        <v>104</v>
      </c>
      <c r="AF1083" s="6" t="s">
        <v>104</v>
      </c>
      <c r="AG1083" s="6" t="s">
        <v>104</v>
      </c>
      <c r="AH1083" s="6" t="s">
        <v>14144</v>
      </c>
      <c r="AI1083" s="6" t="s">
        <v>104</v>
      </c>
      <c r="AJ1083" s="6" t="s">
        <v>16068</v>
      </c>
      <c r="AK1083" s="6" t="s">
        <v>104</v>
      </c>
      <c r="AL1083" s="6" t="s">
        <v>16766</v>
      </c>
      <c r="AM1083" s="6" t="s">
        <v>17717</v>
      </c>
      <c r="AN1083" s="6" t="s">
        <v>104</v>
      </c>
      <c r="AO1083" s="6" t="s">
        <v>104</v>
      </c>
      <c r="AP1083" s="6" t="s">
        <v>14144</v>
      </c>
      <c r="AQ1083" s="6" t="s">
        <v>104</v>
      </c>
      <c r="AR1083" s="6" t="s">
        <v>16068</v>
      </c>
      <c r="AS1083" s="6" t="s">
        <v>104</v>
      </c>
      <c r="AT1083" s="6" t="s">
        <v>16766</v>
      </c>
      <c r="AU1083" s="6" t="s">
        <v>17717</v>
      </c>
      <c r="AV1083" s="6" t="s">
        <v>104</v>
      </c>
      <c r="AW1083" s="6" t="s">
        <v>104</v>
      </c>
      <c r="AX1083" s="6" t="s">
        <v>20966</v>
      </c>
      <c r="AY1083" s="6" t="s">
        <v>104</v>
      </c>
      <c r="AZ1083" s="6" t="s">
        <v>104</v>
      </c>
      <c r="BA1083" s="6" t="s">
        <v>104</v>
      </c>
      <c r="BB1083" s="24" t="n">
        <v>988</v>
      </c>
      <c r="BC1083" s="26"/>
      <c r="BD1083" s="26"/>
      <c r="BE1083" s="26"/>
      <c r="BF1083" s="26"/>
      <c r="BG1083" s="26"/>
      <c r="BH1083" s="26"/>
      <c r="BI1083" s="26"/>
      <c r="BJ1083" s="26"/>
      <c r="BK1083" s="26"/>
      <c r="BL1083" s="26"/>
      <c r="BM1083" s="26"/>
      <c r="BN1083" s="26"/>
      <c r="BO1083" s="26"/>
      <c r="BP1083" s="16" t="n">
        <v>45656</v>
      </c>
      <c r="BQ1083" s="28" t="str">
        <f>HYPERLINK("https://organic.ams.usda.gov/Integrity/Certificate.aspx?cid=9&amp;nopid=1202565801")</f>
        <v>https://organic.ams.usda.gov/Integrity/Certificate.aspx?cid=9&amp;nopid=1202565801</v>
      </c>
    </row>
    <row r="1084">
      <c r="A1084" t="s">
        <v>3</v>
      </c>
      <c r="B1084" s="6" t="s">
        <v>11</v>
      </c>
      <c r="C1084" s="6" t="s">
        <v>77</v>
      </c>
      <c r="D1084" s="6" t="s">
        <v>142</v>
      </c>
      <c r="E1084" s="10" t="s">
        <v>1282</v>
      </c>
      <c r="F1084" s="6" t="s">
        <v>3526</v>
      </c>
      <c r="G1084" s="6" t="s">
        <v>104</v>
      </c>
      <c r="H1084" s="6" t="s">
        <v>104</v>
      </c>
      <c r="I1084" s="6" t="s">
        <v>7363</v>
      </c>
      <c r="J1084" s="6" t="s">
        <v>8642</v>
      </c>
      <c r="K1084" s="6" t="s">
        <v>9714</v>
      </c>
      <c r="L1084" s="16" t="n">
        <v>44915</v>
      </c>
      <c r="M1084" s="16" t="n">
        <v>45934</v>
      </c>
      <c r="N1084" s="6" t="s">
        <v>9714</v>
      </c>
      <c r="O1084" s="16" t="n">
        <v>44915</v>
      </c>
      <c r="P1084" s="6" t="s">
        <v>9962</v>
      </c>
      <c r="Q1084" s="6" t="s">
        <v>104</v>
      </c>
      <c r="R1084" s="6" t="s">
        <v>104</v>
      </c>
      <c r="S1084" s="6" t="s">
        <v>104</v>
      </c>
      <c r="T1084" s="21" t="s">
        <v>104</v>
      </c>
      <c r="U1084" s="6" t="s">
        <v>104</v>
      </c>
      <c r="V1084" s="6" t="s">
        <v>104</v>
      </c>
      <c r="W1084" s="6" t="s">
        <v>104</v>
      </c>
      <c r="X1084" s="6" t="s">
        <v>104</v>
      </c>
      <c r="Y1084" s="21" t="s">
        <v>104</v>
      </c>
      <c r="Z1084" s="6" t="s">
        <v>104</v>
      </c>
      <c r="AA1084" s="6" t="s">
        <v>104</v>
      </c>
      <c r="AB1084" s="6" t="s">
        <v>104</v>
      </c>
      <c r="AC1084" s="6" t="s">
        <v>9714</v>
      </c>
      <c r="AD1084" s="16" t="n">
        <v>44915</v>
      </c>
      <c r="AE1084" s="6" t="s">
        <v>11320</v>
      </c>
      <c r="AF1084" s="6" t="s">
        <v>104</v>
      </c>
      <c r="AG1084" s="6" t="s">
        <v>104</v>
      </c>
      <c r="AH1084" s="6" t="s">
        <v>14145</v>
      </c>
      <c r="AI1084" s="6" t="s">
        <v>104</v>
      </c>
      <c r="AJ1084" s="6" t="s">
        <v>15799</v>
      </c>
      <c r="AK1084" s="6" t="s">
        <v>16795</v>
      </c>
      <c r="AL1084" s="6" t="s">
        <v>16966</v>
      </c>
      <c r="AM1084" s="6" t="s">
        <v>17718</v>
      </c>
      <c r="AN1084" s="6" t="s">
        <v>104</v>
      </c>
      <c r="AO1084" s="6" t="s">
        <v>104</v>
      </c>
      <c r="AP1084" s="6" t="s">
        <v>104</v>
      </c>
      <c r="AQ1084" s="6" t="s">
        <v>104</v>
      </c>
      <c r="AR1084" s="6" t="s">
        <v>104</v>
      </c>
      <c r="AS1084" s="6" t="s">
        <v>104</v>
      </c>
      <c r="AT1084" s="6" t="s">
        <v>104</v>
      </c>
      <c r="AU1084" s="6" t="s">
        <v>104</v>
      </c>
      <c r="AV1084" s="6" t="s">
        <v>104</v>
      </c>
      <c r="AW1084" s="6" t="s">
        <v>104</v>
      </c>
      <c r="AX1084" s="6" t="s">
        <v>20630</v>
      </c>
      <c r="AY1084" s="6" t="s">
        <v>22404</v>
      </c>
      <c r="AZ1084" s="6" t="s">
        <v>104</v>
      </c>
      <c r="BA1084" s="6" t="s">
        <v>24360</v>
      </c>
      <c r="BB1084" s="24" t="n">
        <v>13</v>
      </c>
      <c r="BC1084" s="26"/>
      <c r="BD1084" s="26"/>
      <c r="BE1084" s="26"/>
      <c r="BF1084" s="26"/>
      <c r="BG1084" s="26"/>
      <c r="BH1084" s="26"/>
      <c r="BI1084" s="26"/>
      <c r="BJ1084" s="26"/>
      <c r="BK1084" s="26"/>
      <c r="BL1084" s="26"/>
      <c r="BM1084" s="26"/>
      <c r="BN1084" s="26"/>
      <c r="BO1084" s="26"/>
      <c r="BP1084" s="16" t="n">
        <v>45645</v>
      </c>
      <c r="BQ1084" s="28" t="str">
        <f>HYPERLINK("https://organic.ams.usda.gov/Integrity/Certificate.aspx?cid=21&amp;nopid=1780891245")</f>
        <v>https://organic.ams.usda.gov/Integrity/Certificate.aspx?cid=21&amp;nopid=1780891245</v>
      </c>
    </row>
    <row r="1085">
      <c r="A1085" t="s">
        <v>3</v>
      </c>
      <c r="B1085" s="6" t="s">
        <v>29</v>
      </c>
      <c r="C1085" s="6" t="s">
        <v>95</v>
      </c>
      <c r="D1085" s="6" t="s">
        <v>160</v>
      </c>
      <c r="E1085" s="10" t="s">
        <v>1283</v>
      </c>
      <c r="F1085" s="6" t="s">
        <v>3527</v>
      </c>
      <c r="G1085" s="6" t="s">
        <v>104</v>
      </c>
      <c r="H1085" s="6" t="s">
        <v>5882</v>
      </c>
      <c r="I1085" s="6" t="s">
        <v>104</v>
      </c>
      <c r="J1085" s="6" t="s">
        <v>8951</v>
      </c>
      <c r="K1085" s="6" t="s">
        <v>9714</v>
      </c>
      <c r="L1085" s="16" t="n">
        <v>45266</v>
      </c>
      <c r="M1085" s="16" t="n">
        <v>45870</v>
      </c>
      <c r="N1085" s="6" t="s">
        <v>104</v>
      </c>
      <c r="O1085" s="21" t="s">
        <v>104</v>
      </c>
      <c r="P1085" s="6" t="s">
        <v>104</v>
      </c>
      <c r="Q1085" s="6" t="s">
        <v>104</v>
      </c>
      <c r="R1085" s="6" t="s">
        <v>104</v>
      </c>
      <c r="S1085" s="6" t="s">
        <v>104</v>
      </c>
      <c r="T1085" s="21" t="s">
        <v>104</v>
      </c>
      <c r="U1085" s="6" t="s">
        <v>104</v>
      </c>
      <c r="V1085" s="6" t="s">
        <v>104</v>
      </c>
      <c r="W1085" s="6" t="s">
        <v>104</v>
      </c>
      <c r="X1085" s="6" t="s">
        <v>104</v>
      </c>
      <c r="Y1085" s="21" t="s">
        <v>104</v>
      </c>
      <c r="Z1085" s="6" t="s">
        <v>104</v>
      </c>
      <c r="AA1085" s="6" t="s">
        <v>104</v>
      </c>
      <c r="AB1085" s="6" t="s">
        <v>104</v>
      </c>
      <c r="AC1085" s="6" t="s">
        <v>9714</v>
      </c>
      <c r="AD1085" s="16" t="n">
        <v>45266</v>
      </c>
      <c r="AE1085" s="6" t="s">
        <v>11479</v>
      </c>
      <c r="AF1085" s="6" t="s">
        <v>104</v>
      </c>
      <c r="AG1085" s="6" t="s">
        <v>104</v>
      </c>
      <c r="AH1085" s="6" t="s">
        <v>14146</v>
      </c>
      <c r="AI1085" s="6" t="s">
        <v>104</v>
      </c>
      <c r="AJ1085" s="6" t="s">
        <v>104</v>
      </c>
      <c r="AK1085" s="6" t="s">
        <v>16699</v>
      </c>
      <c r="AL1085" s="6" t="s">
        <v>16932</v>
      </c>
      <c r="AM1085" s="6" t="s">
        <v>17719</v>
      </c>
      <c r="AN1085" s="6" t="s">
        <v>104</v>
      </c>
      <c r="AO1085" s="6" t="s">
        <v>104</v>
      </c>
      <c r="AP1085" s="6" t="s">
        <v>104</v>
      </c>
      <c r="AQ1085" s="6" t="s">
        <v>104</v>
      </c>
      <c r="AR1085" s="6" t="s">
        <v>104</v>
      </c>
      <c r="AS1085" s="6" t="s">
        <v>104</v>
      </c>
      <c r="AT1085" s="6" t="s">
        <v>104</v>
      </c>
      <c r="AU1085" s="6" t="s">
        <v>104</v>
      </c>
      <c r="AV1085" s="6" t="s">
        <v>104</v>
      </c>
      <c r="AW1085" s="6" t="s">
        <v>104</v>
      </c>
      <c r="AX1085" s="6" t="s">
        <v>20967</v>
      </c>
      <c r="AY1085" s="6" t="s">
        <v>22753</v>
      </c>
      <c r="AZ1085" s="6" t="s">
        <v>104</v>
      </c>
      <c r="BA1085" s="6" t="s">
        <v>24269</v>
      </c>
      <c r="BB1085" s="24" t="n">
        <v>0</v>
      </c>
      <c r="BC1085" s="26"/>
      <c r="BD1085" s="26"/>
      <c r="BE1085" s="26"/>
      <c r="BF1085" s="26"/>
      <c r="BG1085" s="26"/>
      <c r="BH1085" s="26"/>
      <c r="BI1085" s="26"/>
      <c r="BJ1085" s="26"/>
      <c r="BK1085" s="26"/>
      <c r="BL1085" s="26"/>
      <c r="BM1085" s="26"/>
      <c r="BN1085" s="26"/>
      <c r="BO1085" s="26"/>
      <c r="BP1085" s="16" t="n">
        <v>45680</v>
      </c>
      <c r="BQ1085" s="28" t="str">
        <f>HYPERLINK("https://organic.ams.usda.gov/Integrity/Certificate.aspx?cid=24&amp;nopid=7880284651")</f>
        <v>https://organic.ams.usda.gov/Integrity/Certificate.aspx?cid=24&amp;nopid=7880284651</v>
      </c>
    </row>
    <row r="1086">
      <c r="A1086" t="s">
        <v>3</v>
      </c>
      <c r="B1086" s="6" t="s">
        <v>21</v>
      </c>
      <c r="C1086" s="6" t="s">
        <v>87</v>
      </c>
      <c r="D1086" s="6" t="s">
        <v>152</v>
      </c>
      <c r="E1086" s="10" t="s">
        <v>1284</v>
      </c>
      <c r="F1086" s="6" t="s">
        <v>3528</v>
      </c>
      <c r="G1086" s="6" t="s">
        <v>4774</v>
      </c>
      <c r="H1086" s="6" t="s">
        <v>5883</v>
      </c>
      <c r="I1086" s="6" t="s">
        <v>7590</v>
      </c>
      <c r="J1086" s="6" t="s">
        <v>8952</v>
      </c>
      <c r="K1086" s="6" t="s">
        <v>9714</v>
      </c>
      <c r="L1086" s="16" t="n">
        <v>38182</v>
      </c>
      <c r="M1086" s="16" t="n">
        <v>46023</v>
      </c>
      <c r="N1086" s="6" t="s">
        <v>9714</v>
      </c>
      <c r="O1086" s="16" t="n">
        <v>38182</v>
      </c>
      <c r="P1086" s="6" t="s">
        <v>10024</v>
      </c>
      <c r="Q1086" s="6" t="s">
        <v>104</v>
      </c>
      <c r="R1086" s="6" t="s">
        <v>104</v>
      </c>
      <c r="S1086" s="6" t="s">
        <v>104</v>
      </c>
      <c r="T1086" s="21" t="s">
        <v>104</v>
      </c>
      <c r="U1086" s="6" t="s">
        <v>104</v>
      </c>
      <c r="V1086" s="6" t="s">
        <v>104</v>
      </c>
      <c r="W1086" s="6" t="s">
        <v>104</v>
      </c>
      <c r="X1086" s="6" t="s">
        <v>104</v>
      </c>
      <c r="Y1086" s="21" t="s">
        <v>104</v>
      </c>
      <c r="Z1086" s="6" t="s">
        <v>104</v>
      </c>
      <c r="AA1086" s="6" t="s">
        <v>104</v>
      </c>
      <c r="AB1086" s="6" t="s">
        <v>104</v>
      </c>
      <c r="AC1086" s="6" t="s">
        <v>104</v>
      </c>
      <c r="AD1086" s="21" t="s">
        <v>104</v>
      </c>
      <c r="AE1086" s="6" t="s">
        <v>104</v>
      </c>
      <c r="AF1086" s="6" t="s">
        <v>104</v>
      </c>
      <c r="AG1086" s="6" t="s">
        <v>104</v>
      </c>
      <c r="AH1086" s="6" t="s">
        <v>14147</v>
      </c>
      <c r="AI1086" s="6" t="s">
        <v>104</v>
      </c>
      <c r="AJ1086" s="6" t="s">
        <v>16069</v>
      </c>
      <c r="AK1086" s="6" t="s">
        <v>16687</v>
      </c>
      <c r="AL1086" s="6" t="s">
        <v>16931</v>
      </c>
      <c r="AM1086" s="6" t="s">
        <v>17720</v>
      </c>
      <c r="AN1086" s="6" t="s">
        <v>18469</v>
      </c>
      <c r="AO1086" s="6" t="s">
        <v>18677</v>
      </c>
      <c r="AP1086" s="6" t="s">
        <v>19220</v>
      </c>
      <c r="AQ1086" s="6" t="s">
        <v>104</v>
      </c>
      <c r="AR1086" s="6" t="s">
        <v>16396</v>
      </c>
      <c r="AS1086" s="6" t="s">
        <v>16687</v>
      </c>
      <c r="AT1086" s="6" t="s">
        <v>16931</v>
      </c>
      <c r="AU1086" s="6" t="s">
        <v>18098</v>
      </c>
      <c r="AV1086" s="6" t="s">
        <v>104</v>
      </c>
      <c r="AW1086" s="6" t="s">
        <v>104</v>
      </c>
      <c r="AX1086" s="6" t="s">
        <v>20968</v>
      </c>
      <c r="AY1086" s="6" t="s">
        <v>22754</v>
      </c>
      <c r="AZ1086" s="6" t="s">
        <v>23969</v>
      </c>
      <c r="BA1086" s="6" t="s">
        <v>24408</v>
      </c>
      <c r="BB1086" s="24" t="n">
        <v>1410</v>
      </c>
      <c r="BC1086" s="26"/>
      <c r="BD1086" s="26"/>
      <c r="BE1086" s="26"/>
      <c r="BF1086" s="26"/>
      <c r="BG1086" s="26"/>
      <c r="BH1086" s="26"/>
      <c r="BI1086" s="26"/>
      <c r="BJ1086" s="26"/>
      <c r="BK1086" s="26"/>
      <c r="BL1086" s="26"/>
      <c r="BM1086" s="26"/>
      <c r="BN1086" s="26"/>
      <c r="BO1086" s="26"/>
      <c r="BP1086" s="16" t="n">
        <v>45667</v>
      </c>
      <c r="BQ1086" s="28" t="str">
        <f>HYPERLINK("https://organic.ams.usda.gov/Integrity/Certificate.aspx?cid=15&amp;nopid=5561000351")</f>
        <v>https://organic.ams.usda.gov/Integrity/Certificate.aspx?cid=15&amp;nopid=5561000351</v>
      </c>
    </row>
    <row r="1087">
      <c r="A1087" t="s">
        <v>3</v>
      </c>
      <c r="B1087" s="6" t="s">
        <v>52</v>
      </c>
      <c r="C1087" s="6" t="s">
        <v>118</v>
      </c>
      <c r="D1087" s="6" t="s">
        <v>182</v>
      </c>
      <c r="E1087" s="10" t="s">
        <v>1285</v>
      </c>
      <c r="F1087" s="6" t="s">
        <v>3529</v>
      </c>
      <c r="G1087" s="6" t="s">
        <v>104</v>
      </c>
      <c r="H1087" s="6" t="s">
        <v>5884</v>
      </c>
      <c r="I1087" s="6" t="s">
        <v>7056</v>
      </c>
      <c r="J1087" s="6" t="s">
        <v>8953</v>
      </c>
      <c r="K1087" s="6" t="s">
        <v>9714</v>
      </c>
      <c r="L1087" s="16" t="n">
        <v>41687</v>
      </c>
      <c r="M1087" s="16" t="n">
        <v>46068</v>
      </c>
      <c r="N1087" s="6" t="s">
        <v>104</v>
      </c>
      <c r="O1087" s="21" t="s">
        <v>104</v>
      </c>
      <c r="P1087" s="6" t="s">
        <v>104</v>
      </c>
      <c r="Q1087" s="6" t="s">
        <v>104</v>
      </c>
      <c r="R1087" s="6" t="s">
        <v>104</v>
      </c>
      <c r="S1087" s="6" t="s">
        <v>104</v>
      </c>
      <c r="T1087" s="21" t="s">
        <v>104</v>
      </c>
      <c r="U1087" s="6" t="s">
        <v>104</v>
      </c>
      <c r="V1087" s="6" t="s">
        <v>104</v>
      </c>
      <c r="W1087" s="6" t="s">
        <v>104</v>
      </c>
      <c r="X1087" s="6" t="s">
        <v>104</v>
      </c>
      <c r="Y1087" s="21" t="s">
        <v>104</v>
      </c>
      <c r="Z1087" s="6" t="s">
        <v>104</v>
      </c>
      <c r="AA1087" s="6" t="s">
        <v>104</v>
      </c>
      <c r="AB1087" s="6" t="s">
        <v>104</v>
      </c>
      <c r="AC1087" s="6" t="s">
        <v>9714</v>
      </c>
      <c r="AD1087" s="16" t="n">
        <v>41687</v>
      </c>
      <c r="AE1087" s="6" t="s">
        <v>11480</v>
      </c>
      <c r="AF1087" s="6" t="s">
        <v>104</v>
      </c>
      <c r="AG1087" s="6" t="s">
        <v>5884</v>
      </c>
      <c r="AH1087" s="6" t="s">
        <v>14148</v>
      </c>
      <c r="AI1087" s="6" t="s">
        <v>104</v>
      </c>
      <c r="AJ1087" s="6" t="s">
        <v>16070</v>
      </c>
      <c r="AK1087" s="6" t="s">
        <v>16681</v>
      </c>
      <c r="AL1087" s="6" t="s">
        <v>16931</v>
      </c>
      <c r="AM1087" s="6" t="s">
        <v>17721</v>
      </c>
      <c r="AN1087" s="6" t="s">
        <v>5759</v>
      </c>
      <c r="AO1087" s="6" t="s">
        <v>18782</v>
      </c>
      <c r="AP1087" s="6" t="s">
        <v>14148</v>
      </c>
      <c r="AQ1087" s="6" t="s">
        <v>104</v>
      </c>
      <c r="AR1087" s="6" t="s">
        <v>16070</v>
      </c>
      <c r="AS1087" s="6" t="s">
        <v>16681</v>
      </c>
      <c r="AT1087" s="6" t="s">
        <v>16931</v>
      </c>
      <c r="AU1087" s="6" t="s">
        <v>17721</v>
      </c>
      <c r="AV1087" s="6" t="s">
        <v>104</v>
      </c>
      <c r="AW1087" s="6" t="s">
        <v>104</v>
      </c>
      <c r="AX1087" s="6" t="s">
        <v>20969</v>
      </c>
      <c r="AY1087" s="6" t="s">
        <v>104</v>
      </c>
      <c r="AZ1087" s="6" t="s">
        <v>104</v>
      </c>
      <c r="BA1087" s="6" t="s">
        <v>104</v>
      </c>
      <c r="BB1087" s="6" t="s">
        <v>104</v>
      </c>
      <c r="BC1087" s="26"/>
      <c r="BD1087" s="26"/>
      <c r="BE1087" s="26"/>
      <c r="BF1087" s="26"/>
      <c r="BG1087" s="26"/>
      <c r="BH1087" s="26"/>
      <c r="BI1087" s="26"/>
      <c r="BJ1087" s="26"/>
      <c r="BK1087" s="26"/>
      <c r="BL1087" s="26"/>
      <c r="BM1087" s="26"/>
      <c r="BN1087" s="26"/>
      <c r="BO1087" s="26"/>
      <c r="BP1087" s="16" t="n">
        <v>45728</v>
      </c>
      <c r="BQ1087" s="28" t="str">
        <f>HYPERLINK("https://organic.ams.usda.gov/Integrity/Certificate.aspx?cid=36&amp;nopid=5407536041")</f>
        <v>https://organic.ams.usda.gov/Integrity/Certificate.aspx?cid=36&amp;nopid=5407536041</v>
      </c>
    </row>
    <row r="1088">
      <c r="A1088" t="s">
        <v>3</v>
      </c>
      <c r="B1088" s="6" t="s">
        <v>54</v>
      </c>
      <c r="C1088" s="6" t="s">
        <v>120</v>
      </c>
      <c r="D1088" s="6" t="s">
        <v>184</v>
      </c>
      <c r="E1088" s="10" t="s">
        <v>1286</v>
      </c>
      <c r="F1088" s="6" t="s">
        <v>3530</v>
      </c>
      <c r="G1088" s="6" t="s">
        <v>104</v>
      </c>
      <c r="H1088" s="6" t="s">
        <v>5885</v>
      </c>
      <c r="I1088" s="6" t="s">
        <v>7056</v>
      </c>
      <c r="J1088" s="6" t="s">
        <v>8954</v>
      </c>
      <c r="K1088" s="6" t="s">
        <v>9714</v>
      </c>
      <c r="L1088" s="16" t="n">
        <v>44131</v>
      </c>
      <c r="M1088" s="16" t="n">
        <v>45717</v>
      </c>
      <c r="N1088" s="6" t="s">
        <v>9714</v>
      </c>
      <c r="O1088" s="16" t="n">
        <v>44131</v>
      </c>
      <c r="P1088" s="6" t="s">
        <v>9937</v>
      </c>
      <c r="Q1088" s="6" t="s">
        <v>104</v>
      </c>
      <c r="R1088" s="6" t="s">
        <v>104</v>
      </c>
      <c r="S1088" s="6" t="s">
        <v>104</v>
      </c>
      <c r="T1088" s="21" t="s">
        <v>104</v>
      </c>
      <c r="U1088" s="6" t="s">
        <v>104</v>
      </c>
      <c r="V1088" s="6" t="s">
        <v>104</v>
      </c>
      <c r="W1088" s="6" t="s">
        <v>104</v>
      </c>
      <c r="X1088" s="6" t="s">
        <v>104</v>
      </c>
      <c r="Y1088" s="21" t="s">
        <v>104</v>
      </c>
      <c r="Z1088" s="6" t="s">
        <v>104</v>
      </c>
      <c r="AA1088" s="6" t="s">
        <v>104</v>
      </c>
      <c r="AB1088" s="6" t="s">
        <v>104</v>
      </c>
      <c r="AC1088" s="6" t="s">
        <v>104</v>
      </c>
      <c r="AD1088" s="21" t="s">
        <v>104</v>
      </c>
      <c r="AE1088" s="6" t="s">
        <v>104</v>
      </c>
      <c r="AF1088" s="6" t="s">
        <v>104</v>
      </c>
      <c r="AG1088" s="6" t="s">
        <v>104</v>
      </c>
      <c r="AH1088" s="6" t="s">
        <v>14149</v>
      </c>
      <c r="AI1088" s="6" t="s">
        <v>104</v>
      </c>
      <c r="AJ1088" s="6" t="s">
        <v>16071</v>
      </c>
      <c r="AK1088" s="6" t="s">
        <v>16743</v>
      </c>
      <c r="AL1088" s="6" t="s">
        <v>16931</v>
      </c>
      <c r="AM1088" s="6" t="s">
        <v>17722</v>
      </c>
      <c r="AN1088" s="6" t="s">
        <v>18539</v>
      </c>
      <c r="AO1088" s="6" t="s">
        <v>18783</v>
      </c>
      <c r="AP1088" s="6" t="s">
        <v>104</v>
      </c>
      <c r="AQ1088" s="6" t="s">
        <v>104</v>
      </c>
      <c r="AR1088" s="6" t="s">
        <v>104</v>
      </c>
      <c r="AS1088" s="6" t="s">
        <v>104</v>
      </c>
      <c r="AT1088" s="6" t="s">
        <v>104</v>
      </c>
      <c r="AU1088" s="6" t="s">
        <v>104</v>
      </c>
      <c r="AV1088" s="6" t="s">
        <v>104</v>
      </c>
      <c r="AW1088" s="6" t="s">
        <v>104</v>
      </c>
      <c r="AX1088" s="6" t="s">
        <v>104</v>
      </c>
      <c r="AY1088" s="6" t="s">
        <v>22755</v>
      </c>
      <c r="AZ1088" s="6" t="s">
        <v>104</v>
      </c>
      <c r="BA1088" s="6" t="s">
        <v>24323</v>
      </c>
      <c r="BB1088" s="24" t="n">
        <v>201</v>
      </c>
      <c r="BC1088" s="26"/>
      <c r="BD1088" s="26"/>
      <c r="BE1088" s="26"/>
      <c r="BF1088" s="26"/>
      <c r="BG1088" s="26"/>
      <c r="BH1088" s="26"/>
      <c r="BI1088" s="26"/>
      <c r="BJ1088" s="26"/>
      <c r="BK1088" s="26"/>
      <c r="BL1088" s="26"/>
      <c r="BM1088" s="26"/>
      <c r="BN1088" s="26"/>
      <c r="BO1088" s="26"/>
      <c r="BP1088" s="16" t="n">
        <v>45539</v>
      </c>
      <c r="BQ1088" s="28" t="str">
        <f>HYPERLINK("https://organic.ams.usda.gov/Integrity/Certificate.aspx?cid=60&amp;nopid=2580003806")</f>
        <v>https://organic.ams.usda.gov/Integrity/Certificate.aspx?cid=60&amp;nopid=2580003806</v>
      </c>
    </row>
    <row r="1089">
      <c r="A1089" t="s">
        <v>3</v>
      </c>
      <c r="B1089" s="6" t="s">
        <v>34</v>
      </c>
      <c r="C1089" s="6" t="s">
        <v>100</v>
      </c>
      <c r="D1089" s="6" t="s">
        <v>165</v>
      </c>
      <c r="E1089" s="10" t="s">
        <v>1287</v>
      </c>
      <c r="F1089" s="6" t="s">
        <v>3531</v>
      </c>
      <c r="G1089" s="6" t="s">
        <v>104</v>
      </c>
      <c r="H1089" s="6" t="s">
        <v>5886</v>
      </c>
      <c r="I1089" s="6" t="s">
        <v>7041</v>
      </c>
      <c r="J1089" s="6" t="s">
        <v>8955</v>
      </c>
      <c r="K1089" s="6" t="s">
        <v>9714</v>
      </c>
      <c r="L1089" s="16" t="n">
        <v>45373</v>
      </c>
      <c r="M1089" s="16" t="n">
        <v>45628</v>
      </c>
      <c r="N1089" s="6" t="s">
        <v>104</v>
      </c>
      <c r="O1089" s="21" t="s">
        <v>104</v>
      </c>
      <c r="P1089" s="6" t="s">
        <v>104</v>
      </c>
      <c r="Q1089" s="6" t="s">
        <v>104</v>
      </c>
      <c r="R1089" s="6" t="s">
        <v>104</v>
      </c>
      <c r="S1089" s="6" t="s">
        <v>104</v>
      </c>
      <c r="T1089" s="21" t="s">
        <v>104</v>
      </c>
      <c r="U1089" s="6" t="s">
        <v>104</v>
      </c>
      <c r="V1089" s="6" t="s">
        <v>104</v>
      </c>
      <c r="W1089" s="6" t="s">
        <v>104</v>
      </c>
      <c r="X1089" s="6" t="s">
        <v>104</v>
      </c>
      <c r="Y1089" s="21" t="s">
        <v>104</v>
      </c>
      <c r="Z1089" s="6" t="s">
        <v>104</v>
      </c>
      <c r="AA1089" s="6" t="s">
        <v>104</v>
      </c>
      <c r="AB1089" s="6" t="s">
        <v>104</v>
      </c>
      <c r="AC1089" s="6" t="s">
        <v>9714</v>
      </c>
      <c r="AD1089" s="16" t="n">
        <v>45373</v>
      </c>
      <c r="AE1089" s="6" t="s">
        <v>11481</v>
      </c>
      <c r="AF1089" s="6" t="s">
        <v>104</v>
      </c>
      <c r="AG1089" s="6" t="s">
        <v>12831</v>
      </c>
      <c r="AH1089" s="6" t="s">
        <v>14150</v>
      </c>
      <c r="AI1089" s="6" t="s">
        <v>104</v>
      </c>
      <c r="AJ1089" s="6" t="s">
        <v>16072</v>
      </c>
      <c r="AK1089" s="6" t="s">
        <v>16683</v>
      </c>
      <c r="AL1089" s="6" t="s">
        <v>16931</v>
      </c>
      <c r="AM1089" s="6" t="s">
        <v>17723</v>
      </c>
      <c r="AN1089" s="6" t="s">
        <v>104</v>
      </c>
      <c r="AO1089" s="6" t="s">
        <v>104</v>
      </c>
      <c r="AP1089" s="6" t="s">
        <v>19221</v>
      </c>
      <c r="AQ1089" s="6" t="s">
        <v>104</v>
      </c>
      <c r="AR1089" s="6" t="s">
        <v>16507</v>
      </c>
      <c r="AS1089" s="6" t="s">
        <v>16710</v>
      </c>
      <c r="AT1089" s="6" t="s">
        <v>16931</v>
      </c>
      <c r="AU1089" s="6" t="s">
        <v>19937</v>
      </c>
      <c r="AV1089" s="6" t="s">
        <v>104</v>
      </c>
      <c r="AW1089" s="6" t="s">
        <v>104</v>
      </c>
      <c r="AX1089" s="6" t="s">
        <v>20970</v>
      </c>
      <c r="AY1089" s="6" t="s">
        <v>22756</v>
      </c>
      <c r="AZ1089" s="6" t="s">
        <v>104</v>
      </c>
      <c r="BA1089" s="6" t="s">
        <v>104</v>
      </c>
      <c r="BB1089" s="6" t="s">
        <v>104</v>
      </c>
      <c r="BC1089" s="26"/>
      <c r="BD1089" s="26"/>
      <c r="BE1089" s="26"/>
      <c r="BF1089" s="26"/>
      <c r="BG1089" s="26"/>
      <c r="BH1089" s="26"/>
      <c r="BI1089" s="26"/>
      <c r="BJ1089" s="26"/>
      <c r="BK1089" s="26"/>
      <c r="BL1089" s="26"/>
      <c r="BM1089" s="26"/>
      <c r="BN1089" s="26"/>
      <c r="BO1089" s="26"/>
      <c r="BP1089" s="16" t="n">
        <v>45737</v>
      </c>
      <c r="BQ1089" s="28" t="str">
        <f>HYPERLINK("https://organic.ams.usda.gov/Integrity/Certificate.aspx?cid=71&amp;nopid=5520806742")</f>
        <v>https://organic.ams.usda.gov/Integrity/Certificate.aspx?cid=71&amp;nopid=5520806742</v>
      </c>
    </row>
    <row r="1090">
      <c r="A1090" t="s">
        <v>3</v>
      </c>
      <c r="B1090" s="6" t="s">
        <v>18</v>
      </c>
      <c r="C1090" s="6" t="s">
        <v>84</v>
      </c>
      <c r="D1090" s="6" t="s">
        <v>149</v>
      </c>
      <c r="E1090" s="10" t="s">
        <v>1288</v>
      </c>
      <c r="F1090" s="6" t="s">
        <v>3532</v>
      </c>
      <c r="G1090" s="6" t="s">
        <v>104</v>
      </c>
      <c r="H1090" s="6" t="s">
        <v>5887</v>
      </c>
      <c r="I1090" s="6" t="s">
        <v>7591</v>
      </c>
      <c r="J1090" s="6" t="s">
        <v>8689</v>
      </c>
      <c r="K1090" s="6" t="s">
        <v>9714</v>
      </c>
      <c r="L1090" s="16" t="n">
        <v>45089</v>
      </c>
      <c r="M1090" s="16" t="n">
        <v>45870</v>
      </c>
      <c r="N1090" s="6" t="s">
        <v>9714</v>
      </c>
      <c r="O1090" s="16" t="n">
        <v>45089</v>
      </c>
      <c r="P1090" s="6" t="s">
        <v>10025</v>
      </c>
      <c r="Q1090" s="6" t="s">
        <v>104</v>
      </c>
      <c r="R1090" s="6" t="s">
        <v>10376</v>
      </c>
      <c r="S1090" s="6" t="s">
        <v>104</v>
      </c>
      <c r="T1090" s="21" t="s">
        <v>104</v>
      </c>
      <c r="U1090" s="6" t="s">
        <v>104</v>
      </c>
      <c r="V1090" s="6" t="s">
        <v>104</v>
      </c>
      <c r="W1090" s="6" t="s">
        <v>104</v>
      </c>
      <c r="X1090" s="6" t="s">
        <v>104</v>
      </c>
      <c r="Y1090" s="21" t="s">
        <v>104</v>
      </c>
      <c r="Z1090" s="6" t="s">
        <v>104</v>
      </c>
      <c r="AA1090" s="6" t="s">
        <v>104</v>
      </c>
      <c r="AB1090" s="6" t="s">
        <v>104</v>
      </c>
      <c r="AC1090" s="6" t="s">
        <v>9714</v>
      </c>
      <c r="AD1090" s="16" t="n">
        <v>45089</v>
      </c>
      <c r="AE1090" s="6" t="s">
        <v>11482</v>
      </c>
      <c r="AF1090" s="6" t="s">
        <v>104</v>
      </c>
      <c r="AG1090" s="6" t="s">
        <v>12832</v>
      </c>
      <c r="AH1090" s="6" t="s">
        <v>14151</v>
      </c>
      <c r="AI1090" s="6" t="s">
        <v>104</v>
      </c>
      <c r="AJ1090" s="6" t="s">
        <v>16073</v>
      </c>
      <c r="AK1090" s="6" t="s">
        <v>16686</v>
      </c>
      <c r="AL1090" s="6" t="s">
        <v>16931</v>
      </c>
      <c r="AM1090" s="6" t="s">
        <v>17724</v>
      </c>
      <c r="AN1090" s="6" t="s">
        <v>18509</v>
      </c>
      <c r="AO1090" s="6" t="s">
        <v>18779</v>
      </c>
      <c r="AP1090" s="6" t="s">
        <v>19222</v>
      </c>
      <c r="AQ1090" s="6" t="s">
        <v>104</v>
      </c>
      <c r="AR1090" s="6" t="s">
        <v>16073</v>
      </c>
      <c r="AS1090" s="6" t="s">
        <v>16686</v>
      </c>
      <c r="AT1090" s="6" t="s">
        <v>16931</v>
      </c>
      <c r="AU1090" s="6" t="s">
        <v>17724</v>
      </c>
      <c r="AV1090" s="6" t="s">
        <v>104</v>
      </c>
      <c r="AW1090" s="6" t="s">
        <v>104</v>
      </c>
      <c r="AX1090" s="6" t="s">
        <v>20971</v>
      </c>
      <c r="AY1090" s="6" t="s">
        <v>104</v>
      </c>
      <c r="AZ1090" s="6" t="s">
        <v>104</v>
      </c>
      <c r="BA1090" s="6" t="s">
        <v>104</v>
      </c>
      <c r="BB1090" s="24" t="n">
        <v>31</v>
      </c>
      <c r="BC1090" s="26"/>
      <c r="BD1090" s="26"/>
      <c r="BE1090" s="26"/>
      <c r="BF1090" s="26"/>
      <c r="BG1090" s="26"/>
      <c r="BH1090" s="26"/>
      <c r="BI1090" s="26"/>
      <c r="BJ1090" s="26"/>
      <c r="BK1090" s="26"/>
      <c r="BL1090" s="26"/>
      <c r="BM1090" s="26"/>
      <c r="BN1090" s="26"/>
      <c r="BO1090" s="26"/>
      <c r="BP1090" s="16" t="n">
        <v>45737</v>
      </c>
      <c r="BQ1090" s="28" t="str">
        <f>HYPERLINK("https://organic.ams.usda.gov/Integrity/Certificate.aspx?cid=31&amp;nopid=3928972348")</f>
        <v>https://organic.ams.usda.gov/Integrity/Certificate.aspx?cid=31&amp;nopid=3928972348</v>
      </c>
    </row>
    <row r="1091">
      <c r="A1091" t="s">
        <v>3</v>
      </c>
      <c r="B1091" s="6" t="s">
        <v>12</v>
      </c>
      <c r="C1091" s="6" t="s">
        <v>78</v>
      </c>
      <c r="D1091" s="6" t="s">
        <v>143</v>
      </c>
      <c r="E1091" s="10" t="s">
        <v>1289</v>
      </c>
      <c r="F1091" s="6" t="s">
        <v>3533</v>
      </c>
      <c r="G1091" s="6" t="s">
        <v>104</v>
      </c>
      <c r="H1091" s="6" t="s">
        <v>104</v>
      </c>
      <c r="I1091" s="6" t="s">
        <v>6933</v>
      </c>
      <c r="J1091" s="6" t="s">
        <v>8956</v>
      </c>
      <c r="K1091" s="6" t="s">
        <v>9714</v>
      </c>
      <c r="L1091" s="16" t="n">
        <v>44531</v>
      </c>
      <c r="M1091" s="16" t="n">
        <v>45778</v>
      </c>
      <c r="N1091" s="6" t="s">
        <v>9714</v>
      </c>
      <c r="O1091" s="16" t="n">
        <v>44531</v>
      </c>
      <c r="P1091" s="6" t="s">
        <v>10026</v>
      </c>
      <c r="Q1091" s="6" t="s">
        <v>104</v>
      </c>
      <c r="R1091" s="6" t="s">
        <v>10377</v>
      </c>
      <c r="S1091" s="6" t="s">
        <v>104</v>
      </c>
      <c r="T1091" s="21" t="s">
        <v>104</v>
      </c>
      <c r="U1091" s="6" t="s">
        <v>104</v>
      </c>
      <c r="V1091" s="6" t="s">
        <v>104</v>
      </c>
      <c r="W1091" s="6" t="s">
        <v>104</v>
      </c>
      <c r="X1091" s="6" t="s">
        <v>104</v>
      </c>
      <c r="Y1091" s="21" t="s">
        <v>104</v>
      </c>
      <c r="Z1091" s="6" t="s">
        <v>104</v>
      </c>
      <c r="AA1091" s="6" t="s">
        <v>104</v>
      </c>
      <c r="AB1091" s="6" t="s">
        <v>104</v>
      </c>
      <c r="AC1091" s="6" t="s">
        <v>9714</v>
      </c>
      <c r="AD1091" s="16" t="n">
        <v>44531</v>
      </c>
      <c r="AE1091" s="6" t="s">
        <v>11483</v>
      </c>
      <c r="AF1091" s="6" t="s">
        <v>104</v>
      </c>
      <c r="AG1091" s="6" t="s">
        <v>104</v>
      </c>
      <c r="AH1091" s="6" t="s">
        <v>14152</v>
      </c>
      <c r="AI1091" s="6" t="s">
        <v>104</v>
      </c>
      <c r="AJ1091" s="6" t="s">
        <v>16074</v>
      </c>
      <c r="AK1091" s="6" t="s">
        <v>15697</v>
      </c>
      <c r="AL1091" s="6" t="s">
        <v>16931</v>
      </c>
      <c r="AM1091" s="6" t="s">
        <v>17725</v>
      </c>
      <c r="AN1091" s="6" t="s">
        <v>18484</v>
      </c>
      <c r="AO1091" s="6" t="s">
        <v>18578</v>
      </c>
      <c r="AP1091" s="6" t="s">
        <v>14152</v>
      </c>
      <c r="AQ1091" s="6" t="s">
        <v>104</v>
      </c>
      <c r="AR1091" s="6" t="s">
        <v>16074</v>
      </c>
      <c r="AS1091" s="6" t="s">
        <v>15697</v>
      </c>
      <c r="AT1091" s="6" t="s">
        <v>16931</v>
      </c>
      <c r="AU1091" s="6" t="s">
        <v>17725</v>
      </c>
      <c r="AV1091" s="6" t="s">
        <v>104</v>
      </c>
      <c r="AW1091" s="6" t="s">
        <v>104</v>
      </c>
      <c r="AX1091" s="6" t="s">
        <v>104</v>
      </c>
      <c r="AY1091" s="6" t="s">
        <v>22757</v>
      </c>
      <c r="AZ1091" s="6" t="s">
        <v>104</v>
      </c>
      <c r="BA1091" s="6" t="s">
        <v>104</v>
      </c>
      <c r="BB1091" s="24" t="n">
        <v>765</v>
      </c>
      <c r="BC1091" s="26"/>
      <c r="BD1091" s="26"/>
      <c r="BE1091" s="26"/>
      <c r="BF1091" s="26"/>
      <c r="BG1091" s="26"/>
      <c r="BH1091" s="26"/>
      <c r="BI1091" s="26"/>
      <c r="BJ1091" s="26"/>
      <c r="BK1091" s="26"/>
      <c r="BL1091" s="26"/>
      <c r="BM1091" s="26"/>
      <c r="BN1091" s="26"/>
      <c r="BO1091" s="26"/>
      <c r="BP1091" s="16" t="n">
        <v>45660</v>
      </c>
      <c r="BQ1091" s="28" t="str">
        <f>HYPERLINK("https://organic.ams.usda.gov/Integrity/Certificate.aspx?cid=1&amp;nopid=9092125903")</f>
        <v>https://organic.ams.usda.gov/Integrity/Certificate.aspx?cid=1&amp;nopid=9092125903</v>
      </c>
    </row>
    <row r="1092">
      <c r="A1092" t="s">
        <v>3</v>
      </c>
      <c r="B1092" s="6" t="s">
        <v>8</v>
      </c>
      <c r="C1092" s="6" t="s">
        <v>74</v>
      </c>
      <c r="D1092" s="6" t="s">
        <v>139</v>
      </c>
      <c r="E1092" s="10" t="s">
        <v>1290</v>
      </c>
      <c r="F1092" s="6" t="s">
        <v>3534</v>
      </c>
      <c r="G1092" s="6" t="s">
        <v>104</v>
      </c>
      <c r="H1092" s="6" t="s">
        <v>1290</v>
      </c>
      <c r="I1092" s="6" t="s">
        <v>6933</v>
      </c>
      <c r="J1092" s="6" t="s">
        <v>8957</v>
      </c>
      <c r="K1092" s="6" t="s">
        <v>9714</v>
      </c>
      <c r="L1092" s="16" t="n">
        <v>37912</v>
      </c>
      <c r="M1092" s="16" t="n">
        <v>45731</v>
      </c>
      <c r="N1092" s="6" t="s">
        <v>9714</v>
      </c>
      <c r="O1092" s="16" t="n">
        <v>37912</v>
      </c>
      <c r="P1092" s="6" t="s">
        <v>10027</v>
      </c>
      <c r="Q1092" s="6" t="s">
        <v>104</v>
      </c>
      <c r="R1092" s="6" t="s">
        <v>1290</v>
      </c>
      <c r="S1092" s="6" t="s">
        <v>104</v>
      </c>
      <c r="T1092" s="21" t="s">
        <v>104</v>
      </c>
      <c r="U1092" s="6" t="s">
        <v>104</v>
      </c>
      <c r="V1092" s="6" t="s">
        <v>104</v>
      </c>
      <c r="W1092" s="6" t="s">
        <v>104</v>
      </c>
      <c r="X1092" s="6" t="s">
        <v>104</v>
      </c>
      <c r="Y1092" s="21" t="s">
        <v>104</v>
      </c>
      <c r="Z1092" s="6" t="s">
        <v>104</v>
      </c>
      <c r="AA1092" s="6" t="s">
        <v>104</v>
      </c>
      <c r="AB1092" s="6" t="s">
        <v>104</v>
      </c>
      <c r="AC1092" s="6" t="s">
        <v>104</v>
      </c>
      <c r="AD1092" s="21" t="s">
        <v>104</v>
      </c>
      <c r="AE1092" s="6" t="s">
        <v>104</v>
      </c>
      <c r="AF1092" s="6" t="s">
        <v>104</v>
      </c>
      <c r="AG1092" s="6" t="s">
        <v>104</v>
      </c>
      <c r="AH1092" s="6" t="s">
        <v>14153</v>
      </c>
      <c r="AI1092" s="6" t="s">
        <v>15291</v>
      </c>
      <c r="AJ1092" s="6" t="s">
        <v>16075</v>
      </c>
      <c r="AK1092" s="6" t="s">
        <v>16679</v>
      </c>
      <c r="AL1092" s="6" t="s">
        <v>16931</v>
      </c>
      <c r="AM1092" s="6" t="s">
        <v>17726</v>
      </c>
      <c r="AN1092" s="6" t="s">
        <v>18469</v>
      </c>
      <c r="AO1092" s="6" t="s">
        <v>18784</v>
      </c>
      <c r="AP1092" s="6" t="s">
        <v>19223</v>
      </c>
      <c r="AQ1092" s="6" t="s">
        <v>104</v>
      </c>
      <c r="AR1092" s="6" t="s">
        <v>16075</v>
      </c>
      <c r="AS1092" s="6" t="s">
        <v>16679</v>
      </c>
      <c r="AT1092" s="6" t="s">
        <v>16931</v>
      </c>
      <c r="AU1092" s="6" t="s">
        <v>17726</v>
      </c>
      <c r="AV1092" s="6" t="s">
        <v>104</v>
      </c>
      <c r="AW1092" s="6" t="s">
        <v>104</v>
      </c>
      <c r="AX1092" s="6" t="s">
        <v>20972</v>
      </c>
      <c r="AY1092" s="6" t="s">
        <v>22758</v>
      </c>
      <c r="AZ1092" s="6" t="s">
        <v>104</v>
      </c>
      <c r="BA1092" s="6" t="s">
        <v>104</v>
      </c>
      <c r="BB1092" s="24" t="n">
        <v>508</v>
      </c>
      <c r="BC1092" s="26"/>
      <c r="BD1092" s="26"/>
      <c r="BE1092" s="26"/>
      <c r="BF1092" s="26"/>
      <c r="BG1092" s="26"/>
      <c r="BH1092" s="26"/>
      <c r="BI1092" s="26"/>
      <c r="BJ1092" s="26"/>
      <c r="BK1092" s="26"/>
      <c r="BL1092" s="26"/>
      <c r="BM1092" s="26"/>
      <c r="BN1092" s="26"/>
      <c r="BO1092" s="26"/>
      <c r="BP1092" s="16" t="n">
        <v>45561</v>
      </c>
      <c r="BQ1092" s="28" t="str">
        <f>HYPERLINK("https://organic.ams.usda.gov/Integrity/Certificate.aspx?cid=48&amp;nopid=1460029872")</f>
        <v>https://organic.ams.usda.gov/Integrity/Certificate.aspx?cid=48&amp;nopid=1460029872</v>
      </c>
    </row>
    <row r="1093">
      <c r="A1093" t="s">
        <v>3</v>
      </c>
      <c r="B1093" s="6" t="s">
        <v>23</v>
      </c>
      <c r="C1093" s="6" t="s">
        <v>89</v>
      </c>
      <c r="D1093" s="6" t="s">
        <v>154</v>
      </c>
      <c r="E1093" s="10" t="s">
        <v>1291</v>
      </c>
      <c r="F1093" s="6" t="s">
        <v>3535</v>
      </c>
      <c r="G1093" s="6" t="s">
        <v>104</v>
      </c>
      <c r="H1093" s="6" t="s">
        <v>5888</v>
      </c>
      <c r="I1093" s="6" t="s">
        <v>7592</v>
      </c>
      <c r="J1093" s="6" t="s">
        <v>8958</v>
      </c>
      <c r="K1093" s="6" t="s">
        <v>9714</v>
      </c>
      <c r="L1093" s="16" t="n">
        <v>37515</v>
      </c>
      <c r="M1093" s="16" t="n">
        <v>45689</v>
      </c>
      <c r="N1093" s="6" t="s">
        <v>9714</v>
      </c>
      <c r="O1093" s="16" t="n">
        <v>37515</v>
      </c>
      <c r="P1093" s="6" t="s">
        <v>10028</v>
      </c>
      <c r="Q1093" s="6" t="s">
        <v>104</v>
      </c>
      <c r="R1093" s="6" t="s">
        <v>5888</v>
      </c>
      <c r="S1093" s="6" t="s">
        <v>9714</v>
      </c>
      <c r="T1093" s="16" t="n">
        <v>37515</v>
      </c>
      <c r="U1093" s="6" t="s">
        <v>10488</v>
      </c>
      <c r="V1093" s="6" t="s">
        <v>104</v>
      </c>
      <c r="W1093" s="6" t="s">
        <v>5888</v>
      </c>
      <c r="X1093" s="6" t="s">
        <v>104</v>
      </c>
      <c r="Y1093" s="21" t="s">
        <v>104</v>
      </c>
      <c r="Z1093" s="6" t="s">
        <v>104</v>
      </c>
      <c r="AA1093" s="6" t="s">
        <v>104</v>
      </c>
      <c r="AB1093" s="6" t="s">
        <v>104</v>
      </c>
      <c r="AC1093" s="6" t="s">
        <v>104</v>
      </c>
      <c r="AD1093" s="21" t="s">
        <v>104</v>
      </c>
      <c r="AE1093" s="6" t="s">
        <v>104</v>
      </c>
      <c r="AF1093" s="6" t="s">
        <v>104</v>
      </c>
      <c r="AG1093" s="6" t="s">
        <v>104</v>
      </c>
      <c r="AH1093" s="6" t="s">
        <v>14154</v>
      </c>
      <c r="AI1093" s="6" t="s">
        <v>104</v>
      </c>
      <c r="AJ1093" s="6" t="s">
        <v>16076</v>
      </c>
      <c r="AK1093" s="6" t="s">
        <v>16714</v>
      </c>
      <c r="AL1093" s="6" t="s">
        <v>16931</v>
      </c>
      <c r="AM1093" s="6" t="s">
        <v>17727</v>
      </c>
      <c r="AN1093" s="6" t="s">
        <v>18500</v>
      </c>
      <c r="AO1093" s="6" t="s">
        <v>18785</v>
      </c>
      <c r="AP1093" s="6" t="s">
        <v>104</v>
      </c>
      <c r="AQ1093" s="6" t="s">
        <v>104</v>
      </c>
      <c r="AR1093" s="6" t="s">
        <v>104</v>
      </c>
      <c r="AS1093" s="6" t="s">
        <v>104</v>
      </c>
      <c r="AT1093" s="6" t="s">
        <v>104</v>
      </c>
      <c r="AU1093" s="6" t="s">
        <v>104</v>
      </c>
      <c r="AV1093" s="6" t="s">
        <v>104</v>
      </c>
      <c r="AW1093" s="6" t="s">
        <v>104</v>
      </c>
      <c r="AX1093" s="6" t="s">
        <v>20973</v>
      </c>
      <c r="AY1093" s="6" t="s">
        <v>22759</v>
      </c>
      <c r="AZ1093" s="6" t="s">
        <v>104</v>
      </c>
      <c r="BA1093" s="6" t="s">
        <v>24350</v>
      </c>
      <c r="BB1093" s="24" t="n">
        <v>332</v>
      </c>
      <c r="BC1093" s="26"/>
      <c r="BD1093" s="26"/>
      <c r="BE1093" s="26"/>
      <c r="BF1093" s="26" t="s">
        <v>24533</v>
      </c>
      <c r="BG1093" s="26"/>
      <c r="BH1093" s="26"/>
      <c r="BI1093" s="26"/>
      <c r="BJ1093" s="26"/>
      <c r="BK1093" s="26"/>
      <c r="BL1093" s="26"/>
      <c r="BM1093" s="26"/>
      <c r="BN1093" s="26"/>
      <c r="BO1093" s="26"/>
      <c r="BP1093" s="16" t="n">
        <v>45698</v>
      </c>
      <c r="BQ1093" s="28" t="str">
        <f>HYPERLINK("https://organic.ams.usda.gov/Integrity/Certificate.aspx?cid=45&amp;nopid=9950001019")</f>
        <v>https://organic.ams.usda.gov/Integrity/Certificate.aspx?cid=45&amp;nopid=9950001019</v>
      </c>
    </row>
    <row r="1094">
      <c r="A1094" t="s">
        <v>3</v>
      </c>
      <c r="B1094" s="6" t="s">
        <v>16</v>
      </c>
      <c r="C1094" s="6" t="s">
        <v>82</v>
      </c>
      <c r="D1094" s="6" t="s">
        <v>147</v>
      </c>
      <c r="E1094" s="10" t="s">
        <v>1292</v>
      </c>
      <c r="F1094" s="6" t="s">
        <v>3536</v>
      </c>
      <c r="G1094" s="6" t="s">
        <v>104</v>
      </c>
      <c r="H1094" s="6" t="s">
        <v>5889</v>
      </c>
      <c r="I1094" s="6" t="s">
        <v>7380</v>
      </c>
      <c r="J1094" s="6" t="s">
        <v>8662</v>
      </c>
      <c r="K1094" s="6" t="s">
        <v>9714</v>
      </c>
      <c r="L1094" s="16" t="n">
        <v>43353</v>
      </c>
      <c r="M1094" s="16" t="n">
        <v>45930</v>
      </c>
      <c r="N1094" s="6" t="s">
        <v>9714</v>
      </c>
      <c r="O1094" s="16" t="n">
        <v>43353</v>
      </c>
      <c r="P1094" s="6" t="s">
        <v>10029</v>
      </c>
      <c r="Q1094" s="6" t="s">
        <v>104</v>
      </c>
      <c r="R1094" s="6" t="s">
        <v>5889</v>
      </c>
      <c r="S1094" s="6" t="s">
        <v>104</v>
      </c>
      <c r="T1094" s="21" t="s">
        <v>104</v>
      </c>
      <c r="U1094" s="6" t="s">
        <v>104</v>
      </c>
      <c r="V1094" s="6" t="s">
        <v>104</v>
      </c>
      <c r="W1094" s="6" t="s">
        <v>104</v>
      </c>
      <c r="X1094" s="6" t="s">
        <v>104</v>
      </c>
      <c r="Y1094" s="21" t="s">
        <v>104</v>
      </c>
      <c r="Z1094" s="6" t="s">
        <v>104</v>
      </c>
      <c r="AA1094" s="6" t="s">
        <v>104</v>
      </c>
      <c r="AB1094" s="6" t="s">
        <v>104</v>
      </c>
      <c r="AC1094" s="6" t="s">
        <v>104</v>
      </c>
      <c r="AD1094" s="21" t="s">
        <v>104</v>
      </c>
      <c r="AE1094" s="6" t="s">
        <v>104</v>
      </c>
      <c r="AF1094" s="6" t="s">
        <v>104</v>
      </c>
      <c r="AG1094" s="6" t="s">
        <v>104</v>
      </c>
      <c r="AH1094" s="6" t="s">
        <v>14155</v>
      </c>
      <c r="AI1094" s="6" t="s">
        <v>104</v>
      </c>
      <c r="AJ1094" s="6" t="s">
        <v>15741</v>
      </c>
      <c r="AK1094" s="6" t="s">
        <v>16684</v>
      </c>
      <c r="AL1094" s="6" t="s">
        <v>16931</v>
      </c>
      <c r="AM1094" s="6" t="s">
        <v>17361</v>
      </c>
      <c r="AN1094" s="6" t="s">
        <v>18480</v>
      </c>
      <c r="AO1094" s="6" t="s">
        <v>18590</v>
      </c>
      <c r="AP1094" s="6" t="s">
        <v>14155</v>
      </c>
      <c r="AQ1094" s="6" t="s">
        <v>104</v>
      </c>
      <c r="AR1094" s="6" t="s">
        <v>15741</v>
      </c>
      <c r="AS1094" s="6" t="s">
        <v>16684</v>
      </c>
      <c r="AT1094" s="6" t="s">
        <v>16931</v>
      </c>
      <c r="AU1094" s="6" t="s">
        <v>17361</v>
      </c>
      <c r="AV1094" s="6" t="s">
        <v>18466</v>
      </c>
      <c r="AW1094" s="6" t="s">
        <v>18923</v>
      </c>
      <c r="AX1094" s="6" t="s">
        <v>20653</v>
      </c>
      <c r="AY1094" s="6" t="s">
        <v>22425</v>
      </c>
      <c r="AZ1094" s="6" t="s">
        <v>104</v>
      </c>
      <c r="BA1094" s="6" t="s">
        <v>104</v>
      </c>
      <c r="BB1094" s="24" t="n">
        <v>750</v>
      </c>
      <c r="BC1094" s="26"/>
      <c r="BD1094" s="26"/>
      <c r="BE1094" s="26"/>
      <c r="BF1094" s="26"/>
      <c r="BG1094" s="26"/>
      <c r="BH1094" s="26"/>
      <c r="BI1094" s="26"/>
      <c r="BJ1094" s="26"/>
      <c r="BK1094" s="26"/>
      <c r="BL1094" s="26"/>
      <c r="BM1094" s="26"/>
      <c r="BN1094" s="26"/>
      <c r="BO1094" s="26"/>
      <c r="BP1094" s="16" t="n">
        <v>45609</v>
      </c>
      <c r="BQ1094" s="28" t="str">
        <f>HYPERLINK("https://organic.ams.usda.gov/Integrity/Certificate.aspx?cid=77&amp;nopid=3510791397")</f>
        <v>https://organic.ams.usda.gov/Integrity/Certificate.aspx?cid=77&amp;nopid=3510791397</v>
      </c>
    </row>
    <row r="1095">
      <c r="A1095" t="s">
        <v>3</v>
      </c>
      <c r="B1095" s="6" t="s">
        <v>34</v>
      </c>
      <c r="C1095" s="6" t="s">
        <v>100</v>
      </c>
      <c r="D1095" s="6" t="s">
        <v>165</v>
      </c>
      <c r="E1095" s="10" t="s">
        <v>1293</v>
      </c>
      <c r="F1095" s="6" t="s">
        <v>3537</v>
      </c>
      <c r="G1095" s="6" t="s">
        <v>104</v>
      </c>
      <c r="H1095" s="6" t="s">
        <v>5890</v>
      </c>
      <c r="I1095" s="6" t="s">
        <v>7593</v>
      </c>
      <c r="J1095" s="6" t="s">
        <v>8958</v>
      </c>
      <c r="K1095" s="6" t="s">
        <v>9714</v>
      </c>
      <c r="L1095" s="16" t="n">
        <v>38952</v>
      </c>
      <c r="M1095" s="16" t="n">
        <v>45712</v>
      </c>
      <c r="N1095" s="6" t="s">
        <v>104</v>
      </c>
      <c r="O1095" s="21" t="s">
        <v>104</v>
      </c>
      <c r="P1095" s="6" t="s">
        <v>104</v>
      </c>
      <c r="Q1095" s="6" t="s">
        <v>104</v>
      </c>
      <c r="R1095" s="6" t="s">
        <v>104</v>
      </c>
      <c r="S1095" s="6" t="s">
        <v>104</v>
      </c>
      <c r="T1095" s="21" t="s">
        <v>104</v>
      </c>
      <c r="U1095" s="6" t="s">
        <v>104</v>
      </c>
      <c r="V1095" s="6" t="s">
        <v>104</v>
      </c>
      <c r="W1095" s="6" t="s">
        <v>104</v>
      </c>
      <c r="X1095" s="6" t="s">
        <v>104</v>
      </c>
      <c r="Y1095" s="21" t="s">
        <v>104</v>
      </c>
      <c r="Z1095" s="6" t="s">
        <v>104</v>
      </c>
      <c r="AA1095" s="6" t="s">
        <v>104</v>
      </c>
      <c r="AB1095" s="6" t="s">
        <v>104</v>
      </c>
      <c r="AC1095" s="6" t="s">
        <v>9714</v>
      </c>
      <c r="AD1095" s="16" t="n">
        <v>38952</v>
      </c>
      <c r="AE1095" s="6" t="s">
        <v>11484</v>
      </c>
      <c r="AF1095" s="6" t="s">
        <v>104</v>
      </c>
      <c r="AG1095" s="6" t="s">
        <v>12833</v>
      </c>
      <c r="AH1095" s="6" t="s">
        <v>14156</v>
      </c>
      <c r="AI1095" s="6" t="s">
        <v>104</v>
      </c>
      <c r="AJ1095" s="6" t="s">
        <v>16077</v>
      </c>
      <c r="AK1095" s="6" t="s">
        <v>16735</v>
      </c>
      <c r="AL1095" s="6" t="s">
        <v>16931</v>
      </c>
      <c r="AM1095" s="6" t="s">
        <v>17728</v>
      </c>
      <c r="AN1095" s="6" t="s">
        <v>104</v>
      </c>
      <c r="AO1095" s="6" t="s">
        <v>104</v>
      </c>
      <c r="AP1095" s="6" t="s">
        <v>14156</v>
      </c>
      <c r="AQ1095" s="6" t="s">
        <v>104</v>
      </c>
      <c r="AR1095" s="6" t="s">
        <v>16077</v>
      </c>
      <c r="AS1095" s="6" t="s">
        <v>16735</v>
      </c>
      <c r="AT1095" s="6" t="s">
        <v>16931</v>
      </c>
      <c r="AU1095" s="6" t="s">
        <v>17728</v>
      </c>
      <c r="AV1095" s="6" t="s">
        <v>104</v>
      </c>
      <c r="AW1095" s="6" t="s">
        <v>104</v>
      </c>
      <c r="AX1095" s="6" t="s">
        <v>20974</v>
      </c>
      <c r="AY1095" s="6" t="s">
        <v>22760</v>
      </c>
      <c r="AZ1095" s="6" t="s">
        <v>104</v>
      </c>
      <c r="BA1095" s="6" t="s">
        <v>104</v>
      </c>
      <c r="BB1095" s="6" t="s">
        <v>104</v>
      </c>
      <c r="BC1095" s="26"/>
      <c r="BD1095" s="26"/>
      <c r="BE1095" s="26"/>
      <c r="BF1095" s="26"/>
      <c r="BG1095" s="26" t="s">
        <v>24533</v>
      </c>
      <c r="BH1095" s="26"/>
      <c r="BI1095" s="26"/>
      <c r="BJ1095" s="26"/>
      <c r="BK1095" s="26"/>
      <c r="BL1095" s="26"/>
      <c r="BM1095" s="26"/>
      <c r="BN1095" s="26"/>
      <c r="BO1095" s="26"/>
      <c r="BP1095" s="16" t="n">
        <v>45737</v>
      </c>
      <c r="BQ1095" s="28" t="str">
        <f>HYPERLINK("https://organic.ams.usda.gov/Integrity/Certificate.aspx?cid=71&amp;nopid=5520031241")</f>
        <v>https://organic.ams.usda.gov/Integrity/Certificate.aspx?cid=71&amp;nopid=5520031241</v>
      </c>
    </row>
    <row r="1096">
      <c r="A1096" t="s">
        <v>3</v>
      </c>
      <c r="B1096" s="6" t="s">
        <v>30</v>
      </c>
      <c r="C1096" s="6" t="s">
        <v>96</v>
      </c>
      <c r="D1096" s="6" t="s">
        <v>161</v>
      </c>
      <c r="E1096" s="10" t="s">
        <v>1294</v>
      </c>
      <c r="F1096" s="6" t="s">
        <v>3538</v>
      </c>
      <c r="G1096" s="6" t="s">
        <v>104</v>
      </c>
      <c r="H1096" s="6" t="s">
        <v>5891</v>
      </c>
      <c r="I1096" s="6" t="s">
        <v>104</v>
      </c>
      <c r="J1096" s="6" t="s">
        <v>104</v>
      </c>
      <c r="K1096" s="6" t="s">
        <v>9714</v>
      </c>
      <c r="L1096" s="16" t="n">
        <v>45433</v>
      </c>
      <c r="M1096" s="16" t="n">
        <v>45742</v>
      </c>
      <c r="N1096" s="6" t="s">
        <v>104</v>
      </c>
      <c r="O1096" s="21" t="s">
        <v>104</v>
      </c>
      <c r="P1096" s="6" t="s">
        <v>104</v>
      </c>
      <c r="Q1096" s="6" t="s">
        <v>104</v>
      </c>
      <c r="R1096" s="6" t="s">
        <v>104</v>
      </c>
      <c r="S1096" s="6" t="s">
        <v>104</v>
      </c>
      <c r="T1096" s="21" t="s">
        <v>104</v>
      </c>
      <c r="U1096" s="6" t="s">
        <v>104</v>
      </c>
      <c r="V1096" s="6" t="s">
        <v>104</v>
      </c>
      <c r="W1096" s="6" t="s">
        <v>104</v>
      </c>
      <c r="X1096" s="6" t="s">
        <v>104</v>
      </c>
      <c r="Y1096" s="21" t="s">
        <v>104</v>
      </c>
      <c r="Z1096" s="6" t="s">
        <v>104</v>
      </c>
      <c r="AA1096" s="6" t="s">
        <v>104</v>
      </c>
      <c r="AB1096" s="6" t="s">
        <v>104</v>
      </c>
      <c r="AC1096" s="6" t="s">
        <v>9714</v>
      </c>
      <c r="AD1096" s="16" t="n">
        <v>45433</v>
      </c>
      <c r="AE1096" s="6" t="s">
        <v>11124</v>
      </c>
      <c r="AF1096" s="6" t="s">
        <v>104</v>
      </c>
      <c r="AG1096" s="6" t="s">
        <v>12834</v>
      </c>
      <c r="AH1096" s="6" t="s">
        <v>14157</v>
      </c>
      <c r="AI1096" s="6" t="s">
        <v>104</v>
      </c>
      <c r="AJ1096" s="6" t="s">
        <v>15800</v>
      </c>
      <c r="AK1096" s="6" t="s">
        <v>16717</v>
      </c>
      <c r="AL1096" s="6" t="s">
        <v>16933</v>
      </c>
      <c r="AM1096" s="6" t="s">
        <v>17432</v>
      </c>
      <c r="AN1096" s="6" t="s">
        <v>104</v>
      </c>
      <c r="AO1096" s="6" t="s">
        <v>104</v>
      </c>
      <c r="AP1096" s="6" t="s">
        <v>14157</v>
      </c>
      <c r="AQ1096" s="6" t="s">
        <v>104</v>
      </c>
      <c r="AR1096" s="6" t="s">
        <v>15800</v>
      </c>
      <c r="AS1096" s="6" t="s">
        <v>16717</v>
      </c>
      <c r="AT1096" s="6" t="s">
        <v>16933</v>
      </c>
      <c r="AU1096" s="6" t="s">
        <v>17432</v>
      </c>
      <c r="AV1096" s="6" t="s">
        <v>104</v>
      </c>
      <c r="AW1096" s="6" t="s">
        <v>104</v>
      </c>
      <c r="AX1096" s="6" t="s">
        <v>104</v>
      </c>
      <c r="AY1096" s="6" t="s">
        <v>22761</v>
      </c>
      <c r="AZ1096" s="6" t="s">
        <v>104</v>
      </c>
      <c r="BA1096" s="6" t="s">
        <v>104</v>
      </c>
      <c r="BB1096" s="6" t="s">
        <v>104</v>
      </c>
      <c r="BC1096" s="26"/>
      <c r="BD1096" s="26"/>
      <c r="BE1096" s="26"/>
      <c r="BF1096" s="26"/>
      <c r="BG1096" s="26"/>
      <c r="BH1096" s="26"/>
      <c r="BI1096" s="26"/>
      <c r="BJ1096" s="26"/>
      <c r="BK1096" s="26"/>
      <c r="BL1096" s="26"/>
      <c r="BM1096" s="26"/>
      <c r="BN1096" s="26"/>
      <c r="BO1096" s="26"/>
      <c r="BP1096" s="16" t="n">
        <v>45433</v>
      </c>
      <c r="BQ1096" s="28" t="str">
        <f>HYPERLINK("https://organic.ams.usda.gov/Integrity/Certificate.aspx?cid=14&amp;nopid=6250042178")</f>
        <v>https://organic.ams.usda.gov/Integrity/Certificate.aspx?cid=14&amp;nopid=6250042178</v>
      </c>
    </row>
    <row r="1097">
      <c r="A1097" t="s">
        <v>3</v>
      </c>
      <c r="B1097" s="6" t="s">
        <v>25</v>
      </c>
      <c r="C1097" s="6" t="s">
        <v>91</v>
      </c>
      <c r="D1097" s="6" t="s">
        <v>156</v>
      </c>
      <c r="E1097" s="10" t="s">
        <v>1295</v>
      </c>
      <c r="F1097" s="6" t="s">
        <v>3539</v>
      </c>
      <c r="G1097" s="6" t="s">
        <v>104</v>
      </c>
      <c r="H1097" s="6" t="s">
        <v>5892</v>
      </c>
      <c r="I1097" s="6" t="s">
        <v>104</v>
      </c>
      <c r="J1097" s="6" t="s">
        <v>104</v>
      </c>
      <c r="K1097" s="6" t="s">
        <v>9714</v>
      </c>
      <c r="L1097" s="16" t="n">
        <v>45205</v>
      </c>
      <c r="M1097" s="16" t="n">
        <v>45477</v>
      </c>
      <c r="N1097" s="6" t="s">
        <v>104</v>
      </c>
      <c r="O1097" s="21" t="s">
        <v>104</v>
      </c>
      <c r="P1097" s="6" t="s">
        <v>104</v>
      </c>
      <c r="Q1097" s="6" t="s">
        <v>104</v>
      </c>
      <c r="R1097" s="6" t="s">
        <v>104</v>
      </c>
      <c r="S1097" s="6" t="s">
        <v>104</v>
      </c>
      <c r="T1097" s="21" t="s">
        <v>104</v>
      </c>
      <c r="U1097" s="6" t="s">
        <v>104</v>
      </c>
      <c r="V1097" s="6" t="s">
        <v>104</v>
      </c>
      <c r="W1097" s="6" t="s">
        <v>104</v>
      </c>
      <c r="X1097" s="6" t="s">
        <v>104</v>
      </c>
      <c r="Y1097" s="21" t="s">
        <v>104</v>
      </c>
      <c r="Z1097" s="6" t="s">
        <v>104</v>
      </c>
      <c r="AA1097" s="6" t="s">
        <v>104</v>
      </c>
      <c r="AB1097" s="6" t="s">
        <v>104</v>
      </c>
      <c r="AC1097" s="6" t="s">
        <v>9714</v>
      </c>
      <c r="AD1097" s="16" t="n">
        <v>45205</v>
      </c>
      <c r="AE1097" s="6" t="s">
        <v>11485</v>
      </c>
      <c r="AF1097" s="6" t="s">
        <v>104</v>
      </c>
      <c r="AG1097" s="6" t="s">
        <v>104</v>
      </c>
      <c r="AH1097" s="6" t="s">
        <v>14158</v>
      </c>
      <c r="AI1097" s="6" t="s">
        <v>104</v>
      </c>
      <c r="AJ1097" s="6" t="s">
        <v>15897</v>
      </c>
      <c r="AK1097" s="6" t="s">
        <v>16691</v>
      </c>
      <c r="AL1097" s="6" t="s">
        <v>16935</v>
      </c>
      <c r="AM1097" s="6" t="s">
        <v>17729</v>
      </c>
      <c r="AN1097" s="6" t="s">
        <v>104</v>
      </c>
      <c r="AO1097" s="6" t="s">
        <v>104</v>
      </c>
      <c r="AP1097" s="6" t="s">
        <v>14158</v>
      </c>
      <c r="AQ1097" s="6" t="s">
        <v>104</v>
      </c>
      <c r="AR1097" s="6" t="s">
        <v>15897</v>
      </c>
      <c r="AS1097" s="6" t="s">
        <v>16691</v>
      </c>
      <c r="AT1097" s="6" t="s">
        <v>16935</v>
      </c>
      <c r="AU1097" s="6" t="s">
        <v>17729</v>
      </c>
      <c r="AV1097" s="6" t="s">
        <v>104</v>
      </c>
      <c r="AW1097" s="6" t="s">
        <v>104</v>
      </c>
      <c r="AX1097" s="6" t="s">
        <v>104</v>
      </c>
      <c r="AY1097" s="6" t="s">
        <v>104</v>
      </c>
      <c r="AZ1097" s="6" t="s">
        <v>104</v>
      </c>
      <c r="BA1097" s="6" t="s">
        <v>104</v>
      </c>
      <c r="BB1097" s="6" t="s">
        <v>104</v>
      </c>
      <c r="BC1097" s="26" t="s">
        <v>24533</v>
      </c>
      <c r="BD1097" s="26"/>
      <c r="BE1097" s="26"/>
      <c r="BF1097" s="26"/>
      <c r="BG1097" s="26"/>
      <c r="BH1097" s="26"/>
      <c r="BI1097" s="26"/>
      <c r="BJ1097" s="26"/>
      <c r="BK1097" s="26"/>
      <c r="BL1097" s="26"/>
      <c r="BM1097" s="26"/>
      <c r="BN1097" s="26"/>
      <c r="BO1097" s="26"/>
      <c r="BP1097" s="16" t="n">
        <v>45369</v>
      </c>
      <c r="BQ1097" s="28" t="str">
        <f>HYPERLINK("https://organic.ams.usda.gov/Integrity/Certificate.aspx?cid=66&amp;nopid=5500007034")</f>
        <v>https://organic.ams.usda.gov/Integrity/Certificate.aspx?cid=66&amp;nopid=5500007034</v>
      </c>
    </row>
    <row r="1098">
      <c r="A1098" t="s">
        <v>3</v>
      </c>
      <c r="B1098" s="6" t="s">
        <v>36</v>
      </c>
      <c r="C1098" s="6" t="s">
        <v>102</v>
      </c>
      <c r="D1098" s="6" t="s">
        <v>167</v>
      </c>
      <c r="E1098" s="10" t="s">
        <v>1296</v>
      </c>
      <c r="F1098" s="6" t="s">
        <v>3540</v>
      </c>
      <c r="G1098" s="6" t="s">
        <v>104</v>
      </c>
      <c r="H1098" s="6" t="s">
        <v>5893</v>
      </c>
      <c r="I1098" s="6" t="s">
        <v>7260</v>
      </c>
      <c r="J1098" s="6" t="s">
        <v>8959</v>
      </c>
      <c r="K1098" s="6" t="s">
        <v>9714</v>
      </c>
      <c r="L1098" s="16" t="n">
        <v>41612</v>
      </c>
      <c r="M1098" s="16" t="n">
        <v>45808</v>
      </c>
      <c r="N1098" s="6" t="s">
        <v>9714</v>
      </c>
      <c r="O1098" s="16" t="n">
        <v>41612</v>
      </c>
      <c r="P1098" s="6" t="s">
        <v>10030</v>
      </c>
      <c r="Q1098" s="6" t="s">
        <v>104</v>
      </c>
      <c r="R1098" s="6" t="s">
        <v>104</v>
      </c>
      <c r="S1098" s="6" t="s">
        <v>104</v>
      </c>
      <c r="T1098" s="21" t="s">
        <v>104</v>
      </c>
      <c r="U1098" s="6" t="s">
        <v>104</v>
      </c>
      <c r="V1098" s="6" t="s">
        <v>104</v>
      </c>
      <c r="W1098" s="6" t="s">
        <v>104</v>
      </c>
      <c r="X1098" s="6" t="s">
        <v>104</v>
      </c>
      <c r="Y1098" s="21" t="s">
        <v>104</v>
      </c>
      <c r="Z1098" s="6" t="s">
        <v>104</v>
      </c>
      <c r="AA1098" s="6" t="s">
        <v>104</v>
      </c>
      <c r="AB1098" s="6" t="s">
        <v>104</v>
      </c>
      <c r="AC1098" s="6" t="s">
        <v>9714</v>
      </c>
      <c r="AD1098" s="16" t="n">
        <v>42639</v>
      </c>
      <c r="AE1098" s="6" t="s">
        <v>11486</v>
      </c>
      <c r="AF1098" s="6" t="s">
        <v>104</v>
      </c>
      <c r="AG1098" s="6" t="s">
        <v>104</v>
      </c>
      <c r="AH1098" s="6" t="s">
        <v>14159</v>
      </c>
      <c r="AI1098" s="6" t="s">
        <v>104</v>
      </c>
      <c r="AJ1098" s="6" t="s">
        <v>16078</v>
      </c>
      <c r="AK1098" s="6" t="s">
        <v>16705</v>
      </c>
      <c r="AL1098" s="6" t="s">
        <v>16931</v>
      </c>
      <c r="AM1098" s="6" t="s">
        <v>17730</v>
      </c>
      <c r="AN1098" s="6" t="s">
        <v>18517</v>
      </c>
      <c r="AO1098" s="6" t="s">
        <v>18676</v>
      </c>
      <c r="AP1098" s="6" t="s">
        <v>14159</v>
      </c>
      <c r="AQ1098" s="6" t="s">
        <v>104</v>
      </c>
      <c r="AR1098" s="6" t="s">
        <v>16078</v>
      </c>
      <c r="AS1098" s="6" t="s">
        <v>16705</v>
      </c>
      <c r="AT1098" s="6" t="s">
        <v>16931</v>
      </c>
      <c r="AU1098" s="6" t="s">
        <v>17730</v>
      </c>
      <c r="AV1098" s="6" t="s">
        <v>104</v>
      </c>
      <c r="AW1098" s="6" t="s">
        <v>104</v>
      </c>
      <c r="AX1098" s="6" t="s">
        <v>20975</v>
      </c>
      <c r="AY1098" s="6" t="s">
        <v>22762</v>
      </c>
      <c r="AZ1098" s="6" t="s">
        <v>104</v>
      </c>
      <c r="BA1098" s="6" t="s">
        <v>24409</v>
      </c>
      <c r="BB1098" s="24" t="n">
        <v>2372</v>
      </c>
      <c r="BC1098" s="26"/>
      <c r="BD1098" s="26"/>
      <c r="BE1098" s="26"/>
      <c r="BF1098" s="26"/>
      <c r="BG1098" s="26"/>
      <c r="BH1098" s="26"/>
      <c r="BI1098" s="26"/>
      <c r="BJ1098" s="26"/>
      <c r="BK1098" s="26"/>
      <c r="BL1098" s="26"/>
      <c r="BM1098" s="26"/>
      <c r="BN1098" s="26"/>
      <c r="BO1098" s="26"/>
      <c r="BP1098" s="16" t="n">
        <v>45729</v>
      </c>
      <c r="BQ1098" s="28" t="str">
        <f>HYPERLINK("https://organic.ams.usda.gov/Integrity/Certificate.aspx?cid=61&amp;nopid=7270000941")</f>
        <v>https://organic.ams.usda.gov/Integrity/Certificate.aspx?cid=61&amp;nopid=7270000941</v>
      </c>
    </row>
    <row r="1099">
      <c r="A1099" t="s">
        <v>3</v>
      </c>
      <c r="B1099" s="6" t="s">
        <v>20</v>
      </c>
      <c r="C1099" s="6" t="s">
        <v>86</v>
      </c>
      <c r="D1099" s="6" t="s">
        <v>151</v>
      </c>
      <c r="E1099" s="10" t="s">
        <v>1297</v>
      </c>
      <c r="F1099" s="6" t="s">
        <v>3541</v>
      </c>
      <c r="G1099" s="6" t="s">
        <v>104</v>
      </c>
      <c r="H1099" s="6" t="s">
        <v>5894</v>
      </c>
      <c r="I1099" s="6" t="s">
        <v>7563</v>
      </c>
      <c r="J1099" s="6" t="s">
        <v>8960</v>
      </c>
      <c r="K1099" s="6" t="s">
        <v>9714</v>
      </c>
      <c r="L1099" s="16" t="n">
        <v>41437</v>
      </c>
      <c r="M1099" s="16" t="n">
        <v>45777</v>
      </c>
      <c r="N1099" s="6" t="s">
        <v>9714</v>
      </c>
      <c r="O1099" s="16" t="n">
        <v>41437</v>
      </c>
      <c r="P1099" s="6" t="s">
        <v>9921</v>
      </c>
      <c r="Q1099" s="6" t="s">
        <v>104</v>
      </c>
      <c r="R1099" s="6" t="s">
        <v>10378</v>
      </c>
      <c r="S1099" s="6" t="s">
        <v>104</v>
      </c>
      <c r="T1099" s="21" t="s">
        <v>104</v>
      </c>
      <c r="U1099" s="6" t="s">
        <v>104</v>
      </c>
      <c r="V1099" s="6" t="s">
        <v>104</v>
      </c>
      <c r="W1099" s="6" t="s">
        <v>104</v>
      </c>
      <c r="X1099" s="6" t="s">
        <v>104</v>
      </c>
      <c r="Y1099" s="21" t="s">
        <v>104</v>
      </c>
      <c r="Z1099" s="6" t="s">
        <v>104</v>
      </c>
      <c r="AA1099" s="6" t="s">
        <v>104</v>
      </c>
      <c r="AB1099" s="6" t="s">
        <v>104</v>
      </c>
      <c r="AC1099" s="6" t="s">
        <v>9714</v>
      </c>
      <c r="AD1099" s="16" t="n">
        <v>41437</v>
      </c>
      <c r="AE1099" s="6" t="s">
        <v>11487</v>
      </c>
      <c r="AF1099" s="6" t="s">
        <v>104</v>
      </c>
      <c r="AG1099" s="6" t="s">
        <v>10378</v>
      </c>
      <c r="AH1099" s="6" t="s">
        <v>14160</v>
      </c>
      <c r="AI1099" s="6" t="s">
        <v>104</v>
      </c>
      <c r="AJ1099" s="6" t="s">
        <v>15838</v>
      </c>
      <c r="AK1099" s="6" t="s">
        <v>15482</v>
      </c>
      <c r="AL1099" s="6" t="s">
        <v>16939</v>
      </c>
      <c r="AM1099" s="6" t="s">
        <v>104</v>
      </c>
      <c r="AN1099" s="6" t="s">
        <v>104</v>
      </c>
      <c r="AO1099" s="6" t="s">
        <v>104</v>
      </c>
      <c r="AP1099" s="6" t="s">
        <v>104</v>
      </c>
      <c r="AQ1099" s="6" t="s">
        <v>104</v>
      </c>
      <c r="AR1099" s="6" t="s">
        <v>104</v>
      </c>
      <c r="AS1099" s="6" t="s">
        <v>104</v>
      </c>
      <c r="AT1099" s="6" t="s">
        <v>104</v>
      </c>
      <c r="AU1099" s="6" t="s">
        <v>104</v>
      </c>
      <c r="AV1099" s="6" t="s">
        <v>104</v>
      </c>
      <c r="AW1099" s="6" t="s">
        <v>104</v>
      </c>
      <c r="AX1099" s="6" t="s">
        <v>20976</v>
      </c>
      <c r="AY1099" s="6" t="s">
        <v>22763</v>
      </c>
      <c r="AZ1099" s="6" t="s">
        <v>104</v>
      </c>
      <c r="BA1099" s="6" t="s">
        <v>104</v>
      </c>
      <c r="BB1099" s="24" t="n">
        <v>1134</v>
      </c>
      <c r="BC1099" s="26"/>
      <c r="BD1099" s="26"/>
      <c r="BE1099" s="26"/>
      <c r="BF1099" s="26"/>
      <c r="BG1099" s="26"/>
      <c r="BH1099" s="26"/>
      <c r="BI1099" s="26"/>
      <c r="BJ1099" s="26"/>
      <c r="BK1099" s="26"/>
      <c r="BL1099" s="26"/>
      <c r="BM1099" s="26"/>
      <c r="BN1099" s="26"/>
      <c r="BO1099" s="26" t="s">
        <v>24533</v>
      </c>
      <c r="BP1099" s="16" t="n">
        <v>45538</v>
      </c>
      <c r="BQ1099" s="28" t="str">
        <f>HYPERLINK("https://organic.ams.usda.gov/Integrity/Certificate.aspx?cid=17&amp;nopid=4080400049")</f>
        <v>https://organic.ams.usda.gov/Integrity/Certificate.aspx?cid=17&amp;nopid=4080400049</v>
      </c>
    </row>
    <row r="1100">
      <c r="A1100" t="s">
        <v>3</v>
      </c>
      <c r="B1100" s="6" t="s">
        <v>6</v>
      </c>
      <c r="C1100" s="6" t="s">
        <v>72</v>
      </c>
      <c r="D1100" s="6" t="s">
        <v>137</v>
      </c>
      <c r="E1100" s="10" t="s">
        <v>1298</v>
      </c>
      <c r="F1100" s="6" t="s">
        <v>3542</v>
      </c>
      <c r="G1100" s="6" t="s">
        <v>104</v>
      </c>
      <c r="H1100" s="6" t="s">
        <v>5895</v>
      </c>
      <c r="I1100" s="6" t="s">
        <v>7486</v>
      </c>
      <c r="J1100" s="6" t="s">
        <v>104</v>
      </c>
      <c r="K1100" s="6" t="s">
        <v>9714</v>
      </c>
      <c r="L1100" s="16" t="n">
        <v>42804</v>
      </c>
      <c r="M1100" s="16" t="n">
        <v>45800</v>
      </c>
      <c r="N1100" s="6" t="s">
        <v>104</v>
      </c>
      <c r="O1100" s="21" t="s">
        <v>104</v>
      </c>
      <c r="P1100" s="6" t="s">
        <v>104</v>
      </c>
      <c r="Q1100" s="6" t="s">
        <v>104</v>
      </c>
      <c r="R1100" s="6" t="s">
        <v>104</v>
      </c>
      <c r="S1100" s="6" t="s">
        <v>104</v>
      </c>
      <c r="T1100" s="21" t="s">
        <v>104</v>
      </c>
      <c r="U1100" s="6" t="s">
        <v>104</v>
      </c>
      <c r="V1100" s="6" t="s">
        <v>104</v>
      </c>
      <c r="W1100" s="6" t="s">
        <v>104</v>
      </c>
      <c r="X1100" s="6" t="s">
        <v>104</v>
      </c>
      <c r="Y1100" s="21" t="s">
        <v>104</v>
      </c>
      <c r="Z1100" s="6" t="s">
        <v>104</v>
      </c>
      <c r="AA1100" s="6" t="s">
        <v>104</v>
      </c>
      <c r="AB1100" s="6" t="s">
        <v>104</v>
      </c>
      <c r="AC1100" s="6" t="s">
        <v>9714</v>
      </c>
      <c r="AD1100" s="16" t="n">
        <v>42804</v>
      </c>
      <c r="AE1100" s="6" t="s">
        <v>11488</v>
      </c>
      <c r="AF1100" s="6" t="s">
        <v>104</v>
      </c>
      <c r="AG1100" s="6" t="s">
        <v>12835</v>
      </c>
      <c r="AH1100" s="6" t="s">
        <v>14161</v>
      </c>
      <c r="AI1100" s="6" t="s">
        <v>104</v>
      </c>
      <c r="AJ1100" s="6" t="s">
        <v>16079</v>
      </c>
      <c r="AK1100" s="6" t="s">
        <v>16846</v>
      </c>
      <c r="AL1100" s="6" t="s">
        <v>16930</v>
      </c>
      <c r="AM1100" s="6" t="s">
        <v>17731</v>
      </c>
      <c r="AN1100" s="6" t="s">
        <v>104</v>
      </c>
      <c r="AO1100" s="6" t="s">
        <v>104</v>
      </c>
      <c r="AP1100" s="6" t="s">
        <v>104</v>
      </c>
      <c r="AQ1100" s="6" t="s">
        <v>104</v>
      </c>
      <c r="AR1100" s="6" t="s">
        <v>104</v>
      </c>
      <c r="AS1100" s="6" t="s">
        <v>104</v>
      </c>
      <c r="AT1100" s="6" t="s">
        <v>104</v>
      </c>
      <c r="AU1100" s="6" t="s">
        <v>104</v>
      </c>
      <c r="AV1100" s="6" t="s">
        <v>104</v>
      </c>
      <c r="AW1100" s="6" t="s">
        <v>104</v>
      </c>
      <c r="AX1100" s="6" t="s">
        <v>20977</v>
      </c>
      <c r="AY1100" s="6" t="s">
        <v>22764</v>
      </c>
      <c r="AZ1100" s="6" t="s">
        <v>104</v>
      </c>
      <c r="BA1100" s="6" t="s">
        <v>104</v>
      </c>
      <c r="BB1100" s="6" t="s">
        <v>104</v>
      </c>
      <c r="BC1100" s="26"/>
      <c r="BD1100" s="26"/>
      <c r="BE1100" s="26"/>
      <c r="BF1100" s="26"/>
      <c r="BG1100" s="26"/>
      <c r="BH1100" s="26"/>
      <c r="BI1100" s="26"/>
      <c r="BJ1100" s="26"/>
      <c r="BK1100" s="26"/>
      <c r="BL1100" s="26"/>
      <c r="BM1100" s="26"/>
      <c r="BN1100" s="26"/>
      <c r="BO1100" s="26"/>
      <c r="BP1100" s="16" t="n">
        <v>45737</v>
      </c>
      <c r="BQ1100" s="28" t="str">
        <f>HYPERLINK("https://organic.ams.usda.gov/Integrity/Certificate.aspx?cid=32&amp;nopid=2230005230")</f>
        <v>https://organic.ams.usda.gov/Integrity/Certificate.aspx?cid=32&amp;nopid=2230005230</v>
      </c>
    </row>
    <row r="1101">
      <c r="A1101" t="s">
        <v>3</v>
      </c>
      <c r="B1101" s="6" t="s">
        <v>58</v>
      </c>
      <c r="C1101" s="6" t="s">
        <v>124</v>
      </c>
      <c r="D1101" s="6" t="s">
        <v>188</v>
      </c>
      <c r="E1101" s="10" t="s">
        <v>1299</v>
      </c>
      <c r="F1101" s="6" t="s">
        <v>3543</v>
      </c>
      <c r="G1101" s="6" t="s">
        <v>104</v>
      </c>
      <c r="H1101" s="6" t="s">
        <v>5896</v>
      </c>
      <c r="I1101" s="6" t="s">
        <v>7594</v>
      </c>
      <c r="J1101" s="6" t="s">
        <v>8961</v>
      </c>
      <c r="K1101" s="6" t="s">
        <v>9714</v>
      </c>
      <c r="L1101" s="16" t="n">
        <v>45397</v>
      </c>
      <c r="M1101" s="16" t="n">
        <v>45761</v>
      </c>
      <c r="N1101" s="6" t="s">
        <v>104</v>
      </c>
      <c r="O1101" s="21" t="s">
        <v>104</v>
      </c>
      <c r="P1101" s="6" t="s">
        <v>104</v>
      </c>
      <c r="Q1101" s="6" t="s">
        <v>104</v>
      </c>
      <c r="R1101" s="6" t="s">
        <v>104</v>
      </c>
      <c r="S1101" s="6" t="s">
        <v>104</v>
      </c>
      <c r="T1101" s="21" t="s">
        <v>104</v>
      </c>
      <c r="U1101" s="6" t="s">
        <v>104</v>
      </c>
      <c r="V1101" s="6" t="s">
        <v>104</v>
      </c>
      <c r="W1101" s="6" t="s">
        <v>104</v>
      </c>
      <c r="X1101" s="6" t="s">
        <v>104</v>
      </c>
      <c r="Y1101" s="21" t="s">
        <v>104</v>
      </c>
      <c r="Z1101" s="6" t="s">
        <v>104</v>
      </c>
      <c r="AA1101" s="6" t="s">
        <v>104</v>
      </c>
      <c r="AB1101" s="6" t="s">
        <v>104</v>
      </c>
      <c r="AC1101" s="6" t="s">
        <v>9714</v>
      </c>
      <c r="AD1101" s="16" t="n">
        <v>45397</v>
      </c>
      <c r="AE1101" s="6" t="s">
        <v>11489</v>
      </c>
      <c r="AF1101" s="6" t="s">
        <v>104</v>
      </c>
      <c r="AG1101" s="6" t="s">
        <v>12836</v>
      </c>
      <c r="AH1101" s="6" t="s">
        <v>14162</v>
      </c>
      <c r="AI1101" s="6" t="s">
        <v>15292</v>
      </c>
      <c r="AJ1101" s="6" t="s">
        <v>16080</v>
      </c>
      <c r="AK1101" s="6" t="s">
        <v>15749</v>
      </c>
      <c r="AL1101" s="6" t="s">
        <v>16943</v>
      </c>
      <c r="AM1101" s="6" t="s">
        <v>17732</v>
      </c>
      <c r="AN1101" s="6" t="s">
        <v>104</v>
      </c>
      <c r="AO1101" s="6" t="s">
        <v>104</v>
      </c>
      <c r="AP1101" s="6" t="s">
        <v>14162</v>
      </c>
      <c r="AQ1101" s="6" t="s">
        <v>15292</v>
      </c>
      <c r="AR1101" s="6" t="s">
        <v>16080</v>
      </c>
      <c r="AS1101" s="6" t="s">
        <v>15749</v>
      </c>
      <c r="AT1101" s="6" t="s">
        <v>16943</v>
      </c>
      <c r="AU1101" s="6" t="s">
        <v>17732</v>
      </c>
      <c r="AV1101" s="6" t="s">
        <v>104</v>
      </c>
      <c r="AW1101" s="6" t="s">
        <v>104</v>
      </c>
      <c r="AX1101" s="6" t="s">
        <v>20978</v>
      </c>
      <c r="AY1101" s="6" t="s">
        <v>22765</v>
      </c>
      <c r="AZ1101" s="6" t="s">
        <v>104</v>
      </c>
      <c r="BA1101" s="6" t="s">
        <v>104</v>
      </c>
      <c r="BB1101" s="24" t="n">
        <v>0</v>
      </c>
      <c r="BC1101" s="26"/>
      <c r="BD1101" s="26"/>
      <c r="BE1101" s="26"/>
      <c r="BF1101" s="26"/>
      <c r="BG1101" s="26"/>
      <c r="BH1101" s="26" t="s">
        <v>24533</v>
      </c>
      <c r="BI1101" s="26"/>
      <c r="BJ1101" s="26"/>
      <c r="BK1101" s="26"/>
      <c r="BL1101" s="26"/>
      <c r="BM1101" s="26"/>
      <c r="BN1101" s="26"/>
      <c r="BO1101" s="26"/>
      <c r="BP1101" s="16" t="n">
        <v>45720</v>
      </c>
      <c r="BQ1101" s="28" t="str">
        <f>HYPERLINK("https://organic.ams.usda.gov/Integrity/Certificate.aspx?cid=16&amp;nopid=7281691133")</f>
        <v>https://organic.ams.usda.gov/Integrity/Certificate.aspx?cid=16&amp;nopid=7281691133</v>
      </c>
    </row>
    <row r="1102">
      <c r="A1102" t="s">
        <v>3</v>
      </c>
      <c r="B1102" s="6" t="s">
        <v>51</v>
      </c>
      <c r="C1102" s="6" t="s">
        <v>117</v>
      </c>
      <c r="D1102" s="6" t="s">
        <v>181</v>
      </c>
      <c r="E1102" s="10" t="s">
        <v>1300</v>
      </c>
      <c r="F1102" s="6" t="s">
        <v>3544</v>
      </c>
      <c r="G1102" s="6" t="s">
        <v>104</v>
      </c>
      <c r="H1102" s="6" t="s">
        <v>5472</v>
      </c>
      <c r="I1102" s="6" t="s">
        <v>7595</v>
      </c>
      <c r="J1102" s="6" t="s">
        <v>8154</v>
      </c>
      <c r="K1102" s="6" t="s">
        <v>9714</v>
      </c>
      <c r="L1102" s="16" t="n">
        <v>44803</v>
      </c>
      <c r="M1102" s="16" t="n">
        <v>45839</v>
      </c>
      <c r="N1102" s="6" t="s">
        <v>104</v>
      </c>
      <c r="O1102" s="21" t="s">
        <v>104</v>
      </c>
      <c r="P1102" s="6" t="s">
        <v>104</v>
      </c>
      <c r="Q1102" s="6" t="s">
        <v>104</v>
      </c>
      <c r="R1102" s="6" t="s">
        <v>104</v>
      </c>
      <c r="S1102" s="6" t="s">
        <v>104</v>
      </c>
      <c r="T1102" s="21" t="s">
        <v>104</v>
      </c>
      <c r="U1102" s="6" t="s">
        <v>104</v>
      </c>
      <c r="V1102" s="6" t="s">
        <v>104</v>
      </c>
      <c r="W1102" s="6" t="s">
        <v>104</v>
      </c>
      <c r="X1102" s="6" t="s">
        <v>104</v>
      </c>
      <c r="Y1102" s="21" t="s">
        <v>104</v>
      </c>
      <c r="Z1102" s="6" t="s">
        <v>104</v>
      </c>
      <c r="AA1102" s="6" t="s">
        <v>104</v>
      </c>
      <c r="AB1102" s="6" t="s">
        <v>104</v>
      </c>
      <c r="AC1102" s="6" t="s">
        <v>9714</v>
      </c>
      <c r="AD1102" s="16" t="n">
        <v>44803</v>
      </c>
      <c r="AE1102" s="6" t="s">
        <v>11490</v>
      </c>
      <c r="AF1102" s="6" t="s">
        <v>104</v>
      </c>
      <c r="AG1102" s="6" t="s">
        <v>12837</v>
      </c>
      <c r="AH1102" s="6" t="s">
        <v>14163</v>
      </c>
      <c r="AI1102" s="6" t="s">
        <v>104</v>
      </c>
      <c r="AJ1102" s="6" t="s">
        <v>16081</v>
      </c>
      <c r="AK1102" s="6" t="s">
        <v>16847</v>
      </c>
      <c r="AL1102" s="6" t="s">
        <v>16932</v>
      </c>
      <c r="AM1102" s="6" t="s">
        <v>17733</v>
      </c>
      <c r="AN1102" s="6" t="s">
        <v>104</v>
      </c>
      <c r="AO1102" s="6" t="s">
        <v>104</v>
      </c>
      <c r="AP1102" s="6" t="s">
        <v>14163</v>
      </c>
      <c r="AQ1102" s="6" t="s">
        <v>104</v>
      </c>
      <c r="AR1102" s="6" t="s">
        <v>16081</v>
      </c>
      <c r="AS1102" s="6" t="s">
        <v>16847</v>
      </c>
      <c r="AT1102" s="6" t="s">
        <v>16932</v>
      </c>
      <c r="AU1102" s="6" t="s">
        <v>17733</v>
      </c>
      <c r="AV1102" s="6" t="s">
        <v>104</v>
      </c>
      <c r="AW1102" s="6" t="s">
        <v>104</v>
      </c>
      <c r="AX1102" s="6" t="s">
        <v>20979</v>
      </c>
      <c r="AY1102" s="6" t="s">
        <v>22766</v>
      </c>
      <c r="AZ1102" s="6" t="s">
        <v>104</v>
      </c>
      <c r="BA1102" s="6" t="s">
        <v>24410</v>
      </c>
      <c r="BB1102" s="6" t="s">
        <v>104</v>
      </c>
      <c r="BC1102" s="26"/>
      <c r="BD1102" s="26"/>
      <c r="BE1102" s="26"/>
      <c r="BF1102" s="26"/>
      <c r="BG1102" s="26"/>
      <c r="BH1102" s="26"/>
      <c r="BI1102" s="26"/>
      <c r="BJ1102" s="26"/>
      <c r="BK1102" s="26"/>
      <c r="BL1102" s="26"/>
      <c r="BM1102" s="26"/>
      <c r="BN1102" s="26"/>
      <c r="BO1102" s="26"/>
      <c r="BP1102" s="16" t="n">
        <v>45616</v>
      </c>
      <c r="BQ1102" s="28" t="str">
        <f>HYPERLINK("https://organic.ams.usda.gov/Integrity/Certificate.aspx?cid=40&amp;nopid=4490003731")</f>
        <v>https://organic.ams.usda.gov/Integrity/Certificate.aspx?cid=40&amp;nopid=4490003731</v>
      </c>
    </row>
    <row r="1103">
      <c r="A1103" t="s">
        <v>3</v>
      </c>
      <c r="B1103" s="6" t="s">
        <v>14</v>
      </c>
      <c r="C1103" s="6" t="s">
        <v>80</v>
      </c>
      <c r="D1103" s="6" t="s">
        <v>145</v>
      </c>
      <c r="E1103" s="10" t="s">
        <v>1301</v>
      </c>
      <c r="F1103" s="6" t="s">
        <v>3545</v>
      </c>
      <c r="G1103" s="6" t="s">
        <v>104</v>
      </c>
      <c r="H1103" s="6" t="s">
        <v>5897</v>
      </c>
      <c r="I1103" s="6" t="s">
        <v>7596</v>
      </c>
      <c r="J1103" s="6" t="s">
        <v>8257</v>
      </c>
      <c r="K1103" s="6" t="s">
        <v>9714</v>
      </c>
      <c r="L1103" s="16" t="n">
        <v>45034</v>
      </c>
      <c r="M1103" s="16" t="n">
        <v>45667</v>
      </c>
      <c r="N1103" s="6" t="s">
        <v>9714</v>
      </c>
      <c r="O1103" s="16" t="n">
        <v>45034</v>
      </c>
      <c r="P1103" s="6" t="s">
        <v>10031</v>
      </c>
      <c r="Q1103" s="6" t="s">
        <v>104</v>
      </c>
      <c r="R1103" s="6" t="s">
        <v>104</v>
      </c>
      <c r="S1103" s="6" t="s">
        <v>104</v>
      </c>
      <c r="T1103" s="21" t="s">
        <v>104</v>
      </c>
      <c r="U1103" s="6" t="s">
        <v>104</v>
      </c>
      <c r="V1103" s="6" t="s">
        <v>104</v>
      </c>
      <c r="W1103" s="6" t="s">
        <v>104</v>
      </c>
      <c r="X1103" s="6" t="s">
        <v>104</v>
      </c>
      <c r="Y1103" s="21" t="s">
        <v>104</v>
      </c>
      <c r="Z1103" s="6" t="s">
        <v>104</v>
      </c>
      <c r="AA1103" s="6" t="s">
        <v>104</v>
      </c>
      <c r="AB1103" s="6" t="s">
        <v>104</v>
      </c>
      <c r="AC1103" s="6" t="s">
        <v>104</v>
      </c>
      <c r="AD1103" s="21" t="s">
        <v>104</v>
      </c>
      <c r="AE1103" s="6" t="s">
        <v>104</v>
      </c>
      <c r="AF1103" s="6" t="s">
        <v>104</v>
      </c>
      <c r="AG1103" s="6" t="s">
        <v>104</v>
      </c>
      <c r="AH1103" s="6" t="s">
        <v>14164</v>
      </c>
      <c r="AI1103" s="6" t="s">
        <v>104</v>
      </c>
      <c r="AJ1103" s="6" t="s">
        <v>15398</v>
      </c>
      <c r="AK1103" s="6" t="s">
        <v>16699</v>
      </c>
      <c r="AL1103" s="6" t="s">
        <v>16932</v>
      </c>
      <c r="AM1103" s="6" t="s">
        <v>17734</v>
      </c>
      <c r="AN1103" s="6" t="s">
        <v>104</v>
      </c>
      <c r="AO1103" s="6" t="s">
        <v>104</v>
      </c>
      <c r="AP1103" s="6" t="s">
        <v>19224</v>
      </c>
      <c r="AQ1103" s="6" t="s">
        <v>104</v>
      </c>
      <c r="AR1103" s="6" t="s">
        <v>19694</v>
      </c>
      <c r="AS1103" s="6" t="s">
        <v>16699</v>
      </c>
      <c r="AT1103" s="6" t="s">
        <v>16932</v>
      </c>
      <c r="AU1103" s="6" t="s">
        <v>17571</v>
      </c>
      <c r="AV1103" s="6" t="s">
        <v>104</v>
      </c>
      <c r="AW1103" s="6" t="s">
        <v>104</v>
      </c>
      <c r="AX1103" s="6" t="s">
        <v>104</v>
      </c>
      <c r="AY1103" s="6" t="s">
        <v>22767</v>
      </c>
      <c r="AZ1103" s="6" t="s">
        <v>104</v>
      </c>
      <c r="BA1103" s="6" t="s">
        <v>104</v>
      </c>
      <c r="BB1103" s="24" t="n">
        <v>1830</v>
      </c>
      <c r="BC1103" s="26"/>
      <c r="BD1103" s="26"/>
      <c r="BE1103" s="26"/>
      <c r="BF1103" s="26"/>
      <c r="BG1103" s="26"/>
      <c r="BH1103" s="26"/>
      <c r="BI1103" s="26"/>
      <c r="BJ1103" s="26"/>
      <c r="BK1103" s="26"/>
      <c r="BL1103" s="26"/>
      <c r="BM1103" s="26"/>
      <c r="BN1103" s="26"/>
      <c r="BO1103" s="26"/>
      <c r="BP1103" s="16" t="n">
        <v>45672</v>
      </c>
      <c r="BQ1103" s="28" t="str">
        <f>HYPERLINK("https://organic.ams.usda.gov/Integrity/Certificate.aspx?cid=89&amp;nopid=4920005567")</f>
        <v>https://organic.ams.usda.gov/Integrity/Certificate.aspx?cid=89&amp;nopid=4920005567</v>
      </c>
    </row>
    <row r="1104">
      <c r="A1104" t="s">
        <v>3</v>
      </c>
      <c r="B1104" s="6" t="s">
        <v>45</v>
      </c>
      <c r="C1104" s="6" t="s">
        <v>111</v>
      </c>
      <c r="D1104" s="6" t="s">
        <v>175</v>
      </c>
      <c r="E1104" s="10" t="s">
        <v>1302</v>
      </c>
      <c r="F1104" s="6" t="s">
        <v>3546</v>
      </c>
      <c r="G1104" s="6" t="s">
        <v>104</v>
      </c>
      <c r="H1104" s="6" t="s">
        <v>5898</v>
      </c>
      <c r="I1104" s="6" t="s">
        <v>7597</v>
      </c>
      <c r="J1104" s="6" t="s">
        <v>8962</v>
      </c>
      <c r="K1104" s="6" t="s">
        <v>9714</v>
      </c>
      <c r="L1104" s="16" t="n">
        <v>45407</v>
      </c>
      <c r="M1104" s="16" t="n">
        <v>46082</v>
      </c>
      <c r="N1104" s="6" t="s">
        <v>104</v>
      </c>
      <c r="O1104" s="21" t="s">
        <v>104</v>
      </c>
      <c r="P1104" s="6" t="s">
        <v>104</v>
      </c>
      <c r="Q1104" s="6" t="s">
        <v>104</v>
      </c>
      <c r="R1104" s="6" t="s">
        <v>104</v>
      </c>
      <c r="S1104" s="6" t="s">
        <v>104</v>
      </c>
      <c r="T1104" s="21" t="s">
        <v>104</v>
      </c>
      <c r="U1104" s="6" t="s">
        <v>104</v>
      </c>
      <c r="V1104" s="6" t="s">
        <v>104</v>
      </c>
      <c r="W1104" s="6" t="s">
        <v>104</v>
      </c>
      <c r="X1104" s="6" t="s">
        <v>104</v>
      </c>
      <c r="Y1104" s="21" t="s">
        <v>104</v>
      </c>
      <c r="Z1104" s="6" t="s">
        <v>104</v>
      </c>
      <c r="AA1104" s="6" t="s">
        <v>104</v>
      </c>
      <c r="AB1104" s="6" t="s">
        <v>104</v>
      </c>
      <c r="AC1104" s="6" t="s">
        <v>9714</v>
      </c>
      <c r="AD1104" s="16" t="n">
        <v>45407</v>
      </c>
      <c r="AE1104" s="6" t="s">
        <v>11491</v>
      </c>
      <c r="AF1104" s="6" t="s">
        <v>104</v>
      </c>
      <c r="AG1104" s="6" t="s">
        <v>4667</v>
      </c>
      <c r="AH1104" s="6" t="s">
        <v>14165</v>
      </c>
      <c r="AI1104" s="6" t="s">
        <v>104</v>
      </c>
      <c r="AJ1104" s="6" t="s">
        <v>16082</v>
      </c>
      <c r="AK1104" s="6" t="s">
        <v>16382</v>
      </c>
      <c r="AL1104" s="6" t="s">
        <v>16931</v>
      </c>
      <c r="AM1104" s="6" t="s">
        <v>17735</v>
      </c>
      <c r="AN1104" s="6" t="s">
        <v>104</v>
      </c>
      <c r="AO1104" s="6" t="s">
        <v>104</v>
      </c>
      <c r="AP1104" s="6" t="s">
        <v>19225</v>
      </c>
      <c r="AQ1104" s="6" t="s">
        <v>104</v>
      </c>
      <c r="AR1104" s="6" t="s">
        <v>16082</v>
      </c>
      <c r="AS1104" s="6" t="s">
        <v>16382</v>
      </c>
      <c r="AT1104" s="6" t="s">
        <v>16931</v>
      </c>
      <c r="AU1104" s="6" t="s">
        <v>17735</v>
      </c>
      <c r="AV1104" s="6" t="s">
        <v>104</v>
      </c>
      <c r="AW1104" s="6" t="s">
        <v>104</v>
      </c>
      <c r="AX1104" s="6" t="s">
        <v>20980</v>
      </c>
      <c r="AY1104" s="6" t="s">
        <v>22768</v>
      </c>
      <c r="AZ1104" s="6" t="s">
        <v>23970</v>
      </c>
      <c r="BA1104" s="6" t="s">
        <v>104</v>
      </c>
      <c r="BB1104" s="6" t="s">
        <v>104</v>
      </c>
      <c r="BC1104" s="26"/>
      <c r="BD1104" s="26"/>
      <c r="BE1104" s="26"/>
      <c r="BF1104" s="26"/>
      <c r="BG1104" s="26"/>
      <c r="BH1104" s="26" t="s">
        <v>24533</v>
      </c>
      <c r="BI1104" s="26"/>
      <c r="BJ1104" s="26"/>
      <c r="BK1104" s="26"/>
      <c r="BL1104" s="26"/>
      <c r="BM1104" s="26"/>
      <c r="BN1104" s="26"/>
      <c r="BO1104" s="26"/>
      <c r="BP1104" s="16" t="n">
        <v>45739</v>
      </c>
      <c r="BQ1104" s="28" t="str">
        <f>HYPERLINK("https://organic.ams.usda.gov/Integrity/Certificate.aspx?cid=82&amp;nopid=2780003954")</f>
        <v>https://organic.ams.usda.gov/Integrity/Certificate.aspx?cid=82&amp;nopid=2780003954</v>
      </c>
    </row>
    <row r="1105">
      <c r="A1105" t="s">
        <v>3</v>
      </c>
      <c r="B1105" s="6" t="s">
        <v>11</v>
      </c>
      <c r="C1105" s="6" t="s">
        <v>77</v>
      </c>
      <c r="D1105" s="6" t="s">
        <v>142</v>
      </c>
      <c r="E1105" s="10" t="s">
        <v>1303</v>
      </c>
      <c r="F1105" s="6" t="s">
        <v>3547</v>
      </c>
      <c r="G1105" s="6" t="s">
        <v>104</v>
      </c>
      <c r="H1105" s="6" t="s">
        <v>5899</v>
      </c>
      <c r="I1105" s="6" t="s">
        <v>7598</v>
      </c>
      <c r="J1105" s="6" t="s">
        <v>8963</v>
      </c>
      <c r="K1105" s="6" t="s">
        <v>9714</v>
      </c>
      <c r="L1105" s="16" t="n">
        <v>45279</v>
      </c>
      <c r="M1105" s="16" t="n">
        <v>45932</v>
      </c>
      <c r="N1105" s="6" t="s">
        <v>9714</v>
      </c>
      <c r="O1105" s="16" t="n">
        <v>45279</v>
      </c>
      <c r="P1105" s="6" t="s">
        <v>10032</v>
      </c>
      <c r="Q1105" s="6" t="s">
        <v>104</v>
      </c>
      <c r="R1105" s="6" t="s">
        <v>104</v>
      </c>
      <c r="S1105" s="6" t="s">
        <v>104</v>
      </c>
      <c r="T1105" s="21" t="s">
        <v>104</v>
      </c>
      <c r="U1105" s="6" t="s">
        <v>104</v>
      </c>
      <c r="V1105" s="6" t="s">
        <v>104</v>
      </c>
      <c r="W1105" s="6" t="s">
        <v>104</v>
      </c>
      <c r="X1105" s="6" t="s">
        <v>104</v>
      </c>
      <c r="Y1105" s="21" t="s">
        <v>104</v>
      </c>
      <c r="Z1105" s="6" t="s">
        <v>104</v>
      </c>
      <c r="AA1105" s="6" t="s">
        <v>104</v>
      </c>
      <c r="AB1105" s="6" t="s">
        <v>104</v>
      </c>
      <c r="AC1105" s="6" t="s">
        <v>9714</v>
      </c>
      <c r="AD1105" s="16" t="n">
        <v>45279</v>
      </c>
      <c r="AE1105" s="6" t="s">
        <v>11492</v>
      </c>
      <c r="AF1105" s="6" t="s">
        <v>104</v>
      </c>
      <c r="AG1105" s="6" t="s">
        <v>104</v>
      </c>
      <c r="AH1105" s="6" t="s">
        <v>14166</v>
      </c>
      <c r="AI1105" s="6" t="s">
        <v>104</v>
      </c>
      <c r="AJ1105" s="6" t="s">
        <v>16083</v>
      </c>
      <c r="AK1105" s="6" t="s">
        <v>16083</v>
      </c>
      <c r="AL1105" s="6" t="s">
        <v>16974</v>
      </c>
      <c r="AM1105" s="6" t="s">
        <v>17736</v>
      </c>
      <c r="AN1105" s="6" t="s">
        <v>104</v>
      </c>
      <c r="AO1105" s="6" t="s">
        <v>104</v>
      </c>
      <c r="AP1105" s="6" t="s">
        <v>14166</v>
      </c>
      <c r="AQ1105" s="6" t="s">
        <v>104</v>
      </c>
      <c r="AR1105" s="6" t="s">
        <v>16083</v>
      </c>
      <c r="AS1105" s="6" t="s">
        <v>16083</v>
      </c>
      <c r="AT1105" s="6" t="s">
        <v>16974</v>
      </c>
      <c r="AU1105" s="6" t="s">
        <v>17736</v>
      </c>
      <c r="AV1105" s="6" t="s">
        <v>104</v>
      </c>
      <c r="AW1105" s="6" t="s">
        <v>104</v>
      </c>
      <c r="AX1105" s="6" t="s">
        <v>20981</v>
      </c>
      <c r="AY1105" s="6" t="s">
        <v>22769</v>
      </c>
      <c r="AZ1105" s="6" t="s">
        <v>104</v>
      </c>
      <c r="BA1105" s="6" t="s">
        <v>24279</v>
      </c>
      <c r="BB1105" s="24" t="n">
        <v>46856</v>
      </c>
      <c r="BC1105" s="26"/>
      <c r="BD1105" s="26"/>
      <c r="BE1105" s="26"/>
      <c r="BF1105" s="26"/>
      <c r="BG1105" s="26"/>
      <c r="BH1105" s="26"/>
      <c r="BI1105" s="26"/>
      <c r="BJ1105" s="26"/>
      <c r="BK1105" s="26"/>
      <c r="BL1105" s="26"/>
      <c r="BM1105" s="26"/>
      <c r="BN1105" s="26"/>
      <c r="BO1105" s="26" t="s">
        <v>24533</v>
      </c>
      <c r="BP1105" s="16" t="n">
        <v>45723</v>
      </c>
      <c r="BQ1105" s="28" t="str">
        <f>HYPERLINK("https://organic.ams.usda.gov/Integrity/Certificate.aspx?cid=21&amp;nopid=1780897601")</f>
        <v>https://organic.ams.usda.gov/Integrity/Certificate.aspx?cid=21&amp;nopid=1780897601</v>
      </c>
    </row>
    <row r="1106">
      <c r="A1106" t="s">
        <v>3</v>
      </c>
      <c r="B1106" s="6" t="s">
        <v>18</v>
      </c>
      <c r="C1106" s="6" t="s">
        <v>84</v>
      </c>
      <c r="D1106" s="6" t="s">
        <v>149</v>
      </c>
      <c r="E1106" s="10" t="s">
        <v>1304</v>
      </c>
      <c r="F1106" s="6" t="s">
        <v>3548</v>
      </c>
      <c r="G1106" s="6" t="s">
        <v>104</v>
      </c>
      <c r="H1106" s="6" t="s">
        <v>5900</v>
      </c>
      <c r="I1106" s="6" t="s">
        <v>7599</v>
      </c>
      <c r="J1106" s="6" t="s">
        <v>8958</v>
      </c>
      <c r="K1106" s="6" t="s">
        <v>9714</v>
      </c>
      <c r="L1106" s="16" t="n">
        <v>39287</v>
      </c>
      <c r="M1106" s="16" t="n">
        <v>45967</v>
      </c>
      <c r="N1106" s="6" t="s">
        <v>104</v>
      </c>
      <c r="O1106" s="21" t="s">
        <v>104</v>
      </c>
      <c r="P1106" s="6" t="s">
        <v>104</v>
      </c>
      <c r="Q1106" s="6" t="s">
        <v>104</v>
      </c>
      <c r="R1106" s="6" t="s">
        <v>104</v>
      </c>
      <c r="S1106" s="6" t="s">
        <v>104</v>
      </c>
      <c r="T1106" s="21" t="s">
        <v>104</v>
      </c>
      <c r="U1106" s="6" t="s">
        <v>104</v>
      </c>
      <c r="V1106" s="6" t="s">
        <v>104</v>
      </c>
      <c r="W1106" s="6" t="s">
        <v>104</v>
      </c>
      <c r="X1106" s="6" t="s">
        <v>104</v>
      </c>
      <c r="Y1106" s="21" t="s">
        <v>104</v>
      </c>
      <c r="Z1106" s="6" t="s">
        <v>104</v>
      </c>
      <c r="AA1106" s="6" t="s">
        <v>104</v>
      </c>
      <c r="AB1106" s="6" t="s">
        <v>104</v>
      </c>
      <c r="AC1106" s="6" t="s">
        <v>9714</v>
      </c>
      <c r="AD1106" s="16" t="n">
        <v>39287</v>
      </c>
      <c r="AE1106" s="6" t="s">
        <v>11493</v>
      </c>
      <c r="AF1106" s="6" t="s">
        <v>104</v>
      </c>
      <c r="AG1106" s="6" t="s">
        <v>12838</v>
      </c>
      <c r="AH1106" s="6" t="s">
        <v>14167</v>
      </c>
      <c r="AI1106" s="6" t="s">
        <v>104</v>
      </c>
      <c r="AJ1106" s="6" t="s">
        <v>16084</v>
      </c>
      <c r="AK1106" s="6" t="s">
        <v>16706</v>
      </c>
      <c r="AL1106" s="6" t="s">
        <v>16931</v>
      </c>
      <c r="AM1106" s="6" t="s">
        <v>17737</v>
      </c>
      <c r="AN1106" s="6" t="s">
        <v>18540</v>
      </c>
      <c r="AO1106" s="6" t="s">
        <v>18786</v>
      </c>
      <c r="AP1106" s="6" t="s">
        <v>104</v>
      </c>
      <c r="AQ1106" s="6" t="s">
        <v>104</v>
      </c>
      <c r="AR1106" s="6" t="s">
        <v>104</v>
      </c>
      <c r="AS1106" s="6" t="s">
        <v>104</v>
      </c>
      <c r="AT1106" s="6" t="s">
        <v>104</v>
      </c>
      <c r="AU1106" s="6" t="s">
        <v>104</v>
      </c>
      <c r="AV1106" s="6" t="s">
        <v>104</v>
      </c>
      <c r="AW1106" s="6" t="s">
        <v>104</v>
      </c>
      <c r="AX1106" s="6" t="s">
        <v>20982</v>
      </c>
      <c r="AY1106" s="6" t="s">
        <v>22770</v>
      </c>
      <c r="AZ1106" s="6" t="s">
        <v>104</v>
      </c>
      <c r="BA1106" s="6" t="s">
        <v>104</v>
      </c>
      <c r="BB1106" s="6" t="s">
        <v>104</v>
      </c>
      <c r="BC1106" s="26"/>
      <c r="BD1106" s="26"/>
      <c r="BE1106" s="26"/>
      <c r="BF1106" s="26"/>
      <c r="BG1106" s="26"/>
      <c r="BH1106" s="26"/>
      <c r="BI1106" s="26"/>
      <c r="BJ1106" s="26"/>
      <c r="BK1106" s="26"/>
      <c r="BL1106" s="26"/>
      <c r="BM1106" s="26"/>
      <c r="BN1106" s="26"/>
      <c r="BO1106" s="26"/>
      <c r="BP1106" s="16" t="n">
        <v>45737</v>
      </c>
      <c r="BQ1106" s="28" t="str">
        <f>HYPERLINK("https://organic.ams.usda.gov/Integrity/Certificate.aspx?cid=31&amp;nopid=3920897677")</f>
        <v>https://organic.ams.usda.gov/Integrity/Certificate.aspx?cid=31&amp;nopid=3920897677</v>
      </c>
    </row>
    <row r="1107">
      <c r="A1107" t="s">
        <v>3</v>
      </c>
      <c r="B1107" s="6" t="s">
        <v>19</v>
      </c>
      <c r="C1107" s="6" t="s">
        <v>85</v>
      </c>
      <c r="D1107" s="6" t="s">
        <v>150</v>
      </c>
      <c r="E1107" s="10" t="s">
        <v>1305</v>
      </c>
      <c r="F1107" s="6" t="s">
        <v>3549</v>
      </c>
      <c r="G1107" s="6" t="s">
        <v>104</v>
      </c>
      <c r="H1107" s="6" t="s">
        <v>5901</v>
      </c>
      <c r="I1107" s="6" t="s">
        <v>7599</v>
      </c>
      <c r="J1107" s="6" t="s">
        <v>8958</v>
      </c>
      <c r="K1107" s="6" t="s">
        <v>9714</v>
      </c>
      <c r="L1107" s="16" t="n">
        <v>42109</v>
      </c>
      <c r="M1107" s="16" t="n">
        <v>45717</v>
      </c>
      <c r="N1107" s="6" t="s">
        <v>104</v>
      </c>
      <c r="O1107" s="21" t="s">
        <v>104</v>
      </c>
      <c r="P1107" s="6" t="s">
        <v>104</v>
      </c>
      <c r="Q1107" s="6" t="s">
        <v>104</v>
      </c>
      <c r="R1107" s="6" t="s">
        <v>104</v>
      </c>
      <c r="S1107" s="6" t="s">
        <v>104</v>
      </c>
      <c r="T1107" s="21" t="s">
        <v>104</v>
      </c>
      <c r="U1107" s="6" t="s">
        <v>104</v>
      </c>
      <c r="V1107" s="6" t="s">
        <v>104</v>
      </c>
      <c r="W1107" s="6" t="s">
        <v>104</v>
      </c>
      <c r="X1107" s="6" t="s">
        <v>104</v>
      </c>
      <c r="Y1107" s="21" t="s">
        <v>104</v>
      </c>
      <c r="Z1107" s="6" t="s">
        <v>104</v>
      </c>
      <c r="AA1107" s="6" t="s">
        <v>104</v>
      </c>
      <c r="AB1107" s="6" t="s">
        <v>104</v>
      </c>
      <c r="AC1107" s="6" t="s">
        <v>9714</v>
      </c>
      <c r="AD1107" s="16" t="n">
        <v>42109</v>
      </c>
      <c r="AE1107" s="6" t="s">
        <v>11494</v>
      </c>
      <c r="AF1107" s="6" t="s">
        <v>104</v>
      </c>
      <c r="AG1107" s="6" t="s">
        <v>104</v>
      </c>
      <c r="AH1107" s="6" t="s">
        <v>14168</v>
      </c>
      <c r="AI1107" s="6" t="s">
        <v>104</v>
      </c>
      <c r="AJ1107" s="6" t="s">
        <v>16085</v>
      </c>
      <c r="AK1107" s="6" t="s">
        <v>16706</v>
      </c>
      <c r="AL1107" s="6" t="s">
        <v>16931</v>
      </c>
      <c r="AM1107" s="6" t="s">
        <v>17738</v>
      </c>
      <c r="AN1107" s="6" t="s">
        <v>18540</v>
      </c>
      <c r="AO1107" s="6" t="s">
        <v>18786</v>
      </c>
      <c r="AP1107" s="6" t="s">
        <v>19226</v>
      </c>
      <c r="AQ1107" s="6" t="s">
        <v>104</v>
      </c>
      <c r="AR1107" s="6" t="s">
        <v>16084</v>
      </c>
      <c r="AS1107" s="6" t="s">
        <v>16706</v>
      </c>
      <c r="AT1107" s="6" t="s">
        <v>16931</v>
      </c>
      <c r="AU1107" s="6" t="s">
        <v>17737</v>
      </c>
      <c r="AV1107" s="6" t="s">
        <v>104</v>
      </c>
      <c r="AW1107" s="6" t="s">
        <v>104</v>
      </c>
      <c r="AX1107" s="6" t="s">
        <v>20983</v>
      </c>
      <c r="AY1107" s="6" t="s">
        <v>22770</v>
      </c>
      <c r="AZ1107" s="6" t="s">
        <v>104</v>
      </c>
      <c r="BA1107" s="6" t="s">
        <v>104</v>
      </c>
      <c r="BB1107" s="6" t="s">
        <v>104</v>
      </c>
      <c r="BC1107" s="26"/>
      <c r="BD1107" s="26"/>
      <c r="BE1107" s="26"/>
      <c r="BF1107" s="26"/>
      <c r="BG1107" s="26"/>
      <c r="BH1107" s="26"/>
      <c r="BI1107" s="26"/>
      <c r="BJ1107" s="26"/>
      <c r="BK1107" s="26"/>
      <c r="BL1107" s="26"/>
      <c r="BM1107" s="26"/>
      <c r="BN1107" s="26"/>
      <c r="BO1107" s="26"/>
      <c r="BP1107" s="16" t="n">
        <v>45726</v>
      </c>
      <c r="BQ1107" s="28" t="str">
        <f>HYPERLINK("https://organic.ams.usda.gov/Integrity/Certificate.aspx?cid=68&amp;nopid=8210001874")</f>
        <v>https://organic.ams.usda.gov/Integrity/Certificate.aspx?cid=68&amp;nopid=8210001874</v>
      </c>
    </row>
    <row r="1108">
      <c r="A1108" t="s">
        <v>3</v>
      </c>
      <c r="B1108" s="6" t="s">
        <v>13</v>
      </c>
      <c r="C1108" s="6" t="s">
        <v>79</v>
      </c>
      <c r="D1108" s="6" t="s">
        <v>144</v>
      </c>
      <c r="E1108" s="10" t="s">
        <v>1306</v>
      </c>
      <c r="F1108" s="6" t="s">
        <v>3550</v>
      </c>
      <c r="G1108" s="6" t="s">
        <v>104</v>
      </c>
      <c r="H1108" s="6" t="s">
        <v>5902</v>
      </c>
      <c r="I1108" s="6" t="s">
        <v>7480</v>
      </c>
      <c r="J1108" s="6" t="s">
        <v>8964</v>
      </c>
      <c r="K1108" s="6" t="s">
        <v>9714</v>
      </c>
      <c r="L1108" s="16" t="n">
        <v>39968</v>
      </c>
      <c r="M1108" s="16" t="n">
        <v>45748</v>
      </c>
      <c r="N1108" s="6" t="s">
        <v>104</v>
      </c>
      <c r="O1108" s="21" t="s">
        <v>104</v>
      </c>
      <c r="P1108" s="6" t="s">
        <v>104</v>
      </c>
      <c r="Q1108" s="6" t="s">
        <v>104</v>
      </c>
      <c r="R1108" s="6" t="s">
        <v>104</v>
      </c>
      <c r="S1108" s="6" t="s">
        <v>104</v>
      </c>
      <c r="T1108" s="21" t="s">
        <v>104</v>
      </c>
      <c r="U1108" s="6" t="s">
        <v>104</v>
      </c>
      <c r="V1108" s="6" t="s">
        <v>104</v>
      </c>
      <c r="W1108" s="6" t="s">
        <v>104</v>
      </c>
      <c r="X1108" s="6" t="s">
        <v>104</v>
      </c>
      <c r="Y1108" s="21" t="s">
        <v>104</v>
      </c>
      <c r="Z1108" s="6" t="s">
        <v>104</v>
      </c>
      <c r="AA1108" s="6" t="s">
        <v>104</v>
      </c>
      <c r="AB1108" s="6" t="s">
        <v>104</v>
      </c>
      <c r="AC1108" s="6" t="s">
        <v>9714</v>
      </c>
      <c r="AD1108" s="16" t="n">
        <v>39968</v>
      </c>
      <c r="AE1108" s="6" t="s">
        <v>11495</v>
      </c>
      <c r="AF1108" s="6" t="s">
        <v>104</v>
      </c>
      <c r="AG1108" s="6" t="s">
        <v>104</v>
      </c>
      <c r="AH1108" s="6" t="s">
        <v>104</v>
      </c>
      <c r="AI1108" s="6" t="s">
        <v>104</v>
      </c>
      <c r="AJ1108" s="6" t="s">
        <v>104</v>
      </c>
      <c r="AK1108" s="6" t="s">
        <v>104</v>
      </c>
      <c r="AL1108" s="6" t="s">
        <v>104</v>
      </c>
      <c r="AM1108" s="6" t="s">
        <v>104</v>
      </c>
      <c r="AN1108" s="6" t="s">
        <v>104</v>
      </c>
      <c r="AO1108" s="6" t="s">
        <v>104</v>
      </c>
      <c r="AP1108" s="6" t="s">
        <v>19227</v>
      </c>
      <c r="AQ1108" s="6" t="s">
        <v>104</v>
      </c>
      <c r="AR1108" s="6" t="s">
        <v>16233</v>
      </c>
      <c r="AS1108" s="6" t="s">
        <v>16687</v>
      </c>
      <c r="AT1108" s="6" t="s">
        <v>16931</v>
      </c>
      <c r="AU1108" s="6" t="s">
        <v>17900</v>
      </c>
      <c r="AV1108" s="6" t="s">
        <v>18476</v>
      </c>
      <c r="AW1108" s="6" t="s">
        <v>18585</v>
      </c>
      <c r="AX1108" s="6" t="s">
        <v>20984</v>
      </c>
      <c r="AY1108" s="6" t="s">
        <v>22771</v>
      </c>
      <c r="AZ1108" s="6" t="s">
        <v>104</v>
      </c>
      <c r="BA1108" s="6" t="s">
        <v>104</v>
      </c>
      <c r="BB1108" s="6" t="s">
        <v>104</v>
      </c>
      <c r="BC1108" s="26"/>
      <c r="BD1108" s="26"/>
      <c r="BE1108" s="26"/>
      <c r="BF1108" s="26"/>
      <c r="BG1108" s="26"/>
      <c r="BH1108" s="26"/>
      <c r="BI1108" s="26"/>
      <c r="BJ1108" s="26"/>
      <c r="BK1108" s="26"/>
      <c r="BL1108" s="26"/>
      <c r="BM1108" s="26"/>
      <c r="BN1108" s="26"/>
      <c r="BO1108" s="26"/>
      <c r="BP1108" s="16" t="n">
        <v>45735</v>
      </c>
      <c r="BQ1108" s="28" t="str">
        <f>HYPERLINK("https://organic.ams.usda.gov/Integrity/Certificate.aspx?cid=62&amp;nopid=8150001170")</f>
        <v>https://organic.ams.usda.gov/Integrity/Certificate.aspx?cid=62&amp;nopid=8150001170</v>
      </c>
    </row>
    <row r="1109">
      <c r="A1109" t="s">
        <v>3</v>
      </c>
      <c r="B1109" s="6" t="s">
        <v>31</v>
      </c>
      <c r="C1109" s="6" t="s">
        <v>97</v>
      </c>
      <c r="D1109" s="6" t="s">
        <v>162</v>
      </c>
      <c r="E1109" s="10" t="s">
        <v>1307</v>
      </c>
      <c r="F1109" s="6" t="s">
        <v>3551</v>
      </c>
      <c r="G1109" s="6" t="s">
        <v>104</v>
      </c>
      <c r="H1109" s="6" t="s">
        <v>5903</v>
      </c>
      <c r="I1109" s="6" t="s">
        <v>7600</v>
      </c>
      <c r="J1109" s="6" t="s">
        <v>8965</v>
      </c>
      <c r="K1109" s="6" t="s">
        <v>9714</v>
      </c>
      <c r="L1109" s="16" t="n">
        <v>45435</v>
      </c>
      <c r="M1109" s="16" t="n">
        <v>45800</v>
      </c>
      <c r="N1109" s="6" t="s">
        <v>9714</v>
      </c>
      <c r="O1109" s="16" t="n">
        <v>45435</v>
      </c>
      <c r="P1109" s="6" t="s">
        <v>10033</v>
      </c>
      <c r="Q1109" s="6" t="s">
        <v>104</v>
      </c>
      <c r="R1109" s="6" t="s">
        <v>10379</v>
      </c>
      <c r="S1109" s="6" t="s">
        <v>104</v>
      </c>
      <c r="T1109" s="21" t="s">
        <v>104</v>
      </c>
      <c r="U1109" s="6" t="s">
        <v>104</v>
      </c>
      <c r="V1109" s="6" t="s">
        <v>104</v>
      </c>
      <c r="W1109" s="6" t="s">
        <v>104</v>
      </c>
      <c r="X1109" s="6" t="s">
        <v>104</v>
      </c>
      <c r="Y1109" s="21" t="s">
        <v>104</v>
      </c>
      <c r="Z1109" s="6" t="s">
        <v>104</v>
      </c>
      <c r="AA1109" s="6" t="s">
        <v>104</v>
      </c>
      <c r="AB1109" s="6" t="s">
        <v>104</v>
      </c>
      <c r="AC1109" s="6" t="s">
        <v>9714</v>
      </c>
      <c r="AD1109" s="16" t="n">
        <v>45435</v>
      </c>
      <c r="AE1109" s="6" t="s">
        <v>11496</v>
      </c>
      <c r="AF1109" s="6" t="s">
        <v>104</v>
      </c>
      <c r="AG1109" s="6" t="s">
        <v>10379</v>
      </c>
      <c r="AH1109" s="6" t="s">
        <v>14169</v>
      </c>
      <c r="AI1109" s="6" t="s">
        <v>104</v>
      </c>
      <c r="AJ1109" s="6" t="s">
        <v>16086</v>
      </c>
      <c r="AK1109" s="6" t="s">
        <v>16848</v>
      </c>
      <c r="AL1109" s="6" t="s">
        <v>16950</v>
      </c>
      <c r="AM1109" s="6" t="s">
        <v>104</v>
      </c>
      <c r="AN1109" s="6" t="s">
        <v>104</v>
      </c>
      <c r="AO1109" s="6" t="s">
        <v>104</v>
      </c>
      <c r="AP1109" s="6" t="s">
        <v>14169</v>
      </c>
      <c r="AQ1109" s="6" t="s">
        <v>104</v>
      </c>
      <c r="AR1109" s="6" t="s">
        <v>16086</v>
      </c>
      <c r="AS1109" s="6" t="s">
        <v>16848</v>
      </c>
      <c r="AT1109" s="6" t="s">
        <v>16950</v>
      </c>
      <c r="AU1109" s="6" t="s">
        <v>104</v>
      </c>
      <c r="AV1109" s="6" t="s">
        <v>104</v>
      </c>
      <c r="AW1109" s="6" t="s">
        <v>104</v>
      </c>
      <c r="AX1109" s="6" t="s">
        <v>20985</v>
      </c>
      <c r="AY1109" s="6" t="s">
        <v>22772</v>
      </c>
      <c r="AZ1109" s="6" t="s">
        <v>104</v>
      </c>
      <c r="BA1109" s="6" t="s">
        <v>104</v>
      </c>
      <c r="BB1109" s="24" t="n">
        <v>593</v>
      </c>
      <c r="BC1109" s="26"/>
      <c r="BD1109" s="26"/>
      <c r="BE1109" s="26"/>
      <c r="BF1109" s="26"/>
      <c r="BG1109" s="26"/>
      <c r="BH1109" s="26"/>
      <c r="BI1109" s="26"/>
      <c r="BJ1109" s="26"/>
      <c r="BK1109" s="26"/>
      <c r="BL1109" s="26"/>
      <c r="BM1109" s="26"/>
      <c r="BN1109" s="26"/>
      <c r="BO1109" s="26"/>
      <c r="BP1109" s="16" t="n">
        <v>45449</v>
      </c>
      <c r="BQ1109" s="28" t="str">
        <f>HYPERLINK("https://organic.ams.usda.gov/Integrity/Certificate.aspx?cid=43&amp;nopid=3537339353")</f>
        <v>https://organic.ams.usda.gov/Integrity/Certificate.aspx?cid=43&amp;nopid=3537339353</v>
      </c>
    </row>
    <row r="1110">
      <c r="A1110" t="s">
        <v>3</v>
      </c>
      <c r="B1110" s="6" t="s">
        <v>29</v>
      </c>
      <c r="C1110" s="6" t="s">
        <v>95</v>
      </c>
      <c r="D1110" s="6" t="s">
        <v>160</v>
      </c>
      <c r="E1110" s="10" t="s">
        <v>1308</v>
      </c>
      <c r="F1110" s="6" t="s">
        <v>3552</v>
      </c>
      <c r="G1110" s="6" t="s">
        <v>104</v>
      </c>
      <c r="H1110" s="6" t="s">
        <v>5904</v>
      </c>
      <c r="I1110" s="6" t="s">
        <v>104</v>
      </c>
      <c r="J1110" s="6" t="s">
        <v>104</v>
      </c>
      <c r="K1110" s="6" t="s">
        <v>9714</v>
      </c>
      <c r="L1110" s="16" t="n">
        <v>45611</v>
      </c>
      <c r="M1110" s="16" t="n">
        <v>45778</v>
      </c>
      <c r="N1110" s="6" t="s">
        <v>9714</v>
      </c>
      <c r="O1110" s="16" t="n">
        <v>45611</v>
      </c>
      <c r="P1110" s="6" t="s">
        <v>10034</v>
      </c>
      <c r="Q1110" s="6" t="s">
        <v>104</v>
      </c>
      <c r="R1110" s="6" t="s">
        <v>104</v>
      </c>
      <c r="S1110" s="6" t="s">
        <v>104</v>
      </c>
      <c r="T1110" s="21" t="s">
        <v>104</v>
      </c>
      <c r="U1110" s="6" t="s">
        <v>104</v>
      </c>
      <c r="V1110" s="6" t="s">
        <v>104</v>
      </c>
      <c r="W1110" s="6" t="s">
        <v>104</v>
      </c>
      <c r="X1110" s="6" t="s">
        <v>104</v>
      </c>
      <c r="Y1110" s="21" t="s">
        <v>104</v>
      </c>
      <c r="Z1110" s="6" t="s">
        <v>104</v>
      </c>
      <c r="AA1110" s="6" t="s">
        <v>104</v>
      </c>
      <c r="AB1110" s="6" t="s">
        <v>104</v>
      </c>
      <c r="AC1110" s="6" t="s">
        <v>104</v>
      </c>
      <c r="AD1110" s="21" t="s">
        <v>104</v>
      </c>
      <c r="AE1110" s="6" t="s">
        <v>104</v>
      </c>
      <c r="AF1110" s="6" t="s">
        <v>104</v>
      </c>
      <c r="AG1110" s="6" t="s">
        <v>104</v>
      </c>
      <c r="AH1110" s="6" t="s">
        <v>14170</v>
      </c>
      <c r="AI1110" s="6" t="s">
        <v>104</v>
      </c>
      <c r="AJ1110" s="6" t="s">
        <v>104</v>
      </c>
      <c r="AK1110" s="6" t="s">
        <v>16270</v>
      </c>
      <c r="AL1110" s="6" t="s">
        <v>16932</v>
      </c>
      <c r="AM1110" s="6" t="s">
        <v>17733</v>
      </c>
      <c r="AN1110" s="6" t="s">
        <v>104</v>
      </c>
      <c r="AO1110" s="6" t="s">
        <v>104</v>
      </c>
      <c r="AP1110" s="6" t="s">
        <v>104</v>
      </c>
      <c r="AQ1110" s="6" t="s">
        <v>104</v>
      </c>
      <c r="AR1110" s="6" t="s">
        <v>104</v>
      </c>
      <c r="AS1110" s="6" t="s">
        <v>104</v>
      </c>
      <c r="AT1110" s="6" t="s">
        <v>104</v>
      </c>
      <c r="AU1110" s="6" t="s">
        <v>104</v>
      </c>
      <c r="AV1110" s="6" t="s">
        <v>104</v>
      </c>
      <c r="AW1110" s="6" t="s">
        <v>104</v>
      </c>
      <c r="AX1110" s="6" t="s">
        <v>20986</v>
      </c>
      <c r="AY1110" s="6" t="s">
        <v>22773</v>
      </c>
      <c r="AZ1110" s="6" t="s">
        <v>104</v>
      </c>
      <c r="BA1110" s="6" t="s">
        <v>104</v>
      </c>
      <c r="BB1110" s="24" t="n">
        <v>4249</v>
      </c>
      <c r="BC1110" s="26"/>
      <c r="BD1110" s="26"/>
      <c r="BE1110" s="26"/>
      <c r="BF1110" s="26"/>
      <c r="BG1110" s="26"/>
      <c r="BH1110" s="26"/>
      <c r="BI1110" s="26"/>
      <c r="BJ1110" s="26"/>
      <c r="BK1110" s="26"/>
      <c r="BL1110" s="26"/>
      <c r="BM1110" s="26"/>
      <c r="BN1110" s="26"/>
      <c r="BO1110" s="26"/>
      <c r="BP1110" s="16" t="n">
        <v>45613</v>
      </c>
      <c r="BQ1110" s="28" t="str">
        <f>HYPERLINK("https://organic.ams.usda.gov/Integrity/Certificate.aspx?cid=24&amp;nopid=7880297789")</f>
        <v>https://organic.ams.usda.gov/Integrity/Certificate.aspx?cid=24&amp;nopid=7880297789</v>
      </c>
    </row>
    <row r="1111">
      <c r="A1111" t="s">
        <v>3</v>
      </c>
      <c r="B1111" s="6" t="s">
        <v>12</v>
      </c>
      <c r="C1111" s="6" t="s">
        <v>78</v>
      </c>
      <c r="D1111" s="6" t="s">
        <v>143</v>
      </c>
      <c r="E1111" s="10" t="s">
        <v>1309</v>
      </c>
      <c r="F1111" s="6" t="s">
        <v>3553</v>
      </c>
      <c r="G1111" s="6" t="s">
        <v>104</v>
      </c>
      <c r="H1111" s="6" t="s">
        <v>104</v>
      </c>
      <c r="I1111" s="6" t="s">
        <v>7476</v>
      </c>
      <c r="J1111" s="6" t="s">
        <v>8966</v>
      </c>
      <c r="K1111" s="6" t="s">
        <v>9714</v>
      </c>
      <c r="L1111" s="16" t="n">
        <v>44427</v>
      </c>
      <c r="M1111" s="16" t="n">
        <v>45826</v>
      </c>
      <c r="N1111" s="6" t="s">
        <v>104</v>
      </c>
      <c r="O1111" s="21" t="s">
        <v>104</v>
      </c>
      <c r="P1111" s="6" t="s">
        <v>104</v>
      </c>
      <c r="Q1111" s="6" t="s">
        <v>104</v>
      </c>
      <c r="R1111" s="6" t="s">
        <v>104</v>
      </c>
      <c r="S1111" s="6" t="s">
        <v>104</v>
      </c>
      <c r="T1111" s="21" t="s">
        <v>104</v>
      </c>
      <c r="U1111" s="6" t="s">
        <v>104</v>
      </c>
      <c r="V1111" s="6" t="s">
        <v>104</v>
      </c>
      <c r="W1111" s="6" t="s">
        <v>104</v>
      </c>
      <c r="X1111" s="6" t="s">
        <v>104</v>
      </c>
      <c r="Y1111" s="21" t="s">
        <v>104</v>
      </c>
      <c r="Z1111" s="6" t="s">
        <v>104</v>
      </c>
      <c r="AA1111" s="6" t="s">
        <v>104</v>
      </c>
      <c r="AB1111" s="6" t="s">
        <v>104</v>
      </c>
      <c r="AC1111" s="6" t="s">
        <v>9714</v>
      </c>
      <c r="AD1111" s="16" t="n">
        <v>44427</v>
      </c>
      <c r="AE1111" s="6" t="s">
        <v>11497</v>
      </c>
      <c r="AF1111" s="6" t="s">
        <v>104</v>
      </c>
      <c r="AG1111" s="6" t="s">
        <v>104</v>
      </c>
      <c r="AH1111" s="6" t="s">
        <v>14171</v>
      </c>
      <c r="AI1111" s="6" t="s">
        <v>104</v>
      </c>
      <c r="AJ1111" s="6" t="s">
        <v>15954</v>
      </c>
      <c r="AK1111" s="6" t="s">
        <v>16704</v>
      </c>
      <c r="AL1111" s="6" t="s">
        <v>16931</v>
      </c>
      <c r="AM1111" s="6" t="s">
        <v>17739</v>
      </c>
      <c r="AN1111" s="6" t="s">
        <v>18488</v>
      </c>
      <c r="AO1111" s="6" t="s">
        <v>18787</v>
      </c>
      <c r="AP1111" s="6" t="s">
        <v>14171</v>
      </c>
      <c r="AQ1111" s="6" t="s">
        <v>104</v>
      </c>
      <c r="AR1111" s="6" t="s">
        <v>15954</v>
      </c>
      <c r="AS1111" s="6" t="s">
        <v>16704</v>
      </c>
      <c r="AT1111" s="6" t="s">
        <v>16931</v>
      </c>
      <c r="AU1111" s="6" t="s">
        <v>17739</v>
      </c>
      <c r="AV1111" s="6" t="s">
        <v>104</v>
      </c>
      <c r="AW1111" s="6" t="s">
        <v>104</v>
      </c>
      <c r="AX1111" s="6" t="s">
        <v>104</v>
      </c>
      <c r="AY1111" s="6" t="s">
        <v>22774</v>
      </c>
      <c r="AZ1111" s="6" t="s">
        <v>104</v>
      </c>
      <c r="BA1111" s="6" t="s">
        <v>104</v>
      </c>
      <c r="BB1111" s="6" t="s">
        <v>104</v>
      </c>
      <c r="BC1111" s="26"/>
      <c r="BD1111" s="26"/>
      <c r="BE1111" s="26"/>
      <c r="BF1111" s="26"/>
      <c r="BG1111" s="26"/>
      <c r="BH1111" s="26"/>
      <c r="BI1111" s="26"/>
      <c r="BJ1111" s="26"/>
      <c r="BK1111" s="26"/>
      <c r="BL1111" s="26"/>
      <c r="BM1111" s="26"/>
      <c r="BN1111" s="26"/>
      <c r="BO1111" s="26"/>
      <c r="BP1111" s="16" t="n">
        <v>45628</v>
      </c>
      <c r="BQ1111" s="28" t="str">
        <f>HYPERLINK("https://organic.ams.usda.gov/Integrity/Certificate.aspx?cid=1&amp;nopid=9092116901")</f>
        <v>https://organic.ams.usda.gov/Integrity/Certificate.aspx?cid=1&amp;nopid=9092116901</v>
      </c>
    </row>
    <row r="1112">
      <c r="A1112" t="s">
        <v>3</v>
      </c>
      <c r="B1112" s="6" t="s">
        <v>18</v>
      </c>
      <c r="C1112" s="6" t="s">
        <v>84</v>
      </c>
      <c r="D1112" s="6" t="s">
        <v>149</v>
      </c>
      <c r="E1112" s="10" t="s">
        <v>1310</v>
      </c>
      <c r="F1112" s="6" t="s">
        <v>3554</v>
      </c>
      <c r="G1112" s="6" t="s">
        <v>104</v>
      </c>
      <c r="H1112" s="6" t="s">
        <v>5905</v>
      </c>
      <c r="I1112" s="6" t="s">
        <v>7601</v>
      </c>
      <c r="J1112" s="6" t="s">
        <v>8967</v>
      </c>
      <c r="K1112" s="6" t="s">
        <v>9714</v>
      </c>
      <c r="L1112" s="16" t="n">
        <v>40413</v>
      </c>
      <c r="M1112" s="16" t="n">
        <v>45870</v>
      </c>
      <c r="N1112" s="6" t="s">
        <v>9714</v>
      </c>
      <c r="O1112" s="16" t="n">
        <v>40413</v>
      </c>
      <c r="P1112" s="6" t="s">
        <v>10035</v>
      </c>
      <c r="Q1112" s="6" t="s">
        <v>104</v>
      </c>
      <c r="R1112" s="6" t="s">
        <v>10380</v>
      </c>
      <c r="S1112" s="6" t="s">
        <v>104</v>
      </c>
      <c r="T1112" s="21" t="s">
        <v>104</v>
      </c>
      <c r="U1112" s="6" t="s">
        <v>104</v>
      </c>
      <c r="V1112" s="6" t="s">
        <v>104</v>
      </c>
      <c r="W1112" s="6" t="s">
        <v>104</v>
      </c>
      <c r="X1112" s="6" t="s">
        <v>104</v>
      </c>
      <c r="Y1112" s="21" t="s">
        <v>104</v>
      </c>
      <c r="Z1112" s="6" t="s">
        <v>104</v>
      </c>
      <c r="AA1112" s="6" t="s">
        <v>104</v>
      </c>
      <c r="AB1112" s="6" t="s">
        <v>104</v>
      </c>
      <c r="AC1112" s="6" t="s">
        <v>9714</v>
      </c>
      <c r="AD1112" s="16" t="n">
        <v>44111</v>
      </c>
      <c r="AE1112" s="6" t="s">
        <v>11498</v>
      </c>
      <c r="AF1112" s="6" t="s">
        <v>104</v>
      </c>
      <c r="AG1112" s="6" t="s">
        <v>12839</v>
      </c>
      <c r="AH1112" s="6" t="s">
        <v>14172</v>
      </c>
      <c r="AI1112" s="6" t="s">
        <v>104</v>
      </c>
      <c r="AJ1112" s="6" t="s">
        <v>16087</v>
      </c>
      <c r="AK1112" s="6" t="s">
        <v>16704</v>
      </c>
      <c r="AL1112" s="6" t="s">
        <v>16931</v>
      </c>
      <c r="AM1112" s="6" t="s">
        <v>17740</v>
      </c>
      <c r="AN1112" s="6" t="s">
        <v>18455</v>
      </c>
      <c r="AO1112" s="6" t="s">
        <v>18788</v>
      </c>
      <c r="AP1112" s="6" t="s">
        <v>19228</v>
      </c>
      <c r="AQ1112" s="6" t="s">
        <v>104</v>
      </c>
      <c r="AR1112" s="6" t="s">
        <v>19695</v>
      </c>
      <c r="AS1112" s="6" t="s">
        <v>16704</v>
      </c>
      <c r="AT1112" s="6" t="s">
        <v>16931</v>
      </c>
      <c r="AU1112" s="6" t="s">
        <v>17740</v>
      </c>
      <c r="AV1112" s="6" t="s">
        <v>104</v>
      </c>
      <c r="AW1112" s="6" t="s">
        <v>104</v>
      </c>
      <c r="AX1112" s="6" t="s">
        <v>20987</v>
      </c>
      <c r="AY1112" s="6" t="s">
        <v>104</v>
      </c>
      <c r="AZ1112" s="6" t="s">
        <v>104</v>
      </c>
      <c r="BA1112" s="6" t="s">
        <v>24411</v>
      </c>
      <c r="BB1112" s="24" t="n">
        <v>907</v>
      </c>
      <c r="BC1112" s="26"/>
      <c r="BD1112" s="26"/>
      <c r="BE1112" s="26"/>
      <c r="BF1112" s="26"/>
      <c r="BG1112" s="26"/>
      <c r="BH1112" s="26"/>
      <c r="BI1112" s="26"/>
      <c r="BJ1112" s="26"/>
      <c r="BK1112" s="26"/>
      <c r="BL1112" s="26"/>
      <c r="BM1112" s="26"/>
      <c r="BN1112" s="26" t="s">
        <v>24533</v>
      </c>
      <c r="BO1112" s="26"/>
      <c r="BP1112" s="16" t="n">
        <v>45737</v>
      </c>
      <c r="BQ1112" s="28" t="str">
        <f>HYPERLINK("https://organic.ams.usda.gov/Integrity/Certificate.aspx?cid=31&amp;nopid=3920897975")</f>
        <v>https://organic.ams.usda.gov/Integrity/Certificate.aspx?cid=31&amp;nopid=3920897975</v>
      </c>
    </row>
    <row r="1113">
      <c r="A1113" t="s">
        <v>3</v>
      </c>
      <c r="B1113" s="6" t="s">
        <v>9</v>
      </c>
      <c r="C1113" s="6" t="s">
        <v>75</v>
      </c>
      <c r="D1113" s="6" t="s">
        <v>140</v>
      </c>
      <c r="E1113" s="10" t="s">
        <v>1311</v>
      </c>
      <c r="F1113" s="6" t="s">
        <v>3555</v>
      </c>
      <c r="G1113" s="6" t="s">
        <v>104</v>
      </c>
      <c r="H1113" s="6" t="s">
        <v>5906</v>
      </c>
      <c r="I1113" s="6" t="s">
        <v>7602</v>
      </c>
      <c r="J1113" s="6" t="s">
        <v>8968</v>
      </c>
      <c r="K1113" s="6" t="s">
        <v>9714</v>
      </c>
      <c r="L1113" s="16" t="n">
        <v>45328</v>
      </c>
      <c r="M1113" s="16" t="n">
        <v>45694</v>
      </c>
      <c r="N1113" s="6" t="s">
        <v>104</v>
      </c>
      <c r="O1113" s="21" t="s">
        <v>104</v>
      </c>
      <c r="P1113" s="6" t="s">
        <v>104</v>
      </c>
      <c r="Q1113" s="6" t="s">
        <v>104</v>
      </c>
      <c r="R1113" s="6" t="s">
        <v>104</v>
      </c>
      <c r="S1113" s="6" t="s">
        <v>104</v>
      </c>
      <c r="T1113" s="21" t="s">
        <v>104</v>
      </c>
      <c r="U1113" s="6" t="s">
        <v>104</v>
      </c>
      <c r="V1113" s="6" t="s">
        <v>104</v>
      </c>
      <c r="W1113" s="6" t="s">
        <v>104</v>
      </c>
      <c r="X1113" s="6" t="s">
        <v>104</v>
      </c>
      <c r="Y1113" s="21" t="s">
        <v>104</v>
      </c>
      <c r="Z1113" s="6" t="s">
        <v>104</v>
      </c>
      <c r="AA1113" s="6" t="s">
        <v>104</v>
      </c>
      <c r="AB1113" s="6" t="s">
        <v>104</v>
      </c>
      <c r="AC1113" s="6" t="s">
        <v>9714</v>
      </c>
      <c r="AD1113" s="16" t="n">
        <v>45328</v>
      </c>
      <c r="AE1113" s="6" t="s">
        <v>11499</v>
      </c>
      <c r="AF1113" s="6" t="s">
        <v>104</v>
      </c>
      <c r="AG1113" s="6" t="s">
        <v>104</v>
      </c>
      <c r="AH1113" s="6" t="s">
        <v>104</v>
      </c>
      <c r="AI1113" s="6" t="s">
        <v>104</v>
      </c>
      <c r="AJ1113" s="6" t="s">
        <v>104</v>
      </c>
      <c r="AK1113" s="6" t="s">
        <v>104</v>
      </c>
      <c r="AL1113" s="6" t="s">
        <v>104</v>
      </c>
      <c r="AM1113" s="6" t="s">
        <v>104</v>
      </c>
      <c r="AN1113" s="6" t="s">
        <v>104</v>
      </c>
      <c r="AO1113" s="6" t="s">
        <v>104</v>
      </c>
      <c r="AP1113" s="6" t="s">
        <v>19229</v>
      </c>
      <c r="AQ1113" s="6" t="s">
        <v>19564</v>
      </c>
      <c r="AR1113" s="6" t="s">
        <v>15417</v>
      </c>
      <c r="AS1113" s="6" t="s">
        <v>16687</v>
      </c>
      <c r="AT1113" s="6" t="s">
        <v>16931</v>
      </c>
      <c r="AU1113" s="6" t="s">
        <v>19938</v>
      </c>
      <c r="AV1113" s="6" t="s">
        <v>104</v>
      </c>
      <c r="AW1113" s="6" t="s">
        <v>104</v>
      </c>
      <c r="AX1113" s="6" t="s">
        <v>20988</v>
      </c>
      <c r="AY1113" s="6" t="s">
        <v>22775</v>
      </c>
      <c r="AZ1113" s="6" t="s">
        <v>104</v>
      </c>
      <c r="BA1113" s="6" t="s">
        <v>104</v>
      </c>
      <c r="BB1113" s="6" t="s">
        <v>104</v>
      </c>
      <c r="BC1113" s="26"/>
      <c r="BD1113" s="26"/>
      <c r="BE1113" s="26"/>
      <c r="BF1113" s="26"/>
      <c r="BG1113" s="26"/>
      <c r="BH1113" s="26"/>
      <c r="BI1113" s="26"/>
      <c r="BJ1113" s="26"/>
      <c r="BK1113" s="26"/>
      <c r="BL1113" s="26"/>
      <c r="BM1113" s="26"/>
      <c r="BN1113" s="26"/>
      <c r="BO1113" s="26"/>
      <c r="BP1113" s="16" t="n">
        <v>45380</v>
      </c>
      <c r="BQ1113" s="28" t="str">
        <f>HYPERLINK("https://organic.ams.usda.gov/Integrity/Certificate.aspx?cid=63&amp;nopid=6220009537")</f>
        <v>https://organic.ams.usda.gov/Integrity/Certificate.aspx?cid=63&amp;nopid=6220009537</v>
      </c>
    </row>
    <row r="1114">
      <c r="A1114" t="s">
        <v>3</v>
      </c>
      <c r="B1114" s="6" t="s">
        <v>34</v>
      </c>
      <c r="C1114" s="6" t="s">
        <v>100</v>
      </c>
      <c r="D1114" s="6" t="s">
        <v>165</v>
      </c>
      <c r="E1114" s="10" t="s">
        <v>1312</v>
      </c>
      <c r="F1114" s="6" t="s">
        <v>3556</v>
      </c>
      <c r="G1114" s="6" t="s">
        <v>104</v>
      </c>
      <c r="H1114" s="6" t="s">
        <v>5907</v>
      </c>
      <c r="I1114" s="6" t="s">
        <v>7603</v>
      </c>
      <c r="J1114" s="6" t="s">
        <v>8969</v>
      </c>
      <c r="K1114" s="6" t="s">
        <v>9714</v>
      </c>
      <c r="L1114" s="16" t="n">
        <v>37860</v>
      </c>
      <c r="M1114" s="16" t="n">
        <v>45910</v>
      </c>
      <c r="N1114" s="6" t="s">
        <v>104</v>
      </c>
      <c r="O1114" s="21" t="s">
        <v>104</v>
      </c>
      <c r="P1114" s="6" t="s">
        <v>104</v>
      </c>
      <c r="Q1114" s="6" t="s">
        <v>104</v>
      </c>
      <c r="R1114" s="6" t="s">
        <v>104</v>
      </c>
      <c r="S1114" s="6" t="s">
        <v>104</v>
      </c>
      <c r="T1114" s="21" t="s">
        <v>104</v>
      </c>
      <c r="U1114" s="6" t="s">
        <v>104</v>
      </c>
      <c r="V1114" s="6" t="s">
        <v>104</v>
      </c>
      <c r="W1114" s="6" t="s">
        <v>104</v>
      </c>
      <c r="X1114" s="6" t="s">
        <v>104</v>
      </c>
      <c r="Y1114" s="21" t="s">
        <v>104</v>
      </c>
      <c r="Z1114" s="6" t="s">
        <v>104</v>
      </c>
      <c r="AA1114" s="6" t="s">
        <v>104</v>
      </c>
      <c r="AB1114" s="6" t="s">
        <v>104</v>
      </c>
      <c r="AC1114" s="6" t="s">
        <v>9714</v>
      </c>
      <c r="AD1114" s="16" t="n">
        <v>37860</v>
      </c>
      <c r="AE1114" s="6" t="s">
        <v>11500</v>
      </c>
      <c r="AF1114" s="6" t="s">
        <v>104</v>
      </c>
      <c r="AG1114" s="6" t="s">
        <v>12840</v>
      </c>
      <c r="AH1114" s="6" t="s">
        <v>14173</v>
      </c>
      <c r="AI1114" s="6" t="s">
        <v>104</v>
      </c>
      <c r="AJ1114" s="6" t="s">
        <v>16020</v>
      </c>
      <c r="AK1114" s="6" t="s">
        <v>16730</v>
      </c>
      <c r="AL1114" s="6" t="s">
        <v>16931</v>
      </c>
      <c r="AM1114" s="6" t="s">
        <v>17741</v>
      </c>
      <c r="AN1114" s="6" t="s">
        <v>18463</v>
      </c>
      <c r="AO1114" s="6" t="s">
        <v>18596</v>
      </c>
      <c r="AP1114" s="6" t="s">
        <v>14173</v>
      </c>
      <c r="AQ1114" s="6" t="s">
        <v>104</v>
      </c>
      <c r="AR1114" s="6" t="s">
        <v>16020</v>
      </c>
      <c r="AS1114" s="6" t="s">
        <v>16730</v>
      </c>
      <c r="AT1114" s="6" t="s">
        <v>16931</v>
      </c>
      <c r="AU1114" s="6" t="s">
        <v>17741</v>
      </c>
      <c r="AV1114" s="6" t="s">
        <v>104</v>
      </c>
      <c r="AW1114" s="6" t="s">
        <v>104</v>
      </c>
      <c r="AX1114" s="6" t="s">
        <v>20989</v>
      </c>
      <c r="AY1114" s="6" t="s">
        <v>22776</v>
      </c>
      <c r="AZ1114" s="6" t="s">
        <v>23971</v>
      </c>
      <c r="BA1114" s="6" t="s">
        <v>104</v>
      </c>
      <c r="BB1114" s="6" t="s">
        <v>104</v>
      </c>
      <c r="BC1114" s="26"/>
      <c r="BD1114" s="26"/>
      <c r="BE1114" s="26"/>
      <c r="BF1114" s="26"/>
      <c r="BG1114" s="26" t="s">
        <v>24533</v>
      </c>
      <c r="BH1114" s="26"/>
      <c r="BI1114" s="26"/>
      <c r="BJ1114" s="26"/>
      <c r="BK1114" s="26"/>
      <c r="BL1114" s="26" t="s">
        <v>24533</v>
      </c>
      <c r="BM1114" s="26"/>
      <c r="BN1114" s="26"/>
      <c r="BO1114" s="26"/>
      <c r="BP1114" s="16" t="n">
        <v>45737</v>
      </c>
      <c r="BQ1114" s="28" t="str">
        <f>HYPERLINK("https://organic.ams.usda.gov/Integrity/Certificate.aspx?cid=71&amp;nopid=5520031649")</f>
        <v>https://organic.ams.usda.gov/Integrity/Certificate.aspx?cid=71&amp;nopid=5520031649</v>
      </c>
    </row>
    <row r="1115">
      <c r="A1115" t="s">
        <v>3</v>
      </c>
      <c r="B1115" s="6" t="s">
        <v>21</v>
      </c>
      <c r="C1115" s="6" t="s">
        <v>87</v>
      </c>
      <c r="D1115" s="6" t="s">
        <v>152</v>
      </c>
      <c r="E1115" s="10" t="s">
        <v>1313</v>
      </c>
      <c r="F1115" s="6" t="s">
        <v>3557</v>
      </c>
      <c r="G1115" s="6" t="s">
        <v>104</v>
      </c>
      <c r="H1115" s="6" t="s">
        <v>5908</v>
      </c>
      <c r="I1115" s="6" t="s">
        <v>7604</v>
      </c>
      <c r="J1115" s="6" t="s">
        <v>8970</v>
      </c>
      <c r="K1115" s="6" t="s">
        <v>9714</v>
      </c>
      <c r="L1115" s="16" t="n">
        <v>40890</v>
      </c>
      <c r="M1115" s="16" t="n">
        <v>46023</v>
      </c>
      <c r="N1115" s="6" t="s">
        <v>9714</v>
      </c>
      <c r="O1115" s="16" t="n">
        <v>40890</v>
      </c>
      <c r="P1115" s="6" t="s">
        <v>10036</v>
      </c>
      <c r="Q1115" s="6" t="s">
        <v>104</v>
      </c>
      <c r="R1115" s="6" t="s">
        <v>104</v>
      </c>
      <c r="S1115" s="6" t="s">
        <v>9714</v>
      </c>
      <c r="T1115" s="16" t="n">
        <v>40890</v>
      </c>
      <c r="U1115" s="6" t="s">
        <v>10489</v>
      </c>
      <c r="V1115" s="6" t="s">
        <v>104</v>
      </c>
      <c r="W1115" s="6" t="s">
        <v>104</v>
      </c>
      <c r="X1115" s="6" t="s">
        <v>104</v>
      </c>
      <c r="Y1115" s="21" t="s">
        <v>104</v>
      </c>
      <c r="Z1115" s="6" t="s">
        <v>104</v>
      </c>
      <c r="AA1115" s="6" t="s">
        <v>104</v>
      </c>
      <c r="AB1115" s="6" t="s">
        <v>104</v>
      </c>
      <c r="AC1115" s="6" t="s">
        <v>9714</v>
      </c>
      <c r="AD1115" s="16" t="n">
        <v>44732</v>
      </c>
      <c r="AE1115" s="6" t="s">
        <v>11501</v>
      </c>
      <c r="AF1115" s="6" t="s">
        <v>104</v>
      </c>
      <c r="AG1115" s="6" t="s">
        <v>104</v>
      </c>
      <c r="AH1115" s="6" t="s">
        <v>14174</v>
      </c>
      <c r="AI1115" s="6" t="s">
        <v>104</v>
      </c>
      <c r="AJ1115" s="6" t="s">
        <v>15815</v>
      </c>
      <c r="AK1115" s="6" t="s">
        <v>16688</v>
      </c>
      <c r="AL1115" s="6" t="s">
        <v>16931</v>
      </c>
      <c r="AM1115" s="6" t="s">
        <v>17742</v>
      </c>
      <c r="AN1115" s="6" t="s">
        <v>18518</v>
      </c>
      <c r="AO1115" s="6" t="s">
        <v>18726</v>
      </c>
      <c r="AP1115" s="6" t="s">
        <v>19230</v>
      </c>
      <c r="AQ1115" s="6" t="s">
        <v>104</v>
      </c>
      <c r="AR1115" s="6" t="s">
        <v>15815</v>
      </c>
      <c r="AS1115" s="6" t="s">
        <v>16688</v>
      </c>
      <c r="AT1115" s="6" t="s">
        <v>16931</v>
      </c>
      <c r="AU1115" s="6" t="s">
        <v>17742</v>
      </c>
      <c r="AV1115" s="6" t="s">
        <v>104</v>
      </c>
      <c r="AW1115" s="6" t="s">
        <v>104</v>
      </c>
      <c r="AX1115" s="6" t="s">
        <v>20990</v>
      </c>
      <c r="AY1115" s="6" t="s">
        <v>22777</v>
      </c>
      <c r="AZ1115" s="6" t="s">
        <v>104</v>
      </c>
      <c r="BA1115" s="6" t="s">
        <v>104</v>
      </c>
      <c r="BB1115" s="24" t="n">
        <v>1886</v>
      </c>
      <c r="BC1115" s="26"/>
      <c r="BD1115" s="26"/>
      <c r="BE1115" s="26"/>
      <c r="BF1115" s="26"/>
      <c r="BG1115" s="26"/>
      <c r="BH1115" s="26"/>
      <c r="BI1115" s="26"/>
      <c r="BJ1115" s="26"/>
      <c r="BK1115" s="26"/>
      <c r="BL1115" s="26"/>
      <c r="BM1115" s="26"/>
      <c r="BN1115" s="26"/>
      <c r="BO1115" s="26"/>
      <c r="BP1115" s="16" t="n">
        <v>45667</v>
      </c>
      <c r="BQ1115" s="28" t="str">
        <f>HYPERLINK("https://organic.ams.usda.gov/Integrity/Certificate.aspx?cid=15&amp;nopid=5561000103")</f>
        <v>https://organic.ams.usda.gov/Integrity/Certificate.aspx?cid=15&amp;nopid=5561000103</v>
      </c>
    </row>
    <row r="1116">
      <c r="A1116" t="s">
        <v>3</v>
      </c>
      <c r="B1116" s="6" t="s">
        <v>21</v>
      </c>
      <c r="C1116" s="6" t="s">
        <v>87</v>
      </c>
      <c r="D1116" s="6" t="s">
        <v>152</v>
      </c>
      <c r="E1116" s="10" t="s">
        <v>1314</v>
      </c>
      <c r="F1116" s="6" t="s">
        <v>3558</v>
      </c>
      <c r="G1116" s="6" t="s">
        <v>104</v>
      </c>
      <c r="H1116" s="6" t="s">
        <v>5909</v>
      </c>
      <c r="I1116" s="6" t="s">
        <v>7605</v>
      </c>
      <c r="J1116" s="6" t="s">
        <v>8971</v>
      </c>
      <c r="K1116" s="6" t="s">
        <v>9714</v>
      </c>
      <c r="L1116" s="16" t="n">
        <v>38413</v>
      </c>
      <c r="M1116" s="16" t="n">
        <v>46023</v>
      </c>
      <c r="N1116" s="6" t="s">
        <v>104</v>
      </c>
      <c r="O1116" s="21" t="s">
        <v>104</v>
      </c>
      <c r="P1116" s="6" t="s">
        <v>104</v>
      </c>
      <c r="Q1116" s="6" t="s">
        <v>104</v>
      </c>
      <c r="R1116" s="6" t="s">
        <v>104</v>
      </c>
      <c r="S1116" s="6" t="s">
        <v>104</v>
      </c>
      <c r="T1116" s="21" t="s">
        <v>104</v>
      </c>
      <c r="U1116" s="6" t="s">
        <v>104</v>
      </c>
      <c r="V1116" s="6" t="s">
        <v>104</v>
      </c>
      <c r="W1116" s="6" t="s">
        <v>104</v>
      </c>
      <c r="X1116" s="6" t="s">
        <v>104</v>
      </c>
      <c r="Y1116" s="21" t="s">
        <v>104</v>
      </c>
      <c r="Z1116" s="6" t="s">
        <v>104</v>
      </c>
      <c r="AA1116" s="6" t="s">
        <v>104</v>
      </c>
      <c r="AB1116" s="6" t="s">
        <v>104</v>
      </c>
      <c r="AC1116" s="6" t="s">
        <v>9714</v>
      </c>
      <c r="AD1116" s="16" t="n">
        <v>38413</v>
      </c>
      <c r="AE1116" s="6" t="s">
        <v>11502</v>
      </c>
      <c r="AF1116" s="6" t="s">
        <v>104</v>
      </c>
      <c r="AG1116" s="6" t="s">
        <v>104</v>
      </c>
      <c r="AH1116" s="6" t="s">
        <v>14175</v>
      </c>
      <c r="AI1116" s="6" t="s">
        <v>104</v>
      </c>
      <c r="AJ1116" s="6" t="s">
        <v>8738</v>
      </c>
      <c r="AK1116" s="6" t="s">
        <v>16687</v>
      </c>
      <c r="AL1116" s="6" t="s">
        <v>16931</v>
      </c>
      <c r="AM1116" s="6" t="s">
        <v>17743</v>
      </c>
      <c r="AN1116" s="6" t="s">
        <v>18521</v>
      </c>
      <c r="AO1116" s="6" t="s">
        <v>18715</v>
      </c>
      <c r="AP1116" s="6" t="s">
        <v>14175</v>
      </c>
      <c r="AQ1116" s="6" t="s">
        <v>104</v>
      </c>
      <c r="AR1116" s="6" t="s">
        <v>8738</v>
      </c>
      <c r="AS1116" s="6" t="s">
        <v>16687</v>
      </c>
      <c r="AT1116" s="6" t="s">
        <v>16931</v>
      </c>
      <c r="AU1116" s="6" t="s">
        <v>17743</v>
      </c>
      <c r="AV1116" s="6" t="s">
        <v>104</v>
      </c>
      <c r="AW1116" s="6" t="s">
        <v>104</v>
      </c>
      <c r="AX1116" s="6" t="s">
        <v>20991</v>
      </c>
      <c r="AY1116" s="6" t="s">
        <v>22778</v>
      </c>
      <c r="AZ1116" s="6" t="s">
        <v>23972</v>
      </c>
      <c r="BA1116" s="6" t="s">
        <v>24412</v>
      </c>
      <c r="BB1116" s="6" t="s">
        <v>104</v>
      </c>
      <c r="BC1116" s="26"/>
      <c r="BD1116" s="26"/>
      <c r="BE1116" s="26"/>
      <c r="BF1116" s="26"/>
      <c r="BG1116" s="26"/>
      <c r="BH1116" s="26"/>
      <c r="BI1116" s="26"/>
      <c r="BJ1116" s="26"/>
      <c r="BK1116" s="26"/>
      <c r="BL1116" s="26"/>
      <c r="BM1116" s="26"/>
      <c r="BN1116" s="26"/>
      <c r="BO1116" s="26"/>
      <c r="BP1116" s="16" t="n">
        <v>45699</v>
      </c>
      <c r="BQ1116" s="28" t="str">
        <f>HYPERLINK("https://organic.ams.usda.gov/Integrity/Certificate.aspx?cid=15&amp;nopid=5561002303")</f>
        <v>https://organic.ams.usda.gov/Integrity/Certificate.aspx?cid=15&amp;nopid=5561002303</v>
      </c>
    </row>
    <row r="1117">
      <c r="A1117" t="s">
        <v>3</v>
      </c>
      <c r="B1117" s="6" t="s">
        <v>54</v>
      </c>
      <c r="C1117" s="6" t="s">
        <v>120</v>
      </c>
      <c r="D1117" s="6" t="s">
        <v>184</v>
      </c>
      <c r="E1117" s="10" t="s">
        <v>1315</v>
      </c>
      <c r="F1117" s="6" t="s">
        <v>3559</v>
      </c>
      <c r="G1117" s="6" t="s">
        <v>104</v>
      </c>
      <c r="H1117" s="6" t="s">
        <v>5910</v>
      </c>
      <c r="I1117" s="6" t="s">
        <v>7329</v>
      </c>
      <c r="J1117" s="6" t="s">
        <v>8972</v>
      </c>
      <c r="K1117" s="6" t="s">
        <v>9714</v>
      </c>
      <c r="L1117" s="16" t="n">
        <v>38202</v>
      </c>
      <c r="M1117" s="16" t="n">
        <v>39903</v>
      </c>
      <c r="N1117" s="6" t="s">
        <v>9714</v>
      </c>
      <c r="O1117" s="16" t="n">
        <v>38202</v>
      </c>
      <c r="P1117" s="6" t="s">
        <v>10037</v>
      </c>
      <c r="Q1117" s="6" t="s">
        <v>104</v>
      </c>
      <c r="R1117" s="6" t="s">
        <v>104</v>
      </c>
      <c r="S1117" s="6" t="s">
        <v>104</v>
      </c>
      <c r="T1117" s="21" t="s">
        <v>104</v>
      </c>
      <c r="U1117" s="6" t="s">
        <v>104</v>
      </c>
      <c r="V1117" s="6" t="s">
        <v>104</v>
      </c>
      <c r="W1117" s="6" t="s">
        <v>104</v>
      </c>
      <c r="X1117" s="6" t="s">
        <v>104</v>
      </c>
      <c r="Y1117" s="21" t="s">
        <v>104</v>
      </c>
      <c r="Z1117" s="6" t="s">
        <v>104</v>
      </c>
      <c r="AA1117" s="6" t="s">
        <v>104</v>
      </c>
      <c r="AB1117" s="6" t="s">
        <v>104</v>
      </c>
      <c r="AC1117" s="6" t="s">
        <v>9721</v>
      </c>
      <c r="AD1117" s="16" t="n">
        <v>40044</v>
      </c>
      <c r="AE1117" s="6" t="s">
        <v>11503</v>
      </c>
      <c r="AF1117" s="6" t="s">
        <v>104</v>
      </c>
      <c r="AG1117" s="6" t="s">
        <v>104</v>
      </c>
      <c r="AH1117" s="6" t="s">
        <v>14176</v>
      </c>
      <c r="AI1117" s="6" t="s">
        <v>104</v>
      </c>
      <c r="AJ1117" s="6" t="s">
        <v>16088</v>
      </c>
      <c r="AK1117" s="6" t="s">
        <v>16743</v>
      </c>
      <c r="AL1117" s="6" t="s">
        <v>16931</v>
      </c>
      <c r="AM1117" s="6" t="s">
        <v>17744</v>
      </c>
      <c r="AN1117" s="6" t="s">
        <v>18483</v>
      </c>
      <c r="AO1117" s="6" t="s">
        <v>18652</v>
      </c>
      <c r="AP1117" s="6" t="s">
        <v>104</v>
      </c>
      <c r="AQ1117" s="6" t="s">
        <v>104</v>
      </c>
      <c r="AR1117" s="6" t="s">
        <v>104</v>
      </c>
      <c r="AS1117" s="6" t="s">
        <v>104</v>
      </c>
      <c r="AT1117" s="6" t="s">
        <v>104</v>
      </c>
      <c r="AU1117" s="6" t="s">
        <v>104</v>
      </c>
      <c r="AV1117" s="6" t="s">
        <v>104</v>
      </c>
      <c r="AW1117" s="6" t="s">
        <v>104</v>
      </c>
      <c r="AX1117" s="6" t="s">
        <v>104</v>
      </c>
      <c r="AY1117" s="6" t="s">
        <v>22779</v>
      </c>
      <c r="AZ1117" s="6" t="s">
        <v>104</v>
      </c>
      <c r="BA1117" s="6" t="s">
        <v>24413</v>
      </c>
      <c r="BB1117" s="24" t="n">
        <v>403</v>
      </c>
      <c r="BC1117" s="26"/>
      <c r="BD1117" s="26"/>
      <c r="BE1117" s="26"/>
      <c r="BF1117" s="26"/>
      <c r="BG1117" s="26"/>
      <c r="BH1117" s="26"/>
      <c r="BI1117" s="26"/>
      <c r="BJ1117" s="26"/>
      <c r="BK1117" s="26"/>
      <c r="BL1117" s="26"/>
      <c r="BM1117" s="26"/>
      <c r="BN1117" s="26"/>
      <c r="BO1117" s="26"/>
      <c r="BP1117" s="16" t="n">
        <v>45544</v>
      </c>
      <c r="BQ1117" s="28" t="str">
        <f>HYPERLINK("https://organic.ams.usda.gov/Integrity/Certificate.aspx?cid=60&amp;nopid=2580000019")</f>
        <v>https://organic.ams.usda.gov/Integrity/Certificate.aspx?cid=60&amp;nopid=2580000019</v>
      </c>
    </row>
    <row r="1118">
      <c r="A1118" t="s">
        <v>3</v>
      </c>
      <c r="B1118" s="6" t="s">
        <v>34</v>
      </c>
      <c r="C1118" s="6" t="s">
        <v>100</v>
      </c>
      <c r="D1118" s="6" t="s">
        <v>165</v>
      </c>
      <c r="E1118" s="10" t="s">
        <v>1316</v>
      </c>
      <c r="F1118" s="6" t="s">
        <v>3560</v>
      </c>
      <c r="G1118" s="6" t="s">
        <v>104</v>
      </c>
      <c r="H1118" s="6" t="s">
        <v>5911</v>
      </c>
      <c r="I1118" s="6" t="s">
        <v>6974</v>
      </c>
      <c r="J1118" s="6" t="s">
        <v>8973</v>
      </c>
      <c r="K1118" s="6" t="s">
        <v>9714</v>
      </c>
      <c r="L1118" s="16" t="n">
        <v>45042</v>
      </c>
      <c r="M1118" s="16" t="n">
        <v>45784</v>
      </c>
      <c r="N1118" s="6" t="s">
        <v>104</v>
      </c>
      <c r="O1118" s="21" t="s">
        <v>104</v>
      </c>
      <c r="P1118" s="6" t="s">
        <v>104</v>
      </c>
      <c r="Q1118" s="6" t="s">
        <v>104</v>
      </c>
      <c r="R1118" s="6" t="s">
        <v>104</v>
      </c>
      <c r="S1118" s="6" t="s">
        <v>104</v>
      </c>
      <c r="T1118" s="21" t="s">
        <v>104</v>
      </c>
      <c r="U1118" s="6" t="s">
        <v>104</v>
      </c>
      <c r="V1118" s="6" t="s">
        <v>104</v>
      </c>
      <c r="W1118" s="6" t="s">
        <v>104</v>
      </c>
      <c r="X1118" s="6" t="s">
        <v>104</v>
      </c>
      <c r="Y1118" s="21" t="s">
        <v>104</v>
      </c>
      <c r="Z1118" s="6" t="s">
        <v>104</v>
      </c>
      <c r="AA1118" s="6" t="s">
        <v>104</v>
      </c>
      <c r="AB1118" s="6" t="s">
        <v>104</v>
      </c>
      <c r="AC1118" s="6" t="s">
        <v>9714</v>
      </c>
      <c r="AD1118" s="16" t="n">
        <v>45042</v>
      </c>
      <c r="AE1118" s="6" t="s">
        <v>11504</v>
      </c>
      <c r="AF1118" s="6" t="s">
        <v>104</v>
      </c>
      <c r="AG1118" s="6" t="s">
        <v>12841</v>
      </c>
      <c r="AH1118" s="6" t="s">
        <v>14177</v>
      </c>
      <c r="AI1118" s="6" t="s">
        <v>15293</v>
      </c>
      <c r="AJ1118" s="6" t="s">
        <v>16089</v>
      </c>
      <c r="AK1118" s="6" t="s">
        <v>16681</v>
      </c>
      <c r="AL1118" s="6" t="s">
        <v>16931</v>
      </c>
      <c r="AM1118" s="6" t="s">
        <v>17745</v>
      </c>
      <c r="AN1118" s="6" t="s">
        <v>18451</v>
      </c>
      <c r="AO1118" s="6" t="s">
        <v>18556</v>
      </c>
      <c r="AP1118" s="6" t="s">
        <v>19231</v>
      </c>
      <c r="AQ1118" s="6" t="s">
        <v>104</v>
      </c>
      <c r="AR1118" s="6" t="s">
        <v>16089</v>
      </c>
      <c r="AS1118" s="6" t="s">
        <v>16681</v>
      </c>
      <c r="AT1118" s="6" t="s">
        <v>16931</v>
      </c>
      <c r="AU1118" s="6" t="s">
        <v>17745</v>
      </c>
      <c r="AV1118" s="6" t="s">
        <v>104</v>
      </c>
      <c r="AW1118" s="6" t="s">
        <v>104</v>
      </c>
      <c r="AX1118" s="6" t="s">
        <v>20259</v>
      </c>
      <c r="AY1118" s="6" t="s">
        <v>22780</v>
      </c>
      <c r="AZ1118" s="6" t="s">
        <v>23973</v>
      </c>
      <c r="BA1118" s="6" t="s">
        <v>104</v>
      </c>
      <c r="BB1118" s="6" t="s">
        <v>104</v>
      </c>
      <c r="BC1118" s="26"/>
      <c r="BD1118" s="26"/>
      <c r="BE1118" s="26"/>
      <c r="BF1118" s="26"/>
      <c r="BG1118" s="26"/>
      <c r="BH1118" s="26"/>
      <c r="BI1118" s="26"/>
      <c r="BJ1118" s="26"/>
      <c r="BK1118" s="26"/>
      <c r="BL1118" s="26"/>
      <c r="BM1118" s="26"/>
      <c r="BN1118" s="26"/>
      <c r="BO1118" s="26"/>
      <c r="BP1118" s="16" t="n">
        <v>45737</v>
      </c>
      <c r="BQ1118" s="28" t="str">
        <f>HYPERLINK("https://organic.ams.usda.gov/Integrity/Certificate.aspx?cid=71&amp;nopid=5520737408")</f>
        <v>https://organic.ams.usda.gov/Integrity/Certificate.aspx?cid=71&amp;nopid=5520737408</v>
      </c>
    </row>
    <row r="1119">
      <c r="A1119" t="s">
        <v>3</v>
      </c>
      <c r="B1119" s="6" t="s">
        <v>21</v>
      </c>
      <c r="C1119" s="6" t="s">
        <v>87</v>
      </c>
      <c r="D1119" s="6" t="s">
        <v>152</v>
      </c>
      <c r="E1119" s="10" t="s">
        <v>1317</v>
      </c>
      <c r="F1119" s="6" t="s">
        <v>3561</v>
      </c>
      <c r="G1119" s="6" t="s">
        <v>104</v>
      </c>
      <c r="H1119" s="6" t="s">
        <v>5912</v>
      </c>
      <c r="I1119" s="6" t="s">
        <v>7606</v>
      </c>
      <c r="J1119" s="6" t="s">
        <v>8974</v>
      </c>
      <c r="K1119" s="6" t="s">
        <v>9714</v>
      </c>
      <c r="L1119" s="16" t="n">
        <v>42205</v>
      </c>
      <c r="M1119" s="16" t="n">
        <v>46023</v>
      </c>
      <c r="N1119" s="6" t="s">
        <v>104</v>
      </c>
      <c r="O1119" s="21" t="s">
        <v>104</v>
      </c>
      <c r="P1119" s="6" t="s">
        <v>104</v>
      </c>
      <c r="Q1119" s="6" t="s">
        <v>104</v>
      </c>
      <c r="R1119" s="6" t="s">
        <v>104</v>
      </c>
      <c r="S1119" s="6" t="s">
        <v>104</v>
      </c>
      <c r="T1119" s="21" t="s">
        <v>104</v>
      </c>
      <c r="U1119" s="6" t="s">
        <v>104</v>
      </c>
      <c r="V1119" s="6" t="s">
        <v>104</v>
      </c>
      <c r="W1119" s="6" t="s">
        <v>104</v>
      </c>
      <c r="X1119" s="6" t="s">
        <v>104</v>
      </c>
      <c r="Y1119" s="21" t="s">
        <v>104</v>
      </c>
      <c r="Z1119" s="6" t="s">
        <v>104</v>
      </c>
      <c r="AA1119" s="6" t="s">
        <v>104</v>
      </c>
      <c r="AB1119" s="6" t="s">
        <v>104</v>
      </c>
      <c r="AC1119" s="6" t="s">
        <v>9714</v>
      </c>
      <c r="AD1119" s="16" t="n">
        <v>42205</v>
      </c>
      <c r="AE1119" s="6" t="s">
        <v>11505</v>
      </c>
      <c r="AF1119" s="6" t="s">
        <v>104</v>
      </c>
      <c r="AG1119" s="6" t="s">
        <v>104</v>
      </c>
      <c r="AH1119" s="6" t="s">
        <v>14178</v>
      </c>
      <c r="AI1119" s="6" t="s">
        <v>104</v>
      </c>
      <c r="AJ1119" s="6" t="s">
        <v>16090</v>
      </c>
      <c r="AK1119" s="6" t="s">
        <v>16849</v>
      </c>
      <c r="AL1119" s="6" t="s">
        <v>16931</v>
      </c>
      <c r="AM1119" s="6" t="s">
        <v>17746</v>
      </c>
      <c r="AN1119" s="6" t="s">
        <v>18502</v>
      </c>
      <c r="AO1119" s="6" t="s">
        <v>18789</v>
      </c>
      <c r="AP1119" s="6" t="s">
        <v>19232</v>
      </c>
      <c r="AQ1119" s="6" t="s">
        <v>104</v>
      </c>
      <c r="AR1119" s="6" t="s">
        <v>16090</v>
      </c>
      <c r="AS1119" s="6" t="s">
        <v>16849</v>
      </c>
      <c r="AT1119" s="6" t="s">
        <v>16931</v>
      </c>
      <c r="AU1119" s="6" t="s">
        <v>17746</v>
      </c>
      <c r="AV1119" s="6" t="s">
        <v>104</v>
      </c>
      <c r="AW1119" s="6" t="s">
        <v>104</v>
      </c>
      <c r="AX1119" s="6" t="s">
        <v>20992</v>
      </c>
      <c r="AY1119" s="6" t="s">
        <v>22781</v>
      </c>
      <c r="AZ1119" s="6" t="s">
        <v>104</v>
      </c>
      <c r="BA1119" s="6" t="s">
        <v>24414</v>
      </c>
      <c r="BB1119" s="6" t="s">
        <v>104</v>
      </c>
      <c r="BC1119" s="26"/>
      <c r="BD1119" s="26"/>
      <c r="BE1119" s="26"/>
      <c r="BF1119" s="26"/>
      <c r="BG1119" s="26"/>
      <c r="BH1119" s="26"/>
      <c r="BI1119" s="26"/>
      <c r="BJ1119" s="26"/>
      <c r="BK1119" s="26"/>
      <c r="BL1119" s="26"/>
      <c r="BM1119" s="26"/>
      <c r="BN1119" s="26"/>
      <c r="BO1119" s="26"/>
      <c r="BP1119" s="16" t="n">
        <v>45667</v>
      </c>
      <c r="BQ1119" s="28" t="str">
        <f>HYPERLINK("https://organic.ams.usda.gov/Integrity/Certificate.aspx?cid=15&amp;nopid=5561002088")</f>
        <v>https://organic.ams.usda.gov/Integrity/Certificate.aspx?cid=15&amp;nopid=5561002088</v>
      </c>
    </row>
    <row r="1120">
      <c r="A1120" t="s">
        <v>3</v>
      </c>
      <c r="B1120" s="6" t="s">
        <v>17</v>
      </c>
      <c r="C1120" s="6" t="s">
        <v>83</v>
      </c>
      <c r="D1120" s="6" t="s">
        <v>148</v>
      </c>
      <c r="E1120" s="10" t="s">
        <v>1318</v>
      </c>
      <c r="F1120" s="6" t="s">
        <v>3562</v>
      </c>
      <c r="G1120" s="6" t="s">
        <v>4775</v>
      </c>
      <c r="H1120" s="6" t="s">
        <v>5913</v>
      </c>
      <c r="I1120" s="6" t="s">
        <v>7029</v>
      </c>
      <c r="J1120" s="6" t="s">
        <v>8975</v>
      </c>
      <c r="K1120" s="6" t="s">
        <v>9714</v>
      </c>
      <c r="L1120" s="16" t="n">
        <v>45414</v>
      </c>
      <c r="M1120" s="16" t="n">
        <v>45717</v>
      </c>
      <c r="N1120" s="6" t="s">
        <v>104</v>
      </c>
      <c r="O1120" s="21" t="s">
        <v>104</v>
      </c>
      <c r="P1120" s="6" t="s">
        <v>104</v>
      </c>
      <c r="Q1120" s="6" t="s">
        <v>104</v>
      </c>
      <c r="R1120" s="6" t="s">
        <v>104</v>
      </c>
      <c r="S1120" s="6" t="s">
        <v>104</v>
      </c>
      <c r="T1120" s="21" t="s">
        <v>104</v>
      </c>
      <c r="U1120" s="6" t="s">
        <v>104</v>
      </c>
      <c r="V1120" s="6" t="s">
        <v>104</v>
      </c>
      <c r="W1120" s="6" t="s">
        <v>104</v>
      </c>
      <c r="X1120" s="6" t="s">
        <v>104</v>
      </c>
      <c r="Y1120" s="21" t="s">
        <v>104</v>
      </c>
      <c r="Z1120" s="6" t="s">
        <v>104</v>
      </c>
      <c r="AA1120" s="6" t="s">
        <v>104</v>
      </c>
      <c r="AB1120" s="6" t="s">
        <v>104</v>
      </c>
      <c r="AC1120" s="6" t="s">
        <v>9714</v>
      </c>
      <c r="AD1120" s="16" t="n">
        <v>45414</v>
      </c>
      <c r="AE1120" s="6" t="s">
        <v>11506</v>
      </c>
      <c r="AF1120" s="6" t="s">
        <v>104</v>
      </c>
      <c r="AG1120" s="6" t="s">
        <v>104</v>
      </c>
      <c r="AH1120" s="6" t="s">
        <v>14179</v>
      </c>
      <c r="AI1120" s="6" t="s">
        <v>104</v>
      </c>
      <c r="AJ1120" s="6" t="s">
        <v>16091</v>
      </c>
      <c r="AK1120" s="6" t="s">
        <v>16680</v>
      </c>
      <c r="AL1120" s="6" t="s">
        <v>16931</v>
      </c>
      <c r="AM1120" s="6" t="s">
        <v>17747</v>
      </c>
      <c r="AN1120" s="6" t="s">
        <v>104</v>
      </c>
      <c r="AO1120" s="6" t="s">
        <v>104</v>
      </c>
      <c r="AP1120" s="6" t="s">
        <v>14179</v>
      </c>
      <c r="AQ1120" s="6" t="s">
        <v>104</v>
      </c>
      <c r="AR1120" s="6" t="s">
        <v>16091</v>
      </c>
      <c r="AS1120" s="6" t="s">
        <v>16680</v>
      </c>
      <c r="AT1120" s="6" t="s">
        <v>16931</v>
      </c>
      <c r="AU1120" s="6" t="s">
        <v>17747</v>
      </c>
      <c r="AV1120" s="6" t="s">
        <v>104</v>
      </c>
      <c r="AW1120" s="6" t="s">
        <v>104</v>
      </c>
      <c r="AX1120" s="6" t="s">
        <v>20993</v>
      </c>
      <c r="AY1120" s="6" t="s">
        <v>22782</v>
      </c>
      <c r="AZ1120" s="6" t="s">
        <v>23974</v>
      </c>
      <c r="BA1120" s="6" t="s">
        <v>104</v>
      </c>
      <c r="BB1120" s="24" t="n">
        <v>0</v>
      </c>
      <c r="BC1120" s="26"/>
      <c r="BD1120" s="26"/>
      <c r="BE1120" s="26"/>
      <c r="BF1120" s="26"/>
      <c r="BG1120" s="26" t="s">
        <v>24533</v>
      </c>
      <c r="BH1120" s="26" t="s">
        <v>24533</v>
      </c>
      <c r="BI1120" s="26"/>
      <c r="BJ1120" s="26"/>
      <c r="BK1120" s="26"/>
      <c r="BL1120" s="26"/>
      <c r="BM1120" s="26"/>
      <c r="BN1120" s="26"/>
      <c r="BO1120" s="26"/>
      <c r="BP1120" s="16" t="n">
        <v>45735</v>
      </c>
      <c r="BQ1120" s="28" t="str">
        <f>HYPERLINK("https://organic.ams.usda.gov/Integrity/Certificate.aspx?cid=51&amp;nopid=8241000008")</f>
        <v>https://organic.ams.usda.gov/Integrity/Certificate.aspx?cid=51&amp;nopid=8241000008</v>
      </c>
    </row>
    <row r="1121">
      <c r="A1121" t="s">
        <v>3</v>
      </c>
      <c r="B1121" s="6" t="s">
        <v>19</v>
      </c>
      <c r="C1121" s="6" t="s">
        <v>85</v>
      </c>
      <c r="D1121" s="6" t="s">
        <v>150</v>
      </c>
      <c r="E1121" s="10" t="s">
        <v>1319</v>
      </c>
      <c r="F1121" s="6" t="s">
        <v>3563</v>
      </c>
      <c r="G1121" s="6" t="s">
        <v>104</v>
      </c>
      <c r="H1121" s="6" t="s">
        <v>5914</v>
      </c>
      <c r="I1121" s="6" t="s">
        <v>7607</v>
      </c>
      <c r="J1121" s="6" t="s">
        <v>8976</v>
      </c>
      <c r="K1121" s="6" t="s">
        <v>9714</v>
      </c>
      <c r="L1121" s="16" t="n">
        <v>43662</v>
      </c>
      <c r="M1121" s="16" t="n">
        <v>45717</v>
      </c>
      <c r="N1121" s="6" t="s">
        <v>9714</v>
      </c>
      <c r="O1121" s="16" t="n">
        <v>43662</v>
      </c>
      <c r="P1121" s="6" t="s">
        <v>10038</v>
      </c>
      <c r="Q1121" s="6" t="s">
        <v>104</v>
      </c>
      <c r="R1121" s="6" t="s">
        <v>104</v>
      </c>
      <c r="S1121" s="6" t="s">
        <v>104</v>
      </c>
      <c r="T1121" s="21" t="s">
        <v>104</v>
      </c>
      <c r="U1121" s="6" t="s">
        <v>104</v>
      </c>
      <c r="V1121" s="6" t="s">
        <v>104</v>
      </c>
      <c r="W1121" s="6" t="s">
        <v>104</v>
      </c>
      <c r="X1121" s="6" t="s">
        <v>104</v>
      </c>
      <c r="Y1121" s="21" t="s">
        <v>104</v>
      </c>
      <c r="Z1121" s="6" t="s">
        <v>104</v>
      </c>
      <c r="AA1121" s="6" t="s">
        <v>104</v>
      </c>
      <c r="AB1121" s="6" t="s">
        <v>104</v>
      </c>
      <c r="AC1121" s="6" t="s">
        <v>9714</v>
      </c>
      <c r="AD1121" s="16" t="n">
        <v>45065</v>
      </c>
      <c r="AE1121" s="6" t="s">
        <v>11507</v>
      </c>
      <c r="AF1121" s="6" t="s">
        <v>104</v>
      </c>
      <c r="AG1121" s="6" t="s">
        <v>104</v>
      </c>
      <c r="AH1121" s="6" t="s">
        <v>14180</v>
      </c>
      <c r="AI1121" s="6" t="s">
        <v>104</v>
      </c>
      <c r="AJ1121" s="6" t="s">
        <v>16092</v>
      </c>
      <c r="AK1121" s="6" t="s">
        <v>16686</v>
      </c>
      <c r="AL1121" s="6" t="s">
        <v>16931</v>
      </c>
      <c r="AM1121" s="6" t="s">
        <v>17748</v>
      </c>
      <c r="AN1121" s="6" t="s">
        <v>18456</v>
      </c>
      <c r="AO1121" s="6" t="s">
        <v>18679</v>
      </c>
      <c r="AP1121" s="6" t="s">
        <v>14180</v>
      </c>
      <c r="AQ1121" s="6" t="s">
        <v>104</v>
      </c>
      <c r="AR1121" s="6" t="s">
        <v>16092</v>
      </c>
      <c r="AS1121" s="6" t="s">
        <v>16686</v>
      </c>
      <c r="AT1121" s="6" t="s">
        <v>16931</v>
      </c>
      <c r="AU1121" s="6" t="s">
        <v>17748</v>
      </c>
      <c r="AV1121" s="6" t="s">
        <v>104</v>
      </c>
      <c r="AW1121" s="6" t="s">
        <v>104</v>
      </c>
      <c r="AX1121" s="6" t="s">
        <v>20994</v>
      </c>
      <c r="AY1121" s="6" t="s">
        <v>22783</v>
      </c>
      <c r="AZ1121" s="6" t="s">
        <v>104</v>
      </c>
      <c r="BA1121" s="6" t="s">
        <v>104</v>
      </c>
      <c r="BB1121" s="24" t="n">
        <v>354</v>
      </c>
      <c r="BC1121" s="26"/>
      <c r="BD1121" s="26"/>
      <c r="BE1121" s="26"/>
      <c r="BF1121" s="26"/>
      <c r="BG1121" s="26"/>
      <c r="BH1121" s="26"/>
      <c r="BI1121" s="26"/>
      <c r="BJ1121" s="26"/>
      <c r="BK1121" s="26"/>
      <c r="BL1121" s="26"/>
      <c r="BM1121" s="26"/>
      <c r="BN1121" s="26"/>
      <c r="BO1121" s="26"/>
      <c r="BP1121" s="16" t="n">
        <v>45707</v>
      </c>
      <c r="BQ1121" s="28" t="str">
        <f>HYPERLINK("https://organic.ams.usda.gov/Integrity/Certificate.aspx?cid=68&amp;nopid=8210006854")</f>
        <v>https://organic.ams.usda.gov/Integrity/Certificate.aspx?cid=68&amp;nopid=8210006854</v>
      </c>
    </row>
    <row r="1122">
      <c r="A1122" t="s">
        <v>3</v>
      </c>
      <c r="B1122" s="6" t="s">
        <v>63</v>
      </c>
      <c r="C1122" s="6" t="s">
        <v>129</v>
      </c>
      <c r="D1122" s="6" t="s">
        <v>193</v>
      </c>
      <c r="E1122" s="10" t="s">
        <v>1320</v>
      </c>
      <c r="F1122" s="6" t="s">
        <v>3564</v>
      </c>
      <c r="G1122" s="6" t="s">
        <v>104</v>
      </c>
      <c r="H1122" s="6" t="s">
        <v>5915</v>
      </c>
      <c r="I1122" s="6" t="s">
        <v>7608</v>
      </c>
      <c r="J1122" s="6" t="s">
        <v>7947</v>
      </c>
      <c r="K1122" s="6" t="s">
        <v>9714</v>
      </c>
      <c r="L1122" s="16" t="n">
        <v>41883</v>
      </c>
      <c r="M1122" s="16" t="n">
        <v>45658</v>
      </c>
      <c r="N1122" s="6" t="s">
        <v>9714</v>
      </c>
      <c r="O1122" s="16" t="n">
        <v>41883</v>
      </c>
      <c r="P1122" s="6" t="s">
        <v>10039</v>
      </c>
      <c r="Q1122" s="6" t="s">
        <v>104</v>
      </c>
      <c r="R1122" s="6" t="s">
        <v>10381</v>
      </c>
      <c r="S1122" s="6" t="s">
        <v>104</v>
      </c>
      <c r="T1122" s="21" t="s">
        <v>104</v>
      </c>
      <c r="U1122" s="6" t="s">
        <v>104</v>
      </c>
      <c r="V1122" s="6" t="s">
        <v>104</v>
      </c>
      <c r="W1122" s="6" t="s">
        <v>104</v>
      </c>
      <c r="X1122" s="6" t="s">
        <v>104</v>
      </c>
      <c r="Y1122" s="21" t="s">
        <v>104</v>
      </c>
      <c r="Z1122" s="6" t="s">
        <v>104</v>
      </c>
      <c r="AA1122" s="6" t="s">
        <v>104</v>
      </c>
      <c r="AB1122" s="6" t="s">
        <v>104</v>
      </c>
      <c r="AC1122" s="6" t="s">
        <v>104</v>
      </c>
      <c r="AD1122" s="21" t="s">
        <v>104</v>
      </c>
      <c r="AE1122" s="6" t="s">
        <v>104</v>
      </c>
      <c r="AF1122" s="6" t="s">
        <v>104</v>
      </c>
      <c r="AG1122" s="6" t="s">
        <v>104</v>
      </c>
      <c r="AH1122" s="6" t="s">
        <v>14181</v>
      </c>
      <c r="AI1122" s="6" t="s">
        <v>104</v>
      </c>
      <c r="AJ1122" s="6" t="s">
        <v>15591</v>
      </c>
      <c r="AK1122" s="6" t="s">
        <v>16689</v>
      </c>
      <c r="AL1122" s="6" t="s">
        <v>16931</v>
      </c>
      <c r="AM1122" s="6" t="s">
        <v>17206</v>
      </c>
      <c r="AN1122" s="6" t="s">
        <v>18503</v>
      </c>
      <c r="AO1122" s="6" t="s">
        <v>18637</v>
      </c>
      <c r="AP1122" s="6" t="s">
        <v>104</v>
      </c>
      <c r="AQ1122" s="6" t="s">
        <v>104</v>
      </c>
      <c r="AR1122" s="6" t="s">
        <v>104</v>
      </c>
      <c r="AS1122" s="6" t="s">
        <v>104</v>
      </c>
      <c r="AT1122" s="6" t="s">
        <v>104</v>
      </c>
      <c r="AU1122" s="6" t="s">
        <v>104</v>
      </c>
      <c r="AV1122" s="6" t="s">
        <v>104</v>
      </c>
      <c r="AW1122" s="6" t="s">
        <v>104</v>
      </c>
      <c r="AX1122" s="6" t="s">
        <v>20995</v>
      </c>
      <c r="AY1122" s="6" t="s">
        <v>22784</v>
      </c>
      <c r="AZ1122" s="6" t="s">
        <v>104</v>
      </c>
      <c r="BA1122" s="6" t="s">
        <v>104</v>
      </c>
      <c r="BB1122" s="24" t="n">
        <v>17</v>
      </c>
      <c r="BC1122" s="26"/>
      <c r="BD1122" s="26"/>
      <c r="BE1122" s="26"/>
      <c r="BF1122" s="26"/>
      <c r="BG1122" s="26"/>
      <c r="BH1122" s="26"/>
      <c r="BI1122" s="26"/>
      <c r="BJ1122" s="26"/>
      <c r="BK1122" s="26"/>
      <c r="BL1122" s="26"/>
      <c r="BM1122" s="26"/>
      <c r="BN1122" s="26"/>
      <c r="BO1122" s="26"/>
      <c r="BP1122" s="16" t="n">
        <v>45587</v>
      </c>
      <c r="BQ1122" s="28" t="str">
        <f>HYPERLINK("https://organic.ams.usda.gov/Integrity/Certificate.aspx?cid=38&amp;nopid=5100037077")</f>
        <v>https://organic.ams.usda.gov/Integrity/Certificate.aspx?cid=38&amp;nopid=5100037077</v>
      </c>
    </row>
    <row r="1123">
      <c r="A1123" t="s">
        <v>3</v>
      </c>
      <c r="B1123" s="6" t="s">
        <v>12</v>
      </c>
      <c r="C1123" s="6" t="s">
        <v>78</v>
      </c>
      <c r="D1123" s="6" t="s">
        <v>143</v>
      </c>
      <c r="E1123" s="10" t="s">
        <v>1321</v>
      </c>
      <c r="F1123" s="6" t="s">
        <v>3565</v>
      </c>
      <c r="G1123" s="6" t="s">
        <v>104</v>
      </c>
      <c r="H1123" s="6" t="s">
        <v>104</v>
      </c>
      <c r="I1123" s="6" t="s">
        <v>7609</v>
      </c>
      <c r="J1123" s="6" t="s">
        <v>8977</v>
      </c>
      <c r="K1123" s="6" t="s">
        <v>9714</v>
      </c>
      <c r="L1123" s="16" t="n">
        <v>44794</v>
      </c>
      <c r="M1123" s="16" t="n">
        <v>45901</v>
      </c>
      <c r="N1123" s="6" t="s">
        <v>104</v>
      </c>
      <c r="O1123" s="21" t="s">
        <v>104</v>
      </c>
      <c r="P1123" s="6" t="s">
        <v>104</v>
      </c>
      <c r="Q1123" s="6" t="s">
        <v>104</v>
      </c>
      <c r="R1123" s="6" t="s">
        <v>104</v>
      </c>
      <c r="S1123" s="6" t="s">
        <v>104</v>
      </c>
      <c r="T1123" s="21" t="s">
        <v>104</v>
      </c>
      <c r="U1123" s="6" t="s">
        <v>104</v>
      </c>
      <c r="V1123" s="6" t="s">
        <v>104</v>
      </c>
      <c r="W1123" s="6" t="s">
        <v>104</v>
      </c>
      <c r="X1123" s="6" t="s">
        <v>104</v>
      </c>
      <c r="Y1123" s="21" t="s">
        <v>104</v>
      </c>
      <c r="Z1123" s="6" t="s">
        <v>104</v>
      </c>
      <c r="AA1123" s="6" t="s">
        <v>104</v>
      </c>
      <c r="AB1123" s="6" t="s">
        <v>104</v>
      </c>
      <c r="AC1123" s="6" t="s">
        <v>9714</v>
      </c>
      <c r="AD1123" s="16" t="n">
        <v>44794</v>
      </c>
      <c r="AE1123" s="6" t="s">
        <v>11508</v>
      </c>
      <c r="AF1123" s="6" t="s">
        <v>104</v>
      </c>
      <c r="AG1123" s="6" t="s">
        <v>104</v>
      </c>
      <c r="AH1123" s="6" t="s">
        <v>14182</v>
      </c>
      <c r="AI1123" s="6" t="s">
        <v>104</v>
      </c>
      <c r="AJ1123" s="6" t="s">
        <v>15970</v>
      </c>
      <c r="AK1123" s="6" t="s">
        <v>16849</v>
      </c>
      <c r="AL1123" s="6" t="s">
        <v>16931</v>
      </c>
      <c r="AM1123" s="6" t="s">
        <v>17749</v>
      </c>
      <c r="AN1123" s="6" t="s">
        <v>17469</v>
      </c>
      <c r="AO1123" s="6" t="s">
        <v>18790</v>
      </c>
      <c r="AP1123" s="6" t="s">
        <v>19233</v>
      </c>
      <c r="AQ1123" s="6" t="s">
        <v>104</v>
      </c>
      <c r="AR1123" s="6" t="s">
        <v>15970</v>
      </c>
      <c r="AS1123" s="6" t="s">
        <v>16849</v>
      </c>
      <c r="AT1123" s="6" t="s">
        <v>16931</v>
      </c>
      <c r="AU1123" s="6" t="s">
        <v>17749</v>
      </c>
      <c r="AV1123" s="6" t="s">
        <v>104</v>
      </c>
      <c r="AW1123" s="6" t="s">
        <v>104</v>
      </c>
      <c r="AX1123" s="6" t="s">
        <v>104</v>
      </c>
      <c r="AY1123" s="6" t="s">
        <v>22785</v>
      </c>
      <c r="AZ1123" s="6" t="s">
        <v>104</v>
      </c>
      <c r="BA1123" s="6" t="s">
        <v>104</v>
      </c>
      <c r="BB1123" s="6" t="s">
        <v>104</v>
      </c>
      <c r="BC1123" s="26"/>
      <c r="BD1123" s="26"/>
      <c r="BE1123" s="26"/>
      <c r="BF1123" s="26"/>
      <c r="BG1123" s="26"/>
      <c r="BH1123" s="26"/>
      <c r="BI1123" s="26"/>
      <c r="BJ1123" s="26"/>
      <c r="BK1123" s="26"/>
      <c r="BL1123" s="26"/>
      <c r="BM1123" s="26"/>
      <c r="BN1123" s="26"/>
      <c r="BO1123" s="26"/>
      <c r="BP1123" s="16" t="n">
        <v>45628</v>
      </c>
      <c r="BQ1123" s="28" t="str">
        <f>HYPERLINK("https://organic.ams.usda.gov/Integrity/Certificate.aspx?cid=1&amp;nopid=9092215302")</f>
        <v>https://organic.ams.usda.gov/Integrity/Certificate.aspx?cid=1&amp;nopid=9092215302</v>
      </c>
    </row>
    <row r="1124">
      <c r="A1124" t="s">
        <v>3</v>
      </c>
      <c r="B1124" s="6" t="s">
        <v>29</v>
      </c>
      <c r="C1124" s="6" t="s">
        <v>95</v>
      </c>
      <c r="D1124" s="6" t="s">
        <v>160</v>
      </c>
      <c r="E1124" s="10" t="s">
        <v>1322</v>
      </c>
      <c r="F1124" s="6" t="s">
        <v>3566</v>
      </c>
      <c r="G1124" s="6" t="s">
        <v>104</v>
      </c>
      <c r="H1124" s="6" t="s">
        <v>5916</v>
      </c>
      <c r="I1124" s="6" t="s">
        <v>104</v>
      </c>
      <c r="J1124" s="6" t="s">
        <v>8978</v>
      </c>
      <c r="K1124" s="6" t="s">
        <v>9714</v>
      </c>
      <c r="L1124" s="16" t="n">
        <v>45589</v>
      </c>
      <c r="M1124" s="16" t="n">
        <v>45778</v>
      </c>
      <c r="N1124" s="6" t="s">
        <v>104</v>
      </c>
      <c r="O1124" s="21" t="s">
        <v>104</v>
      </c>
      <c r="P1124" s="6" t="s">
        <v>104</v>
      </c>
      <c r="Q1124" s="6" t="s">
        <v>104</v>
      </c>
      <c r="R1124" s="6" t="s">
        <v>104</v>
      </c>
      <c r="S1124" s="6" t="s">
        <v>104</v>
      </c>
      <c r="T1124" s="21" t="s">
        <v>104</v>
      </c>
      <c r="U1124" s="6" t="s">
        <v>104</v>
      </c>
      <c r="V1124" s="6" t="s">
        <v>104</v>
      </c>
      <c r="W1124" s="6" t="s">
        <v>104</v>
      </c>
      <c r="X1124" s="6" t="s">
        <v>104</v>
      </c>
      <c r="Y1124" s="21" t="s">
        <v>104</v>
      </c>
      <c r="Z1124" s="6" t="s">
        <v>104</v>
      </c>
      <c r="AA1124" s="6" t="s">
        <v>104</v>
      </c>
      <c r="AB1124" s="6" t="s">
        <v>104</v>
      </c>
      <c r="AC1124" s="6" t="s">
        <v>9714</v>
      </c>
      <c r="AD1124" s="16" t="n">
        <v>45589</v>
      </c>
      <c r="AE1124" s="6" t="s">
        <v>11509</v>
      </c>
      <c r="AF1124" s="6" t="s">
        <v>104</v>
      </c>
      <c r="AG1124" s="6" t="s">
        <v>104</v>
      </c>
      <c r="AH1124" s="6" t="s">
        <v>14183</v>
      </c>
      <c r="AI1124" s="6" t="s">
        <v>104</v>
      </c>
      <c r="AJ1124" s="6" t="s">
        <v>16093</v>
      </c>
      <c r="AK1124" s="6" t="s">
        <v>104</v>
      </c>
      <c r="AL1124" s="6" t="s">
        <v>16766</v>
      </c>
      <c r="AM1124" s="6" t="s">
        <v>104</v>
      </c>
      <c r="AN1124" s="6" t="s">
        <v>104</v>
      </c>
      <c r="AO1124" s="6" t="s">
        <v>104</v>
      </c>
      <c r="AP1124" s="6" t="s">
        <v>104</v>
      </c>
      <c r="AQ1124" s="6" t="s">
        <v>104</v>
      </c>
      <c r="AR1124" s="6" t="s">
        <v>104</v>
      </c>
      <c r="AS1124" s="6" t="s">
        <v>104</v>
      </c>
      <c r="AT1124" s="6" t="s">
        <v>104</v>
      </c>
      <c r="AU1124" s="6" t="s">
        <v>104</v>
      </c>
      <c r="AV1124" s="6" t="s">
        <v>104</v>
      </c>
      <c r="AW1124" s="6" t="s">
        <v>104</v>
      </c>
      <c r="AX1124" s="6" t="s">
        <v>20996</v>
      </c>
      <c r="AY1124" s="6" t="s">
        <v>22786</v>
      </c>
      <c r="AZ1124" s="6" t="s">
        <v>104</v>
      </c>
      <c r="BA1124" s="6" t="s">
        <v>104</v>
      </c>
      <c r="BB1124" s="24" t="n">
        <v>0</v>
      </c>
      <c r="BC1124" s="26"/>
      <c r="BD1124" s="26"/>
      <c r="BE1124" s="26"/>
      <c r="BF1124" s="26"/>
      <c r="BG1124" s="26" t="s">
        <v>24533</v>
      </c>
      <c r="BH1124" s="26"/>
      <c r="BI1124" s="26"/>
      <c r="BJ1124" s="26"/>
      <c r="BK1124" s="26"/>
      <c r="BL1124" s="26"/>
      <c r="BM1124" s="26"/>
      <c r="BN1124" s="26"/>
      <c r="BO1124" s="26"/>
      <c r="BP1124" s="16" t="n">
        <v>45682</v>
      </c>
      <c r="BQ1124" s="28" t="str">
        <f>HYPERLINK("https://organic.ams.usda.gov/Integrity/Certificate.aspx?cid=24&amp;nopid=7880298521")</f>
        <v>https://organic.ams.usda.gov/Integrity/Certificate.aspx?cid=24&amp;nopid=7880298521</v>
      </c>
    </row>
    <row r="1125">
      <c r="A1125" t="s">
        <v>3</v>
      </c>
      <c r="B1125" s="6" t="s">
        <v>13</v>
      </c>
      <c r="C1125" s="6" t="s">
        <v>79</v>
      </c>
      <c r="D1125" s="6" t="s">
        <v>144</v>
      </c>
      <c r="E1125" s="10" t="s">
        <v>1323</v>
      </c>
      <c r="F1125" s="6" t="s">
        <v>3567</v>
      </c>
      <c r="G1125" s="6" t="s">
        <v>104</v>
      </c>
      <c r="H1125" s="6" t="s">
        <v>5917</v>
      </c>
      <c r="I1125" s="6" t="s">
        <v>7610</v>
      </c>
      <c r="J1125" s="6" t="s">
        <v>8979</v>
      </c>
      <c r="K1125" s="6" t="s">
        <v>9714</v>
      </c>
      <c r="L1125" s="16" t="n">
        <v>44644</v>
      </c>
      <c r="M1125" s="16" t="n">
        <v>46023</v>
      </c>
      <c r="N1125" s="6" t="s">
        <v>104</v>
      </c>
      <c r="O1125" s="21" t="s">
        <v>104</v>
      </c>
      <c r="P1125" s="6" t="s">
        <v>104</v>
      </c>
      <c r="Q1125" s="6" t="s">
        <v>104</v>
      </c>
      <c r="R1125" s="6" t="s">
        <v>104</v>
      </c>
      <c r="S1125" s="6" t="s">
        <v>104</v>
      </c>
      <c r="T1125" s="21" t="s">
        <v>104</v>
      </c>
      <c r="U1125" s="6" t="s">
        <v>104</v>
      </c>
      <c r="V1125" s="6" t="s">
        <v>104</v>
      </c>
      <c r="W1125" s="6" t="s">
        <v>104</v>
      </c>
      <c r="X1125" s="6" t="s">
        <v>104</v>
      </c>
      <c r="Y1125" s="21" t="s">
        <v>104</v>
      </c>
      <c r="Z1125" s="6" t="s">
        <v>104</v>
      </c>
      <c r="AA1125" s="6" t="s">
        <v>104</v>
      </c>
      <c r="AB1125" s="6" t="s">
        <v>104</v>
      </c>
      <c r="AC1125" s="6" t="s">
        <v>9714</v>
      </c>
      <c r="AD1125" s="16" t="n">
        <v>44644</v>
      </c>
      <c r="AE1125" s="6" t="s">
        <v>11510</v>
      </c>
      <c r="AF1125" s="6" t="s">
        <v>104</v>
      </c>
      <c r="AG1125" s="6" t="s">
        <v>104</v>
      </c>
      <c r="AH1125" s="6" t="s">
        <v>104</v>
      </c>
      <c r="AI1125" s="6" t="s">
        <v>104</v>
      </c>
      <c r="AJ1125" s="6" t="s">
        <v>104</v>
      </c>
      <c r="AK1125" s="6" t="s">
        <v>104</v>
      </c>
      <c r="AL1125" s="6" t="s">
        <v>104</v>
      </c>
      <c r="AM1125" s="6" t="s">
        <v>104</v>
      </c>
      <c r="AN1125" s="6" t="s">
        <v>104</v>
      </c>
      <c r="AO1125" s="6" t="s">
        <v>104</v>
      </c>
      <c r="AP1125" s="6" t="s">
        <v>19234</v>
      </c>
      <c r="AQ1125" s="6" t="s">
        <v>104</v>
      </c>
      <c r="AR1125" s="6" t="s">
        <v>16274</v>
      </c>
      <c r="AS1125" s="6" t="s">
        <v>16683</v>
      </c>
      <c r="AT1125" s="6" t="s">
        <v>16931</v>
      </c>
      <c r="AU1125" s="6" t="s">
        <v>19939</v>
      </c>
      <c r="AV1125" s="6" t="s">
        <v>18457</v>
      </c>
      <c r="AW1125" s="6" t="s">
        <v>20093</v>
      </c>
      <c r="AX1125" s="6" t="s">
        <v>20997</v>
      </c>
      <c r="AY1125" s="6" t="s">
        <v>22787</v>
      </c>
      <c r="AZ1125" s="6" t="s">
        <v>104</v>
      </c>
      <c r="BA1125" s="6" t="s">
        <v>104</v>
      </c>
      <c r="BB1125" s="6" t="s">
        <v>104</v>
      </c>
      <c r="BC1125" s="26"/>
      <c r="BD1125" s="26"/>
      <c r="BE1125" s="26"/>
      <c r="BF1125" s="26"/>
      <c r="BG1125" s="26"/>
      <c r="BH1125" s="26"/>
      <c r="BI1125" s="26"/>
      <c r="BJ1125" s="26"/>
      <c r="BK1125" s="26"/>
      <c r="BL1125" s="26"/>
      <c r="BM1125" s="26"/>
      <c r="BN1125" s="26"/>
      <c r="BO1125" s="26"/>
      <c r="BP1125" s="16" t="n">
        <v>45720</v>
      </c>
      <c r="BQ1125" s="28" t="str">
        <f>HYPERLINK("https://organic.ams.usda.gov/Integrity/Certificate.aspx?cid=62&amp;nopid=8150019468")</f>
        <v>https://organic.ams.usda.gov/Integrity/Certificate.aspx?cid=62&amp;nopid=8150019468</v>
      </c>
    </row>
    <row r="1126">
      <c r="A1126" t="s">
        <v>3</v>
      </c>
      <c r="B1126" s="6" t="s">
        <v>54</v>
      </c>
      <c r="C1126" s="6" t="s">
        <v>120</v>
      </c>
      <c r="D1126" s="6" t="s">
        <v>184</v>
      </c>
      <c r="E1126" s="10" t="s">
        <v>1324</v>
      </c>
      <c r="F1126" s="6" t="s">
        <v>3568</v>
      </c>
      <c r="G1126" s="6" t="s">
        <v>104</v>
      </c>
      <c r="H1126" s="6" t="s">
        <v>5918</v>
      </c>
      <c r="I1126" s="6" t="s">
        <v>7611</v>
      </c>
      <c r="J1126" s="6" t="s">
        <v>8888</v>
      </c>
      <c r="K1126" s="6" t="s">
        <v>9714</v>
      </c>
      <c r="L1126" s="16" t="n">
        <v>43586</v>
      </c>
      <c r="M1126" s="16" t="n">
        <v>45717</v>
      </c>
      <c r="N1126" s="6" t="s">
        <v>9714</v>
      </c>
      <c r="O1126" s="16" t="n">
        <v>43586</v>
      </c>
      <c r="P1126" s="6" t="s">
        <v>10040</v>
      </c>
      <c r="Q1126" s="6" t="s">
        <v>104</v>
      </c>
      <c r="R1126" s="6" t="s">
        <v>104</v>
      </c>
      <c r="S1126" s="6" t="s">
        <v>104</v>
      </c>
      <c r="T1126" s="21" t="s">
        <v>104</v>
      </c>
      <c r="U1126" s="6" t="s">
        <v>104</v>
      </c>
      <c r="V1126" s="6" t="s">
        <v>104</v>
      </c>
      <c r="W1126" s="6" t="s">
        <v>104</v>
      </c>
      <c r="X1126" s="6" t="s">
        <v>104</v>
      </c>
      <c r="Y1126" s="21" t="s">
        <v>104</v>
      </c>
      <c r="Z1126" s="6" t="s">
        <v>104</v>
      </c>
      <c r="AA1126" s="6" t="s">
        <v>104</v>
      </c>
      <c r="AB1126" s="6" t="s">
        <v>104</v>
      </c>
      <c r="AC1126" s="6" t="s">
        <v>104</v>
      </c>
      <c r="AD1126" s="21" t="s">
        <v>104</v>
      </c>
      <c r="AE1126" s="6" t="s">
        <v>104</v>
      </c>
      <c r="AF1126" s="6" t="s">
        <v>104</v>
      </c>
      <c r="AG1126" s="6" t="s">
        <v>104</v>
      </c>
      <c r="AH1126" s="6" t="s">
        <v>14184</v>
      </c>
      <c r="AI1126" s="6" t="s">
        <v>104</v>
      </c>
      <c r="AJ1126" s="6" t="s">
        <v>15741</v>
      </c>
      <c r="AK1126" s="6" t="s">
        <v>16684</v>
      </c>
      <c r="AL1126" s="6" t="s">
        <v>16931</v>
      </c>
      <c r="AM1126" s="6" t="s">
        <v>17361</v>
      </c>
      <c r="AN1126" s="6" t="s">
        <v>18494</v>
      </c>
      <c r="AO1126" s="6" t="s">
        <v>18687</v>
      </c>
      <c r="AP1126" s="6" t="s">
        <v>104</v>
      </c>
      <c r="AQ1126" s="6" t="s">
        <v>104</v>
      </c>
      <c r="AR1126" s="6" t="s">
        <v>104</v>
      </c>
      <c r="AS1126" s="6" t="s">
        <v>104</v>
      </c>
      <c r="AT1126" s="6" t="s">
        <v>104</v>
      </c>
      <c r="AU1126" s="6" t="s">
        <v>104</v>
      </c>
      <c r="AV1126" s="6" t="s">
        <v>104</v>
      </c>
      <c r="AW1126" s="6" t="s">
        <v>104</v>
      </c>
      <c r="AX1126" s="6" t="s">
        <v>104</v>
      </c>
      <c r="AY1126" s="6" t="s">
        <v>22788</v>
      </c>
      <c r="AZ1126" s="6" t="s">
        <v>104</v>
      </c>
      <c r="BA1126" s="6" t="s">
        <v>24267</v>
      </c>
      <c r="BB1126" s="24" t="n">
        <v>210</v>
      </c>
      <c r="BC1126" s="26"/>
      <c r="BD1126" s="26"/>
      <c r="BE1126" s="26"/>
      <c r="BF1126" s="26"/>
      <c r="BG1126" s="26"/>
      <c r="BH1126" s="26"/>
      <c r="BI1126" s="26"/>
      <c r="BJ1126" s="26"/>
      <c r="BK1126" s="26"/>
      <c r="BL1126" s="26"/>
      <c r="BM1126" s="26"/>
      <c r="BN1126" s="26"/>
      <c r="BO1126" s="26"/>
      <c r="BP1126" s="16" t="n">
        <v>45630</v>
      </c>
      <c r="BQ1126" s="28" t="str">
        <f>HYPERLINK("https://organic.ams.usda.gov/Integrity/Certificate.aspx?cid=60&amp;nopid=2580002983")</f>
        <v>https://organic.ams.usda.gov/Integrity/Certificate.aspx?cid=60&amp;nopid=2580002983</v>
      </c>
    </row>
    <row r="1127">
      <c r="A1127" t="s">
        <v>3</v>
      </c>
      <c r="B1127" s="6" t="s">
        <v>48</v>
      </c>
      <c r="C1127" s="6" t="s">
        <v>114</v>
      </c>
      <c r="D1127" s="6" t="s">
        <v>178</v>
      </c>
      <c r="E1127" s="10" t="s">
        <v>1325</v>
      </c>
      <c r="F1127" s="6" t="s">
        <v>3569</v>
      </c>
      <c r="G1127" s="6" t="s">
        <v>104</v>
      </c>
      <c r="H1127" s="6" t="s">
        <v>5919</v>
      </c>
      <c r="I1127" s="6" t="s">
        <v>7612</v>
      </c>
      <c r="J1127" s="6" t="s">
        <v>7206</v>
      </c>
      <c r="K1127" s="6" t="s">
        <v>9714</v>
      </c>
      <c r="L1127" s="16" t="n">
        <v>43032</v>
      </c>
      <c r="M1127" s="16" t="n">
        <v>46142</v>
      </c>
      <c r="N1127" s="6" t="s">
        <v>9714</v>
      </c>
      <c r="O1127" s="16" t="n">
        <v>43032</v>
      </c>
      <c r="P1127" s="6" t="s">
        <v>10041</v>
      </c>
      <c r="Q1127" s="6" t="s">
        <v>104</v>
      </c>
      <c r="R1127" s="6" t="s">
        <v>104</v>
      </c>
      <c r="S1127" s="6" t="s">
        <v>104</v>
      </c>
      <c r="T1127" s="21" t="s">
        <v>104</v>
      </c>
      <c r="U1127" s="6" t="s">
        <v>104</v>
      </c>
      <c r="V1127" s="6" t="s">
        <v>104</v>
      </c>
      <c r="W1127" s="6" t="s">
        <v>104</v>
      </c>
      <c r="X1127" s="6" t="s">
        <v>104</v>
      </c>
      <c r="Y1127" s="21" t="s">
        <v>104</v>
      </c>
      <c r="Z1127" s="6" t="s">
        <v>104</v>
      </c>
      <c r="AA1127" s="6" t="s">
        <v>104</v>
      </c>
      <c r="AB1127" s="6" t="s">
        <v>104</v>
      </c>
      <c r="AC1127" s="6" t="s">
        <v>104</v>
      </c>
      <c r="AD1127" s="21" t="s">
        <v>104</v>
      </c>
      <c r="AE1127" s="6" t="s">
        <v>104</v>
      </c>
      <c r="AF1127" s="6" t="s">
        <v>104</v>
      </c>
      <c r="AG1127" s="6" t="s">
        <v>104</v>
      </c>
      <c r="AH1127" s="6" t="s">
        <v>14185</v>
      </c>
      <c r="AI1127" s="6" t="s">
        <v>104</v>
      </c>
      <c r="AJ1127" s="6" t="s">
        <v>16094</v>
      </c>
      <c r="AK1127" s="6" t="s">
        <v>104</v>
      </c>
      <c r="AL1127" s="6" t="s">
        <v>16766</v>
      </c>
      <c r="AM1127" s="6" t="s">
        <v>104</v>
      </c>
      <c r="AN1127" s="6" t="s">
        <v>104</v>
      </c>
      <c r="AO1127" s="6" t="s">
        <v>104</v>
      </c>
      <c r="AP1127" s="6" t="s">
        <v>14185</v>
      </c>
      <c r="AQ1127" s="6" t="s">
        <v>104</v>
      </c>
      <c r="AR1127" s="6" t="s">
        <v>16094</v>
      </c>
      <c r="AS1127" s="6" t="s">
        <v>104</v>
      </c>
      <c r="AT1127" s="6" t="s">
        <v>16766</v>
      </c>
      <c r="AU1127" s="6" t="s">
        <v>104</v>
      </c>
      <c r="AV1127" s="6" t="s">
        <v>104</v>
      </c>
      <c r="AW1127" s="6" t="s">
        <v>104</v>
      </c>
      <c r="AX1127" s="6" t="s">
        <v>20998</v>
      </c>
      <c r="AY1127" s="6" t="s">
        <v>22789</v>
      </c>
      <c r="AZ1127" s="6" t="s">
        <v>104</v>
      </c>
      <c r="BA1127" s="6" t="s">
        <v>104</v>
      </c>
      <c r="BB1127" s="24" t="n">
        <v>6477</v>
      </c>
      <c r="BC1127" s="26"/>
      <c r="BD1127" s="26"/>
      <c r="BE1127" s="26"/>
      <c r="BF1127" s="26"/>
      <c r="BG1127" s="26"/>
      <c r="BH1127" s="26"/>
      <c r="BI1127" s="26"/>
      <c r="BJ1127" s="26"/>
      <c r="BK1127" s="26"/>
      <c r="BL1127" s="26"/>
      <c r="BM1127" s="26"/>
      <c r="BN1127" s="26"/>
      <c r="BO1127" s="26"/>
      <c r="BP1127" s="16" t="n">
        <v>45656</v>
      </c>
      <c r="BQ1127" s="28" t="str">
        <f>HYPERLINK("https://organic.ams.usda.gov/Integrity/Certificate.aspx?cid=9&amp;nopid=1200647102")</f>
        <v>https://organic.ams.usda.gov/Integrity/Certificate.aspx?cid=9&amp;nopid=1200647102</v>
      </c>
    </row>
    <row r="1128">
      <c r="A1128" t="s">
        <v>3</v>
      </c>
      <c r="B1128" s="6" t="s">
        <v>18</v>
      </c>
      <c r="C1128" s="6" t="s">
        <v>84</v>
      </c>
      <c r="D1128" s="6" t="s">
        <v>149</v>
      </c>
      <c r="E1128" s="10" t="s">
        <v>1326</v>
      </c>
      <c r="F1128" s="6" t="s">
        <v>3570</v>
      </c>
      <c r="G1128" s="6" t="s">
        <v>4776</v>
      </c>
      <c r="H1128" s="6" t="s">
        <v>5920</v>
      </c>
      <c r="I1128" s="6" t="s">
        <v>7613</v>
      </c>
      <c r="J1128" s="6" t="s">
        <v>8980</v>
      </c>
      <c r="K1128" s="6" t="s">
        <v>9714</v>
      </c>
      <c r="L1128" s="16" t="n">
        <v>41481</v>
      </c>
      <c r="M1128" s="16" t="n">
        <v>45894</v>
      </c>
      <c r="N1128" s="6" t="s">
        <v>104</v>
      </c>
      <c r="O1128" s="21" t="s">
        <v>104</v>
      </c>
      <c r="P1128" s="6" t="s">
        <v>104</v>
      </c>
      <c r="Q1128" s="6" t="s">
        <v>104</v>
      </c>
      <c r="R1128" s="6" t="s">
        <v>104</v>
      </c>
      <c r="S1128" s="6" t="s">
        <v>104</v>
      </c>
      <c r="T1128" s="21" t="s">
        <v>104</v>
      </c>
      <c r="U1128" s="6" t="s">
        <v>104</v>
      </c>
      <c r="V1128" s="6" t="s">
        <v>104</v>
      </c>
      <c r="W1128" s="6" t="s">
        <v>104</v>
      </c>
      <c r="X1128" s="6" t="s">
        <v>104</v>
      </c>
      <c r="Y1128" s="21" t="s">
        <v>104</v>
      </c>
      <c r="Z1128" s="6" t="s">
        <v>104</v>
      </c>
      <c r="AA1128" s="6" t="s">
        <v>104</v>
      </c>
      <c r="AB1128" s="6" t="s">
        <v>104</v>
      </c>
      <c r="AC1128" s="6" t="s">
        <v>9714</v>
      </c>
      <c r="AD1128" s="16" t="n">
        <v>41481</v>
      </c>
      <c r="AE1128" s="6" t="s">
        <v>11511</v>
      </c>
      <c r="AF1128" s="6" t="s">
        <v>104</v>
      </c>
      <c r="AG1128" s="6" t="s">
        <v>12842</v>
      </c>
      <c r="AH1128" s="6" t="s">
        <v>14186</v>
      </c>
      <c r="AI1128" s="6" t="s">
        <v>104</v>
      </c>
      <c r="AJ1128" s="6" t="s">
        <v>16095</v>
      </c>
      <c r="AK1128" s="6" t="s">
        <v>16706</v>
      </c>
      <c r="AL1128" s="6" t="s">
        <v>16931</v>
      </c>
      <c r="AM1128" s="6" t="s">
        <v>17750</v>
      </c>
      <c r="AN1128" s="6" t="s">
        <v>18539</v>
      </c>
      <c r="AO1128" s="6" t="s">
        <v>18644</v>
      </c>
      <c r="AP1128" s="6" t="s">
        <v>104</v>
      </c>
      <c r="AQ1128" s="6" t="s">
        <v>104</v>
      </c>
      <c r="AR1128" s="6" t="s">
        <v>104</v>
      </c>
      <c r="AS1128" s="6" t="s">
        <v>104</v>
      </c>
      <c r="AT1128" s="6" t="s">
        <v>104</v>
      </c>
      <c r="AU1128" s="6" t="s">
        <v>104</v>
      </c>
      <c r="AV1128" s="6" t="s">
        <v>104</v>
      </c>
      <c r="AW1128" s="6" t="s">
        <v>104</v>
      </c>
      <c r="AX1128" s="6" t="s">
        <v>20999</v>
      </c>
      <c r="AY1128" s="6" t="s">
        <v>22790</v>
      </c>
      <c r="AZ1128" s="6" t="s">
        <v>104</v>
      </c>
      <c r="BA1128" s="6" t="s">
        <v>24415</v>
      </c>
      <c r="BB1128" s="6" t="s">
        <v>104</v>
      </c>
      <c r="BC1128" s="26"/>
      <c r="BD1128" s="26"/>
      <c r="BE1128" s="26"/>
      <c r="BF1128" s="26"/>
      <c r="BG1128" s="26"/>
      <c r="BH1128" s="26"/>
      <c r="BI1128" s="26"/>
      <c r="BJ1128" s="26"/>
      <c r="BK1128" s="26"/>
      <c r="BL1128" s="26"/>
      <c r="BM1128" s="26"/>
      <c r="BN1128" s="26" t="s">
        <v>24533</v>
      </c>
      <c r="BO1128" s="26"/>
      <c r="BP1128" s="16" t="n">
        <v>45737</v>
      </c>
      <c r="BQ1128" s="28" t="str">
        <f>HYPERLINK("https://organic.ams.usda.gov/Integrity/Certificate.aspx?cid=31&amp;nopid=3928971301")</f>
        <v>https://organic.ams.usda.gov/Integrity/Certificate.aspx?cid=31&amp;nopid=3928971301</v>
      </c>
    </row>
    <row r="1129">
      <c r="A1129" t="s">
        <v>3</v>
      </c>
      <c r="B1129" s="6" t="s">
        <v>11</v>
      </c>
      <c r="C1129" s="6" t="s">
        <v>77</v>
      </c>
      <c r="D1129" s="6" t="s">
        <v>142</v>
      </c>
      <c r="E1129" s="10" t="s">
        <v>1327</v>
      </c>
      <c r="F1129" s="6" t="s">
        <v>3571</v>
      </c>
      <c r="G1129" s="6" t="s">
        <v>104</v>
      </c>
      <c r="H1129" s="6" t="s">
        <v>104</v>
      </c>
      <c r="I1129" s="6" t="s">
        <v>7614</v>
      </c>
      <c r="J1129" s="6" t="s">
        <v>8981</v>
      </c>
      <c r="K1129" s="6" t="s">
        <v>9714</v>
      </c>
      <c r="L1129" s="16" t="n">
        <v>43838</v>
      </c>
      <c r="M1129" s="16" t="n">
        <v>45613</v>
      </c>
      <c r="N1129" s="6" t="s">
        <v>9714</v>
      </c>
      <c r="O1129" s="16" t="n">
        <v>43838</v>
      </c>
      <c r="P1129" s="6" t="s">
        <v>10042</v>
      </c>
      <c r="Q1129" s="6" t="s">
        <v>104</v>
      </c>
      <c r="R1129" s="6" t="s">
        <v>104</v>
      </c>
      <c r="S1129" s="6" t="s">
        <v>104</v>
      </c>
      <c r="T1129" s="21" t="s">
        <v>104</v>
      </c>
      <c r="U1129" s="6" t="s">
        <v>104</v>
      </c>
      <c r="V1129" s="6" t="s">
        <v>104</v>
      </c>
      <c r="W1129" s="6" t="s">
        <v>104</v>
      </c>
      <c r="X1129" s="6" t="s">
        <v>104</v>
      </c>
      <c r="Y1129" s="21" t="s">
        <v>104</v>
      </c>
      <c r="Z1129" s="6" t="s">
        <v>104</v>
      </c>
      <c r="AA1129" s="6" t="s">
        <v>104</v>
      </c>
      <c r="AB1129" s="6" t="s">
        <v>104</v>
      </c>
      <c r="AC1129" s="6" t="s">
        <v>9714</v>
      </c>
      <c r="AD1129" s="16" t="n">
        <v>43838</v>
      </c>
      <c r="AE1129" s="6" t="s">
        <v>11512</v>
      </c>
      <c r="AF1129" s="6" t="s">
        <v>104</v>
      </c>
      <c r="AG1129" s="6" t="s">
        <v>104</v>
      </c>
      <c r="AH1129" s="6" t="s">
        <v>14187</v>
      </c>
      <c r="AI1129" s="6" t="s">
        <v>15294</v>
      </c>
      <c r="AJ1129" s="6" t="s">
        <v>104</v>
      </c>
      <c r="AK1129" s="6" t="s">
        <v>16850</v>
      </c>
      <c r="AL1129" s="6" t="s">
        <v>16940</v>
      </c>
      <c r="AM1129" s="6" t="s">
        <v>104</v>
      </c>
      <c r="AN1129" s="6" t="s">
        <v>104</v>
      </c>
      <c r="AO1129" s="6" t="s">
        <v>104</v>
      </c>
      <c r="AP1129" s="6" t="s">
        <v>104</v>
      </c>
      <c r="AQ1129" s="6" t="s">
        <v>104</v>
      </c>
      <c r="AR1129" s="6" t="s">
        <v>104</v>
      </c>
      <c r="AS1129" s="6" t="s">
        <v>104</v>
      </c>
      <c r="AT1129" s="6" t="s">
        <v>104</v>
      </c>
      <c r="AU1129" s="6" t="s">
        <v>104</v>
      </c>
      <c r="AV1129" s="6" t="s">
        <v>104</v>
      </c>
      <c r="AW1129" s="6" t="s">
        <v>104</v>
      </c>
      <c r="AX1129" s="6" t="s">
        <v>21000</v>
      </c>
      <c r="AY1129" s="6" t="s">
        <v>22791</v>
      </c>
      <c r="AZ1129" s="6" t="s">
        <v>104</v>
      </c>
      <c r="BA1129" s="6" t="s">
        <v>104</v>
      </c>
      <c r="BB1129" s="24" t="n">
        <v>2540</v>
      </c>
      <c r="BC1129" s="26"/>
      <c r="BD1129" s="26"/>
      <c r="BE1129" s="26"/>
      <c r="BF1129" s="26"/>
      <c r="BG1129" s="26"/>
      <c r="BH1129" s="26"/>
      <c r="BI1129" s="26"/>
      <c r="BJ1129" s="26"/>
      <c r="BK1129" s="26"/>
      <c r="BL1129" s="26"/>
      <c r="BM1129" s="26"/>
      <c r="BN1129" s="26"/>
      <c r="BO1129" s="26"/>
      <c r="BP1129" s="16" t="n">
        <v>45472</v>
      </c>
      <c r="BQ1129" s="28" t="str">
        <f>HYPERLINK("https://organic.ams.usda.gov/Integrity/Certificate.aspx?cid=21&amp;nopid=1780862390")</f>
        <v>https://organic.ams.usda.gov/Integrity/Certificate.aspx?cid=21&amp;nopid=1780862390</v>
      </c>
    </row>
    <row r="1130">
      <c r="A1130" t="s">
        <v>3</v>
      </c>
      <c r="B1130" s="6" t="s">
        <v>20</v>
      </c>
      <c r="C1130" s="6" t="s">
        <v>86</v>
      </c>
      <c r="D1130" s="6" t="s">
        <v>151</v>
      </c>
      <c r="E1130" s="10" t="s">
        <v>1328</v>
      </c>
      <c r="F1130" s="6" t="s">
        <v>3572</v>
      </c>
      <c r="G1130" s="6" t="s">
        <v>104</v>
      </c>
      <c r="H1130" s="6" t="s">
        <v>5921</v>
      </c>
      <c r="I1130" s="6" t="s">
        <v>7615</v>
      </c>
      <c r="J1130" s="6" t="s">
        <v>8982</v>
      </c>
      <c r="K1130" s="6" t="s">
        <v>9714</v>
      </c>
      <c r="L1130" s="16" t="n">
        <v>42512</v>
      </c>
      <c r="M1130" s="16" t="n">
        <v>45900</v>
      </c>
      <c r="N1130" s="6" t="s">
        <v>104</v>
      </c>
      <c r="O1130" s="21" t="s">
        <v>104</v>
      </c>
      <c r="P1130" s="6" t="s">
        <v>104</v>
      </c>
      <c r="Q1130" s="6" t="s">
        <v>104</v>
      </c>
      <c r="R1130" s="6" t="s">
        <v>104</v>
      </c>
      <c r="S1130" s="6" t="s">
        <v>104</v>
      </c>
      <c r="T1130" s="21" t="s">
        <v>104</v>
      </c>
      <c r="U1130" s="6" t="s">
        <v>104</v>
      </c>
      <c r="V1130" s="6" t="s">
        <v>104</v>
      </c>
      <c r="W1130" s="6" t="s">
        <v>104</v>
      </c>
      <c r="X1130" s="6" t="s">
        <v>104</v>
      </c>
      <c r="Y1130" s="21" t="s">
        <v>104</v>
      </c>
      <c r="Z1130" s="6" t="s">
        <v>104</v>
      </c>
      <c r="AA1130" s="6" t="s">
        <v>104</v>
      </c>
      <c r="AB1130" s="6" t="s">
        <v>104</v>
      </c>
      <c r="AC1130" s="6" t="s">
        <v>9714</v>
      </c>
      <c r="AD1130" s="16" t="n">
        <v>42512</v>
      </c>
      <c r="AE1130" s="6" t="s">
        <v>11513</v>
      </c>
      <c r="AF1130" s="6" t="s">
        <v>104</v>
      </c>
      <c r="AG1130" s="6" t="s">
        <v>12843</v>
      </c>
      <c r="AH1130" s="6" t="s">
        <v>14188</v>
      </c>
      <c r="AI1130" s="6" t="s">
        <v>104</v>
      </c>
      <c r="AJ1130" s="6" t="s">
        <v>16096</v>
      </c>
      <c r="AK1130" s="6" t="s">
        <v>16851</v>
      </c>
      <c r="AL1130" s="6" t="s">
        <v>15513</v>
      </c>
      <c r="AM1130" s="6" t="s">
        <v>17751</v>
      </c>
      <c r="AN1130" s="6" t="s">
        <v>104</v>
      </c>
      <c r="AO1130" s="6" t="s">
        <v>104</v>
      </c>
      <c r="AP1130" s="6" t="s">
        <v>104</v>
      </c>
      <c r="AQ1130" s="6" t="s">
        <v>104</v>
      </c>
      <c r="AR1130" s="6" t="s">
        <v>104</v>
      </c>
      <c r="AS1130" s="6" t="s">
        <v>104</v>
      </c>
      <c r="AT1130" s="6" t="s">
        <v>104</v>
      </c>
      <c r="AU1130" s="6" t="s">
        <v>104</v>
      </c>
      <c r="AV1130" s="6" t="s">
        <v>104</v>
      </c>
      <c r="AW1130" s="6" t="s">
        <v>104</v>
      </c>
      <c r="AX1130" s="6" t="s">
        <v>21001</v>
      </c>
      <c r="AY1130" s="6" t="s">
        <v>22792</v>
      </c>
      <c r="AZ1130" s="6" t="s">
        <v>104</v>
      </c>
      <c r="BA1130" s="6" t="s">
        <v>104</v>
      </c>
      <c r="BB1130" s="6" t="s">
        <v>104</v>
      </c>
      <c r="BC1130" s="26"/>
      <c r="BD1130" s="26"/>
      <c r="BE1130" s="26"/>
      <c r="BF1130" s="26"/>
      <c r="BG1130" s="26"/>
      <c r="BH1130" s="26"/>
      <c r="BI1130" s="26"/>
      <c r="BJ1130" s="26"/>
      <c r="BK1130" s="26"/>
      <c r="BL1130" s="26"/>
      <c r="BM1130" s="26"/>
      <c r="BN1130" s="26"/>
      <c r="BO1130" s="26"/>
      <c r="BP1130" s="16" t="n">
        <v>45667</v>
      </c>
      <c r="BQ1130" s="28" t="str">
        <f>HYPERLINK("https://organic.ams.usda.gov/Integrity/Certificate.aspx?cid=17&amp;nopid=4087184131")</f>
        <v>https://organic.ams.usda.gov/Integrity/Certificate.aspx?cid=17&amp;nopid=4087184131</v>
      </c>
    </row>
    <row r="1131">
      <c r="A1131" t="s">
        <v>3</v>
      </c>
      <c r="B1131" s="6" t="s">
        <v>21</v>
      </c>
      <c r="C1131" s="6" t="s">
        <v>87</v>
      </c>
      <c r="D1131" s="6" t="s">
        <v>152</v>
      </c>
      <c r="E1131" s="10" t="s">
        <v>1329</v>
      </c>
      <c r="F1131" s="6" t="s">
        <v>3573</v>
      </c>
      <c r="G1131" s="6" t="s">
        <v>4777</v>
      </c>
      <c r="H1131" s="6" t="s">
        <v>5922</v>
      </c>
      <c r="I1131" s="6" t="s">
        <v>7616</v>
      </c>
      <c r="J1131" s="6" t="s">
        <v>8444</v>
      </c>
      <c r="K1131" s="6" t="s">
        <v>9714</v>
      </c>
      <c r="L1131" s="16" t="n">
        <v>45475</v>
      </c>
      <c r="M1131" s="16" t="n">
        <v>46023</v>
      </c>
      <c r="N1131" s="6" t="s">
        <v>104</v>
      </c>
      <c r="O1131" s="21" t="s">
        <v>104</v>
      </c>
      <c r="P1131" s="6" t="s">
        <v>104</v>
      </c>
      <c r="Q1131" s="6" t="s">
        <v>104</v>
      </c>
      <c r="R1131" s="6" t="s">
        <v>104</v>
      </c>
      <c r="S1131" s="6" t="s">
        <v>104</v>
      </c>
      <c r="T1131" s="21" t="s">
        <v>104</v>
      </c>
      <c r="U1131" s="6" t="s">
        <v>104</v>
      </c>
      <c r="V1131" s="6" t="s">
        <v>104</v>
      </c>
      <c r="W1131" s="6" t="s">
        <v>104</v>
      </c>
      <c r="X1131" s="6" t="s">
        <v>104</v>
      </c>
      <c r="Y1131" s="21" t="s">
        <v>104</v>
      </c>
      <c r="Z1131" s="6" t="s">
        <v>104</v>
      </c>
      <c r="AA1131" s="6" t="s">
        <v>104</v>
      </c>
      <c r="AB1131" s="6" t="s">
        <v>104</v>
      </c>
      <c r="AC1131" s="6" t="s">
        <v>9714</v>
      </c>
      <c r="AD1131" s="16" t="n">
        <v>45475</v>
      </c>
      <c r="AE1131" s="6" t="s">
        <v>11514</v>
      </c>
      <c r="AF1131" s="6" t="s">
        <v>104</v>
      </c>
      <c r="AG1131" s="6" t="s">
        <v>104</v>
      </c>
      <c r="AH1131" s="6" t="s">
        <v>14189</v>
      </c>
      <c r="AI1131" s="6" t="s">
        <v>104</v>
      </c>
      <c r="AJ1131" s="6" t="s">
        <v>15856</v>
      </c>
      <c r="AK1131" s="6" t="s">
        <v>16687</v>
      </c>
      <c r="AL1131" s="6" t="s">
        <v>16931</v>
      </c>
      <c r="AM1131" s="6" t="s">
        <v>17486</v>
      </c>
      <c r="AN1131" s="6" t="s">
        <v>104</v>
      </c>
      <c r="AO1131" s="6" t="s">
        <v>104</v>
      </c>
      <c r="AP1131" s="6" t="s">
        <v>14189</v>
      </c>
      <c r="AQ1131" s="6" t="s">
        <v>104</v>
      </c>
      <c r="AR1131" s="6" t="s">
        <v>15856</v>
      </c>
      <c r="AS1131" s="6" t="s">
        <v>16687</v>
      </c>
      <c r="AT1131" s="6" t="s">
        <v>16931</v>
      </c>
      <c r="AU1131" s="6" t="s">
        <v>17486</v>
      </c>
      <c r="AV1131" s="6" t="s">
        <v>104</v>
      </c>
      <c r="AW1131" s="6" t="s">
        <v>104</v>
      </c>
      <c r="AX1131" s="6" t="s">
        <v>21002</v>
      </c>
      <c r="AY1131" s="6" t="s">
        <v>22793</v>
      </c>
      <c r="AZ1131" s="6" t="s">
        <v>23975</v>
      </c>
      <c r="BA1131" s="6" t="s">
        <v>104</v>
      </c>
      <c r="BB1131" s="6" t="s">
        <v>104</v>
      </c>
      <c r="BC1131" s="26"/>
      <c r="BD1131" s="26"/>
      <c r="BE1131" s="26"/>
      <c r="BF1131" s="26"/>
      <c r="BG1131" s="26"/>
      <c r="BH1131" s="26"/>
      <c r="BI1131" s="26"/>
      <c r="BJ1131" s="26"/>
      <c r="BK1131" s="26"/>
      <c r="BL1131" s="26"/>
      <c r="BM1131" s="26"/>
      <c r="BN1131" s="26"/>
      <c r="BO1131" s="26"/>
      <c r="BP1131" s="16" t="n">
        <v>45667</v>
      </c>
      <c r="BQ1131" s="28" t="str">
        <f>HYPERLINK("https://organic.ams.usda.gov/Integrity/Certificate.aspx?cid=15&amp;nopid=5561008378")</f>
        <v>https://organic.ams.usda.gov/Integrity/Certificate.aspx?cid=15&amp;nopid=5561008378</v>
      </c>
    </row>
    <row r="1132">
      <c r="A1132" t="s">
        <v>3</v>
      </c>
      <c r="B1132" s="6" t="s">
        <v>24</v>
      </c>
      <c r="C1132" s="6" t="s">
        <v>90</v>
      </c>
      <c r="D1132" s="6" t="s">
        <v>155</v>
      </c>
      <c r="E1132" s="10" t="s">
        <v>1330</v>
      </c>
      <c r="F1132" s="6" t="s">
        <v>3574</v>
      </c>
      <c r="G1132" s="6" t="s">
        <v>4778</v>
      </c>
      <c r="H1132" s="6" t="s">
        <v>5923</v>
      </c>
      <c r="I1132" s="6" t="s">
        <v>7061</v>
      </c>
      <c r="J1132" s="6" t="s">
        <v>8281</v>
      </c>
      <c r="K1132" s="6" t="s">
        <v>9714</v>
      </c>
      <c r="L1132" s="16" t="n">
        <v>41484</v>
      </c>
      <c r="M1132" s="16" t="n">
        <v>45747</v>
      </c>
      <c r="N1132" s="6" t="s">
        <v>104</v>
      </c>
      <c r="O1132" s="21" t="s">
        <v>104</v>
      </c>
      <c r="P1132" s="6" t="s">
        <v>104</v>
      </c>
      <c r="Q1132" s="6" t="s">
        <v>104</v>
      </c>
      <c r="R1132" s="6" t="s">
        <v>104</v>
      </c>
      <c r="S1132" s="6" t="s">
        <v>104</v>
      </c>
      <c r="T1132" s="21" t="s">
        <v>104</v>
      </c>
      <c r="U1132" s="6" t="s">
        <v>104</v>
      </c>
      <c r="V1132" s="6" t="s">
        <v>104</v>
      </c>
      <c r="W1132" s="6" t="s">
        <v>104</v>
      </c>
      <c r="X1132" s="6" t="s">
        <v>104</v>
      </c>
      <c r="Y1132" s="21" t="s">
        <v>104</v>
      </c>
      <c r="Z1132" s="6" t="s">
        <v>104</v>
      </c>
      <c r="AA1132" s="6" t="s">
        <v>104</v>
      </c>
      <c r="AB1132" s="6" t="s">
        <v>104</v>
      </c>
      <c r="AC1132" s="6" t="s">
        <v>9714</v>
      </c>
      <c r="AD1132" s="16" t="n">
        <v>41484</v>
      </c>
      <c r="AE1132" s="6" t="s">
        <v>11515</v>
      </c>
      <c r="AF1132" s="6" t="s">
        <v>104</v>
      </c>
      <c r="AG1132" s="6" t="s">
        <v>5923</v>
      </c>
      <c r="AH1132" s="6" t="s">
        <v>13335</v>
      </c>
      <c r="AI1132" s="6" t="s">
        <v>15295</v>
      </c>
      <c r="AJ1132" s="6" t="s">
        <v>15377</v>
      </c>
      <c r="AK1132" s="6" t="s">
        <v>16690</v>
      </c>
      <c r="AL1132" s="6" t="s">
        <v>16934</v>
      </c>
      <c r="AM1132" s="6" t="s">
        <v>17116</v>
      </c>
      <c r="AN1132" s="6" t="s">
        <v>104</v>
      </c>
      <c r="AO1132" s="6" t="s">
        <v>104</v>
      </c>
      <c r="AP1132" s="6" t="s">
        <v>13335</v>
      </c>
      <c r="AQ1132" s="6" t="s">
        <v>15295</v>
      </c>
      <c r="AR1132" s="6" t="s">
        <v>15377</v>
      </c>
      <c r="AS1132" s="6" t="s">
        <v>16690</v>
      </c>
      <c r="AT1132" s="6" t="s">
        <v>16934</v>
      </c>
      <c r="AU1132" s="6" t="s">
        <v>17116</v>
      </c>
      <c r="AV1132" s="6" t="s">
        <v>104</v>
      </c>
      <c r="AW1132" s="6" t="s">
        <v>104</v>
      </c>
      <c r="AX1132" s="6" t="s">
        <v>20266</v>
      </c>
      <c r="AY1132" s="6" t="s">
        <v>22794</v>
      </c>
      <c r="AZ1132" s="6" t="s">
        <v>104</v>
      </c>
      <c r="BA1132" s="6" t="s">
        <v>24262</v>
      </c>
      <c r="BB1132" s="24" t="n">
        <v>0</v>
      </c>
      <c r="BC1132" s="26"/>
      <c r="BD1132" s="26"/>
      <c r="BE1132" s="26"/>
      <c r="BF1132" s="26"/>
      <c r="BG1132" s="26"/>
      <c r="BH1132" s="26"/>
      <c r="BI1132" s="26"/>
      <c r="BJ1132" s="26"/>
      <c r="BK1132" s="26"/>
      <c r="BL1132" s="26"/>
      <c r="BM1132" s="26"/>
      <c r="BN1132" s="26"/>
      <c r="BO1132" s="26"/>
      <c r="BP1132" s="16" t="n">
        <v>45623</v>
      </c>
      <c r="BQ1132" s="28" t="str">
        <f>HYPERLINK("https://organic.ams.usda.gov/Integrity/Certificate.aspx?cid=7&amp;nopid=3950000167")</f>
        <v>https://organic.ams.usda.gov/Integrity/Certificate.aspx?cid=7&amp;nopid=3950000167</v>
      </c>
    </row>
    <row r="1133">
      <c r="A1133" t="s">
        <v>3</v>
      </c>
      <c r="B1133" s="6" t="s">
        <v>20</v>
      </c>
      <c r="C1133" s="6" t="s">
        <v>86</v>
      </c>
      <c r="D1133" s="6" t="s">
        <v>151</v>
      </c>
      <c r="E1133" s="10" t="s">
        <v>1331</v>
      </c>
      <c r="F1133" s="6" t="s">
        <v>3575</v>
      </c>
      <c r="G1133" s="6" t="s">
        <v>104</v>
      </c>
      <c r="H1133" s="6" t="s">
        <v>5924</v>
      </c>
      <c r="I1133" s="6" t="s">
        <v>104</v>
      </c>
      <c r="J1133" s="6" t="s">
        <v>104</v>
      </c>
      <c r="K1133" s="6" t="s">
        <v>9714</v>
      </c>
      <c r="L1133" s="16" t="n">
        <v>44701</v>
      </c>
      <c r="M1133" s="16" t="n">
        <v>45747</v>
      </c>
      <c r="N1133" s="6" t="s">
        <v>104</v>
      </c>
      <c r="O1133" s="21" t="s">
        <v>104</v>
      </c>
      <c r="P1133" s="6" t="s">
        <v>104</v>
      </c>
      <c r="Q1133" s="6" t="s">
        <v>104</v>
      </c>
      <c r="R1133" s="6" t="s">
        <v>104</v>
      </c>
      <c r="S1133" s="6" t="s">
        <v>104</v>
      </c>
      <c r="T1133" s="21" t="s">
        <v>104</v>
      </c>
      <c r="U1133" s="6" t="s">
        <v>104</v>
      </c>
      <c r="V1133" s="6" t="s">
        <v>104</v>
      </c>
      <c r="W1133" s="6" t="s">
        <v>104</v>
      </c>
      <c r="X1133" s="6" t="s">
        <v>104</v>
      </c>
      <c r="Y1133" s="21" t="s">
        <v>104</v>
      </c>
      <c r="Z1133" s="6" t="s">
        <v>104</v>
      </c>
      <c r="AA1133" s="6" t="s">
        <v>104</v>
      </c>
      <c r="AB1133" s="6" t="s">
        <v>104</v>
      </c>
      <c r="AC1133" s="6" t="s">
        <v>9714</v>
      </c>
      <c r="AD1133" s="16" t="n">
        <v>44701</v>
      </c>
      <c r="AE1133" s="6" t="s">
        <v>11516</v>
      </c>
      <c r="AF1133" s="6" t="s">
        <v>104</v>
      </c>
      <c r="AG1133" s="6" t="s">
        <v>12844</v>
      </c>
      <c r="AH1133" s="6" t="s">
        <v>14190</v>
      </c>
      <c r="AI1133" s="6" t="s">
        <v>104</v>
      </c>
      <c r="AJ1133" s="6" t="s">
        <v>16097</v>
      </c>
      <c r="AK1133" s="6" t="s">
        <v>104</v>
      </c>
      <c r="AL1133" s="6" t="s">
        <v>15513</v>
      </c>
      <c r="AM1133" s="6" t="s">
        <v>17071</v>
      </c>
      <c r="AN1133" s="6" t="s">
        <v>104</v>
      </c>
      <c r="AO1133" s="6" t="s">
        <v>104</v>
      </c>
      <c r="AP1133" s="6" t="s">
        <v>104</v>
      </c>
      <c r="AQ1133" s="6" t="s">
        <v>104</v>
      </c>
      <c r="AR1133" s="6" t="s">
        <v>104</v>
      </c>
      <c r="AS1133" s="6" t="s">
        <v>104</v>
      </c>
      <c r="AT1133" s="6" t="s">
        <v>104</v>
      </c>
      <c r="AU1133" s="6" t="s">
        <v>104</v>
      </c>
      <c r="AV1133" s="6" t="s">
        <v>104</v>
      </c>
      <c r="AW1133" s="6" t="s">
        <v>104</v>
      </c>
      <c r="AX1133" s="6" t="s">
        <v>104</v>
      </c>
      <c r="AY1133" s="6" t="s">
        <v>104</v>
      </c>
      <c r="AZ1133" s="6" t="s">
        <v>104</v>
      </c>
      <c r="BA1133" s="6" t="s">
        <v>104</v>
      </c>
      <c r="BB1133" s="6" t="s">
        <v>104</v>
      </c>
      <c r="BC1133" s="26"/>
      <c r="BD1133" s="26"/>
      <c r="BE1133" s="26"/>
      <c r="BF1133" s="26"/>
      <c r="BG1133" s="26"/>
      <c r="BH1133" s="26"/>
      <c r="BI1133" s="26"/>
      <c r="BJ1133" s="26"/>
      <c r="BK1133" s="26"/>
      <c r="BL1133" s="26"/>
      <c r="BM1133" s="26"/>
      <c r="BN1133" s="26"/>
      <c r="BO1133" s="26"/>
      <c r="BP1133" s="16" t="n">
        <v>45450</v>
      </c>
      <c r="BQ1133" s="28" t="str">
        <f>HYPERLINK("https://organic.ams.usda.gov/Integrity/Certificate.aspx?cid=17&amp;nopid=4082376048")</f>
        <v>https://organic.ams.usda.gov/Integrity/Certificate.aspx?cid=17&amp;nopid=4082376048</v>
      </c>
    </row>
    <row r="1134">
      <c r="A1134" t="s">
        <v>3</v>
      </c>
      <c r="B1134" s="6" t="s">
        <v>57</v>
      </c>
      <c r="C1134" s="6" t="s">
        <v>123</v>
      </c>
      <c r="D1134" s="6" t="s">
        <v>187</v>
      </c>
      <c r="E1134" s="10" t="s">
        <v>1332</v>
      </c>
      <c r="F1134" s="6" t="s">
        <v>3576</v>
      </c>
      <c r="G1134" s="6" t="s">
        <v>4779</v>
      </c>
      <c r="H1134" s="6" t="s">
        <v>5925</v>
      </c>
      <c r="I1134" s="6" t="s">
        <v>6973</v>
      </c>
      <c r="J1134" s="6" t="s">
        <v>8983</v>
      </c>
      <c r="K1134" s="6" t="s">
        <v>9714</v>
      </c>
      <c r="L1134" s="16" t="n">
        <v>45190</v>
      </c>
      <c r="M1134" s="16" t="n">
        <v>45444</v>
      </c>
      <c r="N1134" s="6" t="s">
        <v>104</v>
      </c>
      <c r="O1134" s="21" t="s">
        <v>104</v>
      </c>
      <c r="P1134" s="6" t="s">
        <v>104</v>
      </c>
      <c r="Q1134" s="6" t="s">
        <v>104</v>
      </c>
      <c r="R1134" s="6" t="s">
        <v>104</v>
      </c>
      <c r="S1134" s="6" t="s">
        <v>104</v>
      </c>
      <c r="T1134" s="21" t="s">
        <v>104</v>
      </c>
      <c r="U1134" s="6" t="s">
        <v>104</v>
      </c>
      <c r="V1134" s="6" t="s">
        <v>104</v>
      </c>
      <c r="W1134" s="6" t="s">
        <v>104</v>
      </c>
      <c r="X1134" s="6" t="s">
        <v>104</v>
      </c>
      <c r="Y1134" s="21" t="s">
        <v>104</v>
      </c>
      <c r="Z1134" s="6" t="s">
        <v>104</v>
      </c>
      <c r="AA1134" s="6" t="s">
        <v>104</v>
      </c>
      <c r="AB1134" s="6" t="s">
        <v>104</v>
      </c>
      <c r="AC1134" s="6" t="s">
        <v>9714</v>
      </c>
      <c r="AD1134" s="16" t="n">
        <v>45190</v>
      </c>
      <c r="AE1134" s="6" t="s">
        <v>11517</v>
      </c>
      <c r="AF1134" s="6" t="s">
        <v>104</v>
      </c>
      <c r="AG1134" s="6" t="s">
        <v>104</v>
      </c>
      <c r="AH1134" s="6" t="s">
        <v>14191</v>
      </c>
      <c r="AI1134" s="6" t="s">
        <v>104</v>
      </c>
      <c r="AJ1134" s="6" t="s">
        <v>15490</v>
      </c>
      <c r="AK1134" s="6" t="s">
        <v>16730</v>
      </c>
      <c r="AL1134" s="6" t="s">
        <v>16931</v>
      </c>
      <c r="AM1134" s="6" t="s">
        <v>17752</v>
      </c>
      <c r="AN1134" s="6" t="s">
        <v>18491</v>
      </c>
      <c r="AO1134" s="6" t="s">
        <v>18739</v>
      </c>
      <c r="AP1134" s="6" t="s">
        <v>19235</v>
      </c>
      <c r="AQ1134" s="6" t="s">
        <v>104</v>
      </c>
      <c r="AR1134" s="6" t="s">
        <v>15490</v>
      </c>
      <c r="AS1134" s="6" t="s">
        <v>16730</v>
      </c>
      <c r="AT1134" s="6" t="s">
        <v>16931</v>
      </c>
      <c r="AU1134" s="6" t="s">
        <v>17752</v>
      </c>
      <c r="AV1134" s="6" t="s">
        <v>104</v>
      </c>
      <c r="AW1134" s="6" t="s">
        <v>104</v>
      </c>
      <c r="AX1134" s="6" t="s">
        <v>21003</v>
      </c>
      <c r="AY1134" s="6" t="s">
        <v>22795</v>
      </c>
      <c r="AZ1134" s="6" t="s">
        <v>104</v>
      </c>
      <c r="BA1134" s="6" t="s">
        <v>104</v>
      </c>
      <c r="BB1134" s="6" t="s">
        <v>104</v>
      </c>
      <c r="BC1134" s="26"/>
      <c r="BD1134" s="26"/>
      <c r="BE1134" s="26"/>
      <c r="BF1134" s="26"/>
      <c r="BG1134" s="26"/>
      <c r="BH1134" s="26"/>
      <c r="BI1134" s="26"/>
      <c r="BJ1134" s="26"/>
      <c r="BK1134" s="26"/>
      <c r="BL1134" s="26"/>
      <c r="BM1134" s="26"/>
      <c r="BN1134" s="26"/>
      <c r="BO1134" s="26"/>
      <c r="BP1134" s="16" t="n">
        <v>45735</v>
      </c>
      <c r="BQ1134" s="28" t="str">
        <f>HYPERLINK("https://organic.ams.usda.gov/Integrity/Certificate.aspx?cid=19&amp;nopid=6351055730")</f>
        <v>https://organic.ams.usda.gov/Integrity/Certificate.aspx?cid=19&amp;nopid=6351055730</v>
      </c>
    </row>
    <row r="1135">
      <c r="A1135" t="s">
        <v>3</v>
      </c>
      <c r="B1135" s="6" t="s">
        <v>34</v>
      </c>
      <c r="C1135" s="6" t="s">
        <v>100</v>
      </c>
      <c r="D1135" s="6" t="s">
        <v>165</v>
      </c>
      <c r="E1135" s="10" t="s">
        <v>1333</v>
      </c>
      <c r="F1135" s="6" t="s">
        <v>3577</v>
      </c>
      <c r="G1135" s="6" t="s">
        <v>104</v>
      </c>
      <c r="H1135" s="6" t="s">
        <v>5926</v>
      </c>
      <c r="I1135" s="6" t="s">
        <v>7617</v>
      </c>
      <c r="J1135" s="6" t="s">
        <v>8984</v>
      </c>
      <c r="K1135" s="6" t="s">
        <v>9714</v>
      </c>
      <c r="L1135" s="16" t="n">
        <v>38212</v>
      </c>
      <c r="M1135" s="16" t="n">
        <v>45748</v>
      </c>
      <c r="N1135" s="6" t="s">
        <v>104</v>
      </c>
      <c r="O1135" s="21" t="s">
        <v>104</v>
      </c>
      <c r="P1135" s="6" t="s">
        <v>104</v>
      </c>
      <c r="Q1135" s="6" t="s">
        <v>104</v>
      </c>
      <c r="R1135" s="6" t="s">
        <v>104</v>
      </c>
      <c r="S1135" s="6" t="s">
        <v>104</v>
      </c>
      <c r="T1135" s="21" t="s">
        <v>104</v>
      </c>
      <c r="U1135" s="6" t="s">
        <v>104</v>
      </c>
      <c r="V1135" s="6" t="s">
        <v>104</v>
      </c>
      <c r="W1135" s="6" t="s">
        <v>104</v>
      </c>
      <c r="X1135" s="6" t="s">
        <v>104</v>
      </c>
      <c r="Y1135" s="21" t="s">
        <v>104</v>
      </c>
      <c r="Z1135" s="6" t="s">
        <v>104</v>
      </c>
      <c r="AA1135" s="6" t="s">
        <v>104</v>
      </c>
      <c r="AB1135" s="6" t="s">
        <v>104</v>
      </c>
      <c r="AC1135" s="6" t="s">
        <v>9714</v>
      </c>
      <c r="AD1135" s="16" t="n">
        <v>38212</v>
      </c>
      <c r="AE1135" s="6" t="s">
        <v>11518</v>
      </c>
      <c r="AF1135" s="6" t="s">
        <v>104</v>
      </c>
      <c r="AG1135" s="6" t="s">
        <v>12845</v>
      </c>
      <c r="AH1135" s="6" t="s">
        <v>14192</v>
      </c>
      <c r="AI1135" s="6" t="s">
        <v>104</v>
      </c>
      <c r="AJ1135" s="6" t="s">
        <v>16098</v>
      </c>
      <c r="AK1135" s="6" t="s">
        <v>16692</v>
      </c>
      <c r="AL1135" s="6" t="s">
        <v>16931</v>
      </c>
      <c r="AM1135" s="6" t="s">
        <v>17291</v>
      </c>
      <c r="AN1135" s="6" t="s">
        <v>18483</v>
      </c>
      <c r="AO1135" s="6" t="s">
        <v>18791</v>
      </c>
      <c r="AP1135" s="6" t="s">
        <v>19236</v>
      </c>
      <c r="AQ1135" s="6" t="s">
        <v>104</v>
      </c>
      <c r="AR1135" s="6" t="s">
        <v>16098</v>
      </c>
      <c r="AS1135" s="6" t="s">
        <v>16692</v>
      </c>
      <c r="AT1135" s="6" t="s">
        <v>16931</v>
      </c>
      <c r="AU1135" s="6" t="s">
        <v>17291</v>
      </c>
      <c r="AV1135" s="6" t="s">
        <v>104</v>
      </c>
      <c r="AW1135" s="6" t="s">
        <v>104</v>
      </c>
      <c r="AX1135" s="6" t="s">
        <v>21004</v>
      </c>
      <c r="AY1135" s="6" t="s">
        <v>22796</v>
      </c>
      <c r="AZ1135" s="6" t="s">
        <v>104</v>
      </c>
      <c r="BA1135" s="6" t="s">
        <v>104</v>
      </c>
      <c r="BB1135" s="6" t="s">
        <v>104</v>
      </c>
      <c r="BC1135" s="26"/>
      <c r="BD1135" s="26"/>
      <c r="BE1135" s="26"/>
      <c r="BF1135" s="26"/>
      <c r="BG1135" s="26" t="s">
        <v>24533</v>
      </c>
      <c r="BH1135" s="26"/>
      <c r="BI1135" s="26"/>
      <c r="BJ1135" s="26"/>
      <c r="BK1135" s="26"/>
      <c r="BL1135" s="26" t="s">
        <v>24533</v>
      </c>
      <c r="BM1135" s="26"/>
      <c r="BN1135" s="26"/>
      <c r="BO1135" s="26"/>
      <c r="BP1135" s="16" t="n">
        <v>45737</v>
      </c>
      <c r="BQ1135" s="28" t="str">
        <f>HYPERLINK("https://organic.ams.usda.gov/Integrity/Certificate.aspx?cid=71&amp;nopid=5520029773")</f>
        <v>https://organic.ams.usda.gov/Integrity/Certificate.aspx?cid=71&amp;nopid=5520029773</v>
      </c>
    </row>
    <row r="1136">
      <c r="A1136" t="s">
        <v>3</v>
      </c>
      <c r="B1136" s="6" t="s">
        <v>11</v>
      </c>
      <c r="C1136" s="6" t="s">
        <v>77</v>
      </c>
      <c r="D1136" s="6" t="s">
        <v>142</v>
      </c>
      <c r="E1136" s="10" t="s">
        <v>1334</v>
      </c>
      <c r="F1136" s="6" t="s">
        <v>3578</v>
      </c>
      <c r="G1136" s="6" t="s">
        <v>104</v>
      </c>
      <c r="H1136" s="6" t="s">
        <v>5927</v>
      </c>
      <c r="I1136" s="6" t="s">
        <v>7618</v>
      </c>
      <c r="J1136" s="6" t="s">
        <v>8985</v>
      </c>
      <c r="K1136" s="6" t="s">
        <v>9714</v>
      </c>
      <c r="L1136" s="16" t="n">
        <v>43509</v>
      </c>
      <c r="M1136" s="16" t="n">
        <v>45617</v>
      </c>
      <c r="N1136" s="6" t="s">
        <v>9714</v>
      </c>
      <c r="O1136" s="16" t="n">
        <v>43509</v>
      </c>
      <c r="P1136" s="6" t="s">
        <v>10043</v>
      </c>
      <c r="Q1136" s="6" t="s">
        <v>104</v>
      </c>
      <c r="R1136" s="6" t="s">
        <v>104</v>
      </c>
      <c r="S1136" s="6" t="s">
        <v>104</v>
      </c>
      <c r="T1136" s="21" t="s">
        <v>104</v>
      </c>
      <c r="U1136" s="6" t="s">
        <v>104</v>
      </c>
      <c r="V1136" s="6" t="s">
        <v>104</v>
      </c>
      <c r="W1136" s="6" t="s">
        <v>104</v>
      </c>
      <c r="X1136" s="6" t="s">
        <v>104</v>
      </c>
      <c r="Y1136" s="21" t="s">
        <v>104</v>
      </c>
      <c r="Z1136" s="6" t="s">
        <v>104</v>
      </c>
      <c r="AA1136" s="6" t="s">
        <v>104</v>
      </c>
      <c r="AB1136" s="6" t="s">
        <v>104</v>
      </c>
      <c r="AC1136" s="6" t="s">
        <v>9714</v>
      </c>
      <c r="AD1136" s="16" t="n">
        <v>43509</v>
      </c>
      <c r="AE1136" s="6" t="s">
        <v>11519</v>
      </c>
      <c r="AF1136" s="6" t="s">
        <v>104</v>
      </c>
      <c r="AG1136" s="6" t="s">
        <v>104</v>
      </c>
      <c r="AH1136" s="6" t="s">
        <v>14193</v>
      </c>
      <c r="AI1136" s="6" t="s">
        <v>104</v>
      </c>
      <c r="AJ1136" s="6" t="s">
        <v>16099</v>
      </c>
      <c r="AK1136" s="6" t="s">
        <v>16852</v>
      </c>
      <c r="AL1136" s="6" t="s">
        <v>15513</v>
      </c>
      <c r="AM1136" s="6" t="s">
        <v>17753</v>
      </c>
      <c r="AN1136" s="6" t="s">
        <v>104</v>
      </c>
      <c r="AO1136" s="6" t="s">
        <v>104</v>
      </c>
      <c r="AP1136" s="6" t="s">
        <v>14193</v>
      </c>
      <c r="AQ1136" s="6" t="s">
        <v>104</v>
      </c>
      <c r="AR1136" s="6" t="s">
        <v>16099</v>
      </c>
      <c r="AS1136" s="6" t="s">
        <v>16852</v>
      </c>
      <c r="AT1136" s="6" t="s">
        <v>15513</v>
      </c>
      <c r="AU1136" s="6" t="s">
        <v>17753</v>
      </c>
      <c r="AV1136" s="6" t="s">
        <v>104</v>
      </c>
      <c r="AW1136" s="6" t="s">
        <v>104</v>
      </c>
      <c r="AX1136" s="6" t="s">
        <v>21005</v>
      </c>
      <c r="AY1136" s="6" t="s">
        <v>22797</v>
      </c>
      <c r="AZ1136" s="6" t="s">
        <v>104</v>
      </c>
      <c r="BA1136" s="6" t="s">
        <v>104</v>
      </c>
      <c r="BB1136" s="24" t="n">
        <v>22</v>
      </c>
      <c r="BC1136" s="26"/>
      <c r="BD1136" s="26"/>
      <c r="BE1136" s="26"/>
      <c r="BF1136" s="26"/>
      <c r="BG1136" s="26"/>
      <c r="BH1136" s="26"/>
      <c r="BI1136" s="26"/>
      <c r="BJ1136" s="26"/>
      <c r="BK1136" s="26"/>
      <c r="BL1136" s="26"/>
      <c r="BM1136" s="26"/>
      <c r="BN1136" s="26"/>
      <c r="BO1136" s="26"/>
      <c r="BP1136" s="16" t="n">
        <v>45700</v>
      </c>
      <c r="BQ1136" s="28" t="str">
        <f>HYPERLINK("https://organic.ams.usda.gov/Integrity/Certificate.aspx?cid=21&amp;nopid=1780848714")</f>
        <v>https://organic.ams.usda.gov/Integrity/Certificate.aspx?cid=21&amp;nopid=1780848714</v>
      </c>
    </row>
    <row r="1137">
      <c r="A1137" t="s">
        <v>3</v>
      </c>
      <c r="B1137" s="6" t="s">
        <v>29</v>
      </c>
      <c r="C1137" s="6" t="s">
        <v>95</v>
      </c>
      <c r="D1137" s="6" t="s">
        <v>160</v>
      </c>
      <c r="E1137" s="10" t="s">
        <v>1335</v>
      </c>
      <c r="F1137" s="6" t="s">
        <v>3579</v>
      </c>
      <c r="G1137" s="6" t="s">
        <v>104</v>
      </c>
      <c r="H1137" s="6" t="s">
        <v>5928</v>
      </c>
      <c r="I1137" s="6" t="s">
        <v>104</v>
      </c>
      <c r="J1137" s="6" t="s">
        <v>8415</v>
      </c>
      <c r="K1137" s="6" t="s">
        <v>9714</v>
      </c>
      <c r="L1137" s="16" t="n">
        <v>38457</v>
      </c>
      <c r="M1137" s="16" t="n">
        <v>45870</v>
      </c>
      <c r="N1137" s="6" t="s">
        <v>9714</v>
      </c>
      <c r="O1137" s="16" t="n">
        <v>38457</v>
      </c>
      <c r="P1137" s="6" t="s">
        <v>10044</v>
      </c>
      <c r="Q1137" s="6" t="s">
        <v>104</v>
      </c>
      <c r="R1137" s="6" t="s">
        <v>104</v>
      </c>
      <c r="S1137" s="6" t="s">
        <v>104</v>
      </c>
      <c r="T1137" s="21" t="s">
        <v>104</v>
      </c>
      <c r="U1137" s="6" t="s">
        <v>104</v>
      </c>
      <c r="V1137" s="6" t="s">
        <v>104</v>
      </c>
      <c r="W1137" s="6" t="s">
        <v>104</v>
      </c>
      <c r="X1137" s="6" t="s">
        <v>104</v>
      </c>
      <c r="Y1137" s="21" t="s">
        <v>104</v>
      </c>
      <c r="Z1137" s="6" t="s">
        <v>104</v>
      </c>
      <c r="AA1137" s="6" t="s">
        <v>104</v>
      </c>
      <c r="AB1137" s="6" t="s">
        <v>104</v>
      </c>
      <c r="AC1137" s="6" t="s">
        <v>9714</v>
      </c>
      <c r="AD1137" s="16" t="n">
        <v>38457</v>
      </c>
      <c r="AE1137" s="6" t="s">
        <v>11520</v>
      </c>
      <c r="AF1137" s="6" t="s">
        <v>104</v>
      </c>
      <c r="AG1137" s="6" t="s">
        <v>104</v>
      </c>
      <c r="AH1137" s="6" t="s">
        <v>14194</v>
      </c>
      <c r="AI1137" s="6" t="s">
        <v>104</v>
      </c>
      <c r="AJ1137" s="6" t="s">
        <v>16100</v>
      </c>
      <c r="AK1137" s="6" t="s">
        <v>104</v>
      </c>
      <c r="AL1137" s="6" t="s">
        <v>16960</v>
      </c>
      <c r="AM1137" s="6" t="s">
        <v>17754</v>
      </c>
      <c r="AN1137" s="6" t="s">
        <v>104</v>
      </c>
      <c r="AO1137" s="6" t="s">
        <v>104</v>
      </c>
      <c r="AP1137" s="6" t="s">
        <v>104</v>
      </c>
      <c r="AQ1137" s="6" t="s">
        <v>104</v>
      </c>
      <c r="AR1137" s="6" t="s">
        <v>104</v>
      </c>
      <c r="AS1137" s="6" t="s">
        <v>104</v>
      </c>
      <c r="AT1137" s="6" t="s">
        <v>104</v>
      </c>
      <c r="AU1137" s="6" t="s">
        <v>104</v>
      </c>
      <c r="AV1137" s="6" t="s">
        <v>104</v>
      </c>
      <c r="AW1137" s="6" t="s">
        <v>104</v>
      </c>
      <c r="AX1137" s="6" t="s">
        <v>20410</v>
      </c>
      <c r="AY1137" s="6" t="s">
        <v>22163</v>
      </c>
      <c r="AZ1137" s="6" t="s">
        <v>23976</v>
      </c>
      <c r="BA1137" s="6" t="s">
        <v>24269</v>
      </c>
      <c r="BB1137" s="24" t="n">
        <v>2273</v>
      </c>
      <c r="BC1137" s="26"/>
      <c r="BD1137" s="26"/>
      <c r="BE1137" s="26"/>
      <c r="BF1137" s="26"/>
      <c r="BG1137" s="26"/>
      <c r="BH1137" s="26"/>
      <c r="BI1137" s="26"/>
      <c r="BJ1137" s="26"/>
      <c r="BK1137" s="26"/>
      <c r="BL1137" s="26"/>
      <c r="BM1137" s="26"/>
      <c r="BN1137" s="26"/>
      <c r="BO1137" s="26"/>
      <c r="BP1137" s="16" t="n">
        <v>45680</v>
      </c>
      <c r="BQ1137" s="28" t="str">
        <f>HYPERLINK("https://organic.ams.usda.gov/Integrity/Certificate.aspx?cid=24&amp;nopid=7880197184")</f>
        <v>https://organic.ams.usda.gov/Integrity/Certificate.aspx?cid=24&amp;nopid=7880197184</v>
      </c>
    </row>
    <row r="1138">
      <c r="A1138" t="s">
        <v>3</v>
      </c>
      <c r="B1138" s="6" t="s">
        <v>33</v>
      </c>
      <c r="C1138" s="6" t="s">
        <v>99</v>
      </c>
      <c r="D1138" s="6" t="s">
        <v>164</v>
      </c>
      <c r="E1138" s="10" t="s">
        <v>1336</v>
      </c>
      <c r="F1138" s="6" t="s">
        <v>3580</v>
      </c>
      <c r="G1138" s="6" t="s">
        <v>104</v>
      </c>
      <c r="H1138" s="6" t="s">
        <v>104</v>
      </c>
      <c r="I1138" s="6" t="s">
        <v>7619</v>
      </c>
      <c r="J1138" s="6" t="s">
        <v>8986</v>
      </c>
      <c r="K1138" s="6" t="s">
        <v>9714</v>
      </c>
      <c r="L1138" s="16" t="n">
        <v>38072</v>
      </c>
      <c r="M1138" s="16" t="n">
        <v>45536</v>
      </c>
      <c r="N1138" s="6" t="s">
        <v>104</v>
      </c>
      <c r="O1138" s="21" t="s">
        <v>104</v>
      </c>
      <c r="P1138" s="6" t="s">
        <v>104</v>
      </c>
      <c r="Q1138" s="6" t="s">
        <v>104</v>
      </c>
      <c r="R1138" s="6" t="s">
        <v>104</v>
      </c>
      <c r="S1138" s="6" t="s">
        <v>104</v>
      </c>
      <c r="T1138" s="21" t="s">
        <v>104</v>
      </c>
      <c r="U1138" s="6" t="s">
        <v>104</v>
      </c>
      <c r="V1138" s="6" t="s">
        <v>104</v>
      </c>
      <c r="W1138" s="6" t="s">
        <v>104</v>
      </c>
      <c r="X1138" s="6" t="s">
        <v>104</v>
      </c>
      <c r="Y1138" s="21" t="s">
        <v>104</v>
      </c>
      <c r="Z1138" s="6" t="s">
        <v>104</v>
      </c>
      <c r="AA1138" s="6" t="s">
        <v>104</v>
      </c>
      <c r="AB1138" s="6" t="s">
        <v>104</v>
      </c>
      <c r="AC1138" s="6" t="s">
        <v>9714</v>
      </c>
      <c r="AD1138" s="16" t="n">
        <v>38072</v>
      </c>
      <c r="AE1138" s="6" t="s">
        <v>11521</v>
      </c>
      <c r="AF1138" s="6" t="s">
        <v>104</v>
      </c>
      <c r="AG1138" s="6" t="s">
        <v>104</v>
      </c>
      <c r="AH1138" s="6" t="s">
        <v>14195</v>
      </c>
      <c r="AI1138" s="6" t="s">
        <v>104</v>
      </c>
      <c r="AJ1138" s="6" t="s">
        <v>16101</v>
      </c>
      <c r="AK1138" s="6" t="s">
        <v>16693</v>
      </c>
      <c r="AL1138" s="6" t="s">
        <v>16931</v>
      </c>
      <c r="AM1138" s="6" t="s">
        <v>17755</v>
      </c>
      <c r="AN1138" s="6" t="s">
        <v>18505</v>
      </c>
      <c r="AO1138" s="6" t="s">
        <v>18792</v>
      </c>
      <c r="AP1138" s="6" t="s">
        <v>19237</v>
      </c>
      <c r="AQ1138" s="6" t="s">
        <v>104</v>
      </c>
      <c r="AR1138" s="6" t="s">
        <v>16101</v>
      </c>
      <c r="AS1138" s="6" t="s">
        <v>16693</v>
      </c>
      <c r="AT1138" s="6" t="s">
        <v>16931</v>
      </c>
      <c r="AU1138" s="6" t="s">
        <v>17755</v>
      </c>
      <c r="AV1138" s="6" t="s">
        <v>104</v>
      </c>
      <c r="AW1138" s="6" t="s">
        <v>104</v>
      </c>
      <c r="AX1138" s="6" t="s">
        <v>21006</v>
      </c>
      <c r="AY1138" s="6" t="s">
        <v>22798</v>
      </c>
      <c r="AZ1138" s="6" t="s">
        <v>104</v>
      </c>
      <c r="BA1138" s="6" t="s">
        <v>104</v>
      </c>
      <c r="BB1138" s="6" t="s">
        <v>104</v>
      </c>
      <c r="BC1138" s="26"/>
      <c r="BD1138" s="26"/>
      <c r="BE1138" s="26"/>
      <c r="BF1138" s="26"/>
      <c r="BG1138" s="26"/>
      <c r="BH1138" s="26"/>
      <c r="BI1138" s="26"/>
      <c r="BJ1138" s="26"/>
      <c r="BK1138" s="26"/>
      <c r="BL1138" s="26"/>
      <c r="BM1138" s="26"/>
      <c r="BN1138" s="26"/>
      <c r="BO1138" s="26"/>
      <c r="BP1138" s="16" t="n">
        <v>45631</v>
      </c>
      <c r="BQ1138" s="28" t="str">
        <f>HYPERLINK("https://organic.ams.usda.gov/Integrity/Certificate.aspx?cid=46&amp;nopid=3670400001")</f>
        <v>https://organic.ams.usda.gov/Integrity/Certificate.aspx?cid=46&amp;nopid=3670400001</v>
      </c>
    </row>
    <row r="1139">
      <c r="A1139" t="s">
        <v>3</v>
      </c>
      <c r="B1139" s="6" t="s">
        <v>20</v>
      </c>
      <c r="C1139" s="6" t="s">
        <v>86</v>
      </c>
      <c r="D1139" s="6" t="s">
        <v>151</v>
      </c>
      <c r="E1139" s="10" t="s">
        <v>1337</v>
      </c>
      <c r="F1139" s="6" t="s">
        <v>3581</v>
      </c>
      <c r="G1139" s="6" t="s">
        <v>104</v>
      </c>
      <c r="H1139" s="6" t="s">
        <v>5929</v>
      </c>
      <c r="I1139" s="6" t="s">
        <v>7620</v>
      </c>
      <c r="J1139" s="6" t="s">
        <v>8431</v>
      </c>
      <c r="K1139" s="6" t="s">
        <v>9714</v>
      </c>
      <c r="L1139" s="16" t="n">
        <v>41569</v>
      </c>
      <c r="M1139" s="16" t="n">
        <v>45900</v>
      </c>
      <c r="N1139" s="6" t="s">
        <v>104</v>
      </c>
      <c r="O1139" s="21" t="s">
        <v>104</v>
      </c>
      <c r="P1139" s="6" t="s">
        <v>104</v>
      </c>
      <c r="Q1139" s="6" t="s">
        <v>104</v>
      </c>
      <c r="R1139" s="6" t="s">
        <v>104</v>
      </c>
      <c r="S1139" s="6" t="s">
        <v>104</v>
      </c>
      <c r="T1139" s="21" t="s">
        <v>104</v>
      </c>
      <c r="U1139" s="6" t="s">
        <v>104</v>
      </c>
      <c r="V1139" s="6" t="s">
        <v>104</v>
      </c>
      <c r="W1139" s="6" t="s">
        <v>104</v>
      </c>
      <c r="X1139" s="6" t="s">
        <v>104</v>
      </c>
      <c r="Y1139" s="21" t="s">
        <v>104</v>
      </c>
      <c r="Z1139" s="6" t="s">
        <v>104</v>
      </c>
      <c r="AA1139" s="6" t="s">
        <v>104</v>
      </c>
      <c r="AB1139" s="6" t="s">
        <v>104</v>
      </c>
      <c r="AC1139" s="6" t="s">
        <v>9714</v>
      </c>
      <c r="AD1139" s="16" t="n">
        <v>41569</v>
      </c>
      <c r="AE1139" s="6" t="s">
        <v>11522</v>
      </c>
      <c r="AF1139" s="6" t="s">
        <v>104</v>
      </c>
      <c r="AG1139" s="6" t="s">
        <v>12846</v>
      </c>
      <c r="AH1139" s="6" t="s">
        <v>14196</v>
      </c>
      <c r="AI1139" s="6" t="s">
        <v>104</v>
      </c>
      <c r="AJ1139" s="6" t="s">
        <v>15482</v>
      </c>
      <c r="AK1139" s="6" t="s">
        <v>15482</v>
      </c>
      <c r="AL1139" s="6" t="s">
        <v>16939</v>
      </c>
      <c r="AM1139" s="6" t="s">
        <v>104</v>
      </c>
      <c r="AN1139" s="6" t="s">
        <v>104</v>
      </c>
      <c r="AO1139" s="6" t="s">
        <v>104</v>
      </c>
      <c r="AP1139" s="6" t="s">
        <v>104</v>
      </c>
      <c r="AQ1139" s="6" t="s">
        <v>104</v>
      </c>
      <c r="AR1139" s="6" t="s">
        <v>104</v>
      </c>
      <c r="AS1139" s="6" t="s">
        <v>104</v>
      </c>
      <c r="AT1139" s="6" t="s">
        <v>104</v>
      </c>
      <c r="AU1139" s="6" t="s">
        <v>104</v>
      </c>
      <c r="AV1139" s="6" t="s">
        <v>104</v>
      </c>
      <c r="AW1139" s="6" t="s">
        <v>104</v>
      </c>
      <c r="AX1139" s="6" t="s">
        <v>21007</v>
      </c>
      <c r="AY1139" s="6" t="s">
        <v>22799</v>
      </c>
      <c r="AZ1139" s="6" t="s">
        <v>23977</v>
      </c>
      <c r="BA1139" s="6" t="s">
        <v>104</v>
      </c>
      <c r="BB1139" s="6" t="s">
        <v>104</v>
      </c>
      <c r="BC1139" s="26"/>
      <c r="BD1139" s="26"/>
      <c r="BE1139" s="26"/>
      <c r="BF1139" s="26"/>
      <c r="BG1139" s="26"/>
      <c r="BH1139" s="26"/>
      <c r="BI1139" s="26"/>
      <c r="BJ1139" s="26"/>
      <c r="BK1139" s="26"/>
      <c r="BL1139" s="26"/>
      <c r="BM1139" s="26"/>
      <c r="BN1139" s="26"/>
      <c r="BO1139" s="26"/>
      <c r="BP1139" s="16" t="n">
        <v>45649</v>
      </c>
      <c r="BQ1139" s="28" t="str">
        <f>HYPERLINK("https://organic.ams.usda.gov/Integrity/Certificate.aspx?cid=17&amp;nopid=4080400050")</f>
        <v>https://organic.ams.usda.gov/Integrity/Certificate.aspx?cid=17&amp;nopid=4080400050</v>
      </c>
    </row>
    <row r="1140">
      <c r="A1140" t="s">
        <v>3</v>
      </c>
      <c r="B1140" s="6" t="s">
        <v>20</v>
      </c>
      <c r="C1140" s="6" t="s">
        <v>86</v>
      </c>
      <c r="D1140" s="6" t="s">
        <v>151</v>
      </c>
      <c r="E1140" s="10" t="s">
        <v>1338</v>
      </c>
      <c r="F1140" s="6" t="s">
        <v>3582</v>
      </c>
      <c r="G1140" s="6" t="s">
        <v>104</v>
      </c>
      <c r="H1140" s="6" t="s">
        <v>5930</v>
      </c>
      <c r="I1140" s="6" t="s">
        <v>7621</v>
      </c>
      <c r="J1140" s="6" t="s">
        <v>8987</v>
      </c>
      <c r="K1140" s="6" t="s">
        <v>9714</v>
      </c>
      <c r="L1140" s="16" t="n">
        <v>44270</v>
      </c>
      <c r="M1140" s="16" t="n">
        <v>45716</v>
      </c>
      <c r="N1140" s="6" t="s">
        <v>104</v>
      </c>
      <c r="O1140" s="21" t="s">
        <v>104</v>
      </c>
      <c r="P1140" s="6" t="s">
        <v>104</v>
      </c>
      <c r="Q1140" s="6" t="s">
        <v>104</v>
      </c>
      <c r="R1140" s="6" t="s">
        <v>104</v>
      </c>
      <c r="S1140" s="6" t="s">
        <v>104</v>
      </c>
      <c r="T1140" s="21" t="s">
        <v>104</v>
      </c>
      <c r="U1140" s="6" t="s">
        <v>104</v>
      </c>
      <c r="V1140" s="6" t="s">
        <v>104</v>
      </c>
      <c r="W1140" s="6" t="s">
        <v>104</v>
      </c>
      <c r="X1140" s="6" t="s">
        <v>104</v>
      </c>
      <c r="Y1140" s="21" t="s">
        <v>104</v>
      </c>
      <c r="Z1140" s="6" t="s">
        <v>104</v>
      </c>
      <c r="AA1140" s="6" t="s">
        <v>104</v>
      </c>
      <c r="AB1140" s="6" t="s">
        <v>104</v>
      </c>
      <c r="AC1140" s="6" t="s">
        <v>9714</v>
      </c>
      <c r="AD1140" s="16" t="n">
        <v>44270</v>
      </c>
      <c r="AE1140" s="6" t="s">
        <v>11523</v>
      </c>
      <c r="AF1140" s="6" t="s">
        <v>104</v>
      </c>
      <c r="AG1140" s="6" t="s">
        <v>12847</v>
      </c>
      <c r="AH1140" s="6" t="s">
        <v>14197</v>
      </c>
      <c r="AI1140" s="6" t="s">
        <v>104</v>
      </c>
      <c r="AJ1140" s="6" t="s">
        <v>15373</v>
      </c>
      <c r="AK1140" s="6" t="s">
        <v>15373</v>
      </c>
      <c r="AL1140" s="6" t="s">
        <v>16933</v>
      </c>
      <c r="AM1140" s="6" t="s">
        <v>104</v>
      </c>
      <c r="AN1140" s="6" t="s">
        <v>104</v>
      </c>
      <c r="AO1140" s="6" t="s">
        <v>104</v>
      </c>
      <c r="AP1140" s="6" t="s">
        <v>104</v>
      </c>
      <c r="AQ1140" s="6" t="s">
        <v>104</v>
      </c>
      <c r="AR1140" s="6" t="s">
        <v>104</v>
      </c>
      <c r="AS1140" s="6" t="s">
        <v>104</v>
      </c>
      <c r="AT1140" s="6" t="s">
        <v>104</v>
      </c>
      <c r="AU1140" s="6" t="s">
        <v>104</v>
      </c>
      <c r="AV1140" s="6" t="s">
        <v>104</v>
      </c>
      <c r="AW1140" s="6" t="s">
        <v>104</v>
      </c>
      <c r="AX1140" s="6" t="s">
        <v>21008</v>
      </c>
      <c r="AY1140" s="6" t="s">
        <v>22800</v>
      </c>
      <c r="AZ1140" s="6" t="s">
        <v>104</v>
      </c>
      <c r="BA1140" s="6" t="s">
        <v>104</v>
      </c>
      <c r="BB1140" s="6" t="s">
        <v>104</v>
      </c>
      <c r="BC1140" s="26"/>
      <c r="BD1140" s="26"/>
      <c r="BE1140" s="26"/>
      <c r="BF1140" s="26"/>
      <c r="BG1140" s="26"/>
      <c r="BH1140" s="26"/>
      <c r="BI1140" s="26"/>
      <c r="BJ1140" s="26"/>
      <c r="BK1140" s="26"/>
      <c r="BL1140" s="26"/>
      <c r="BM1140" s="26"/>
      <c r="BN1140" s="26"/>
      <c r="BO1140" s="26"/>
      <c r="BP1140" s="16" t="n">
        <v>45467</v>
      </c>
      <c r="BQ1140" s="28" t="str">
        <f>HYPERLINK("https://organic.ams.usda.gov/Integrity/Certificate.aspx?cid=17&amp;nopid=4086160518")</f>
        <v>https://organic.ams.usda.gov/Integrity/Certificate.aspx?cid=17&amp;nopid=4086160518</v>
      </c>
    </row>
    <row r="1141">
      <c r="A1141" t="s">
        <v>3</v>
      </c>
      <c r="B1141" s="6" t="s">
        <v>9</v>
      </c>
      <c r="C1141" s="6" t="s">
        <v>75</v>
      </c>
      <c r="D1141" s="6" t="s">
        <v>140</v>
      </c>
      <c r="E1141" s="10" t="s">
        <v>1339</v>
      </c>
      <c r="F1141" s="6" t="s">
        <v>3583</v>
      </c>
      <c r="G1141" s="6" t="s">
        <v>104</v>
      </c>
      <c r="H1141" s="6" t="s">
        <v>5931</v>
      </c>
      <c r="I1141" s="6" t="s">
        <v>7622</v>
      </c>
      <c r="J1141" s="6" t="s">
        <v>8988</v>
      </c>
      <c r="K1141" s="6" t="s">
        <v>9714</v>
      </c>
      <c r="L1141" s="16" t="n">
        <v>40358</v>
      </c>
      <c r="M1141" s="16" t="n">
        <v>45837</v>
      </c>
      <c r="N1141" s="6" t="s">
        <v>104</v>
      </c>
      <c r="O1141" s="21" t="s">
        <v>104</v>
      </c>
      <c r="P1141" s="6" t="s">
        <v>104</v>
      </c>
      <c r="Q1141" s="6" t="s">
        <v>104</v>
      </c>
      <c r="R1141" s="6" t="s">
        <v>104</v>
      </c>
      <c r="S1141" s="6" t="s">
        <v>104</v>
      </c>
      <c r="T1141" s="21" t="s">
        <v>104</v>
      </c>
      <c r="U1141" s="6" t="s">
        <v>104</v>
      </c>
      <c r="V1141" s="6" t="s">
        <v>104</v>
      </c>
      <c r="W1141" s="6" t="s">
        <v>104</v>
      </c>
      <c r="X1141" s="6" t="s">
        <v>104</v>
      </c>
      <c r="Y1141" s="21" t="s">
        <v>104</v>
      </c>
      <c r="Z1141" s="6" t="s">
        <v>104</v>
      </c>
      <c r="AA1141" s="6" t="s">
        <v>104</v>
      </c>
      <c r="AB1141" s="6" t="s">
        <v>104</v>
      </c>
      <c r="AC1141" s="6" t="s">
        <v>9714</v>
      </c>
      <c r="AD1141" s="16" t="n">
        <v>40358</v>
      </c>
      <c r="AE1141" s="6" t="s">
        <v>11524</v>
      </c>
      <c r="AF1141" s="6" t="s">
        <v>104</v>
      </c>
      <c r="AG1141" s="6" t="s">
        <v>104</v>
      </c>
      <c r="AH1141" s="6" t="s">
        <v>14198</v>
      </c>
      <c r="AI1141" s="6" t="s">
        <v>104</v>
      </c>
      <c r="AJ1141" s="6" t="s">
        <v>16102</v>
      </c>
      <c r="AK1141" s="6" t="s">
        <v>16687</v>
      </c>
      <c r="AL1141" s="6" t="s">
        <v>16931</v>
      </c>
      <c r="AM1141" s="6" t="s">
        <v>17756</v>
      </c>
      <c r="AN1141" s="6" t="s">
        <v>104</v>
      </c>
      <c r="AO1141" s="6" t="s">
        <v>104</v>
      </c>
      <c r="AP1141" s="6" t="s">
        <v>104</v>
      </c>
      <c r="AQ1141" s="6" t="s">
        <v>104</v>
      </c>
      <c r="AR1141" s="6" t="s">
        <v>104</v>
      </c>
      <c r="AS1141" s="6" t="s">
        <v>104</v>
      </c>
      <c r="AT1141" s="6" t="s">
        <v>104</v>
      </c>
      <c r="AU1141" s="6" t="s">
        <v>104</v>
      </c>
      <c r="AV1141" s="6" t="s">
        <v>104</v>
      </c>
      <c r="AW1141" s="6" t="s">
        <v>104</v>
      </c>
      <c r="AX1141" s="6" t="s">
        <v>21009</v>
      </c>
      <c r="AY1141" s="6" t="s">
        <v>22801</v>
      </c>
      <c r="AZ1141" s="6" t="s">
        <v>104</v>
      </c>
      <c r="BA1141" s="6" t="s">
        <v>104</v>
      </c>
      <c r="BB1141" s="6" t="s">
        <v>104</v>
      </c>
      <c r="BC1141" s="26"/>
      <c r="BD1141" s="26"/>
      <c r="BE1141" s="26"/>
      <c r="BF1141" s="26"/>
      <c r="BG1141" s="26"/>
      <c r="BH1141" s="26"/>
      <c r="BI1141" s="26"/>
      <c r="BJ1141" s="26"/>
      <c r="BK1141" s="26"/>
      <c r="BL1141" s="26"/>
      <c r="BM1141" s="26"/>
      <c r="BN1141" s="26"/>
      <c r="BO1141" s="26"/>
      <c r="BP1141" s="16" t="n">
        <v>45539</v>
      </c>
      <c r="BQ1141" s="28" t="str">
        <f>HYPERLINK("https://organic.ams.usda.gov/Integrity/Certificate.aspx?cid=63&amp;nopid=6220002820")</f>
        <v>https://organic.ams.usda.gov/Integrity/Certificate.aspx?cid=63&amp;nopid=6220002820</v>
      </c>
    </row>
    <row r="1142">
      <c r="A1142" t="s">
        <v>3</v>
      </c>
      <c r="B1142" s="6" t="s">
        <v>20</v>
      </c>
      <c r="C1142" s="6" t="s">
        <v>86</v>
      </c>
      <c r="D1142" s="6" t="s">
        <v>151</v>
      </c>
      <c r="E1142" s="10" t="s">
        <v>1340</v>
      </c>
      <c r="F1142" s="6" t="s">
        <v>3584</v>
      </c>
      <c r="G1142" s="6" t="s">
        <v>104</v>
      </c>
      <c r="H1142" s="6" t="s">
        <v>5932</v>
      </c>
      <c r="I1142" s="6" t="s">
        <v>7623</v>
      </c>
      <c r="J1142" s="6" t="s">
        <v>8989</v>
      </c>
      <c r="K1142" s="6" t="s">
        <v>9714</v>
      </c>
      <c r="L1142" s="16" t="n">
        <v>45236</v>
      </c>
      <c r="M1142" s="16" t="n">
        <v>45504</v>
      </c>
      <c r="N1142" s="6" t="s">
        <v>9714</v>
      </c>
      <c r="O1142" s="16" t="n">
        <v>45236</v>
      </c>
      <c r="P1142" s="6" t="s">
        <v>10045</v>
      </c>
      <c r="Q1142" s="6" t="s">
        <v>104</v>
      </c>
      <c r="R1142" s="6" t="s">
        <v>10382</v>
      </c>
      <c r="S1142" s="6" t="s">
        <v>104</v>
      </c>
      <c r="T1142" s="21" t="s">
        <v>104</v>
      </c>
      <c r="U1142" s="6" t="s">
        <v>104</v>
      </c>
      <c r="V1142" s="6" t="s">
        <v>104</v>
      </c>
      <c r="W1142" s="6" t="s">
        <v>104</v>
      </c>
      <c r="X1142" s="6" t="s">
        <v>104</v>
      </c>
      <c r="Y1142" s="21" t="s">
        <v>104</v>
      </c>
      <c r="Z1142" s="6" t="s">
        <v>104</v>
      </c>
      <c r="AA1142" s="6" t="s">
        <v>104</v>
      </c>
      <c r="AB1142" s="6" t="s">
        <v>104</v>
      </c>
      <c r="AC1142" s="6" t="s">
        <v>104</v>
      </c>
      <c r="AD1142" s="21" t="s">
        <v>104</v>
      </c>
      <c r="AE1142" s="6" t="s">
        <v>104</v>
      </c>
      <c r="AF1142" s="6" t="s">
        <v>104</v>
      </c>
      <c r="AG1142" s="6" t="s">
        <v>104</v>
      </c>
      <c r="AH1142" s="6" t="s">
        <v>14199</v>
      </c>
      <c r="AI1142" s="6" t="s">
        <v>104</v>
      </c>
      <c r="AJ1142" s="6" t="s">
        <v>16103</v>
      </c>
      <c r="AK1142" s="6" t="s">
        <v>16853</v>
      </c>
      <c r="AL1142" s="6" t="s">
        <v>16975</v>
      </c>
      <c r="AM1142" s="6" t="s">
        <v>104</v>
      </c>
      <c r="AN1142" s="6" t="s">
        <v>104</v>
      </c>
      <c r="AO1142" s="6" t="s">
        <v>104</v>
      </c>
      <c r="AP1142" s="6" t="s">
        <v>14199</v>
      </c>
      <c r="AQ1142" s="6" t="s">
        <v>104</v>
      </c>
      <c r="AR1142" s="6" t="s">
        <v>16103</v>
      </c>
      <c r="AS1142" s="6" t="s">
        <v>16853</v>
      </c>
      <c r="AT1142" s="6" t="s">
        <v>16975</v>
      </c>
      <c r="AU1142" s="6" t="s">
        <v>104</v>
      </c>
      <c r="AV1142" s="6" t="s">
        <v>104</v>
      </c>
      <c r="AW1142" s="6" t="s">
        <v>104</v>
      </c>
      <c r="AX1142" s="6" t="s">
        <v>21010</v>
      </c>
      <c r="AY1142" s="6" t="s">
        <v>22802</v>
      </c>
      <c r="AZ1142" s="6" t="s">
        <v>104</v>
      </c>
      <c r="BA1142" s="6" t="s">
        <v>104</v>
      </c>
      <c r="BB1142" s="24" t="n">
        <v>874</v>
      </c>
      <c r="BC1142" s="26"/>
      <c r="BD1142" s="26"/>
      <c r="BE1142" s="26"/>
      <c r="BF1142" s="26"/>
      <c r="BG1142" s="26"/>
      <c r="BH1142" s="26"/>
      <c r="BI1142" s="26"/>
      <c r="BJ1142" s="26"/>
      <c r="BK1142" s="26"/>
      <c r="BL1142" s="26"/>
      <c r="BM1142" s="26"/>
      <c r="BN1142" s="26"/>
      <c r="BO1142" s="26"/>
      <c r="BP1142" s="16" t="n">
        <v>45455</v>
      </c>
      <c r="BQ1142" s="28" t="str">
        <f>HYPERLINK("https://organic.ams.usda.gov/Integrity/Certificate.aspx?cid=17&amp;nopid=4080207198")</f>
        <v>https://organic.ams.usda.gov/Integrity/Certificate.aspx?cid=17&amp;nopid=4080207198</v>
      </c>
    </row>
    <row r="1143">
      <c r="A1143" t="s">
        <v>3</v>
      </c>
      <c r="B1143" s="6" t="s">
        <v>31</v>
      </c>
      <c r="C1143" s="6" t="s">
        <v>97</v>
      </c>
      <c r="D1143" s="6" t="s">
        <v>162</v>
      </c>
      <c r="E1143" s="10" t="s">
        <v>1341</v>
      </c>
      <c r="F1143" s="6" t="s">
        <v>3585</v>
      </c>
      <c r="G1143" s="6" t="s">
        <v>104</v>
      </c>
      <c r="H1143" s="6" t="s">
        <v>5933</v>
      </c>
      <c r="I1143" s="6" t="s">
        <v>7387</v>
      </c>
      <c r="J1143" s="6" t="s">
        <v>8257</v>
      </c>
      <c r="K1143" s="6" t="s">
        <v>9714</v>
      </c>
      <c r="L1143" s="16" t="n">
        <v>44756</v>
      </c>
      <c r="M1143" s="16" t="n">
        <v>45852</v>
      </c>
      <c r="N1143" s="6" t="s">
        <v>104</v>
      </c>
      <c r="O1143" s="21" t="s">
        <v>104</v>
      </c>
      <c r="P1143" s="6" t="s">
        <v>104</v>
      </c>
      <c r="Q1143" s="6" t="s">
        <v>104</v>
      </c>
      <c r="R1143" s="6" t="s">
        <v>104</v>
      </c>
      <c r="S1143" s="6" t="s">
        <v>104</v>
      </c>
      <c r="T1143" s="21" t="s">
        <v>104</v>
      </c>
      <c r="U1143" s="6" t="s">
        <v>104</v>
      </c>
      <c r="V1143" s="6" t="s">
        <v>104</v>
      </c>
      <c r="W1143" s="6" t="s">
        <v>104</v>
      </c>
      <c r="X1143" s="6" t="s">
        <v>104</v>
      </c>
      <c r="Y1143" s="21" t="s">
        <v>104</v>
      </c>
      <c r="Z1143" s="6" t="s">
        <v>104</v>
      </c>
      <c r="AA1143" s="6" t="s">
        <v>104</v>
      </c>
      <c r="AB1143" s="6" t="s">
        <v>104</v>
      </c>
      <c r="AC1143" s="6" t="s">
        <v>9714</v>
      </c>
      <c r="AD1143" s="16" t="n">
        <v>44756</v>
      </c>
      <c r="AE1143" s="6" t="s">
        <v>11525</v>
      </c>
      <c r="AF1143" s="6" t="s">
        <v>104</v>
      </c>
      <c r="AG1143" s="6" t="s">
        <v>12848</v>
      </c>
      <c r="AH1143" s="6" t="s">
        <v>14200</v>
      </c>
      <c r="AI1143" s="6" t="s">
        <v>104</v>
      </c>
      <c r="AJ1143" s="6" t="s">
        <v>16104</v>
      </c>
      <c r="AK1143" s="6" t="s">
        <v>16773</v>
      </c>
      <c r="AL1143" s="6" t="s">
        <v>16932</v>
      </c>
      <c r="AM1143" s="6" t="s">
        <v>17457</v>
      </c>
      <c r="AN1143" s="6" t="s">
        <v>104</v>
      </c>
      <c r="AO1143" s="6" t="s">
        <v>104</v>
      </c>
      <c r="AP1143" s="6" t="s">
        <v>14200</v>
      </c>
      <c r="AQ1143" s="6" t="s">
        <v>104</v>
      </c>
      <c r="AR1143" s="6" t="s">
        <v>16104</v>
      </c>
      <c r="AS1143" s="6" t="s">
        <v>16773</v>
      </c>
      <c r="AT1143" s="6" t="s">
        <v>16932</v>
      </c>
      <c r="AU1143" s="6" t="s">
        <v>17457</v>
      </c>
      <c r="AV1143" s="6" t="s">
        <v>104</v>
      </c>
      <c r="AW1143" s="6" t="s">
        <v>104</v>
      </c>
      <c r="AX1143" s="6" t="s">
        <v>21011</v>
      </c>
      <c r="AY1143" s="6" t="s">
        <v>22803</v>
      </c>
      <c r="AZ1143" s="6" t="s">
        <v>104</v>
      </c>
      <c r="BA1143" s="6" t="s">
        <v>104</v>
      </c>
      <c r="BB1143" s="6" t="s">
        <v>104</v>
      </c>
      <c r="BC1143" s="26"/>
      <c r="BD1143" s="26"/>
      <c r="BE1143" s="26"/>
      <c r="BF1143" s="26"/>
      <c r="BG1143" s="26"/>
      <c r="BH1143" s="26"/>
      <c r="BI1143" s="26"/>
      <c r="BJ1143" s="26"/>
      <c r="BK1143" s="26"/>
      <c r="BL1143" s="26"/>
      <c r="BM1143" s="26"/>
      <c r="BN1143" s="26"/>
      <c r="BO1143" s="26"/>
      <c r="BP1143" s="16" t="n">
        <v>45537</v>
      </c>
      <c r="BQ1143" s="28" t="str">
        <f>HYPERLINK("https://organic.ams.usda.gov/Integrity/Certificate.aspx?cid=43&amp;nopid=3532022474")</f>
        <v>https://organic.ams.usda.gov/Integrity/Certificate.aspx?cid=43&amp;nopid=3532022474</v>
      </c>
    </row>
    <row r="1144">
      <c r="A1144" t="s">
        <v>3</v>
      </c>
      <c r="B1144" s="6" t="s">
        <v>44</v>
      </c>
      <c r="C1144" s="6" t="s">
        <v>110</v>
      </c>
      <c r="D1144" s="6" t="s">
        <v>174</v>
      </c>
      <c r="E1144" s="10" t="s">
        <v>1342</v>
      </c>
      <c r="F1144" s="6" t="s">
        <v>3586</v>
      </c>
      <c r="G1144" s="6" t="s">
        <v>104</v>
      </c>
      <c r="H1144" s="6" t="s">
        <v>5934</v>
      </c>
      <c r="I1144" s="6" t="s">
        <v>7624</v>
      </c>
      <c r="J1144" s="6" t="s">
        <v>8990</v>
      </c>
      <c r="K1144" s="6" t="s">
        <v>9714</v>
      </c>
      <c r="L1144" s="16" t="n">
        <v>39071</v>
      </c>
      <c r="M1144" s="16" t="n">
        <v>45716</v>
      </c>
      <c r="N1144" s="6" t="s">
        <v>9714</v>
      </c>
      <c r="O1144" s="16" t="n">
        <v>39071</v>
      </c>
      <c r="P1144" s="6" t="s">
        <v>10046</v>
      </c>
      <c r="Q1144" s="6" t="s">
        <v>104</v>
      </c>
      <c r="R1144" s="6" t="s">
        <v>104</v>
      </c>
      <c r="S1144" s="6" t="s">
        <v>9714</v>
      </c>
      <c r="T1144" s="16" t="n">
        <v>39071</v>
      </c>
      <c r="U1144" s="6" t="s">
        <v>10490</v>
      </c>
      <c r="V1144" s="6" t="s">
        <v>104</v>
      </c>
      <c r="W1144" s="6" t="s">
        <v>104</v>
      </c>
      <c r="X1144" s="6" t="s">
        <v>104</v>
      </c>
      <c r="Y1144" s="21" t="s">
        <v>104</v>
      </c>
      <c r="Z1144" s="6" t="s">
        <v>104</v>
      </c>
      <c r="AA1144" s="6" t="s">
        <v>104</v>
      </c>
      <c r="AB1144" s="6" t="s">
        <v>104</v>
      </c>
      <c r="AC1144" s="6" t="s">
        <v>9714</v>
      </c>
      <c r="AD1144" s="16" t="n">
        <v>39071</v>
      </c>
      <c r="AE1144" s="6" t="s">
        <v>11526</v>
      </c>
      <c r="AF1144" s="6" t="s">
        <v>104</v>
      </c>
      <c r="AG1144" s="6" t="s">
        <v>104</v>
      </c>
      <c r="AH1144" s="6" t="s">
        <v>14201</v>
      </c>
      <c r="AI1144" s="6" t="s">
        <v>104</v>
      </c>
      <c r="AJ1144" s="6" t="s">
        <v>15667</v>
      </c>
      <c r="AK1144" s="6" t="s">
        <v>15697</v>
      </c>
      <c r="AL1144" s="6" t="s">
        <v>16931</v>
      </c>
      <c r="AM1144" s="6" t="s">
        <v>17285</v>
      </c>
      <c r="AN1144" s="6" t="s">
        <v>18491</v>
      </c>
      <c r="AO1144" s="6" t="s">
        <v>18659</v>
      </c>
      <c r="AP1144" s="6" t="s">
        <v>14201</v>
      </c>
      <c r="AQ1144" s="6" t="s">
        <v>104</v>
      </c>
      <c r="AR1144" s="6" t="s">
        <v>15667</v>
      </c>
      <c r="AS1144" s="6" t="s">
        <v>15697</v>
      </c>
      <c r="AT1144" s="6" t="s">
        <v>16931</v>
      </c>
      <c r="AU1144" s="6" t="s">
        <v>17285</v>
      </c>
      <c r="AV1144" s="6" t="s">
        <v>104</v>
      </c>
      <c r="AW1144" s="6" t="s">
        <v>104</v>
      </c>
      <c r="AX1144" s="6" t="s">
        <v>21012</v>
      </c>
      <c r="AY1144" s="6" t="s">
        <v>22804</v>
      </c>
      <c r="AZ1144" s="6" t="s">
        <v>104</v>
      </c>
      <c r="BA1144" s="6" t="s">
        <v>104</v>
      </c>
      <c r="BB1144" s="24" t="n">
        <v>601</v>
      </c>
      <c r="BC1144" s="26"/>
      <c r="BD1144" s="26"/>
      <c r="BE1144" s="26"/>
      <c r="BF1144" s="26"/>
      <c r="BG1144" s="26"/>
      <c r="BH1144" s="26"/>
      <c r="BI1144" s="26"/>
      <c r="BJ1144" s="26"/>
      <c r="BK1144" s="26"/>
      <c r="BL1144" s="26"/>
      <c r="BM1144" s="26"/>
      <c r="BN1144" s="26"/>
      <c r="BO1144" s="26"/>
      <c r="BP1144" s="16" t="n">
        <v>45623</v>
      </c>
      <c r="BQ1144" s="28" t="str">
        <f>HYPERLINK("https://organic.ams.usda.gov/Integrity/Certificate.aspx?cid=57&amp;nopid=3250200634")</f>
        <v>https://organic.ams.usda.gov/Integrity/Certificate.aspx?cid=57&amp;nopid=3250200634</v>
      </c>
    </row>
    <row r="1145">
      <c r="A1145" t="s">
        <v>3</v>
      </c>
      <c r="B1145" s="6" t="s">
        <v>54</v>
      </c>
      <c r="C1145" s="6" t="s">
        <v>120</v>
      </c>
      <c r="D1145" s="6" t="s">
        <v>184</v>
      </c>
      <c r="E1145" s="10" t="s">
        <v>1343</v>
      </c>
      <c r="F1145" s="6" t="s">
        <v>3587</v>
      </c>
      <c r="G1145" s="6" t="s">
        <v>104</v>
      </c>
      <c r="H1145" s="6" t="s">
        <v>5935</v>
      </c>
      <c r="I1145" s="6" t="s">
        <v>7054</v>
      </c>
      <c r="J1145" s="6" t="s">
        <v>8991</v>
      </c>
      <c r="K1145" s="6" t="s">
        <v>9714</v>
      </c>
      <c r="L1145" s="16" t="n">
        <v>42432</v>
      </c>
      <c r="M1145" s="16" t="n">
        <v>45717</v>
      </c>
      <c r="N1145" s="6" t="s">
        <v>9714</v>
      </c>
      <c r="O1145" s="16" t="n">
        <v>42432</v>
      </c>
      <c r="P1145" s="6" t="s">
        <v>10047</v>
      </c>
      <c r="Q1145" s="6" t="s">
        <v>104</v>
      </c>
      <c r="R1145" s="6" t="s">
        <v>104</v>
      </c>
      <c r="S1145" s="6" t="s">
        <v>104</v>
      </c>
      <c r="T1145" s="21" t="s">
        <v>104</v>
      </c>
      <c r="U1145" s="6" t="s">
        <v>104</v>
      </c>
      <c r="V1145" s="6" t="s">
        <v>104</v>
      </c>
      <c r="W1145" s="6" t="s">
        <v>104</v>
      </c>
      <c r="X1145" s="6" t="s">
        <v>104</v>
      </c>
      <c r="Y1145" s="21" t="s">
        <v>104</v>
      </c>
      <c r="Z1145" s="6" t="s">
        <v>104</v>
      </c>
      <c r="AA1145" s="6" t="s">
        <v>104</v>
      </c>
      <c r="AB1145" s="6" t="s">
        <v>104</v>
      </c>
      <c r="AC1145" s="6" t="s">
        <v>104</v>
      </c>
      <c r="AD1145" s="21" t="s">
        <v>104</v>
      </c>
      <c r="AE1145" s="6" t="s">
        <v>104</v>
      </c>
      <c r="AF1145" s="6" t="s">
        <v>104</v>
      </c>
      <c r="AG1145" s="6" t="s">
        <v>104</v>
      </c>
      <c r="AH1145" s="6" t="s">
        <v>14202</v>
      </c>
      <c r="AI1145" s="6" t="s">
        <v>104</v>
      </c>
      <c r="AJ1145" s="6" t="s">
        <v>16105</v>
      </c>
      <c r="AK1145" s="6" t="s">
        <v>16730</v>
      </c>
      <c r="AL1145" s="6" t="s">
        <v>16931</v>
      </c>
      <c r="AM1145" s="6" t="s">
        <v>17757</v>
      </c>
      <c r="AN1145" s="6" t="s">
        <v>18489</v>
      </c>
      <c r="AO1145" s="6" t="s">
        <v>18793</v>
      </c>
      <c r="AP1145" s="6" t="s">
        <v>19238</v>
      </c>
      <c r="AQ1145" s="6" t="s">
        <v>104</v>
      </c>
      <c r="AR1145" s="6" t="s">
        <v>19696</v>
      </c>
      <c r="AS1145" s="6" t="s">
        <v>16730</v>
      </c>
      <c r="AT1145" s="6" t="s">
        <v>16931</v>
      </c>
      <c r="AU1145" s="6" t="s">
        <v>17752</v>
      </c>
      <c r="AV1145" s="6" t="s">
        <v>104</v>
      </c>
      <c r="AW1145" s="6" t="s">
        <v>104</v>
      </c>
      <c r="AX1145" s="6" t="s">
        <v>104</v>
      </c>
      <c r="AY1145" s="6" t="s">
        <v>22805</v>
      </c>
      <c r="AZ1145" s="6" t="s">
        <v>104</v>
      </c>
      <c r="BA1145" s="6" t="s">
        <v>24259</v>
      </c>
      <c r="BB1145" s="24" t="n">
        <v>1643</v>
      </c>
      <c r="BC1145" s="26"/>
      <c r="BD1145" s="26"/>
      <c r="BE1145" s="26"/>
      <c r="BF1145" s="26"/>
      <c r="BG1145" s="26"/>
      <c r="BH1145" s="26"/>
      <c r="BI1145" s="26"/>
      <c r="BJ1145" s="26"/>
      <c r="BK1145" s="26"/>
      <c r="BL1145" s="26"/>
      <c r="BM1145" s="26"/>
      <c r="BN1145" s="26"/>
      <c r="BO1145" s="26"/>
      <c r="BP1145" s="16" t="n">
        <v>45476</v>
      </c>
      <c r="BQ1145" s="28" t="str">
        <f>HYPERLINK("https://organic.ams.usda.gov/Integrity/Certificate.aspx?cid=60&amp;nopid=2580001748")</f>
        <v>https://organic.ams.usda.gov/Integrity/Certificate.aspx?cid=60&amp;nopid=2580001748</v>
      </c>
    </row>
    <row r="1146">
      <c r="A1146" t="s">
        <v>3</v>
      </c>
      <c r="B1146" s="6" t="s">
        <v>21</v>
      </c>
      <c r="C1146" s="6" t="s">
        <v>87</v>
      </c>
      <c r="D1146" s="6" t="s">
        <v>152</v>
      </c>
      <c r="E1146" s="10" t="s">
        <v>1344</v>
      </c>
      <c r="F1146" s="6" t="s">
        <v>3588</v>
      </c>
      <c r="G1146" s="6" t="s">
        <v>104</v>
      </c>
      <c r="H1146" s="6" t="s">
        <v>5936</v>
      </c>
      <c r="I1146" s="6" t="s">
        <v>7625</v>
      </c>
      <c r="J1146" s="6" t="s">
        <v>8992</v>
      </c>
      <c r="K1146" s="6" t="s">
        <v>9714</v>
      </c>
      <c r="L1146" s="16" t="n">
        <v>38216</v>
      </c>
      <c r="M1146" s="16" t="n">
        <v>46023</v>
      </c>
      <c r="N1146" s="6" t="s">
        <v>9714</v>
      </c>
      <c r="O1146" s="16" t="n">
        <v>38216</v>
      </c>
      <c r="P1146" s="6" t="s">
        <v>10048</v>
      </c>
      <c r="Q1146" s="6" t="s">
        <v>104</v>
      </c>
      <c r="R1146" s="6" t="s">
        <v>104</v>
      </c>
      <c r="S1146" s="6" t="s">
        <v>104</v>
      </c>
      <c r="T1146" s="21" t="s">
        <v>104</v>
      </c>
      <c r="U1146" s="6" t="s">
        <v>104</v>
      </c>
      <c r="V1146" s="6" t="s">
        <v>104</v>
      </c>
      <c r="W1146" s="6" t="s">
        <v>104</v>
      </c>
      <c r="X1146" s="6" t="s">
        <v>104</v>
      </c>
      <c r="Y1146" s="21" t="s">
        <v>104</v>
      </c>
      <c r="Z1146" s="6" t="s">
        <v>104</v>
      </c>
      <c r="AA1146" s="6" t="s">
        <v>104</v>
      </c>
      <c r="AB1146" s="6" t="s">
        <v>104</v>
      </c>
      <c r="AC1146" s="6" t="s">
        <v>9714</v>
      </c>
      <c r="AD1146" s="16" t="n">
        <v>38216</v>
      </c>
      <c r="AE1146" s="6" t="s">
        <v>11527</v>
      </c>
      <c r="AF1146" s="6" t="s">
        <v>104</v>
      </c>
      <c r="AG1146" s="6" t="s">
        <v>104</v>
      </c>
      <c r="AH1146" s="6" t="s">
        <v>14203</v>
      </c>
      <c r="AI1146" s="6" t="s">
        <v>104</v>
      </c>
      <c r="AJ1146" s="6" t="s">
        <v>16106</v>
      </c>
      <c r="AK1146" s="6" t="s">
        <v>16687</v>
      </c>
      <c r="AL1146" s="6" t="s">
        <v>16931</v>
      </c>
      <c r="AM1146" s="6" t="s">
        <v>17758</v>
      </c>
      <c r="AN1146" s="6" t="s">
        <v>18464</v>
      </c>
      <c r="AO1146" s="6" t="s">
        <v>18794</v>
      </c>
      <c r="AP1146" s="6" t="s">
        <v>19239</v>
      </c>
      <c r="AQ1146" s="6" t="s">
        <v>104</v>
      </c>
      <c r="AR1146" s="6" t="s">
        <v>16106</v>
      </c>
      <c r="AS1146" s="6" t="s">
        <v>16687</v>
      </c>
      <c r="AT1146" s="6" t="s">
        <v>16931</v>
      </c>
      <c r="AU1146" s="6" t="s">
        <v>17758</v>
      </c>
      <c r="AV1146" s="6" t="s">
        <v>104</v>
      </c>
      <c r="AW1146" s="6" t="s">
        <v>104</v>
      </c>
      <c r="AX1146" s="6" t="s">
        <v>21013</v>
      </c>
      <c r="AY1146" s="6" t="s">
        <v>22806</v>
      </c>
      <c r="AZ1146" s="6" t="s">
        <v>23978</v>
      </c>
      <c r="BA1146" s="6" t="s">
        <v>24416</v>
      </c>
      <c r="BB1146" s="24" t="n">
        <v>1204</v>
      </c>
      <c r="BC1146" s="26"/>
      <c r="BD1146" s="26"/>
      <c r="BE1146" s="26"/>
      <c r="BF1146" s="26"/>
      <c r="BG1146" s="26"/>
      <c r="BH1146" s="26"/>
      <c r="BI1146" s="26"/>
      <c r="BJ1146" s="26"/>
      <c r="BK1146" s="26"/>
      <c r="BL1146" s="26"/>
      <c r="BM1146" s="26"/>
      <c r="BN1146" s="26"/>
      <c r="BO1146" s="26"/>
      <c r="BP1146" s="16" t="n">
        <v>45667</v>
      </c>
      <c r="BQ1146" s="28" t="str">
        <f>HYPERLINK("https://organic.ams.usda.gov/Integrity/Certificate.aspx?cid=15&amp;nopid=5561002289")</f>
        <v>https://organic.ams.usda.gov/Integrity/Certificate.aspx?cid=15&amp;nopid=5561002289</v>
      </c>
    </row>
    <row r="1147">
      <c r="A1147" t="s">
        <v>3</v>
      </c>
      <c r="B1147" s="6" t="s">
        <v>21</v>
      </c>
      <c r="C1147" s="6" t="s">
        <v>87</v>
      </c>
      <c r="D1147" s="6" t="s">
        <v>152</v>
      </c>
      <c r="E1147" s="10" t="s">
        <v>1345</v>
      </c>
      <c r="F1147" s="6" t="s">
        <v>3589</v>
      </c>
      <c r="G1147" s="6" t="s">
        <v>104</v>
      </c>
      <c r="H1147" s="6" t="s">
        <v>5937</v>
      </c>
      <c r="I1147" s="6" t="s">
        <v>7626</v>
      </c>
      <c r="J1147" s="6" t="s">
        <v>8993</v>
      </c>
      <c r="K1147" s="6" t="s">
        <v>9714</v>
      </c>
      <c r="L1147" s="16" t="n">
        <v>43963</v>
      </c>
      <c r="M1147" s="16" t="n">
        <v>46023</v>
      </c>
      <c r="N1147" s="6" t="s">
        <v>9714</v>
      </c>
      <c r="O1147" s="16" t="n">
        <v>43963</v>
      </c>
      <c r="P1147" s="6" t="s">
        <v>10049</v>
      </c>
      <c r="Q1147" s="6" t="s">
        <v>104</v>
      </c>
      <c r="R1147" s="6" t="s">
        <v>104</v>
      </c>
      <c r="S1147" s="6" t="s">
        <v>104</v>
      </c>
      <c r="T1147" s="21" t="s">
        <v>104</v>
      </c>
      <c r="U1147" s="6" t="s">
        <v>104</v>
      </c>
      <c r="V1147" s="6" t="s">
        <v>104</v>
      </c>
      <c r="W1147" s="6" t="s">
        <v>104</v>
      </c>
      <c r="X1147" s="6" t="s">
        <v>104</v>
      </c>
      <c r="Y1147" s="21" t="s">
        <v>104</v>
      </c>
      <c r="Z1147" s="6" t="s">
        <v>104</v>
      </c>
      <c r="AA1147" s="6" t="s">
        <v>104</v>
      </c>
      <c r="AB1147" s="6" t="s">
        <v>104</v>
      </c>
      <c r="AC1147" s="6" t="s">
        <v>104</v>
      </c>
      <c r="AD1147" s="21" t="s">
        <v>104</v>
      </c>
      <c r="AE1147" s="6" t="s">
        <v>104</v>
      </c>
      <c r="AF1147" s="6" t="s">
        <v>104</v>
      </c>
      <c r="AG1147" s="6" t="s">
        <v>104</v>
      </c>
      <c r="AH1147" s="6" t="s">
        <v>14204</v>
      </c>
      <c r="AI1147" s="6" t="s">
        <v>104</v>
      </c>
      <c r="AJ1147" s="6" t="s">
        <v>16107</v>
      </c>
      <c r="AK1147" s="6" t="s">
        <v>16715</v>
      </c>
      <c r="AL1147" s="6" t="s">
        <v>16931</v>
      </c>
      <c r="AM1147" s="6" t="s">
        <v>17759</v>
      </c>
      <c r="AN1147" s="6" t="s">
        <v>18472</v>
      </c>
      <c r="AO1147" s="6" t="s">
        <v>18795</v>
      </c>
      <c r="AP1147" s="6" t="s">
        <v>14204</v>
      </c>
      <c r="AQ1147" s="6" t="s">
        <v>104</v>
      </c>
      <c r="AR1147" s="6" t="s">
        <v>16107</v>
      </c>
      <c r="AS1147" s="6" t="s">
        <v>16715</v>
      </c>
      <c r="AT1147" s="6" t="s">
        <v>16931</v>
      </c>
      <c r="AU1147" s="6" t="s">
        <v>17759</v>
      </c>
      <c r="AV1147" s="6" t="s">
        <v>104</v>
      </c>
      <c r="AW1147" s="6" t="s">
        <v>104</v>
      </c>
      <c r="AX1147" s="6" t="s">
        <v>21014</v>
      </c>
      <c r="AY1147" s="6" t="s">
        <v>22807</v>
      </c>
      <c r="AZ1147" s="6" t="s">
        <v>104</v>
      </c>
      <c r="BA1147" s="6" t="s">
        <v>104</v>
      </c>
      <c r="BB1147" s="24" t="n">
        <v>480</v>
      </c>
      <c r="BC1147" s="26"/>
      <c r="BD1147" s="26"/>
      <c r="BE1147" s="26"/>
      <c r="BF1147" s="26"/>
      <c r="BG1147" s="26"/>
      <c r="BH1147" s="26"/>
      <c r="BI1147" s="26"/>
      <c r="BJ1147" s="26"/>
      <c r="BK1147" s="26"/>
      <c r="BL1147" s="26"/>
      <c r="BM1147" s="26"/>
      <c r="BN1147" s="26"/>
      <c r="BO1147" s="26"/>
      <c r="BP1147" s="16" t="n">
        <v>45667</v>
      </c>
      <c r="BQ1147" s="28" t="str">
        <f>HYPERLINK("https://organic.ams.usda.gov/Integrity/Certificate.aspx?cid=15&amp;nopid=5561006410")</f>
        <v>https://organic.ams.usda.gov/Integrity/Certificate.aspx?cid=15&amp;nopid=5561006410</v>
      </c>
    </row>
    <row r="1148">
      <c r="A1148" t="s">
        <v>3</v>
      </c>
      <c r="B1148" s="6" t="s">
        <v>14</v>
      </c>
      <c r="C1148" s="6" t="s">
        <v>80</v>
      </c>
      <c r="D1148" s="6" t="s">
        <v>145</v>
      </c>
      <c r="E1148" s="10" t="s">
        <v>1346</v>
      </c>
      <c r="F1148" s="6" t="s">
        <v>3590</v>
      </c>
      <c r="G1148" s="6" t="s">
        <v>104</v>
      </c>
      <c r="H1148" s="6" t="s">
        <v>5938</v>
      </c>
      <c r="I1148" s="6" t="s">
        <v>7627</v>
      </c>
      <c r="J1148" s="6" t="s">
        <v>8994</v>
      </c>
      <c r="K1148" s="6" t="s">
        <v>9714</v>
      </c>
      <c r="L1148" s="16" t="n">
        <v>44511</v>
      </c>
      <c r="M1148" s="16" t="n">
        <v>45842</v>
      </c>
      <c r="N1148" s="6" t="s">
        <v>104</v>
      </c>
      <c r="O1148" s="21" t="s">
        <v>104</v>
      </c>
      <c r="P1148" s="6" t="s">
        <v>104</v>
      </c>
      <c r="Q1148" s="6" t="s">
        <v>104</v>
      </c>
      <c r="R1148" s="6" t="s">
        <v>104</v>
      </c>
      <c r="S1148" s="6" t="s">
        <v>104</v>
      </c>
      <c r="T1148" s="21" t="s">
        <v>104</v>
      </c>
      <c r="U1148" s="6" t="s">
        <v>104</v>
      </c>
      <c r="V1148" s="6" t="s">
        <v>104</v>
      </c>
      <c r="W1148" s="6" t="s">
        <v>104</v>
      </c>
      <c r="X1148" s="6" t="s">
        <v>104</v>
      </c>
      <c r="Y1148" s="21" t="s">
        <v>104</v>
      </c>
      <c r="Z1148" s="6" t="s">
        <v>104</v>
      </c>
      <c r="AA1148" s="6" t="s">
        <v>104</v>
      </c>
      <c r="AB1148" s="6" t="s">
        <v>104</v>
      </c>
      <c r="AC1148" s="6" t="s">
        <v>9714</v>
      </c>
      <c r="AD1148" s="16" t="n">
        <v>44511</v>
      </c>
      <c r="AE1148" s="6" t="s">
        <v>11528</v>
      </c>
      <c r="AF1148" s="6" t="s">
        <v>104</v>
      </c>
      <c r="AG1148" s="6" t="s">
        <v>104</v>
      </c>
      <c r="AH1148" s="6" t="s">
        <v>14205</v>
      </c>
      <c r="AI1148" s="6" t="s">
        <v>104</v>
      </c>
      <c r="AJ1148" s="6" t="s">
        <v>16108</v>
      </c>
      <c r="AK1148" s="6" t="s">
        <v>16685</v>
      </c>
      <c r="AL1148" s="6" t="s">
        <v>16932</v>
      </c>
      <c r="AM1148" s="6" t="s">
        <v>17411</v>
      </c>
      <c r="AN1148" s="6" t="s">
        <v>104</v>
      </c>
      <c r="AO1148" s="6" t="s">
        <v>104</v>
      </c>
      <c r="AP1148" s="6" t="s">
        <v>104</v>
      </c>
      <c r="AQ1148" s="6" t="s">
        <v>104</v>
      </c>
      <c r="AR1148" s="6" t="s">
        <v>104</v>
      </c>
      <c r="AS1148" s="6" t="s">
        <v>104</v>
      </c>
      <c r="AT1148" s="6" t="s">
        <v>104</v>
      </c>
      <c r="AU1148" s="6" t="s">
        <v>104</v>
      </c>
      <c r="AV1148" s="6" t="s">
        <v>104</v>
      </c>
      <c r="AW1148" s="6" t="s">
        <v>104</v>
      </c>
      <c r="AX1148" s="6" t="s">
        <v>21015</v>
      </c>
      <c r="AY1148" s="6" t="s">
        <v>22808</v>
      </c>
      <c r="AZ1148" s="6" t="s">
        <v>104</v>
      </c>
      <c r="BA1148" s="6" t="s">
        <v>104</v>
      </c>
      <c r="BB1148" s="6" t="s">
        <v>104</v>
      </c>
      <c r="BC1148" s="26"/>
      <c r="BD1148" s="26"/>
      <c r="BE1148" s="26"/>
      <c r="BF1148" s="26"/>
      <c r="BG1148" s="26"/>
      <c r="BH1148" s="26"/>
      <c r="BI1148" s="26"/>
      <c r="BJ1148" s="26"/>
      <c r="BK1148" s="26"/>
      <c r="BL1148" s="26"/>
      <c r="BM1148" s="26"/>
      <c r="BN1148" s="26"/>
      <c r="BO1148" s="26"/>
      <c r="BP1148" s="16" t="n">
        <v>45691</v>
      </c>
      <c r="BQ1148" s="28" t="str">
        <f>HYPERLINK("https://organic.ams.usda.gov/Integrity/Certificate.aspx?cid=89&amp;nopid=4920004726")</f>
        <v>https://organic.ams.usda.gov/Integrity/Certificate.aspx?cid=89&amp;nopid=4920004726</v>
      </c>
    </row>
    <row r="1149">
      <c r="A1149" t="s">
        <v>3</v>
      </c>
      <c r="B1149" s="6" t="s">
        <v>19</v>
      </c>
      <c r="C1149" s="6" t="s">
        <v>85</v>
      </c>
      <c r="D1149" s="6" t="s">
        <v>150</v>
      </c>
      <c r="E1149" s="10" t="s">
        <v>1347</v>
      </c>
      <c r="F1149" s="6" t="s">
        <v>3591</v>
      </c>
      <c r="G1149" s="6" t="s">
        <v>104</v>
      </c>
      <c r="H1149" s="6" t="s">
        <v>5939</v>
      </c>
      <c r="I1149" s="6" t="s">
        <v>7628</v>
      </c>
      <c r="J1149" s="6" t="s">
        <v>8390</v>
      </c>
      <c r="K1149" s="6" t="s">
        <v>9714</v>
      </c>
      <c r="L1149" s="16" t="n">
        <v>40850</v>
      </c>
      <c r="M1149" s="16" t="n">
        <v>45717</v>
      </c>
      <c r="N1149" s="6" t="s">
        <v>104</v>
      </c>
      <c r="O1149" s="21" t="s">
        <v>104</v>
      </c>
      <c r="P1149" s="6" t="s">
        <v>104</v>
      </c>
      <c r="Q1149" s="6" t="s">
        <v>104</v>
      </c>
      <c r="R1149" s="6" t="s">
        <v>104</v>
      </c>
      <c r="S1149" s="6" t="s">
        <v>104</v>
      </c>
      <c r="T1149" s="21" t="s">
        <v>104</v>
      </c>
      <c r="U1149" s="6" t="s">
        <v>104</v>
      </c>
      <c r="V1149" s="6" t="s">
        <v>104</v>
      </c>
      <c r="W1149" s="6" t="s">
        <v>104</v>
      </c>
      <c r="X1149" s="6" t="s">
        <v>104</v>
      </c>
      <c r="Y1149" s="21" t="s">
        <v>104</v>
      </c>
      <c r="Z1149" s="6" t="s">
        <v>104</v>
      </c>
      <c r="AA1149" s="6" t="s">
        <v>104</v>
      </c>
      <c r="AB1149" s="6" t="s">
        <v>104</v>
      </c>
      <c r="AC1149" s="6" t="s">
        <v>9714</v>
      </c>
      <c r="AD1149" s="16" t="n">
        <v>40850</v>
      </c>
      <c r="AE1149" s="6" t="s">
        <v>11529</v>
      </c>
      <c r="AF1149" s="6" t="s">
        <v>104</v>
      </c>
      <c r="AG1149" s="6" t="s">
        <v>104</v>
      </c>
      <c r="AH1149" s="6" t="s">
        <v>14206</v>
      </c>
      <c r="AI1149" s="6" t="s">
        <v>104</v>
      </c>
      <c r="AJ1149" s="6" t="s">
        <v>16109</v>
      </c>
      <c r="AK1149" s="6" t="s">
        <v>16686</v>
      </c>
      <c r="AL1149" s="6" t="s">
        <v>16931</v>
      </c>
      <c r="AM1149" s="6" t="s">
        <v>17760</v>
      </c>
      <c r="AN1149" s="6" t="s">
        <v>18516</v>
      </c>
      <c r="AO1149" s="6" t="s">
        <v>18598</v>
      </c>
      <c r="AP1149" s="6" t="s">
        <v>14206</v>
      </c>
      <c r="AQ1149" s="6" t="s">
        <v>104</v>
      </c>
      <c r="AR1149" s="6" t="s">
        <v>16109</v>
      </c>
      <c r="AS1149" s="6" t="s">
        <v>16686</v>
      </c>
      <c r="AT1149" s="6" t="s">
        <v>16931</v>
      </c>
      <c r="AU1149" s="6" t="s">
        <v>17760</v>
      </c>
      <c r="AV1149" s="6" t="s">
        <v>104</v>
      </c>
      <c r="AW1149" s="6" t="s">
        <v>104</v>
      </c>
      <c r="AX1149" s="6" t="s">
        <v>21016</v>
      </c>
      <c r="AY1149" s="6" t="s">
        <v>22809</v>
      </c>
      <c r="AZ1149" s="6" t="s">
        <v>104</v>
      </c>
      <c r="BA1149" s="6" t="s">
        <v>104</v>
      </c>
      <c r="BB1149" s="6" t="s">
        <v>104</v>
      </c>
      <c r="BC1149" s="26"/>
      <c r="BD1149" s="26"/>
      <c r="BE1149" s="26"/>
      <c r="BF1149" s="26"/>
      <c r="BG1149" s="26"/>
      <c r="BH1149" s="26"/>
      <c r="BI1149" s="26"/>
      <c r="BJ1149" s="26"/>
      <c r="BK1149" s="26"/>
      <c r="BL1149" s="26"/>
      <c r="BM1149" s="26"/>
      <c r="BN1149" s="26"/>
      <c r="BO1149" s="26"/>
      <c r="BP1149" s="16" t="n">
        <v>45700</v>
      </c>
      <c r="BQ1149" s="28" t="str">
        <f>HYPERLINK("https://organic.ams.usda.gov/Integrity/Certificate.aspx?cid=68&amp;nopid=8210001914")</f>
        <v>https://organic.ams.usda.gov/Integrity/Certificate.aspx?cid=68&amp;nopid=8210001914</v>
      </c>
    </row>
    <row r="1150">
      <c r="A1150" t="s">
        <v>3</v>
      </c>
      <c r="B1150" s="6" t="s">
        <v>23</v>
      </c>
      <c r="C1150" s="6" t="s">
        <v>89</v>
      </c>
      <c r="D1150" s="6" t="s">
        <v>154</v>
      </c>
      <c r="E1150" s="10" t="s">
        <v>1348</v>
      </c>
      <c r="F1150" s="6" t="s">
        <v>3592</v>
      </c>
      <c r="G1150" s="6" t="s">
        <v>104</v>
      </c>
      <c r="H1150" s="6" t="s">
        <v>5940</v>
      </c>
      <c r="I1150" s="6" t="s">
        <v>7629</v>
      </c>
      <c r="J1150" s="6" t="s">
        <v>8995</v>
      </c>
      <c r="K1150" s="6" t="s">
        <v>9714</v>
      </c>
      <c r="L1150" s="16" t="n">
        <v>39839</v>
      </c>
      <c r="M1150" s="16" t="n">
        <v>45689</v>
      </c>
      <c r="N1150" s="6" t="s">
        <v>104</v>
      </c>
      <c r="O1150" s="21" t="s">
        <v>104</v>
      </c>
      <c r="P1150" s="6" t="s">
        <v>104</v>
      </c>
      <c r="Q1150" s="6" t="s">
        <v>104</v>
      </c>
      <c r="R1150" s="6" t="s">
        <v>104</v>
      </c>
      <c r="S1150" s="6" t="s">
        <v>104</v>
      </c>
      <c r="T1150" s="21" t="s">
        <v>104</v>
      </c>
      <c r="U1150" s="6" t="s">
        <v>104</v>
      </c>
      <c r="V1150" s="6" t="s">
        <v>104</v>
      </c>
      <c r="W1150" s="6" t="s">
        <v>104</v>
      </c>
      <c r="X1150" s="6" t="s">
        <v>104</v>
      </c>
      <c r="Y1150" s="21" t="s">
        <v>104</v>
      </c>
      <c r="Z1150" s="6" t="s">
        <v>104</v>
      </c>
      <c r="AA1150" s="6" t="s">
        <v>104</v>
      </c>
      <c r="AB1150" s="6" t="s">
        <v>104</v>
      </c>
      <c r="AC1150" s="6" t="s">
        <v>9714</v>
      </c>
      <c r="AD1150" s="16" t="n">
        <v>39839</v>
      </c>
      <c r="AE1150" s="6" t="s">
        <v>11530</v>
      </c>
      <c r="AF1150" s="6" t="s">
        <v>104</v>
      </c>
      <c r="AG1150" s="6" t="s">
        <v>5940</v>
      </c>
      <c r="AH1150" s="6" t="s">
        <v>14207</v>
      </c>
      <c r="AI1150" s="6" t="s">
        <v>104</v>
      </c>
      <c r="AJ1150" s="6" t="s">
        <v>15621</v>
      </c>
      <c r="AK1150" s="6" t="s">
        <v>16710</v>
      </c>
      <c r="AL1150" s="6" t="s">
        <v>16931</v>
      </c>
      <c r="AM1150" s="6" t="s">
        <v>17761</v>
      </c>
      <c r="AN1150" s="6" t="s">
        <v>18468</v>
      </c>
      <c r="AO1150" s="6" t="s">
        <v>18575</v>
      </c>
      <c r="AP1150" s="6" t="s">
        <v>104</v>
      </c>
      <c r="AQ1150" s="6" t="s">
        <v>104</v>
      </c>
      <c r="AR1150" s="6" t="s">
        <v>104</v>
      </c>
      <c r="AS1150" s="6" t="s">
        <v>104</v>
      </c>
      <c r="AT1150" s="6" t="s">
        <v>104</v>
      </c>
      <c r="AU1150" s="6" t="s">
        <v>104</v>
      </c>
      <c r="AV1150" s="6" t="s">
        <v>104</v>
      </c>
      <c r="AW1150" s="6" t="s">
        <v>104</v>
      </c>
      <c r="AX1150" s="6" t="s">
        <v>21017</v>
      </c>
      <c r="AY1150" s="6" t="s">
        <v>22810</v>
      </c>
      <c r="AZ1150" s="6" t="s">
        <v>23979</v>
      </c>
      <c r="BA1150" s="6" t="s">
        <v>24261</v>
      </c>
      <c r="BB1150" s="24" t="n">
        <v>0</v>
      </c>
      <c r="BC1150" s="26"/>
      <c r="BD1150" s="26"/>
      <c r="BE1150" s="26"/>
      <c r="BF1150" s="26"/>
      <c r="BG1150" s="26"/>
      <c r="BH1150" s="26"/>
      <c r="BI1150" s="26"/>
      <c r="BJ1150" s="26"/>
      <c r="BK1150" s="26"/>
      <c r="BL1150" s="26"/>
      <c r="BM1150" s="26"/>
      <c r="BN1150" s="26"/>
      <c r="BO1150" s="26"/>
      <c r="BP1150" s="16" t="n">
        <v>45730</v>
      </c>
      <c r="BQ1150" s="28" t="str">
        <f>HYPERLINK("https://organic.ams.usda.gov/Integrity/Certificate.aspx?cid=45&amp;nopid=9950003314")</f>
        <v>https://organic.ams.usda.gov/Integrity/Certificate.aspx?cid=45&amp;nopid=9950003314</v>
      </c>
    </row>
    <row r="1151">
      <c r="A1151" t="s">
        <v>3</v>
      </c>
      <c r="B1151" s="6" t="s">
        <v>19</v>
      </c>
      <c r="C1151" s="6" t="s">
        <v>85</v>
      </c>
      <c r="D1151" s="6" t="s">
        <v>150</v>
      </c>
      <c r="E1151" s="10" t="s">
        <v>1349</v>
      </c>
      <c r="F1151" s="6" t="s">
        <v>3593</v>
      </c>
      <c r="G1151" s="6" t="s">
        <v>104</v>
      </c>
      <c r="H1151" s="6" t="s">
        <v>5941</v>
      </c>
      <c r="I1151" s="6" t="s">
        <v>7630</v>
      </c>
      <c r="J1151" s="6" t="s">
        <v>8996</v>
      </c>
      <c r="K1151" s="6" t="s">
        <v>9714</v>
      </c>
      <c r="L1151" s="16" t="n">
        <v>40147</v>
      </c>
      <c r="M1151" s="16" t="n">
        <v>45717</v>
      </c>
      <c r="N1151" s="6" t="s">
        <v>104</v>
      </c>
      <c r="O1151" s="21" t="s">
        <v>104</v>
      </c>
      <c r="P1151" s="6" t="s">
        <v>104</v>
      </c>
      <c r="Q1151" s="6" t="s">
        <v>104</v>
      </c>
      <c r="R1151" s="6" t="s">
        <v>104</v>
      </c>
      <c r="S1151" s="6" t="s">
        <v>104</v>
      </c>
      <c r="T1151" s="21" t="s">
        <v>104</v>
      </c>
      <c r="U1151" s="6" t="s">
        <v>104</v>
      </c>
      <c r="V1151" s="6" t="s">
        <v>104</v>
      </c>
      <c r="W1151" s="6" t="s">
        <v>104</v>
      </c>
      <c r="X1151" s="6" t="s">
        <v>104</v>
      </c>
      <c r="Y1151" s="21" t="s">
        <v>104</v>
      </c>
      <c r="Z1151" s="6" t="s">
        <v>104</v>
      </c>
      <c r="AA1151" s="6" t="s">
        <v>104</v>
      </c>
      <c r="AB1151" s="6" t="s">
        <v>104</v>
      </c>
      <c r="AC1151" s="6" t="s">
        <v>9714</v>
      </c>
      <c r="AD1151" s="16" t="n">
        <v>40147</v>
      </c>
      <c r="AE1151" s="6" t="s">
        <v>11531</v>
      </c>
      <c r="AF1151" s="6" t="s">
        <v>104</v>
      </c>
      <c r="AG1151" s="6" t="s">
        <v>104</v>
      </c>
      <c r="AH1151" s="6" t="s">
        <v>14208</v>
      </c>
      <c r="AI1151" s="6" t="s">
        <v>104</v>
      </c>
      <c r="AJ1151" s="6" t="s">
        <v>16110</v>
      </c>
      <c r="AK1151" s="6" t="s">
        <v>16686</v>
      </c>
      <c r="AL1151" s="6" t="s">
        <v>16931</v>
      </c>
      <c r="AM1151" s="6" t="s">
        <v>17762</v>
      </c>
      <c r="AN1151" s="6" t="s">
        <v>18457</v>
      </c>
      <c r="AO1151" s="6" t="s">
        <v>18796</v>
      </c>
      <c r="AP1151" s="6" t="s">
        <v>19240</v>
      </c>
      <c r="AQ1151" s="6" t="s">
        <v>104</v>
      </c>
      <c r="AR1151" s="6" t="s">
        <v>16110</v>
      </c>
      <c r="AS1151" s="6" t="s">
        <v>16686</v>
      </c>
      <c r="AT1151" s="6" t="s">
        <v>16931</v>
      </c>
      <c r="AU1151" s="6" t="s">
        <v>17762</v>
      </c>
      <c r="AV1151" s="6" t="s">
        <v>104</v>
      </c>
      <c r="AW1151" s="6" t="s">
        <v>104</v>
      </c>
      <c r="AX1151" s="6" t="s">
        <v>21018</v>
      </c>
      <c r="AY1151" s="6" t="s">
        <v>22811</v>
      </c>
      <c r="AZ1151" s="6" t="s">
        <v>104</v>
      </c>
      <c r="BA1151" s="6" t="s">
        <v>104</v>
      </c>
      <c r="BB1151" s="6" t="s">
        <v>104</v>
      </c>
      <c r="BC1151" s="26"/>
      <c r="BD1151" s="26"/>
      <c r="BE1151" s="26"/>
      <c r="BF1151" s="26"/>
      <c r="BG1151" s="26"/>
      <c r="BH1151" s="26"/>
      <c r="BI1151" s="26"/>
      <c r="BJ1151" s="26"/>
      <c r="BK1151" s="26"/>
      <c r="BL1151" s="26"/>
      <c r="BM1151" s="26"/>
      <c r="BN1151" s="26"/>
      <c r="BO1151" s="26"/>
      <c r="BP1151" s="16" t="n">
        <v>45684</v>
      </c>
      <c r="BQ1151" s="28" t="str">
        <f>HYPERLINK("https://organic.ams.usda.gov/Integrity/Certificate.aspx?cid=68&amp;nopid=8210001919")</f>
        <v>https://organic.ams.usda.gov/Integrity/Certificate.aspx?cid=68&amp;nopid=8210001919</v>
      </c>
    </row>
    <row r="1152">
      <c r="A1152" t="s">
        <v>3</v>
      </c>
      <c r="B1152" s="6" t="s">
        <v>11</v>
      </c>
      <c r="C1152" s="6" t="s">
        <v>77</v>
      </c>
      <c r="D1152" s="6" t="s">
        <v>142</v>
      </c>
      <c r="E1152" s="10" t="s">
        <v>1350</v>
      </c>
      <c r="F1152" s="6" t="s">
        <v>3594</v>
      </c>
      <c r="G1152" s="6" t="s">
        <v>104</v>
      </c>
      <c r="H1152" s="6" t="s">
        <v>5942</v>
      </c>
      <c r="I1152" s="6" t="s">
        <v>7631</v>
      </c>
      <c r="J1152" s="6" t="s">
        <v>8997</v>
      </c>
      <c r="K1152" s="6" t="s">
        <v>9714</v>
      </c>
      <c r="L1152" s="16" t="n">
        <v>42727</v>
      </c>
      <c r="M1152" s="16" t="n">
        <v>45649</v>
      </c>
      <c r="N1152" s="6" t="s">
        <v>104</v>
      </c>
      <c r="O1152" s="21" t="s">
        <v>104</v>
      </c>
      <c r="P1152" s="6" t="s">
        <v>104</v>
      </c>
      <c r="Q1152" s="6" t="s">
        <v>104</v>
      </c>
      <c r="R1152" s="6" t="s">
        <v>104</v>
      </c>
      <c r="S1152" s="6" t="s">
        <v>104</v>
      </c>
      <c r="T1152" s="21" t="s">
        <v>104</v>
      </c>
      <c r="U1152" s="6" t="s">
        <v>104</v>
      </c>
      <c r="V1152" s="6" t="s">
        <v>104</v>
      </c>
      <c r="W1152" s="6" t="s">
        <v>104</v>
      </c>
      <c r="X1152" s="6" t="s">
        <v>104</v>
      </c>
      <c r="Y1152" s="21" t="s">
        <v>104</v>
      </c>
      <c r="Z1152" s="6" t="s">
        <v>104</v>
      </c>
      <c r="AA1152" s="6" t="s">
        <v>104</v>
      </c>
      <c r="AB1152" s="6" t="s">
        <v>104</v>
      </c>
      <c r="AC1152" s="6" t="s">
        <v>9714</v>
      </c>
      <c r="AD1152" s="16" t="n">
        <v>42727</v>
      </c>
      <c r="AE1152" s="6" t="s">
        <v>11532</v>
      </c>
      <c r="AF1152" s="6" t="s">
        <v>104</v>
      </c>
      <c r="AG1152" s="6" t="s">
        <v>104</v>
      </c>
      <c r="AH1152" s="6" t="s">
        <v>14209</v>
      </c>
      <c r="AI1152" s="6" t="s">
        <v>104</v>
      </c>
      <c r="AJ1152" s="6" t="s">
        <v>16111</v>
      </c>
      <c r="AK1152" s="6" t="s">
        <v>16854</v>
      </c>
      <c r="AL1152" s="6" t="s">
        <v>15513</v>
      </c>
      <c r="AM1152" s="6" t="s">
        <v>17763</v>
      </c>
      <c r="AN1152" s="6" t="s">
        <v>104</v>
      </c>
      <c r="AO1152" s="6" t="s">
        <v>104</v>
      </c>
      <c r="AP1152" s="6" t="s">
        <v>14209</v>
      </c>
      <c r="AQ1152" s="6" t="s">
        <v>104</v>
      </c>
      <c r="AR1152" s="6" t="s">
        <v>16111</v>
      </c>
      <c r="AS1152" s="6" t="s">
        <v>16854</v>
      </c>
      <c r="AT1152" s="6" t="s">
        <v>15513</v>
      </c>
      <c r="AU1152" s="6" t="s">
        <v>17763</v>
      </c>
      <c r="AV1152" s="6" t="s">
        <v>104</v>
      </c>
      <c r="AW1152" s="6" t="s">
        <v>104</v>
      </c>
      <c r="AX1152" s="6" t="s">
        <v>21019</v>
      </c>
      <c r="AY1152" s="6" t="s">
        <v>22812</v>
      </c>
      <c r="AZ1152" s="6" t="s">
        <v>104</v>
      </c>
      <c r="BA1152" s="6" t="s">
        <v>104</v>
      </c>
      <c r="BB1152" s="6" t="s">
        <v>104</v>
      </c>
      <c r="BC1152" s="26"/>
      <c r="BD1152" s="26"/>
      <c r="BE1152" s="26"/>
      <c r="BF1152" s="26"/>
      <c r="BG1152" s="26"/>
      <c r="BH1152" s="26"/>
      <c r="BI1152" s="26"/>
      <c r="BJ1152" s="26"/>
      <c r="BK1152" s="26"/>
      <c r="BL1152" s="26"/>
      <c r="BM1152" s="26"/>
      <c r="BN1152" s="26"/>
      <c r="BO1152" s="26"/>
      <c r="BP1152" s="16" t="n">
        <v>45478</v>
      </c>
      <c r="BQ1152" s="28" t="str">
        <f>HYPERLINK("https://organic.ams.usda.gov/Integrity/Certificate.aspx?cid=21&amp;nopid=1780848866")</f>
        <v>https://organic.ams.usda.gov/Integrity/Certificate.aspx?cid=21&amp;nopid=1780848866</v>
      </c>
    </row>
    <row r="1153">
      <c r="A1153" t="s">
        <v>3</v>
      </c>
      <c r="B1153" s="6" t="s">
        <v>13</v>
      </c>
      <c r="C1153" s="6" t="s">
        <v>79</v>
      </c>
      <c r="D1153" s="6" t="s">
        <v>144</v>
      </c>
      <c r="E1153" s="10" t="s">
        <v>1351</v>
      </c>
      <c r="F1153" s="6" t="s">
        <v>3595</v>
      </c>
      <c r="G1153" s="6" t="s">
        <v>104</v>
      </c>
      <c r="H1153" s="6" t="s">
        <v>5943</v>
      </c>
      <c r="I1153" s="6" t="s">
        <v>7632</v>
      </c>
      <c r="J1153" s="6" t="s">
        <v>8998</v>
      </c>
      <c r="K1153" s="6" t="s">
        <v>9714</v>
      </c>
      <c r="L1153" s="16" t="n">
        <v>42971</v>
      </c>
      <c r="M1153" s="16" t="n">
        <v>46113</v>
      </c>
      <c r="N1153" s="6" t="s">
        <v>104</v>
      </c>
      <c r="O1153" s="21" t="s">
        <v>104</v>
      </c>
      <c r="P1153" s="6" t="s">
        <v>104</v>
      </c>
      <c r="Q1153" s="6" t="s">
        <v>104</v>
      </c>
      <c r="R1153" s="6" t="s">
        <v>104</v>
      </c>
      <c r="S1153" s="6" t="s">
        <v>104</v>
      </c>
      <c r="T1153" s="21" t="s">
        <v>104</v>
      </c>
      <c r="U1153" s="6" t="s">
        <v>104</v>
      </c>
      <c r="V1153" s="6" t="s">
        <v>104</v>
      </c>
      <c r="W1153" s="6" t="s">
        <v>104</v>
      </c>
      <c r="X1153" s="6" t="s">
        <v>104</v>
      </c>
      <c r="Y1153" s="21" t="s">
        <v>104</v>
      </c>
      <c r="Z1153" s="6" t="s">
        <v>104</v>
      </c>
      <c r="AA1153" s="6" t="s">
        <v>104</v>
      </c>
      <c r="AB1153" s="6" t="s">
        <v>104</v>
      </c>
      <c r="AC1153" s="6" t="s">
        <v>9714</v>
      </c>
      <c r="AD1153" s="16" t="n">
        <v>42971</v>
      </c>
      <c r="AE1153" s="6" t="s">
        <v>11533</v>
      </c>
      <c r="AF1153" s="6" t="s">
        <v>104</v>
      </c>
      <c r="AG1153" s="6" t="s">
        <v>104</v>
      </c>
      <c r="AH1153" s="6" t="s">
        <v>104</v>
      </c>
      <c r="AI1153" s="6" t="s">
        <v>104</v>
      </c>
      <c r="AJ1153" s="6" t="s">
        <v>104</v>
      </c>
      <c r="AK1153" s="6" t="s">
        <v>104</v>
      </c>
      <c r="AL1153" s="6" t="s">
        <v>104</v>
      </c>
      <c r="AM1153" s="6" t="s">
        <v>104</v>
      </c>
      <c r="AN1153" s="6" t="s">
        <v>104</v>
      </c>
      <c r="AO1153" s="6" t="s">
        <v>104</v>
      </c>
      <c r="AP1153" s="6" t="s">
        <v>19241</v>
      </c>
      <c r="AQ1153" s="6" t="s">
        <v>104</v>
      </c>
      <c r="AR1153" s="6" t="s">
        <v>8351</v>
      </c>
      <c r="AS1153" s="6" t="s">
        <v>16759</v>
      </c>
      <c r="AT1153" s="6" t="s">
        <v>16931</v>
      </c>
      <c r="AU1153" s="6" t="s">
        <v>19940</v>
      </c>
      <c r="AV1153" s="6" t="s">
        <v>18467</v>
      </c>
      <c r="AW1153" s="6" t="s">
        <v>20094</v>
      </c>
      <c r="AX1153" s="6" t="s">
        <v>21020</v>
      </c>
      <c r="AY1153" s="6" t="s">
        <v>22813</v>
      </c>
      <c r="AZ1153" s="6" t="s">
        <v>104</v>
      </c>
      <c r="BA1153" s="6" t="s">
        <v>104</v>
      </c>
      <c r="BB1153" s="6" t="s">
        <v>104</v>
      </c>
      <c r="BC1153" s="26"/>
      <c r="BD1153" s="26"/>
      <c r="BE1153" s="26" t="s">
        <v>24533</v>
      </c>
      <c r="BF1153" s="26"/>
      <c r="BG1153" s="26"/>
      <c r="BH1153" s="26"/>
      <c r="BI1153" s="26"/>
      <c r="BJ1153" s="26"/>
      <c r="BK1153" s="26"/>
      <c r="BL1153" s="26"/>
      <c r="BM1153" s="26"/>
      <c r="BN1153" s="26"/>
      <c r="BO1153" s="26"/>
      <c r="BP1153" s="16" t="n">
        <v>45720</v>
      </c>
      <c r="BQ1153" s="28" t="str">
        <f>HYPERLINK("https://organic.ams.usda.gov/Integrity/Certificate.aspx?cid=62&amp;nopid=8150005434")</f>
        <v>https://organic.ams.usda.gov/Integrity/Certificate.aspx?cid=62&amp;nopid=8150005434</v>
      </c>
    </row>
    <row r="1154">
      <c r="A1154" t="s">
        <v>3</v>
      </c>
      <c r="B1154" s="6" t="s">
        <v>13</v>
      </c>
      <c r="C1154" s="6" t="s">
        <v>79</v>
      </c>
      <c r="D1154" s="6" t="s">
        <v>144</v>
      </c>
      <c r="E1154" s="10" t="s">
        <v>1352</v>
      </c>
      <c r="F1154" s="6" t="s">
        <v>3596</v>
      </c>
      <c r="G1154" s="6" t="s">
        <v>104</v>
      </c>
      <c r="H1154" s="6" t="s">
        <v>5944</v>
      </c>
      <c r="I1154" s="6" t="s">
        <v>7633</v>
      </c>
      <c r="J1154" s="6" t="s">
        <v>8999</v>
      </c>
      <c r="K1154" s="6" t="s">
        <v>9714</v>
      </c>
      <c r="L1154" s="16" t="n">
        <v>42013</v>
      </c>
      <c r="M1154" s="16" t="n">
        <v>46023</v>
      </c>
      <c r="N1154" s="6" t="s">
        <v>104</v>
      </c>
      <c r="O1154" s="21" t="s">
        <v>104</v>
      </c>
      <c r="P1154" s="6" t="s">
        <v>104</v>
      </c>
      <c r="Q1154" s="6" t="s">
        <v>104</v>
      </c>
      <c r="R1154" s="6" t="s">
        <v>104</v>
      </c>
      <c r="S1154" s="6" t="s">
        <v>104</v>
      </c>
      <c r="T1154" s="21" t="s">
        <v>104</v>
      </c>
      <c r="U1154" s="6" t="s">
        <v>104</v>
      </c>
      <c r="V1154" s="6" t="s">
        <v>104</v>
      </c>
      <c r="W1154" s="6" t="s">
        <v>104</v>
      </c>
      <c r="X1154" s="6" t="s">
        <v>104</v>
      </c>
      <c r="Y1154" s="21" t="s">
        <v>104</v>
      </c>
      <c r="Z1154" s="6" t="s">
        <v>104</v>
      </c>
      <c r="AA1154" s="6" t="s">
        <v>104</v>
      </c>
      <c r="AB1154" s="6" t="s">
        <v>104</v>
      </c>
      <c r="AC1154" s="6" t="s">
        <v>9714</v>
      </c>
      <c r="AD1154" s="16" t="n">
        <v>42013</v>
      </c>
      <c r="AE1154" s="6" t="s">
        <v>11534</v>
      </c>
      <c r="AF1154" s="6" t="s">
        <v>104</v>
      </c>
      <c r="AG1154" s="6" t="s">
        <v>104</v>
      </c>
      <c r="AH1154" s="6" t="s">
        <v>104</v>
      </c>
      <c r="AI1154" s="6" t="s">
        <v>104</v>
      </c>
      <c r="AJ1154" s="6" t="s">
        <v>104</v>
      </c>
      <c r="AK1154" s="6" t="s">
        <v>104</v>
      </c>
      <c r="AL1154" s="6" t="s">
        <v>104</v>
      </c>
      <c r="AM1154" s="6" t="s">
        <v>104</v>
      </c>
      <c r="AN1154" s="6" t="s">
        <v>104</v>
      </c>
      <c r="AO1154" s="6" t="s">
        <v>104</v>
      </c>
      <c r="AP1154" s="6" t="s">
        <v>19242</v>
      </c>
      <c r="AQ1154" s="6" t="s">
        <v>104</v>
      </c>
      <c r="AR1154" s="6" t="s">
        <v>15584</v>
      </c>
      <c r="AS1154" s="6" t="s">
        <v>16705</v>
      </c>
      <c r="AT1154" s="6" t="s">
        <v>16931</v>
      </c>
      <c r="AU1154" s="6" t="s">
        <v>17198</v>
      </c>
      <c r="AV1154" s="6" t="s">
        <v>18500</v>
      </c>
      <c r="AW1154" s="6" t="s">
        <v>18631</v>
      </c>
      <c r="AX1154" s="6" t="s">
        <v>21021</v>
      </c>
      <c r="AY1154" s="6" t="s">
        <v>22814</v>
      </c>
      <c r="AZ1154" s="6" t="s">
        <v>104</v>
      </c>
      <c r="BA1154" s="6" t="s">
        <v>104</v>
      </c>
      <c r="BB1154" s="6" t="s">
        <v>104</v>
      </c>
      <c r="BC1154" s="26"/>
      <c r="BD1154" s="26"/>
      <c r="BE1154" s="26"/>
      <c r="BF1154" s="26"/>
      <c r="BG1154" s="26"/>
      <c r="BH1154" s="26"/>
      <c r="BI1154" s="26"/>
      <c r="BJ1154" s="26"/>
      <c r="BK1154" s="26"/>
      <c r="BL1154" s="26"/>
      <c r="BM1154" s="26"/>
      <c r="BN1154" s="26"/>
      <c r="BO1154" s="26"/>
      <c r="BP1154" s="16" t="n">
        <v>45724</v>
      </c>
      <c r="BQ1154" s="28" t="str">
        <f>HYPERLINK("https://organic.ams.usda.gov/Integrity/Certificate.aspx?cid=62&amp;nopid=8150001421")</f>
        <v>https://organic.ams.usda.gov/Integrity/Certificate.aspx?cid=62&amp;nopid=8150001421</v>
      </c>
    </row>
    <row r="1155">
      <c r="A1155" t="s">
        <v>3</v>
      </c>
      <c r="B1155" s="6" t="s">
        <v>13</v>
      </c>
      <c r="C1155" s="6" t="s">
        <v>79</v>
      </c>
      <c r="D1155" s="6" t="s">
        <v>144</v>
      </c>
      <c r="E1155" s="10" t="s">
        <v>1353</v>
      </c>
      <c r="F1155" s="6" t="s">
        <v>3597</v>
      </c>
      <c r="G1155" s="6" t="s">
        <v>104</v>
      </c>
      <c r="H1155" s="6" t="s">
        <v>5945</v>
      </c>
      <c r="I1155" s="6" t="s">
        <v>7634</v>
      </c>
      <c r="J1155" s="6" t="s">
        <v>9000</v>
      </c>
      <c r="K1155" s="6" t="s">
        <v>9714</v>
      </c>
      <c r="L1155" s="16" t="n">
        <v>43165</v>
      </c>
      <c r="M1155" s="16" t="n">
        <v>46023</v>
      </c>
      <c r="N1155" s="6" t="s">
        <v>104</v>
      </c>
      <c r="O1155" s="21" t="s">
        <v>104</v>
      </c>
      <c r="P1155" s="6" t="s">
        <v>104</v>
      </c>
      <c r="Q1155" s="6" t="s">
        <v>104</v>
      </c>
      <c r="R1155" s="6" t="s">
        <v>104</v>
      </c>
      <c r="S1155" s="6" t="s">
        <v>104</v>
      </c>
      <c r="T1155" s="21" t="s">
        <v>104</v>
      </c>
      <c r="U1155" s="6" t="s">
        <v>104</v>
      </c>
      <c r="V1155" s="6" t="s">
        <v>104</v>
      </c>
      <c r="W1155" s="6" t="s">
        <v>104</v>
      </c>
      <c r="X1155" s="6" t="s">
        <v>104</v>
      </c>
      <c r="Y1155" s="21" t="s">
        <v>104</v>
      </c>
      <c r="Z1155" s="6" t="s">
        <v>104</v>
      </c>
      <c r="AA1155" s="6" t="s">
        <v>104</v>
      </c>
      <c r="AB1155" s="6" t="s">
        <v>104</v>
      </c>
      <c r="AC1155" s="6" t="s">
        <v>9714</v>
      </c>
      <c r="AD1155" s="16" t="n">
        <v>43165</v>
      </c>
      <c r="AE1155" s="6" t="s">
        <v>11535</v>
      </c>
      <c r="AF1155" s="6" t="s">
        <v>104</v>
      </c>
      <c r="AG1155" s="6" t="s">
        <v>104</v>
      </c>
      <c r="AH1155" s="6" t="s">
        <v>104</v>
      </c>
      <c r="AI1155" s="6" t="s">
        <v>104</v>
      </c>
      <c r="AJ1155" s="6" t="s">
        <v>104</v>
      </c>
      <c r="AK1155" s="6" t="s">
        <v>104</v>
      </c>
      <c r="AL1155" s="6" t="s">
        <v>104</v>
      </c>
      <c r="AM1155" s="6" t="s">
        <v>104</v>
      </c>
      <c r="AN1155" s="6" t="s">
        <v>104</v>
      </c>
      <c r="AO1155" s="6" t="s">
        <v>104</v>
      </c>
      <c r="AP1155" s="6" t="s">
        <v>19243</v>
      </c>
      <c r="AQ1155" s="6" t="s">
        <v>104</v>
      </c>
      <c r="AR1155" s="6" t="s">
        <v>19697</v>
      </c>
      <c r="AS1155" s="6" t="s">
        <v>16687</v>
      </c>
      <c r="AT1155" s="6" t="s">
        <v>16931</v>
      </c>
      <c r="AU1155" s="6" t="s">
        <v>19941</v>
      </c>
      <c r="AV1155" s="6" t="s">
        <v>18517</v>
      </c>
      <c r="AW1155" s="6" t="s">
        <v>18726</v>
      </c>
      <c r="AX1155" s="6" t="s">
        <v>21022</v>
      </c>
      <c r="AY1155" s="6" t="s">
        <v>22815</v>
      </c>
      <c r="AZ1155" s="6" t="s">
        <v>104</v>
      </c>
      <c r="BA1155" s="6" t="s">
        <v>104</v>
      </c>
      <c r="BB1155" s="6" t="s">
        <v>104</v>
      </c>
      <c r="BC1155" s="26"/>
      <c r="BD1155" s="26"/>
      <c r="BE1155" s="26"/>
      <c r="BF1155" s="26"/>
      <c r="BG1155" s="26" t="s">
        <v>24533</v>
      </c>
      <c r="BH1155" s="26"/>
      <c r="BI1155" s="26"/>
      <c r="BJ1155" s="26"/>
      <c r="BK1155" s="26"/>
      <c r="BL1155" s="26"/>
      <c r="BM1155" s="26"/>
      <c r="BN1155" s="26" t="s">
        <v>24533</v>
      </c>
      <c r="BO1155" s="26"/>
      <c r="BP1155" s="16" t="n">
        <v>45632</v>
      </c>
      <c r="BQ1155" s="28" t="str">
        <f>HYPERLINK("https://organic.ams.usda.gov/Integrity/Certificate.aspx?cid=62&amp;nopid=8150006465")</f>
        <v>https://organic.ams.usda.gov/Integrity/Certificate.aspx?cid=62&amp;nopid=8150006465</v>
      </c>
    </row>
    <row r="1156">
      <c r="A1156" t="s">
        <v>3</v>
      </c>
      <c r="B1156" s="6" t="s">
        <v>29</v>
      </c>
      <c r="C1156" s="6" t="s">
        <v>95</v>
      </c>
      <c r="D1156" s="6" t="s">
        <v>160</v>
      </c>
      <c r="E1156" s="10" t="s">
        <v>1354</v>
      </c>
      <c r="F1156" s="6" t="s">
        <v>3598</v>
      </c>
      <c r="G1156" s="6" t="s">
        <v>104</v>
      </c>
      <c r="H1156" s="6" t="s">
        <v>5946</v>
      </c>
      <c r="I1156" s="6" t="s">
        <v>104</v>
      </c>
      <c r="J1156" s="6" t="s">
        <v>9001</v>
      </c>
      <c r="K1156" s="6" t="s">
        <v>9714</v>
      </c>
      <c r="L1156" s="16" t="n">
        <v>45537</v>
      </c>
      <c r="M1156" s="16" t="n">
        <v>45778</v>
      </c>
      <c r="N1156" s="6" t="s">
        <v>104</v>
      </c>
      <c r="O1156" s="21" t="s">
        <v>104</v>
      </c>
      <c r="P1156" s="6" t="s">
        <v>104</v>
      </c>
      <c r="Q1156" s="6" t="s">
        <v>104</v>
      </c>
      <c r="R1156" s="6" t="s">
        <v>104</v>
      </c>
      <c r="S1156" s="6" t="s">
        <v>104</v>
      </c>
      <c r="T1156" s="21" t="s">
        <v>104</v>
      </c>
      <c r="U1156" s="6" t="s">
        <v>104</v>
      </c>
      <c r="V1156" s="6" t="s">
        <v>104</v>
      </c>
      <c r="W1156" s="6" t="s">
        <v>104</v>
      </c>
      <c r="X1156" s="6" t="s">
        <v>104</v>
      </c>
      <c r="Y1156" s="21" t="s">
        <v>104</v>
      </c>
      <c r="Z1156" s="6" t="s">
        <v>104</v>
      </c>
      <c r="AA1156" s="6" t="s">
        <v>104</v>
      </c>
      <c r="AB1156" s="6" t="s">
        <v>104</v>
      </c>
      <c r="AC1156" s="6" t="s">
        <v>9714</v>
      </c>
      <c r="AD1156" s="16" t="n">
        <v>45537</v>
      </c>
      <c r="AE1156" s="6" t="s">
        <v>11536</v>
      </c>
      <c r="AF1156" s="6" t="s">
        <v>104</v>
      </c>
      <c r="AG1156" s="6" t="s">
        <v>104</v>
      </c>
      <c r="AH1156" s="6" t="s">
        <v>14210</v>
      </c>
      <c r="AI1156" s="6" t="s">
        <v>104</v>
      </c>
      <c r="AJ1156" s="6" t="s">
        <v>15383</v>
      </c>
      <c r="AK1156" s="6" t="s">
        <v>15383</v>
      </c>
      <c r="AL1156" s="6" t="s">
        <v>16933</v>
      </c>
      <c r="AM1156" s="6" t="s">
        <v>104</v>
      </c>
      <c r="AN1156" s="6" t="s">
        <v>104</v>
      </c>
      <c r="AO1156" s="6" t="s">
        <v>104</v>
      </c>
      <c r="AP1156" s="6" t="s">
        <v>104</v>
      </c>
      <c r="AQ1156" s="6" t="s">
        <v>104</v>
      </c>
      <c r="AR1156" s="6" t="s">
        <v>104</v>
      </c>
      <c r="AS1156" s="6" t="s">
        <v>104</v>
      </c>
      <c r="AT1156" s="6" t="s">
        <v>104</v>
      </c>
      <c r="AU1156" s="6" t="s">
        <v>104</v>
      </c>
      <c r="AV1156" s="6" t="s">
        <v>104</v>
      </c>
      <c r="AW1156" s="6" t="s">
        <v>104</v>
      </c>
      <c r="AX1156" s="6" t="s">
        <v>104</v>
      </c>
      <c r="AY1156" s="6" t="s">
        <v>22816</v>
      </c>
      <c r="AZ1156" s="6" t="s">
        <v>104</v>
      </c>
      <c r="BA1156" s="6" t="s">
        <v>104</v>
      </c>
      <c r="BB1156" s="24" t="n">
        <v>0</v>
      </c>
      <c r="BC1156" s="26"/>
      <c r="BD1156" s="26"/>
      <c r="BE1156" s="26" t="s">
        <v>24533</v>
      </c>
      <c r="BF1156" s="26"/>
      <c r="BG1156" s="26"/>
      <c r="BH1156" s="26"/>
      <c r="BI1156" s="26"/>
      <c r="BJ1156" s="26"/>
      <c r="BK1156" s="26"/>
      <c r="BL1156" s="26"/>
      <c r="BM1156" s="26"/>
      <c r="BN1156" s="26" t="s">
        <v>24533</v>
      </c>
      <c r="BO1156" s="26"/>
      <c r="BP1156" s="16" t="n">
        <v>45601</v>
      </c>
      <c r="BQ1156" s="28" t="str">
        <f>HYPERLINK("https://organic.ams.usda.gov/Integrity/Certificate.aspx?cid=24&amp;nopid=7880276872")</f>
        <v>https://organic.ams.usda.gov/Integrity/Certificate.aspx?cid=24&amp;nopid=7880276872</v>
      </c>
    </row>
    <row r="1157">
      <c r="A1157" t="s">
        <v>3</v>
      </c>
      <c r="B1157" s="6" t="s">
        <v>32</v>
      </c>
      <c r="C1157" s="6" t="s">
        <v>98</v>
      </c>
      <c r="D1157" s="6" t="s">
        <v>163</v>
      </c>
      <c r="E1157" s="10" t="s">
        <v>1355</v>
      </c>
      <c r="F1157" s="6" t="s">
        <v>3599</v>
      </c>
      <c r="G1157" s="6" t="s">
        <v>104</v>
      </c>
      <c r="H1157" s="6" t="s">
        <v>5947</v>
      </c>
      <c r="I1157" s="6" t="s">
        <v>7635</v>
      </c>
      <c r="J1157" s="6" t="s">
        <v>9002</v>
      </c>
      <c r="K1157" s="6" t="s">
        <v>9714</v>
      </c>
      <c r="L1157" s="16" t="n">
        <v>42293</v>
      </c>
      <c r="M1157" s="16" t="n">
        <v>45717</v>
      </c>
      <c r="N1157" s="6" t="s">
        <v>9714</v>
      </c>
      <c r="O1157" s="16" t="n">
        <v>42293</v>
      </c>
      <c r="P1157" s="6" t="s">
        <v>10050</v>
      </c>
      <c r="Q1157" s="6" t="s">
        <v>104</v>
      </c>
      <c r="R1157" s="6" t="s">
        <v>104</v>
      </c>
      <c r="S1157" s="6" t="s">
        <v>104</v>
      </c>
      <c r="T1157" s="21" t="s">
        <v>104</v>
      </c>
      <c r="U1157" s="6" t="s">
        <v>104</v>
      </c>
      <c r="V1157" s="6" t="s">
        <v>104</v>
      </c>
      <c r="W1157" s="6" t="s">
        <v>104</v>
      </c>
      <c r="X1157" s="6" t="s">
        <v>104</v>
      </c>
      <c r="Y1157" s="21" t="s">
        <v>104</v>
      </c>
      <c r="Z1157" s="6" t="s">
        <v>104</v>
      </c>
      <c r="AA1157" s="6" t="s">
        <v>104</v>
      </c>
      <c r="AB1157" s="6" t="s">
        <v>104</v>
      </c>
      <c r="AC1157" s="6" t="s">
        <v>9714</v>
      </c>
      <c r="AD1157" s="16" t="n">
        <v>42293</v>
      </c>
      <c r="AE1157" s="6" t="s">
        <v>11537</v>
      </c>
      <c r="AF1157" s="6" t="s">
        <v>104</v>
      </c>
      <c r="AG1157" s="6" t="s">
        <v>104</v>
      </c>
      <c r="AH1157" s="6" t="s">
        <v>14211</v>
      </c>
      <c r="AI1157" s="6" t="s">
        <v>104</v>
      </c>
      <c r="AJ1157" s="6" t="s">
        <v>16112</v>
      </c>
      <c r="AK1157" s="6" t="s">
        <v>16681</v>
      </c>
      <c r="AL1157" s="6" t="s">
        <v>16931</v>
      </c>
      <c r="AM1157" s="6" t="s">
        <v>17764</v>
      </c>
      <c r="AN1157" s="6" t="s">
        <v>18457</v>
      </c>
      <c r="AO1157" s="6" t="s">
        <v>18797</v>
      </c>
      <c r="AP1157" s="6" t="s">
        <v>104</v>
      </c>
      <c r="AQ1157" s="6" t="s">
        <v>104</v>
      </c>
      <c r="AR1157" s="6" t="s">
        <v>104</v>
      </c>
      <c r="AS1157" s="6" t="s">
        <v>104</v>
      </c>
      <c r="AT1157" s="6" t="s">
        <v>104</v>
      </c>
      <c r="AU1157" s="6" t="s">
        <v>104</v>
      </c>
      <c r="AV1157" s="6" t="s">
        <v>104</v>
      </c>
      <c r="AW1157" s="6" t="s">
        <v>104</v>
      </c>
      <c r="AX1157" s="6" t="s">
        <v>21023</v>
      </c>
      <c r="AY1157" s="6" t="s">
        <v>22817</v>
      </c>
      <c r="AZ1157" s="6" t="s">
        <v>104</v>
      </c>
      <c r="BA1157" s="6" t="s">
        <v>104</v>
      </c>
      <c r="BB1157" s="24" t="n">
        <v>3224</v>
      </c>
      <c r="BC1157" s="26"/>
      <c r="BD1157" s="26"/>
      <c r="BE1157" s="26"/>
      <c r="BF1157" s="26"/>
      <c r="BG1157" s="26"/>
      <c r="BH1157" s="26"/>
      <c r="BI1157" s="26"/>
      <c r="BJ1157" s="26"/>
      <c r="BK1157" s="26"/>
      <c r="BL1157" s="26"/>
      <c r="BM1157" s="26"/>
      <c r="BN1157" s="26"/>
      <c r="BO1157" s="26"/>
      <c r="BP1157" s="16" t="n">
        <v>45510</v>
      </c>
      <c r="BQ1157" s="28" t="str">
        <f>HYPERLINK("https://organic.ams.usda.gov/Integrity/Certificate.aspx?cid=64&amp;nopid=8830000478")</f>
        <v>https://organic.ams.usda.gov/Integrity/Certificate.aspx?cid=64&amp;nopid=8830000478</v>
      </c>
    </row>
    <row r="1158">
      <c r="A1158" t="s">
        <v>3</v>
      </c>
      <c r="B1158" s="6" t="s">
        <v>12</v>
      </c>
      <c r="C1158" s="6" t="s">
        <v>78</v>
      </c>
      <c r="D1158" s="6" t="s">
        <v>143</v>
      </c>
      <c r="E1158" s="10" t="s">
        <v>1356</v>
      </c>
      <c r="F1158" s="6" t="s">
        <v>3600</v>
      </c>
      <c r="G1158" s="6" t="s">
        <v>104</v>
      </c>
      <c r="H1158" s="6" t="s">
        <v>104</v>
      </c>
      <c r="I1158" s="6" t="s">
        <v>7249</v>
      </c>
      <c r="J1158" s="6" t="s">
        <v>9003</v>
      </c>
      <c r="K1158" s="6" t="s">
        <v>9714</v>
      </c>
      <c r="L1158" s="16" t="n">
        <v>44865</v>
      </c>
      <c r="M1158" s="16" t="n">
        <v>45778</v>
      </c>
      <c r="N1158" s="6" t="s">
        <v>9714</v>
      </c>
      <c r="O1158" s="16" t="n">
        <v>44860</v>
      </c>
      <c r="P1158" s="6" t="s">
        <v>10051</v>
      </c>
      <c r="Q1158" s="6" t="s">
        <v>104</v>
      </c>
      <c r="R1158" s="6" t="s">
        <v>104</v>
      </c>
      <c r="S1158" s="6" t="s">
        <v>104</v>
      </c>
      <c r="T1158" s="21" t="s">
        <v>104</v>
      </c>
      <c r="U1158" s="6" t="s">
        <v>104</v>
      </c>
      <c r="V1158" s="6" t="s">
        <v>104</v>
      </c>
      <c r="W1158" s="6" t="s">
        <v>104</v>
      </c>
      <c r="X1158" s="6" t="s">
        <v>104</v>
      </c>
      <c r="Y1158" s="21" t="s">
        <v>104</v>
      </c>
      <c r="Z1158" s="6" t="s">
        <v>104</v>
      </c>
      <c r="AA1158" s="6" t="s">
        <v>104</v>
      </c>
      <c r="AB1158" s="6" t="s">
        <v>104</v>
      </c>
      <c r="AC1158" s="6" t="s">
        <v>104</v>
      </c>
      <c r="AD1158" s="21" t="s">
        <v>104</v>
      </c>
      <c r="AE1158" s="6" t="s">
        <v>104</v>
      </c>
      <c r="AF1158" s="6" t="s">
        <v>104</v>
      </c>
      <c r="AG1158" s="6" t="s">
        <v>104</v>
      </c>
      <c r="AH1158" s="6" t="s">
        <v>14212</v>
      </c>
      <c r="AI1158" s="6" t="s">
        <v>104</v>
      </c>
      <c r="AJ1158" s="6" t="s">
        <v>16113</v>
      </c>
      <c r="AK1158" s="6" t="s">
        <v>16743</v>
      </c>
      <c r="AL1158" s="6" t="s">
        <v>16931</v>
      </c>
      <c r="AM1158" s="6" t="s">
        <v>17765</v>
      </c>
      <c r="AN1158" s="6" t="s">
        <v>104</v>
      </c>
      <c r="AO1158" s="6" t="s">
        <v>104</v>
      </c>
      <c r="AP1158" s="6" t="s">
        <v>19244</v>
      </c>
      <c r="AQ1158" s="6" t="s">
        <v>104</v>
      </c>
      <c r="AR1158" s="6" t="s">
        <v>19698</v>
      </c>
      <c r="AS1158" s="6" t="s">
        <v>16743</v>
      </c>
      <c r="AT1158" s="6" t="s">
        <v>16931</v>
      </c>
      <c r="AU1158" s="6" t="s">
        <v>17765</v>
      </c>
      <c r="AV1158" s="6" t="s">
        <v>18457</v>
      </c>
      <c r="AW1158" s="6" t="s">
        <v>18566</v>
      </c>
      <c r="AX1158" s="6" t="s">
        <v>104</v>
      </c>
      <c r="AY1158" s="6" t="s">
        <v>22818</v>
      </c>
      <c r="AZ1158" s="6" t="s">
        <v>104</v>
      </c>
      <c r="BA1158" s="6" t="s">
        <v>104</v>
      </c>
      <c r="BB1158" s="24" t="n">
        <v>1968</v>
      </c>
      <c r="BC1158" s="26"/>
      <c r="BD1158" s="26"/>
      <c r="BE1158" s="26"/>
      <c r="BF1158" s="26"/>
      <c r="BG1158" s="26"/>
      <c r="BH1158" s="26"/>
      <c r="BI1158" s="26"/>
      <c r="BJ1158" s="26"/>
      <c r="BK1158" s="26"/>
      <c r="BL1158" s="26"/>
      <c r="BM1158" s="26"/>
      <c r="BN1158" s="26"/>
      <c r="BO1158" s="26"/>
      <c r="BP1158" s="16" t="n">
        <v>45616</v>
      </c>
      <c r="BQ1158" s="28" t="str">
        <f>HYPERLINK("https://organic.ams.usda.gov/Integrity/Certificate.aspx?cid=1&amp;nopid=9092229301")</f>
        <v>https://organic.ams.usda.gov/Integrity/Certificate.aspx?cid=1&amp;nopid=9092229301</v>
      </c>
    </row>
    <row r="1159">
      <c r="A1159" t="s">
        <v>3</v>
      </c>
      <c r="B1159" s="6" t="s">
        <v>20</v>
      </c>
      <c r="C1159" s="6" t="s">
        <v>86</v>
      </c>
      <c r="D1159" s="6" t="s">
        <v>151</v>
      </c>
      <c r="E1159" s="10" t="s">
        <v>1357</v>
      </c>
      <c r="F1159" s="6" t="s">
        <v>3601</v>
      </c>
      <c r="G1159" s="6" t="s">
        <v>104</v>
      </c>
      <c r="H1159" s="6" t="s">
        <v>5948</v>
      </c>
      <c r="I1159" s="6" t="s">
        <v>7094</v>
      </c>
      <c r="J1159" s="6" t="s">
        <v>8313</v>
      </c>
      <c r="K1159" s="6" t="s">
        <v>9714</v>
      </c>
      <c r="L1159" s="16" t="n">
        <v>45002</v>
      </c>
      <c r="M1159" s="16" t="n">
        <v>45777</v>
      </c>
      <c r="N1159" s="6" t="s">
        <v>104</v>
      </c>
      <c r="O1159" s="21" t="s">
        <v>104</v>
      </c>
      <c r="P1159" s="6" t="s">
        <v>104</v>
      </c>
      <c r="Q1159" s="6" t="s">
        <v>104</v>
      </c>
      <c r="R1159" s="6" t="s">
        <v>104</v>
      </c>
      <c r="S1159" s="6" t="s">
        <v>104</v>
      </c>
      <c r="T1159" s="21" t="s">
        <v>104</v>
      </c>
      <c r="U1159" s="6" t="s">
        <v>104</v>
      </c>
      <c r="V1159" s="6" t="s">
        <v>104</v>
      </c>
      <c r="W1159" s="6" t="s">
        <v>104</v>
      </c>
      <c r="X1159" s="6" t="s">
        <v>104</v>
      </c>
      <c r="Y1159" s="21" t="s">
        <v>104</v>
      </c>
      <c r="Z1159" s="6" t="s">
        <v>104</v>
      </c>
      <c r="AA1159" s="6" t="s">
        <v>104</v>
      </c>
      <c r="AB1159" s="6" t="s">
        <v>104</v>
      </c>
      <c r="AC1159" s="6" t="s">
        <v>9714</v>
      </c>
      <c r="AD1159" s="16" t="n">
        <v>45002</v>
      </c>
      <c r="AE1159" s="6" t="s">
        <v>10734</v>
      </c>
      <c r="AF1159" s="6" t="s">
        <v>104</v>
      </c>
      <c r="AG1159" s="6" t="s">
        <v>12849</v>
      </c>
      <c r="AH1159" s="6" t="s">
        <v>14213</v>
      </c>
      <c r="AI1159" s="6" t="s">
        <v>104</v>
      </c>
      <c r="AJ1159" s="6" t="s">
        <v>16114</v>
      </c>
      <c r="AK1159" s="6" t="s">
        <v>16779</v>
      </c>
      <c r="AL1159" s="6" t="s">
        <v>16766</v>
      </c>
      <c r="AM1159" s="6" t="s">
        <v>104</v>
      </c>
      <c r="AN1159" s="6" t="s">
        <v>104</v>
      </c>
      <c r="AO1159" s="6" t="s">
        <v>104</v>
      </c>
      <c r="AP1159" s="6" t="s">
        <v>104</v>
      </c>
      <c r="AQ1159" s="6" t="s">
        <v>104</v>
      </c>
      <c r="AR1159" s="6" t="s">
        <v>104</v>
      </c>
      <c r="AS1159" s="6" t="s">
        <v>104</v>
      </c>
      <c r="AT1159" s="6" t="s">
        <v>104</v>
      </c>
      <c r="AU1159" s="6" t="s">
        <v>104</v>
      </c>
      <c r="AV1159" s="6" t="s">
        <v>104</v>
      </c>
      <c r="AW1159" s="6" t="s">
        <v>104</v>
      </c>
      <c r="AX1159" s="6" t="s">
        <v>104</v>
      </c>
      <c r="AY1159" s="6" t="s">
        <v>22819</v>
      </c>
      <c r="AZ1159" s="6" t="s">
        <v>104</v>
      </c>
      <c r="BA1159" s="6" t="s">
        <v>104</v>
      </c>
      <c r="BB1159" s="6" t="s">
        <v>104</v>
      </c>
      <c r="BC1159" s="26"/>
      <c r="BD1159" s="26"/>
      <c r="BE1159" s="26"/>
      <c r="BF1159" s="26"/>
      <c r="BG1159" s="26"/>
      <c r="BH1159" s="26"/>
      <c r="BI1159" s="26"/>
      <c r="BJ1159" s="26"/>
      <c r="BK1159" s="26"/>
      <c r="BL1159" s="26"/>
      <c r="BM1159" s="26"/>
      <c r="BN1159" s="26"/>
      <c r="BO1159" s="26"/>
      <c r="BP1159" s="16" t="n">
        <v>45433</v>
      </c>
      <c r="BQ1159" s="28" t="str">
        <f>HYPERLINK("https://organic.ams.usda.gov/Integrity/Certificate.aspx?cid=17&amp;nopid=4081001818")</f>
        <v>https://organic.ams.usda.gov/Integrity/Certificate.aspx?cid=17&amp;nopid=4081001818</v>
      </c>
    </row>
    <row r="1160">
      <c r="A1160" t="s">
        <v>3</v>
      </c>
      <c r="B1160" s="6" t="s">
        <v>21</v>
      </c>
      <c r="C1160" s="6" t="s">
        <v>87</v>
      </c>
      <c r="D1160" s="6" t="s">
        <v>152</v>
      </c>
      <c r="E1160" s="10" t="s">
        <v>1358</v>
      </c>
      <c r="F1160" s="6" t="s">
        <v>3602</v>
      </c>
      <c r="G1160" s="6" t="s">
        <v>104</v>
      </c>
      <c r="H1160" s="6" t="s">
        <v>5949</v>
      </c>
      <c r="I1160" s="6" t="s">
        <v>6928</v>
      </c>
      <c r="J1160" s="6" t="s">
        <v>9004</v>
      </c>
      <c r="K1160" s="6" t="s">
        <v>9714</v>
      </c>
      <c r="L1160" s="16" t="n">
        <v>45321</v>
      </c>
      <c r="M1160" s="16" t="n">
        <v>46023</v>
      </c>
      <c r="N1160" s="6" t="s">
        <v>104</v>
      </c>
      <c r="O1160" s="21" t="s">
        <v>104</v>
      </c>
      <c r="P1160" s="6" t="s">
        <v>104</v>
      </c>
      <c r="Q1160" s="6" t="s">
        <v>104</v>
      </c>
      <c r="R1160" s="6" t="s">
        <v>104</v>
      </c>
      <c r="S1160" s="6" t="s">
        <v>104</v>
      </c>
      <c r="T1160" s="21" t="s">
        <v>104</v>
      </c>
      <c r="U1160" s="6" t="s">
        <v>104</v>
      </c>
      <c r="V1160" s="6" t="s">
        <v>104</v>
      </c>
      <c r="W1160" s="6" t="s">
        <v>104</v>
      </c>
      <c r="X1160" s="6" t="s">
        <v>104</v>
      </c>
      <c r="Y1160" s="21" t="s">
        <v>104</v>
      </c>
      <c r="Z1160" s="6" t="s">
        <v>104</v>
      </c>
      <c r="AA1160" s="6" t="s">
        <v>104</v>
      </c>
      <c r="AB1160" s="6" t="s">
        <v>104</v>
      </c>
      <c r="AC1160" s="6" t="s">
        <v>9714</v>
      </c>
      <c r="AD1160" s="16" t="n">
        <v>45321</v>
      </c>
      <c r="AE1160" s="6" t="s">
        <v>11538</v>
      </c>
      <c r="AF1160" s="6" t="s">
        <v>104</v>
      </c>
      <c r="AG1160" s="6" t="s">
        <v>104</v>
      </c>
      <c r="AH1160" s="6" t="s">
        <v>14214</v>
      </c>
      <c r="AI1160" s="6" t="s">
        <v>104</v>
      </c>
      <c r="AJ1160" s="6" t="s">
        <v>16115</v>
      </c>
      <c r="AK1160" s="6" t="s">
        <v>16725</v>
      </c>
      <c r="AL1160" s="6" t="s">
        <v>16931</v>
      </c>
      <c r="AM1160" s="6" t="s">
        <v>17766</v>
      </c>
      <c r="AN1160" s="6" t="s">
        <v>104</v>
      </c>
      <c r="AO1160" s="6" t="s">
        <v>104</v>
      </c>
      <c r="AP1160" s="6" t="s">
        <v>14214</v>
      </c>
      <c r="AQ1160" s="6" t="s">
        <v>104</v>
      </c>
      <c r="AR1160" s="6" t="s">
        <v>16115</v>
      </c>
      <c r="AS1160" s="6" t="s">
        <v>16725</v>
      </c>
      <c r="AT1160" s="6" t="s">
        <v>16931</v>
      </c>
      <c r="AU1160" s="6" t="s">
        <v>17766</v>
      </c>
      <c r="AV1160" s="6" t="s">
        <v>104</v>
      </c>
      <c r="AW1160" s="6" t="s">
        <v>104</v>
      </c>
      <c r="AX1160" s="6" t="s">
        <v>21024</v>
      </c>
      <c r="AY1160" s="6" t="s">
        <v>22820</v>
      </c>
      <c r="AZ1160" s="6" t="s">
        <v>23980</v>
      </c>
      <c r="BA1160" s="6" t="s">
        <v>104</v>
      </c>
      <c r="BB1160" s="6" t="s">
        <v>104</v>
      </c>
      <c r="BC1160" s="26"/>
      <c r="BD1160" s="26"/>
      <c r="BE1160" s="26"/>
      <c r="BF1160" s="26"/>
      <c r="BG1160" s="26"/>
      <c r="BH1160" s="26"/>
      <c r="BI1160" s="26"/>
      <c r="BJ1160" s="26"/>
      <c r="BK1160" s="26"/>
      <c r="BL1160" s="26"/>
      <c r="BM1160" s="26"/>
      <c r="BN1160" s="26"/>
      <c r="BO1160" s="26"/>
      <c r="BP1160" s="16" t="n">
        <v>45667</v>
      </c>
      <c r="BQ1160" s="28" t="str">
        <f>HYPERLINK("https://organic.ams.usda.gov/Integrity/Certificate.aspx?cid=15&amp;nopid=5561008086")</f>
        <v>https://organic.ams.usda.gov/Integrity/Certificate.aspx?cid=15&amp;nopid=5561008086</v>
      </c>
    </row>
    <row r="1161">
      <c r="A1161" t="s">
        <v>3</v>
      </c>
      <c r="B1161" s="6" t="s">
        <v>21</v>
      </c>
      <c r="C1161" s="6" t="s">
        <v>87</v>
      </c>
      <c r="D1161" s="6" t="s">
        <v>152</v>
      </c>
      <c r="E1161" s="10" t="s">
        <v>1359</v>
      </c>
      <c r="F1161" s="6" t="s">
        <v>3603</v>
      </c>
      <c r="G1161" s="6" t="s">
        <v>104</v>
      </c>
      <c r="H1161" s="6" t="s">
        <v>5950</v>
      </c>
      <c r="I1161" s="6" t="s">
        <v>7636</v>
      </c>
      <c r="J1161" s="6" t="s">
        <v>9005</v>
      </c>
      <c r="K1161" s="6" t="s">
        <v>9714</v>
      </c>
      <c r="L1161" s="16" t="n">
        <v>37812</v>
      </c>
      <c r="M1161" s="16" t="n">
        <v>46023</v>
      </c>
      <c r="N1161" s="6" t="s">
        <v>104</v>
      </c>
      <c r="O1161" s="21" t="s">
        <v>104</v>
      </c>
      <c r="P1161" s="6" t="s">
        <v>104</v>
      </c>
      <c r="Q1161" s="6" t="s">
        <v>104</v>
      </c>
      <c r="R1161" s="6" t="s">
        <v>104</v>
      </c>
      <c r="S1161" s="6" t="s">
        <v>104</v>
      </c>
      <c r="T1161" s="21" t="s">
        <v>104</v>
      </c>
      <c r="U1161" s="6" t="s">
        <v>104</v>
      </c>
      <c r="V1161" s="6" t="s">
        <v>104</v>
      </c>
      <c r="W1161" s="6" t="s">
        <v>104</v>
      </c>
      <c r="X1161" s="6" t="s">
        <v>104</v>
      </c>
      <c r="Y1161" s="21" t="s">
        <v>104</v>
      </c>
      <c r="Z1161" s="6" t="s">
        <v>104</v>
      </c>
      <c r="AA1161" s="6" t="s">
        <v>104</v>
      </c>
      <c r="AB1161" s="6" t="s">
        <v>104</v>
      </c>
      <c r="AC1161" s="6" t="s">
        <v>9714</v>
      </c>
      <c r="AD1161" s="16" t="n">
        <v>37812</v>
      </c>
      <c r="AE1161" s="6" t="s">
        <v>11539</v>
      </c>
      <c r="AF1161" s="6" t="s">
        <v>104</v>
      </c>
      <c r="AG1161" s="6" t="s">
        <v>104</v>
      </c>
      <c r="AH1161" s="6" t="s">
        <v>14215</v>
      </c>
      <c r="AI1161" s="6" t="s">
        <v>104</v>
      </c>
      <c r="AJ1161" s="6" t="s">
        <v>16116</v>
      </c>
      <c r="AK1161" s="6" t="s">
        <v>16687</v>
      </c>
      <c r="AL1161" s="6" t="s">
        <v>16931</v>
      </c>
      <c r="AM1161" s="6" t="s">
        <v>17767</v>
      </c>
      <c r="AN1161" s="6" t="s">
        <v>18521</v>
      </c>
      <c r="AO1161" s="6" t="s">
        <v>18715</v>
      </c>
      <c r="AP1161" s="6" t="s">
        <v>14215</v>
      </c>
      <c r="AQ1161" s="6" t="s">
        <v>104</v>
      </c>
      <c r="AR1161" s="6" t="s">
        <v>16116</v>
      </c>
      <c r="AS1161" s="6" t="s">
        <v>16687</v>
      </c>
      <c r="AT1161" s="6" t="s">
        <v>16931</v>
      </c>
      <c r="AU1161" s="6" t="s">
        <v>17767</v>
      </c>
      <c r="AV1161" s="6" t="s">
        <v>104</v>
      </c>
      <c r="AW1161" s="6" t="s">
        <v>104</v>
      </c>
      <c r="AX1161" s="6" t="s">
        <v>21025</v>
      </c>
      <c r="AY1161" s="6" t="s">
        <v>22821</v>
      </c>
      <c r="AZ1161" s="6" t="s">
        <v>23981</v>
      </c>
      <c r="BA1161" s="6" t="s">
        <v>24417</v>
      </c>
      <c r="BB1161" s="6" t="s">
        <v>104</v>
      </c>
      <c r="BC1161" s="26"/>
      <c r="BD1161" s="26"/>
      <c r="BE1161" s="26"/>
      <c r="BF1161" s="26"/>
      <c r="BG1161" s="26"/>
      <c r="BH1161" s="26"/>
      <c r="BI1161" s="26"/>
      <c r="BJ1161" s="26"/>
      <c r="BK1161" s="26"/>
      <c r="BL1161" s="26"/>
      <c r="BM1161" s="26"/>
      <c r="BN1161" s="26"/>
      <c r="BO1161" s="26"/>
      <c r="BP1161" s="16" t="n">
        <v>45667</v>
      </c>
      <c r="BQ1161" s="28" t="str">
        <f>HYPERLINK("https://organic.ams.usda.gov/Integrity/Certificate.aspx?cid=15&amp;nopid=5561002261")</f>
        <v>https://organic.ams.usda.gov/Integrity/Certificate.aspx?cid=15&amp;nopid=5561002261</v>
      </c>
    </row>
    <row r="1162">
      <c r="A1162" t="s">
        <v>3</v>
      </c>
      <c r="B1162" s="6" t="s">
        <v>18</v>
      </c>
      <c r="C1162" s="6" t="s">
        <v>84</v>
      </c>
      <c r="D1162" s="6" t="s">
        <v>149</v>
      </c>
      <c r="E1162" s="10" t="s">
        <v>1360</v>
      </c>
      <c r="F1162" s="6" t="s">
        <v>3604</v>
      </c>
      <c r="G1162" s="6" t="s">
        <v>104</v>
      </c>
      <c r="H1162" s="6" t="s">
        <v>5951</v>
      </c>
      <c r="I1162" s="6" t="s">
        <v>7194</v>
      </c>
      <c r="J1162" s="6" t="s">
        <v>9006</v>
      </c>
      <c r="K1162" s="6" t="s">
        <v>9714</v>
      </c>
      <c r="L1162" s="16" t="n">
        <v>40137</v>
      </c>
      <c r="M1162" s="16" t="n">
        <v>45870</v>
      </c>
      <c r="N1162" s="6" t="s">
        <v>9714</v>
      </c>
      <c r="O1162" s="16" t="n">
        <v>40137</v>
      </c>
      <c r="P1162" s="6" t="s">
        <v>10052</v>
      </c>
      <c r="Q1162" s="6" t="s">
        <v>104</v>
      </c>
      <c r="R1162" s="6" t="s">
        <v>10383</v>
      </c>
      <c r="S1162" s="6" t="s">
        <v>104</v>
      </c>
      <c r="T1162" s="21" t="s">
        <v>104</v>
      </c>
      <c r="U1162" s="6" t="s">
        <v>104</v>
      </c>
      <c r="V1162" s="6" t="s">
        <v>104</v>
      </c>
      <c r="W1162" s="6" t="s">
        <v>104</v>
      </c>
      <c r="X1162" s="6" t="s">
        <v>104</v>
      </c>
      <c r="Y1162" s="21" t="s">
        <v>104</v>
      </c>
      <c r="Z1162" s="6" t="s">
        <v>104</v>
      </c>
      <c r="AA1162" s="6" t="s">
        <v>104</v>
      </c>
      <c r="AB1162" s="6" t="s">
        <v>104</v>
      </c>
      <c r="AC1162" s="6" t="s">
        <v>9714</v>
      </c>
      <c r="AD1162" s="16" t="n">
        <v>43377</v>
      </c>
      <c r="AE1162" s="6" t="s">
        <v>11540</v>
      </c>
      <c r="AF1162" s="6" t="s">
        <v>104</v>
      </c>
      <c r="AG1162" s="6" t="s">
        <v>12850</v>
      </c>
      <c r="AH1162" s="6" t="s">
        <v>14216</v>
      </c>
      <c r="AI1162" s="6" t="s">
        <v>104</v>
      </c>
      <c r="AJ1162" s="6" t="s">
        <v>15985</v>
      </c>
      <c r="AK1162" s="6" t="s">
        <v>16738</v>
      </c>
      <c r="AL1162" s="6" t="s">
        <v>16931</v>
      </c>
      <c r="AM1162" s="6" t="s">
        <v>17621</v>
      </c>
      <c r="AN1162" s="6" t="s">
        <v>18502</v>
      </c>
      <c r="AO1162" s="6" t="s">
        <v>18682</v>
      </c>
      <c r="AP1162" s="6" t="s">
        <v>104</v>
      </c>
      <c r="AQ1162" s="6" t="s">
        <v>104</v>
      </c>
      <c r="AR1162" s="6" t="s">
        <v>104</v>
      </c>
      <c r="AS1162" s="6" t="s">
        <v>104</v>
      </c>
      <c r="AT1162" s="6" t="s">
        <v>104</v>
      </c>
      <c r="AU1162" s="6" t="s">
        <v>104</v>
      </c>
      <c r="AV1162" s="6" t="s">
        <v>104</v>
      </c>
      <c r="AW1162" s="6" t="s">
        <v>104</v>
      </c>
      <c r="AX1162" s="6" t="s">
        <v>21026</v>
      </c>
      <c r="AY1162" s="6" t="s">
        <v>22822</v>
      </c>
      <c r="AZ1162" s="6" t="s">
        <v>104</v>
      </c>
      <c r="BA1162" s="6" t="s">
        <v>24418</v>
      </c>
      <c r="BB1162" s="24" t="n">
        <v>1461</v>
      </c>
      <c r="BC1162" s="26"/>
      <c r="BD1162" s="26"/>
      <c r="BE1162" s="26"/>
      <c r="BF1162" s="26"/>
      <c r="BG1162" s="26"/>
      <c r="BH1162" s="26"/>
      <c r="BI1162" s="26"/>
      <c r="BJ1162" s="26"/>
      <c r="BK1162" s="26"/>
      <c r="BL1162" s="26"/>
      <c r="BM1162" s="26"/>
      <c r="BN1162" s="26" t="s">
        <v>24533</v>
      </c>
      <c r="BO1162" s="26"/>
      <c r="BP1162" s="16" t="n">
        <v>45737</v>
      </c>
      <c r="BQ1162" s="28" t="str">
        <f>HYPERLINK("https://organic.ams.usda.gov/Integrity/Certificate.aspx?cid=31&amp;nopid=3920897916")</f>
        <v>https://organic.ams.usda.gov/Integrity/Certificate.aspx?cid=31&amp;nopid=3920897916</v>
      </c>
    </row>
    <row r="1163">
      <c r="A1163" t="s">
        <v>3</v>
      </c>
      <c r="B1163" s="6" t="s">
        <v>24</v>
      </c>
      <c r="C1163" s="6" t="s">
        <v>90</v>
      </c>
      <c r="D1163" s="6" t="s">
        <v>155</v>
      </c>
      <c r="E1163" s="10" t="s">
        <v>1361</v>
      </c>
      <c r="F1163" s="6" t="s">
        <v>3605</v>
      </c>
      <c r="G1163" s="6" t="s">
        <v>4667</v>
      </c>
      <c r="H1163" s="6" t="s">
        <v>5952</v>
      </c>
      <c r="I1163" s="6" t="s">
        <v>6986</v>
      </c>
      <c r="J1163" s="6" t="s">
        <v>9007</v>
      </c>
      <c r="K1163" s="6" t="s">
        <v>9714</v>
      </c>
      <c r="L1163" s="16" t="n">
        <v>41688</v>
      </c>
      <c r="M1163" s="16" t="n">
        <v>45958</v>
      </c>
      <c r="N1163" s="6" t="s">
        <v>9714</v>
      </c>
      <c r="O1163" s="16" t="n">
        <v>41688</v>
      </c>
      <c r="P1163" s="6" t="s">
        <v>10053</v>
      </c>
      <c r="Q1163" s="6" t="s">
        <v>104</v>
      </c>
      <c r="R1163" s="6" t="s">
        <v>5952</v>
      </c>
      <c r="S1163" s="6" t="s">
        <v>9714</v>
      </c>
      <c r="T1163" s="16" t="n">
        <v>41688</v>
      </c>
      <c r="U1163" s="6" t="s">
        <v>10491</v>
      </c>
      <c r="V1163" s="6" t="s">
        <v>104</v>
      </c>
      <c r="W1163" s="6" t="s">
        <v>5952</v>
      </c>
      <c r="X1163" s="6" t="s">
        <v>104</v>
      </c>
      <c r="Y1163" s="21" t="s">
        <v>104</v>
      </c>
      <c r="Z1163" s="6" t="s">
        <v>104</v>
      </c>
      <c r="AA1163" s="6" t="s">
        <v>104</v>
      </c>
      <c r="AB1163" s="6" t="s">
        <v>104</v>
      </c>
      <c r="AC1163" s="6" t="s">
        <v>104</v>
      </c>
      <c r="AD1163" s="21" t="s">
        <v>104</v>
      </c>
      <c r="AE1163" s="6" t="s">
        <v>104</v>
      </c>
      <c r="AF1163" s="6" t="s">
        <v>104</v>
      </c>
      <c r="AG1163" s="6" t="s">
        <v>104</v>
      </c>
      <c r="AH1163" s="6" t="s">
        <v>14217</v>
      </c>
      <c r="AI1163" s="6" t="s">
        <v>15296</v>
      </c>
      <c r="AJ1163" s="6" t="s">
        <v>16117</v>
      </c>
      <c r="AK1163" s="6" t="s">
        <v>16690</v>
      </c>
      <c r="AL1163" s="6" t="s">
        <v>16934</v>
      </c>
      <c r="AM1163" s="6" t="s">
        <v>17768</v>
      </c>
      <c r="AN1163" s="6" t="s">
        <v>104</v>
      </c>
      <c r="AO1163" s="6" t="s">
        <v>104</v>
      </c>
      <c r="AP1163" s="6" t="s">
        <v>19245</v>
      </c>
      <c r="AQ1163" s="6" t="s">
        <v>19565</v>
      </c>
      <c r="AR1163" s="6" t="s">
        <v>16117</v>
      </c>
      <c r="AS1163" s="6" t="s">
        <v>16690</v>
      </c>
      <c r="AT1163" s="6" t="s">
        <v>16934</v>
      </c>
      <c r="AU1163" s="6" t="s">
        <v>17768</v>
      </c>
      <c r="AV1163" s="6" t="s">
        <v>104</v>
      </c>
      <c r="AW1163" s="6" t="s">
        <v>104</v>
      </c>
      <c r="AX1163" s="6" t="s">
        <v>21027</v>
      </c>
      <c r="AY1163" s="6" t="s">
        <v>22823</v>
      </c>
      <c r="AZ1163" s="6" t="s">
        <v>104</v>
      </c>
      <c r="BA1163" s="6" t="s">
        <v>24262</v>
      </c>
      <c r="BB1163" s="24" t="n">
        <v>18762</v>
      </c>
      <c r="BC1163" s="26"/>
      <c r="BD1163" s="26"/>
      <c r="BE1163" s="26"/>
      <c r="BF1163" s="26"/>
      <c r="BG1163" s="26"/>
      <c r="BH1163" s="26"/>
      <c r="BI1163" s="26"/>
      <c r="BJ1163" s="26"/>
      <c r="BK1163" s="26"/>
      <c r="BL1163" s="26"/>
      <c r="BM1163" s="26"/>
      <c r="BN1163" s="26"/>
      <c r="BO1163" s="26"/>
      <c r="BP1163" s="16" t="n">
        <v>45686</v>
      </c>
      <c r="BQ1163" s="28" t="str">
        <f>HYPERLINK("https://organic.ams.usda.gov/Integrity/Certificate.aspx?cid=7&amp;nopid=3950000319")</f>
        <v>https://organic.ams.usda.gov/Integrity/Certificate.aspx?cid=7&amp;nopid=3950000319</v>
      </c>
    </row>
    <row r="1164">
      <c r="A1164" t="s">
        <v>3</v>
      </c>
      <c r="B1164" s="6" t="s">
        <v>54</v>
      </c>
      <c r="C1164" s="6" t="s">
        <v>120</v>
      </c>
      <c r="D1164" s="6" t="s">
        <v>184</v>
      </c>
      <c r="E1164" s="10" t="s">
        <v>1362</v>
      </c>
      <c r="F1164" s="6" t="s">
        <v>3606</v>
      </c>
      <c r="G1164" s="6" t="s">
        <v>104</v>
      </c>
      <c r="H1164" s="6" t="s">
        <v>5953</v>
      </c>
      <c r="I1164" s="6" t="s">
        <v>7342</v>
      </c>
      <c r="J1164" s="6" t="s">
        <v>9008</v>
      </c>
      <c r="K1164" s="6" t="s">
        <v>9714</v>
      </c>
      <c r="L1164" s="16" t="n">
        <v>39708</v>
      </c>
      <c r="M1164" s="16" t="n">
        <v>45717</v>
      </c>
      <c r="N1164" s="6" t="s">
        <v>9714</v>
      </c>
      <c r="O1164" s="16" t="n">
        <v>39708</v>
      </c>
      <c r="P1164" s="6" t="s">
        <v>10054</v>
      </c>
      <c r="Q1164" s="6" t="s">
        <v>104</v>
      </c>
      <c r="R1164" s="6" t="s">
        <v>104</v>
      </c>
      <c r="S1164" s="6" t="s">
        <v>104</v>
      </c>
      <c r="T1164" s="21" t="s">
        <v>104</v>
      </c>
      <c r="U1164" s="6" t="s">
        <v>104</v>
      </c>
      <c r="V1164" s="6" t="s">
        <v>104</v>
      </c>
      <c r="W1164" s="6" t="s">
        <v>104</v>
      </c>
      <c r="X1164" s="6" t="s">
        <v>104</v>
      </c>
      <c r="Y1164" s="21" t="s">
        <v>104</v>
      </c>
      <c r="Z1164" s="6" t="s">
        <v>104</v>
      </c>
      <c r="AA1164" s="6" t="s">
        <v>104</v>
      </c>
      <c r="AB1164" s="6" t="s">
        <v>104</v>
      </c>
      <c r="AC1164" s="6" t="s">
        <v>104</v>
      </c>
      <c r="AD1164" s="21" t="s">
        <v>104</v>
      </c>
      <c r="AE1164" s="6" t="s">
        <v>104</v>
      </c>
      <c r="AF1164" s="6" t="s">
        <v>104</v>
      </c>
      <c r="AG1164" s="6" t="s">
        <v>104</v>
      </c>
      <c r="AH1164" s="6" t="s">
        <v>14218</v>
      </c>
      <c r="AI1164" s="6" t="s">
        <v>104</v>
      </c>
      <c r="AJ1164" s="6" t="s">
        <v>16118</v>
      </c>
      <c r="AK1164" s="6" t="s">
        <v>16743</v>
      </c>
      <c r="AL1164" s="6" t="s">
        <v>16931</v>
      </c>
      <c r="AM1164" s="6" t="s">
        <v>17769</v>
      </c>
      <c r="AN1164" s="6" t="s">
        <v>5759</v>
      </c>
      <c r="AO1164" s="6" t="s">
        <v>18624</v>
      </c>
      <c r="AP1164" s="6" t="s">
        <v>19246</v>
      </c>
      <c r="AQ1164" s="6" t="s">
        <v>104</v>
      </c>
      <c r="AR1164" s="6" t="s">
        <v>16118</v>
      </c>
      <c r="AS1164" s="6" t="s">
        <v>16743</v>
      </c>
      <c r="AT1164" s="6" t="s">
        <v>16931</v>
      </c>
      <c r="AU1164" s="6" t="s">
        <v>17769</v>
      </c>
      <c r="AV1164" s="6" t="s">
        <v>104</v>
      </c>
      <c r="AW1164" s="6" t="s">
        <v>104</v>
      </c>
      <c r="AX1164" s="6" t="s">
        <v>21028</v>
      </c>
      <c r="AY1164" s="6" t="s">
        <v>22824</v>
      </c>
      <c r="AZ1164" s="6" t="s">
        <v>104</v>
      </c>
      <c r="BA1164" s="6" t="s">
        <v>24323</v>
      </c>
      <c r="BB1164" s="24" t="n">
        <v>834</v>
      </c>
      <c r="BC1164" s="26"/>
      <c r="BD1164" s="26"/>
      <c r="BE1164" s="26"/>
      <c r="BF1164" s="26"/>
      <c r="BG1164" s="26"/>
      <c r="BH1164" s="26"/>
      <c r="BI1164" s="26"/>
      <c r="BJ1164" s="26"/>
      <c r="BK1164" s="26"/>
      <c r="BL1164" s="26"/>
      <c r="BM1164" s="26"/>
      <c r="BN1164" s="26"/>
      <c r="BO1164" s="26"/>
      <c r="BP1164" s="16" t="n">
        <v>45539</v>
      </c>
      <c r="BQ1164" s="28" t="str">
        <f>HYPERLINK("https://organic.ams.usda.gov/Integrity/Certificate.aspx?cid=60&amp;nopid=2580000265")</f>
        <v>https://organic.ams.usda.gov/Integrity/Certificate.aspx?cid=60&amp;nopid=2580000265</v>
      </c>
    </row>
    <row r="1165">
      <c r="A1165" t="s">
        <v>3</v>
      </c>
      <c r="B1165" s="6" t="s">
        <v>64</v>
      </c>
      <c r="C1165" s="6" t="s">
        <v>130</v>
      </c>
      <c r="D1165" s="6" t="s">
        <v>194</v>
      </c>
      <c r="E1165" s="10" t="s">
        <v>1363</v>
      </c>
      <c r="F1165" s="6" t="s">
        <v>3607</v>
      </c>
      <c r="G1165" s="6" t="s">
        <v>3607</v>
      </c>
      <c r="H1165" s="6" t="s">
        <v>5954</v>
      </c>
      <c r="I1165" s="6" t="s">
        <v>104</v>
      </c>
      <c r="J1165" s="6" t="s">
        <v>104</v>
      </c>
      <c r="K1165" s="6" t="s">
        <v>9714</v>
      </c>
      <c r="L1165" s="16" t="n">
        <v>45343</v>
      </c>
      <c r="M1165" s="16" t="n">
        <v>46027</v>
      </c>
      <c r="N1165" s="6" t="s">
        <v>104</v>
      </c>
      <c r="O1165" s="21" t="s">
        <v>104</v>
      </c>
      <c r="P1165" s="6" t="s">
        <v>104</v>
      </c>
      <c r="Q1165" s="6" t="s">
        <v>104</v>
      </c>
      <c r="R1165" s="6" t="s">
        <v>104</v>
      </c>
      <c r="S1165" s="6" t="s">
        <v>104</v>
      </c>
      <c r="T1165" s="21" t="s">
        <v>104</v>
      </c>
      <c r="U1165" s="6" t="s">
        <v>104</v>
      </c>
      <c r="V1165" s="6" t="s">
        <v>104</v>
      </c>
      <c r="W1165" s="6" t="s">
        <v>104</v>
      </c>
      <c r="X1165" s="6" t="s">
        <v>104</v>
      </c>
      <c r="Y1165" s="21" t="s">
        <v>104</v>
      </c>
      <c r="Z1165" s="6" t="s">
        <v>104</v>
      </c>
      <c r="AA1165" s="6" t="s">
        <v>104</v>
      </c>
      <c r="AB1165" s="6" t="s">
        <v>104</v>
      </c>
      <c r="AC1165" s="6" t="s">
        <v>9714</v>
      </c>
      <c r="AD1165" s="16" t="n">
        <v>45343</v>
      </c>
      <c r="AE1165" s="6" t="s">
        <v>11541</v>
      </c>
      <c r="AF1165" s="6" t="s">
        <v>104</v>
      </c>
      <c r="AG1165" s="6" t="s">
        <v>104</v>
      </c>
      <c r="AH1165" s="6" t="s">
        <v>14219</v>
      </c>
      <c r="AI1165" s="6" t="s">
        <v>104</v>
      </c>
      <c r="AJ1165" s="6" t="s">
        <v>16119</v>
      </c>
      <c r="AK1165" s="6" t="s">
        <v>16758</v>
      </c>
      <c r="AL1165" s="6" t="s">
        <v>16935</v>
      </c>
      <c r="AM1165" s="6" t="s">
        <v>104</v>
      </c>
      <c r="AN1165" s="6" t="s">
        <v>104</v>
      </c>
      <c r="AO1165" s="6" t="s">
        <v>104</v>
      </c>
      <c r="AP1165" s="6" t="s">
        <v>14219</v>
      </c>
      <c r="AQ1165" s="6" t="s">
        <v>19566</v>
      </c>
      <c r="AR1165" s="6" t="s">
        <v>19699</v>
      </c>
      <c r="AS1165" s="6" t="s">
        <v>19793</v>
      </c>
      <c r="AT1165" s="6" t="s">
        <v>16935</v>
      </c>
      <c r="AU1165" s="6" t="s">
        <v>104</v>
      </c>
      <c r="AV1165" s="6" t="s">
        <v>104</v>
      </c>
      <c r="AW1165" s="6" t="s">
        <v>104</v>
      </c>
      <c r="AX1165" s="6" t="s">
        <v>104</v>
      </c>
      <c r="AY1165" s="6" t="s">
        <v>104</v>
      </c>
      <c r="AZ1165" s="6" t="s">
        <v>104</v>
      </c>
      <c r="BA1165" s="6" t="s">
        <v>24419</v>
      </c>
      <c r="BB1165" s="6" t="s">
        <v>104</v>
      </c>
      <c r="BC1165" s="26"/>
      <c r="BD1165" s="26"/>
      <c r="BE1165" s="26"/>
      <c r="BF1165" s="26"/>
      <c r="BG1165" s="26"/>
      <c r="BH1165" s="26"/>
      <c r="BI1165" s="26"/>
      <c r="BJ1165" s="26"/>
      <c r="BK1165" s="26"/>
      <c r="BL1165" s="26"/>
      <c r="BM1165" s="26"/>
      <c r="BN1165" s="26"/>
      <c r="BO1165" s="26"/>
      <c r="BP1165" s="16" t="n">
        <v>45708</v>
      </c>
      <c r="BQ1165" s="28" t="str">
        <f>HYPERLINK("https://organic.ams.usda.gov/Integrity/Certificate.aspx?cid=28&amp;nopid=9487354449")</f>
        <v>https://organic.ams.usda.gov/Integrity/Certificate.aspx?cid=28&amp;nopid=9487354449</v>
      </c>
    </row>
    <row r="1166">
      <c r="A1166" t="s">
        <v>3</v>
      </c>
      <c r="B1166" s="6" t="s">
        <v>55</v>
      </c>
      <c r="C1166" s="6" t="s">
        <v>121</v>
      </c>
      <c r="D1166" s="6" t="s">
        <v>185</v>
      </c>
      <c r="E1166" s="10" t="s">
        <v>1364</v>
      </c>
      <c r="F1166" s="6" t="s">
        <v>3608</v>
      </c>
      <c r="G1166" s="6" t="s">
        <v>104</v>
      </c>
      <c r="H1166" s="6" t="s">
        <v>5955</v>
      </c>
      <c r="I1166" s="6" t="s">
        <v>7637</v>
      </c>
      <c r="J1166" s="6" t="s">
        <v>9009</v>
      </c>
      <c r="K1166" s="6" t="s">
        <v>9714</v>
      </c>
      <c r="L1166" s="16" t="n">
        <v>45551</v>
      </c>
      <c r="M1166" s="16" t="n">
        <v>45854</v>
      </c>
      <c r="N1166" s="6" t="s">
        <v>104</v>
      </c>
      <c r="O1166" s="21" t="s">
        <v>104</v>
      </c>
      <c r="P1166" s="6" t="s">
        <v>104</v>
      </c>
      <c r="Q1166" s="6" t="s">
        <v>104</v>
      </c>
      <c r="R1166" s="6" t="s">
        <v>104</v>
      </c>
      <c r="S1166" s="6" t="s">
        <v>104</v>
      </c>
      <c r="T1166" s="21" t="s">
        <v>104</v>
      </c>
      <c r="U1166" s="6" t="s">
        <v>104</v>
      </c>
      <c r="V1166" s="6" t="s">
        <v>104</v>
      </c>
      <c r="W1166" s="6" t="s">
        <v>104</v>
      </c>
      <c r="X1166" s="6" t="s">
        <v>104</v>
      </c>
      <c r="Y1166" s="21" t="s">
        <v>104</v>
      </c>
      <c r="Z1166" s="6" t="s">
        <v>104</v>
      </c>
      <c r="AA1166" s="6" t="s">
        <v>104</v>
      </c>
      <c r="AB1166" s="6" t="s">
        <v>104</v>
      </c>
      <c r="AC1166" s="6" t="s">
        <v>9714</v>
      </c>
      <c r="AD1166" s="16" t="n">
        <v>45551</v>
      </c>
      <c r="AE1166" s="6" t="s">
        <v>11542</v>
      </c>
      <c r="AF1166" s="6" t="s">
        <v>104</v>
      </c>
      <c r="AG1166" s="6" t="s">
        <v>5955</v>
      </c>
      <c r="AH1166" s="6" t="s">
        <v>14220</v>
      </c>
      <c r="AI1166" s="6" t="s">
        <v>104</v>
      </c>
      <c r="AJ1166" s="6" t="s">
        <v>16120</v>
      </c>
      <c r="AK1166" s="6" t="s">
        <v>16855</v>
      </c>
      <c r="AL1166" s="6" t="s">
        <v>16958</v>
      </c>
      <c r="AM1166" s="6" t="s">
        <v>17770</v>
      </c>
      <c r="AN1166" s="6" t="s">
        <v>104</v>
      </c>
      <c r="AO1166" s="6" t="s">
        <v>104</v>
      </c>
      <c r="AP1166" s="6" t="s">
        <v>14220</v>
      </c>
      <c r="AQ1166" s="6" t="s">
        <v>104</v>
      </c>
      <c r="AR1166" s="6" t="s">
        <v>16120</v>
      </c>
      <c r="AS1166" s="6" t="s">
        <v>16855</v>
      </c>
      <c r="AT1166" s="6" t="s">
        <v>16958</v>
      </c>
      <c r="AU1166" s="6" t="s">
        <v>17770</v>
      </c>
      <c r="AV1166" s="6" t="s">
        <v>104</v>
      </c>
      <c r="AW1166" s="6" t="s">
        <v>104</v>
      </c>
      <c r="AX1166" s="6" t="s">
        <v>21029</v>
      </c>
      <c r="AY1166" s="6" t="s">
        <v>22825</v>
      </c>
      <c r="AZ1166" s="6" t="s">
        <v>23982</v>
      </c>
      <c r="BA1166" s="6" t="s">
        <v>24363</v>
      </c>
      <c r="BB1166" s="6" t="s">
        <v>104</v>
      </c>
      <c r="BC1166" s="26"/>
      <c r="BD1166" s="26"/>
      <c r="BE1166" s="26"/>
      <c r="BF1166" s="26"/>
      <c r="BG1166" s="26"/>
      <c r="BH1166" s="26" t="s">
        <v>24533</v>
      </c>
      <c r="BI1166" s="26"/>
      <c r="BJ1166" s="26"/>
      <c r="BK1166" s="26"/>
      <c r="BL1166" s="26"/>
      <c r="BM1166" s="26"/>
      <c r="BN1166" s="26"/>
      <c r="BO1166" s="26"/>
      <c r="BP1166" s="16" t="n">
        <v>45551</v>
      </c>
      <c r="BQ1166" s="28" t="str">
        <f>HYPERLINK("https://organic.ams.usda.gov/Integrity/Certificate.aspx?cid=70&amp;nopid=6436242095")</f>
        <v>https://organic.ams.usda.gov/Integrity/Certificate.aspx?cid=70&amp;nopid=6436242095</v>
      </c>
    </row>
    <row r="1167">
      <c r="A1167" t="s">
        <v>3</v>
      </c>
      <c r="B1167" s="6" t="s">
        <v>19</v>
      </c>
      <c r="C1167" s="6" t="s">
        <v>85</v>
      </c>
      <c r="D1167" s="6" t="s">
        <v>150</v>
      </c>
      <c r="E1167" s="10" t="s">
        <v>1365</v>
      </c>
      <c r="F1167" s="6" t="s">
        <v>3609</v>
      </c>
      <c r="G1167" s="6" t="s">
        <v>104</v>
      </c>
      <c r="H1167" s="6" t="s">
        <v>5956</v>
      </c>
      <c r="I1167" s="6" t="s">
        <v>7638</v>
      </c>
      <c r="J1167" s="6" t="s">
        <v>9010</v>
      </c>
      <c r="K1167" s="6" t="s">
        <v>9714</v>
      </c>
      <c r="L1167" s="16" t="n">
        <v>41912</v>
      </c>
      <c r="M1167" s="16" t="n">
        <v>45717</v>
      </c>
      <c r="N1167" s="6" t="s">
        <v>104</v>
      </c>
      <c r="O1167" s="21" t="s">
        <v>104</v>
      </c>
      <c r="P1167" s="6" t="s">
        <v>104</v>
      </c>
      <c r="Q1167" s="6" t="s">
        <v>104</v>
      </c>
      <c r="R1167" s="6" t="s">
        <v>104</v>
      </c>
      <c r="S1167" s="6" t="s">
        <v>104</v>
      </c>
      <c r="T1167" s="21" t="s">
        <v>104</v>
      </c>
      <c r="U1167" s="6" t="s">
        <v>104</v>
      </c>
      <c r="V1167" s="6" t="s">
        <v>104</v>
      </c>
      <c r="W1167" s="6" t="s">
        <v>104</v>
      </c>
      <c r="X1167" s="6" t="s">
        <v>104</v>
      </c>
      <c r="Y1167" s="21" t="s">
        <v>104</v>
      </c>
      <c r="Z1167" s="6" t="s">
        <v>104</v>
      </c>
      <c r="AA1167" s="6" t="s">
        <v>104</v>
      </c>
      <c r="AB1167" s="6" t="s">
        <v>104</v>
      </c>
      <c r="AC1167" s="6" t="s">
        <v>9714</v>
      </c>
      <c r="AD1167" s="16" t="n">
        <v>41912</v>
      </c>
      <c r="AE1167" s="6" t="s">
        <v>11543</v>
      </c>
      <c r="AF1167" s="6" t="s">
        <v>104</v>
      </c>
      <c r="AG1167" s="6" t="s">
        <v>104</v>
      </c>
      <c r="AH1167" s="6" t="s">
        <v>14221</v>
      </c>
      <c r="AI1167" s="6" t="s">
        <v>104</v>
      </c>
      <c r="AJ1167" s="6" t="s">
        <v>16121</v>
      </c>
      <c r="AK1167" s="6" t="s">
        <v>16337</v>
      </c>
      <c r="AL1167" s="6" t="s">
        <v>16931</v>
      </c>
      <c r="AM1167" s="6" t="s">
        <v>17771</v>
      </c>
      <c r="AN1167" s="6" t="s">
        <v>18468</v>
      </c>
      <c r="AO1167" s="6" t="s">
        <v>18722</v>
      </c>
      <c r="AP1167" s="6" t="s">
        <v>14221</v>
      </c>
      <c r="AQ1167" s="6" t="s">
        <v>104</v>
      </c>
      <c r="AR1167" s="6" t="s">
        <v>16121</v>
      </c>
      <c r="AS1167" s="6" t="s">
        <v>16337</v>
      </c>
      <c r="AT1167" s="6" t="s">
        <v>16931</v>
      </c>
      <c r="AU1167" s="6" t="s">
        <v>17771</v>
      </c>
      <c r="AV1167" s="6" t="s">
        <v>104</v>
      </c>
      <c r="AW1167" s="6" t="s">
        <v>104</v>
      </c>
      <c r="AX1167" s="6" t="s">
        <v>21030</v>
      </c>
      <c r="AY1167" s="6" t="s">
        <v>22826</v>
      </c>
      <c r="AZ1167" s="6" t="s">
        <v>104</v>
      </c>
      <c r="BA1167" s="6" t="s">
        <v>104</v>
      </c>
      <c r="BB1167" s="6" t="s">
        <v>104</v>
      </c>
      <c r="BC1167" s="26"/>
      <c r="BD1167" s="26"/>
      <c r="BE1167" s="26"/>
      <c r="BF1167" s="26"/>
      <c r="BG1167" s="26"/>
      <c r="BH1167" s="26"/>
      <c r="BI1167" s="26"/>
      <c r="BJ1167" s="26"/>
      <c r="BK1167" s="26"/>
      <c r="BL1167" s="26"/>
      <c r="BM1167" s="26"/>
      <c r="BN1167" s="26"/>
      <c r="BO1167" s="26"/>
      <c r="BP1167" s="16" t="n">
        <v>45708</v>
      </c>
      <c r="BQ1167" s="28" t="str">
        <f>HYPERLINK("https://organic.ams.usda.gov/Integrity/Certificate.aspx?cid=68&amp;nopid=8210001926")</f>
        <v>https://organic.ams.usda.gov/Integrity/Certificate.aspx?cid=68&amp;nopid=8210001926</v>
      </c>
    </row>
    <row r="1168">
      <c r="A1168" t="s">
        <v>3</v>
      </c>
      <c r="B1168" s="6" t="s">
        <v>25</v>
      </c>
      <c r="C1168" s="6" t="s">
        <v>91</v>
      </c>
      <c r="D1168" s="6" t="s">
        <v>156</v>
      </c>
      <c r="E1168" s="10" t="s">
        <v>1366</v>
      </c>
      <c r="F1168" s="6" t="s">
        <v>3610</v>
      </c>
      <c r="G1168" s="6" t="s">
        <v>104</v>
      </c>
      <c r="H1168" s="6" t="s">
        <v>5957</v>
      </c>
      <c r="I1168" s="6" t="s">
        <v>7150</v>
      </c>
      <c r="J1168" s="6" t="s">
        <v>8373</v>
      </c>
      <c r="K1168" s="6" t="s">
        <v>9714</v>
      </c>
      <c r="L1168" s="16" t="n">
        <v>45044</v>
      </c>
      <c r="M1168" s="16" t="n">
        <v>45715</v>
      </c>
      <c r="N1168" s="6" t="s">
        <v>104</v>
      </c>
      <c r="O1168" s="21" t="s">
        <v>104</v>
      </c>
      <c r="P1168" s="6" t="s">
        <v>104</v>
      </c>
      <c r="Q1168" s="6" t="s">
        <v>104</v>
      </c>
      <c r="R1168" s="6" t="s">
        <v>104</v>
      </c>
      <c r="S1168" s="6" t="s">
        <v>104</v>
      </c>
      <c r="T1168" s="21" t="s">
        <v>104</v>
      </c>
      <c r="U1168" s="6" t="s">
        <v>104</v>
      </c>
      <c r="V1168" s="6" t="s">
        <v>104</v>
      </c>
      <c r="W1168" s="6" t="s">
        <v>104</v>
      </c>
      <c r="X1168" s="6" t="s">
        <v>104</v>
      </c>
      <c r="Y1168" s="21" t="s">
        <v>104</v>
      </c>
      <c r="Z1168" s="6" t="s">
        <v>104</v>
      </c>
      <c r="AA1168" s="6" t="s">
        <v>104</v>
      </c>
      <c r="AB1168" s="6" t="s">
        <v>104</v>
      </c>
      <c r="AC1168" s="6" t="s">
        <v>9714</v>
      </c>
      <c r="AD1168" s="16" t="n">
        <v>45044</v>
      </c>
      <c r="AE1168" s="6" t="s">
        <v>11544</v>
      </c>
      <c r="AF1168" s="6" t="s">
        <v>104</v>
      </c>
      <c r="AG1168" s="6" t="s">
        <v>104</v>
      </c>
      <c r="AH1168" s="6" t="s">
        <v>14222</v>
      </c>
      <c r="AI1168" s="6" t="s">
        <v>104</v>
      </c>
      <c r="AJ1168" s="6" t="s">
        <v>16122</v>
      </c>
      <c r="AK1168" s="6" t="s">
        <v>16691</v>
      </c>
      <c r="AL1168" s="6" t="s">
        <v>16935</v>
      </c>
      <c r="AM1168" s="6" t="s">
        <v>17772</v>
      </c>
      <c r="AN1168" s="6" t="s">
        <v>104</v>
      </c>
      <c r="AO1168" s="6" t="s">
        <v>104</v>
      </c>
      <c r="AP1168" s="6" t="s">
        <v>19247</v>
      </c>
      <c r="AQ1168" s="6" t="s">
        <v>104</v>
      </c>
      <c r="AR1168" s="6" t="s">
        <v>15897</v>
      </c>
      <c r="AS1168" s="6" t="s">
        <v>104</v>
      </c>
      <c r="AT1168" s="6" t="s">
        <v>16935</v>
      </c>
      <c r="AU1168" s="6" t="s">
        <v>17531</v>
      </c>
      <c r="AV1168" s="6" t="s">
        <v>104</v>
      </c>
      <c r="AW1168" s="6" t="s">
        <v>104</v>
      </c>
      <c r="AX1168" s="6" t="s">
        <v>20371</v>
      </c>
      <c r="AY1168" s="6" t="s">
        <v>22120</v>
      </c>
      <c r="AZ1168" s="6" t="s">
        <v>104</v>
      </c>
      <c r="BA1168" s="6" t="s">
        <v>24264</v>
      </c>
      <c r="BB1168" s="6" t="s">
        <v>104</v>
      </c>
      <c r="BC1168" s="26"/>
      <c r="BD1168" s="26"/>
      <c r="BE1168" s="26"/>
      <c r="BF1168" s="26"/>
      <c r="BG1168" s="26"/>
      <c r="BH1168" s="26"/>
      <c r="BI1168" s="26"/>
      <c r="BJ1168" s="26"/>
      <c r="BK1168" s="26"/>
      <c r="BL1168" s="26"/>
      <c r="BM1168" s="26"/>
      <c r="BN1168" s="26"/>
      <c r="BO1168" s="26"/>
      <c r="BP1168" s="16" t="n">
        <v>45474</v>
      </c>
      <c r="BQ1168" s="28" t="str">
        <f>HYPERLINK("https://organic.ams.usda.gov/Integrity/Certificate.aspx?cid=66&amp;nopid=5500004682")</f>
        <v>https://organic.ams.usda.gov/Integrity/Certificate.aspx?cid=66&amp;nopid=5500004682</v>
      </c>
    </row>
    <row r="1169">
      <c r="A1169" t="s">
        <v>3</v>
      </c>
      <c r="B1169" s="6" t="s">
        <v>34</v>
      </c>
      <c r="C1169" s="6" t="s">
        <v>100</v>
      </c>
      <c r="D1169" s="6" t="s">
        <v>165</v>
      </c>
      <c r="E1169" s="10" t="s">
        <v>1367</v>
      </c>
      <c r="F1169" s="6" t="s">
        <v>3611</v>
      </c>
      <c r="G1169" s="6" t="s">
        <v>104</v>
      </c>
      <c r="H1169" s="6" t="s">
        <v>5958</v>
      </c>
      <c r="I1169" s="6" t="s">
        <v>7238</v>
      </c>
      <c r="J1169" s="6" t="s">
        <v>9011</v>
      </c>
      <c r="K1169" s="6" t="s">
        <v>9714</v>
      </c>
      <c r="L1169" s="16" t="n">
        <v>43838</v>
      </c>
      <c r="M1169" s="16" t="n">
        <v>45539</v>
      </c>
      <c r="N1169" s="6" t="s">
        <v>104</v>
      </c>
      <c r="O1169" s="21" t="s">
        <v>104</v>
      </c>
      <c r="P1169" s="6" t="s">
        <v>104</v>
      </c>
      <c r="Q1169" s="6" t="s">
        <v>104</v>
      </c>
      <c r="R1169" s="6" t="s">
        <v>104</v>
      </c>
      <c r="S1169" s="6" t="s">
        <v>104</v>
      </c>
      <c r="T1169" s="21" t="s">
        <v>104</v>
      </c>
      <c r="U1169" s="6" t="s">
        <v>104</v>
      </c>
      <c r="V1169" s="6" t="s">
        <v>104</v>
      </c>
      <c r="W1169" s="6" t="s">
        <v>104</v>
      </c>
      <c r="X1169" s="6" t="s">
        <v>104</v>
      </c>
      <c r="Y1169" s="21" t="s">
        <v>104</v>
      </c>
      <c r="Z1169" s="6" t="s">
        <v>104</v>
      </c>
      <c r="AA1169" s="6" t="s">
        <v>104</v>
      </c>
      <c r="AB1169" s="6" t="s">
        <v>104</v>
      </c>
      <c r="AC1169" s="6" t="s">
        <v>9714</v>
      </c>
      <c r="AD1169" s="16" t="n">
        <v>43838</v>
      </c>
      <c r="AE1169" s="6" t="s">
        <v>11545</v>
      </c>
      <c r="AF1169" s="6" t="s">
        <v>104</v>
      </c>
      <c r="AG1169" s="6" t="s">
        <v>12851</v>
      </c>
      <c r="AH1169" s="6" t="s">
        <v>14223</v>
      </c>
      <c r="AI1169" s="6" t="s">
        <v>104</v>
      </c>
      <c r="AJ1169" s="6" t="s">
        <v>16123</v>
      </c>
      <c r="AK1169" s="6" t="s">
        <v>16687</v>
      </c>
      <c r="AL1169" s="6" t="s">
        <v>16931</v>
      </c>
      <c r="AM1169" s="6" t="s">
        <v>17773</v>
      </c>
      <c r="AN1169" s="6" t="s">
        <v>18471</v>
      </c>
      <c r="AO1169" s="6" t="s">
        <v>18579</v>
      </c>
      <c r="AP1169" s="6" t="s">
        <v>19248</v>
      </c>
      <c r="AQ1169" s="6" t="s">
        <v>15258</v>
      </c>
      <c r="AR1169" s="6" t="s">
        <v>19700</v>
      </c>
      <c r="AS1169" s="6" t="s">
        <v>16678</v>
      </c>
      <c r="AT1169" s="6" t="s">
        <v>16931</v>
      </c>
      <c r="AU1169" s="6" t="s">
        <v>19942</v>
      </c>
      <c r="AV1169" s="6" t="s">
        <v>104</v>
      </c>
      <c r="AW1169" s="6" t="s">
        <v>104</v>
      </c>
      <c r="AX1169" s="6" t="s">
        <v>20259</v>
      </c>
      <c r="AY1169" s="6" t="s">
        <v>22827</v>
      </c>
      <c r="AZ1169" s="6" t="s">
        <v>104</v>
      </c>
      <c r="BA1169" s="6" t="s">
        <v>104</v>
      </c>
      <c r="BB1169" s="6" t="s">
        <v>104</v>
      </c>
      <c r="BC1169" s="26"/>
      <c r="BD1169" s="26"/>
      <c r="BE1169" s="26"/>
      <c r="BF1169" s="26"/>
      <c r="BG1169" s="26"/>
      <c r="BH1169" s="26"/>
      <c r="BI1169" s="26"/>
      <c r="BJ1169" s="26"/>
      <c r="BK1169" s="26"/>
      <c r="BL1169" s="26"/>
      <c r="BM1169" s="26"/>
      <c r="BN1169" s="26"/>
      <c r="BO1169" s="26"/>
      <c r="BP1169" s="16" t="n">
        <v>45737</v>
      </c>
      <c r="BQ1169" s="28" t="str">
        <f>HYPERLINK("https://organic.ams.usda.gov/Integrity/Certificate.aspx?cid=71&amp;nopid=5520029743")</f>
        <v>https://organic.ams.usda.gov/Integrity/Certificate.aspx?cid=71&amp;nopid=5520029743</v>
      </c>
    </row>
    <row r="1170">
      <c r="A1170" t="s">
        <v>3</v>
      </c>
      <c r="B1170" s="6" t="s">
        <v>25</v>
      </c>
      <c r="C1170" s="6" t="s">
        <v>91</v>
      </c>
      <c r="D1170" s="6" t="s">
        <v>156</v>
      </c>
      <c r="E1170" s="10" t="s">
        <v>1368</v>
      </c>
      <c r="F1170" s="6" t="s">
        <v>3612</v>
      </c>
      <c r="G1170" s="6" t="s">
        <v>4780</v>
      </c>
      <c r="H1170" s="6" t="s">
        <v>5959</v>
      </c>
      <c r="I1170" s="6" t="s">
        <v>6939</v>
      </c>
      <c r="J1170" s="6" t="s">
        <v>8151</v>
      </c>
      <c r="K1170" s="6" t="s">
        <v>9714</v>
      </c>
      <c r="L1170" s="16" t="n">
        <v>43536</v>
      </c>
      <c r="M1170" s="16" t="n">
        <v>45719</v>
      </c>
      <c r="N1170" s="6" t="s">
        <v>104</v>
      </c>
      <c r="O1170" s="21" t="s">
        <v>104</v>
      </c>
      <c r="P1170" s="6" t="s">
        <v>104</v>
      </c>
      <c r="Q1170" s="6" t="s">
        <v>104</v>
      </c>
      <c r="R1170" s="6" t="s">
        <v>104</v>
      </c>
      <c r="S1170" s="6" t="s">
        <v>104</v>
      </c>
      <c r="T1170" s="21" t="s">
        <v>104</v>
      </c>
      <c r="U1170" s="6" t="s">
        <v>104</v>
      </c>
      <c r="V1170" s="6" t="s">
        <v>104</v>
      </c>
      <c r="W1170" s="6" t="s">
        <v>104</v>
      </c>
      <c r="X1170" s="6" t="s">
        <v>104</v>
      </c>
      <c r="Y1170" s="21" t="s">
        <v>104</v>
      </c>
      <c r="Z1170" s="6" t="s">
        <v>104</v>
      </c>
      <c r="AA1170" s="6" t="s">
        <v>104</v>
      </c>
      <c r="AB1170" s="6" t="s">
        <v>104</v>
      </c>
      <c r="AC1170" s="6" t="s">
        <v>9714</v>
      </c>
      <c r="AD1170" s="16" t="n">
        <v>43536</v>
      </c>
      <c r="AE1170" s="6" t="s">
        <v>11546</v>
      </c>
      <c r="AF1170" s="6" t="s">
        <v>104</v>
      </c>
      <c r="AG1170" s="6" t="s">
        <v>104</v>
      </c>
      <c r="AH1170" s="6" t="s">
        <v>14224</v>
      </c>
      <c r="AI1170" s="6" t="s">
        <v>104</v>
      </c>
      <c r="AJ1170" s="6" t="s">
        <v>16124</v>
      </c>
      <c r="AK1170" s="6" t="s">
        <v>16691</v>
      </c>
      <c r="AL1170" s="6" t="s">
        <v>16935</v>
      </c>
      <c r="AM1170" s="6" t="s">
        <v>5060</v>
      </c>
      <c r="AN1170" s="6" t="s">
        <v>104</v>
      </c>
      <c r="AO1170" s="6" t="s">
        <v>104</v>
      </c>
      <c r="AP1170" s="6" t="s">
        <v>19249</v>
      </c>
      <c r="AQ1170" s="6" t="s">
        <v>104</v>
      </c>
      <c r="AR1170" s="6" t="s">
        <v>16124</v>
      </c>
      <c r="AS1170" s="6" t="s">
        <v>16691</v>
      </c>
      <c r="AT1170" s="6" t="s">
        <v>16935</v>
      </c>
      <c r="AU1170" s="6" t="s">
        <v>5060</v>
      </c>
      <c r="AV1170" s="6" t="s">
        <v>104</v>
      </c>
      <c r="AW1170" s="6" t="s">
        <v>104</v>
      </c>
      <c r="AX1170" s="6" t="s">
        <v>20137</v>
      </c>
      <c r="AY1170" s="6" t="s">
        <v>21875</v>
      </c>
      <c r="AZ1170" s="6" t="s">
        <v>104</v>
      </c>
      <c r="BA1170" s="6" t="s">
        <v>24264</v>
      </c>
      <c r="BB1170" s="6" t="s">
        <v>104</v>
      </c>
      <c r="BC1170" s="26"/>
      <c r="BD1170" s="26"/>
      <c r="BE1170" s="26"/>
      <c r="BF1170" s="26"/>
      <c r="BG1170" s="26"/>
      <c r="BH1170" s="26"/>
      <c r="BI1170" s="26"/>
      <c r="BJ1170" s="26"/>
      <c r="BK1170" s="26"/>
      <c r="BL1170" s="26"/>
      <c r="BM1170" s="26"/>
      <c r="BN1170" s="26"/>
      <c r="BO1170" s="26"/>
      <c r="BP1170" s="16" t="n">
        <v>45656</v>
      </c>
      <c r="BQ1170" s="28" t="str">
        <f>HYPERLINK("https://organic.ams.usda.gov/Integrity/Certificate.aspx?cid=66&amp;nopid=5500006020")</f>
        <v>https://organic.ams.usda.gov/Integrity/Certificate.aspx?cid=66&amp;nopid=5500006020</v>
      </c>
    </row>
    <row r="1171">
      <c r="A1171" t="s">
        <v>3</v>
      </c>
      <c r="B1171" s="6" t="s">
        <v>25</v>
      </c>
      <c r="C1171" s="6" t="s">
        <v>91</v>
      </c>
      <c r="D1171" s="6" t="s">
        <v>156</v>
      </c>
      <c r="E1171" s="10" t="s">
        <v>1369</v>
      </c>
      <c r="F1171" s="6" t="s">
        <v>3612</v>
      </c>
      <c r="G1171" s="6" t="s">
        <v>104</v>
      </c>
      <c r="H1171" s="6" t="s">
        <v>5960</v>
      </c>
      <c r="I1171" s="6" t="s">
        <v>6939</v>
      </c>
      <c r="J1171" s="6" t="s">
        <v>8151</v>
      </c>
      <c r="K1171" s="6" t="s">
        <v>9714</v>
      </c>
      <c r="L1171" s="16" t="n">
        <v>44329</v>
      </c>
      <c r="M1171" s="16" t="n">
        <v>45719</v>
      </c>
      <c r="N1171" s="6" t="s">
        <v>104</v>
      </c>
      <c r="O1171" s="21" t="s">
        <v>104</v>
      </c>
      <c r="P1171" s="6" t="s">
        <v>104</v>
      </c>
      <c r="Q1171" s="6" t="s">
        <v>104</v>
      </c>
      <c r="R1171" s="6" t="s">
        <v>104</v>
      </c>
      <c r="S1171" s="6" t="s">
        <v>104</v>
      </c>
      <c r="T1171" s="21" t="s">
        <v>104</v>
      </c>
      <c r="U1171" s="6" t="s">
        <v>104</v>
      </c>
      <c r="V1171" s="6" t="s">
        <v>104</v>
      </c>
      <c r="W1171" s="6" t="s">
        <v>104</v>
      </c>
      <c r="X1171" s="6" t="s">
        <v>104</v>
      </c>
      <c r="Y1171" s="21" t="s">
        <v>104</v>
      </c>
      <c r="Z1171" s="6" t="s">
        <v>104</v>
      </c>
      <c r="AA1171" s="6" t="s">
        <v>104</v>
      </c>
      <c r="AB1171" s="6" t="s">
        <v>104</v>
      </c>
      <c r="AC1171" s="6" t="s">
        <v>9714</v>
      </c>
      <c r="AD1171" s="16" t="n">
        <v>44329</v>
      </c>
      <c r="AE1171" s="6" t="s">
        <v>11546</v>
      </c>
      <c r="AF1171" s="6" t="s">
        <v>104</v>
      </c>
      <c r="AG1171" s="6" t="s">
        <v>104</v>
      </c>
      <c r="AH1171" s="6" t="s">
        <v>14225</v>
      </c>
      <c r="AI1171" s="6" t="s">
        <v>104</v>
      </c>
      <c r="AJ1171" s="6" t="s">
        <v>15379</v>
      </c>
      <c r="AK1171" s="6" t="s">
        <v>16691</v>
      </c>
      <c r="AL1171" s="6" t="s">
        <v>16935</v>
      </c>
      <c r="AM1171" s="6" t="s">
        <v>17774</v>
      </c>
      <c r="AN1171" s="6" t="s">
        <v>104</v>
      </c>
      <c r="AO1171" s="6" t="s">
        <v>104</v>
      </c>
      <c r="AP1171" s="6" t="s">
        <v>19249</v>
      </c>
      <c r="AQ1171" s="6" t="s">
        <v>104</v>
      </c>
      <c r="AR1171" s="6" t="s">
        <v>16124</v>
      </c>
      <c r="AS1171" s="6" t="s">
        <v>16691</v>
      </c>
      <c r="AT1171" s="6" t="s">
        <v>16935</v>
      </c>
      <c r="AU1171" s="6" t="s">
        <v>5060</v>
      </c>
      <c r="AV1171" s="6" t="s">
        <v>104</v>
      </c>
      <c r="AW1171" s="6" t="s">
        <v>104</v>
      </c>
      <c r="AX1171" s="6" t="s">
        <v>20137</v>
      </c>
      <c r="AY1171" s="6" t="s">
        <v>21875</v>
      </c>
      <c r="AZ1171" s="6" t="s">
        <v>104</v>
      </c>
      <c r="BA1171" s="6" t="s">
        <v>24264</v>
      </c>
      <c r="BB1171" s="6" t="s">
        <v>104</v>
      </c>
      <c r="BC1171" s="26"/>
      <c r="BD1171" s="26"/>
      <c r="BE1171" s="26"/>
      <c r="BF1171" s="26"/>
      <c r="BG1171" s="26"/>
      <c r="BH1171" s="26"/>
      <c r="BI1171" s="26"/>
      <c r="BJ1171" s="26"/>
      <c r="BK1171" s="26"/>
      <c r="BL1171" s="26"/>
      <c r="BM1171" s="26"/>
      <c r="BN1171" s="26"/>
      <c r="BO1171" s="26"/>
      <c r="BP1171" s="16" t="n">
        <v>45663</v>
      </c>
      <c r="BQ1171" s="28" t="str">
        <f>HYPERLINK("https://organic.ams.usda.gov/Integrity/Certificate.aspx?cid=66&amp;nopid=5500006486")</f>
        <v>https://organic.ams.usda.gov/Integrity/Certificate.aspx?cid=66&amp;nopid=5500006486</v>
      </c>
    </row>
    <row r="1172">
      <c r="A1172" t="s">
        <v>3</v>
      </c>
      <c r="B1172" s="6" t="s">
        <v>35</v>
      </c>
      <c r="C1172" s="6" t="s">
        <v>101</v>
      </c>
      <c r="D1172" s="6" t="s">
        <v>166</v>
      </c>
      <c r="E1172" s="10" t="s">
        <v>1370</v>
      </c>
      <c r="F1172" s="6" t="s">
        <v>3613</v>
      </c>
      <c r="G1172" s="6" t="s">
        <v>104</v>
      </c>
      <c r="H1172" s="6" t="s">
        <v>5961</v>
      </c>
      <c r="I1172" s="6" t="s">
        <v>7639</v>
      </c>
      <c r="J1172" s="6" t="s">
        <v>9012</v>
      </c>
      <c r="K1172" s="6" t="s">
        <v>9714</v>
      </c>
      <c r="L1172" s="16" t="n">
        <v>45664</v>
      </c>
      <c r="M1172" s="16" t="n">
        <v>46081</v>
      </c>
      <c r="N1172" s="6" t="s">
        <v>104</v>
      </c>
      <c r="O1172" s="21" t="s">
        <v>104</v>
      </c>
      <c r="P1172" s="6" t="s">
        <v>104</v>
      </c>
      <c r="Q1172" s="6" t="s">
        <v>104</v>
      </c>
      <c r="R1172" s="6" t="s">
        <v>104</v>
      </c>
      <c r="S1172" s="6" t="s">
        <v>104</v>
      </c>
      <c r="T1172" s="21" t="s">
        <v>104</v>
      </c>
      <c r="U1172" s="6" t="s">
        <v>104</v>
      </c>
      <c r="V1172" s="6" t="s">
        <v>104</v>
      </c>
      <c r="W1172" s="6" t="s">
        <v>104</v>
      </c>
      <c r="X1172" s="6" t="s">
        <v>104</v>
      </c>
      <c r="Y1172" s="21" t="s">
        <v>104</v>
      </c>
      <c r="Z1172" s="6" t="s">
        <v>104</v>
      </c>
      <c r="AA1172" s="6" t="s">
        <v>104</v>
      </c>
      <c r="AB1172" s="6" t="s">
        <v>104</v>
      </c>
      <c r="AC1172" s="6" t="s">
        <v>9714</v>
      </c>
      <c r="AD1172" s="16" t="n">
        <v>45664</v>
      </c>
      <c r="AE1172" s="6" t="s">
        <v>11547</v>
      </c>
      <c r="AF1172" s="6" t="s">
        <v>104</v>
      </c>
      <c r="AG1172" s="6" t="s">
        <v>104</v>
      </c>
      <c r="AH1172" s="6" t="s">
        <v>14226</v>
      </c>
      <c r="AI1172" s="6" t="s">
        <v>104</v>
      </c>
      <c r="AJ1172" s="6" t="s">
        <v>16125</v>
      </c>
      <c r="AK1172" s="6" t="s">
        <v>16856</v>
      </c>
      <c r="AL1172" s="6" t="s">
        <v>16942</v>
      </c>
      <c r="AM1172" s="6" t="s">
        <v>17775</v>
      </c>
      <c r="AN1172" s="6" t="s">
        <v>104</v>
      </c>
      <c r="AO1172" s="6" t="s">
        <v>104</v>
      </c>
      <c r="AP1172" s="6" t="s">
        <v>19250</v>
      </c>
      <c r="AQ1172" s="6" t="s">
        <v>104</v>
      </c>
      <c r="AR1172" s="6" t="s">
        <v>19701</v>
      </c>
      <c r="AS1172" s="6" t="s">
        <v>19790</v>
      </c>
      <c r="AT1172" s="6" t="s">
        <v>16942</v>
      </c>
      <c r="AU1172" s="6" t="s">
        <v>19943</v>
      </c>
      <c r="AV1172" s="6" t="s">
        <v>104</v>
      </c>
      <c r="AW1172" s="6" t="s">
        <v>104</v>
      </c>
      <c r="AX1172" s="6" t="s">
        <v>21031</v>
      </c>
      <c r="AY1172" s="6" t="s">
        <v>22828</v>
      </c>
      <c r="AZ1172" s="6" t="s">
        <v>104</v>
      </c>
      <c r="BA1172" s="6" t="s">
        <v>104</v>
      </c>
      <c r="BB1172" s="6" t="s">
        <v>104</v>
      </c>
      <c r="BC1172" s="26"/>
      <c r="BD1172" s="26"/>
      <c r="BE1172" s="26"/>
      <c r="BF1172" s="26"/>
      <c r="BG1172" s="26"/>
      <c r="BH1172" s="26"/>
      <c r="BI1172" s="26"/>
      <c r="BJ1172" s="26"/>
      <c r="BK1172" s="26"/>
      <c r="BL1172" s="26"/>
      <c r="BM1172" s="26"/>
      <c r="BN1172" s="26"/>
      <c r="BO1172" s="26"/>
      <c r="BP1172" s="16" t="n">
        <v>45723</v>
      </c>
      <c r="BQ1172" s="28" t="str">
        <f>HYPERLINK("https://organic.ams.usda.gov/Integrity/Certificate.aspx?cid=84&amp;nopid=5380000059")</f>
        <v>https://organic.ams.usda.gov/Integrity/Certificate.aspx?cid=84&amp;nopid=5380000059</v>
      </c>
    </row>
    <row r="1173">
      <c r="A1173" t="s">
        <v>3</v>
      </c>
      <c r="B1173" s="6" t="s">
        <v>29</v>
      </c>
      <c r="C1173" s="6" t="s">
        <v>95</v>
      </c>
      <c r="D1173" s="6" t="s">
        <v>160</v>
      </c>
      <c r="E1173" s="10" t="s">
        <v>1371</v>
      </c>
      <c r="F1173" s="6" t="s">
        <v>3614</v>
      </c>
      <c r="G1173" s="6" t="s">
        <v>104</v>
      </c>
      <c r="H1173" s="6" t="s">
        <v>5962</v>
      </c>
      <c r="I1173" s="6" t="s">
        <v>104</v>
      </c>
      <c r="J1173" s="6" t="s">
        <v>9013</v>
      </c>
      <c r="K1173" s="6" t="s">
        <v>9714</v>
      </c>
      <c r="L1173" s="16" t="n">
        <v>45099</v>
      </c>
      <c r="M1173" s="16" t="n">
        <v>45778</v>
      </c>
      <c r="N1173" s="6" t="s">
        <v>104</v>
      </c>
      <c r="O1173" s="21" t="s">
        <v>104</v>
      </c>
      <c r="P1173" s="6" t="s">
        <v>104</v>
      </c>
      <c r="Q1173" s="6" t="s">
        <v>104</v>
      </c>
      <c r="R1173" s="6" t="s">
        <v>104</v>
      </c>
      <c r="S1173" s="6" t="s">
        <v>104</v>
      </c>
      <c r="T1173" s="21" t="s">
        <v>104</v>
      </c>
      <c r="U1173" s="6" t="s">
        <v>104</v>
      </c>
      <c r="V1173" s="6" t="s">
        <v>104</v>
      </c>
      <c r="W1173" s="6" t="s">
        <v>104</v>
      </c>
      <c r="X1173" s="6" t="s">
        <v>9714</v>
      </c>
      <c r="Y1173" s="16" t="n">
        <v>45099</v>
      </c>
      <c r="Z1173" s="6" t="s">
        <v>10517</v>
      </c>
      <c r="AA1173" s="6" t="s">
        <v>104</v>
      </c>
      <c r="AB1173" s="6" t="s">
        <v>104</v>
      </c>
      <c r="AC1173" s="6" t="s">
        <v>9714</v>
      </c>
      <c r="AD1173" s="16" t="n">
        <v>45099</v>
      </c>
      <c r="AE1173" s="6" t="s">
        <v>11548</v>
      </c>
      <c r="AF1173" s="6" t="s">
        <v>104</v>
      </c>
      <c r="AG1173" s="6" t="s">
        <v>104</v>
      </c>
      <c r="AH1173" s="6" t="s">
        <v>14227</v>
      </c>
      <c r="AI1173" s="6" t="s">
        <v>104</v>
      </c>
      <c r="AJ1173" s="6" t="s">
        <v>15467</v>
      </c>
      <c r="AK1173" s="6" t="s">
        <v>16721</v>
      </c>
      <c r="AL1173" s="6" t="s">
        <v>16947</v>
      </c>
      <c r="AM1173" s="6" t="s">
        <v>104</v>
      </c>
      <c r="AN1173" s="6" t="s">
        <v>104</v>
      </c>
      <c r="AO1173" s="6" t="s">
        <v>104</v>
      </c>
      <c r="AP1173" s="6" t="s">
        <v>104</v>
      </c>
      <c r="AQ1173" s="6" t="s">
        <v>104</v>
      </c>
      <c r="AR1173" s="6" t="s">
        <v>104</v>
      </c>
      <c r="AS1173" s="6" t="s">
        <v>104</v>
      </c>
      <c r="AT1173" s="6" t="s">
        <v>104</v>
      </c>
      <c r="AU1173" s="6" t="s">
        <v>104</v>
      </c>
      <c r="AV1173" s="6" t="s">
        <v>104</v>
      </c>
      <c r="AW1173" s="6" t="s">
        <v>104</v>
      </c>
      <c r="AX1173" s="6" t="s">
        <v>21032</v>
      </c>
      <c r="AY1173" s="6" t="s">
        <v>22829</v>
      </c>
      <c r="AZ1173" s="6" t="s">
        <v>104</v>
      </c>
      <c r="BA1173" s="6" t="s">
        <v>104</v>
      </c>
      <c r="BB1173" s="24" t="n">
        <v>494</v>
      </c>
      <c r="BC1173" s="26"/>
      <c r="BD1173" s="26"/>
      <c r="BE1173" s="26"/>
      <c r="BF1173" s="26"/>
      <c r="BG1173" s="26"/>
      <c r="BH1173" s="26"/>
      <c r="BI1173" s="26"/>
      <c r="BJ1173" s="26"/>
      <c r="BK1173" s="26"/>
      <c r="BL1173" s="26"/>
      <c r="BM1173" s="26"/>
      <c r="BN1173" s="26"/>
      <c r="BO1173" s="26"/>
      <c r="BP1173" s="16" t="n">
        <v>45562</v>
      </c>
      <c r="BQ1173" s="28" t="str">
        <f>HYPERLINK("https://organic.ams.usda.gov/Integrity/Certificate.aspx?cid=24&amp;nopid=7882790060")</f>
        <v>https://organic.ams.usda.gov/Integrity/Certificate.aspx?cid=24&amp;nopid=7882790060</v>
      </c>
    </row>
    <row r="1174">
      <c r="A1174" t="s">
        <v>3</v>
      </c>
      <c r="B1174" s="6" t="s">
        <v>41</v>
      </c>
      <c r="C1174" s="6" t="s">
        <v>107</v>
      </c>
      <c r="D1174" s="6" t="s">
        <v>171</v>
      </c>
      <c r="E1174" s="10" t="s">
        <v>1372</v>
      </c>
      <c r="F1174" s="6" t="s">
        <v>3615</v>
      </c>
      <c r="G1174" s="6" t="s">
        <v>4781</v>
      </c>
      <c r="H1174" s="6" t="s">
        <v>5963</v>
      </c>
      <c r="I1174" s="6" t="s">
        <v>7640</v>
      </c>
      <c r="J1174" s="6" t="s">
        <v>9014</v>
      </c>
      <c r="K1174" s="6" t="s">
        <v>9714</v>
      </c>
      <c r="L1174" s="16" t="n">
        <v>39392</v>
      </c>
      <c r="M1174" s="16" t="n">
        <v>45792</v>
      </c>
      <c r="N1174" s="6" t="s">
        <v>9714</v>
      </c>
      <c r="O1174" s="16" t="n">
        <v>39392</v>
      </c>
      <c r="P1174" s="6" t="s">
        <v>10055</v>
      </c>
      <c r="Q1174" s="6" t="s">
        <v>104</v>
      </c>
      <c r="R1174" s="6" t="s">
        <v>104</v>
      </c>
      <c r="S1174" s="6" t="s">
        <v>9714</v>
      </c>
      <c r="T1174" s="16" t="n">
        <v>39392</v>
      </c>
      <c r="U1174" s="6" t="s">
        <v>10492</v>
      </c>
      <c r="V1174" s="6" t="s">
        <v>104</v>
      </c>
      <c r="W1174" s="6" t="s">
        <v>104</v>
      </c>
      <c r="X1174" s="6" t="s">
        <v>104</v>
      </c>
      <c r="Y1174" s="21" t="s">
        <v>104</v>
      </c>
      <c r="Z1174" s="6" t="s">
        <v>104</v>
      </c>
      <c r="AA1174" s="6" t="s">
        <v>104</v>
      </c>
      <c r="AB1174" s="6" t="s">
        <v>104</v>
      </c>
      <c r="AC1174" s="6" t="s">
        <v>9714</v>
      </c>
      <c r="AD1174" s="16" t="n">
        <v>39392</v>
      </c>
      <c r="AE1174" s="6" t="s">
        <v>11549</v>
      </c>
      <c r="AF1174" s="6" t="s">
        <v>104</v>
      </c>
      <c r="AG1174" s="6" t="s">
        <v>104</v>
      </c>
      <c r="AH1174" s="6" t="s">
        <v>14228</v>
      </c>
      <c r="AI1174" s="6" t="s">
        <v>104</v>
      </c>
      <c r="AJ1174" s="6" t="s">
        <v>16126</v>
      </c>
      <c r="AK1174" s="6" t="s">
        <v>16694</v>
      </c>
      <c r="AL1174" s="6" t="s">
        <v>16931</v>
      </c>
      <c r="AM1174" s="6" t="s">
        <v>17776</v>
      </c>
      <c r="AN1174" s="6" t="s">
        <v>18467</v>
      </c>
      <c r="AO1174" s="6" t="s">
        <v>18798</v>
      </c>
      <c r="AP1174" s="6" t="s">
        <v>14228</v>
      </c>
      <c r="AQ1174" s="6" t="s">
        <v>104</v>
      </c>
      <c r="AR1174" s="6" t="s">
        <v>16126</v>
      </c>
      <c r="AS1174" s="6" t="s">
        <v>16694</v>
      </c>
      <c r="AT1174" s="6" t="s">
        <v>16931</v>
      </c>
      <c r="AU1174" s="6" t="s">
        <v>17776</v>
      </c>
      <c r="AV1174" s="6" t="s">
        <v>104</v>
      </c>
      <c r="AW1174" s="6" t="s">
        <v>104</v>
      </c>
      <c r="AX1174" s="6" t="s">
        <v>21033</v>
      </c>
      <c r="AY1174" s="6" t="s">
        <v>22830</v>
      </c>
      <c r="AZ1174" s="6" t="s">
        <v>104</v>
      </c>
      <c r="BA1174" s="6" t="s">
        <v>104</v>
      </c>
      <c r="BB1174" s="24" t="n">
        <v>2750</v>
      </c>
      <c r="BC1174" s="26"/>
      <c r="BD1174" s="26"/>
      <c r="BE1174" s="26"/>
      <c r="BF1174" s="26"/>
      <c r="BG1174" s="26"/>
      <c r="BH1174" s="26"/>
      <c r="BI1174" s="26"/>
      <c r="BJ1174" s="26"/>
      <c r="BK1174" s="26" t="s">
        <v>24533</v>
      </c>
      <c r="BL1174" s="26"/>
      <c r="BM1174" s="26"/>
      <c r="BN1174" s="26"/>
      <c r="BO1174" s="26"/>
      <c r="BP1174" s="16" t="n">
        <v>45737</v>
      </c>
      <c r="BQ1174" s="28" t="str">
        <f>HYPERLINK("https://organic.ams.usda.gov/Integrity/Certificate.aspx?cid=58&amp;nopid=1600001370")</f>
        <v>https://organic.ams.usda.gov/Integrity/Certificate.aspx?cid=58&amp;nopid=1600001370</v>
      </c>
    </row>
    <row r="1175">
      <c r="A1175" t="s">
        <v>3</v>
      </c>
      <c r="B1175" s="6" t="s">
        <v>44</v>
      </c>
      <c r="C1175" s="6" t="s">
        <v>110</v>
      </c>
      <c r="D1175" s="6" t="s">
        <v>174</v>
      </c>
      <c r="E1175" s="10" t="s">
        <v>1373</v>
      </c>
      <c r="F1175" s="6" t="s">
        <v>3616</v>
      </c>
      <c r="G1175" s="6" t="s">
        <v>104</v>
      </c>
      <c r="H1175" s="6" t="s">
        <v>5964</v>
      </c>
      <c r="I1175" s="6" t="s">
        <v>7641</v>
      </c>
      <c r="J1175" s="6" t="s">
        <v>8990</v>
      </c>
      <c r="K1175" s="6" t="s">
        <v>9714</v>
      </c>
      <c r="L1175" s="16" t="n">
        <v>37887</v>
      </c>
      <c r="M1175" s="16" t="n">
        <v>45672</v>
      </c>
      <c r="N1175" s="6" t="s">
        <v>104</v>
      </c>
      <c r="O1175" s="21" t="s">
        <v>104</v>
      </c>
      <c r="P1175" s="6" t="s">
        <v>104</v>
      </c>
      <c r="Q1175" s="6" t="s">
        <v>104</v>
      </c>
      <c r="R1175" s="6" t="s">
        <v>104</v>
      </c>
      <c r="S1175" s="6" t="s">
        <v>104</v>
      </c>
      <c r="T1175" s="21" t="s">
        <v>104</v>
      </c>
      <c r="U1175" s="6" t="s">
        <v>104</v>
      </c>
      <c r="V1175" s="6" t="s">
        <v>104</v>
      </c>
      <c r="W1175" s="6" t="s">
        <v>104</v>
      </c>
      <c r="X1175" s="6" t="s">
        <v>104</v>
      </c>
      <c r="Y1175" s="21" t="s">
        <v>104</v>
      </c>
      <c r="Z1175" s="6" t="s">
        <v>104</v>
      </c>
      <c r="AA1175" s="6" t="s">
        <v>104</v>
      </c>
      <c r="AB1175" s="6" t="s">
        <v>104</v>
      </c>
      <c r="AC1175" s="6" t="s">
        <v>9714</v>
      </c>
      <c r="AD1175" s="16" t="n">
        <v>37887</v>
      </c>
      <c r="AE1175" s="6" t="s">
        <v>11550</v>
      </c>
      <c r="AF1175" s="6" t="s">
        <v>104</v>
      </c>
      <c r="AG1175" s="6" t="s">
        <v>104</v>
      </c>
      <c r="AH1175" s="6" t="s">
        <v>14229</v>
      </c>
      <c r="AI1175" s="6" t="s">
        <v>104</v>
      </c>
      <c r="AJ1175" s="6" t="s">
        <v>15667</v>
      </c>
      <c r="AK1175" s="6" t="s">
        <v>15697</v>
      </c>
      <c r="AL1175" s="6" t="s">
        <v>16931</v>
      </c>
      <c r="AM1175" s="6" t="s">
        <v>17285</v>
      </c>
      <c r="AN1175" s="6" t="s">
        <v>18491</v>
      </c>
      <c r="AO1175" s="6" t="s">
        <v>18659</v>
      </c>
      <c r="AP1175" s="6" t="s">
        <v>14229</v>
      </c>
      <c r="AQ1175" s="6" t="s">
        <v>104</v>
      </c>
      <c r="AR1175" s="6" t="s">
        <v>15667</v>
      </c>
      <c r="AS1175" s="6" t="s">
        <v>15697</v>
      </c>
      <c r="AT1175" s="6" t="s">
        <v>16931</v>
      </c>
      <c r="AU1175" s="6" t="s">
        <v>17285</v>
      </c>
      <c r="AV1175" s="6" t="s">
        <v>104</v>
      </c>
      <c r="AW1175" s="6" t="s">
        <v>104</v>
      </c>
      <c r="AX1175" s="6" t="s">
        <v>21034</v>
      </c>
      <c r="AY1175" s="6" t="s">
        <v>22831</v>
      </c>
      <c r="AZ1175" s="6" t="s">
        <v>23983</v>
      </c>
      <c r="BA1175" s="6" t="s">
        <v>104</v>
      </c>
      <c r="BB1175" s="24" t="n">
        <v>0</v>
      </c>
      <c r="BC1175" s="26"/>
      <c r="BD1175" s="26"/>
      <c r="BE1175" s="26"/>
      <c r="BF1175" s="26"/>
      <c r="BG1175" s="26"/>
      <c r="BH1175" s="26"/>
      <c r="BI1175" s="26"/>
      <c r="BJ1175" s="26"/>
      <c r="BK1175" s="26"/>
      <c r="BL1175" s="26"/>
      <c r="BM1175" s="26"/>
      <c r="BN1175" s="26"/>
      <c r="BO1175" s="26"/>
      <c r="BP1175" s="16" t="n">
        <v>45695</v>
      </c>
      <c r="BQ1175" s="28" t="str">
        <f>HYPERLINK("https://organic.ams.usda.gov/Integrity/Certificate.aspx?cid=57&amp;nopid=3250200348")</f>
        <v>https://organic.ams.usda.gov/Integrity/Certificate.aspx?cid=57&amp;nopid=3250200348</v>
      </c>
    </row>
    <row r="1176">
      <c r="A1176" t="s">
        <v>3</v>
      </c>
      <c r="B1176" s="6" t="s">
        <v>25</v>
      </c>
      <c r="C1176" s="6" t="s">
        <v>91</v>
      </c>
      <c r="D1176" s="6" t="s">
        <v>156</v>
      </c>
      <c r="E1176" s="10" t="s">
        <v>1374</v>
      </c>
      <c r="F1176" s="6" t="s">
        <v>3617</v>
      </c>
      <c r="G1176" s="6" t="s">
        <v>104</v>
      </c>
      <c r="H1176" s="6" t="s">
        <v>5965</v>
      </c>
      <c r="I1176" s="6" t="s">
        <v>104</v>
      </c>
      <c r="J1176" s="6" t="s">
        <v>104</v>
      </c>
      <c r="K1176" s="6" t="s">
        <v>9714</v>
      </c>
      <c r="L1176" s="16" t="n">
        <v>42919</v>
      </c>
      <c r="M1176" s="16" t="n">
        <v>45605</v>
      </c>
      <c r="N1176" s="6" t="s">
        <v>104</v>
      </c>
      <c r="O1176" s="21" t="s">
        <v>104</v>
      </c>
      <c r="P1176" s="6" t="s">
        <v>104</v>
      </c>
      <c r="Q1176" s="6" t="s">
        <v>104</v>
      </c>
      <c r="R1176" s="6" t="s">
        <v>104</v>
      </c>
      <c r="S1176" s="6" t="s">
        <v>104</v>
      </c>
      <c r="T1176" s="21" t="s">
        <v>104</v>
      </c>
      <c r="U1176" s="6" t="s">
        <v>104</v>
      </c>
      <c r="V1176" s="6" t="s">
        <v>104</v>
      </c>
      <c r="W1176" s="6" t="s">
        <v>104</v>
      </c>
      <c r="X1176" s="6" t="s">
        <v>104</v>
      </c>
      <c r="Y1176" s="21" t="s">
        <v>104</v>
      </c>
      <c r="Z1176" s="6" t="s">
        <v>104</v>
      </c>
      <c r="AA1176" s="6" t="s">
        <v>104</v>
      </c>
      <c r="AB1176" s="6" t="s">
        <v>104</v>
      </c>
      <c r="AC1176" s="6" t="s">
        <v>9714</v>
      </c>
      <c r="AD1176" s="16" t="n">
        <v>42919</v>
      </c>
      <c r="AE1176" s="6" t="s">
        <v>11551</v>
      </c>
      <c r="AF1176" s="6" t="s">
        <v>104</v>
      </c>
      <c r="AG1176" s="6" t="s">
        <v>104</v>
      </c>
      <c r="AH1176" s="6" t="s">
        <v>14230</v>
      </c>
      <c r="AI1176" s="6" t="s">
        <v>104</v>
      </c>
      <c r="AJ1176" s="6" t="s">
        <v>9139</v>
      </c>
      <c r="AK1176" s="6" t="s">
        <v>16857</v>
      </c>
      <c r="AL1176" s="6" t="s">
        <v>16935</v>
      </c>
      <c r="AM1176" s="6" t="s">
        <v>17777</v>
      </c>
      <c r="AN1176" s="6" t="s">
        <v>104</v>
      </c>
      <c r="AO1176" s="6" t="s">
        <v>104</v>
      </c>
      <c r="AP1176" s="6" t="s">
        <v>19251</v>
      </c>
      <c r="AQ1176" s="6" t="s">
        <v>104</v>
      </c>
      <c r="AR1176" s="6" t="s">
        <v>19702</v>
      </c>
      <c r="AS1176" s="6" t="s">
        <v>16857</v>
      </c>
      <c r="AT1176" s="6" t="s">
        <v>16935</v>
      </c>
      <c r="AU1176" s="6" t="s">
        <v>104</v>
      </c>
      <c r="AV1176" s="6" t="s">
        <v>104</v>
      </c>
      <c r="AW1176" s="6" t="s">
        <v>104</v>
      </c>
      <c r="AX1176" s="6" t="s">
        <v>104</v>
      </c>
      <c r="AY1176" s="6" t="s">
        <v>104</v>
      </c>
      <c r="AZ1176" s="6" t="s">
        <v>104</v>
      </c>
      <c r="BA1176" s="6" t="s">
        <v>104</v>
      </c>
      <c r="BB1176" s="6" t="s">
        <v>104</v>
      </c>
      <c r="BC1176" s="26"/>
      <c r="BD1176" s="26"/>
      <c r="BE1176" s="26"/>
      <c r="BF1176" s="26"/>
      <c r="BG1176" s="26"/>
      <c r="BH1176" s="26"/>
      <c r="BI1176" s="26"/>
      <c r="BJ1176" s="26"/>
      <c r="BK1176" s="26"/>
      <c r="BL1176" s="26"/>
      <c r="BM1176" s="26"/>
      <c r="BN1176" s="26"/>
      <c r="BO1176" s="26"/>
      <c r="BP1176" s="16" t="n">
        <v>45377</v>
      </c>
      <c r="BQ1176" s="28" t="str">
        <f>HYPERLINK("https://organic.ams.usda.gov/Integrity/Certificate.aspx?cid=66&amp;nopid=5500005370")</f>
        <v>https://organic.ams.usda.gov/Integrity/Certificate.aspx?cid=66&amp;nopid=5500005370</v>
      </c>
    </row>
    <row r="1177">
      <c r="A1177" t="s">
        <v>3</v>
      </c>
      <c r="B1177" s="6" t="s">
        <v>18</v>
      </c>
      <c r="C1177" s="6" t="s">
        <v>84</v>
      </c>
      <c r="D1177" s="6" t="s">
        <v>149</v>
      </c>
      <c r="E1177" s="10" t="s">
        <v>1375</v>
      </c>
      <c r="F1177" s="6" t="s">
        <v>3618</v>
      </c>
      <c r="G1177" s="6" t="s">
        <v>4782</v>
      </c>
      <c r="H1177" s="6" t="s">
        <v>5966</v>
      </c>
      <c r="I1177" s="6" t="s">
        <v>7642</v>
      </c>
      <c r="J1177" s="6" t="s">
        <v>9015</v>
      </c>
      <c r="K1177" s="6" t="s">
        <v>9714</v>
      </c>
      <c r="L1177" s="16" t="n">
        <v>37811</v>
      </c>
      <c r="M1177" s="16" t="n">
        <v>45870</v>
      </c>
      <c r="N1177" s="6" t="s">
        <v>9714</v>
      </c>
      <c r="O1177" s="16" t="n">
        <v>37811</v>
      </c>
      <c r="P1177" s="6" t="s">
        <v>10056</v>
      </c>
      <c r="Q1177" s="6" t="s">
        <v>104</v>
      </c>
      <c r="R1177" s="6" t="s">
        <v>10384</v>
      </c>
      <c r="S1177" s="6" t="s">
        <v>104</v>
      </c>
      <c r="T1177" s="21" t="s">
        <v>104</v>
      </c>
      <c r="U1177" s="6" t="s">
        <v>104</v>
      </c>
      <c r="V1177" s="6" t="s">
        <v>104</v>
      </c>
      <c r="W1177" s="6" t="s">
        <v>104</v>
      </c>
      <c r="X1177" s="6" t="s">
        <v>104</v>
      </c>
      <c r="Y1177" s="21" t="s">
        <v>104</v>
      </c>
      <c r="Z1177" s="6" t="s">
        <v>104</v>
      </c>
      <c r="AA1177" s="6" t="s">
        <v>104</v>
      </c>
      <c r="AB1177" s="6" t="s">
        <v>104</v>
      </c>
      <c r="AC1177" s="6" t="s">
        <v>9714</v>
      </c>
      <c r="AD1177" s="16" t="n">
        <v>45565</v>
      </c>
      <c r="AE1177" s="6" t="s">
        <v>11552</v>
      </c>
      <c r="AF1177" s="6" t="s">
        <v>104</v>
      </c>
      <c r="AG1177" s="6" t="s">
        <v>12852</v>
      </c>
      <c r="AH1177" s="6" t="s">
        <v>14231</v>
      </c>
      <c r="AI1177" s="6" t="s">
        <v>104</v>
      </c>
      <c r="AJ1177" s="6" t="s">
        <v>16127</v>
      </c>
      <c r="AK1177" s="6" t="s">
        <v>16738</v>
      </c>
      <c r="AL1177" s="6" t="s">
        <v>16931</v>
      </c>
      <c r="AM1177" s="6" t="s">
        <v>17778</v>
      </c>
      <c r="AN1177" s="6" t="s">
        <v>18493</v>
      </c>
      <c r="AO1177" s="6" t="s">
        <v>18799</v>
      </c>
      <c r="AP1177" s="6" t="s">
        <v>104</v>
      </c>
      <c r="AQ1177" s="6" t="s">
        <v>104</v>
      </c>
      <c r="AR1177" s="6" t="s">
        <v>104</v>
      </c>
      <c r="AS1177" s="6" t="s">
        <v>104</v>
      </c>
      <c r="AT1177" s="6" t="s">
        <v>104</v>
      </c>
      <c r="AU1177" s="6" t="s">
        <v>104</v>
      </c>
      <c r="AV1177" s="6" t="s">
        <v>104</v>
      </c>
      <c r="AW1177" s="6" t="s">
        <v>104</v>
      </c>
      <c r="AX1177" s="6" t="s">
        <v>21035</v>
      </c>
      <c r="AY1177" s="6" t="s">
        <v>22832</v>
      </c>
      <c r="AZ1177" s="6" t="s">
        <v>104</v>
      </c>
      <c r="BA1177" s="6" t="s">
        <v>104</v>
      </c>
      <c r="BB1177" s="24" t="n">
        <v>160</v>
      </c>
      <c r="BC1177" s="26"/>
      <c r="BD1177" s="26"/>
      <c r="BE1177" s="26"/>
      <c r="BF1177" s="26"/>
      <c r="BG1177" s="26"/>
      <c r="BH1177" s="26"/>
      <c r="BI1177" s="26"/>
      <c r="BJ1177" s="26"/>
      <c r="BK1177" s="26"/>
      <c r="BL1177" s="26"/>
      <c r="BM1177" s="26"/>
      <c r="BN1177" s="26"/>
      <c r="BO1177" s="26"/>
      <c r="BP1177" s="16" t="n">
        <v>45737</v>
      </c>
      <c r="BQ1177" s="28" t="str">
        <f>HYPERLINK("https://organic.ams.usda.gov/Integrity/Certificate.aspx?cid=31&amp;nopid=3920897263")</f>
        <v>https://organic.ams.usda.gov/Integrity/Certificate.aspx?cid=31&amp;nopid=3920897263</v>
      </c>
    </row>
    <row r="1178">
      <c r="A1178" t="s">
        <v>3</v>
      </c>
      <c r="B1178" s="6" t="s">
        <v>18</v>
      </c>
      <c r="C1178" s="6" t="s">
        <v>84</v>
      </c>
      <c r="D1178" s="6" t="s">
        <v>149</v>
      </c>
      <c r="E1178" s="10" t="s">
        <v>1376</v>
      </c>
      <c r="F1178" s="6" t="s">
        <v>3619</v>
      </c>
      <c r="G1178" s="6" t="s">
        <v>104</v>
      </c>
      <c r="H1178" s="6" t="s">
        <v>5967</v>
      </c>
      <c r="I1178" s="6" t="s">
        <v>7643</v>
      </c>
      <c r="J1178" s="6" t="s">
        <v>7560</v>
      </c>
      <c r="K1178" s="6" t="s">
        <v>9714</v>
      </c>
      <c r="L1178" s="16" t="n">
        <v>45491</v>
      </c>
      <c r="M1178" s="16" t="n">
        <v>45856</v>
      </c>
      <c r="N1178" s="6" t="s">
        <v>104</v>
      </c>
      <c r="O1178" s="21" t="s">
        <v>104</v>
      </c>
      <c r="P1178" s="6" t="s">
        <v>104</v>
      </c>
      <c r="Q1178" s="6" t="s">
        <v>104</v>
      </c>
      <c r="R1178" s="6" t="s">
        <v>104</v>
      </c>
      <c r="S1178" s="6" t="s">
        <v>104</v>
      </c>
      <c r="T1178" s="21" t="s">
        <v>104</v>
      </c>
      <c r="U1178" s="6" t="s">
        <v>104</v>
      </c>
      <c r="V1178" s="6" t="s">
        <v>104</v>
      </c>
      <c r="W1178" s="6" t="s">
        <v>104</v>
      </c>
      <c r="X1178" s="6" t="s">
        <v>104</v>
      </c>
      <c r="Y1178" s="21" t="s">
        <v>104</v>
      </c>
      <c r="Z1178" s="6" t="s">
        <v>104</v>
      </c>
      <c r="AA1178" s="6" t="s">
        <v>104</v>
      </c>
      <c r="AB1178" s="6" t="s">
        <v>104</v>
      </c>
      <c r="AC1178" s="6" t="s">
        <v>9714</v>
      </c>
      <c r="AD1178" s="16" t="n">
        <v>45491</v>
      </c>
      <c r="AE1178" s="6" t="s">
        <v>11553</v>
      </c>
      <c r="AF1178" s="6" t="s">
        <v>104</v>
      </c>
      <c r="AG1178" s="6" t="s">
        <v>12853</v>
      </c>
      <c r="AH1178" s="6" t="s">
        <v>14232</v>
      </c>
      <c r="AI1178" s="6" t="s">
        <v>104</v>
      </c>
      <c r="AJ1178" s="6" t="s">
        <v>15679</v>
      </c>
      <c r="AK1178" s="6" t="s">
        <v>16706</v>
      </c>
      <c r="AL1178" s="6" t="s">
        <v>16931</v>
      </c>
      <c r="AM1178" s="6" t="s">
        <v>17779</v>
      </c>
      <c r="AN1178" s="6" t="s">
        <v>104</v>
      </c>
      <c r="AO1178" s="6" t="s">
        <v>104</v>
      </c>
      <c r="AP1178" s="6" t="s">
        <v>104</v>
      </c>
      <c r="AQ1178" s="6" t="s">
        <v>104</v>
      </c>
      <c r="AR1178" s="6" t="s">
        <v>104</v>
      </c>
      <c r="AS1178" s="6" t="s">
        <v>104</v>
      </c>
      <c r="AT1178" s="6" t="s">
        <v>104</v>
      </c>
      <c r="AU1178" s="6" t="s">
        <v>104</v>
      </c>
      <c r="AV1178" s="6" t="s">
        <v>104</v>
      </c>
      <c r="AW1178" s="6" t="s">
        <v>104</v>
      </c>
      <c r="AX1178" s="6" t="s">
        <v>104</v>
      </c>
      <c r="AY1178" s="6" t="s">
        <v>22833</v>
      </c>
      <c r="AZ1178" s="6" t="s">
        <v>104</v>
      </c>
      <c r="BA1178" s="6" t="s">
        <v>104</v>
      </c>
      <c r="BB1178" s="6" t="s">
        <v>104</v>
      </c>
      <c r="BC1178" s="26"/>
      <c r="BD1178" s="26"/>
      <c r="BE1178" s="26"/>
      <c r="BF1178" s="26"/>
      <c r="BG1178" s="26"/>
      <c r="BH1178" s="26"/>
      <c r="BI1178" s="26"/>
      <c r="BJ1178" s="26"/>
      <c r="BK1178" s="26"/>
      <c r="BL1178" s="26"/>
      <c r="BM1178" s="26"/>
      <c r="BN1178" s="26"/>
      <c r="BO1178" s="26"/>
      <c r="BP1178" s="16" t="n">
        <v>45737</v>
      </c>
      <c r="BQ1178" s="28" t="str">
        <f>HYPERLINK("https://organic.ams.usda.gov/Integrity/Certificate.aspx?cid=31&amp;nopid=3928972422")</f>
        <v>https://organic.ams.usda.gov/Integrity/Certificate.aspx?cid=31&amp;nopid=3928972422</v>
      </c>
    </row>
    <row r="1179">
      <c r="A1179" t="s">
        <v>3</v>
      </c>
      <c r="B1179" s="6" t="s">
        <v>59</v>
      </c>
      <c r="C1179" s="6" t="s">
        <v>125</v>
      </c>
      <c r="D1179" s="6" t="s">
        <v>189</v>
      </c>
      <c r="E1179" s="10" t="s">
        <v>1377</v>
      </c>
      <c r="F1179" s="6" t="s">
        <v>3620</v>
      </c>
      <c r="G1179" s="6" t="s">
        <v>4783</v>
      </c>
      <c r="H1179" s="6" t="s">
        <v>5968</v>
      </c>
      <c r="I1179" s="6" t="s">
        <v>7644</v>
      </c>
      <c r="J1179" s="6" t="s">
        <v>9016</v>
      </c>
      <c r="K1179" s="6" t="s">
        <v>9714</v>
      </c>
      <c r="L1179" s="16" t="n">
        <v>37545</v>
      </c>
      <c r="M1179" s="16" t="n">
        <v>45748</v>
      </c>
      <c r="N1179" s="6" t="s">
        <v>9714</v>
      </c>
      <c r="O1179" s="16" t="n">
        <v>37545</v>
      </c>
      <c r="P1179" s="6" t="s">
        <v>10057</v>
      </c>
      <c r="Q1179" s="6" t="s">
        <v>104</v>
      </c>
      <c r="R1179" s="6" t="s">
        <v>10385</v>
      </c>
      <c r="S1179" s="6" t="s">
        <v>9721</v>
      </c>
      <c r="T1179" s="16" t="n">
        <v>45516</v>
      </c>
      <c r="U1179" s="6" t="s">
        <v>104</v>
      </c>
      <c r="V1179" s="6" t="s">
        <v>104</v>
      </c>
      <c r="W1179" s="6" t="s">
        <v>104</v>
      </c>
      <c r="X1179" s="6" t="s">
        <v>104</v>
      </c>
      <c r="Y1179" s="21" t="s">
        <v>104</v>
      </c>
      <c r="Z1179" s="6" t="s">
        <v>104</v>
      </c>
      <c r="AA1179" s="6" t="s">
        <v>104</v>
      </c>
      <c r="AB1179" s="6" t="s">
        <v>104</v>
      </c>
      <c r="AC1179" s="6" t="s">
        <v>9714</v>
      </c>
      <c r="AD1179" s="16" t="n">
        <v>37545</v>
      </c>
      <c r="AE1179" s="6" t="s">
        <v>11554</v>
      </c>
      <c r="AF1179" s="6" t="s">
        <v>104</v>
      </c>
      <c r="AG1179" s="6" t="s">
        <v>10385</v>
      </c>
      <c r="AH1179" s="6" t="s">
        <v>14233</v>
      </c>
      <c r="AI1179" s="6" t="s">
        <v>104</v>
      </c>
      <c r="AJ1179" s="6" t="s">
        <v>16128</v>
      </c>
      <c r="AK1179" s="6" t="s">
        <v>16337</v>
      </c>
      <c r="AL1179" s="6" t="s">
        <v>16931</v>
      </c>
      <c r="AM1179" s="6" t="s">
        <v>17780</v>
      </c>
      <c r="AN1179" s="6" t="s">
        <v>18509</v>
      </c>
      <c r="AO1179" s="6" t="s">
        <v>18764</v>
      </c>
      <c r="AP1179" s="6" t="s">
        <v>14233</v>
      </c>
      <c r="AQ1179" s="6" t="s">
        <v>104</v>
      </c>
      <c r="AR1179" s="6" t="s">
        <v>16128</v>
      </c>
      <c r="AS1179" s="6" t="s">
        <v>16337</v>
      </c>
      <c r="AT1179" s="6" t="s">
        <v>16931</v>
      </c>
      <c r="AU1179" s="6" t="s">
        <v>17780</v>
      </c>
      <c r="AV1179" s="6" t="s">
        <v>104</v>
      </c>
      <c r="AW1179" s="6" t="s">
        <v>104</v>
      </c>
      <c r="AX1179" s="6" t="s">
        <v>21036</v>
      </c>
      <c r="AY1179" s="6" t="s">
        <v>22834</v>
      </c>
      <c r="AZ1179" s="6" t="s">
        <v>104</v>
      </c>
      <c r="BA1179" s="6" t="s">
        <v>104</v>
      </c>
      <c r="BB1179" s="24" t="n">
        <v>321</v>
      </c>
      <c r="BC1179" s="26"/>
      <c r="BD1179" s="26"/>
      <c r="BE1179" s="26"/>
      <c r="BF1179" s="26"/>
      <c r="BG1179" s="26"/>
      <c r="BH1179" s="26"/>
      <c r="BI1179" s="26"/>
      <c r="BJ1179" s="26"/>
      <c r="BK1179" s="26"/>
      <c r="BL1179" s="26"/>
      <c r="BM1179" s="26"/>
      <c r="BN1179" s="26"/>
      <c r="BO1179" s="26"/>
      <c r="BP1179" s="16" t="n">
        <v>45702</v>
      </c>
      <c r="BQ1179" s="28" t="str">
        <f>HYPERLINK("https://organic.ams.usda.gov/Integrity/Certificate.aspx?cid=42&amp;nopid=6780000080")</f>
        <v>https://organic.ams.usda.gov/Integrity/Certificate.aspx?cid=42&amp;nopid=6780000080</v>
      </c>
    </row>
    <row r="1180">
      <c r="A1180" t="s">
        <v>3</v>
      </c>
      <c r="B1180" s="6" t="s">
        <v>18</v>
      </c>
      <c r="C1180" s="6" t="s">
        <v>84</v>
      </c>
      <c r="D1180" s="6" t="s">
        <v>149</v>
      </c>
      <c r="E1180" s="10" t="s">
        <v>1378</v>
      </c>
      <c r="F1180" s="6" t="s">
        <v>3621</v>
      </c>
      <c r="G1180" s="6" t="s">
        <v>104</v>
      </c>
      <c r="H1180" s="6" t="s">
        <v>5969</v>
      </c>
      <c r="I1180" s="6" t="s">
        <v>7645</v>
      </c>
      <c r="J1180" s="6" t="s">
        <v>9017</v>
      </c>
      <c r="K1180" s="6" t="s">
        <v>9714</v>
      </c>
      <c r="L1180" s="16" t="n">
        <v>39608</v>
      </c>
      <c r="M1180" s="16" t="n">
        <v>45870</v>
      </c>
      <c r="N1180" s="6" t="s">
        <v>9714</v>
      </c>
      <c r="O1180" s="16" t="n">
        <v>39608</v>
      </c>
      <c r="P1180" s="6" t="s">
        <v>104</v>
      </c>
      <c r="Q1180" s="6" t="s">
        <v>104</v>
      </c>
      <c r="R1180" s="6" t="s">
        <v>104</v>
      </c>
      <c r="S1180" s="6" t="s">
        <v>104</v>
      </c>
      <c r="T1180" s="21" t="s">
        <v>104</v>
      </c>
      <c r="U1180" s="6" t="s">
        <v>104</v>
      </c>
      <c r="V1180" s="6" t="s">
        <v>104</v>
      </c>
      <c r="W1180" s="6" t="s">
        <v>104</v>
      </c>
      <c r="X1180" s="6" t="s">
        <v>104</v>
      </c>
      <c r="Y1180" s="21" t="s">
        <v>104</v>
      </c>
      <c r="Z1180" s="6" t="s">
        <v>104</v>
      </c>
      <c r="AA1180" s="6" t="s">
        <v>104</v>
      </c>
      <c r="AB1180" s="6" t="s">
        <v>104</v>
      </c>
      <c r="AC1180" s="6" t="s">
        <v>9714</v>
      </c>
      <c r="AD1180" s="16" t="n">
        <v>39628</v>
      </c>
      <c r="AE1180" s="6" t="s">
        <v>11555</v>
      </c>
      <c r="AF1180" s="6" t="s">
        <v>104</v>
      </c>
      <c r="AG1180" s="6" t="s">
        <v>12854</v>
      </c>
      <c r="AH1180" s="6" t="s">
        <v>14234</v>
      </c>
      <c r="AI1180" s="6" t="s">
        <v>104</v>
      </c>
      <c r="AJ1180" s="6" t="s">
        <v>16129</v>
      </c>
      <c r="AK1180" s="6" t="s">
        <v>16684</v>
      </c>
      <c r="AL1180" s="6" t="s">
        <v>16931</v>
      </c>
      <c r="AM1180" s="6" t="s">
        <v>17781</v>
      </c>
      <c r="AN1180" s="6" t="s">
        <v>18460</v>
      </c>
      <c r="AO1180" s="6" t="s">
        <v>18760</v>
      </c>
      <c r="AP1180" s="6" t="s">
        <v>19252</v>
      </c>
      <c r="AQ1180" s="6" t="s">
        <v>104</v>
      </c>
      <c r="AR1180" s="6" t="s">
        <v>15759</v>
      </c>
      <c r="AS1180" s="6" t="s">
        <v>16684</v>
      </c>
      <c r="AT1180" s="6" t="s">
        <v>16931</v>
      </c>
      <c r="AU1180" s="6" t="s">
        <v>19944</v>
      </c>
      <c r="AV1180" s="6" t="s">
        <v>104</v>
      </c>
      <c r="AW1180" s="6" t="s">
        <v>104</v>
      </c>
      <c r="AX1180" s="6" t="s">
        <v>21037</v>
      </c>
      <c r="AY1180" s="6" t="s">
        <v>22835</v>
      </c>
      <c r="AZ1180" s="6" t="s">
        <v>104</v>
      </c>
      <c r="BA1180" s="6" t="s">
        <v>24420</v>
      </c>
      <c r="BB1180" s="24" t="n">
        <v>625</v>
      </c>
      <c r="BC1180" s="26"/>
      <c r="BD1180" s="26"/>
      <c r="BE1180" s="26"/>
      <c r="BF1180" s="26"/>
      <c r="BG1180" s="26"/>
      <c r="BH1180" s="26"/>
      <c r="BI1180" s="26"/>
      <c r="BJ1180" s="26"/>
      <c r="BK1180" s="26"/>
      <c r="BL1180" s="26"/>
      <c r="BM1180" s="26"/>
      <c r="BN1180" s="26"/>
      <c r="BO1180" s="26"/>
      <c r="BP1180" s="16" t="n">
        <v>45737</v>
      </c>
      <c r="BQ1180" s="28" t="str">
        <f>HYPERLINK("https://organic.ams.usda.gov/Integrity/Certificate.aspx?cid=31&amp;nopid=3920897611")</f>
        <v>https://organic.ams.usda.gov/Integrity/Certificate.aspx?cid=31&amp;nopid=3920897611</v>
      </c>
    </row>
    <row r="1181">
      <c r="A1181" t="s">
        <v>3</v>
      </c>
      <c r="B1181" s="6" t="s">
        <v>20</v>
      </c>
      <c r="C1181" s="6" t="s">
        <v>86</v>
      </c>
      <c r="D1181" s="6" t="s">
        <v>151</v>
      </c>
      <c r="E1181" s="10" t="s">
        <v>1379</v>
      </c>
      <c r="F1181" s="6" t="s">
        <v>3622</v>
      </c>
      <c r="G1181" s="6" t="s">
        <v>104</v>
      </c>
      <c r="H1181" s="6" t="s">
        <v>5970</v>
      </c>
      <c r="I1181" s="6" t="s">
        <v>7646</v>
      </c>
      <c r="J1181" s="6" t="s">
        <v>9018</v>
      </c>
      <c r="K1181" s="6" t="s">
        <v>9714</v>
      </c>
      <c r="L1181" s="16" t="n">
        <v>45400</v>
      </c>
      <c r="M1181" s="16" t="n">
        <v>45777</v>
      </c>
      <c r="N1181" s="6" t="s">
        <v>104</v>
      </c>
      <c r="O1181" s="21" t="s">
        <v>104</v>
      </c>
      <c r="P1181" s="6" t="s">
        <v>104</v>
      </c>
      <c r="Q1181" s="6" t="s">
        <v>104</v>
      </c>
      <c r="R1181" s="6" t="s">
        <v>104</v>
      </c>
      <c r="S1181" s="6" t="s">
        <v>104</v>
      </c>
      <c r="T1181" s="21" t="s">
        <v>104</v>
      </c>
      <c r="U1181" s="6" t="s">
        <v>104</v>
      </c>
      <c r="V1181" s="6" t="s">
        <v>104</v>
      </c>
      <c r="W1181" s="6" t="s">
        <v>104</v>
      </c>
      <c r="X1181" s="6" t="s">
        <v>104</v>
      </c>
      <c r="Y1181" s="21" t="s">
        <v>104</v>
      </c>
      <c r="Z1181" s="6" t="s">
        <v>104</v>
      </c>
      <c r="AA1181" s="6" t="s">
        <v>104</v>
      </c>
      <c r="AB1181" s="6" t="s">
        <v>104</v>
      </c>
      <c r="AC1181" s="6" t="s">
        <v>9714</v>
      </c>
      <c r="AD1181" s="16" t="n">
        <v>45400</v>
      </c>
      <c r="AE1181" s="6" t="s">
        <v>11556</v>
      </c>
      <c r="AF1181" s="6" t="s">
        <v>104</v>
      </c>
      <c r="AG1181" s="6" t="s">
        <v>12855</v>
      </c>
      <c r="AH1181" s="6" t="s">
        <v>14235</v>
      </c>
      <c r="AI1181" s="6" t="s">
        <v>104</v>
      </c>
      <c r="AJ1181" s="6" t="s">
        <v>16130</v>
      </c>
      <c r="AK1181" s="6" t="s">
        <v>16819</v>
      </c>
      <c r="AL1181" s="6" t="s">
        <v>15513</v>
      </c>
      <c r="AM1181" s="6" t="s">
        <v>17782</v>
      </c>
      <c r="AN1181" s="6" t="s">
        <v>104</v>
      </c>
      <c r="AO1181" s="6" t="s">
        <v>104</v>
      </c>
      <c r="AP1181" s="6" t="s">
        <v>104</v>
      </c>
      <c r="AQ1181" s="6" t="s">
        <v>104</v>
      </c>
      <c r="AR1181" s="6" t="s">
        <v>104</v>
      </c>
      <c r="AS1181" s="6" t="s">
        <v>104</v>
      </c>
      <c r="AT1181" s="6" t="s">
        <v>104</v>
      </c>
      <c r="AU1181" s="6" t="s">
        <v>104</v>
      </c>
      <c r="AV1181" s="6" t="s">
        <v>104</v>
      </c>
      <c r="AW1181" s="6" t="s">
        <v>104</v>
      </c>
      <c r="AX1181" s="6" t="s">
        <v>21038</v>
      </c>
      <c r="AY1181" s="6" t="s">
        <v>22836</v>
      </c>
      <c r="AZ1181" s="6" t="s">
        <v>104</v>
      </c>
      <c r="BA1181" s="6" t="s">
        <v>104</v>
      </c>
      <c r="BB1181" s="6" t="s">
        <v>104</v>
      </c>
      <c r="BC1181" s="26"/>
      <c r="BD1181" s="26"/>
      <c r="BE1181" s="26"/>
      <c r="BF1181" s="26"/>
      <c r="BG1181" s="26"/>
      <c r="BH1181" s="26"/>
      <c r="BI1181" s="26"/>
      <c r="BJ1181" s="26"/>
      <c r="BK1181" s="26"/>
      <c r="BL1181" s="26"/>
      <c r="BM1181" s="26"/>
      <c r="BN1181" s="26"/>
      <c r="BO1181" s="26"/>
      <c r="BP1181" s="16" t="n">
        <v>45404</v>
      </c>
      <c r="BQ1181" s="28" t="str">
        <f>HYPERLINK("https://organic.ams.usda.gov/Integrity/Certificate.aspx?cid=17&amp;nopid=4080207633")</f>
        <v>https://organic.ams.usda.gov/Integrity/Certificate.aspx?cid=17&amp;nopid=4080207633</v>
      </c>
    </row>
    <row r="1182">
      <c r="A1182" t="s">
        <v>3</v>
      </c>
      <c r="B1182" s="6" t="s">
        <v>44</v>
      </c>
      <c r="C1182" s="6" t="s">
        <v>110</v>
      </c>
      <c r="D1182" s="6" t="s">
        <v>174</v>
      </c>
      <c r="E1182" s="10" t="s">
        <v>1380</v>
      </c>
      <c r="F1182" s="6" t="s">
        <v>3623</v>
      </c>
      <c r="G1182" s="6" t="s">
        <v>104</v>
      </c>
      <c r="H1182" s="6" t="s">
        <v>5971</v>
      </c>
      <c r="I1182" s="6" t="s">
        <v>7647</v>
      </c>
      <c r="J1182" s="6" t="s">
        <v>9019</v>
      </c>
      <c r="K1182" s="6" t="s">
        <v>9714</v>
      </c>
      <c r="L1182" s="16" t="n">
        <v>45418</v>
      </c>
      <c r="M1182" s="16" t="n">
        <v>45672</v>
      </c>
      <c r="N1182" s="6" t="s">
        <v>104</v>
      </c>
      <c r="O1182" s="21" t="s">
        <v>104</v>
      </c>
      <c r="P1182" s="6" t="s">
        <v>104</v>
      </c>
      <c r="Q1182" s="6" t="s">
        <v>104</v>
      </c>
      <c r="R1182" s="6" t="s">
        <v>104</v>
      </c>
      <c r="S1182" s="6" t="s">
        <v>104</v>
      </c>
      <c r="T1182" s="21" t="s">
        <v>104</v>
      </c>
      <c r="U1182" s="6" t="s">
        <v>104</v>
      </c>
      <c r="V1182" s="6" t="s">
        <v>104</v>
      </c>
      <c r="W1182" s="6" t="s">
        <v>104</v>
      </c>
      <c r="X1182" s="6" t="s">
        <v>104</v>
      </c>
      <c r="Y1182" s="21" t="s">
        <v>104</v>
      </c>
      <c r="Z1182" s="6" t="s">
        <v>104</v>
      </c>
      <c r="AA1182" s="6" t="s">
        <v>104</v>
      </c>
      <c r="AB1182" s="6" t="s">
        <v>104</v>
      </c>
      <c r="AC1182" s="6" t="s">
        <v>9714</v>
      </c>
      <c r="AD1182" s="16" t="n">
        <v>45418</v>
      </c>
      <c r="AE1182" s="6" t="s">
        <v>11557</v>
      </c>
      <c r="AF1182" s="6" t="s">
        <v>104</v>
      </c>
      <c r="AG1182" s="6" t="s">
        <v>104</v>
      </c>
      <c r="AH1182" s="6" t="s">
        <v>14236</v>
      </c>
      <c r="AI1182" s="6" t="s">
        <v>104</v>
      </c>
      <c r="AJ1182" s="6" t="s">
        <v>16131</v>
      </c>
      <c r="AK1182" s="6" t="s">
        <v>15697</v>
      </c>
      <c r="AL1182" s="6" t="s">
        <v>16931</v>
      </c>
      <c r="AM1182" s="6" t="s">
        <v>17674</v>
      </c>
      <c r="AN1182" s="6" t="s">
        <v>104</v>
      </c>
      <c r="AO1182" s="6" t="s">
        <v>104</v>
      </c>
      <c r="AP1182" s="6" t="s">
        <v>19253</v>
      </c>
      <c r="AQ1182" s="6" t="s">
        <v>104</v>
      </c>
      <c r="AR1182" s="6" t="s">
        <v>19703</v>
      </c>
      <c r="AS1182" s="6" t="s">
        <v>16725</v>
      </c>
      <c r="AT1182" s="6" t="s">
        <v>16931</v>
      </c>
      <c r="AU1182" s="6" t="s">
        <v>19945</v>
      </c>
      <c r="AV1182" s="6" t="s">
        <v>104</v>
      </c>
      <c r="AW1182" s="6" t="s">
        <v>104</v>
      </c>
      <c r="AX1182" s="6" t="s">
        <v>21039</v>
      </c>
      <c r="AY1182" s="6" t="s">
        <v>22837</v>
      </c>
      <c r="AZ1182" s="6" t="s">
        <v>104</v>
      </c>
      <c r="BA1182" s="6" t="s">
        <v>104</v>
      </c>
      <c r="BB1182" s="24" t="n">
        <v>0</v>
      </c>
      <c r="BC1182" s="26"/>
      <c r="BD1182" s="26"/>
      <c r="BE1182" s="26"/>
      <c r="BF1182" s="26"/>
      <c r="BG1182" s="26" t="s">
        <v>24533</v>
      </c>
      <c r="BH1182" s="26"/>
      <c r="BI1182" s="26"/>
      <c r="BJ1182" s="26"/>
      <c r="BK1182" s="26"/>
      <c r="BL1182" s="26"/>
      <c r="BM1182" s="26"/>
      <c r="BN1182" s="26"/>
      <c r="BO1182" s="26"/>
      <c r="BP1182" s="16" t="n">
        <v>45735</v>
      </c>
      <c r="BQ1182" s="28" t="str">
        <f>HYPERLINK("https://organic.ams.usda.gov/Integrity/Certificate.aspx?cid=57&amp;nopid=3252024092")</f>
        <v>https://organic.ams.usda.gov/Integrity/Certificate.aspx?cid=57&amp;nopid=3252024092</v>
      </c>
    </row>
    <row r="1183">
      <c r="A1183" t="s">
        <v>3</v>
      </c>
      <c r="B1183" s="6" t="s">
        <v>13</v>
      </c>
      <c r="C1183" s="6" t="s">
        <v>79</v>
      </c>
      <c r="D1183" s="6" t="s">
        <v>144</v>
      </c>
      <c r="E1183" s="10" t="s">
        <v>1381</v>
      </c>
      <c r="F1183" s="6" t="s">
        <v>3624</v>
      </c>
      <c r="G1183" s="6" t="s">
        <v>104</v>
      </c>
      <c r="H1183" s="6" t="s">
        <v>5972</v>
      </c>
      <c r="I1183" s="6" t="s">
        <v>7097</v>
      </c>
      <c r="J1183" s="6" t="s">
        <v>9020</v>
      </c>
      <c r="K1183" s="6" t="s">
        <v>9714</v>
      </c>
      <c r="L1183" s="16" t="n">
        <v>38441</v>
      </c>
      <c r="M1183" s="16" t="n">
        <v>46023</v>
      </c>
      <c r="N1183" s="6" t="s">
        <v>104</v>
      </c>
      <c r="O1183" s="21" t="s">
        <v>104</v>
      </c>
      <c r="P1183" s="6" t="s">
        <v>104</v>
      </c>
      <c r="Q1183" s="6" t="s">
        <v>104</v>
      </c>
      <c r="R1183" s="6" t="s">
        <v>104</v>
      </c>
      <c r="S1183" s="6" t="s">
        <v>104</v>
      </c>
      <c r="T1183" s="21" t="s">
        <v>104</v>
      </c>
      <c r="U1183" s="6" t="s">
        <v>104</v>
      </c>
      <c r="V1183" s="6" t="s">
        <v>104</v>
      </c>
      <c r="W1183" s="6" t="s">
        <v>104</v>
      </c>
      <c r="X1183" s="6" t="s">
        <v>104</v>
      </c>
      <c r="Y1183" s="21" t="s">
        <v>104</v>
      </c>
      <c r="Z1183" s="6" t="s">
        <v>104</v>
      </c>
      <c r="AA1183" s="6" t="s">
        <v>104</v>
      </c>
      <c r="AB1183" s="6" t="s">
        <v>104</v>
      </c>
      <c r="AC1183" s="6" t="s">
        <v>9714</v>
      </c>
      <c r="AD1183" s="16" t="n">
        <v>38441</v>
      </c>
      <c r="AE1183" s="6" t="s">
        <v>11558</v>
      </c>
      <c r="AF1183" s="6" t="s">
        <v>104</v>
      </c>
      <c r="AG1183" s="6" t="s">
        <v>104</v>
      </c>
      <c r="AH1183" s="6" t="s">
        <v>104</v>
      </c>
      <c r="AI1183" s="6" t="s">
        <v>104</v>
      </c>
      <c r="AJ1183" s="6" t="s">
        <v>104</v>
      </c>
      <c r="AK1183" s="6" t="s">
        <v>104</v>
      </c>
      <c r="AL1183" s="6" t="s">
        <v>104</v>
      </c>
      <c r="AM1183" s="6" t="s">
        <v>104</v>
      </c>
      <c r="AN1183" s="6" t="s">
        <v>104</v>
      </c>
      <c r="AO1183" s="6" t="s">
        <v>104</v>
      </c>
      <c r="AP1183" s="6" t="s">
        <v>19254</v>
      </c>
      <c r="AQ1183" s="6" t="s">
        <v>104</v>
      </c>
      <c r="AR1183" s="6" t="s">
        <v>19704</v>
      </c>
      <c r="AS1183" s="6" t="s">
        <v>16705</v>
      </c>
      <c r="AT1183" s="6" t="s">
        <v>16931</v>
      </c>
      <c r="AU1183" s="6" t="s">
        <v>19946</v>
      </c>
      <c r="AV1183" s="6" t="s">
        <v>18460</v>
      </c>
      <c r="AW1183" s="6" t="s">
        <v>20095</v>
      </c>
      <c r="AX1183" s="6" t="s">
        <v>21040</v>
      </c>
      <c r="AY1183" s="6" t="s">
        <v>22838</v>
      </c>
      <c r="AZ1183" s="6" t="s">
        <v>104</v>
      </c>
      <c r="BA1183" s="6" t="s">
        <v>104</v>
      </c>
      <c r="BB1183" s="6" t="s">
        <v>104</v>
      </c>
      <c r="BC1183" s="26" t="s">
        <v>24533</v>
      </c>
      <c r="BD1183" s="26"/>
      <c r="BE1183" s="26"/>
      <c r="BF1183" s="26"/>
      <c r="BG1183" s="26"/>
      <c r="BH1183" s="26"/>
      <c r="BI1183" s="26"/>
      <c r="BJ1183" s="26"/>
      <c r="BK1183" s="26"/>
      <c r="BL1183" s="26"/>
      <c r="BM1183" s="26"/>
      <c r="BN1183" s="26"/>
      <c r="BO1183" s="26"/>
      <c r="BP1183" s="16" t="n">
        <v>45638</v>
      </c>
      <c r="BQ1183" s="28" t="str">
        <f>HYPERLINK("https://organic.ams.usda.gov/Integrity/Certificate.aspx?cid=62&amp;nopid=8150000845")</f>
        <v>https://organic.ams.usda.gov/Integrity/Certificate.aspx?cid=62&amp;nopid=8150000845</v>
      </c>
    </row>
    <row r="1184">
      <c r="A1184" t="s">
        <v>3</v>
      </c>
      <c r="B1184" s="6" t="s">
        <v>17</v>
      </c>
      <c r="C1184" s="6" t="s">
        <v>83</v>
      </c>
      <c r="D1184" s="6" t="s">
        <v>148</v>
      </c>
      <c r="E1184" s="10" t="s">
        <v>1382</v>
      </c>
      <c r="F1184" s="6" t="s">
        <v>3625</v>
      </c>
      <c r="G1184" s="6" t="s">
        <v>104</v>
      </c>
      <c r="H1184" s="6" t="s">
        <v>5973</v>
      </c>
      <c r="I1184" s="6" t="s">
        <v>7648</v>
      </c>
      <c r="J1184" s="6" t="s">
        <v>9021</v>
      </c>
      <c r="K1184" s="6" t="s">
        <v>9714</v>
      </c>
      <c r="L1184" s="16" t="n">
        <v>45481</v>
      </c>
      <c r="M1184" s="16" t="n">
        <v>45748</v>
      </c>
      <c r="N1184" s="6" t="s">
        <v>104</v>
      </c>
      <c r="O1184" s="21" t="s">
        <v>104</v>
      </c>
      <c r="P1184" s="6" t="s">
        <v>104</v>
      </c>
      <c r="Q1184" s="6" t="s">
        <v>104</v>
      </c>
      <c r="R1184" s="6" t="s">
        <v>104</v>
      </c>
      <c r="S1184" s="6" t="s">
        <v>104</v>
      </c>
      <c r="T1184" s="21" t="s">
        <v>104</v>
      </c>
      <c r="U1184" s="6" t="s">
        <v>104</v>
      </c>
      <c r="V1184" s="6" t="s">
        <v>104</v>
      </c>
      <c r="W1184" s="6" t="s">
        <v>104</v>
      </c>
      <c r="X1184" s="6" t="s">
        <v>104</v>
      </c>
      <c r="Y1184" s="21" t="s">
        <v>104</v>
      </c>
      <c r="Z1184" s="6" t="s">
        <v>104</v>
      </c>
      <c r="AA1184" s="6" t="s">
        <v>104</v>
      </c>
      <c r="AB1184" s="6" t="s">
        <v>104</v>
      </c>
      <c r="AC1184" s="6" t="s">
        <v>9714</v>
      </c>
      <c r="AD1184" s="16" t="n">
        <v>45481</v>
      </c>
      <c r="AE1184" s="6" t="s">
        <v>11559</v>
      </c>
      <c r="AF1184" s="6" t="s">
        <v>104</v>
      </c>
      <c r="AG1184" s="6" t="s">
        <v>104</v>
      </c>
      <c r="AH1184" s="6" t="s">
        <v>14237</v>
      </c>
      <c r="AI1184" s="6" t="s">
        <v>104</v>
      </c>
      <c r="AJ1184" s="6" t="s">
        <v>16132</v>
      </c>
      <c r="AK1184" s="6" t="s">
        <v>16370</v>
      </c>
      <c r="AL1184" s="6" t="s">
        <v>16931</v>
      </c>
      <c r="AM1184" s="6" t="s">
        <v>17783</v>
      </c>
      <c r="AN1184" s="6" t="s">
        <v>104</v>
      </c>
      <c r="AO1184" s="6" t="s">
        <v>104</v>
      </c>
      <c r="AP1184" s="6" t="s">
        <v>14237</v>
      </c>
      <c r="AQ1184" s="6" t="s">
        <v>104</v>
      </c>
      <c r="AR1184" s="6" t="s">
        <v>16132</v>
      </c>
      <c r="AS1184" s="6" t="s">
        <v>16370</v>
      </c>
      <c r="AT1184" s="6" t="s">
        <v>16931</v>
      </c>
      <c r="AU1184" s="6" t="s">
        <v>17783</v>
      </c>
      <c r="AV1184" s="6" t="s">
        <v>104</v>
      </c>
      <c r="AW1184" s="6" t="s">
        <v>104</v>
      </c>
      <c r="AX1184" s="6" t="s">
        <v>21041</v>
      </c>
      <c r="AY1184" s="6" t="s">
        <v>22839</v>
      </c>
      <c r="AZ1184" s="6" t="s">
        <v>104</v>
      </c>
      <c r="BA1184" s="6" t="s">
        <v>104</v>
      </c>
      <c r="BB1184" s="24" t="n">
        <v>0</v>
      </c>
      <c r="BC1184" s="26"/>
      <c r="BD1184" s="26"/>
      <c r="BE1184" s="26"/>
      <c r="BF1184" s="26"/>
      <c r="BG1184" s="26"/>
      <c r="BH1184" s="26"/>
      <c r="BI1184" s="26"/>
      <c r="BJ1184" s="26"/>
      <c r="BK1184" s="26"/>
      <c r="BL1184" s="26" t="s">
        <v>24533</v>
      </c>
      <c r="BM1184" s="26"/>
      <c r="BN1184" s="26"/>
      <c r="BO1184" s="26"/>
      <c r="BP1184" s="16" t="n">
        <v>45726</v>
      </c>
      <c r="BQ1184" s="28" t="str">
        <f>HYPERLINK("https://organic.ams.usda.gov/Integrity/Certificate.aspx?cid=51&amp;nopid=8241000050")</f>
        <v>https://organic.ams.usda.gov/Integrity/Certificate.aspx?cid=51&amp;nopid=8241000050</v>
      </c>
    </row>
    <row r="1185">
      <c r="A1185" t="s">
        <v>3</v>
      </c>
      <c r="B1185" s="6" t="s">
        <v>33</v>
      </c>
      <c r="C1185" s="6" t="s">
        <v>99</v>
      </c>
      <c r="D1185" s="6" t="s">
        <v>164</v>
      </c>
      <c r="E1185" s="10" t="s">
        <v>1383</v>
      </c>
      <c r="F1185" s="6" t="s">
        <v>3626</v>
      </c>
      <c r="G1185" s="6" t="s">
        <v>104</v>
      </c>
      <c r="H1185" s="6" t="s">
        <v>104</v>
      </c>
      <c r="I1185" s="6" t="s">
        <v>7056</v>
      </c>
      <c r="J1185" s="6" t="s">
        <v>9022</v>
      </c>
      <c r="K1185" s="6" t="s">
        <v>9714</v>
      </c>
      <c r="L1185" s="16" t="n">
        <v>43746</v>
      </c>
      <c r="M1185" s="16" t="n">
        <v>45536</v>
      </c>
      <c r="N1185" s="6" t="s">
        <v>104</v>
      </c>
      <c r="O1185" s="21" t="s">
        <v>104</v>
      </c>
      <c r="P1185" s="6" t="s">
        <v>104</v>
      </c>
      <c r="Q1185" s="6" t="s">
        <v>104</v>
      </c>
      <c r="R1185" s="6" t="s">
        <v>104</v>
      </c>
      <c r="S1185" s="6" t="s">
        <v>104</v>
      </c>
      <c r="T1185" s="21" t="s">
        <v>104</v>
      </c>
      <c r="U1185" s="6" t="s">
        <v>104</v>
      </c>
      <c r="V1185" s="6" t="s">
        <v>104</v>
      </c>
      <c r="W1185" s="6" t="s">
        <v>104</v>
      </c>
      <c r="X1185" s="6" t="s">
        <v>104</v>
      </c>
      <c r="Y1185" s="21" t="s">
        <v>104</v>
      </c>
      <c r="Z1185" s="6" t="s">
        <v>104</v>
      </c>
      <c r="AA1185" s="6" t="s">
        <v>104</v>
      </c>
      <c r="AB1185" s="6" t="s">
        <v>104</v>
      </c>
      <c r="AC1185" s="6" t="s">
        <v>9714</v>
      </c>
      <c r="AD1185" s="16" t="n">
        <v>43746</v>
      </c>
      <c r="AE1185" s="6" t="s">
        <v>11560</v>
      </c>
      <c r="AF1185" s="6" t="s">
        <v>104</v>
      </c>
      <c r="AG1185" s="6" t="s">
        <v>104</v>
      </c>
      <c r="AH1185" s="6" t="s">
        <v>14238</v>
      </c>
      <c r="AI1185" s="6" t="s">
        <v>104</v>
      </c>
      <c r="AJ1185" s="6" t="s">
        <v>15893</v>
      </c>
      <c r="AK1185" s="6" t="s">
        <v>16256</v>
      </c>
      <c r="AL1185" s="6" t="s">
        <v>16931</v>
      </c>
      <c r="AM1185" s="6" t="s">
        <v>17527</v>
      </c>
      <c r="AN1185" s="6" t="s">
        <v>18468</v>
      </c>
      <c r="AO1185" s="6" t="s">
        <v>18736</v>
      </c>
      <c r="AP1185" s="6" t="s">
        <v>14238</v>
      </c>
      <c r="AQ1185" s="6" t="s">
        <v>104</v>
      </c>
      <c r="AR1185" s="6" t="s">
        <v>15893</v>
      </c>
      <c r="AS1185" s="6" t="s">
        <v>16256</v>
      </c>
      <c r="AT1185" s="6" t="s">
        <v>16931</v>
      </c>
      <c r="AU1185" s="6" t="s">
        <v>17527</v>
      </c>
      <c r="AV1185" s="6" t="s">
        <v>104</v>
      </c>
      <c r="AW1185" s="6" t="s">
        <v>104</v>
      </c>
      <c r="AX1185" s="6" t="s">
        <v>21042</v>
      </c>
      <c r="AY1185" s="6" t="s">
        <v>22840</v>
      </c>
      <c r="AZ1185" s="6" t="s">
        <v>23984</v>
      </c>
      <c r="BA1185" s="6" t="s">
        <v>24421</v>
      </c>
      <c r="BB1185" s="6" t="s">
        <v>104</v>
      </c>
      <c r="BC1185" s="26"/>
      <c r="BD1185" s="26"/>
      <c r="BE1185" s="26"/>
      <c r="BF1185" s="26"/>
      <c r="BG1185" s="26"/>
      <c r="BH1185" s="26"/>
      <c r="BI1185" s="26"/>
      <c r="BJ1185" s="26"/>
      <c r="BK1185" s="26"/>
      <c r="BL1185" s="26"/>
      <c r="BM1185" s="26"/>
      <c r="BN1185" s="26"/>
      <c r="BO1185" s="26"/>
      <c r="BP1185" s="16" t="n">
        <v>45616</v>
      </c>
      <c r="BQ1185" s="28" t="str">
        <f>HYPERLINK("https://organic.ams.usda.gov/Integrity/Certificate.aspx?cid=46&amp;nopid=3671900086")</f>
        <v>https://organic.ams.usda.gov/Integrity/Certificate.aspx?cid=46&amp;nopid=3671900086</v>
      </c>
    </row>
    <row r="1186">
      <c r="A1186" t="s">
        <v>3</v>
      </c>
      <c r="B1186" s="6" t="s">
        <v>34</v>
      </c>
      <c r="C1186" s="6" t="s">
        <v>100</v>
      </c>
      <c r="D1186" s="6" t="s">
        <v>165</v>
      </c>
      <c r="E1186" s="10" t="s">
        <v>1384</v>
      </c>
      <c r="F1186" s="6" t="s">
        <v>3627</v>
      </c>
      <c r="G1186" s="6" t="s">
        <v>104</v>
      </c>
      <c r="H1186" s="6" t="s">
        <v>5974</v>
      </c>
      <c r="I1186" s="6" t="s">
        <v>7123</v>
      </c>
      <c r="J1186" s="6" t="s">
        <v>8345</v>
      </c>
      <c r="K1186" s="6" t="s">
        <v>9714</v>
      </c>
      <c r="L1186" s="16" t="n">
        <v>37375</v>
      </c>
      <c r="M1186" s="16" t="n">
        <v>45925</v>
      </c>
      <c r="N1186" s="6" t="s">
        <v>104</v>
      </c>
      <c r="O1186" s="21" t="s">
        <v>104</v>
      </c>
      <c r="P1186" s="6" t="s">
        <v>104</v>
      </c>
      <c r="Q1186" s="6" t="s">
        <v>104</v>
      </c>
      <c r="R1186" s="6" t="s">
        <v>104</v>
      </c>
      <c r="S1186" s="6" t="s">
        <v>104</v>
      </c>
      <c r="T1186" s="21" t="s">
        <v>104</v>
      </c>
      <c r="U1186" s="6" t="s">
        <v>104</v>
      </c>
      <c r="V1186" s="6" t="s">
        <v>104</v>
      </c>
      <c r="W1186" s="6" t="s">
        <v>104</v>
      </c>
      <c r="X1186" s="6" t="s">
        <v>104</v>
      </c>
      <c r="Y1186" s="21" t="s">
        <v>104</v>
      </c>
      <c r="Z1186" s="6" t="s">
        <v>104</v>
      </c>
      <c r="AA1186" s="6" t="s">
        <v>104</v>
      </c>
      <c r="AB1186" s="6" t="s">
        <v>104</v>
      </c>
      <c r="AC1186" s="6" t="s">
        <v>9714</v>
      </c>
      <c r="AD1186" s="16" t="n">
        <v>37375</v>
      </c>
      <c r="AE1186" s="6" t="s">
        <v>11561</v>
      </c>
      <c r="AF1186" s="6" t="s">
        <v>104</v>
      </c>
      <c r="AG1186" s="6" t="s">
        <v>12856</v>
      </c>
      <c r="AH1186" s="6" t="s">
        <v>14239</v>
      </c>
      <c r="AI1186" s="6" t="s">
        <v>104</v>
      </c>
      <c r="AJ1186" s="6" t="s">
        <v>15839</v>
      </c>
      <c r="AK1186" s="6" t="s">
        <v>16686</v>
      </c>
      <c r="AL1186" s="6" t="s">
        <v>16931</v>
      </c>
      <c r="AM1186" s="6" t="s">
        <v>17784</v>
      </c>
      <c r="AN1186" s="6" t="s">
        <v>18507</v>
      </c>
      <c r="AO1186" s="6" t="s">
        <v>18800</v>
      </c>
      <c r="AP1186" s="6" t="s">
        <v>19025</v>
      </c>
      <c r="AQ1186" s="6" t="s">
        <v>104</v>
      </c>
      <c r="AR1186" s="6" t="s">
        <v>19612</v>
      </c>
      <c r="AS1186" s="6" t="s">
        <v>16750</v>
      </c>
      <c r="AT1186" s="6" t="s">
        <v>16958</v>
      </c>
      <c r="AU1186" s="6" t="s">
        <v>19836</v>
      </c>
      <c r="AV1186" s="6" t="s">
        <v>104</v>
      </c>
      <c r="AW1186" s="6" t="s">
        <v>104</v>
      </c>
      <c r="AX1186" s="6" t="s">
        <v>20259</v>
      </c>
      <c r="AY1186" s="6" t="s">
        <v>22084</v>
      </c>
      <c r="AZ1186" s="6" t="s">
        <v>104</v>
      </c>
      <c r="BA1186" s="6" t="s">
        <v>104</v>
      </c>
      <c r="BB1186" s="6" t="s">
        <v>104</v>
      </c>
      <c r="BC1186" s="26"/>
      <c r="BD1186" s="26"/>
      <c r="BE1186" s="26"/>
      <c r="BF1186" s="26"/>
      <c r="BG1186" s="26"/>
      <c r="BH1186" s="26"/>
      <c r="BI1186" s="26"/>
      <c r="BJ1186" s="26"/>
      <c r="BK1186" s="26"/>
      <c r="BL1186" s="26"/>
      <c r="BM1186" s="26"/>
      <c r="BN1186" s="26"/>
      <c r="BO1186" s="26"/>
      <c r="BP1186" s="16" t="n">
        <v>45737</v>
      </c>
      <c r="BQ1186" s="28" t="str">
        <f>HYPERLINK("https://organic.ams.usda.gov/Integrity/Certificate.aspx?cid=71&amp;nopid=5520030591")</f>
        <v>https://organic.ams.usda.gov/Integrity/Certificate.aspx?cid=71&amp;nopid=5520030591</v>
      </c>
    </row>
    <row r="1187">
      <c r="A1187" t="s">
        <v>3</v>
      </c>
      <c r="B1187" s="6" t="s">
        <v>23</v>
      </c>
      <c r="C1187" s="6" t="s">
        <v>89</v>
      </c>
      <c r="D1187" s="6" t="s">
        <v>154</v>
      </c>
      <c r="E1187" s="10" t="s">
        <v>1385</v>
      </c>
      <c r="F1187" s="6" t="s">
        <v>3628</v>
      </c>
      <c r="G1187" s="6" t="s">
        <v>4784</v>
      </c>
      <c r="H1187" s="6" t="s">
        <v>5975</v>
      </c>
      <c r="I1187" s="6" t="s">
        <v>7013</v>
      </c>
      <c r="J1187" s="6" t="s">
        <v>9023</v>
      </c>
      <c r="K1187" s="6" t="s">
        <v>9714</v>
      </c>
      <c r="L1187" s="16" t="n">
        <v>42968</v>
      </c>
      <c r="M1187" s="16" t="n">
        <v>45689</v>
      </c>
      <c r="N1187" s="6" t="s">
        <v>104</v>
      </c>
      <c r="O1187" s="21" t="s">
        <v>104</v>
      </c>
      <c r="P1187" s="6" t="s">
        <v>104</v>
      </c>
      <c r="Q1187" s="6" t="s">
        <v>104</v>
      </c>
      <c r="R1187" s="6" t="s">
        <v>104</v>
      </c>
      <c r="S1187" s="6" t="s">
        <v>104</v>
      </c>
      <c r="T1187" s="21" t="s">
        <v>104</v>
      </c>
      <c r="U1187" s="6" t="s">
        <v>104</v>
      </c>
      <c r="V1187" s="6" t="s">
        <v>104</v>
      </c>
      <c r="W1187" s="6" t="s">
        <v>104</v>
      </c>
      <c r="X1187" s="6" t="s">
        <v>104</v>
      </c>
      <c r="Y1187" s="21" t="s">
        <v>104</v>
      </c>
      <c r="Z1187" s="6" t="s">
        <v>104</v>
      </c>
      <c r="AA1187" s="6" t="s">
        <v>104</v>
      </c>
      <c r="AB1187" s="6" t="s">
        <v>104</v>
      </c>
      <c r="AC1187" s="6" t="s">
        <v>9714</v>
      </c>
      <c r="AD1187" s="16" t="n">
        <v>42968</v>
      </c>
      <c r="AE1187" s="6" t="s">
        <v>11562</v>
      </c>
      <c r="AF1187" s="6" t="s">
        <v>104</v>
      </c>
      <c r="AG1187" s="6" t="s">
        <v>5975</v>
      </c>
      <c r="AH1187" s="6" t="s">
        <v>14240</v>
      </c>
      <c r="AI1187" s="6" t="s">
        <v>104</v>
      </c>
      <c r="AJ1187" s="6" t="s">
        <v>16133</v>
      </c>
      <c r="AK1187" s="6" t="s">
        <v>16714</v>
      </c>
      <c r="AL1187" s="6" t="s">
        <v>16931</v>
      </c>
      <c r="AM1187" s="6" t="s">
        <v>17785</v>
      </c>
      <c r="AN1187" s="6" t="s">
        <v>18504</v>
      </c>
      <c r="AO1187" s="6" t="s">
        <v>18559</v>
      </c>
      <c r="AP1187" s="6" t="s">
        <v>104</v>
      </c>
      <c r="AQ1187" s="6" t="s">
        <v>104</v>
      </c>
      <c r="AR1187" s="6" t="s">
        <v>104</v>
      </c>
      <c r="AS1187" s="6" t="s">
        <v>104</v>
      </c>
      <c r="AT1187" s="6" t="s">
        <v>104</v>
      </c>
      <c r="AU1187" s="6" t="s">
        <v>104</v>
      </c>
      <c r="AV1187" s="6" t="s">
        <v>104</v>
      </c>
      <c r="AW1187" s="6" t="s">
        <v>104</v>
      </c>
      <c r="AX1187" s="6" t="s">
        <v>21043</v>
      </c>
      <c r="AY1187" s="6" t="s">
        <v>22841</v>
      </c>
      <c r="AZ1187" s="6" t="s">
        <v>23985</v>
      </c>
      <c r="BA1187" s="6" t="s">
        <v>104</v>
      </c>
      <c r="BB1187" s="24" t="n">
        <v>0</v>
      </c>
      <c r="BC1187" s="26"/>
      <c r="BD1187" s="26"/>
      <c r="BE1187" s="26"/>
      <c r="BF1187" s="26"/>
      <c r="BG1187" s="26" t="s">
        <v>24533</v>
      </c>
      <c r="BH1187" s="26"/>
      <c r="BI1187" s="26"/>
      <c r="BJ1187" s="26"/>
      <c r="BK1187" s="26"/>
      <c r="BL1187" s="26"/>
      <c r="BM1187" s="26"/>
      <c r="BN1187" s="26"/>
      <c r="BO1187" s="26"/>
      <c r="BP1187" s="16" t="n">
        <v>45708</v>
      </c>
      <c r="BQ1187" s="28" t="str">
        <f>HYPERLINK("https://organic.ams.usda.gov/Integrity/Certificate.aspx?cid=45&amp;nopid=9950010511")</f>
        <v>https://organic.ams.usda.gov/Integrity/Certificate.aspx?cid=45&amp;nopid=9950010511</v>
      </c>
    </row>
    <row r="1188">
      <c r="A1188" t="s">
        <v>3</v>
      </c>
      <c r="B1188" s="6" t="s">
        <v>11</v>
      </c>
      <c r="C1188" s="6" t="s">
        <v>77</v>
      </c>
      <c r="D1188" s="6" t="s">
        <v>142</v>
      </c>
      <c r="E1188" s="10" t="s">
        <v>1386</v>
      </c>
      <c r="F1188" s="6" t="s">
        <v>3629</v>
      </c>
      <c r="G1188" s="6" t="s">
        <v>104</v>
      </c>
      <c r="H1188" s="6" t="s">
        <v>104</v>
      </c>
      <c r="I1188" s="6" t="s">
        <v>7363</v>
      </c>
      <c r="J1188" s="6" t="s">
        <v>8642</v>
      </c>
      <c r="K1188" s="6" t="s">
        <v>9714</v>
      </c>
      <c r="L1188" s="16" t="n">
        <v>44915</v>
      </c>
      <c r="M1188" s="16" t="n">
        <v>45934</v>
      </c>
      <c r="N1188" s="6" t="s">
        <v>9714</v>
      </c>
      <c r="O1188" s="16" t="n">
        <v>44915</v>
      </c>
      <c r="P1188" s="6" t="s">
        <v>9962</v>
      </c>
      <c r="Q1188" s="6" t="s">
        <v>104</v>
      </c>
      <c r="R1188" s="6" t="s">
        <v>104</v>
      </c>
      <c r="S1188" s="6" t="s">
        <v>104</v>
      </c>
      <c r="T1188" s="21" t="s">
        <v>104</v>
      </c>
      <c r="U1188" s="6" t="s">
        <v>104</v>
      </c>
      <c r="V1188" s="6" t="s">
        <v>104</v>
      </c>
      <c r="W1188" s="6" t="s">
        <v>104</v>
      </c>
      <c r="X1188" s="6" t="s">
        <v>104</v>
      </c>
      <c r="Y1188" s="21" t="s">
        <v>104</v>
      </c>
      <c r="Z1188" s="6" t="s">
        <v>104</v>
      </c>
      <c r="AA1188" s="6" t="s">
        <v>104</v>
      </c>
      <c r="AB1188" s="6" t="s">
        <v>104</v>
      </c>
      <c r="AC1188" s="6" t="s">
        <v>9714</v>
      </c>
      <c r="AD1188" s="16" t="n">
        <v>44915</v>
      </c>
      <c r="AE1188" s="6" t="s">
        <v>11320</v>
      </c>
      <c r="AF1188" s="6" t="s">
        <v>104</v>
      </c>
      <c r="AG1188" s="6" t="s">
        <v>104</v>
      </c>
      <c r="AH1188" s="6" t="s">
        <v>14241</v>
      </c>
      <c r="AI1188" s="6" t="s">
        <v>104</v>
      </c>
      <c r="AJ1188" s="6" t="s">
        <v>15799</v>
      </c>
      <c r="AK1188" s="6" t="s">
        <v>16795</v>
      </c>
      <c r="AL1188" s="6" t="s">
        <v>16966</v>
      </c>
      <c r="AM1188" s="6" t="s">
        <v>17786</v>
      </c>
      <c r="AN1188" s="6" t="s">
        <v>104</v>
      </c>
      <c r="AO1188" s="6" t="s">
        <v>104</v>
      </c>
      <c r="AP1188" s="6" t="s">
        <v>104</v>
      </c>
      <c r="AQ1188" s="6" t="s">
        <v>104</v>
      </c>
      <c r="AR1188" s="6" t="s">
        <v>104</v>
      </c>
      <c r="AS1188" s="6" t="s">
        <v>104</v>
      </c>
      <c r="AT1188" s="6" t="s">
        <v>104</v>
      </c>
      <c r="AU1188" s="6" t="s">
        <v>104</v>
      </c>
      <c r="AV1188" s="6" t="s">
        <v>104</v>
      </c>
      <c r="AW1188" s="6" t="s">
        <v>104</v>
      </c>
      <c r="AX1188" s="6" t="s">
        <v>20630</v>
      </c>
      <c r="AY1188" s="6" t="s">
        <v>22404</v>
      </c>
      <c r="AZ1188" s="6" t="s">
        <v>104</v>
      </c>
      <c r="BA1188" s="6" t="s">
        <v>24360</v>
      </c>
      <c r="BB1188" s="24" t="n">
        <v>12</v>
      </c>
      <c r="BC1188" s="26"/>
      <c r="BD1188" s="26"/>
      <c r="BE1188" s="26"/>
      <c r="BF1188" s="26"/>
      <c r="BG1188" s="26"/>
      <c r="BH1188" s="26"/>
      <c r="BI1188" s="26"/>
      <c r="BJ1188" s="26"/>
      <c r="BK1188" s="26"/>
      <c r="BL1188" s="26"/>
      <c r="BM1188" s="26"/>
      <c r="BN1188" s="26"/>
      <c r="BO1188" s="26"/>
      <c r="BP1188" s="16" t="n">
        <v>45645</v>
      </c>
      <c r="BQ1188" s="28" t="str">
        <f>HYPERLINK("https://organic.ams.usda.gov/Integrity/Certificate.aspx?cid=21&amp;nopid=1780891269")</f>
        <v>https://organic.ams.usda.gov/Integrity/Certificate.aspx?cid=21&amp;nopid=1780891269</v>
      </c>
    </row>
    <row r="1189">
      <c r="A1189" t="s">
        <v>3</v>
      </c>
      <c r="B1189" s="6" t="s">
        <v>13</v>
      </c>
      <c r="C1189" s="6" t="s">
        <v>79</v>
      </c>
      <c r="D1189" s="6" t="s">
        <v>144</v>
      </c>
      <c r="E1189" s="10" t="s">
        <v>1387</v>
      </c>
      <c r="F1189" s="6" t="s">
        <v>3630</v>
      </c>
      <c r="G1189" s="6" t="s">
        <v>104</v>
      </c>
      <c r="H1189" s="6" t="s">
        <v>5976</v>
      </c>
      <c r="I1189" s="6" t="s">
        <v>7649</v>
      </c>
      <c r="J1189" s="6" t="s">
        <v>8958</v>
      </c>
      <c r="K1189" s="6" t="s">
        <v>9714</v>
      </c>
      <c r="L1189" s="16" t="n">
        <v>42695</v>
      </c>
      <c r="M1189" s="16" t="n">
        <v>46023</v>
      </c>
      <c r="N1189" s="6" t="s">
        <v>9714</v>
      </c>
      <c r="O1189" s="16" t="n">
        <v>42695</v>
      </c>
      <c r="P1189" s="6" t="s">
        <v>10058</v>
      </c>
      <c r="Q1189" s="6" t="s">
        <v>104</v>
      </c>
      <c r="R1189" s="6" t="s">
        <v>104</v>
      </c>
      <c r="S1189" s="6" t="s">
        <v>9714</v>
      </c>
      <c r="T1189" s="16" t="n">
        <v>43061</v>
      </c>
      <c r="U1189" s="6" t="s">
        <v>10487</v>
      </c>
      <c r="V1189" s="6" t="s">
        <v>104</v>
      </c>
      <c r="W1189" s="6" t="s">
        <v>104</v>
      </c>
      <c r="X1189" s="6" t="s">
        <v>104</v>
      </c>
      <c r="Y1189" s="21" t="s">
        <v>104</v>
      </c>
      <c r="Z1189" s="6" t="s">
        <v>104</v>
      </c>
      <c r="AA1189" s="6" t="s">
        <v>104</v>
      </c>
      <c r="AB1189" s="6" t="s">
        <v>104</v>
      </c>
      <c r="AC1189" s="6" t="s">
        <v>104</v>
      </c>
      <c r="AD1189" s="21" t="s">
        <v>104</v>
      </c>
      <c r="AE1189" s="6" t="s">
        <v>104</v>
      </c>
      <c r="AF1189" s="6" t="s">
        <v>104</v>
      </c>
      <c r="AG1189" s="6" t="s">
        <v>104</v>
      </c>
      <c r="AH1189" s="6" t="s">
        <v>104</v>
      </c>
      <c r="AI1189" s="6" t="s">
        <v>104</v>
      </c>
      <c r="AJ1189" s="6" t="s">
        <v>104</v>
      </c>
      <c r="AK1189" s="6" t="s">
        <v>104</v>
      </c>
      <c r="AL1189" s="6" t="s">
        <v>104</v>
      </c>
      <c r="AM1189" s="6" t="s">
        <v>104</v>
      </c>
      <c r="AN1189" s="6" t="s">
        <v>104</v>
      </c>
      <c r="AO1189" s="6" t="s">
        <v>104</v>
      </c>
      <c r="AP1189" s="6" t="s">
        <v>19255</v>
      </c>
      <c r="AQ1189" s="6" t="s">
        <v>104</v>
      </c>
      <c r="AR1189" s="6" t="s">
        <v>19705</v>
      </c>
      <c r="AS1189" s="6" t="s">
        <v>16714</v>
      </c>
      <c r="AT1189" s="6" t="s">
        <v>16931</v>
      </c>
      <c r="AU1189" s="6" t="s">
        <v>19947</v>
      </c>
      <c r="AV1189" s="6" t="s">
        <v>18491</v>
      </c>
      <c r="AW1189" s="6" t="s">
        <v>18868</v>
      </c>
      <c r="AX1189" s="6" t="s">
        <v>21044</v>
      </c>
      <c r="AY1189" s="6" t="s">
        <v>22842</v>
      </c>
      <c r="AZ1189" s="6" t="s">
        <v>104</v>
      </c>
      <c r="BA1189" s="6" t="s">
        <v>104</v>
      </c>
      <c r="BB1189" s="24" t="n">
        <v>1504</v>
      </c>
      <c r="BC1189" s="26"/>
      <c r="BD1189" s="26"/>
      <c r="BE1189" s="26"/>
      <c r="BF1189" s="26" t="s">
        <v>24533</v>
      </c>
      <c r="BG1189" s="26"/>
      <c r="BH1189" s="26"/>
      <c r="BI1189" s="26"/>
      <c r="BJ1189" s="26"/>
      <c r="BK1189" s="26"/>
      <c r="BL1189" s="26"/>
      <c r="BM1189" s="26"/>
      <c r="BN1189" s="26"/>
      <c r="BO1189" s="26"/>
      <c r="BP1189" s="16" t="n">
        <v>45678</v>
      </c>
      <c r="BQ1189" s="28" t="str">
        <f>HYPERLINK("https://organic.ams.usda.gov/Integrity/Certificate.aspx?cid=62&amp;nopid=8150002902")</f>
        <v>https://organic.ams.usda.gov/Integrity/Certificate.aspx?cid=62&amp;nopid=8150002902</v>
      </c>
    </row>
    <row r="1190">
      <c r="A1190" t="s">
        <v>3</v>
      </c>
      <c r="B1190" s="6" t="s">
        <v>34</v>
      </c>
      <c r="C1190" s="6" t="s">
        <v>100</v>
      </c>
      <c r="D1190" s="6" t="s">
        <v>165</v>
      </c>
      <c r="E1190" s="10" t="s">
        <v>1388</v>
      </c>
      <c r="F1190" s="6" t="s">
        <v>3631</v>
      </c>
      <c r="G1190" s="6" t="s">
        <v>104</v>
      </c>
      <c r="H1190" s="6" t="s">
        <v>5977</v>
      </c>
      <c r="I1190" s="6" t="s">
        <v>7381</v>
      </c>
      <c r="J1190" s="6" t="s">
        <v>9024</v>
      </c>
      <c r="K1190" s="6" t="s">
        <v>9714</v>
      </c>
      <c r="L1190" s="16" t="n">
        <v>37375</v>
      </c>
      <c r="M1190" s="16" t="n">
        <v>45891</v>
      </c>
      <c r="N1190" s="6" t="s">
        <v>104</v>
      </c>
      <c r="O1190" s="21" t="s">
        <v>104</v>
      </c>
      <c r="P1190" s="6" t="s">
        <v>104</v>
      </c>
      <c r="Q1190" s="6" t="s">
        <v>104</v>
      </c>
      <c r="R1190" s="6" t="s">
        <v>104</v>
      </c>
      <c r="S1190" s="6" t="s">
        <v>104</v>
      </c>
      <c r="T1190" s="21" t="s">
        <v>104</v>
      </c>
      <c r="U1190" s="6" t="s">
        <v>104</v>
      </c>
      <c r="V1190" s="6" t="s">
        <v>104</v>
      </c>
      <c r="W1190" s="6" t="s">
        <v>104</v>
      </c>
      <c r="X1190" s="6" t="s">
        <v>104</v>
      </c>
      <c r="Y1190" s="21" t="s">
        <v>104</v>
      </c>
      <c r="Z1190" s="6" t="s">
        <v>104</v>
      </c>
      <c r="AA1190" s="6" t="s">
        <v>104</v>
      </c>
      <c r="AB1190" s="6" t="s">
        <v>104</v>
      </c>
      <c r="AC1190" s="6" t="s">
        <v>9714</v>
      </c>
      <c r="AD1190" s="16" t="n">
        <v>37375</v>
      </c>
      <c r="AE1190" s="6" t="s">
        <v>11563</v>
      </c>
      <c r="AF1190" s="6" t="s">
        <v>104</v>
      </c>
      <c r="AG1190" s="6" t="s">
        <v>12857</v>
      </c>
      <c r="AH1190" s="6" t="s">
        <v>14242</v>
      </c>
      <c r="AI1190" s="6" t="s">
        <v>104</v>
      </c>
      <c r="AJ1190" s="6" t="s">
        <v>16134</v>
      </c>
      <c r="AK1190" s="6" t="s">
        <v>16745</v>
      </c>
      <c r="AL1190" s="6" t="s">
        <v>16931</v>
      </c>
      <c r="AM1190" s="6" t="s">
        <v>17787</v>
      </c>
      <c r="AN1190" s="6" t="s">
        <v>18459</v>
      </c>
      <c r="AO1190" s="6" t="s">
        <v>18616</v>
      </c>
      <c r="AP1190" s="6" t="s">
        <v>14242</v>
      </c>
      <c r="AQ1190" s="6" t="s">
        <v>104</v>
      </c>
      <c r="AR1190" s="6" t="s">
        <v>16134</v>
      </c>
      <c r="AS1190" s="6" t="s">
        <v>16745</v>
      </c>
      <c r="AT1190" s="6" t="s">
        <v>16931</v>
      </c>
      <c r="AU1190" s="6" t="s">
        <v>17787</v>
      </c>
      <c r="AV1190" s="6" t="s">
        <v>104</v>
      </c>
      <c r="AW1190" s="6" t="s">
        <v>104</v>
      </c>
      <c r="AX1190" s="6" t="s">
        <v>21045</v>
      </c>
      <c r="AY1190" s="6" t="s">
        <v>22843</v>
      </c>
      <c r="AZ1190" s="6" t="s">
        <v>104</v>
      </c>
      <c r="BA1190" s="6" t="s">
        <v>104</v>
      </c>
      <c r="BB1190" s="6" t="s">
        <v>104</v>
      </c>
      <c r="BC1190" s="26"/>
      <c r="BD1190" s="26"/>
      <c r="BE1190" s="26"/>
      <c r="BF1190" s="26"/>
      <c r="BG1190" s="26"/>
      <c r="BH1190" s="26"/>
      <c r="BI1190" s="26"/>
      <c r="BJ1190" s="26"/>
      <c r="BK1190" s="26"/>
      <c r="BL1190" s="26"/>
      <c r="BM1190" s="26"/>
      <c r="BN1190" s="26"/>
      <c r="BO1190" s="26"/>
      <c r="BP1190" s="16" t="n">
        <v>45737</v>
      </c>
      <c r="BQ1190" s="28" t="str">
        <f>HYPERLINK("https://organic.ams.usda.gov/Integrity/Certificate.aspx?cid=71&amp;nopid=5520031205")</f>
        <v>https://organic.ams.usda.gov/Integrity/Certificate.aspx?cid=71&amp;nopid=5520031205</v>
      </c>
    </row>
    <row r="1191">
      <c r="A1191" t="s">
        <v>3</v>
      </c>
      <c r="B1191" s="6" t="s">
        <v>32</v>
      </c>
      <c r="C1191" s="6" t="s">
        <v>98</v>
      </c>
      <c r="D1191" s="6" t="s">
        <v>163</v>
      </c>
      <c r="E1191" s="10" t="s">
        <v>1389</v>
      </c>
      <c r="F1191" s="6" t="s">
        <v>3632</v>
      </c>
      <c r="G1191" s="6" t="s">
        <v>104</v>
      </c>
      <c r="H1191" s="6" t="s">
        <v>5978</v>
      </c>
      <c r="I1191" s="6" t="s">
        <v>7650</v>
      </c>
      <c r="J1191" s="6" t="s">
        <v>8260</v>
      </c>
      <c r="K1191" s="6" t="s">
        <v>9714</v>
      </c>
      <c r="L1191" s="16" t="n">
        <v>41891</v>
      </c>
      <c r="M1191" s="16" t="n">
        <v>45809</v>
      </c>
      <c r="N1191" s="6" t="s">
        <v>104</v>
      </c>
      <c r="O1191" s="21" t="s">
        <v>104</v>
      </c>
      <c r="P1191" s="6" t="s">
        <v>104</v>
      </c>
      <c r="Q1191" s="6" t="s">
        <v>104</v>
      </c>
      <c r="R1191" s="6" t="s">
        <v>104</v>
      </c>
      <c r="S1191" s="6" t="s">
        <v>104</v>
      </c>
      <c r="T1191" s="21" t="s">
        <v>104</v>
      </c>
      <c r="U1191" s="6" t="s">
        <v>104</v>
      </c>
      <c r="V1191" s="6" t="s">
        <v>104</v>
      </c>
      <c r="W1191" s="6" t="s">
        <v>104</v>
      </c>
      <c r="X1191" s="6" t="s">
        <v>104</v>
      </c>
      <c r="Y1191" s="21" t="s">
        <v>104</v>
      </c>
      <c r="Z1191" s="6" t="s">
        <v>104</v>
      </c>
      <c r="AA1191" s="6" t="s">
        <v>104</v>
      </c>
      <c r="AB1191" s="6" t="s">
        <v>104</v>
      </c>
      <c r="AC1191" s="6" t="s">
        <v>9714</v>
      </c>
      <c r="AD1191" s="16" t="n">
        <v>41891</v>
      </c>
      <c r="AE1191" s="6" t="s">
        <v>11564</v>
      </c>
      <c r="AF1191" s="6" t="s">
        <v>104</v>
      </c>
      <c r="AG1191" s="6" t="s">
        <v>104</v>
      </c>
      <c r="AH1191" s="6" t="s">
        <v>14243</v>
      </c>
      <c r="AI1191" s="6" t="s">
        <v>104</v>
      </c>
      <c r="AJ1191" s="6" t="s">
        <v>16135</v>
      </c>
      <c r="AK1191" s="6" t="s">
        <v>16715</v>
      </c>
      <c r="AL1191" s="6" t="s">
        <v>16931</v>
      </c>
      <c r="AM1191" s="6" t="s">
        <v>17788</v>
      </c>
      <c r="AN1191" s="6" t="s">
        <v>18463</v>
      </c>
      <c r="AO1191" s="6" t="s">
        <v>18801</v>
      </c>
      <c r="AP1191" s="6" t="s">
        <v>104</v>
      </c>
      <c r="AQ1191" s="6" t="s">
        <v>104</v>
      </c>
      <c r="AR1191" s="6" t="s">
        <v>104</v>
      </c>
      <c r="AS1191" s="6" t="s">
        <v>104</v>
      </c>
      <c r="AT1191" s="6" t="s">
        <v>104</v>
      </c>
      <c r="AU1191" s="6" t="s">
        <v>104</v>
      </c>
      <c r="AV1191" s="6" t="s">
        <v>104</v>
      </c>
      <c r="AW1191" s="6" t="s">
        <v>104</v>
      </c>
      <c r="AX1191" s="6" t="s">
        <v>21046</v>
      </c>
      <c r="AY1191" s="6" t="s">
        <v>22844</v>
      </c>
      <c r="AZ1191" s="6" t="s">
        <v>23986</v>
      </c>
      <c r="BA1191" s="6" t="s">
        <v>104</v>
      </c>
      <c r="BB1191" s="6" t="s">
        <v>104</v>
      </c>
      <c r="BC1191" s="26"/>
      <c r="BD1191" s="26"/>
      <c r="BE1191" s="26"/>
      <c r="BF1191" s="26"/>
      <c r="BG1191" s="26"/>
      <c r="BH1191" s="26"/>
      <c r="BI1191" s="26"/>
      <c r="BJ1191" s="26"/>
      <c r="BK1191" s="26"/>
      <c r="BL1191" s="26" t="s">
        <v>24533</v>
      </c>
      <c r="BM1191" s="26"/>
      <c r="BN1191" s="26"/>
      <c r="BO1191" s="26"/>
      <c r="BP1191" s="16" t="n">
        <v>45618</v>
      </c>
      <c r="BQ1191" s="28" t="str">
        <f>HYPERLINK("https://organic.ams.usda.gov/Integrity/Certificate.aspx?cid=64&amp;nopid=8830000603")</f>
        <v>https://organic.ams.usda.gov/Integrity/Certificate.aspx?cid=64&amp;nopid=8830000603</v>
      </c>
    </row>
    <row r="1192">
      <c r="A1192" t="s">
        <v>3</v>
      </c>
      <c r="B1192" s="6" t="s">
        <v>34</v>
      </c>
      <c r="C1192" s="6" t="s">
        <v>100</v>
      </c>
      <c r="D1192" s="6" t="s">
        <v>165</v>
      </c>
      <c r="E1192" s="10" t="s">
        <v>1390</v>
      </c>
      <c r="F1192" s="6" t="s">
        <v>3633</v>
      </c>
      <c r="G1192" s="6" t="s">
        <v>104</v>
      </c>
      <c r="H1192" s="6" t="s">
        <v>5979</v>
      </c>
      <c r="I1192" s="6" t="s">
        <v>7080</v>
      </c>
      <c r="J1192" s="6" t="s">
        <v>9025</v>
      </c>
      <c r="K1192" s="6" t="s">
        <v>9714</v>
      </c>
      <c r="L1192" s="16" t="n">
        <v>37375</v>
      </c>
      <c r="M1192" s="16" t="n">
        <v>45742</v>
      </c>
      <c r="N1192" s="6" t="s">
        <v>104</v>
      </c>
      <c r="O1192" s="21" t="s">
        <v>104</v>
      </c>
      <c r="P1192" s="6" t="s">
        <v>104</v>
      </c>
      <c r="Q1192" s="6" t="s">
        <v>104</v>
      </c>
      <c r="R1192" s="6" t="s">
        <v>104</v>
      </c>
      <c r="S1192" s="6" t="s">
        <v>104</v>
      </c>
      <c r="T1192" s="21" t="s">
        <v>104</v>
      </c>
      <c r="U1192" s="6" t="s">
        <v>104</v>
      </c>
      <c r="V1192" s="6" t="s">
        <v>104</v>
      </c>
      <c r="W1192" s="6" t="s">
        <v>104</v>
      </c>
      <c r="X1192" s="6" t="s">
        <v>104</v>
      </c>
      <c r="Y1192" s="21" t="s">
        <v>104</v>
      </c>
      <c r="Z1192" s="6" t="s">
        <v>104</v>
      </c>
      <c r="AA1192" s="6" t="s">
        <v>104</v>
      </c>
      <c r="AB1192" s="6" t="s">
        <v>104</v>
      </c>
      <c r="AC1192" s="6" t="s">
        <v>9714</v>
      </c>
      <c r="AD1192" s="16" t="n">
        <v>37375</v>
      </c>
      <c r="AE1192" s="6" t="s">
        <v>11565</v>
      </c>
      <c r="AF1192" s="6" t="s">
        <v>104</v>
      </c>
      <c r="AG1192" s="6" t="s">
        <v>12858</v>
      </c>
      <c r="AH1192" s="6" t="s">
        <v>14244</v>
      </c>
      <c r="AI1192" s="6" t="s">
        <v>104</v>
      </c>
      <c r="AJ1192" s="6" t="s">
        <v>16136</v>
      </c>
      <c r="AK1192" s="6" t="s">
        <v>16734</v>
      </c>
      <c r="AL1192" s="6" t="s">
        <v>16931</v>
      </c>
      <c r="AM1192" s="6" t="s">
        <v>17789</v>
      </c>
      <c r="AN1192" s="6" t="s">
        <v>18465</v>
      </c>
      <c r="AO1192" s="6" t="s">
        <v>18802</v>
      </c>
      <c r="AP1192" s="6" t="s">
        <v>19256</v>
      </c>
      <c r="AQ1192" s="6" t="s">
        <v>104</v>
      </c>
      <c r="AR1192" s="6" t="s">
        <v>15842</v>
      </c>
      <c r="AS1192" s="6" t="s">
        <v>16734</v>
      </c>
      <c r="AT1192" s="6" t="s">
        <v>16931</v>
      </c>
      <c r="AU1192" s="6" t="s">
        <v>19948</v>
      </c>
      <c r="AV1192" s="6" t="s">
        <v>104</v>
      </c>
      <c r="AW1192" s="6" t="s">
        <v>104</v>
      </c>
      <c r="AX1192" s="6" t="s">
        <v>20259</v>
      </c>
      <c r="AY1192" s="6" t="s">
        <v>22845</v>
      </c>
      <c r="AZ1192" s="6" t="s">
        <v>104</v>
      </c>
      <c r="BA1192" s="6" t="s">
        <v>104</v>
      </c>
      <c r="BB1192" s="6" t="s">
        <v>104</v>
      </c>
      <c r="BC1192" s="26"/>
      <c r="BD1192" s="26"/>
      <c r="BE1192" s="26"/>
      <c r="BF1192" s="26"/>
      <c r="BG1192" s="26"/>
      <c r="BH1192" s="26"/>
      <c r="BI1192" s="26"/>
      <c r="BJ1192" s="26"/>
      <c r="BK1192" s="26"/>
      <c r="BL1192" s="26"/>
      <c r="BM1192" s="26"/>
      <c r="BN1192" s="26"/>
      <c r="BO1192" s="26"/>
      <c r="BP1192" s="16" t="n">
        <v>45737</v>
      </c>
      <c r="BQ1192" s="28" t="str">
        <f>HYPERLINK("https://organic.ams.usda.gov/Integrity/Certificate.aspx?cid=71&amp;nopid=5520030498")</f>
        <v>https://organic.ams.usda.gov/Integrity/Certificate.aspx?cid=71&amp;nopid=5520030498</v>
      </c>
    </row>
    <row r="1193">
      <c r="A1193" t="s">
        <v>3</v>
      </c>
      <c r="B1193" s="6" t="s">
        <v>11</v>
      </c>
      <c r="C1193" s="6" t="s">
        <v>77</v>
      </c>
      <c r="D1193" s="6" t="s">
        <v>142</v>
      </c>
      <c r="E1193" s="10" t="s">
        <v>1391</v>
      </c>
      <c r="F1193" s="6" t="s">
        <v>3634</v>
      </c>
      <c r="G1193" s="6" t="s">
        <v>104</v>
      </c>
      <c r="H1193" s="6" t="s">
        <v>104</v>
      </c>
      <c r="I1193" s="6" t="s">
        <v>7651</v>
      </c>
      <c r="J1193" s="6" t="s">
        <v>9026</v>
      </c>
      <c r="K1193" s="6" t="s">
        <v>9714</v>
      </c>
      <c r="L1193" s="16" t="n">
        <v>44308</v>
      </c>
      <c r="M1193" s="16" t="n">
        <v>45635</v>
      </c>
      <c r="N1193" s="6" t="s">
        <v>9714</v>
      </c>
      <c r="O1193" s="16" t="n">
        <v>44308</v>
      </c>
      <c r="P1193" s="6" t="s">
        <v>10059</v>
      </c>
      <c r="Q1193" s="6" t="s">
        <v>104</v>
      </c>
      <c r="R1193" s="6" t="s">
        <v>104</v>
      </c>
      <c r="S1193" s="6" t="s">
        <v>104</v>
      </c>
      <c r="T1193" s="21" t="s">
        <v>104</v>
      </c>
      <c r="U1193" s="6" t="s">
        <v>104</v>
      </c>
      <c r="V1193" s="6" t="s">
        <v>104</v>
      </c>
      <c r="W1193" s="6" t="s">
        <v>104</v>
      </c>
      <c r="X1193" s="6" t="s">
        <v>104</v>
      </c>
      <c r="Y1193" s="21" t="s">
        <v>104</v>
      </c>
      <c r="Z1193" s="6" t="s">
        <v>104</v>
      </c>
      <c r="AA1193" s="6" t="s">
        <v>104</v>
      </c>
      <c r="AB1193" s="6" t="s">
        <v>104</v>
      </c>
      <c r="AC1193" s="6" t="s">
        <v>9714</v>
      </c>
      <c r="AD1193" s="16" t="n">
        <v>44308</v>
      </c>
      <c r="AE1193" s="6" t="s">
        <v>11566</v>
      </c>
      <c r="AF1193" s="6" t="s">
        <v>104</v>
      </c>
      <c r="AG1193" s="6" t="s">
        <v>104</v>
      </c>
      <c r="AH1193" s="6" t="s">
        <v>14245</v>
      </c>
      <c r="AI1193" s="6" t="s">
        <v>104</v>
      </c>
      <c r="AJ1193" s="6" t="s">
        <v>104</v>
      </c>
      <c r="AK1193" s="6" t="s">
        <v>104</v>
      </c>
      <c r="AL1193" s="6" t="s">
        <v>16940</v>
      </c>
      <c r="AM1193" s="6" t="s">
        <v>104</v>
      </c>
      <c r="AN1193" s="6" t="s">
        <v>104</v>
      </c>
      <c r="AO1193" s="6" t="s">
        <v>104</v>
      </c>
      <c r="AP1193" s="6" t="s">
        <v>104</v>
      </c>
      <c r="AQ1193" s="6" t="s">
        <v>104</v>
      </c>
      <c r="AR1193" s="6" t="s">
        <v>104</v>
      </c>
      <c r="AS1193" s="6" t="s">
        <v>104</v>
      </c>
      <c r="AT1193" s="6" t="s">
        <v>104</v>
      </c>
      <c r="AU1193" s="6" t="s">
        <v>104</v>
      </c>
      <c r="AV1193" s="6" t="s">
        <v>104</v>
      </c>
      <c r="AW1193" s="6" t="s">
        <v>104</v>
      </c>
      <c r="AX1193" s="6" t="s">
        <v>21047</v>
      </c>
      <c r="AY1193" s="6" t="s">
        <v>22846</v>
      </c>
      <c r="AZ1193" s="6" t="s">
        <v>104</v>
      </c>
      <c r="BA1193" s="6" t="s">
        <v>104</v>
      </c>
      <c r="BB1193" s="24" t="n">
        <v>1814</v>
      </c>
      <c r="BC1193" s="26"/>
      <c r="BD1193" s="26"/>
      <c r="BE1193" s="26"/>
      <c r="BF1193" s="26"/>
      <c r="BG1193" s="26"/>
      <c r="BH1193" s="26"/>
      <c r="BI1193" s="26"/>
      <c r="BJ1193" s="26"/>
      <c r="BK1193" s="26"/>
      <c r="BL1193" s="26"/>
      <c r="BM1193" s="26"/>
      <c r="BN1193" s="26"/>
      <c r="BO1193" s="26"/>
      <c r="BP1193" s="16" t="n">
        <v>45537</v>
      </c>
      <c r="BQ1193" s="28" t="str">
        <f>HYPERLINK("https://organic.ams.usda.gov/Integrity/Certificate.aspx?cid=21&amp;nopid=1780876343")</f>
        <v>https://organic.ams.usda.gov/Integrity/Certificate.aspx?cid=21&amp;nopid=1780876343</v>
      </c>
    </row>
    <row r="1194">
      <c r="A1194" t="s">
        <v>3</v>
      </c>
      <c r="B1194" s="6" t="s">
        <v>21</v>
      </c>
      <c r="C1194" s="6" t="s">
        <v>87</v>
      </c>
      <c r="D1194" s="6" t="s">
        <v>152</v>
      </c>
      <c r="E1194" s="10" t="s">
        <v>1392</v>
      </c>
      <c r="F1194" s="6" t="s">
        <v>3635</v>
      </c>
      <c r="G1194" s="6" t="s">
        <v>4785</v>
      </c>
      <c r="H1194" s="6" t="s">
        <v>5980</v>
      </c>
      <c r="I1194" s="6" t="s">
        <v>7652</v>
      </c>
      <c r="J1194" s="6" t="s">
        <v>9027</v>
      </c>
      <c r="K1194" s="6" t="s">
        <v>9714</v>
      </c>
      <c r="L1194" s="16" t="n">
        <v>44371</v>
      </c>
      <c r="M1194" s="16" t="n">
        <v>46023</v>
      </c>
      <c r="N1194" s="6" t="s">
        <v>104</v>
      </c>
      <c r="O1194" s="21" t="s">
        <v>104</v>
      </c>
      <c r="P1194" s="6" t="s">
        <v>104</v>
      </c>
      <c r="Q1194" s="6" t="s">
        <v>104</v>
      </c>
      <c r="R1194" s="6" t="s">
        <v>104</v>
      </c>
      <c r="S1194" s="6" t="s">
        <v>104</v>
      </c>
      <c r="T1194" s="21" t="s">
        <v>104</v>
      </c>
      <c r="U1194" s="6" t="s">
        <v>104</v>
      </c>
      <c r="V1194" s="6" t="s">
        <v>104</v>
      </c>
      <c r="W1194" s="6" t="s">
        <v>104</v>
      </c>
      <c r="X1194" s="6" t="s">
        <v>104</v>
      </c>
      <c r="Y1194" s="21" t="s">
        <v>104</v>
      </c>
      <c r="Z1194" s="6" t="s">
        <v>104</v>
      </c>
      <c r="AA1194" s="6" t="s">
        <v>104</v>
      </c>
      <c r="AB1194" s="6" t="s">
        <v>104</v>
      </c>
      <c r="AC1194" s="6" t="s">
        <v>9714</v>
      </c>
      <c r="AD1194" s="16" t="n">
        <v>44371</v>
      </c>
      <c r="AE1194" s="6" t="s">
        <v>11567</v>
      </c>
      <c r="AF1194" s="6" t="s">
        <v>104</v>
      </c>
      <c r="AG1194" s="6" t="s">
        <v>104</v>
      </c>
      <c r="AH1194" s="6" t="s">
        <v>14246</v>
      </c>
      <c r="AI1194" s="6" t="s">
        <v>104</v>
      </c>
      <c r="AJ1194" s="6" t="s">
        <v>15459</v>
      </c>
      <c r="AK1194" s="6" t="s">
        <v>15697</v>
      </c>
      <c r="AL1194" s="6" t="s">
        <v>16931</v>
      </c>
      <c r="AM1194" s="6" t="s">
        <v>17790</v>
      </c>
      <c r="AN1194" s="6" t="s">
        <v>18464</v>
      </c>
      <c r="AO1194" s="6" t="s">
        <v>18803</v>
      </c>
      <c r="AP1194" s="6" t="s">
        <v>14246</v>
      </c>
      <c r="AQ1194" s="6" t="s">
        <v>104</v>
      </c>
      <c r="AR1194" s="6" t="s">
        <v>15459</v>
      </c>
      <c r="AS1194" s="6" t="s">
        <v>15697</v>
      </c>
      <c r="AT1194" s="6" t="s">
        <v>16931</v>
      </c>
      <c r="AU1194" s="6" t="s">
        <v>17790</v>
      </c>
      <c r="AV1194" s="6" t="s">
        <v>104</v>
      </c>
      <c r="AW1194" s="6" t="s">
        <v>104</v>
      </c>
      <c r="AX1194" s="6" t="s">
        <v>21048</v>
      </c>
      <c r="AY1194" s="6" t="s">
        <v>22847</v>
      </c>
      <c r="AZ1194" s="6" t="s">
        <v>23987</v>
      </c>
      <c r="BA1194" s="6" t="s">
        <v>24263</v>
      </c>
      <c r="BB1194" s="6" t="s">
        <v>104</v>
      </c>
      <c r="BC1194" s="26"/>
      <c r="BD1194" s="26"/>
      <c r="BE1194" s="26"/>
      <c r="BF1194" s="26"/>
      <c r="BG1194" s="26"/>
      <c r="BH1194" s="26"/>
      <c r="BI1194" s="26"/>
      <c r="BJ1194" s="26"/>
      <c r="BK1194" s="26"/>
      <c r="BL1194" s="26"/>
      <c r="BM1194" s="26"/>
      <c r="BN1194" s="26"/>
      <c r="BO1194" s="26"/>
      <c r="BP1194" s="16" t="n">
        <v>45734</v>
      </c>
      <c r="BQ1194" s="28" t="str">
        <f>HYPERLINK("https://organic.ams.usda.gov/Integrity/Certificate.aspx?cid=15&amp;nopid=5561006969")</f>
        <v>https://organic.ams.usda.gov/Integrity/Certificate.aspx?cid=15&amp;nopid=5561006969</v>
      </c>
    </row>
    <row r="1195">
      <c r="A1195" t="s">
        <v>3</v>
      </c>
      <c r="B1195" s="6" t="s">
        <v>29</v>
      </c>
      <c r="C1195" s="6" t="s">
        <v>95</v>
      </c>
      <c r="D1195" s="6" t="s">
        <v>160</v>
      </c>
      <c r="E1195" s="10" t="s">
        <v>1393</v>
      </c>
      <c r="F1195" s="6" t="s">
        <v>3636</v>
      </c>
      <c r="G1195" s="6" t="s">
        <v>104</v>
      </c>
      <c r="H1195" s="6" t="s">
        <v>5981</v>
      </c>
      <c r="I1195" s="6" t="s">
        <v>104</v>
      </c>
      <c r="J1195" s="6" t="s">
        <v>9028</v>
      </c>
      <c r="K1195" s="6" t="s">
        <v>9714</v>
      </c>
      <c r="L1195" s="16" t="n">
        <v>45559</v>
      </c>
      <c r="M1195" s="16" t="n">
        <v>46054</v>
      </c>
      <c r="N1195" s="6" t="s">
        <v>9714</v>
      </c>
      <c r="O1195" s="16" t="n">
        <v>45559</v>
      </c>
      <c r="P1195" s="6" t="s">
        <v>10060</v>
      </c>
      <c r="Q1195" s="6" t="s">
        <v>104</v>
      </c>
      <c r="R1195" s="6" t="s">
        <v>104</v>
      </c>
      <c r="S1195" s="6" t="s">
        <v>104</v>
      </c>
      <c r="T1195" s="21" t="s">
        <v>104</v>
      </c>
      <c r="U1195" s="6" t="s">
        <v>104</v>
      </c>
      <c r="V1195" s="6" t="s">
        <v>104</v>
      </c>
      <c r="W1195" s="6" t="s">
        <v>104</v>
      </c>
      <c r="X1195" s="6" t="s">
        <v>104</v>
      </c>
      <c r="Y1195" s="21" t="s">
        <v>104</v>
      </c>
      <c r="Z1195" s="6" t="s">
        <v>104</v>
      </c>
      <c r="AA1195" s="6" t="s">
        <v>104</v>
      </c>
      <c r="AB1195" s="6" t="s">
        <v>104</v>
      </c>
      <c r="AC1195" s="6" t="s">
        <v>9714</v>
      </c>
      <c r="AD1195" s="16" t="n">
        <v>45559</v>
      </c>
      <c r="AE1195" s="6" t="s">
        <v>11568</v>
      </c>
      <c r="AF1195" s="6" t="s">
        <v>104</v>
      </c>
      <c r="AG1195" s="6" t="s">
        <v>104</v>
      </c>
      <c r="AH1195" s="6" t="s">
        <v>14247</v>
      </c>
      <c r="AI1195" s="6" t="s">
        <v>104</v>
      </c>
      <c r="AJ1195" s="6" t="s">
        <v>16137</v>
      </c>
      <c r="AK1195" s="6" t="s">
        <v>15707</v>
      </c>
      <c r="AL1195" s="6" t="s">
        <v>16766</v>
      </c>
      <c r="AM1195" s="6" t="s">
        <v>104</v>
      </c>
      <c r="AN1195" s="6" t="s">
        <v>104</v>
      </c>
      <c r="AO1195" s="6" t="s">
        <v>104</v>
      </c>
      <c r="AP1195" s="6" t="s">
        <v>104</v>
      </c>
      <c r="AQ1195" s="6" t="s">
        <v>104</v>
      </c>
      <c r="AR1195" s="6" t="s">
        <v>104</v>
      </c>
      <c r="AS1195" s="6" t="s">
        <v>104</v>
      </c>
      <c r="AT1195" s="6" t="s">
        <v>104</v>
      </c>
      <c r="AU1195" s="6" t="s">
        <v>104</v>
      </c>
      <c r="AV1195" s="6" t="s">
        <v>104</v>
      </c>
      <c r="AW1195" s="6" t="s">
        <v>104</v>
      </c>
      <c r="AX1195" s="6" t="s">
        <v>21049</v>
      </c>
      <c r="AY1195" s="6" t="s">
        <v>22848</v>
      </c>
      <c r="AZ1195" s="6" t="s">
        <v>104</v>
      </c>
      <c r="BA1195" s="6" t="s">
        <v>104</v>
      </c>
      <c r="BB1195" s="24" t="n">
        <v>0</v>
      </c>
      <c r="BC1195" s="26"/>
      <c r="BD1195" s="26"/>
      <c r="BE1195" s="26"/>
      <c r="BF1195" s="26"/>
      <c r="BG1195" s="26"/>
      <c r="BH1195" s="26"/>
      <c r="BI1195" s="26"/>
      <c r="BJ1195" s="26"/>
      <c r="BK1195" s="26"/>
      <c r="BL1195" s="26"/>
      <c r="BM1195" s="26"/>
      <c r="BN1195" s="26"/>
      <c r="BO1195" s="26"/>
      <c r="BP1195" s="16" t="n">
        <v>45691</v>
      </c>
      <c r="BQ1195" s="28" t="str">
        <f>HYPERLINK("https://organic.ams.usda.gov/Integrity/Certificate.aspx?cid=24&amp;nopid=7880294605")</f>
        <v>https://organic.ams.usda.gov/Integrity/Certificate.aspx?cid=24&amp;nopid=7880294605</v>
      </c>
    </row>
    <row r="1196">
      <c r="A1196" t="s">
        <v>3</v>
      </c>
      <c r="B1196" s="6" t="s">
        <v>6</v>
      </c>
      <c r="C1196" s="6" t="s">
        <v>72</v>
      </c>
      <c r="D1196" s="6" t="s">
        <v>137</v>
      </c>
      <c r="E1196" s="10" t="s">
        <v>1394</v>
      </c>
      <c r="F1196" s="6" t="s">
        <v>3637</v>
      </c>
      <c r="G1196" s="6" t="s">
        <v>104</v>
      </c>
      <c r="H1196" s="6" t="s">
        <v>5982</v>
      </c>
      <c r="I1196" s="6" t="s">
        <v>7653</v>
      </c>
      <c r="J1196" s="6" t="s">
        <v>7280</v>
      </c>
      <c r="K1196" s="6" t="s">
        <v>9714</v>
      </c>
      <c r="L1196" s="16" t="n">
        <v>43027</v>
      </c>
      <c r="M1196" s="16" t="n">
        <v>45933</v>
      </c>
      <c r="N1196" s="6" t="s">
        <v>104</v>
      </c>
      <c r="O1196" s="21" t="s">
        <v>104</v>
      </c>
      <c r="P1196" s="6" t="s">
        <v>104</v>
      </c>
      <c r="Q1196" s="6" t="s">
        <v>104</v>
      </c>
      <c r="R1196" s="6" t="s">
        <v>104</v>
      </c>
      <c r="S1196" s="6" t="s">
        <v>104</v>
      </c>
      <c r="T1196" s="21" t="s">
        <v>104</v>
      </c>
      <c r="U1196" s="6" t="s">
        <v>104</v>
      </c>
      <c r="V1196" s="6" t="s">
        <v>104</v>
      </c>
      <c r="W1196" s="6" t="s">
        <v>104</v>
      </c>
      <c r="X1196" s="6" t="s">
        <v>104</v>
      </c>
      <c r="Y1196" s="21" t="s">
        <v>104</v>
      </c>
      <c r="Z1196" s="6" t="s">
        <v>104</v>
      </c>
      <c r="AA1196" s="6" t="s">
        <v>104</v>
      </c>
      <c r="AB1196" s="6" t="s">
        <v>104</v>
      </c>
      <c r="AC1196" s="6" t="s">
        <v>9714</v>
      </c>
      <c r="AD1196" s="16" t="n">
        <v>43027</v>
      </c>
      <c r="AE1196" s="6" t="s">
        <v>11569</v>
      </c>
      <c r="AF1196" s="6" t="s">
        <v>104</v>
      </c>
      <c r="AG1196" s="6" t="s">
        <v>12859</v>
      </c>
      <c r="AH1196" s="6" t="s">
        <v>14248</v>
      </c>
      <c r="AI1196" s="6" t="s">
        <v>104</v>
      </c>
      <c r="AJ1196" s="6" t="s">
        <v>16138</v>
      </c>
      <c r="AK1196" s="6" t="s">
        <v>15707</v>
      </c>
      <c r="AL1196" s="6" t="s">
        <v>16766</v>
      </c>
      <c r="AM1196" s="6" t="s">
        <v>104</v>
      </c>
      <c r="AN1196" s="6" t="s">
        <v>104</v>
      </c>
      <c r="AO1196" s="6" t="s">
        <v>104</v>
      </c>
      <c r="AP1196" s="6" t="s">
        <v>104</v>
      </c>
      <c r="AQ1196" s="6" t="s">
        <v>104</v>
      </c>
      <c r="AR1196" s="6" t="s">
        <v>104</v>
      </c>
      <c r="AS1196" s="6" t="s">
        <v>104</v>
      </c>
      <c r="AT1196" s="6" t="s">
        <v>104</v>
      </c>
      <c r="AU1196" s="6" t="s">
        <v>104</v>
      </c>
      <c r="AV1196" s="6" t="s">
        <v>104</v>
      </c>
      <c r="AW1196" s="6" t="s">
        <v>104</v>
      </c>
      <c r="AX1196" s="6" t="s">
        <v>21050</v>
      </c>
      <c r="AY1196" s="6" t="s">
        <v>22849</v>
      </c>
      <c r="AZ1196" s="6" t="s">
        <v>104</v>
      </c>
      <c r="BA1196" s="6" t="s">
        <v>24258</v>
      </c>
      <c r="BB1196" s="6" t="s">
        <v>104</v>
      </c>
      <c r="BC1196" s="26"/>
      <c r="BD1196" s="26"/>
      <c r="BE1196" s="26"/>
      <c r="BF1196" s="26"/>
      <c r="BG1196" s="26"/>
      <c r="BH1196" s="26"/>
      <c r="BI1196" s="26"/>
      <c r="BJ1196" s="26"/>
      <c r="BK1196" s="26"/>
      <c r="BL1196" s="26"/>
      <c r="BM1196" s="26"/>
      <c r="BN1196" s="26"/>
      <c r="BO1196" s="26"/>
      <c r="BP1196" s="16" t="n">
        <v>45737</v>
      </c>
      <c r="BQ1196" s="28" t="str">
        <f>HYPERLINK("https://organic.ams.usda.gov/Integrity/Certificate.aspx?cid=32&amp;nopid=2230005314")</f>
        <v>https://organic.ams.usda.gov/Integrity/Certificate.aspx?cid=32&amp;nopid=2230005314</v>
      </c>
    </row>
    <row r="1197">
      <c r="A1197" t="s">
        <v>3</v>
      </c>
      <c r="B1197" s="6" t="s">
        <v>17</v>
      </c>
      <c r="C1197" s="6" t="s">
        <v>83</v>
      </c>
      <c r="D1197" s="6" t="s">
        <v>148</v>
      </c>
      <c r="E1197" s="10" t="s">
        <v>1395</v>
      </c>
      <c r="F1197" s="6" t="s">
        <v>3638</v>
      </c>
      <c r="G1197" s="6" t="s">
        <v>104</v>
      </c>
      <c r="H1197" s="6" t="s">
        <v>5983</v>
      </c>
      <c r="I1197" s="6" t="s">
        <v>7654</v>
      </c>
      <c r="J1197" s="6" t="s">
        <v>7269</v>
      </c>
      <c r="K1197" s="6" t="s">
        <v>9714</v>
      </c>
      <c r="L1197" s="16" t="n">
        <v>45397</v>
      </c>
      <c r="M1197" s="16" t="n">
        <v>45658</v>
      </c>
      <c r="N1197" s="6" t="s">
        <v>104</v>
      </c>
      <c r="O1197" s="21" t="s">
        <v>104</v>
      </c>
      <c r="P1197" s="6" t="s">
        <v>104</v>
      </c>
      <c r="Q1197" s="6" t="s">
        <v>104</v>
      </c>
      <c r="R1197" s="6" t="s">
        <v>104</v>
      </c>
      <c r="S1197" s="6" t="s">
        <v>104</v>
      </c>
      <c r="T1197" s="21" t="s">
        <v>104</v>
      </c>
      <c r="U1197" s="6" t="s">
        <v>104</v>
      </c>
      <c r="V1197" s="6" t="s">
        <v>104</v>
      </c>
      <c r="W1197" s="6" t="s">
        <v>104</v>
      </c>
      <c r="X1197" s="6" t="s">
        <v>104</v>
      </c>
      <c r="Y1197" s="21" t="s">
        <v>104</v>
      </c>
      <c r="Z1197" s="6" t="s">
        <v>104</v>
      </c>
      <c r="AA1197" s="6" t="s">
        <v>104</v>
      </c>
      <c r="AB1197" s="6" t="s">
        <v>104</v>
      </c>
      <c r="AC1197" s="6" t="s">
        <v>9714</v>
      </c>
      <c r="AD1197" s="16" t="n">
        <v>45397</v>
      </c>
      <c r="AE1197" s="6" t="s">
        <v>11570</v>
      </c>
      <c r="AF1197" s="6" t="s">
        <v>104</v>
      </c>
      <c r="AG1197" s="6" t="s">
        <v>104</v>
      </c>
      <c r="AH1197" s="6" t="s">
        <v>104</v>
      </c>
      <c r="AI1197" s="6" t="s">
        <v>104</v>
      </c>
      <c r="AJ1197" s="6" t="s">
        <v>104</v>
      </c>
      <c r="AK1197" s="6" t="s">
        <v>104</v>
      </c>
      <c r="AL1197" s="6" t="s">
        <v>104</v>
      </c>
      <c r="AM1197" s="6" t="s">
        <v>104</v>
      </c>
      <c r="AN1197" s="6" t="s">
        <v>104</v>
      </c>
      <c r="AO1197" s="6" t="s">
        <v>104</v>
      </c>
      <c r="AP1197" s="6" t="s">
        <v>19257</v>
      </c>
      <c r="AQ1197" s="6" t="s">
        <v>19567</v>
      </c>
      <c r="AR1197" s="6" t="s">
        <v>16206</v>
      </c>
      <c r="AS1197" s="6" t="s">
        <v>16687</v>
      </c>
      <c r="AT1197" s="6" t="s">
        <v>16931</v>
      </c>
      <c r="AU1197" s="6" t="s">
        <v>19949</v>
      </c>
      <c r="AV1197" s="6" t="s">
        <v>18460</v>
      </c>
      <c r="AW1197" s="6" t="s">
        <v>18604</v>
      </c>
      <c r="AX1197" s="6" t="s">
        <v>21051</v>
      </c>
      <c r="AY1197" s="6" t="s">
        <v>22850</v>
      </c>
      <c r="AZ1197" s="6" t="s">
        <v>104</v>
      </c>
      <c r="BA1197" s="6" t="s">
        <v>104</v>
      </c>
      <c r="BB1197" s="24" t="n">
        <v>0</v>
      </c>
      <c r="BC1197" s="26"/>
      <c r="BD1197" s="26"/>
      <c r="BE1197" s="26"/>
      <c r="BF1197" s="26"/>
      <c r="BG1197" s="26"/>
      <c r="BH1197" s="26" t="s">
        <v>24533</v>
      </c>
      <c r="BI1197" s="26"/>
      <c r="BJ1197" s="26"/>
      <c r="BK1197" s="26"/>
      <c r="BL1197" s="26"/>
      <c r="BM1197" s="26"/>
      <c r="BN1197" s="26"/>
      <c r="BO1197" s="26"/>
      <c r="BP1197" s="16" t="n">
        <v>45728</v>
      </c>
      <c r="BQ1197" s="28" t="str">
        <f>HYPERLINK("https://organic.ams.usda.gov/Integrity/Certificate.aspx?cid=51&amp;nopid=8240030823")</f>
        <v>https://organic.ams.usda.gov/Integrity/Certificate.aspx?cid=51&amp;nopid=8240030823</v>
      </c>
    </row>
    <row r="1198">
      <c r="A1198" t="s">
        <v>3</v>
      </c>
      <c r="B1198" s="6" t="s">
        <v>15</v>
      </c>
      <c r="C1198" s="6" t="s">
        <v>81</v>
      </c>
      <c r="D1198" s="6" t="s">
        <v>146</v>
      </c>
      <c r="E1198" s="10" t="s">
        <v>1396</v>
      </c>
      <c r="F1198" s="6" t="s">
        <v>3639</v>
      </c>
      <c r="G1198" s="6" t="s">
        <v>104</v>
      </c>
      <c r="H1198" s="6" t="s">
        <v>5984</v>
      </c>
      <c r="I1198" s="6" t="s">
        <v>104</v>
      </c>
      <c r="J1198" s="6" t="s">
        <v>104</v>
      </c>
      <c r="K1198" s="6" t="s">
        <v>9714</v>
      </c>
      <c r="L1198" s="16" t="n">
        <v>43040</v>
      </c>
      <c r="M1198" s="16" t="n">
        <v>45748</v>
      </c>
      <c r="N1198" s="6" t="s">
        <v>104</v>
      </c>
      <c r="O1198" s="21" t="s">
        <v>104</v>
      </c>
      <c r="P1198" s="6" t="s">
        <v>104</v>
      </c>
      <c r="Q1198" s="6" t="s">
        <v>104</v>
      </c>
      <c r="R1198" s="6" t="s">
        <v>104</v>
      </c>
      <c r="S1198" s="6" t="s">
        <v>104</v>
      </c>
      <c r="T1198" s="21" t="s">
        <v>104</v>
      </c>
      <c r="U1198" s="6" t="s">
        <v>104</v>
      </c>
      <c r="V1198" s="6" t="s">
        <v>104</v>
      </c>
      <c r="W1198" s="6" t="s">
        <v>104</v>
      </c>
      <c r="X1198" s="6" t="s">
        <v>104</v>
      </c>
      <c r="Y1198" s="21" t="s">
        <v>104</v>
      </c>
      <c r="Z1198" s="6" t="s">
        <v>104</v>
      </c>
      <c r="AA1198" s="6" t="s">
        <v>104</v>
      </c>
      <c r="AB1198" s="6" t="s">
        <v>104</v>
      </c>
      <c r="AC1198" s="6" t="s">
        <v>9714</v>
      </c>
      <c r="AD1198" s="16" t="n">
        <v>43040</v>
      </c>
      <c r="AE1198" s="6" t="s">
        <v>11571</v>
      </c>
      <c r="AF1198" s="6" t="s">
        <v>104</v>
      </c>
      <c r="AG1198" s="6" t="s">
        <v>12860</v>
      </c>
      <c r="AH1198" s="6" t="s">
        <v>14249</v>
      </c>
      <c r="AI1198" s="6" t="s">
        <v>104</v>
      </c>
      <c r="AJ1198" s="6" t="s">
        <v>15361</v>
      </c>
      <c r="AK1198" s="6" t="s">
        <v>16679</v>
      </c>
      <c r="AL1198" s="6" t="s">
        <v>16931</v>
      </c>
      <c r="AM1198" s="6" t="s">
        <v>16988</v>
      </c>
      <c r="AN1198" s="6" t="s">
        <v>18462</v>
      </c>
      <c r="AO1198" s="6" t="s">
        <v>18804</v>
      </c>
      <c r="AP1198" s="6" t="s">
        <v>104</v>
      </c>
      <c r="AQ1198" s="6" t="s">
        <v>104</v>
      </c>
      <c r="AR1198" s="6" t="s">
        <v>104</v>
      </c>
      <c r="AS1198" s="6" t="s">
        <v>104</v>
      </c>
      <c r="AT1198" s="6" t="s">
        <v>104</v>
      </c>
      <c r="AU1198" s="6" t="s">
        <v>104</v>
      </c>
      <c r="AV1198" s="6" t="s">
        <v>104</v>
      </c>
      <c r="AW1198" s="6" t="s">
        <v>104</v>
      </c>
      <c r="AX1198" s="6" t="s">
        <v>21052</v>
      </c>
      <c r="AY1198" s="6" t="s">
        <v>22851</v>
      </c>
      <c r="AZ1198" s="6" t="s">
        <v>23988</v>
      </c>
      <c r="BA1198" s="6" t="s">
        <v>104</v>
      </c>
      <c r="BB1198" s="6" t="s">
        <v>104</v>
      </c>
      <c r="BC1198" s="26"/>
      <c r="BD1198" s="26"/>
      <c r="BE1198" s="26"/>
      <c r="BF1198" s="26"/>
      <c r="BG1198" s="26"/>
      <c r="BH1198" s="26"/>
      <c r="BI1198" s="26"/>
      <c r="BJ1198" s="26"/>
      <c r="BK1198" s="26"/>
      <c r="BL1198" s="26"/>
      <c r="BM1198" s="26"/>
      <c r="BN1198" s="26"/>
      <c r="BO1198" s="26"/>
      <c r="BP1198" s="16" t="n">
        <v>45738</v>
      </c>
      <c r="BQ1198" s="28" t="str">
        <f>HYPERLINK("https://organic.ams.usda.gov/Integrity/Certificate.aspx?cid=52&amp;nopid=8431701362")</f>
        <v>https://organic.ams.usda.gov/Integrity/Certificate.aspx?cid=52&amp;nopid=8431701362</v>
      </c>
    </row>
    <row r="1199">
      <c r="A1199" t="s">
        <v>3</v>
      </c>
      <c r="B1199" s="6" t="s">
        <v>44</v>
      </c>
      <c r="C1199" s="6" t="s">
        <v>110</v>
      </c>
      <c r="D1199" s="6" t="s">
        <v>174</v>
      </c>
      <c r="E1199" s="10" t="s">
        <v>1397</v>
      </c>
      <c r="F1199" s="6" t="s">
        <v>3640</v>
      </c>
      <c r="G1199" s="6" t="s">
        <v>104</v>
      </c>
      <c r="H1199" s="6" t="s">
        <v>5985</v>
      </c>
      <c r="I1199" s="6" t="s">
        <v>7216</v>
      </c>
      <c r="J1199" s="6" t="s">
        <v>9029</v>
      </c>
      <c r="K1199" s="6" t="s">
        <v>9714</v>
      </c>
      <c r="L1199" s="16" t="n">
        <v>40437</v>
      </c>
      <c r="M1199" s="16" t="n">
        <v>45672</v>
      </c>
      <c r="N1199" s="6" t="s">
        <v>104</v>
      </c>
      <c r="O1199" s="21" t="s">
        <v>104</v>
      </c>
      <c r="P1199" s="6" t="s">
        <v>104</v>
      </c>
      <c r="Q1199" s="6" t="s">
        <v>104</v>
      </c>
      <c r="R1199" s="6" t="s">
        <v>104</v>
      </c>
      <c r="S1199" s="6" t="s">
        <v>104</v>
      </c>
      <c r="T1199" s="21" t="s">
        <v>104</v>
      </c>
      <c r="U1199" s="6" t="s">
        <v>104</v>
      </c>
      <c r="V1199" s="6" t="s">
        <v>104</v>
      </c>
      <c r="W1199" s="6" t="s">
        <v>104</v>
      </c>
      <c r="X1199" s="6" t="s">
        <v>104</v>
      </c>
      <c r="Y1199" s="21" t="s">
        <v>104</v>
      </c>
      <c r="Z1199" s="6" t="s">
        <v>104</v>
      </c>
      <c r="AA1199" s="6" t="s">
        <v>104</v>
      </c>
      <c r="AB1199" s="6" t="s">
        <v>104</v>
      </c>
      <c r="AC1199" s="6" t="s">
        <v>9714</v>
      </c>
      <c r="AD1199" s="16" t="n">
        <v>40437</v>
      </c>
      <c r="AE1199" s="6" t="s">
        <v>11572</v>
      </c>
      <c r="AF1199" s="6" t="s">
        <v>104</v>
      </c>
      <c r="AG1199" s="6" t="s">
        <v>104</v>
      </c>
      <c r="AH1199" s="6" t="s">
        <v>14250</v>
      </c>
      <c r="AI1199" s="6" t="s">
        <v>104</v>
      </c>
      <c r="AJ1199" s="6" t="s">
        <v>16139</v>
      </c>
      <c r="AK1199" s="6" t="s">
        <v>15697</v>
      </c>
      <c r="AL1199" s="6" t="s">
        <v>16931</v>
      </c>
      <c r="AM1199" s="6" t="s">
        <v>6513</v>
      </c>
      <c r="AN1199" s="6" t="s">
        <v>17970</v>
      </c>
      <c r="AO1199" s="6" t="s">
        <v>18567</v>
      </c>
      <c r="AP1199" s="6" t="s">
        <v>19258</v>
      </c>
      <c r="AQ1199" s="6" t="s">
        <v>104</v>
      </c>
      <c r="AR1199" s="6" t="s">
        <v>19706</v>
      </c>
      <c r="AS1199" s="6" t="s">
        <v>15697</v>
      </c>
      <c r="AT1199" s="6" t="s">
        <v>16931</v>
      </c>
      <c r="AU1199" s="6" t="s">
        <v>17027</v>
      </c>
      <c r="AV1199" s="6" t="s">
        <v>104</v>
      </c>
      <c r="AW1199" s="6" t="s">
        <v>104</v>
      </c>
      <c r="AX1199" s="6" t="s">
        <v>21053</v>
      </c>
      <c r="AY1199" s="6" t="s">
        <v>22852</v>
      </c>
      <c r="AZ1199" s="6" t="s">
        <v>23989</v>
      </c>
      <c r="BA1199" s="6" t="s">
        <v>104</v>
      </c>
      <c r="BB1199" s="24" t="n">
        <v>0</v>
      </c>
      <c r="BC1199" s="26"/>
      <c r="BD1199" s="26"/>
      <c r="BE1199" s="26" t="s">
        <v>24533</v>
      </c>
      <c r="BF1199" s="26"/>
      <c r="BG1199" s="26"/>
      <c r="BH1199" s="26"/>
      <c r="BI1199" s="26"/>
      <c r="BJ1199" s="26"/>
      <c r="BK1199" s="26"/>
      <c r="BL1199" s="26" t="s">
        <v>24533</v>
      </c>
      <c r="BM1199" s="26"/>
      <c r="BN1199" s="26"/>
      <c r="BO1199" s="26"/>
      <c r="BP1199" s="16" t="n">
        <v>45700</v>
      </c>
      <c r="BQ1199" s="28" t="str">
        <f>HYPERLINK("https://organic.ams.usda.gov/Integrity/Certificate.aspx?cid=57&amp;nopid=3252009048")</f>
        <v>https://organic.ams.usda.gov/Integrity/Certificate.aspx?cid=57&amp;nopid=3252009048</v>
      </c>
    </row>
    <row r="1200">
      <c r="A1200" t="s">
        <v>3</v>
      </c>
      <c r="B1200" s="6" t="s">
        <v>17</v>
      </c>
      <c r="C1200" s="6" t="s">
        <v>83</v>
      </c>
      <c r="D1200" s="6" t="s">
        <v>148</v>
      </c>
      <c r="E1200" s="10" t="s">
        <v>1398</v>
      </c>
      <c r="F1200" s="6" t="s">
        <v>3641</v>
      </c>
      <c r="G1200" s="6" t="s">
        <v>104</v>
      </c>
      <c r="H1200" s="6" t="s">
        <v>5986</v>
      </c>
      <c r="I1200" s="6" t="s">
        <v>7655</v>
      </c>
      <c r="J1200" s="6" t="s">
        <v>9030</v>
      </c>
      <c r="K1200" s="6" t="s">
        <v>9714</v>
      </c>
      <c r="L1200" s="16" t="n">
        <v>42287</v>
      </c>
      <c r="M1200" s="16" t="n">
        <v>45748</v>
      </c>
      <c r="N1200" s="6" t="s">
        <v>104</v>
      </c>
      <c r="O1200" s="21" t="s">
        <v>104</v>
      </c>
      <c r="P1200" s="6" t="s">
        <v>104</v>
      </c>
      <c r="Q1200" s="6" t="s">
        <v>104</v>
      </c>
      <c r="R1200" s="6" t="s">
        <v>104</v>
      </c>
      <c r="S1200" s="6" t="s">
        <v>104</v>
      </c>
      <c r="T1200" s="21" t="s">
        <v>104</v>
      </c>
      <c r="U1200" s="6" t="s">
        <v>104</v>
      </c>
      <c r="V1200" s="6" t="s">
        <v>104</v>
      </c>
      <c r="W1200" s="6" t="s">
        <v>104</v>
      </c>
      <c r="X1200" s="6" t="s">
        <v>104</v>
      </c>
      <c r="Y1200" s="21" t="s">
        <v>104</v>
      </c>
      <c r="Z1200" s="6" t="s">
        <v>104</v>
      </c>
      <c r="AA1200" s="6" t="s">
        <v>104</v>
      </c>
      <c r="AB1200" s="6" t="s">
        <v>104</v>
      </c>
      <c r="AC1200" s="6" t="s">
        <v>9714</v>
      </c>
      <c r="AD1200" s="16" t="n">
        <v>42287</v>
      </c>
      <c r="AE1200" s="6" t="s">
        <v>11573</v>
      </c>
      <c r="AF1200" s="6" t="s">
        <v>104</v>
      </c>
      <c r="AG1200" s="6" t="s">
        <v>104</v>
      </c>
      <c r="AH1200" s="6" t="s">
        <v>14251</v>
      </c>
      <c r="AI1200" s="6" t="s">
        <v>104</v>
      </c>
      <c r="AJ1200" s="6" t="s">
        <v>15579</v>
      </c>
      <c r="AK1200" s="6" t="s">
        <v>15697</v>
      </c>
      <c r="AL1200" s="6" t="s">
        <v>16931</v>
      </c>
      <c r="AM1200" s="6" t="s">
        <v>17791</v>
      </c>
      <c r="AN1200" s="6" t="s">
        <v>18460</v>
      </c>
      <c r="AO1200" s="6" t="s">
        <v>18726</v>
      </c>
      <c r="AP1200" s="6" t="s">
        <v>19259</v>
      </c>
      <c r="AQ1200" s="6" t="s">
        <v>104</v>
      </c>
      <c r="AR1200" s="6" t="s">
        <v>7715</v>
      </c>
      <c r="AS1200" s="6" t="s">
        <v>15697</v>
      </c>
      <c r="AT1200" s="6" t="s">
        <v>16931</v>
      </c>
      <c r="AU1200" s="6" t="s">
        <v>19950</v>
      </c>
      <c r="AV1200" s="6" t="s">
        <v>104</v>
      </c>
      <c r="AW1200" s="6" t="s">
        <v>104</v>
      </c>
      <c r="AX1200" s="6" t="s">
        <v>21054</v>
      </c>
      <c r="AY1200" s="6" t="s">
        <v>22853</v>
      </c>
      <c r="AZ1200" s="6" t="s">
        <v>104</v>
      </c>
      <c r="BA1200" s="6" t="s">
        <v>104</v>
      </c>
      <c r="BB1200" s="24" t="n">
        <v>0</v>
      </c>
      <c r="BC1200" s="26"/>
      <c r="BD1200" s="26"/>
      <c r="BE1200" s="26"/>
      <c r="BF1200" s="26"/>
      <c r="BG1200" s="26"/>
      <c r="BH1200" s="26"/>
      <c r="BI1200" s="26"/>
      <c r="BJ1200" s="26"/>
      <c r="BK1200" s="26"/>
      <c r="BL1200" s="26"/>
      <c r="BM1200" s="26"/>
      <c r="BN1200" s="26"/>
      <c r="BO1200" s="26"/>
      <c r="BP1200" s="16" t="n">
        <v>45734</v>
      </c>
      <c r="BQ1200" s="28" t="str">
        <f>HYPERLINK("https://organic.ams.usda.gov/Integrity/Certificate.aspx?cid=51&amp;nopid=8240010115")</f>
        <v>https://organic.ams.usda.gov/Integrity/Certificate.aspx?cid=51&amp;nopid=8240010115</v>
      </c>
    </row>
    <row r="1201">
      <c r="A1201" t="s">
        <v>3</v>
      </c>
      <c r="B1201" s="6" t="s">
        <v>23</v>
      </c>
      <c r="C1201" s="6" t="s">
        <v>89</v>
      </c>
      <c r="D1201" s="6" t="s">
        <v>154</v>
      </c>
      <c r="E1201" s="10" t="s">
        <v>1399</v>
      </c>
      <c r="F1201" s="6" t="s">
        <v>3642</v>
      </c>
      <c r="G1201" s="6" t="s">
        <v>104</v>
      </c>
      <c r="H1201" s="6" t="s">
        <v>5987</v>
      </c>
      <c r="I1201" s="6" t="s">
        <v>7132</v>
      </c>
      <c r="J1201" s="6" t="s">
        <v>8355</v>
      </c>
      <c r="K1201" s="6" t="s">
        <v>9714</v>
      </c>
      <c r="L1201" s="16" t="n">
        <v>43699</v>
      </c>
      <c r="M1201" s="16" t="n">
        <v>45383</v>
      </c>
      <c r="N1201" s="6" t="s">
        <v>104</v>
      </c>
      <c r="O1201" s="21" t="s">
        <v>104</v>
      </c>
      <c r="P1201" s="6" t="s">
        <v>104</v>
      </c>
      <c r="Q1201" s="6" t="s">
        <v>104</v>
      </c>
      <c r="R1201" s="6" t="s">
        <v>104</v>
      </c>
      <c r="S1201" s="6" t="s">
        <v>104</v>
      </c>
      <c r="T1201" s="21" t="s">
        <v>104</v>
      </c>
      <c r="U1201" s="6" t="s">
        <v>104</v>
      </c>
      <c r="V1201" s="6" t="s">
        <v>104</v>
      </c>
      <c r="W1201" s="6" t="s">
        <v>104</v>
      </c>
      <c r="X1201" s="6" t="s">
        <v>104</v>
      </c>
      <c r="Y1201" s="21" t="s">
        <v>104</v>
      </c>
      <c r="Z1201" s="6" t="s">
        <v>104</v>
      </c>
      <c r="AA1201" s="6" t="s">
        <v>104</v>
      </c>
      <c r="AB1201" s="6" t="s">
        <v>104</v>
      </c>
      <c r="AC1201" s="6" t="s">
        <v>9714</v>
      </c>
      <c r="AD1201" s="16" t="n">
        <v>43699</v>
      </c>
      <c r="AE1201" s="6" t="s">
        <v>11574</v>
      </c>
      <c r="AF1201" s="6" t="s">
        <v>104</v>
      </c>
      <c r="AG1201" s="6" t="s">
        <v>5987</v>
      </c>
      <c r="AH1201" s="6" t="s">
        <v>14252</v>
      </c>
      <c r="AI1201" s="6" t="s">
        <v>104</v>
      </c>
      <c r="AJ1201" s="6" t="s">
        <v>15971</v>
      </c>
      <c r="AK1201" s="6" t="s">
        <v>16710</v>
      </c>
      <c r="AL1201" s="6" t="s">
        <v>16931</v>
      </c>
      <c r="AM1201" s="6" t="s">
        <v>17792</v>
      </c>
      <c r="AN1201" s="6" t="s">
        <v>5759</v>
      </c>
      <c r="AO1201" s="6" t="s">
        <v>18805</v>
      </c>
      <c r="AP1201" s="6" t="s">
        <v>104</v>
      </c>
      <c r="AQ1201" s="6" t="s">
        <v>104</v>
      </c>
      <c r="AR1201" s="6" t="s">
        <v>104</v>
      </c>
      <c r="AS1201" s="6" t="s">
        <v>104</v>
      </c>
      <c r="AT1201" s="6" t="s">
        <v>104</v>
      </c>
      <c r="AU1201" s="6" t="s">
        <v>104</v>
      </c>
      <c r="AV1201" s="6" t="s">
        <v>104</v>
      </c>
      <c r="AW1201" s="6" t="s">
        <v>104</v>
      </c>
      <c r="AX1201" s="6" t="s">
        <v>21055</v>
      </c>
      <c r="AY1201" s="6" t="s">
        <v>22854</v>
      </c>
      <c r="AZ1201" s="6" t="s">
        <v>23990</v>
      </c>
      <c r="BA1201" s="6" t="s">
        <v>24422</v>
      </c>
      <c r="BB1201" s="24" t="n">
        <v>0</v>
      </c>
      <c r="BC1201" s="26"/>
      <c r="BD1201" s="26"/>
      <c r="BE1201" s="26"/>
      <c r="BF1201" s="26"/>
      <c r="BG1201" s="26"/>
      <c r="BH1201" s="26"/>
      <c r="BI1201" s="26"/>
      <c r="BJ1201" s="26"/>
      <c r="BK1201" s="26"/>
      <c r="BL1201" s="26"/>
      <c r="BM1201" s="26"/>
      <c r="BN1201" s="26" t="s">
        <v>24533</v>
      </c>
      <c r="BO1201" s="26"/>
      <c r="BP1201" s="16" t="n">
        <v>45391</v>
      </c>
      <c r="BQ1201" s="28" t="str">
        <f>HYPERLINK("https://organic.ams.usda.gov/Integrity/Certificate.aspx?cid=45&amp;nopid=9950011998")</f>
        <v>https://organic.ams.usda.gov/Integrity/Certificate.aspx?cid=45&amp;nopid=9950011998</v>
      </c>
    </row>
    <row r="1202">
      <c r="A1202" t="s">
        <v>3</v>
      </c>
      <c r="B1202" s="6" t="s">
        <v>13</v>
      </c>
      <c r="C1202" s="6" t="s">
        <v>79</v>
      </c>
      <c r="D1202" s="6" t="s">
        <v>144</v>
      </c>
      <c r="E1202" s="10" t="s">
        <v>1400</v>
      </c>
      <c r="F1202" s="6" t="s">
        <v>3643</v>
      </c>
      <c r="G1202" s="6" t="s">
        <v>104</v>
      </c>
      <c r="H1202" s="6" t="s">
        <v>5988</v>
      </c>
      <c r="I1202" s="6" t="s">
        <v>7056</v>
      </c>
      <c r="J1202" s="6" t="s">
        <v>9031</v>
      </c>
      <c r="K1202" s="6" t="s">
        <v>9714</v>
      </c>
      <c r="L1202" s="16" t="n">
        <v>37375</v>
      </c>
      <c r="M1202" s="16" t="n">
        <v>46023</v>
      </c>
      <c r="N1202" s="6" t="s">
        <v>104</v>
      </c>
      <c r="O1202" s="21" t="s">
        <v>104</v>
      </c>
      <c r="P1202" s="6" t="s">
        <v>104</v>
      </c>
      <c r="Q1202" s="6" t="s">
        <v>104</v>
      </c>
      <c r="R1202" s="6" t="s">
        <v>104</v>
      </c>
      <c r="S1202" s="6" t="s">
        <v>104</v>
      </c>
      <c r="T1202" s="21" t="s">
        <v>104</v>
      </c>
      <c r="U1202" s="6" t="s">
        <v>104</v>
      </c>
      <c r="V1202" s="6" t="s">
        <v>104</v>
      </c>
      <c r="W1202" s="6" t="s">
        <v>104</v>
      </c>
      <c r="X1202" s="6" t="s">
        <v>104</v>
      </c>
      <c r="Y1202" s="21" t="s">
        <v>104</v>
      </c>
      <c r="Z1202" s="6" t="s">
        <v>104</v>
      </c>
      <c r="AA1202" s="6" t="s">
        <v>104</v>
      </c>
      <c r="AB1202" s="6" t="s">
        <v>104</v>
      </c>
      <c r="AC1202" s="6" t="s">
        <v>9714</v>
      </c>
      <c r="AD1202" s="16" t="n">
        <v>37375</v>
      </c>
      <c r="AE1202" s="6" t="s">
        <v>11575</v>
      </c>
      <c r="AF1202" s="6" t="s">
        <v>104</v>
      </c>
      <c r="AG1202" s="6" t="s">
        <v>104</v>
      </c>
      <c r="AH1202" s="6" t="s">
        <v>104</v>
      </c>
      <c r="AI1202" s="6" t="s">
        <v>104</v>
      </c>
      <c r="AJ1202" s="6" t="s">
        <v>104</v>
      </c>
      <c r="AK1202" s="6" t="s">
        <v>104</v>
      </c>
      <c r="AL1202" s="6" t="s">
        <v>104</v>
      </c>
      <c r="AM1202" s="6" t="s">
        <v>104</v>
      </c>
      <c r="AN1202" s="6" t="s">
        <v>104</v>
      </c>
      <c r="AO1202" s="6" t="s">
        <v>104</v>
      </c>
      <c r="AP1202" s="6" t="s">
        <v>19260</v>
      </c>
      <c r="AQ1202" s="6" t="s">
        <v>104</v>
      </c>
      <c r="AR1202" s="6" t="s">
        <v>7308</v>
      </c>
      <c r="AS1202" s="6" t="s">
        <v>16725</v>
      </c>
      <c r="AT1202" s="6" t="s">
        <v>16931</v>
      </c>
      <c r="AU1202" s="6" t="s">
        <v>18203</v>
      </c>
      <c r="AV1202" s="6" t="s">
        <v>18465</v>
      </c>
      <c r="AW1202" s="6" t="s">
        <v>18894</v>
      </c>
      <c r="AX1202" s="6" t="s">
        <v>21056</v>
      </c>
      <c r="AY1202" s="6" t="s">
        <v>22855</v>
      </c>
      <c r="AZ1202" s="6" t="s">
        <v>104</v>
      </c>
      <c r="BA1202" s="6" t="s">
        <v>104</v>
      </c>
      <c r="BB1202" s="6" t="s">
        <v>104</v>
      </c>
      <c r="BC1202" s="26"/>
      <c r="BD1202" s="26"/>
      <c r="BE1202" s="26"/>
      <c r="BF1202" s="26"/>
      <c r="BG1202" s="26"/>
      <c r="BH1202" s="26"/>
      <c r="BI1202" s="26"/>
      <c r="BJ1202" s="26"/>
      <c r="BK1202" s="26"/>
      <c r="BL1202" s="26"/>
      <c r="BM1202" s="26"/>
      <c r="BN1202" s="26"/>
      <c r="BO1202" s="26"/>
      <c r="BP1202" s="16" t="n">
        <v>45734</v>
      </c>
      <c r="BQ1202" s="28" t="str">
        <f>HYPERLINK("https://organic.ams.usda.gov/Integrity/Certificate.aspx?cid=62&amp;nopid=8150000327")</f>
        <v>https://organic.ams.usda.gov/Integrity/Certificate.aspx?cid=62&amp;nopid=8150000327</v>
      </c>
    </row>
    <row r="1203">
      <c r="A1203" t="s">
        <v>3</v>
      </c>
      <c r="B1203" s="6" t="s">
        <v>34</v>
      </c>
      <c r="C1203" s="6" t="s">
        <v>100</v>
      </c>
      <c r="D1203" s="6" t="s">
        <v>165</v>
      </c>
      <c r="E1203" s="10" t="s">
        <v>1401</v>
      </c>
      <c r="F1203" s="6" t="s">
        <v>3644</v>
      </c>
      <c r="G1203" s="6" t="s">
        <v>104</v>
      </c>
      <c r="H1203" s="6" t="s">
        <v>5989</v>
      </c>
      <c r="I1203" s="6" t="s">
        <v>7106</v>
      </c>
      <c r="J1203" s="6" t="s">
        <v>9032</v>
      </c>
      <c r="K1203" s="6" t="s">
        <v>9714</v>
      </c>
      <c r="L1203" s="16" t="n">
        <v>45063</v>
      </c>
      <c r="M1203" s="16" t="n">
        <v>45833</v>
      </c>
      <c r="N1203" s="6" t="s">
        <v>9714</v>
      </c>
      <c r="O1203" s="16" t="n">
        <v>41632</v>
      </c>
      <c r="P1203" s="6" t="s">
        <v>10061</v>
      </c>
      <c r="Q1203" s="6" t="s">
        <v>104</v>
      </c>
      <c r="R1203" s="6" t="s">
        <v>10386</v>
      </c>
      <c r="S1203" s="6" t="s">
        <v>104</v>
      </c>
      <c r="T1203" s="21" t="s">
        <v>104</v>
      </c>
      <c r="U1203" s="6" t="s">
        <v>104</v>
      </c>
      <c r="V1203" s="6" t="s">
        <v>104</v>
      </c>
      <c r="W1203" s="6" t="s">
        <v>104</v>
      </c>
      <c r="X1203" s="6" t="s">
        <v>104</v>
      </c>
      <c r="Y1203" s="21" t="s">
        <v>104</v>
      </c>
      <c r="Z1203" s="6" t="s">
        <v>104</v>
      </c>
      <c r="AA1203" s="6" t="s">
        <v>104</v>
      </c>
      <c r="AB1203" s="6" t="s">
        <v>104</v>
      </c>
      <c r="AC1203" s="6" t="s">
        <v>9714</v>
      </c>
      <c r="AD1203" s="16" t="n">
        <v>45063</v>
      </c>
      <c r="AE1203" s="6" t="s">
        <v>11576</v>
      </c>
      <c r="AF1203" s="6" t="s">
        <v>104</v>
      </c>
      <c r="AG1203" s="6" t="s">
        <v>12861</v>
      </c>
      <c r="AH1203" s="6" t="s">
        <v>14253</v>
      </c>
      <c r="AI1203" s="6" t="s">
        <v>104</v>
      </c>
      <c r="AJ1203" s="6" t="s">
        <v>15628</v>
      </c>
      <c r="AK1203" s="6" t="s">
        <v>16687</v>
      </c>
      <c r="AL1203" s="6" t="s">
        <v>16931</v>
      </c>
      <c r="AM1203" s="6" t="s">
        <v>17249</v>
      </c>
      <c r="AN1203" s="6" t="s">
        <v>18484</v>
      </c>
      <c r="AO1203" s="6" t="s">
        <v>18597</v>
      </c>
      <c r="AP1203" s="6" t="s">
        <v>14253</v>
      </c>
      <c r="AQ1203" s="6" t="s">
        <v>104</v>
      </c>
      <c r="AR1203" s="6" t="s">
        <v>15628</v>
      </c>
      <c r="AS1203" s="6" t="s">
        <v>16687</v>
      </c>
      <c r="AT1203" s="6" t="s">
        <v>16931</v>
      </c>
      <c r="AU1203" s="6" t="s">
        <v>17249</v>
      </c>
      <c r="AV1203" s="6" t="s">
        <v>104</v>
      </c>
      <c r="AW1203" s="6" t="s">
        <v>104</v>
      </c>
      <c r="AX1203" s="6" t="s">
        <v>21057</v>
      </c>
      <c r="AY1203" s="6" t="s">
        <v>22856</v>
      </c>
      <c r="AZ1203" s="6" t="s">
        <v>104</v>
      </c>
      <c r="BA1203" s="6" t="s">
        <v>104</v>
      </c>
      <c r="BB1203" s="24" t="n">
        <v>171</v>
      </c>
      <c r="BC1203" s="26"/>
      <c r="BD1203" s="26"/>
      <c r="BE1203" s="26"/>
      <c r="BF1203" s="26"/>
      <c r="BG1203" s="26"/>
      <c r="BH1203" s="26"/>
      <c r="BI1203" s="26"/>
      <c r="BJ1203" s="26"/>
      <c r="BK1203" s="26"/>
      <c r="BL1203" s="26"/>
      <c r="BM1203" s="26"/>
      <c r="BN1203" s="26"/>
      <c r="BO1203" s="26"/>
      <c r="BP1203" s="16" t="n">
        <v>45737</v>
      </c>
      <c r="BQ1203" s="28" t="str">
        <f>HYPERLINK("https://organic.ams.usda.gov/Integrity/Certificate.aspx?cid=71&amp;nopid=5520176604")</f>
        <v>https://organic.ams.usda.gov/Integrity/Certificate.aspx?cid=71&amp;nopid=5520176604</v>
      </c>
    </row>
    <row r="1204">
      <c r="A1204" t="s">
        <v>3</v>
      </c>
      <c r="B1204" s="6" t="s">
        <v>20</v>
      </c>
      <c r="C1204" s="6" t="s">
        <v>86</v>
      </c>
      <c r="D1204" s="6" t="s">
        <v>151</v>
      </c>
      <c r="E1204" s="10" t="s">
        <v>1402</v>
      </c>
      <c r="F1204" s="6" t="s">
        <v>3645</v>
      </c>
      <c r="G1204" s="6" t="s">
        <v>104</v>
      </c>
      <c r="H1204" s="6" t="s">
        <v>5990</v>
      </c>
      <c r="I1204" s="6" t="s">
        <v>7656</v>
      </c>
      <c r="J1204" s="6" t="s">
        <v>9033</v>
      </c>
      <c r="K1204" s="6" t="s">
        <v>9714</v>
      </c>
      <c r="L1204" s="16" t="n">
        <v>43030</v>
      </c>
      <c r="M1204" s="16" t="n">
        <v>46022</v>
      </c>
      <c r="N1204" s="6" t="s">
        <v>104</v>
      </c>
      <c r="O1204" s="21" t="s">
        <v>104</v>
      </c>
      <c r="P1204" s="6" t="s">
        <v>104</v>
      </c>
      <c r="Q1204" s="6" t="s">
        <v>104</v>
      </c>
      <c r="R1204" s="6" t="s">
        <v>104</v>
      </c>
      <c r="S1204" s="6" t="s">
        <v>104</v>
      </c>
      <c r="T1204" s="21" t="s">
        <v>104</v>
      </c>
      <c r="U1204" s="6" t="s">
        <v>104</v>
      </c>
      <c r="V1204" s="6" t="s">
        <v>104</v>
      </c>
      <c r="W1204" s="6" t="s">
        <v>104</v>
      </c>
      <c r="X1204" s="6" t="s">
        <v>104</v>
      </c>
      <c r="Y1204" s="21" t="s">
        <v>104</v>
      </c>
      <c r="Z1204" s="6" t="s">
        <v>104</v>
      </c>
      <c r="AA1204" s="6" t="s">
        <v>104</v>
      </c>
      <c r="AB1204" s="6" t="s">
        <v>104</v>
      </c>
      <c r="AC1204" s="6" t="s">
        <v>9714</v>
      </c>
      <c r="AD1204" s="16" t="n">
        <v>43030</v>
      </c>
      <c r="AE1204" s="6" t="s">
        <v>11577</v>
      </c>
      <c r="AF1204" s="6" t="s">
        <v>104</v>
      </c>
      <c r="AG1204" s="6" t="s">
        <v>12862</v>
      </c>
      <c r="AH1204" s="6" t="s">
        <v>14254</v>
      </c>
      <c r="AI1204" s="6" t="s">
        <v>104</v>
      </c>
      <c r="AJ1204" s="6" t="s">
        <v>15363</v>
      </c>
      <c r="AK1204" s="6" t="s">
        <v>104</v>
      </c>
      <c r="AL1204" s="6" t="s">
        <v>15513</v>
      </c>
      <c r="AM1204" s="6" t="s">
        <v>17793</v>
      </c>
      <c r="AN1204" s="6" t="s">
        <v>104</v>
      </c>
      <c r="AO1204" s="6" t="s">
        <v>104</v>
      </c>
      <c r="AP1204" s="6" t="s">
        <v>104</v>
      </c>
      <c r="AQ1204" s="6" t="s">
        <v>104</v>
      </c>
      <c r="AR1204" s="6" t="s">
        <v>104</v>
      </c>
      <c r="AS1204" s="6" t="s">
        <v>104</v>
      </c>
      <c r="AT1204" s="6" t="s">
        <v>104</v>
      </c>
      <c r="AU1204" s="6" t="s">
        <v>104</v>
      </c>
      <c r="AV1204" s="6" t="s">
        <v>104</v>
      </c>
      <c r="AW1204" s="6" t="s">
        <v>104</v>
      </c>
      <c r="AX1204" s="6" t="s">
        <v>21058</v>
      </c>
      <c r="AY1204" s="6" t="s">
        <v>22857</v>
      </c>
      <c r="AZ1204" s="6" t="s">
        <v>104</v>
      </c>
      <c r="BA1204" s="6" t="s">
        <v>24423</v>
      </c>
      <c r="BB1204" s="6" t="s">
        <v>104</v>
      </c>
      <c r="BC1204" s="26"/>
      <c r="BD1204" s="26"/>
      <c r="BE1204" s="26"/>
      <c r="BF1204" s="26"/>
      <c r="BG1204" s="26"/>
      <c r="BH1204" s="26"/>
      <c r="BI1204" s="26"/>
      <c r="BJ1204" s="26"/>
      <c r="BK1204" s="26"/>
      <c r="BL1204" s="26"/>
      <c r="BM1204" s="26"/>
      <c r="BN1204" s="26"/>
      <c r="BO1204" s="26"/>
      <c r="BP1204" s="16" t="n">
        <v>45671</v>
      </c>
      <c r="BQ1204" s="28" t="str">
        <f>HYPERLINK("https://organic.ams.usda.gov/Integrity/Certificate.aspx?cid=17&amp;nopid=4083800008")</f>
        <v>https://organic.ams.usda.gov/Integrity/Certificate.aspx?cid=17&amp;nopid=4083800008</v>
      </c>
    </row>
    <row r="1205">
      <c r="A1205" t="s">
        <v>3</v>
      </c>
      <c r="B1205" s="6" t="s">
        <v>6</v>
      </c>
      <c r="C1205" s="6" t="s">
        <v>72</v>
      </c>
      <c r="D1205" s="6" t="s">
        <v>137</v>
      </c>
      <c r="E1205" s="10" t="s">
        <v>1403</v>
      </c>
      <c r="F1205" s="6" t="s">
        <v>3646</v>
      </c>
      <c r="G1205" s="6" t="s">
        <v>104</v>
      </c>
      <c r="H1205" s="6" t="s">
        <v>5991</v>
      </c>
      <c r="I1205" s="6" t="s">
        <v>7095</v>
      </c>
      <c r="J1205" s="6" t="s">
        <v>8818</v>
      </c>
      <c r="K1205" s="6" t="s">
        <v>9714</v>
      </c>
      <c r="L1205" s="16" t="n">
        <v>44551</v>
      </c>
      <c r="M1205" s="16" t="n">
        <v>46009</v>
      </c>
      <c r="N1205" s="6" t="s">
        <v>104</v>
      </c>
      <c r="O1205" s="21" t="s">
        <v>104</v>
      </c>
      <c r="P1205" s="6" t="s">
        <v>104</v>
      </c>
      <c r="Q1205" s="6" t="s">
        <v>104</v>
      </c>
      <c r="R1205" s="6" t="s">
        <v>104</v>
      </c>
      <c r="S1205" s="6" t="s">
        <v>104</v>
      </c>
      <c r="T1205" s="21" t="s">
        <v>104</v>
      </c>
      <c r="U1205" s="6" t="s">
        <v>104</v>
      </c>
      <c r="V1205" s="6" t="s">
        <v>104</v>
      </c>
      <c r="W1205" s="6" t="s">
        <v>104</v>
      </c>
      <c r="X1205" s="6" t="s">
        <v>104</v>
      </c>
      <c r="Y1205" s="21" t="s">
        <v>104</v>
      </c>
      <c r="Z1205" s="6" t="s">
        <v>104</v>
      </c>
      <c r="AA1205" s="6" t="s">
        <v>104</v>
      </c>
      <c r="AB1205" s="6" t="s">
        <v>104</v>
      </c>
      <c r="AC1205" s="6" t="s">
        <v>9714</v>
      </c>
      <c r="AD1205" s="16" t="n">
        <v>44551</v>
      </c>
      <c r="AE1205" s="6" t="s">
        <v>11578</v>
      </c>
      <c r="AF1205" s="6" t="s">
        <v>104</v>
      </c>
      <c r="AG1205" s="6" t="s">
        <v>12863</v>
      </c>
      <c r="AH1205" s="6" t="s">
        <v>14255</v>
      </c>
      <c r="AI1205" s="6" t="s">
        <v>104</v>
      </c>
      <c r="AJ1205" s="6" t="s">
        <v>16140</v>
      </c>
      <c r="AK1205" s="6" t="s">
        <v>16781</v>
      </c>
      <c r="AL1205" s="6" t="s">
        <v>16766</v>
      </c>
      <c r="AM1205" s="6" t="s">
        <v>104</v>
      </c>
      <c r="AN1205" s="6" t="s">
        <v>104</v>
      </c>
      <c r="AO1205" s="6" t="s">
        <v>104</v>
      </c>
      <c r="AP1205" s="6" t="s">
        <v>104</v>
      </c>
      <c r="AQ1205" s="6" t="s">
        <v>104</v>
      </c>
      <c r="AR1205" s="6" t="s">
        <v>104</v>
      </c>
      <c r="AS1205" s="6" t="s">
        <v>104</v>
      </c>
      <c r="AT1205" s="6" t="s">
        <v>104</v>
      </c>
      <c r="AU1205" s="6" t="s">
        <v>104</v>
      </c>
      <c r="AV1205" s="6" t="s">
        <v>104</v>
      </c>
      <c r="AW1205" s="6" t="s">
        <v>104</v>
      </c>
      <c r="AX1205" s="6" t="s">
        <v>104</v>
      </c>
      <c r="AY1205" s="6" t="s">
        <v>22603</v>
      </c>
      <c r="AZ1205" s="6" t="s">
        <v>104</v>
      </c>
      <c r="BA1205" s="6" t="s">
        <v>24290</v>
      </c>
      <c r="BB1205" s="6" t="s">
        <v>104</v>
      </c>
      <c r="BC1205" s="26"/>
      <c r="BD1205" s="26"/>
      <c r="BE1205" s="26"/>
      <c r="BF1205" s="26"/>
      <c r="BG1205" s="26"/>
      <c r="BH1205" s="26"/>
      <c r="BI1205" s="26"/>
      <c r="BJ1205" s="26"/>
      <c r="BK1205" s="26"/>
      <c r="BL1205" s="26"/>
      <c r="BM1205" s="26"/>
      <c r="BN1205" s="26"/>
      <c r="BO1205" s="26"/>
      <c r="BP1205" s="16" t="n">
        <v>45737</v>
      </c>
      <c r="BQ1205" s="28" t="str">
        <f>HYPERLINK("https://organic.ams.usda.gov/Integrity/Certificate.aspx?cid=32&amp;nopid=2230009129")</f>
        <v>https://organic.ams.usda.gov/Integrity/Certificate.aspx?cid=32&amp;nopid=2230009129</v>
      </c>
    </row>
    <row r="1206">
      <c r="A1206" t="s">
        <v>3</v>
      </c>
      <c r="B1206" s="6" t="s">
        <v>47</v>
      </c>
      <c r="C1206" s="6" t="s">
        <v>113</v>
      </c>
      <c r="D1206" s="6" t="s">
        <v>177</v>
      </c>
      <c r="E1206" s="10" t="s">
        <v>1404</v>
      </c>
      <c r="F1206" s="6" t="s">
        <v>3647</v>
      </c>
      <c r="G1206" s="6" t="s">
        <v>104</v>
      </c>
      <c r="H1206" s="6" t="s">
        <v>5992</v>
      </c>
      <c r="I1206" s="6" t="s">
        <v>7395</v>
      </c>
      <c r="J1206" s="6" t="s">
        <v>9034</v>
      </c>
      <c r="K1206" s="6" t="s">
        <v>9714</v>
      </c>
      <c r="L1206" s="16" t="n">
        <v>45065</v>
      </c>
      <c r="M1206" s="16" t="n">
        <v>45762</v>
      </c>
      <c r="N1206" s="6" t="s">
        <v>9714</v>
      </c>
      <c r="O1206" s="16" t="n">
        <v>45065</v>
      </c>
      <c r="P1206" s="6" t="s">
        <v>10062</v>
      </c>
      <c r="Q1206" s="6" t="s">
        <v>104</v>
      </c>
      <c r="R1206" s="6" t="s">
        <v>10387</v>
      </c>
      <c r="S1206" s="6" t="s">
        <v>104</v>
      </c>
      <c r="T1206" s="21" t="s">
        <v>104</v>
      </c>
      <c r="U1206" s="6" t="s">
        <v>104</v>
      </c>
      <c r="V1206" s="6" t="s">
        <v>104</v>
      </c>
      <c r="W1206" s="6" t="s">
        <v>104</v>
      </c>
      <c r="X1206" s="6" t="s">
        <v>104</v>
      </c>
      <c r="Y1206" s="21" t="s">
        <v>104</v>
      </c>
      <c r="Z1206" s="6" t="s">
        <v>104</v>
      </c>
      <c r="AA1206" s="6" t="s">
        <v>104</v>
      </c>
      <c r="AB1206" s="6" t="s">
        <v>104</v>
      </c>
      <c r="AC1206" s="6" t="s">
        <v>104</v>
      </c>
      <c r="AD1206" s="21" t="s">
        <v>104</v>
      </c>
      <c r="AE1206" s="6" t="s">
        <v>104</v>
      </c>
      <c r="AF1206" s="6" t="s">
        <v>104</v>
      </c>
      <c r="AG1206" s="6" t="s">
        <v>104</v>
      </c>
      <c r="AH1206" s="6" t="s">
        <v>14256</v>
      </c>
      <c r="AI1206" s="6" t="s">
        <v>104</v>
      </c>
      <c r="AJ1206" s="6" t="s">
        <v>16141</v>
      </c>
      <c r="AK1206" s="6" t="s">
        <v>16734</v>
      </c>
      <c r="AL1206" s="6" t="s">
        <v>16931</v>
      </c>
      <c r="AM1206" s="6" t="s">
        <v>17794</v>
      </c>
      <c r="AN1206" s="6" t="s">
        <v>18483</v>
      </c>
      <c r="AO1206" s="6" t="s">
        <v>18626</v>
      </c>
      <c r="AP1206" s="6" t="s">
        <v>14256</v>
      </c>
      <c r="AQ1206" s="6" t="s">
        <v>104</v>
      </c>
      <c r="AR1206" s="6" t="s">
        <v>16141</v>
      </c>
      <c r="AS1206" s="6" t="s">
        <v>16734</v>
      </c>
      <c r="AT1206" s="6" t="s">
        <v>16931</v>
      </c>
      <c r="AU1206" s="6" t="s">
        <v>17794</v>
      </c>
      <c r="AV1206" s="6" t="s">
        <v>104</v>
      </c>
      <c r="AW1206" s="6" t="s">
        <v>104</v>
      </c>
      <c r="AX1206" s="6" t="s">
        <v>21059</v>
      </c>
      <c r="AY1206" s="6" t="s">
        <v>22858</v>
      </c>
      <c r="AZ1206" s="6" t="s">
        <v>104</v>
      </c>
      <c r="BA1206" s="6" t="s">
        <v>104</v>
      </c>
      <c r="BB1206" s="24" t="n">
        <v>95</v>
      </c>
      <c r="BC1206" s="26"/>
      <c r="BD1206" s="26"/>
      <c r="BE1206" s="26"/>
      <c r="BF1206" s="26"/>
      <c r="BG1206" s="26"/>
      <c r="BH1206" s="26"/>
      <c r="BI1206" s="26"/>
      <c r="BJ1206" s="26"/>
      <c r="BK1206" s="26"/>
      <c r="BL1206" s="26"/>
      <c r="BM1206" s="26"/>
      <c r="BN1206" s="26"/>
      <c r="BO1206" s="26"/>
      <c r="BP1206" s="16" t="n">
        <v>45695</v>
      </c>
      <c r="BQ1206" s="28" t="str">
        <f>HYPERLINK("https://organic.ams.usda.gov/Integrity/Certificate.aspx?cid=47&amp;nopid=7142077721")</f>
        <v>https://organic.ams.usda.gov/Integrity/Certificate.aspx?cid=47&amp;nopid=7142077721</v>
      </c>
    </row>
    <row r="1207">
      <c r="A1207" t="s">
        <v>3</v>
      </c>
      <c r="B1207" s="6" t="s">
        <v>21</v>
      </c>
      <c r="C1207" s="6" t="s">
        <v>87</v>
      </c>
      <c r="D1207" s="6" t="s">
        <v>152</v>
      </c>
      <c r="E1207" s="10" t="s">
        <v>1405</v>
      </c>
      <c r="F1207" s="6" t="s">
        <v>3648</v>
      </c>
      <c r="G1207" s="6" t="s">
        <v>104</v>
      </c>
      <c r="H1207" s="6" t="s">
        <v>5993</v>
      </c>
      <c r="I1207" s="6" t="s">
        <v>7657</v>
      </c>
      <c r="J1207" s="6" t="s">
        <v>9035</v>
      </c>
      <c r="K1207" s="6" t="s">
        <v>9714</v>
      </c>
      <c r="L1207" s="16" t="n">
        <v>37578</v>
      </c>
      <c r="M1207" s="16" t="n">
        <v>46023</v>
      </c>
      <c r="N1207" s="6" t="s">
        <v>104</v>
      </c>
      <c r="O1207" s="21" t="s">
        <v>104</v>
      </c>
      <c r="P1207" s="6" t="s">
        <v>104</v>
      </c>
      <c r="Q1207" s="6" t="s">
        <v>104</v>
      </c>
      <c r="R1207" s="6" t="s">
        <v>104</v>
      </c>
      <c r="S1207" s="6" t="s">
        <v>104</v>
      </c>
      <c r="T1207" s="21" t="s">
        <v>104</v>
      </c>
      <c r="U1207" s="6" t="s">
        <v>104</v>
      </c>
      <c r="V1207" s="6" t="s">
        <v>104</v>
      </c>
      <c r="W1207" s="6" t="s">
        <v>104</v>
      </c>
      <c r="X1207" s="6" t="s">
        <v>104</v>
      </c>
      <c r="Y1207" s="21" t="s">
        <v>104</v>
      </c>
      <c r="Z1207" s="6" t="s">
        <v>104</v>
      </c>
      <c r="AA1207" s="6" t="s">
        <v>104</v>
      </c>
      <c r="AB1207" s="6" t="s">
        <v>104</v>
      </c>
      <c r="AC1207" s="6" t="s">
        <v>9714</v>
      </c>
      <c r="AD1207" s="16" t="n">
        <v>37578</v>
      </c>
      <c r="AE1207" s="6" t="s">
        <v>11579</v>
      </c>
      <c r="AF1207" s="6" t="s">
        <v>104</v>
      </c>
      <c r="AG1207" s="6" t="s">
        <v>104</v>
      </c>
      <c r="AH1207" s="6" t="s">
        <v>14257</v>
      </c>
      <c r="AI1207" s="6" t="s">
        <v>104</v>
      </c>
      <c r="AJ1207" s="6" t="s">
        <v>16142</v>
      </c>
      <c r="AK1207" s="6" t="s">
        <v>16687</v>
      </c>
      <c r="AL1207" s="6" t="s">
        <v>16931</v>
      </c>
      <c r="AM1207" s="6" t="s">
        <v>17795</v>
      </c>
      <c r="AN1207" s="6" t="s">
        <v>18465</v>
      </c>
      <c r="AO1207" s="6" t="s">
        <v>18572</v>
      </c>
      <c r="AP1207" s="6" t="s">
        <v>19261</v>
      </c>
      <c r="AQ1207" s="6" t="s">
        <v>104</v>
      </c>
      <c r="AR1207" s="6" t="s">
        <v>16142</v>
      </c>
      <c r="AS1207" s="6" t="s">
        <v>16687</v>
      </c>
      <c r="AT1207" s="6" t="s">
        <v>16931</v>
      </c>
      <c r="AU1207" s="6" t="s">
        <v>19951</v>
      </c>
      <c r="AV1207" s="6" t="s">
        <v>104</v>
      </c>
      <c r="AW1207" s="6" t="s">
        <v>104</v>
      </c>
      <c r="AX1207" s="6" t="s">
        <v>21060</v>
      </c>
      <c r="AY1207" s="6" t="s">
        <v>22859</v>
      </c>
      <c r="AZ1207" s="6" t="s">
        <v>23991</v>
      </c>
      <c r="BA1207" s="6" t="s">
        <v>24424</v>
      </c>
      <c r="BB1207" s="6" t="s">
        <v>104</v>
      </c>
      <c r="BC1207" s="26"/>
      <c r="BD1207" s="26"/>
      <c r="BE1207" s="26"/>
      <c r="BF1207" s="26"/>
      <c r="BG1207" s="26"/>
      <c r="BH1207" s="26"/>
      <c r="BI1207" s="26"/>
      <c r="BJ1207" s="26"/>
      <c r="BK1207" s="26"/>
      <c r="BL1207" s="26"/>
      <c r="BM1207" s="26"/>
      <c r="BN1207" s="26"/>
      <c r="BO1207" s="26"/>
      <c r="BP1207" s="16" t="n">
        <v>45667</v>
      </c>
      <c r="BQ1207" s="28" t="str">
        <f>HYPERLINK("https://organic.ams.usda.gov/Integrity/Certificate.aspx?cid=15&amp;nopid=5561002230")</f>
        <v>https://organic.ams.usda.gov/Integrity/Certificate.aspx?cid=15&amp;nopid=5561002230</v>
      </c>
    </row>
    <row r="1208">
      <c r="A1208" t="s">
        <v>3</v>
      </c>
      <c r="B1208" s="6" t="s">
        <v>12</v>
      </c>
      <c r="C1208" s="6" t="s">
        <v>78</v>
      </c>
      <c r="D1208" s="6" t="s">
        <v>143</v>
      </c>
      <c r="E1208" s="10" t="s">
        <v>1406</v>
      </c>
      <c r="F1208" s="6" t="s">
        <v>3649</v>
      </c>
      <c r="G1208" s="6" t="s">
        <v>104</v>
      </c>
      <c r="H1208" s="6" t="s">
        <v>104</v>
      </c>
      <c r="I1208" s="6" t="s">
        <v>7081</v>
      </c>
      <c r="J1208" s="6" t="s">
        <v>9036</v>
      </c>
      <c r="K1208" s="6" t="s">
        <v>9714</v>
      </c>
      <c r="L1208" s="16" t="n">
        <v>45714</v>
      </c>
      <c r="M1208" s="16" t="n">
        <v>45962</v>
      </c>
      <c r="N1208" s="6" t="s">
        <v>104</v>
      </c>
      <c r="O1208" s="21" t="s">
        <v>104</v>
      </c>
      <c r="P1208" s="6" t="s">
        <v>104</v>
      </c>
      <c r="Q1208" s="6" t="s">
        <v>104</v>
      </c>
      <c r="R1208" s="6" t="s">
        <v>104</v>
      </c>
      <c r="S1208" s="6" t="s">
        <v>104</v>
      </c>
      <c r="T1208" s="21" t="s">
        <v>104</v>
      </c>
      <c r="U1208" s="6" t="s">
        <v>104</v>
      </c>
      <c r="V1208" s="6" t="s">
        <v>104</v>
      </c>
      <c r="W1208" s="6" t="s">
        <v>104</v>
      </c>
      <c r="X1208" s="6" t="s">
        <v>104</v>
      </c>
      <c r="Y1208" s="21" t="s">
        <v>104</v>
      </c>
      <c r="Z1208" s="6" t="s">
        <v>104</v>
      </c>
      <c r="AA1208" s="6" t="s">
        <v>104</v>
      </c>
      <c r="AB1208" s="6" t="s">
        <v>104</v>
      </c>
      <c r="AC1208" s="6" t="s">
        <v>9714</v>
      </c>
      <c r="AD1208" s="16" t="n">
        <v>45713</v>
      </c>
      <c r="AE1208" s="6" t="s">
        <v>11580</v>
      </c>
      <c r="AF1208" s="6" t="s">
        <v>104</v>
      </c>
      <c r="AG1208" s="6" t="s">
        <v>104</v>
      </c>
      <c r="AH1208" s="6" t="s">
        <v>14258</v>
      </c>
      <c r="AI1208" s="6" t="s">
        <v>104</v>
      </c>
      <c r="AJ1208" s="6" t="s">
        <v>16143</v>
      </c>
      <c r="AK1208" s="6" t="s">
        <v>16678</v>
      </c>
      <c r="AL1208" s="6" t="s">
        <v>16931</v>
      </c>
      <c r="AM1208" s="6" t="s">
        <v>17796</v>
      </c>
      <c r="AN1208" s="6" t="s">
        <v>104</v>
      </c>
      <c r="AO1208" s="6" t="s">
        <v>104</v>
      </c>
      <c r="AP1208" s="6" t="s">
        <v>14258</v>
      </c>
      <c r="AQ1208" s="6" t="s">
        <v>104</v>
      </c>
      <c r="AR1208" s="6" t="s">
        <v>16143</v>
      </c>
      <c r="AS1208" s="6" t="s">
        <v>16678</v>
      </c>
      <c r="AT1208" s="6" t="s">
        <v>16931</v>
      </c>
      <c r="AU1208" s="6" t="s">
        <v>17796</v>
      </c>
      <c r="AV1208" s="6" t="s">
        <v>104</v>
      </c>
      <c r="AW1208" s="6" t="s">
        <v>104</v>
      </c>
      <c r="AX1208" s="6" t="s">
        <v>104</v>
      </c>
      <c r="AY1208" s="6" t="s">
        <v>22860</v>
      </c>
      <c r="AZ1208" s="6" t="s">
        <v>104</v>
      </c>
      <c r="BA1208" s="6" t="s">
        <v>104</v>
      </c>
      <c r="BB1208" s="6" t="s">
        <v>104</v>
      </c>
      <c r="BC1208" s="26"/>
      <c r="BD1208" s="26"/>
      <c r="BE1208" s="26"/>
      <c r="BF1208" s="26"/>
      <c r="BG1208" s="26"/>
      <c r="BH1208" s="26"/>
      <c r="BI1208" s="26"/>
      <c r="BJ1208" s="26"/>
      <c r="BK1208" s="26"/>
      <c r="BL1208" s="26"/>
      <c r="BM1208" s="26"/>
      <c r="BN1208" s="26"/>
      <c r="BO1208" s="26"/>
      <c r="BP1208" s="16" t="n">
        <v>45714</v>
      </c>
      <c r="BQ1208" s="28" t="str">
        <f>HYPERLINK("https://organic.ams.usda.gov/Integrity/Certificate.aspx?cid=1&amp;nopid=9092504301")</f>
        <v>https://organic.ams.usda.gov/Integrity/Certificate.aspx?cid=1&amp;nopid=9092504301</v>
      </c>
    </row>
    <row r="1209">
      <c r="A1209" t="s">
        <v>3</v>
      </c>
      <c r="B1209" s="6" t="s">
        <v>6</v>
      </c>
      <c r="C1209" s="6" t="s">
        <v>72</v>
      </c>
      <c r="D1209" s="6" t="s">
        <v>137</v>
      </c>
      <c r="E1209" s="10" t="s">
        <v>1407</v>
      </c>
      <c r="F1209" s="6" t="s">
        <v>3650</v>
      </c>
      <c r="G1209" s="6" t="s">
        <v>104</v>
      </c>
      <c r="H1209" s="6" t="s">
        <v>5994</v>
      </c>
      <c r="I1209" s="6" t="s">
        <v>7191</v>
      </c>
      <c r="J1209" s="6" t="s">
        <v>9037</v>
      </c>
      <c r="K1209" s="6" t="s">
        <v>9714</v>
      </c>
      <c r="L1209" s="16" t="n">
        <v>45455</v>
      </c>
      <c r="M1209" s="16" t="n">
        <v>45765</v>
      </c>
      <c r="N1209" s="6" t="s">
        <v>104</v>
      </c>
      <c r="O1209" s="21" t="s">
        <v>104</v>
      </c>
      <c r="P1209" s="6" t="s">
        <v>104</v>
      </c>
      <c r="Q1209" s="6" t="s">
        <v>104</v>
      </c>
      <c r="R1209" s="6" t="s">
        <v>104</v>
      </c>
      <c r="S1209" s="6" t="s">
        <v>104</v>
      </c>
      <c r="T1209" s="21" t="s">
        <v>104</v>
      </c>
      <c r="U1209" s="6" t="s">
        <v>104</v>
      </c>
      <c r="V1209" s="6" t="s">
        <v>104</v>
      </c>
      <c r="W1209" s="6" t="s">
        <v>104</v>
      </c>
      <c r="X1209" s="6" t="s">
        <v>104</v>
      </c>
      <c r="Y1209" s="21" t="s">
        <v>104</v>
      </c>
      <c r="Z1209" s="6" t="s">
        <v>104</v>
      </c>
      <c r="AA1209" s="6" t="s">
        <v>104</v>
      </c>
      <c r="AB1209" s="6" t="s">
        <v>104</v>
      </c>
      <c r="AC1209" s="6" t="s">
        <v>9714</v>
      </c>
      <c r="AD1209" s="16" t="n">
        <v>45455</v>
      </c>
      <c r="AE1209" s="6" t="s">
        <v>11581</v>
      </c>
      <c r="AF1209" s="6" t="s">
        <v>104</v>
      </c>
      <c r="AG1209" s="6" t="s">
        <v>12864</v>
      </c>
      <c r="AH1209" s="6" t="s">
        <v>14259</v>
      </c>
      <c r="AI1209" s="6" t="s">
        <v>104</v>
      </c>
      <c r="AJ1209" s="6" t="s">
        <v>16144</v>
      </c>
      <c r="AK1209" s="6" t="s">
        <v>16858</v>
      </c>
      <c r="AL1209" s="6" t="s">
        <v>16929</v>
      </c>
      <c r="AM1209" s="6" t="s">
        <v>17797</v>
      </c>
      <c r="AN1209" s="6" t="s">
        <v>104</v>
      </c>
      <c r="AO1209" s="6" t="s">
        <v>104</v>
      </c>
      <c r="AP1209" s="6" t="s">
        <v>104</v>
      </c>
      <c r="AQ1209" s="6" t="s">
        <v>104</v>
      </c>
      <c r="AR1209" s="6" t="s">
        <v>104</v>
      </c>
      <c r="AS1209" s="6" t="s">
        <v>104</v>
      </c>
      <c r="AT1209" s="6" t="s">
        <v>104</v>
      </c>
      <c r="AU1209" s="6" t="s">
        <v>104</v>
      </c>
      <c r="AV1209" s="6" t="s">
        <v>104</v>
      </c>
      <c r="AW1209" s="6" t="s">
        <v>104</v>
      </c>
      <c r="AX1209" s="6" t="s">
        <v>104</v>
      </c>
      <c r="AY1209" s="6" t="s">
        <v>22192</v>
      </c>
      <c r="AZ1209" s="6" t="s">
        <v>104</v>
      </c>
      <c r="BA1209" s="6" t="s">
        <v>24258</v>
      </c>
      <c r="BB1209" s="6" t="s">
        <v>104</v>
      </c>
      <c r="BC1209" s="26"/>
      <c r="BD1209" s="26"/>
      <c r="BE1209" s="26"/>
      <c r="BF1209" s="26"/>
      <c r="BG1209" s="26"/>
      <c r="BH1209" s="26"/>
      <c r="BI1209" s="26"/>
      <c r="BJ1209" s="26"/>
      <c r="BK1209" s="26"/>
      <c r="BL1209" s="26"/>
      <c r="BM1209" s="26"/>
      <c r="BN1209" s="26"/>
      <c r="BO1209" s="26"/>
      <c r="BP1209" s="16" t="n">
        <v>45737</v>
      </c>
      <c r="BQ1209" s="28" t="str">
        <f>HYPERLINK("https://organic.ams.usda.gov/Integrity/Certificate.aspx?cid=32&amp;nopid=2230011219")</f>
        <v>https://organic.ams.usda.gov/Integrity/Certificate.aspx?cid=32&amp;nopid=2230011219</v>
      </c>
    </row>
    <row r="1210">
      <c r="A1210" t="s">
        <v>3</v>
      </c>
      <c r="B1210" s="6" t="s">
        <v>11</v>
      </c>
      <c r="C1210" s="6" t="s">
        <v>77</v>
      </c>
      <c r="D1210" s="6" t="s">
        <v>142</v>
      </c>
      <c r="E1210" s="10" t="s">
        <v>1408</v>
      </c>
      <c r="F1210" s="6" t="s">
        <v>3651</v>
      </c>
      <c r="G1210" s="6" t="s">
        <v>104</v>
      </c>
      <c r="H1210" s="6" t="s">
        <v>104</v>
      </c>
      <c r="I1210" s="6" t="s">
        <v>7658</v>
      </c>
      <c r="J1210" s="6" t="s">
        <v>9038</v>
      </c>
      <c r="K1210" s="6" t="s">
        <v>9714</v>
      </c>
      <c r="L1210" s="16" t="n">
        <v>43022</v>
      </c>
      <c r="M1210" s="16" t="n">
        <v>45806</v>
      </c>
      <c r="N1210" s="6" t="s">
        <v>9714</v>
      </c>
      <c r="O1210" s="16" t="n">
        <v>43022</v>
      </c>
      <c r="P1210" s="6" t="s">
        <v>10063</v>
      </c>
      <c r="Q1210" s="6" t="s">
        <v>104</v>
      </c>
      <c r="R1210" s="6" t="s">
        <v>104</v>
      </c>
      <c r="S1210" s="6" t="s">
        <v>104</v>
      </c>
      <c r="T1210" s="21" t="s">
        <v>104</v>
      </c>
      <c r="U1210" s="6" t="s">
        <v>104</v>
      </c>
      <c r="V1210" s="6" t="s">
        <v>104</v>
      </c>
      <c r="W1210" s="6" t="s">
        <v>104</v>
      </c>
      <c r="X1210" s="6" t="s">
        <v>104</v>
      </c>
      <c r="Y1210" s="21" t="s">
        <v>104</v>
      </c>
      <c r="Z1210" s="6" t="s">
        <v>104</v>
      </c>
      <c r="AA1210" s="6" t="s">
        <v>104</v>
      </c>
      <c r="AB1210" s="6" t="s">
        <v>104</v>
      </c>
      <c r="AC1210" s="6" t="s">
        <v>9714</v>
      </c>
      <c r="AD1210" s="16" t="n">
        <v>43022</v>
      </c>
      <c r="AE1210" s="6" t="s">
        <v>11582</v>
      </c>
      <c r="AF1210" s="6" t="s">
        <v>104</v>
      </c>
      <c r="AG1210" s="6" t="s">
        <v>104</v>
      </c>
      <c r="AH1210" s="6" t="s">
        <v>14260</v>
      </c>
      <c r="AI1210" s="6" t="s">
        <v>104</v>
      </c>
      <c r="AJ1210" s="6" t="s">
        <v>16145</v>
      </c>
      <c r="AK1210" s="6" t="s">
        <v>16859</v>
      </c>
      <c r="AL1210" s="6" t="s">
        <v>16938</v>
      </c>
      <c r="AM1210" s="6" t="s">
        <v>17798</v>
      </c>
      <c r="AN1210" s="6" t="s">
        <v>104</v>
      </c>
      <c r="AO1210" s="6" t="s">
        <v>104</v>
      </c>
      <c r="AP1210" s="6" t="s">
        <v>104</v>
      </c>
      <c r="AQ1210" s="6" t="s">
        <v>104</v>
      </c>
      <c r="AR1210" s="6" t="s">
        <v>104</v>
      </c>
      <c r="AS1210" s="6" t="s">
        <v>104</v>
      </c>
      <c r="AT1210" s="6" t="s">
        <v>104</v>
      </c>
      <c r="AU1210" s="6" t="s">
        <v>104</v>
      </c>
      <c r="AV1210" s="6" t="s">
        <v>104</v>
      </c>
      <c r="AW1210" s="6" t="s">
        <v>104</v>
      </c>
      <c r="AX1210" s="6" t="s">
        <v>21061</v>
      </c>
      <c r="AY1210" s="6" t="s">
        <v>22861</v>
      </c>
      <c r="AZ1210" s="6" t="s">
        <v>23992</v>
      </c>
      <c r="BA1210" s="6" t="s">
        <v>104</v>
      </c>
      <c r="BB1210" s="24" t="n">
        <v>2395</v>
      </c>
      <c r="BC1210" s="26"/>
      <c r="BD1210" s="26"/>
      <c r="BE1210" s="26"/>
      <c r="BF1210" s="26"/>
      <c r="BG1210" s="26"/>
      <c r="BH1210" s="26"/>
      <c r="BI1210" s="26"/>
      <c r="BJ1210" s="26"/>
      <c r="BK1210" s="26"/>
      <c r="BL1210" s="26"/>
      <c r="BM1210" s="26"/>
      <c r="BN1210" s="26"/>
      <c r="BO1210" s="26"/>
      <c r="BP1210" s="16" t="n">
        <v>45657</v>
      </c>
      <c r="BQ1210" s="28" t="str">
        <f>HYPERLINK("https://organic.ams.usda.gov/Integrity/Certificate.aspx?cid=21&amp;nopid=1780854579")</f>
        <v>https://organic.ams.usda.gov/Integrity/Certificate.aspx?cid=21&amp;nopid=1780854579</v>
      </c>
    </row>
    <row r="1211">
      <c r="A1211" t="s">
        <v>3</v>
      </c>
      <c r="B1211" s="6" t="s">
        <v>11</v>
      </c>
      <c r="C1211" s="6" t="s">
        <v>77</v>
      </c>
      <c r="D1211" s="6" t="s">
        <v>142</v>
      </c>
      <c r="E1211" s="10" t="s">
        <v>1409</v>
      </c>
      <c r="F1211" s="6" t="s">
        <v>3652</v>
      </c>
      <c r="G1211" s="6" t="s">
        <v>104</v>
      </c>
      <c r="H1211" s="6" t="s">
        <v>104</v>
      </c>
      <c r="I1211" s="6" t="s">
        <v>7309</v>
      </c>
      <c r="J1211" s="6" t="s">
        <v>8569</v>
      </c>
      <c r="K1211" s="6" t="s">
        <v>9714</v>
      </c>
      <c r="L1211" s="16" t="n">
        <v>44069</v>
      </c>
      <c r="M1211" s="16" t="n">
        <v>45487</v>
      </c>
      <c r="N1211" s="6" t="s">
        <v>9714</v>
      </c>
      <c r="O1211" s="16" t="n">
        <v>44069</v>
      </c>
      <c r="P1211" s="6" t="s">
        <v>10064</v>
      </c>
      <c r="Q1211" s="6" t="s">
        <v>104</v>
      </c>
      <c r="R1211" s="6" t="s">
        <v>104</v>
      </c>
      <c r="S1211" s="6" t="s">
        <v>104</v>
      </c>
      <c r="T1211" s="21" t="s">
        <v>104</v>
      </c>
      <c r="U1211" s="6" t="s">
        <v>104</v>
      </c>
      <c r="V1211" s="6" t="s">
        <v>104</v>
      </c>
      <c r="W1211" s="6" t="s">
        <v>104</v>
      </c>
      <c r="X1211" s="6" t="s">
        <v>104</v>
      </c>
      <c r="Y1211" s="21" t="s">
        <v>104</v>
      </c>
      <c r="Z1211" s="6" t="s">
        <v>104</v>
      </c>
      <c r="AA1211" s="6" t="s">
        <v>104</v>
      </c>
      <c r="AB1211" s="6" t="s">
        <v>104</v>
      </c>
      <c r="AC1211" s="6" t="s">
        <v>9714</v>
      </c>
      <c r="AD1211" s="16" t="n">
        <v>44069</v>
      </c>
      <c r="AE1211" s="6" t="s">
        <v>11583</v>
      </c>
      <c r="AF1211" s="6" t="s">
        <v>104</v>
      </c>
      <c r="AG1211" s="6" t="s">
        <v>104</v>
      </c>
      <c r="AH1211" s="6" t="s">
        <v>14261</v>
      </c>
      <c r="AI1211" s="6" t="s">
        <v>104</v>
      </c>
      <c r="AJ1211" s="6" t="s">
        <v>16146</v>
      </c>
      <c r="AK1211" s="6" t="s">
        <v>16801</v>
      </c>
      <c r="AL1211" s="6" t="s">
        <v>16938</v>
      </c>
      <c r="AM1211" s="6" t="s">
        <v>17799</v>
      </c>
      <c r="AN1211" s="6" t="s">
        <v>104</v>
      </c>
      <c r="AO1211" s="6" t="s">
        <v>104</v>
      </c>
      <c r="AP1211" s="6" t="s">
        <v>104</v>
      </c>
      <c r="AQ1211" s="6" t="s">
        <v>104</v>
      </c>
      <c r="AR1211" s="6" t="s">
        <v>104</v>
      </c>
      <c r="AS1211" s="6" t="s">
        <v>104</v>
      </c>
      <c r="AT1211" s="6" t="s">
        <v>104</v>
      </c>
      <c r="AU1211" s="6" t="s">
        <v>104</v>
      </c>
      <c r="AV1211" s="6" t="s">
        <v>104</v>
      </c>
      <c r="AW1211" s="6" t="s">
        <v>104</v>
      </c>
      <c r="AX1211" s="6" t="s">
        <v>20556</v>
      </c>
      <c r="AY1211" s="6" t="s">
        <v>22331</v>
      </c>
      <c r="AZ1211" s="6" t="s">
        <v>104</v>
      </c>
      <c r="BA1211" s="6" t="s">
        <v>24273</v>
      </c>
      <c r="BB1211" s="24" t="n">
        <v>6047</v>
      </c>
      <c r="BC1211" s="26"/>
      <c r="BD1211" s="26"/>
      <c r="BE1211" s="26"/>
      <c r="BF1211" s="26"/>
      <c r="BG1211" s="26"/>
      <c r="BH1211" s="26"/>
      <c r="BI1211" s="26"/>
      <c r="BJ1211" s="26"/>
      <c r="BK1211" s="26"/>
      <c r="BL1211" s="26"/>
      <c r="BM1211" s="26"/>
      <c r="BN1211" s="26"/>
      <c r="BO1211" s="26"/>
      <c r="BP1211" s="16" t="n">
        <v>45471</v>
      </c>
      <c r="BQ1211" s="28" t="str">
        <f>HYPERLINK("https://organic.ams.usda.gov/Integrity/Certificate.aspx?cid=21&amp;nopid=1780858931")</f>
        <v>https://organic.ams.usda.gov/Integrity/Certificate.aspx?cid=21&amp;nopid=1780858931</v>
      </c>
    </row>
    <row r="1212">
      <c r="A1212" t="s">
        <v>3</v>
      </c>
      <c r="B1212" s="6" t="s">
        <v>11</v>
      </c>
      <c r="C1212" s="6" t="s">
        <v>77</v>
      </c>
      <c r="D1212" s="6" t="s">
        <v>142</v>
      </c>
      <c r="E1212" s="10" t="s">
        <v>1410</v>
      </c>
      <c r="F1212" s="6" t="s">
        <v>3653</v>
      </c>
      <c r="G1212" s="6" t="s">
        <v>104</v>
      </c>
      <c r="H1212" s="6" t="s">
        <v>104</v>
      </c>
      <c r="I1212" s="6" t="s">
        <v>7658</v>
      </c>
      <c r="J1212" s="6" t="s">
        <v>9038</v>
      </c>
      <c r="K1212" s="6" t="s">
        <v>9714</v>
      </c>
      <c r="L1212" s="16" t="n">
        <v>43700</v>
      </c>
      <c r="M1212" s="16" t="n">
        <v>45807</v>
      </c>
      <c r="N1212" s="6" t="s">
        <v>9714</v>
      </c>
      <c r="O1212" s="16" t="n">
        <v>43700</v>
      </c>
      <c r="P1212" s="6" t="s">
        <v>10065</v>
      </c>
      <c r="Q1212" s="6" t="s">
        <v>104</v>
      </c>
      <c r="R1212" s="6" t="s">
        <v>104</v>
      </c>
      <c r="S1212" s="6" t="s">
        <v>104</v>
      </c>
      <c r="T1212" s="21" t="s">
        <v>104</v>
      </c>
      <c r="U1212" s="6" t="s">
        <v>104</v>
      </c>
      <c r="V1212" s="6" t="s">
        <v>104</v>
      </c>
      <c r="W1212" s="6" t="s">
        <v>104</v>
      </c>
      <c r="X1212" s="6" t="s">
        <v>104</v>
      </c>
      <c r="Y1212" s="21" t="s">
        <v>104</v>
      </c>
      <c r="Z1212" s="6" t="s">
        <v>104</v>
      </c>
      <c r="AA1212" s="6" t="s">
        <v>104</v>
      </c>
      <c r="AB1212" s="6" t="s">
        <v>104</v>
      </c>
      <c r="AC1212" s="6" t="s">
        <v>9714</v>
      </c>
      <c r="AD1212" s="16" t="n">
        <v>43700</v>
      </c>
      <c r="AE1212" s="6" t="s">
        <v>11584</v>
      </c>
      <c r="AF1212" s="6" t="s">
        <v>104</v>
      </c>
      <c r="AG1212" s="6" t="s">
        <v>104</v>
      </c>
      <c r="AH1212" s="6" t="s">
        <v>14262</v>
      </c>
      <c r="AI1212" s="6" t="s">
        <v>104</v>
      </c>
      <c r="AJ1212" s="6" t="s">
        <v>16147</v>
      </c>
      <c r="AK1212" s="6" t="s">
        <v>16859</v>
      </c>
      <c r="AL1212" s="6" t="s">
        <v>16938</v>
      </c>
      <c r="AM1212" s="6" t="s">
        <v>17800</v>
      </c>
      <c r="AN1212" s="6" t="s">
        <v>104</v>
      </c>
      <c r="AO1212" s="6" t="s">
        <v>104</v>
      </c>
      <c r="AP1212" s="6" t="s">
        <v>104</v>
      </c>
      <c r="AQ1212" s="6" t="s">
        <v>104</v>
      </c>
      <c r="AR1212" s="6" t="s">
        <v>104</v>
      </c>
      <c r="AS1212" s="6" t="s">
        <v>104</v>
      </c>
      <c r="AT1212" s="6" t="s">
        <v>104</v>
      </c>
      <c r="AU1212" s="6" t="s">
        <v>104</v>
      </c>
      <c r="AV1212" s="6" t="s">
        <v>104</v>
      </c>
      <c r="AW1212" s="6" t="s">
        <v>104</v>
      </c>
      <c r="AX1212" s="6" t="s">
        <v>21061</v>
      </c>
      <c r="AY1212" s="6" t="s">
        <v>22861</v>
      </c>
      <c r="AZ1212" s="6" t="s">
        <v>23992</v>
      </c>
      <c r="BA1212" s="6" t="s">
        <v>104</v>
      </c>
      <c r="BB1212" s="24" t="n">
        <v>2320</v>
      </c>
      <c r="BC1212" s="26"/>
      <c r="BD1212" s="26"/>
      <c r="BE1212" s="26"/>
      <c r="BF1212" s="26"/>
      <c r="BG1212" s="26"/>
      <c r="BH1212" s="26"/>
      <c r="BI1212" s="26"/>
      <c r="BJ1212" s="26"/>
      <c r="BK1212" s="26"/>
      <c r="BL1212" s="26"/>
      <c r="BM1212" s="26"/>
      <c r="BN1212" s="26"/>
      <c r="BO1212" s="26"/>
      <c r="BP1212" s="16" t="n">
        <v>45657</v>
      </c>
      <c r="BQ1212" s="28" t="str">
        <f>HYPERLINK("https://organic.ams.usda.gov/Integrity/Certificate.aspx?cid=21&amp;nopid=1780857115")</f>
        <v>https://organic.ams.usda.gov/Integrity/Certificate.aspx?cid=21&amp;nopid=1780857115</v>
      </c>
    </row>
    <row r="1213">
      <c r="A1213" t="s">
        <v>3</v>
      </c>
      <c r="B1213" s="6" t="s">
        <v>11</v>
      </c>
      <c r="C1213" s="6" t="s">
        <v>77</v>
      </c>
      <c r="D1213" s="6" t="s">
        <v>142</v>
      </c>
      <c r="E1213" s="10" t="s">
        <v>1411</v>
      </c>
      <c r="F1213" s="6" t="s">
        <v>3654</v>
      </c>
      <c r="G1213" s="6" t="s">
        <v>104</v>
      </c>
      <c r="H1213" s="6" t="s">
        <v>104</v>
      </c>
      <c r="I1213" s="6" t="s">
        <v>7658</v>
      </c>
      <c r="J1213" s="6" t="s">
        <v>9038</v>
      </c>
      <c r="K1213" s="6" t="s">
        <v>9714</v>
      </c>
      <c r="L1213" s="16" t="n">
        <v>43022</v>
      </c>
      <c r="M1213" s="16" t="n">
        <v>45803</v>
      </c>
      <c r="N1213" s="6" t="s">
        <v>9714</v>
      </c>
      <c r="O1213" s="16" t="n">
        <v>43022</v>
      </c>
      <c r="P1213" s="6" t="s">
        <v>10066</v>
      </c>
      <c r="Q1213" s="6" t="s">
        <v>104</v>
      </c>
      <c r="R1213" s="6" t="s">
        <v>104</v>
      </c>
      <c r="S1213" s="6" t="s">
        <v>104</v>
      </c>
      <c r="T1213" s="21" t="s">
        <v>104</v>
      </c>
      <c r="U1213" s="6" t="s">
        <v>104</v>
      </c>
      <c r="V1213" s="6" t="s">
        <v>104</v>
      </c>
      <c r="W1213" s="6" t="s">
        <v>104</v>
      </c>
      <c r="X1213" s="6" t="s">
        <v>104</v>
      </c>
      <c r="Y1213" s="21" t="s">
        <v>104</v>
      </c>
      <c r="Z1213" s="6" t="s">
        <v>104</v>
      </c>
      <c r="AA1213" s="6" t="s">
        <v>104</v>
      </c>
      <c r="AB1213" s="6" t="s">
        <v>104</v>
      </c>
      <c r="AC1213" s="6" t="s">
        <v>9714</v>
      </c>
      <c r="AD1213" s="16" t="n">
        <v>43022</v>
      </c>
      <c r="AE1213" s="6" t="s">
        <v>11585</v>
      </c>
      <c r="AF1213" s="6" t="s">
        <v>104</v>
      </c>
      <c r="AG1213" s="6" t="s">
        <v>104</v>
      </c>
      <c r="AH1213" s="6" t="s">
        <v>14263</v>
      </c>
      <c r="AI1213" s="6" t="s">
        <v>104</v>
      </c>
      <c r="AJ1213" s="6" t="s">
        <v>16148</v>
      </c>
      <c r="AK1213" s="6" t="s">
        <v>16859</v>
      </c>
      <c r="AL1213" s="6" t="s">
        <v>16938</v>
      </c>
      <c r="AM1213" s="6" t="s">
        <v>17801</v>
      </c>
      <c r="AN1213" s="6" t="s">
        <v>104</v>
      </c>
      <c r="AO1213" s="6" t="s">
        <v>104</v>
      </c>
      <c r="AP1213" s="6" t="s">
        <v>104</v>
      </c>
      <c r="AQ1213" s="6" t="s">
        <v>104</v>
      </c>
      <c r="AR1213" s="6" t="s">
        <v>104</v>
      </c>
      <c r="AS1213" s="6" t="s">
        <v>104</v>
      </c>
      <c r="AT1213" s="6" t="s">
        <v>104</v>
      </c>
      <c r="AU1213" s="6" t="s">
        <v>104</v>
      </c>
      <c r="AV1213" s="6" t="s">
        <v>104</v>
      </c>
      <c r="AW1213" s="6" t="s">
        <v>104</v>
      </c>
      <c r="AX1213" s="6" t="s">
        <v>21061</v>
      </c>
      <c r="AY1213" s="6" t="s">
        <v>22861</v>
      </c>
      <c r="AZ1213" s="6" t="s">
        <v>23992</v>
      </c>
      <c r="BA1213" s="6" t="s">
        <v>104</v>
      </c>
      <c r="BB1213" s="24" t="n">
        <v>4996</v>
      </c>
      <c r="BC1213" s="26"/>
      <c r="BD1213" s="26"/>
      <c r="BE1213" s="26"/>
      <c r="BF1213" s="26"/>
      <c r="BG1213" s="26"/>
      <c r="BH1213" s="26"/>
      <c r="BI1213" s="26"/>
      <c r="BJ1213" s="26"/>
      <c r="BK1213" s="26"/>
      <c r="BL1213" s="26"/>
      <c r="BM1213" s="26"/>
      <c r="BN1213" s="26"/>
      <c r="BO1213" s="26"/>
      <c r="BP1213" s="16" t="n">
        <v>45547</v>
      </c>
      <c r="BQ1213" s="28" t="str">
        <f>HYPERLINK("https://organic.ams.usda.gov/Integrity/Certificate.aspx?cid=21&amp;nopid=1780854580")</f>
        <v>https://organic.ams.usda.gov/Integrity/Certificate.aspx?cid=21&amp;nopid=1780854580</v>
      </c>
    </row>
    <row r="1214">
      <c r="A1214" t="s">
        <v>3</v>
      </c>
      <c r="B1214" s="6" t="s">
        <v>11</v>
      </c>
      <c r="C1214" s="6" t="s">
        <v>77</v>
      </c>
      <c r="D1214" s="6" t="s">
        <v>142</v>
      </c>
      <c r="E1214" s="10" t="s">
        <v>1412</v>
      </c>
      <c r="F1214" s="6" t="s">
        <v>3655</v>
      </c>
      <c r="G1214" s="6" t="s">
        <v>104</v>
      </c>
      <c r="H1214" s="6" t="s">
        <v>104</v>
      </c>
      <c r="I1214" s="6" t="s">
        <v>7658</v>
      </c>
      <c r="J1214" s="6" t="s">
        <v>9038</v>
      </c>
      <c r="K1214" s="6" t="s">
        <v>9714</v>
      </c>
      <c r="L1214" s="16" t="n">
        <v>43022</v>
      </c>
      <c r="M1214" s="16" t="n">
        <v>45805</v>
      </c>
      <c r="N1214" s="6" t="s">
        <v>9714</v>
      </c>
      <c r="O1214" s="16" t="n">
        <v>43022</v>
      </c>
      <c r="P1214" s="6" t="s">
        <v>10067</v>
      </c>
      <c r="Q1214" s="6" t="s">
        <v>104</v>
      </c>
      <c r="R1214" s="6" t="s">
        <v>104</v>
      </c>
      <c r="S1214" s="6" t="s">
        <v>104</v>
      </c>
      <c r="T1214" s="21" t="s">
        <v>104</v>
      </c>
      <c r="U1214" s="6" t="s">
        <v>104</v>
      </c>
      <c r="V1214" s="6" t="s">
        <v>104</v>
      </c>
      <c r="W1214" s="6" t="s">
        <v>104</v>
      </c>
      <c r="X1214" s="6" t="s">
        <v>104</v>
      </c>
      <c r="Y1214" s="21" t="s">
        <v>104</v>
      </c>
      <c r="Z1214" s="6" t="s">
        <v>104</v>
      </c>
      <c r="AA1214" s="6" t="s">
        <v>104</v>
      </c>
      <c r="AB1214" s="6" t="s">
        <v>104</v>
      </c>
      <c r="AC1214" s="6" t="s">
        <v>9714</v>
      </c>
      <c r="AD1214" s="16" t="n">
        <v>43022</v>
      </c>
      <c r="AE1214" s="6" t="s">
        <v>11586</v>
      </c>
      <c r="AF1214" s="6" t="s">
        <v>104</v>
      </c>
      <c r="AG1214" s="6" t="s">
        <v>104</v>
      </c>
      <c r="AH1214" s="6" t="s">
        <v>14264</v>
      </c>
      <c r="AI1214" s="6" t="s">
        <v>104</v>
      </c>
      <c r="AJ1214" s="6" t="s">
        <v>16148</v>
      </c>
      <c r="AK1214" s="6" t="s">
        <v>16859</v>
      </c>
      <c r="AL1214" s="6" t="s">
        <v>16938</v>
      </c>
      <c r="AM1214" s="6" t="s">
        <v>17801</v>
      </c>
      <c r="AN1214" s="6" t="s">
        <v>104</v>
      </c>
      <c r="AO1214" s="6" t="s">
        <v>104</v>
      </c>
      <c r="AP1214" s="6" t="s">
        <v>104</v>
      </c>
      <c r="AQ1214" s="6" t="s">
        <v>104</v>
      </c>
      <c r="AR1214" s="6" t="s">
        <v>104</v>
      </c>
      <c r="AS1214" s="6" t="s">
        <v>104</v>
      </c>
      <c r="AT1214" s="6" t="s">
        <v>104</v>
      </c>
      <c r="AU1214" s="6" t="s">
        <v>104</v>
      </c>
      <c r="AV1214" s="6" t="s">
        <v>104</v>
      </c>
      <c r="AW1214" s="6" t="s">
        <v>104</v>
      </c>
      <c r="AX1214" s="6" t="s">
        <v>21061</v>
      </c>
      <c r="AY1214" s="6" t="s">
        <v>22861</v>
      </c>
      <c r="AZ1214" s="6" t="s">
        <v>23992</v>
      </c>
      <c r="BA1214" s="6" t="s">
        <v>104</v>
      </c>
      <c r="BB1214" s="24" t="n">
        <v>3605</v>
      </c>
      <c r="BC1214" s="26"/>
      <c r="BD1214" s="26"/>
      <c r="BE1214" s="26"/>
      <c r="BF1214" s="26"/>
      <c r="BG1214" s="26"/>
      <c r="BH1214" s="26"/>
      <c r="BI1214" s="26"/>
      <c r="BJ1214" s="26"/>
      <c r="BK1214" s="26"/>
      <c r="BL1214" s="26"/>
      <c r="BM1214" s="26"/>
      <c r="BN1214" s="26"/>
      <c r="BO1214" s="26"/>
      <c r="BP1214" s="16" t="n">
        <v>45547</v>
      </c>
      <c r="BQ1214" s="28" t="str">
        <f>HYPERLINK("https://organic.ams.usda.gov/Integrity/Certificate.aspx?cid=21&amp;nopid=1780854581")</f>
        <v>https://organic.ams.usda.gov/Integrity/Certificate.aspx?cid=21&amp;nopid=1780854581</v>
      </c>
    </row>
    <row r="1215">
      <c r="A1215" t="s">
        <v>3</v>
      </c>
      <c r="B1215" s="6" t="s">
        <v>7</v>
      </c>
      <c r="C1215" s="6" t="s">
        <v>73</v>
      </c>
      <c r="D1215" s="6" t="s">
        <v>138</v>
      </c>
      <c r="E1215" s="10" t="s">
        <v>1413</v>
      </c>
      <c r="F1215" s="6" t="s">
        <v>3656</v>
      </c>
      <c r="G1215" s="6" t="s">
        <v>104</v>
      </c>
      <c r="H1215" s="6" t="s">
        <v>5995</v>
      </c>
      <c r="I1215" s="6" t="s">
        <v>7659</v>
      </c>
      <c r="J1215" s="6" t="s">
        <v>9039</v>
      </c>
      <c r="K1215" s="6" t="s">
        <v>9714</v>
      </c>
      <c r="L1215" s="16" t="n">
        <v>39629</v>
      </c>
      <c r="M1215" s="16" t="n">
        <v>45748</v>
      </c>
      <c r="N1215" s="6" t="s">
        <v>9714</v>
      </c>
      <c r="O1215" s="16" t="n">
        <v>39629</v>
      </c>
      <c r="P1215" s="6" t="s">
        <v>10068</v>
      </c>
      <c r="Q1215" s="6" t="s">
        <v>104</v>
      </c>
      <c r="R1215" s="6" t="s">
        <v>5995</v>
      </c>
      <c r="S1215" s="6" t="s">
        <v>104</v>
      </c>
      <c r="T1215" s="21" t="s">
        <v>104</v>
      </c>
      <c r="U1215" s="6" t="s">
        <v>104</v>
      </c>
      <c r="V1215" s="6" t="s">
        <v>104</v>
      </c>
      <c r="W1215" s="6" t="s">
        <v>104</v>
      </c>
      <c r="X1215" s="6" t="s">
        <v>104</v>
      </c>
      <c r="Y1215" s="21" t="s">
        <v>104</v>
      </c>
      <c r="Z1215" s="6" t="s">
        <v>104</v>
      </c>
      <c r="AA1215" s="6" t="s">
        <v>104</v>
      </c>
      <c r="AB1215" s="6" t="s">
        <v>104</v>
      </c>
      <c r="AC1215" s="6" t="s">
        <v>104</v>
      </c>
      <c r="AD1215" s="21" t="s">
        <v>104</v>
      </c>
      <c r="AE1215" s="6" t="s">
        <v>104</v>
      </c>
      <c r="AF1215" s="6" t="s">
        <v>104</v>
      </c>
      <c r="AG1215" s="6" t="s">
        <v>104</v>
      </c>
      <c r="AH1215" s="6" t="s">
        <v>14265</v>
      </c>
      <c r="AI1215" s="6" t="s">
        <v>104</v>
      </c>
      <c r="AJ1215" s="6" t="s">
        <v>7216</v>
      </c>
      <c r="AK1215" s="6" t="s">
        <v>16678</v>
      </c>
      <c r="AL1215" s="6" t="s">
        <v>16931</v>
      </c>
      <c r="AM1215" s="6" t="s">
        <v>17802</v>
      </c>
      <c r="AN1215" s="6" t="s">
        <v>18521</v>
      </c>
      <c r="AO1215" s="6" t="s">
        <v>18806</v>
      </c>
      <c r="AP1215" s="6" t="s">
        <v>14265</v>
      </c>
      <c r="AQ1215" s="6" t="s">
        <v>104</v>
      </c>
      <c r="AR1215" s="6" t="s">
        <v>7216</v>
      </c>
      <c r="AS1215" s="6" t="s">
        <v>16678</v>
      </c>
      <c r="AT1215" s="6" t="s">
        <v>16931</v>
      </c>
      <c r="AU1215" s="6" t="s">
        <v>17802</v>
      </c>
      <c r="AV1215" s="6" t="s">
        <v>104</v>
      </c>
      <c r="AW1215" s="6" t="s">
        <v>104</v>
      </c>
      <c r="AX1215" s="6" t="s">
        <v>21062</v>
      </c>
      <c r="AY1215" s="6" t="s">
        <v>22862</v>
      </c>
      <c r="AZ1215" s="6" t="s">
        <v>104</v>
      </c>
      <c r="BA1215" s="6" t="s">
        <v>104</v>
      </c>
      <c r="BB1215" s="24" t="n">
        <v>379</v>
      </c>
      <c r="BC1215" s="26"/>
      <c r="BD1215" s="26"/>
      <c r="BE1215" s="26"/>
      <c r="BF1215" s="26"/>
      <c r="BG1215" s="26"/>
      <c r="BH1215" s="26"/>
      <c r="BI1215" s="26"/>
      <c r="BJ1215" s="26"/>
      <c r="BK1215" s="26"/>
      <c r="BL1215" s="26"/>
      <c r="BM1215" s="26"/>
      <c r="BN1215" s="26"/>
      <c r="BO1215" s="26"/>
      <c r="BP1215" s="16" t="n">
        <v>45656</v>
      </c>
      <c r="BQ1215" s="28" t="str">
        <f>HYPERLINK("https://organic.ams.usda.gov/Integrity/Certificate.aspx?cid=33&amp;nopid=2170027649")</f>
        <v>https://organic.ams.usda.gov/Integrity/Certificate.aspx?cid=33&amp;nopid=2170027649</v>
      </c>
    </row>
    <row r="1216">
      <c r="A1216" t="s">
        <v>3</v>
      </c>
      <c r="B1216" s="6" t="s">
        <v>6</v>
      </c>
      <c r="C1216" s="6" t="s">
        <v>72</v>
      </c>
      <c r="D1216" s="6" t="s">
        <v>137</v>
      </c>
      <c r="E1216" s="10" t="s">
        <v>1414</v>
      </c>
      <c r="F1216" s="6" t="s">
        <v>3657</v>
      </c>
      <c r="G1216" s="6" t="s">
        <v>104</v>
      </c>
      <c r="H1216" s="6" t="s">
        <v>5996</v>
      </c>
      <c r="I1216" s="6" t="s">
        <v>7094</v>
      </c>
      <c r="J1216" s="6" t="s">
        <v>9040</v>
      </c>
      <c r="K1216" s="6" t="s">
        <v>9714</v>
      </c>
      <c r="L1216" s="16" t="n">
        <v>44923</v>
      </c>
      <c r="M1216" s="16" t="n">
        <v>45892</v>
      </c>
      <c r="N1216" s="6" t="s">
        <v>104</v>
      </c>
      <c r="O1216" s="21" t="s">
        <v>104</v>
      </c>
      <c r="P1216" s="6" t="s">
        <v>104</v>
      </c>
      <c r="Q1216" s="6" t="s">
        <v>104</v>
      </c>
      <c r="R1216" s="6" t="s">
        <v>104</v>
      </c>
      <c r="S1216" s="6" t="s">
        <v>104</v>
      </c>
      <c r="T1216" s="21" t="s">
        <v>104</v>
      </c>
      <c r="U1216" s="6" t="s">
        <v>104</v>
      </c>
      <c r="V1216" s="6" t="s">
        <v>104</v>
      </c>
      <c r="W1216" s="6" t="s">
        <v>104</v>
      </c>
      <c r="X1216" s="6" t="s">
        <v>104</v>
      </c>
      <c r="Y1216" s="21" t="s">
        <v>104</v>
      </c>
      <c r="Z1216" s="6" t="s">
        <v>104</v>
      </c>
      <c r="AA1216" s="6" t="s">
        <v>104</v>
      </c>
      <c r="AB1216" s="6" t="s">
        <v>104</v>
      </c>
      <c r="AC1216" s="6" t="s">
        <v>9714</v>
      </c>
      <c r="AD1216" s="16" t="n">
        <v>44923</v>
      </c>
      <c r="AE1216" s="6" t="s">
        <v>11587</v>
      </c>
      <c r="AF1216" s="6" t="s">
        <v>104</v>
      </c>
      <c r="AG1216" s="6" t="s">
        <v>12865</v>
      </c>
      <c r="AH1216" s="6" t="s">
        <v>14266</v>
      </c>
      <c r="AI1216" s="6" t="s">
        <v>104</v>
      </c>
      <c r="AJ1216" s="6" t="s">
        <v>16149</v>
      </c>
      <c r="AK1216" s="6" t="s">
        <v>104</v>
      </c>
      <c r="AL1216" s="6" t="s">
        <v>16965</v>
      </c>
      <c r="AM1216" s="6" t="s">
        <v>104</v>
      </c>
      <c r="AN1216" s="6" t="s">
        <v>104</v>
      </c>
      <c r="AO1216" s="6" t="s">
        <v>104</v>
      </c>
      <c r="AP1216" s="6" t="s">
        <v>104</v>
      </c>
      <c r="AQ1216" s="6" t="s">
        <v>104</v>
      </c>
      <c r="AR1216" s="6" t="s">
        <v>104</v>
      </c>
      <c r="AS1216" s="6" t="s">
        <v>104</v>
      </c>
      <c r="AT1216" s="6" t="s">
        <v>104</v>
      </c>
      <c r="AU1216" s="6" t="s">
        <v>104</v>
      </c>
      <c r="AV1216" s="6" t="s">
        <v>104</v>
      </c>
      <c r="AW1216" s="6" t="s">
        <v>104</v>
      </c>
      <c r="AX1216" s="6" t="s">
        <v>20546</v>
      </c>
      <c r="AY1216" s="6" t="s">
        <v>22192</v>
      </c>
      <c r="AZ1216" s="6" t="s">
        <v>104</v>
      </c>
      <c r="BA1216" s="6" t="s">
        <v>24258</v>
      </c>
      <c r="BB1216" s="6" t="s">
        <v>104</v>
      </c>
      <c r="BC1216" s="26"/>
      <c r="BD1216" s="26"/>
      <c r="BE1216" s="26"/>
      <c r="BF1216" s="26"/>
      <c r="BG1216" s="26"/>
      <c r="BH1216" s="26"/>
      <c r="BI1216" s="26"/>
      <c r="BJ1216" s="26"/>
      <c r="BK1216" s="26"/>
      <c r="BL1216" s="26"/>
      <c r="BM1216" s="26"/>
      <c r="BN1216" s="26"/>
      <c r="BO1216" s="26"/>
      <c r="BP1216" s="16" t="n">
        <v>45737</v>
      </c>
      <c r="BQ1216" s="28" t="str">
        <f>HYPERLINK("https://organic.ams.usda.gov/Integrity/Certificate.aspx?cid=32&amp;nopid=2230009642")</f>
        <v>https://organic.ams.usda.gov/Integrity/Certificate.aspx?cid=32&amp;nopid=2230009642</v>
      </c>
    </row>
    <row r="1217">
      <c r="A1217" t="s">
        <v>3</v>
      </c>
      <c r="B1217" s="6" t="s">
        <v>21</v>
      </c>
      <c r="C1217" s="6" t="s">
        <v>87</v>
      </c>
      <c r="D1217" s="6" t="s">
        <v>152</v>
      </c>
      <c r="E1217" s="10" t="s">
        <v>1415</v>
      </c>
      <c r="F1217" s="6" t="s">
        <v>3658</v>
      </c>
      <c r="G1217" s="6" t="s">
        <v>104</v>
      </c>
      <c r="H1217" s="6" t="s">
        <v>5997</v>
      </c>
      <c r="I1217" s="6" t="s">
        <v>7023</v>
      </c>
      <c r="J1217" s="6" t="s">
        <v>9041</v>
      </c>
      <c r="K1217" s="6" t="s">
        <v>9714</v>
      </c>
      <c r="L1217" s="16" t="n">
        <v>45497</v>
      </c>
      <c r="M1217" s="16" t="n">
        <v>46023</v>
      </c>
      <c r="N1217" s="6" t="s">
        <v>104</v>
      </c>
      <c r="O1217" s="21" t="s">
        <v>104</v>
      </c>
      <c r="P1217" s="6" t="s">
        <v>104</v>
      </c>
      <c r="Q1217" s="6" t="s">
        <v>104</v>
      </c>
      <c r="R1217" s="6" t="s">
        <v>104</v>
      </c>
      <c r="S1217" s="6" t="s">
        <v>104</v>
      </c>
      <c r="T1217" s="21" t="s">
        <v>104</v>
      </c>
      <c r="U1217" s="6" t="s">
        <v>104</v>
      </c>
      <c r="V1217" s="6" t="s">
        <v>104</v>
      </c>
      <c r="W1217" s="6" t="s">
        <v>104</v>
      </c>
      <c r="X1217" s="6" t="s">
        <v>104</v>
      </c>
      <c r="Y1217" s="21" t="s">
        <v>104</v>
      </c>
      <c r="Z1217" s="6" t="s">
        <v>104</v>
      </c>
      <c r="AA1217" s="6" t="s">
        <v>104</v>
      </c>
      <c r="AB1217" s="6" t="s">
        <v>104</v>
      </c>
      <c r="AC1217" s="6" t="s">
        <v>9714</v>
      </c>
      <c r="AD1217" s="16" t="n">
        <v>45497</v>
      </c>
      <c r="AE1217" s="6" t="s">
        <v>11588</v>
      </c>
      <c r="AF1217" s="6" t="s">
        <v>104</v>
      </c>
      <c r="AG1217" s="6" t="s">
        <v>104</v>
      </c>
      <c r="AH1217" s="6" t="s">
        <v>104</v>
      </c>
      <c r="AI1217" s="6" t="s">
        <v>104</v>
      </c>
      <c r="AJ1217" s="6" t="s">
        <v>104</v>
      </c>
      <c r="AK1217" s="6" t="s">
        <v>104</v>
      </c>
      <c r="AL1217" s="6" t="s">
        <v>104</v>
      </c>
      <c r="AM1217" s="6" t="s">
        <v>104</v>
      </c>
      <c r="AN1217" s="6" t="s">
        <v>104</v>
      </c>
      <c r="AO1217" s="6" t="s">
        <v>104</v>
      </c>
      <c r="AP1217" s="6" t="s">
        <v>19262</v>
      </c>
      <c r="AQ1217" s="6" t="s">
        <v>104</v>
      </c>
      <c r="AR1217" s="6" t="s">
        <v>15804</v>
      </c>
      <c r="AS1217" s="6" t="s">
        <v>16687</v>
      </c>
      <c r="AT1217" s="6" t="s">
        <v>16931</v>
      </c>
      <c r="AU1217" s="6" t="s">
        <v>17435</v>
      </c>
      <c r="AV1217" s="6" t="s">
        <v>104</v>
      </c>
      <c r="AW1217" s="6" t="s">
        <v>104</v>
      </c>
      <c r="AX1217" s="6" t="s">
        <v>21063</v>
      </c>
      <c r="AY1217" s="6" t="s">
        <v>22863</v>
      </c>
      <c r="AZ1217" s="6" t="s">
        <v>23993</v>
      </c>
      <c r="BA1217" s="6" t="s">
        <v>104</v>
      </c>
      <c r="BB1217" s="6" t="s">
        <v>104</v>
      </c>
      <c r="BC1217" s="26"/>
      <c r="BD1217" s="26"/>
      <c r="BE1217" s="26"/>
      <c r="BF1217" s="26"/>
      <c r="BG1217" s="26"/>
      <c r="BH1217" s="26"/>
      <c r="BI1217" s="26"/>
      <c r="BJ1217" s="26"/>
      <c r="BK1217" s="26"/>
      <c r="BL1217" s="26"/>
      <c r="BM1217" s="26"/>
      <c r="BN1217" s="26"/>
      <c r="BO1217" s="26"/>
      <c r="BP1217" s="16" t="n">
        <v>45667</v>
      </c>
      <c r="BQ1217" s="28" t="str">
        <f>HYPERLINK("https://organic.ams.usda.gov/Integrity/Certificate.aspx?cid=15&amp;nopid=5561008477")</f>
        <v>https://organic.ams.usda.gov/Integrity/Certificate.aspx?cid=15&amp;nopid=5561008477</v>
      </c>
    </row>
    <row r="1218">
      <c r="A1218" t="s">
        <v>3</v>
      </c>
      <c r="B1218" s="6" t="s">
        <v>21</v>
      </c>
      <c r="C1218" s="6" t="s">
        <v>87</v>
      </c>
      <c r="D1218" s="6" t="s">
        <v>152</v>
      </c>
      <c r="E1218" s="10" t="s">
        <v>1416</v>
      </c>
      <c r="F1218" s="6" t="s">
        <v>3659</v>
      </c>
      <c r="G1218" s="6" t="s">
        <v>4786</v>
      </c>
      <c r="H1218" s="6" t="s">
        <v>5998</v>
      </c>
      <c r="I1218" s="6" t="s">
        <v>7052</v>
      </c>
      <c r="J1218" s="6" t="s">
        <v>8305</v>
      </c>
      <c r="K1218" s="6" t="s">
        <v>9714</v>
      </c>
      <c r="L1218" s="16" t="n">
        <v>44547</v>
      </c>
      <c r="M1218" s="16" t="n">
        <v>46023</v>
      </c>
      <c r="N1218" s="6" t="s">
        <v>9714</v>
      </c>
      <c r="O1218" s="16" t="n">
        <v>44547</v>
      </c>
      <c r="P1218" s="6" t="s">
        <v>10069</v>
      </c>
      <c r="Q1218" s="6" t="s">
        <v>104</v>
      </c>
      <c r="R1218" s="6" t="s">
        <v>104</v>
      </c>
      <c r="S1218" s="6" t="s">
        <v>104</v>
      </c>
      <c r="T1218" s="21" t="s">
        <v>104</v>
      </c>
      <c r="U1218" s="6" t="s">
        <v>104</v>
      </c>
      <c r="V1218" s="6" t="s">
        <v>104</v>
      </c>
      <c r="W1218" s="6" t="s">
        <v>104</v>
      </c>
      <c r="X1218" s="6" t="s">
        <v>104</v>
      </c>
      <c r="Y1218" s="21" t="s">
        <v>104</v>
      </c>
      <c r="Z1218" s="6" t="s">
        <v>104</v>
      </c>
      <c r="AA1218" s="6" t="s">
        <v>104</v>
      </c>
      <c r="AB1218" s="6" t="s">
        <v>104</v>
      </c>
      <c r="AC1218" s="6" t="s">
        <v>104</v>
      </c>
      <c r="AD1218" s="21" t="s">
        <v>104</v>
      </c>
      <c r="AE1218" s="6" t="s">
        <v>104</v>
      </c>
      <c r="AF1218" s="6" t="s">
        <v>104</v>
      </c>
      <c r="AG1218" s="6" t="s">
        <v>104</v>
      </c>
      <c r="AH1218" s="6" t="s">
        <v>14267</v>
      </c>
      <c r="AI1218" s="6" t="s">
        <v>104</v>
      </c>
      <c r="AJ1218" s="6" t="s">
        <v>16150</v>
      </c>
      <c r="AK1218" s="6" t="s">
        <v>16775</v>
      </c>
      <c r="AL1218" s="6" t="s">
        <v>16931</v>
      </c>
      <c r="AM1218" s="6" t="s">
        <v>17803</v>
      </c>
      <c r="AN1218" s="6" t="s">
        <v>18478</v>
      </c>
      <c r="AO1218" s="6" t="s">
        <v>18807</v>
      </c>
      <c r="AP1218" s="6" t="s">
        <v>19263</v>
      </c>
      <c r="AQ1218" s="6" t="s">
        <v>104</v>
      </c>
      <c r="AR1218" s="6" t="s">
        <v>16150</v>
      </c>
      <c r="AS1218" s="6" t="s">
        <v>16775</v>
      </c>
      <c r="AT1218" s="6" t="s">
        <v>16931</v>
      </c>
      <c r="AU1218" s="6" t="s">
        <v>17803</v>
      </c>
      <c r="AV1218" s="6" t="s">
        <v>104</v>
      </c>
      <c r="AW1218" s="6" t="s">
        <v>104</v>
      </c>
      <c r="AX1218" s="6" t="s">
        <v>21064</v>
      </c>
      <c r="AY1218" s="6" t="s">
        <v>22864</v>
      </c>
      <c r="AZ1218" s="6" t="s">
        <v>104</v>
      </c>
      <c r="BA1218" s="6" t="s">
        <v>24425</v>
      </c>
      <c r="BB1218" s="24" t="n">
        <v>11753</v>
      </c>
      <c r="BC1218" s="26"/>
      <c r="BD1218" s="26"/>
      <c r="BE1218" s="26"/>
      <c r="BF1218" s="26"/>
      <c r="BG1218" s="26"/>
      <c r="BH1218" s="26"/>
      <c r="BI1218" s="26"/>
      <c r="BJ1218" s="26"/>
      <c r="BK1218" s="26"/>
      <c r="BL1218" s="26"/>
      <c r="BM1218" s="26"/>
      <c r="BN1218" s="26"/>
      <c r="BO1218" s="26"/>
      <c r="BP1218" s="16" t="n">
        <v>45681</v>
      </c>
      <c r="BQ1218" s="28" t="str">
        <f>HYPERLINK("https://organic.ams.usda.gov/Integrity/Certificate.aspx?cid=15&amp;nopid=5561007154")</f>
        <v>https://organic.ams.usda.gov/Integrity/Certificate.aspx?cid=15&amp;nopid=5561007154</v>
      </c>
    </row>
    <row r="1219">
      <c r="A1219" t="s">
        <v>3</v>
      </c>
      <c r="B1219" s="6" t="s">
        <v>20</v>
      </c>
      <c r="C1219" s="6" t="s">
        <v>86</v>
      </c>
      <c r="D1219" s="6" t="s">
        <v>151</v>
      </c>
      <c r="E1219" s="10" t="s">
        <v>1417</v>
      </c>
      <c r="F1219" s="6" t="s">
        <v>3660</v>
      </c>
      <c r="G1219" s="6" t="s">
        <v>104</v>
      </c>
      <c r="H1219" s="6" t="s">
        <v>5999</v>
      </c>
      <c r="I1219" s="6" t="s">
        <v>7660</v>
      </c>
      <c r="J1219" s="6" t="s">
        <v>7798</v>
      </c>
      <c r="K1219" s="6" t="s">
        <v>9714</v>
      </c>
      <c r="L1219" s="16" t="n">
        <v>41547</v>
      </c>
      <c r="M1219" s="16" t="n">
        <v>45777</v>
      </c>
      <c r="N1219" s="6" t="s">
        <v>104</v>
      </c>
      <c r="O1219" s="21" t="s">
        <v>104</v>
      </c>
      <c r="P1219" s="6" t="s">
        <v>104</v>
      </c>
      <c r="Q1219" s="6" t="s">
        <v>104</v>
      </c>
      <c r="R1219" s="6" t="s">
        <v>104</v>
      </c>
      <c r="S1219" s="6" t="s">
        <v>104</v>
      </c>
      <c r="T1219" s="21" t="s">
        <v>104</v>
      </c>
      <c r="U1219" s="6" t="s">
        <v>104</v>
      </c>
      <c r="V1219" s="6" t="s">
        <v>104</v>
      </c>
      <c r="W1219" s="6" t="s">
        <v>104</v>
      </c>
      <c r="X1219" s="6" t="s">
        <v>104</v>
      </c>
      <c r="Y1219" s="21" t="s">
        <v>104</v>
      </c>
      <c r="Z1219" s="6" t="s">
        <v>104</v>
      </c>
      <c r="AA1219" s="6" t="s">
        <v>104</v>
      </c>
      <c r="AB1219" s="6" t="s">
        <v>104</v>
      </c>
      <c r="AC1219" s="6" t="s">
        <v>9714</v>
      </c>
      <c r="AD1219" s="16" t="n">
        <v>41547</v>
      </c>
      <c r="AE1219" s="6" t="s">
        <v>11589</v>
      </c>
      <c r="AF1219" s="6" t="s">
        <v>104</v>
      </c>
      <c r="AG1219" s="6" t="s">
        <v>12866</v>
      </c>
      <c r="AH1219" s="6" t="s">
        <v>14268</v>
      </c>
      <c r="AI1219" s="6" t="s">
        <v>104</v>
      </c>
      <c r="AJ1219" s="6" t="s">
        <v>16151</v>
      </c>
      <c r="AK1219" s="6" t="s">
        <v>16860</v>
      </c>
      <c r="AL1219" s="6" t="s">
        <v>16860</v>
      </c>
      <c r="AM1219" s="6" t="s">
        <v>17804</v>
      </c>
      <c r="AN1219" s="6" t="s">
        <v>104</v>
      </c>
      <c r="AO1219" s="6" t="s">
        <v>104</v>
      </c>
      <c r="AP1219" s="6" t="s">
        <v>104</v>
      </c>
      <c r="AQ1219" s="6" t="s">
        <v>104</v>
      </c>
      <c r="AR1219" s="6" t="s">
        <v>104</v>
      </c>
      <c r="AS1219" s="6" t="s">
        <v>104</v>
      </c>
      <c r="AT1219" s="6" t="s">
        <v>104</v>
      </c>
      <c r="AU1219" s="6" t="s">
        <v>104</v>
      </c>
      <c r="AV1219" s="6" t="s">
        <v>104</v>
      </c>
      <c r="AW1219" s="6" t="s">
        <v>104</v>
      </c>
      <c r="AX1219" s="6" t="s">
        <v>21065</v>
      </c>
      <c r="AY1219" s="6" t="s">
        <v>22865</v>
      </c>
      <c r="AZ1219" s="6" t="s">
        <v>104</v>
      </c>
      <c r="BA1219" s="6" t="s">
        <v>104</v>
      </c>
      <c r="BB1219" s="6" t="s">
        <v>104</v>
      </c>
      <c r="BC1219" s="26"/>
      <c r="BD1219" s="26"/>
      <c r="BE1219" s="26"/>
      <c r="BF1219" s="26"/>
      <c r="BG1219" s="26"/>
      <c r="BH1219" s="26"/>
      <c r="BI1219" s="26"/>
      <c r="BJ1219" s="26"/>
      <c r="BK1219" s="26"/>
      <c r="BL1219" s="26"/>
      <c r="BM1219" s="26"/>
      <c r="BN1219" s="26"/>
      <c r="BO1219" s="26"/>
      <c r="BP1219" s="16" t="n">
        <v>45462</v>
      </c>
      <c r="BQ1219" s="28" t="str">
        <f>HYPERLINK("https://organic.ams.usda.gov/Integrity/Certificate.aspx?cid=17&amp;nopid=4083600005")</f>
        <v>https://organic.ams.usda.gov/Integrity/Certificate.aspx?cid=17&amp;nopid=4083600005</v>
      </c>
    </row>
    <row r="1220">
      <c r="A1220" t="s">
        <v>3</v>
      </c>
      <c r="B1220" s="6" t="s">
        <v>33</v>
      </c>
      <c r="C1220" s="6" t="s">
        <v>99</v>
      </c>
      <c r="D1220" s="6" t="s">
        <v>164</v>
      </c>
      <c r="E1220" s="10" t="s">
        <v>1418</v>
      </c>
      <c r="F1220" s="6" t="s">
        <v>3661</v>
      </c>
      <c r="G1220" s="6" t="s">
        <v>104</v>
      </c>
      <c r="H1220" s="6" t="s">
        <v>104</v>
      </c>
      <c r="I1220" s="6" t="s">
        <v>7661</v>
      </c>
      <c r="J1220" s="6" t="s">
        <v>9042</v>
      </c>
      <c r="K1220" s="6" t="s">
        <v>9714</v>
      </c>
      <c r="L1220" s="16" t="n">
        <v>41631</v>
      </c>
      <c r="M1220" s="16" t="n">
        <v>45536</v>
      </c>
      <c r="N1220" s="6" t="s">
        <v>104</v>
      </c>
      <c r="O1220" s="21" t="s">
        <v>104</v>
      </c>
      <c r="P1220" s="6" t="s">
        <v>104</v>
      </c>
      <c r="Q1220" s="6" t="s">
        <v>104</v>
      </c>
      <c r="R1220" s="6" t="s">
        <v>104</v>
      </c>
      <c r="S1220" s="6" t="s">
        <v>104</v>
      </c>
      <c r="T1220" s="21" t="s">
        <v>104</v>
      </c>
      <c r="U1220" s="6" t="s">
        <v>104</v>
      </c>
      <c r="V1220" s="6" t="s">
        <v>104</v>
      </c>
      <c r="W1220" s="6" t="s">
        <v>104</v>
      </c>
      <c r="X1220" s="6" t="s">
        <v>104</v>
      </c>
      <c r="Y1220" s="21" t="s">
        <v>104</v>
      </c>
      <c r="Z1220" s="6" t="s">
        <v>104</v>
      </c>
      <c r="AA1220" s="6" t="s">
        <v>104</v>
      </c>
      <c r="AB1220" s="6" t="s">
        <v>104</v>
      </c>
      <c r="AC1220" s="6" t="s">
        <v>9714</v>
      </c>
      <c r="AD1220" s="16" t="n">
        <v>41631</v>
      </c>
      <c r="AE1220" s="6" t="s">
        <v>11590</v>
      </c>
      <c r="AF1220" s="6" t="s">
        <v>104</v>
      </c>
      <c r="AG1220" s="6" t="s">
        <v>104</v>
      </c>
      <c r="AH1220" s="6" t="s">
        <v>14269</v>
      </c>
      <c r="AI1220" s="6" t="s">
        <v>104</v>
      </c>
      <c r="AJ1220" s="6" t="s">
        <v>16152</v>
      </c>
      <c r="AK1220" s="6" t="s">
        <v>16683</v>
      </c>
      <c r="AL1220" s="6" t="s">
        <v>16931</v>
      </c>
      <c r="AM1220" s="6" t="s">
        <v>17805</v>
      </c>
      <c r="AN1220" s="6" t="s">
        <v>18541</v>
      </c>
      <c r="AO1220" s="6" t="s">
        <v>18808</v>
      </c>
      <c r="AP1220" s="6" t="s">
        <v>14269</v>
      </c>
      <c r="AQ1220" s="6" t="s">
        <v>104</v>
      </c>
      <c r="AR1220" s="6" t="s">
        <v>16152</v>
      </c>
      <c r="AS1220" s="6" t="s">
        <v>16683</v>
      </c>
      <c r="AT1220" s="6" t="s">
        <v>16931</v>
      </c>
      <c r="AU1220" s="6" t="s">
        <v>17805</v>
      </c>
      <c r="AV1220" s="6" t="s">
        <v>104</v>
      </c>
      <c r="AW1220" s="6" t="s">
        <v>104</v>
      </c>
      <c r="AX1220" s="6" t="s">
        <v>21066</v>
      </c>
      <c r="AY1220" s="6" t="s">
        <v>22866</v>
      </c>
      <c r="AZ1220" s="6" t="s">
        <v>104</v>
      </c>
      <c r="BA1220" s="6" t="s">
        <v>104</v>
      </c>
      <c r="BB1220" s="6" t="s">
        <v>104</v>
      </c>
      <c r="BC1220" s="26"/>
      <c r="BD1220" s="26"/>
      <c r="BE1220" s="26"/>
      <c r="BF1220" s="26"/>
      <c r="BG1220" s="26"/>
      <c r="BH1220" s="26"/>
      <c r="BI1220" s="26"/>
      <c r="BJ1220" s="26"/>
      <c r="BK1220" s="26"/>
      <c r="BL1220" s="26"/>
      <c r="BM1220" s="26"/>
      <c r="BN1220" s="26"/>
      <c r="BO1220" s="26"/>
      <c r="BP1220" s="16" t="n">
        <v>45331</v>
      </c>
      <c r="BQ1220" s="28" t="str">
        <f>HYPERLINK("https://organic.ams.usda.gov/Integrity/Certificate.aspx?cid=46&amp;nopid=3671300023")</f>
        <v>https://organic.ams.usda.gov/Integrity/Certificate.aspx?cid=46&amp;nopid=3671300023</v>
      </c>
    </row>
    <row r="1221">
      <c r="A1221" t="s">
        <v>3</v>
      </c>
      <c r="B1221" s="6" t="s">
        <v>44</v>
      </c>
      <c r="C1221" s="6" t="s">
        <v>110</v>
      </c>
      <c r="D1221" s="6" t="s">
        <v>174</v>
      </c>
      <c r="E1221" s="10" t="s">
        <v>1419</v>
      </c>
      <c r="F1221" s="6" t="s">
        <v>3662</v>
      </c>
      <c r="G1221" s="6" t="s">
        <v>104</v>
      </c>
      <c r="H1221" s="6" t="s">
        <v>6000</v>
      </c>
      <c r="I1221" s="6" t="s">
        <v>7662</v>
      </c>
      <c r="J1221" s="6" t="s">
        <v>8564</v>
      </c>
      <c r="K1221" s="6" t="s">
        <v>9714</v>
      </c>
      <c r="L1221" s="16" t="n">
        <v>45159</v>
      </c>
      <c r="M1221" s="16" t="n">
        <v>46081</v>
      </c>
      <c r="N1221" s="6" t="s">
        <v>9714</v>
      </c>
      <c r="O1221" s="16" t="n">
        <v>45159</v>
      </c>
      <c r="P1221" s="6" t="s">
        <v>10070</v>
      </c>
      <c r="Q1221" s="6" t="s">
        <v>104</v>
      </c>
      <c r="R1221" s="6" t="s">
        <v>104</v>
      </c>
      <c r="S1221" s="6" t="s">
        <v>104</v>
      </c>
      <c r="T1221" s="21" t="s">
        <v>104</v>
      </c>
      <c r="U1221" s="6" t="s">
        <v>104</v>
      </c>
      <c r="V1221" s="6" t="s">
        <v>104</v>
      </c>
      <c r="W1221" s="6" t="s">
        <v>104</v>
      </c>
      <c r="X1221" s="6" t="s">
        <v>104</v>
      </c>
      <c r="Y1221" s="21" t="s">
        <v>104</v>
      </c>
      <c r="Z1221" s="6" t="s">
        <v>104</v>
      </c>
      <c r="AA1221" s="6" t="s">
        <v>104</v>
      </c>
      <c r="AB1221" s="6" t="s">
        <v>104</v>
      </c>
      <c r="AC1221" s="6" t="s">
        <v>9714</v>
      </c>
      <c r="AD1221" s="16" t="n">
        <v>45159</v>
      </c>
      <c r="AE1221" s="6" t="s">
        <v>11591</v>
      </c>
      <c r="AF1221" s="6" t="s">
        <v>104</v>
      </c>
      <c r="AG1221" s="6" t="s">
        <v>104</v>
      </c>
      <c r="AH1221" s="6" t="s">
        <v>14270</v>
      </c>
      <c r="AI1221" s="6" t="s">
        <v>104</v>
      </c>
      <c r="AJ1221" s="6" t="s">
        <v>15667</v>
      </c>
      <c r="AK1221" s="6" t="s">
        <v>15697</v>
      </c>
      <c r="AL1221" s="6" t="s">
        <v>16931</v>
      </c>
      <c r="AM1221" s="6" t="s">
        <v>17285</v>
      </c>
      <c r="AN1221" s="6" t="s">
        <v>104</v>
      </c>
      <c r="AO1221" s="6" t="s">
        <v>104</v>
      </c>
      <c r="AP1221" s="6" t="s">
        <v>14270</v>
      </c>
      <c r="AQ1221" s="6" t="s">
        <v>104</v>
      </c>
      <c r="AR1221" s="6" t="s">
        <v>15667</v>
      </c>
      <c r="AS1221" s="6" t="s">
        <v>15697</v>
      </c>
      <c r="AT1221" s="6" t="s">
        <v>16931</v>
      </c>
      <c r="AU1221" s="6" t="s">
        <v>17285</v>
      </c>
      <c r="AV1221" s="6" t="s">
        <v>104</v>
      </c>
      <c r="AW1221" s="6" t="s">
        <v>104</v>
      </c>
      <c r="AX1221" s="6" t="s">
        <v>21067</v>
      </c>
      <c r="AY1221" s="6" t="s">
        <v>104</v>
      </c>
      <c r="AZ1221" s="6" t="s">
        <v>104</v>
      </c>
      <c r="BA1221" s="6" t="s">
        <v>104</v>
      </c>
      <c r="BB1221" s="24" t="n">
        <v>36</v>
      </c>
      <c r="BC1221" s="26"/>
      <c r="BD1221" s="26"/>
      <c r="BE1221" s="26"/>
      <c r="BF1221" s="26"/>
      <c r="BG1221" s="26"/>
      <c r="BH1221" s="26"/>
      <c r="BI1221" s="26"/>
      <c r="BJ1221" s="26"/>
      <c r="BK1221" s="26"/>
      <c r="BL1221" s="26"/>
      <c r="BM1221" s="26"/>
      <c r="BN1221" s="26"/>
      <c r="BO1221" s="26"/>
      <c r="BP1221" s="16" t="n">
        <v>45728</v>
      </c>
      <c r="BQ1221" s="28" t="str">
        <f>HYPERLINK("https://organic.ams.usda.gov/Integrity/Certificate.aspx?cid=57&amp;nopid=3252023058")</f>
        <v>https://organic.ams.usda.gov/Integrity/Certificate.aspx?cid=57&amp;nopid=3252023058</v>
      </c>
    </row>
    <row r="1222">
      <c r="A1222" t="s">
        <v>3</v>
      </c>
      <c r="B1222" s="6" t="s">
        <v>43</v>
      </c>
      <c r="C1222" s="6" t="s">
        <v>109</v>
      </c>
      <c r="D1222" s="6" t="s">
        <v>173</v>
      </c>
      <c r="E1222" s="10" t="s">
        <v>1420</v>
      </c>
      <c r="F1222" s="6" t="s">
        <v>3663</v>
      </c>
      <c r="G1222" s="6" t="s">
        <v>104</v>
      </c>
      <c r="H1222" s="6" t="s">
        <v>6001</v>
      </c>
      <c r="I1222" s="6" t="s">
        <v>7663</v>
      </c>
      <c r="J1222" s="6" t="s">
        <v>9043</v>
      </c>
      <c r="K1222" s="6" t="s">
        <v>9714</v>
      </c>
      <c r="L1222" s="16" t="n">
        <v>44911</v>
      </c>
      <c r="M1222" s="16" t="n">
        <v>45823</v>
      </c>
      <c r="N1222" s="6" t="s">
        <v>104</v>
      </c>
      <c r="O1222" s="21" t="s">
        <v>104</v>
      </c>
      <c r="P1222" s="6" t="s">
        <v>104</v>
      </c>
      <c r="Q1222" s="6" t="s">
        <v>104</v>
      </c>
      <c r="R1222" s="6" t="s">
        <v>104</v>
      </c>
      <c r="S1222" s="6" t="s">
        <v>104</v>
      </c>
      <c r="T1222" s="21" t="s">
        <v>104</v>
      </c>
      <c r="U1222" s="6" t="s">
        <v>104</v>
      </c>
      <c r="V1222" s="6" t="s">
        <v>104</v>
      </c>
      <c r="W1222" s="6" t="s">
        <v>104</v>
      </c>
      <c r="X1222" s="6" t="s">
        <v>104</v>
      </c>
      <c r="Y1222" s="21" t="s">
        <v>104</v>
      </c>
      <c r="Z1222" s="6" t="s">
        <v>104</v>
      </c>
      <c r="AA1222" s="6" t="s">
        <v>104</v>
      </c>
      <c r="AB1222" s="6" t="s">
        <v>104</v>
      </c>
      <c r="AC1222" s="6" t="s">
        <v>9714</v>
      </c>
      <c r="AD1222" s="16" t="n">
        <v>44911</v>
      </c>
      <c r="AE1222" s="6" t="s">
        <v>11592</v>
      </c>
      <c r="AF1222" s="6" t="s">
        <v>104</v>
      </c>
      <c r="AG1222" s="6" t="s">
        <v>6001</v>
      </c>
      <c r="AH1222" s="6" t="s">
        <v>14271</v>
      </c>
      <c r="AI1222" s="6" t="s">
        <v>104</v>
      </c>
      <c r="AJ1222" s="6" t="s">
        <v>104</v>
      </c>
      <c r="AK1222" s="6" t="s">
        <v>104</v>
      </c>
      <c r="AL1222" s="6" t="s">
        <v>16933</v>
      </c>
      <c r="AM1222" s="6" t="s">
        <v>104</v>
      </c>
      <c r="AN1222" s="6" t="s">
        <v>104</v>
      </c>
      <c r="AO1222" s="6" t="s">
        <v>104</v>
      </c>
      <c r="AP1222" s="6" t="s">
        <v>104</v>
      </c>
      <c r="AQ1222" s="6" t="s">
        <v>104</v>
      </c>
      <c r="AR1222" s="6" t="s">
        <v>104</v>
      </c>
      <c r="AS1222" s="6" t="s">
        <v>104</v>
      </c>
      <c r="AT1222" s="6" t="s">
        <v>104</v>
      </c>
      <c r="AU1222" s="6" t="s">
        <v>104</v>
      </c>
      <c r="AV1222" s="6" t="s">
        <v>104</v>
      </c>
      <c r="AW1222" s="6" t="s">
        <v>104</v>
      </c>
      <c r="AX1222" s="6" t="s">
        <v>21068</v>
      </c>
      <c r="AY1222" s="6" t="s">
        <v>22867</v>
      </c>
      <c r="AZ1222" s="6" t="s">
        <v>104</v>
      </c>
      <c r="BA1222" s="6" t="s">
        <v>104</v>
      </c>
      <c r="BB1222" s="6" t="s">
        <v>104</v>
      </c>
      <c r="BC1222" s="26"/>
      <c r="BD1222" s="26"/>
      <c r="BE1222" s="26"/>
      <c r="BF1222" s="26"/>
      <c r="BG1222" s="26"/>
      <c r="BH1222" s="26"/>
      <c r="BI1222" s="26"/>
      <c r="BJ1222" s="26"/>
      <c r="BK1222" s="26"/>
      <c r="BL1222" s="26"/>
      <c r="BM1222" s="26"/>
      <c r="BN1222" s="26"/>
      <c r="BO1222" s="26"/>
      <c r="BP1222" s="16" t="n">
        <v>45645</v>
      </c>
      <c r="BQ1222" s="28" t="str">
        <f>HYPERLINK("https://organic.ams.usda.gov/Integrity/Certificate.aspx?cid=86&amp;nopid=6400011755")</f>
        <v>https://organic.ams.usda.gov/Integrity/Certificate.aspx?cid=86&amp;nopid=6400011755</v>
      </c>
    </row>
    <row r="1223">
      <c r="A1223" t="s">
        <v>3</v>
      </c>
      <c r="B1223" s="6" t="s">
        <v>23</v>
      </c>
      <c r="C1223" s="6" t="s">
        <v>89</v>
      </c>
      <c r="D1223" s="6" t="s">
        <v>154</v>
      </c>
      <c r="E1223" s="10" t="s">
        <v>1421</v>
      </c>
      <c r="F1223" s="6" t="s">
        <v>3664</v>
      </c>
      <c r="G1223" s="6" t="s">
        <v>104</v>
      </c>
      <c r="H1223" s="6" t="s">
        <v>6002</v>
      </c>
      <c r="I1223" s="6" t="s">
        <v>7162</v>
      </c>
      <c r="J1223" s="6" t="s">
        <v>9044</v>
      </c>
      <c r="K1223" s="6" t="s">
        <v>9714</v>
      </c>
      <c r="L1223" s="16" t="n">
        <v>41845</v>
      </c>
      <c r="M1223" s="16" t="n">
        <v>45748</v>
      </c>
      <c r="N1223" s="6" t="s">
        <v>9714</v>
      </c>
      <c r="O1223" s="16" t="n">
        <v>41845</v>
      </c>
      <c r="P1223" s="6" t="s">
        <v>10071</v>
      </c>
      <c r="Q1223" s="6" t="s">
        <v>104</v>
      </c>
      <c r="R1223" s="6" t="s">
        <v>6002</v>
      </c>
      <c r="S1223" s="6" t="s">
        <v>104</v>
      </c>
      <c r="T1223" s="21" t="s">
        <v>104</v>
      </c>
      <c r="U1223" s="6" t="s">
        <v>104</v>
      </c>
      <c r="V1223" s="6" t="s">
        <v>104</v>
      </c>
      <c r="W1223" s="6" t="s">
        <v>104</v>
      </c>
      <c r="X1223" s="6" t="s">
        <v>104</v>
      </c>
      <c r="Y1223" s="21" t="s">
        <v>104</v>
      </c>
      <c r="Z1223" s="6" t="s">
        <v>104</v>
      </c>
      <c r="AA1223" s="6" t="s">
        <v>104</v>
      </c>
      <c r="AB1223" s="6" t="s">
        <v>104</v>
      </c>
      <c r="AC1223" s="6" t="s">
        <v>104</v>
      </c>
      <c r="AD1223" s="21" t="s">
        <v>104</v>
      </c>
      <c r="AE1223" s="6" t="s">
        <v>104</v>
      </c>
      <c r="AF1223" s="6" t="s">
        <v>104</v>
      </c>
      <c r="AG1223" s="6" t="s">
        <v>104</v>
      </c>
      <c r="AH1223" s="6" t="s">
        <v>14272</v>
      </c>
      <c r="AI1223" s="6" t="s">
        <v>104</v>
      </c>
      <c r="AJ1223" s="6" t="s">
        <v>16153</v>
      </c>
      <c r="AK1223" s="6" t="s">
        <v>16714</v>
      </c>
      <c r="AL1223" s="6" t="s">
        <v>16931</v>
      </c>
      <c r="AM1223" s="6" t="s">
        <v>17806</v>
      </c>
      <c r="AN1223" s="6" t="s">
        <v>18520</v>
      </c>
      <c r="AO1223" s="6" t="s">
        <v>18686</v>
      </c>
      <c r="AP1223" s="6" t="s">
        <v>104</v>
      </c>
      <c r="AQ1223" s="6" t="s">
        <v>104</v>
      </c>
      <c r="AR1223" s="6" t="s">
        <v>104</v>
      </c>
      <c r="AS1223" s="6" t="s">
        <v>104</v>
      </c>
      <c r="AT1223" s="6" t="s">
        <v>104</v>
      </c>
      <c r="AU1223" s="6" t="s">
        <v>104</v>
      </c>
      <c r="AV1223" s="6" t="s">
        <v>104</v>
      </c>
      <c r="AW1223" s="6" t="s">
        <v>104</v>
      </c>
      <c r="AX1223" s="6" t="s">
        <v>104</v>
      </c>
      <c r="AY1223" s="6" t="s">
        <v>22868</v>
      </c>
      <c r="AZ1223" s="6" t="s">
        <v>23994</v>
      </c>
      <c r="BA1223" s="6" t="s">
        <v>24261</v>
      </c>
      <c r="BB1223" s="24" t="n">
        <v>93</v>
      </c>
      <c r="BC1223" s="26"/>
      <c r="BD1223" s="26"/>
      <c r="BE1223" s="26"/>
      <c r="BF1223" s="26"/>
      <c r="BG1223" s="26"/>
      <c r="BH1223" s="26"/>
      <c r="BI1223" s="26"/>
      <c r="BJ1223" s="26"/>
      <c r="BK1223" s="26"/>
      <c r="BL1223" s="26"/>
      <c r="BM1223" s="26"/>
      <c r="BN1223" s="26"/>
      <c r="BO1223" s="26"/>
      <c r="BP1223" s="16" t="n">
        <v>45531</v>
      </c>
      <c r="BQ1223" s="28" t="str">
        <f>HYPERLINK("https://organic.ams.usda.gov/Integrity/Certificate.aspx?cid=45&amp;nopid=9950004749")</f>
        <v>https://organic.ams.usda.gov/Integrity/Certificate.aspx?cid=45&amp;nopid=9950004749</v>
      </c>
    </row>
    <row r="1224">
      <c r="A1224" t="s">
        <v>3</v>
      </c>
      <c r="B1224" s="6" t="s">
        <v>12</v>
      </c>
      <c r="C1224" s="6" t="s">
        <v>78</v>
      </c>
      <c r="D1224" s="6" t="s">
        <v>143</v>
      </c>
      <c r="E1224" s="10" t="s">
        <v>1422</v>
      </c>
      <c r="F1224" s="6" t="s">
        <v>3665</v>
      </c>
      <c r="G1224" s="6" t="s">
        <v>104</v>
      </c>
      <c r="H1224" s="6" t="s">
        <v>104</v>
      </c>
      <c r="I1224" s="6" t="s">
        <v>6973</v>
      </c>
      <c r="J1224" s="6" t="s">
        <v>9045</v>
      </c>
      <c r="K1224" s="6" t="s">
        <v>9714</v>
      </c>
      <c r="L1224" s="16" t="n">
        <v>44657</v>
      </c>
      <c r="M1224" s="16" t="n">
        <v>45931</v>
      </c>
      <c r="N1224" s="6" t="s">
        <v>104</v>
      </c>
      <c r="O1224" s="21" t="s">
        <v>104</v>
      </c>
      <c r="P1224" s="6" t="s">
        <v>104</v>
      </c>
      <c r="Q1224" s="6" t="s">
        <v>104</v>
      </c>
      <c r="R1224" s="6" t="s">
        <v>104</v>
      </c>
      <c r="S1224" s="6" t="s">
        <v>104</v>
      </c>
      <c r="T1224" s="21" t="s">
        <v>104</v>
      </c>
      <c r="U1224" s="6" t="s">
        <v>104</v>
      </c>
      <c r="V1224" s="6" t="s">
        <v>104</v>
      </c>
      <c r="W1224" s="6" t="s">
        <v>104</v>
      </c>
      <c r="X1224" s="6" t="s">
        <v>104</v>
      </c>
      <c r="Y1224" s="21" t="s">
        <v>104</v>
      </c>
      <c r="Z1224" s="6" t="s">
        <v>104</v>
      </c>
      <c r="AA1224" s="6" t="s">
        <v>104</v>
      </c>
      <c r="AB1224" s="6" t="s">
        <v>104</v>
      </c>
      <c r="AC1224" s="6" t="s">
        <v>9714</v>
      </c>
      <c r="AD1224" s="16" t="n">
        <v>42849</v>
      </c>
      <c r="AE1224" s="6" t="s">
        <v>11593</v>
      </c>
      <c r="AF1224" s="6" t="s">
        <v>104</v>
      </c>
      <c r="AG1224" s="6" t="s">
        <v>104</v>
      </c>
      <c r="AH1224" s="6" t="s">
        <v>14273</v>
      </c>
      <c r="AI1224" s="6" t="s">
        <v>104</v>
      </c>
      <c r="AJ1224" s="6" t="s">
        <v>15624</v>
      </c>
      <c r="AK1224" s="6" t="s">
        <v>16687</v>
      </c>
      <c r="AL1224" s="6" t="s">
        <v>16931</v>
      </c>
      <c r="AM1224" s="6" t="s">
        <v>17807</v>
      </c>
      <c r="AN1224" s="6" t="s">
        <v>18463</v>
      </c>
      <c r="AO1224" s="6" t="s">
        <v>18809</v>
      </c>
      <c r="AP1224" s="6" t="s">
        <v>14273</v>
      </c>
      <c r="AQ1224" s="6" t="s">
        <v>104</v>
      </c>
      <c r="AR1224" s="6" t="s">
        <v>15624</v>
      </c>
      <c r="AS1224" s="6" t="s">
        <v>16687</v>
      </c>
      <c r="AT1224" s="6" t="s">
        <v>16931</v>
      </c>
      <c r="AU1224" s="6" t="s">
        <v>17807</v>
      </c>
      <c r="AV1224" s="6" t="s">
        <v>104</v>
      </c>
      <c r="AW1224" s="6" t="s">
        <v>104</v>
      </c>
      <c r="AX1224" s="6" t="s">
        <v>104</v>
      </c>
      <c r="AY1224" s="6" t="s">
        <v>22869</v>
      </c>
      <c r="AZ1224" s="6" t="s">
        <v>104</v>
      </c>
      <c r="BA1224" s="6" t="s">
        <v>104</v>
      </c>
      <c r="BB1224" s="6" t="s">
        <v>104</v>
      </c>
      <c r="BC1224" s="26"/>
      <c r="BD1224" s="26"/>
      <c r="BE1224" s="26"/>
      <c r="BF1224" s="26"/>
      <c r="BG1224" s="26"/>
      <c r="BH1224" s="26"/>
      <c r="BI1224" s="26"/>
      <c r="BJ1224" s="26"/>
      <c r="BK1224" s="26"/>
      <c r="BL1224" s="26"/>
      <c r="BM1224" s="26"/>
      <c r="BN1224" s="26"/>
      <c r="BO1224" s="26"/>
      <c r="BP1224" s="16" t="n">
        <v>45628</v>
      </c>
      <c r="BQ1224" s="28" t="str">
        <f>HYPERLINK("https://organic.ams.usda.gov/Integrity/Certificate.aspx?cid=1&amp;nopid=9092134205")</f>
        <v>https://organic.ams.usda.gov/Integrity/Certificate.aspx?cid=1&amp;nopid=9092134205</v>
      </c>
    </row>
    <row r="1225">
      <c r="A1225" t="s">
        <v>3</v>
      </c>
      <c r="B1225" s="6" t="s">
        <v>29</v>
      </c>
      <c r="C1225" s="6" t="s">
        <v>95</v>
      </c>
      <c r="D1225" s="6" t="s">
        <v>160</v>
      </c>
      <c r="E1225" s="10" t="s">
        <v>1423</v>
      </c>
      <c r="F1225" s="6" t="s">
        <v>3666</v>
      </c>
      <c r="G1225" s="6" t="s">
        <v>104</v>
      </c>
      <c r="H1225" s="6" t="s">
        <v>6003</v>
      </c>
      <c r="I1225" s="6" t="s">
        <v>104</v>
      </c>
      <c r="J1225" s="6" t="s">
        <v>9046</v>
      </c>
      <c r="K1225" s="6" t="s">
        <v>9714</v>
      </c>
      <c r="L1225" s="16" t="n">
        <v>44280</v>
      </c>
      <c r="M1225" s="16" t="n">
        <v>46054</v>
      </c>
      <c r="N1225" s="6" t="s">
        <v>9714</v>
      </c>
      <c r="O1225" s="16" t="n">
        <v>44280</v>
      </c>
      <c r="P1225" s="6" t="s">
        <v>10072</v>
      </c>
      <c r="Q1225" s="6" t="s">
        <v>104</v>
      </c>
      <c r="R1225" s="6" t="s">
        <v>104</v>
      </c>
      <c r="S1225" s="6" t="s">
        <v>104</v>
      </c>
      <c r="T1225" s="21" t="s">
        <v>104</v>
      </c>
      <c r="U1225" s="6" t="s">
        <v>104</v>
      </c>
      <c r="V1225" s="6" t="s">
        <v>104</v>
      </c>
      <c r="W1225" s="6" t="s">
        <v>104</v>
      </c>
      <c r="X1225" s="6" t="s">
        <v>104</v>
      </c>
      <c r="Y1225" s="21" t="s">
        <v>104</v>
      </c>
      <c r="Z1225" s="6" t="s">
        <v>104</v>
      </c>
      <c r="AA1225" s="6" t="s">
        <v>104</v>
      </c>
      <c r="AB1225" s="6" t="s">
        <v>104</v>
      </c>
      <c r="AC1225" s="6" t="s">
        <v>9714</v>
      </c>
      <c r="AD1225" s="16" t="n">
        <v>44280</v>
      </c>
      <c r="AE1225" s="6" t="s">
        <v>11594</v>
      </c>
      <c r="AF1225" s="6" t="s">
        <v>104</v>
      </c>
      <c r="AG1225" s="6" t="s">
        <v>104</v>
      </c>
      <c r="AH1225" s="6" t="s">
        <v>14274</v>
      </c>
      <c r="AI1225" s="6" t="s">
        <v>104</v>
      </c>
      <c r="AJ1225" s="6" t="s">
        <v>16154</v>
      </c>
      <c r="AK1225" s="6" t="s">
        <v>16710</v>
      </c>
      <c r="AL1225" s="6" t="s">
        <v>16931</v>
      </c>
      <c r="AM1225" s="6" t="s">
        <v>17808</v>
      </c>
      <c r="AN1225" s="6" t="s">
        <v>17469</v>
      </c>
      <c r="AO1225" s="6" t="s">
        <v>18810</v>
      </c>
      <c r="AP1225" s="6" t="s">
        <v>104</v>
      </c>
      <c r="AQ1225" s="6" t="s">
        <v>104</v>
      </c>
      <c r="AR1225" s="6" t="s">
        <v>104</v>
      </c>
      <c r="AS1225" s="6" t="s">
        <v>104</v>
      </c>
      <c r="AT1225" s="6" t="s">
        <v>104</v>
      </c>
      <c r="AU1225" s="6" t="s">
        <v>104</v>
      </c>
      <c r="AV1225" s="6" t="s">
        <v>104</v>
      </c>
      <c r="AW1225" s="6" t="s">
        <v>104</v>
      </c>
      <c r="AX1225" s="6" t="s">
        <v>21069</v>
      </c>
      <c r="AY1225" s="6" t="s">
        <v>22870</v>
      </c>
      <c r="AZ1225" s="6" t="s">
        <v>104</v>
      </c>
      <c r="BA1225" s="6" t="s">
        <v>24269</v>
      </c>
      <c r="BB1225" s="24" t="n">
        <v>534</v>
      </c>
      <c r="BC1225" s="26"/>
      <c r="BD1225" s="26"/>
      <c r="BE1225" s="26"/>
      <c r="BF1225" s="26"/>
      <c r="BG1225" s="26"/>
      <c r="BH1225" s="26"/>
      <c r="BI1225" s="26"/>
      <c r="BJ1225" s="26"/>
      <c r="BK1225" s="26"/>
      <c r="BL1225" s="26"/>
      <c r="BM1225" s="26"/>
      <c r="BN1225" s="26"/>
      <c r="BO1225" s="26"/>
      <c r="BP1225" s="16" t="n">
        <v>45690</v>
      </c>
      <c r="BQ1225" s="28" t="str">
        <f>HYPERLINK("https://organic.ams.usda.gov/Integrity/Certificate.aspx?cid=24&amp;nopid=7881958170")</f>
        <v>https://organic.ams.usda.gov/Integrity/Certificate.aspx?cid=24&amp;nopid=7881958170</v>
      </c>
    </row>
    <row r="1226">
      <c r="A1226" t="s">
        <v>3</v>
      </c>
      <c r="B1226" s="6" t="s">
        <v>21</v>
      </c>
      <c r="C1226" s="6" t="s">
        <v>87</v>
      </c>
      <c r="D1226" s="6" t="s">
        <v>152</v>
      </c>
      <c r="E1226" s="10" t="s">
        <v>1424</v>
      </c>
      <c r="F1226" s="6" t="s">
        <v>3667</v>
      </c>
      <c r="G1226" s="6" t="s">
        <v>104</v>
      </c>
      <c r="H1226" s="6" t="s">
        <v>6004</v>
      </c>
      <c r="I1226" s="6" t="s">
        <v>7106</v>
      </c>
      <c r="J1226" s="6" t="s">
        <v>9047</v>
      </c>
      <c r="K1226" s="6" t="s">
        <v>9714</v>
      </c>
      <c r="L1226" s="16" t="n">
        <v>44715</v>
      </c>
      <c r="M1226" s="16" t="n">
        <v>46023</v>
      </c>
      <c r="N1226" s="6" t="s">
        <v>104</v>
      </c>
      <c r="O1226" s="21" t="s">
        <v>104</v>
      </c>
      <c r="P1226" s="6" t="s">
        <v>104</v>
      </c>
      <c r="Q1226" s="6" t="s">
        <v>104</v>
      </c>
      <c r="R1226" s="6" t="s">
        <v>104</v>
      </c>
      <c r="S1226" s="6" t="s">
        <v>104</v>
      </c>
      <c r="T1226" s="21" t="s">
        <v>104</v>
      </c>
      <c r="U1226" s="6" t="s">
        <v>104</v>
      </c>
      <c r="V1226" s="6" t="s">
        <v>104</v>
      </c>
      <c r="W1226" s="6" t="s">
        <v>104</v>
      </c>
      <c r="X1226" s="6" t="s">
        <v>104</v>
      </c>
      <c r="Y1226" s="21" t="s">
        <v>104</v>
      </c>
      <c r="Z1226" s="6" t="s">
        <v>104</v>
      </c>
      <c r="AA1226" s="6" t="s">
        <v>104</v>
      </c>
      <c r="AB1226" s="6" t="s">
        <v>104</v>
      </c>
      <c r="AC1226" s="6" t="s">
        <v>9714</v>
      </c>
      <c r="AD1226" s="16" t="n">
        <v>44715</v>
      </c>
      <c r="AE1226" s="6" t="s">
        <v>11595</v>
      </c>
      <c r="AF1226" s="6" t="s">
        <v>104</v>
      </c>
      <c r="AG1226" s="6" t="s">
        <v>104</v>
      </c>
      <c r="AH1226" s="6" t="s">
        <v>14275</v>
      </c>
      <c r="AI1226" s="6" t="s">
        <v>104</v>
      </c>
      <c r="AJ1226" s="6" t="s">
        <v>15879</v>
      </c>
      <c r="AK1226" s="6" t="s">
        <v>16683</v>
      </c>
      <c r="AL1226" s="6" t="s">
        <v>16931</v>
      </c>
      <c r="AM1226" s="6" t="s">
        <v>17809</v>
      </c>
      <c r="AN1226" s="6" t="s">
        <v>104</v>
      </c>
      <c r="AO1226" s="6" t="s">
        <v>104</v>
      </c>
      <c r="AP1226" s="6" t="s">
        <v>14275</v>
      </c>
      <c r="AQ1226" s="6" t="s">
        <v>104</v>
      </c>
      <c r="AR1226" s="6" t="s">
        <v>15879</v>
      </c>
      <c r="AS1226" s="6" t="s">
        <v>16683</v>
      </c>
      <c r="AT1226" s="6" t="s">
        <v>16931</v>
      </c>
      <c r="AU1226" s="6" t="s">
        <v>17809</v>
      </c>
      <c r="AV1226" s="6" t="s">
        <v>104</v>
      </c>
      <c r="AW1226" s="6" t="s">
        <v>104</v>
      </c>
      <c r="AX1226" s="6" t="s">
        <v>21070</v>
      </c>
      <c r="AY1226" s="6" t="s">
        <v>22871</v>
      </c>
      <c r="AZ1226" s="6" t="s">
        <v>23995</v>
      </c>
      <c r="BA1226" s="6" t="s">
        <v>24263</v>
      </c>
      <c r="BB1226" s="6" t="s">
        <v>104</v>
      </c>
      <c r="BC1226" s="26" t="s">
        <v>24533</v>
      </c>
      <c r="BD1226" s="26"/>
      <c r="BE1226" s="26"/>
      <c r="BF1226" s="26"/>
      <c r="BG1226" s="26"/>
      <c r="BH1226" s="26"/>
      <c r="BI1226" s="26"/>
      <c r="BJ1226" s="26"/>
      <c r="BK1226" s="26"/>
      <c r="BL1226" s="26" t="s">
        <v>24533</v>
      </c>
      <c r="BM1226" s="26"/>
      <c r="BN1226" s="26"/>
      <c r="BO1226" s="26"/>
      <c r="BP1226" s="16" t="n">
        <v>45737</v>
      </c>
      <c r="BQ1226" s="28" t="str">
        <f>HYPERLINK("https://organic.ams.usda.gov/Integrity/Certificate.aspx?cid=15&amp;nopid=5561007357")</f>
        <v>https://organic.ams.usda.gov/Integrity/Certificate.aspx?cid=15&amp;nopid=5561007357</v>
      </c>
    </row>
    <row r="1227">
      <c r="A1227" t="s">
        <v>3</v>
      </c>
      <c r="B1227" s="6" t="s">
        <v>11</v>
      </c>
      <c r="C1227" s="6" t="s">
        <v>77</v>
      </c>
      <c r="D1227" s="6" t="s">
        <v>142</v>
      </c>
      <c r="E1227" s="10" t="s">
        <v>1425</v>
      </c>
      <c r="F1227" s="6" t="s">
        <v>3668</v>
      </c>
      <c r="G1227" s="6" t="s">
        <v>104</v>
      </c>
      <c r="H1227" s="6" t="s">
        <v>104</v>
      </c>
      <c r="I1227" s="6" t="s">
        <v>7664</v>
      </c>
      <c r="J1227" s="6" t="s">
        <v>7819</v>
      </c>
      <c r="K1227" s="6" t="s">
        <v>9714</v>
      </c>
      <c r="L1227" s="16" t="n">
        <v>44931</v>
      </c>
      <c r="M1227" s="16" t="n">
        <v>45747</v>
      </c>
      <c r="N1227" s="6" t="s">
        <v>9714</v>
      </c>
      <c r="O1227" s="16" t="n">
        <v>44931</v>
      </c>
      <c r="P1227" s="6" t="s">
        <v>10073</v>
      </c>
      <c r="Q1227" s="6" t="s">
        <v>104</v>
      </c>
      <c r="R1227" s="6" t="s">
        <v>104</v>
      </c>
      <c r="S1227" s="6" t="s">
        <v>104</v>
      </c>
      <c r="T1227" s="21" t="s">
        <v>104</v>
      </c>
      <c r="U1227" s="6" t="s">
        <v>104</v>
      </c>
      <c r="V1227" s="6" t="s">
        <v>104</v>
      </c>
      <c r="W1227" s="6" t="s">
        <v>104</v>
      </c>
      <c r="X1227" s="6" t="s">
        <v>104</v>
      </c>
      <c r="Y1227" s="21" t="s">
        <v>104</v>
      </c>
      <c r="Z1227" s="6" t="s">
        <v>104</v>
      </c>
      <c r="AA1227" s="6" t="s">
        <v>104</v>
      </c>
      <c r="AB1227" s="6" t="s">
        <v>104</v>
      </c>
      <c r="AC1227" s="6" t="s">
        <v>9714</v>
      </c>
      <c r="AD1227" s="16" t="n">
        <v>44931</v>
      </c>
      <c r="AE1227" s="6" t="s">
        <v>11596</v>
      </c>
      <c r="AF1227" s="6" t="s">
        <v>104</v>
      </c>
      <c r="AG1227" s="6" t="s">
        <v>104</v>
      </c>
      <c r="AH1227" s="6" t="s">
        <v>14276</v>
      </c>
      <c r="AI1227" s="6" t="s">
        <v>104</v>
      </c>
      <c r="AJ1227" s="6" t="s">
        <v>16155</v>
      </c>
      <c r="AK1227" s="6" t="s">
        <v>16155</v>
      </c>
      <c r="AL1227" s="6" t="s">
        <v>16938</v>
      </c>
      <c r="AM1227" s="6" t="s">
        <v>17810</v>
      </c>
      <c r="AN1227" s="6" t="s">
        <v>104</v>
      </c>
      <c r="AO1227" s="6" t="s">
        <v>104</v>
      </c>
      <c r="AP1227" s="6" t="s">
        <v>104</v>
      </c>
      <c r="AQ1227" s="6" t="s">
        <v>104</v>
      </c>
      <c r="AR1227" s="6" t="s">
        <v>104</v>
      </c>
      <c r="AS1227" s="6" t="s">
        <v>104</v>
      </c>
      <c r="AT1227" s="6" t="s">
        <v>104</v>
      </c>
      <c r="AU1227" s="6" t="s">
        <v>104</v>
      </c>
      <c r="AV1227" s="6" t="s">
        <v>104</v>
      </c>
      <c r="AW1227" s="6" t="s">
        <v>104</v>
      </c>
      <c r="AX1227" s="6" t="s">
        <v>21071</v>
      </c>
      <c r="AY1227" s="6" t="s">
        <v>22872</v>
      </c>
      <c r="AZ1227" s="6" t="s">
        <v>104</v>
      </c>
      <c r="BA1227" s="6" t="s">
        <v>24273</v>
      </c>
      <c r="BB1227" s="24" t="n">
        <v>17179</v>
      </c>
      <c r="BC1227" s="26"/>
      <c r="BD1227" s="26"/>
      <c r="BE1227" s="26"/>
      <c r="BF1227" s="26"/>
      <c r="BG1227" s="26"/>
      <c r="BH1227" s="26"/>
      <c r="BI1227" s="26"/>
      <c r="BJ1227" s="26"/>
      <c r="BK1227" s="26"/>
      <c r="BL1227" s="26"/>
      <c r="BM1227" s="26"/>
      <c r="BN1227" s="26"/>
      <c r="BO1227" s="26"/>
      <c r="BP1227" s="16" t="n">
        <v>45723</v>
      </c>
      <c r="BQ1227" s="28" t="str">
        <f>HYPERLINK("https://organic.ams.usda.gov/Integrity/Certificate.aspx?cid=21&amp;nopid=1780891814")</f>
        <v>https://organic.ams.usda.gov/Integrity/Certificate.aspx?cid=21&amp;nopid=1780891814</v>
      </c>
    </row>
    <row r="1228">
      <c r="A1228" t="s">
        <v>3</v>
      </c>
      <c r="B1228" s="6" t="s">
        <v>11</v>
      </c>
      <c r="C1228" s="6" t="s">
        <v>77</v>
      </c>
      <c r="D1228" s="6" t="s">
        <v>142</v>
      </c>
      <c r="E1228" s="10" t="s">
        <v>1426</v>
      </c>
      <c r="F1228" s="6" t="s">
        <v>3669</v>
      </c>
      <c r="G1228" s="6" t="s">
        <v>104</v>
      </c>
      <c r="H1228" s="6" t="s">
        <v>6005</v>
      </c>
      <c r="I1228" s="6" t="s">
        <v>7665</v>
      </c>
      <c r="J1228" s="6" t="s">
        <v>9048</v>
      </c>
      <c r="K1228" s="6" t="s">
        <v>9714</v>
      </c>
      <c r="L1228" s="16" t="n">
        <v>45195</v>
      </c>
      <c r="M1228" s="16" t="n">
        <v>45926</v>
      </c>
      <c r="N1228" s="6" t="s">
        <v>104</v>
      </c>
      <c r="O1228" s="21" t="s">
        <v>104</v>
      </c>
      <c r="P1228" s="6" t="s">
        <v>104</v>
      </c>
      <c r="Q1228" s="6" t="s">
        <v>104</v>
      </c>
      <c r="R1228" s="6" t="s">
        <v>104</v>
      </c>
      <c r="S1228" s="6" t="s">
        <v>104</v>
      </c>
      <c r="T1228" s="21" t="s">
        <v>104</v>
      </c>
      <c r="U1228" s="6" t="s">
        <v>104</v>
      </c>
      <c r="V1228" s="6" t="s">
        <v>104</v>
      </c>
      <c r="W1228" s="6" t="s">
        <v>104</v>
      </c>
      <c r="X1228" s="6" t="s">
        <v>104</v>
      </c>
      <c r="Y1228" s="21" t="s">
        <v>104</v>
      </c>
      <c r="Z1228" s="6" t="s">
        <v>104</v>
      </c>
      <c r="AA1228" s="6" t="s">
        <v>104</v>
      </c>
      <c r="AB1228" s="6" t="s">
        <v>104</v>
      </c>
      <c r="AC1228" s="6" t="s">
        <v>9714</v>
      </c>
      <c r="AD1228" s="16" t="n">
        <v>45195</v>
      </c>
      <c r="AE1228" s="6" t="s">
        <v>11597</v>
      </c>
      <c r="AF1228" s="6" t="s">
        <v>104</v>
      </c>
      <c r="AG1228" s="6" t="s">
        <v>104</v>
      </c>
      <c r="AH1228" s="6" t="s">
        <v>14277</v>
      </c>
      <c r="AI1228" s="6" t="s">
        <v>15297</v>
      </c>
      <c r="AJ1228" s="6" t="s">
        <v>16156</v>
      </c>
      <c r="AK1228" s="6" t="s">
        <v>16861</v>
      </c>
      <c r="AL1228" s="6" t="s">
        <v>16946</v>
      </c>
      <c r="AM1228" s="6" t="s">
        <v>104</v>
      </c>
      <c r="AN1228" s="6" t="s">
        <v>104</v>
      </c>
      <c r="AO1228" s="6" t="s">
        <v>104</v>
      </c>
      <c r="AP1228" s="6" t="s">
        <v>14277</v>
      </c>
      <c r="AQ1228" s="6" t="s">
        <v>15297</v>
      </c>
      <c r="AR1228" s="6" t="s">
        <v>16156</v>
      </c>
      <c r="AS1228" s="6" t="s">
        <v>16861</v>
      </c>
      <c r="AT1228" s="6" t="s">
        <v>16946</v>
      </c>
      <c r="AU1228" s="6" t="s">
        <v>104</v>
      </c>
      <c r="AV1228" s="6" t="s">
        <v>104</v>
      </c>
      <c r="AW1228" s="6" t="s">
        <v>104</v>
      </c>
      <c r="AX1228" s="6" t="s">
        <v>21072</v>
      </c>
      <c r="AY1228" s="6" t="s">
        <v>22650</v>
      </c>
      <c r="AZ1228" s="6" t="s">
        <v>104</v>
      </c>
      <c r="BA1228" s="6" t="s">
        <v>104</v>
      </c>
      <c r="BB1228" s="6" t="s">
        <v>104</v>
      </c>
      <c r="BC1228" s="26"/>
      <c r="BD1228" s="26"/>
      <c r="BE1228" s="26"/>
      <c r="BF1228" s="26"/>
      <c r="BG1228" s="26"/>
      <c r="BH1228" s="26"/>
      <c r="BI1228" s="26"/>
      <c r="BJ1228" s="26"/>
      <c r="BK1228" s="26"/>
      <c r="BL1228" s="26"/>
      <c r="BM1228" s="26"/>
      <c r="BN1228" s="26"/>
      <c r="BO1228" s="26"/>
      <c r="BP1228" s="16" t="n">
        <v>45644</v>
      </c>
      <c r="BQ1228" s="28" t="str">
        <f>HYPERLINK("https://organic.ams.usda.gov/Integrity/Certificate.aspx?cid=21&amp;nopid=1780898526")</f>
        <v>https://organic.ams.usda.gov/Integrity/Certificate.aspx?cid=21&amp;nopid=1780898526</v>
      </c>
    </row>
    <row r="1229">
      <c r="A1229" t="s">
        <v>3</v>
      </c>
      <c r="B1229" s="6" t="s">
        <v>47</v>
      </c>
      <c r="C1229" s="6" t="s">
        <v>113</v>
      </c>
      <c r="D1229" s="6" t="s">
        <v>177</v>
      </c>
      <c r="E1229" s="10" t="s">
        <v>1427</v>
      </c>
      <c r="F1229" s="6" t="s">
        <v>3670</v>
      </c>
      <c r="G1229" s="6" t="s">
        <v>104</v>
      </c>
      <c r="H1229" s="6" t="s">
        <v>6006</v>
      </c>
      <c r="I1229" s="6" t="s">
        <v>7032</v>
      </c>
      <c r="J1229" s="6" t="s">
        <v>9049</v>
      </c>
      <c r="K1229" s="6" t="s">
        <v>9714</v>
      </c>
      <c r="L1229" s="16" t="n">
        <v>42408</v>
      </c>
      <c r="M1229" s="16" t="n">
        <v>45777</v>
      </c>
      <c r="N1229" s="6" t="s">
        <v>104</v>
      </c>
      <c r="O1229" s="21" t="s">
        <v>104</v>
      </c>
      <c r="P1229" s="6" t="s">
        <v>104</v>
      </c>
      <c r="Q1229" s="6" t="s">
        <v>104</v>
      </c>
      <c r="R1229" s="6" t="s">
        <v>104</v>
      </c>
      <c r="S1229" s="6" t="s">
        <v>104</v>
      </c>
      <c r="T1229" s="21" t="s">
        <v>104</v>
      </c>
      <c r="U1229" s="6" t="s">
        <v>104</v>
      </c>
      <c r="V1229" s="6" t="s">
        <v>104</v>
      </c>
      <c r="W1229" s="6" t="s">
        <v>104</v>
      </c>
      <c r="X1229" s="6" t="s">
        <v>104</v>
      </c>
      <c r="Y1229" s="21" t="s">
        <v>104</v>
      </c>
      <c r="Z1229" s="6" t="s">
        <v>104</v>
      </c>
      <c r="AA1229" s="6" t="s">
        <v>104</v>
      </c>
      <c r="AB1229" s="6" t="s">
        <v>104</v>
      </c>
      <c r="AC1229" s="6" t="s">
        <v>9714</v>
      </c>
      <c r="AD1229" s="16" t="n">
        <v>42408</v>
      </c>
      <c r="AE1229" s="6" t="s">
        <v>11598</v>
      </c>
      <c r="AF1229" s="6" t="s">
        <v>104</v>
      </c>
      <c r="AG1229" s="6" t="s">
        <v>12867</v>
      </c>
      <c r="AH1229" s="6" t="s">
        <v>14278</v>
      </c>
      <c r="AI1229" s="6" t="s">
        <v>104</v>
      </c>
      <c r="AJ1229" s="6" t="s">
        <v>16157</v>
      </c>
      <c r="AK1229" s="6" t="s">
        <v>16734</v>
      </c>
      <c r="AL1229" s="6" t="s">
        <v>16931</v>
      </c>
      <c r="AM1229" s="6" t="s">
        <v>17811</v>
      </c>
      <c r="AN1229" s="6" t="s">
        <v>18462</v>
      </c>
      <c r="AO1229" s="6" t="s">
        <v>18713</v>
      </c>
      <c r="AP1229" s="6" t="s">
        <v>19264</v>
      </c>
      <c r="AQ1229" s="6" t="s">
        <v>104</v>
      </c>
      <c r="AR1229" s="6" t="s">
        <v>19707</v>
      </c>
      <c r="AS1229" s="6" t="s">
        <v>16734</v>
      </c>
      <c r="AT1229" s="6" t="s">
        <v>16931</v>
      </c>
      <c r="AU1229" s="6" t="s">
        <v>19952</v>
      </c>
      <c r="AV1229" s="6" t="s">
        <v>104</v>
      </c>
      <c r="AW1229" s="6" t="s">
        <v>104</v>
      </c>
      <c r="AX1229" s="6" t="s">
        <v>21073</v>
      </c>
      <c r="AY1229" s="6" t="s">
        <v>22873</v>
      </c>
      <c r="AZ1229" s="6" t="s">
        <v>23996</v>
      </c>
      <c r="BA1229" s="6" t="s">
        <v>104</v>
      </c>
      <c r="BB1229" s="24" t="n">
        <v>0</v>
      </c>
      <c r="BC1229" s="26"/>
      <c r="BD1229" s="26"/>
      <c r="BE1229" s="26"/>
      <c r="BF1229" s="26"/>
      <c r="BG1229" s="26"/>
      <c r="BH1229" s="26"/>
      <c r="BI1229" s="26"/>
      <c r="BJ1229" s="26"/>
      <c r="BK1229" s="26"/>
      <c r="BL1229" s="26"/>
      <c r="BM1229" s="26"/>
      <c r="BN1229" s="26"/>
      <c r="BO1229" s="26"/>
      <c r="BP1229" s="16" t="n">
        <v>45694</v>
      </c>
      <c r="BQ1229" s="28" t="str">
        <f>HYPERLINK("https://organic.ams.usda.gov/Integrity/Certificate.aspx?cid=47&amp;nopid=7142074735")</f>
        <v>https://organic.ams.usda.gov/Integrity/Certificate.aspx?cid=47&amp;nopid=7142074735</v>
      </c>
    </row>
    <row r="1230">
      <c r="A1230" t="s">
        <v>3</v>
      </c>
      <c r="B1230" s="6" t="s">
        <v>25</v>
      </c>
      <c r="C1230" s="6" t="s">
        <v>91</v>
      </c>
      <c r="D1230" s="6" t="s">
        <v>156</v>
      </c>
      <c r="E1230" s="10" t="s">
        <v>1428</v>
      </c>
      <c r="F1230" s="6" t="s">
        <v>3671</v>
      </c>
      <c r="G1230" s="6" t="s">
        <v>104</v>
      </c>
      <c r="H1230" s="6" t="s">
        <v>6007</v>
      </c>
      <c r="I1230" s="6" t="s">
        <v>6939</v>
      </c>
      <c r="J1230" s="6" t="s">
        <v>8151</v>
      </c>
      <c r="K1230" s="6" t="s">
        <v>9714</v>
      </c>
      <c r="L1230" s="16" t="n">
        <v>38062</v>
      </c>
      <c r="M1230" s="16" t="n">
        <v>45864</v>
      </c>
      <c r="N1230" s="6" t="s">
        <v>104</v>
      </c>
      <c r="O1230" s="21" t="s">
        <v>104</v>
      </c>
      <c r="P1230" s="6" t="s">
        <v>104</v>
      </c>
      <c r="Q1230" s="6" t="s">
        <v>104</v>
      </c>
      <c r="R1230" s="6" t="s">
        <v>104</v>
      </c>
      <c r="S1230" s="6" t="s">
        <v>104</v>
      </c>
      <c r="T1230" s="21" t="s">
        <v>104</v>
      </c>
      <c r="U1230" s="6" t="s">
        <v>104</v>
      </c>
      <c r="V1230" s="6" t="s">
        <v>104</v>
      </c>
      <c r="W1230" s="6" t="s">
        <v>104</v>
      </c>
      <c r="X1230" s="6" t="s">
        <v>104</v>
      </c>
      <c r="Y1230" s="21" t="s">
        <v>104</v>
      </c>
      <c r="Z1230" s="6" t="s">
        <v>104</v>
      </c>
      <c r="AA1230" s="6" t="s">
        <v>104</v>
      </c>
      <c r="AB1230" s="6" t="s">
        <v>104</v>
      </c>
      <c r="AC1230" s="6" t="s">
        <v>9714</v>
      </c>
      <c r="AD1230" s="16" t="n">
        <v>38062</v>
      </c>
      <c r="AE1230" s="6" t="s">
        <v>11599</v>
      </c>
      <c r="AF1230" s="6" t="s">
        <v>104</v>
      </c>
      <c r="AG1230" s="6" t="s">
        <v>104</v>
      </c>
      <c r="AH1230" s="6" t="s">
        <v>14279</v>
      </c>
      <c r="AI1230" s="6" t="s">
        <v>104</v>
      </c>
      <c r="AJ1230" s="6" t="s">
        <v>15379</v>
      </c>
      <c r="AK1230" s="6" t="s">
        <v>16691</v>
      </c>
      <c r="AL1230" s="6" t="s">
        <v>16935</v>
      </c>
      <c r="AM1230" s="6" t="s">
        <v>17007</v>
      </c>
      <c r="AN1230" s="6" t="s">
        <v>104</v>
      </c>
      <c r="AO1230" s="6" t="s">
        <v>104</v>
      </c>
      <c r="AP1230" s="6" t="s">
        <v>19265</v>
      </c>
      <c r="AQ1230" s="6" t="s">
        <v>104</v>
      </c>
      <c r="AR1230" s="6" t="s">
        <v>15379</v>
      </c>
      <c r="AS1230" s="6" t="s">
        <v>16691</v>
      </c>
      <c r="AT1230" s="6" t="s">
        <v>16935</v>
      </c>
      <c r="AU1230" s="6" t="s">
        <v>17774</v>
      </c>
      <c r="AV1230" s="6" t="s">
        <v>104</v>
      </c>
      <c r="AW1230" s="6" t="s">
        <v>104</v>
      </c>
      <c r="AX1230" s="6" t="s">
        <v>20137</v>
      </c>
      <c r="AY1230" s="6" t="s">
        <v>21875</v>
      </c>
      <c r="AZ1230" s="6" t="s">
        <v>104</v>
      </c>
      <c r="BA1230" s="6" t="s">
        <v>24264</v>
      </c>
      <c r="BB1230" s="6" t="s">
        <v>104</v>
      </c>
      <c r="BC1230" s="26"/>
      <c r="BD1230" s="26"/>
      <c r="BE1230" s="26"/>
      <c r="BF1230" s="26"/>
      <c r="BG1230" s="26"/>
      <c r="BH1230" s="26"/>
      <c r="BI1230" s="26"/>
      <c r="BJ1230" s="26"/>
      <c r="BK1230" s="26"/>
      <c r="BL1230" s="26"/>
      <c r="BM1230" s="26"/>
      <c r="BN1230" s="26"/>
      <c r="BO1230" s="26"/>
      <c r="BP1230" s="16" t="n">
        <v>45642</v>
      </c>
      <c r="BQ1230" s="28" t="str">
        <f>HYPERLINK("https://organic.ams.usda.gov/Integrity/Certificate.aspx?cid=66&amp;nopid=5500000380")</f>
        <v>https://organic.ams.usda.gov/Integrity/Certificate.aspx?cid=66&amp;nopid=5500000380</v>
      </c>
    </row>
    <row r="1231">
      <c r="A1231" t="s">
        <v>3</v>
      </c>
      <c r="B1231" s="6" t="s">
        <v>21</v>
      </c>
      <c r="C1231" s="6" t="s">
        <v>87</v>
      </c>
      <c r="D1231" s="6" t="s">
        <v>152</v>
      </c>
      <c r="E1231" s="10" t="s">
        <v>1429</v>
      </c>
      <c r="F1231" s="6" t="s">
        <v>3672</v>
      </c>
      <c r="G1231" s="6" t="s">
        <v>104</v>
      </c>
      <c r="H1231" s="6" t="s">
        <v>6008</v>
      </c>
      <c r="I1231" s="6" t="s">
        <v>7585</v>
      </c>
      <c r="J1231" s="6" t="s">
        <v>9050</v>
      </c>
      <c r="K1231" s="6" t="s">
        <v>9714</v>
      </c>
      <c r="L1231" s="16" t="n">
        <v>44676</v>
      </c>
      <c r="M1231" s="16" t="n">
        <v>46023</v>
      </c>
      <c r="N1231" s="6" t="s">
        <v>104</v>
      </c>
      <c r="O1231" s="21" t="s">
        <v>104</v>
      </c>
      <c r="P1231" s="6" t="s">
        <v>104</v>
      </c>
      <c r="Q1231" s="6" t="s">
        <v>104</v>
      </c>
      <c r="R1231" s="6" t="s">
        <v>104</v>
      </c>
      <c r="S1231" s="6" t="s">
        <v>104</v>
      </c>
      <c r="T1231" s="21" t="s">
        <v>104</v>
      </c>
      <c r="U1231" s="6" t="s">
        <v>104</v>
      </c>
      <c r="V1231" s="6" t="s">
        <v>104</v>
      </c>
      <c r="W1231" s="6" t="s">
        <v>104</v>
      </c>
      <c r="X1231" s="6" t="s">
        <v>104</v>
      </c>
      <c r="Y1231" s="21" t="s">
        <v>104</v>
      </c>
      <c r="Z1231" s="6" t="s">
        <v>104</v>
      </c>
      <c r="AA1231" s="6" t="s">
        <v>104</v>
      </c>
      <c r="AB1231" s="6" t="s">
        <v>104</v>
      </c>
      <c r="AC1231" s="6" t="s">
        <v>9714</v>
      </c>
      <c r="AD1231" s="16" t="n">
        <v>44676</v>
      </c>
      <c r="AE1231" s="6" t="s">
        <v>11600</v>
      </c>
      <c r="AF1231" s="6" t="s">
        <v>104</v>
      </c>
      <c r="AG1231" s="6" t="s">
        <v>104</v>
      </c>
      <c r="AH1231" s="6" t="s">
        <v>13461</v>
      </c>
      <c r="AI1231" s="6" t="s">
        <v>104</v>
      </c>
      <c r="AJ1231" s="6" t="s">
        <v>15603</v>
      </c>
      <c r="AK1231" s="6" t="s">
        <v>16687</v>
      </c>
      <c r="AL1231" s="6" t="s">
        <v>16931</v>
      </c>
      <c r="AM1231" s="6" t="s">
        <v>17219</v>
      </c>
      <c r="AN1231" s="6" t="s">
        <v>18486</v>
      </c>
      <c r="AO1231" s="6" t="s">
        <v>18641</v>
      </c>
      <c r="AP1231" s="6" t="s">
        <v>13461</v>
      </c>
      <c r="AQ1231" s="6" t="s">
        <v>104</v>
      </c>
      <c r="AR1231" s="6" t="s">
        <v>15603</v>
      </c>
      <c r="AS1231" s="6" t="s">
        <v>16687</v>
      </c>
      <c r="AT1231" s="6" t="s">
        <v>16931</v>
      </c>
      <c r="AU1231" s="6" t="s">
        <v>17219</v>
      </c>
      <c r="AV1231" s="6" t="s">
        <v>104</v>
      </c>
      <c r="AW1231" s="6" t="s">
        <v>104</v>
      </c>
      <c r="AX1231" s="6" t="s">
        <v>21074</v>
      </c>
      <c r="AY1231" s="6" t="s">
        <v>22874</v>
      </c>
      <c r="AZ1231" s="6" t="s">
        <v>104</v>
      </c>
      <c r="BA1231" s="6" t="s">
        <v>104</v>
      </c>
      <c r="BB1231" s="6" t="s">
        <v>104</v>
      </c>
      <c r="BC1231" s="26"/>
      <c r="BD1231" s="26"/>
      <c r="BE1231" s="26"/>
      <c r="BF1231" s="26"/>
      <c r="BG1231" s="26"/>
      <c r="BH1231" s="26"/>
      <c r="BI1231" s="26"/>
      <c r="BJ1231" s="26"/>
      <c r="BK1231" s="26"/>
      <c r="BL1231" s="26"/>
      <c r="BM1231" s="26"/>
      <c r="BN1231" s="26"/>
      <c r="BO1231" s="26"/>
      <c r="BP1231" s="16" t="n">
        <v>45667</v>
      </c>
      <c r="BQ1231" s="28" t="str">
        <f>HYPERLINK("https://organic.ams.usda.gov/Integrity/Certificate.aspx?cid=15&amp;nopid=5561007251")</f>
        <v>https://organic.ams.usda.gov/Integrity/Certificate.aspx?cid=15&amp;nopid=5561007251</v>
      </c>
    </row>
    <row r="1232">
      <c r="A1232" t="s">
        <v>3</v>
      </c>
      <c r="B1232" s="6" t="s">
        <v>21</v>
      </c>
      <c r="C1232" s="6" t="s">
        <v>87</v>
      </c>
      <c r="D1232" s="6" t="s">
        <v>152</v>
      </c>
      <c r="E1232" s="10" t="s">
        <v>1430</v>
      </c>
      <c r="F1232" s="6" t="s">
        <v>3673</v>
      </c>
      <c r="G1232" s="6" t="s">
        <v>104</v>
      </c>
      <c r="H1232" s="6" t="s">
        <v>6009</v>
      </c>
      <c r="I1232" s="6" t="s">
        <v>104</v>
      </c>
      <c r="J1232" s="6" t="s">
        <v>104</v>
      </c>
      <c r="K1232" s="6" t="s">
        <v>9714</v>
      </c>
      <c r="L1232" s="16" t="n">
        <v>31837</v>
      </c>
      <c r="M1232" s="16" t="n">
        <v>46023</v>
      </c>
      <c r="N1232" s="6" t="s">
        <v>9714</v>
      </c>
      <c r="O1232" s="16" t="n">
        <v>30011</v>
      </c>
      <c r="P1232" s="6" t="s">
        <v>10074</v>
      </c>
      <c r="Q1232" s="6" t="s">
        <v>104</v>
      </c>
      <c r="R1232" s="6" t="s">
        <v>104</v>
      </c>
      <c r="S1232" s="6" t="s">
        <v>104</v>
      </c>
      <c r="T1232" s="21" t="s">
        <v>104</v>
      </c>
      <c r="U1232" s="6" t="s">
        <v>104</v>
      </c>
      <c r="V1232" s="6" t="s">
        <v>104</v>
      </c>
      <c r="W1232" s="6" t="s">
        <v>104</v>
      </c>
      <c r="X1232" s="6" t="s">
        <v>104</v>
      </c>
      <c r="Y1232" s="21" t="s">
        <v>104</v>
      </c>
      <c r="Z1232" s="6" t="s">
        <v>104</v>
      </c>
      <c r="AA1232" s="6" t="s">
        <v>104</v>
      </c>
      <c r="AB1232" s="6" t="s">
        <v>104</v>
      </c>
      <c r="AC1232" s="6" t="s">
        <v>9714</v>
      </c>
      <c r="AD1232" s="16" t="n">
        <v>30011</v>
      </c>
      <c r="AE1232" s="6" t="s">
        <v>11601</v>
      </c>
      <c r="AF1232" s="6" t="s">
        <v>104</v>
      </c>
      <c r="AG1232" s="6" t="s">
        <v>104</v>
      </c>
      <c r="AH1232" s="6" t="s">
        <v>14280</v>
      </c>
      <c r="AI1232" s="6" t="s">
        <v>104</v>
      </c>
      <c r="AJ1232" s="6" t="s">
        <v>16158</v>
      </c>
      <c r="AK1232" s="6" t="s">
        <v>16687</v>
      </c>
      <c r="AL1232" s="6" t="s">
        <v>16931</v>
      </c>
      <c r="AM1232" s="6" t="s">
        <v>17812</v>
      </c>
      <c r="AN1232" s="6" t="s">
        <v>18467</v>
      </c>
      <c r="AO1232" s="6" t="s">
        <v>18610</v>
      </c>
      <c r="AP1232" s="6" t="s">
        <v>19266</v>
      </c>
      <c r="AQ1232" s="6" t="s">
        <v>104</v>
      </c>
      <c r="AR1232" s="6" t="s">
        <v>16158</v>
      </c>
      <c r="AS1232" s="6" t="s">
        <v>16687</v>
      </c>
      <c r="AT1232" s="6" t="s">
        <v>16931</v>
      </c>
      <c r="AU1232" s="6" t="s">
        <v>17812</v>
      </c>
      <c r="AV1232" s="6" t="s">
        <v>104</v>
      </c>
      <c r="AW1232" s="6" t="s">
        <v>104</v>
      </c>
      <c r="AX1232" s="6" t="s">
        <v>104</v>
      </c>
      <c r="AY1232" s="6" t="s">
        <v>104</v>
      </c>
      <c r="AZ1232" s="6" t="s">
        <v>104</v>
      </c>
      <c r="BA1232" s="6" t="s">
        <v>104</v>
      </c>
      <c r="BB1232" s="24" t="n">
        <v>1136</v>
      </c>
      <c r="BC1232" s="26"/>
      <c r="BD1232" s="26"/>
      <c r="BE1232" s="26"/>
      <c r="BF1232" s="26"/>
      <c r="BG1232" s="26"/>
      <c r="BH1232" s="26"/>
      <c r="BI1232" s="26"/>
      <c r="BJ1232" s="26"/>
      <c r="BK1232" s="26"/>
      <c r="BL1232" s="26"/>
      <c r="BM1232" s="26"/>
      <c r="BN1232" s="26"/>
      <c r="BO1232" s="26"/>
      <c r="BP1232" s="16" t="n">
        <v>45667</v>
      </c>
      <c r="BQ1232" s="28" t="str">
        <f>HYPERLINK("https://organic.ams.usda.gov/Integrity/Certificate.aspx?cid=15&amp;nopid=5561001479")</f>
        <v>https://organic.ams.usda.gov/Integrity/Certificate.aspx?cid=15&amp;nopid=5561001479</v>
      </c>
    </row>
    <row r="1233">
      <c r="A1233" t="s">
        <v>3</v>
      </c>
      <c r="B1233" s="6" t="s">
        <v>21</v>
      </c>
      <c r="C1233" s="6" t="s">
        <v>87</v>
      </c>
      <c r="D1233" s="6" t="s">
        <v>152</v>
      </c>
      <c r="E1233" s="10" t="s">
        <v>1431</v>
      </c>
      <c r="F1233" s="6" t="s">
        <v>3674</v>
      </c>
      <c r="G1233" s="6" t="s">
        <v>104</v>
      </c>
      <c r="H1233" s="6" t="s">
        <v>6010</v>
      </c>
      <c r="I1233" s="6" t="s">
        <v>7666</v>
      </c>
      <c r="J1233" s="6" t="s">
        <v>9051</v>
      </c>
      <c r="K1233" s="6" t="s">
        <v>9714</v>
      </c>
      <c r="L1233" s="16" t="n">
        <v>34394</v>
      </c>
      <c r="M1233" s="16" t="n">
        <v>46023</v>
      </c>
      <c r="N1233" s="6" t="s">
        <v>104</v>
      </c>
      <c r="O1233" s="21" t="s">
        <v>104</v>
      </c>
      <c r="P1233" s="6" t="s">
        <v>104</v>
      </c>
      <c r="Q1233" s="6" t="s">
        <v>104</v>
      </c>
      <c r="R1233" s="6" t="s">
        <v>104</v>
      </c>
      <c r="S1233" s="6" t="s">
        <v>104</v>
      </c>
      <c r="T1233" s="21" t="s">
        <v>104</v>
      </c>
      <c r="U1233" s="6" t="s">
        <v>104</v>
      </c>
      <c r="V1233" s="6" t="s">
        <v>104</v>
      </c>
      <c r="W1233" s="6" t="s">
        <v>104</v>
      </c>
      <c r="X1233" s="6" t="s">
        <v>104</v>
      </c>
      <c r="Y1233" s="21" t="s">
        <v>104</v>
      </c>
      <c r="Z1233" s="6" t="s">
        <v>104</v>
      </c>
      <c r="AA1233" s="6" t="s">
        <v>104</v>
      </c>
      <c r="AB1233" s="6" t="s">
        <v>104</v>
      </c>
      <c r="AC1233" s="6" t="s">
        <v>9714</v>
      </c>
      <c r="AD1233" s="16" t="n">
        <v>34394</v>
      </c>
      <c r="AE1233" s="6" t="s">
        <v>11602</v>
      </c>
      <c r="AF1233" s="6" t="s">
        <v>104</v>
      </c>
      <c r="AG1233" s="6" t="s">
        <v>104</v>
      </c>
      <c r="AH1233" s="6" t="s">
        <v>14281</v>
      </c>
      <c r="AI1233" s="6" t="s">
        <v>104</v>
      </c>
      <c r="AJ1233" s="6" t="s">
        <v>16158</v>
      </c>
      <c r="AK1233" s="6" t="s">
        <v>16687</v>
      </c>
      <c r="AL1233" s="6" t="s">
        <v>16931</v>
      </c>
      <c r="AM1233" s="6" t="s">
        <v>17812</v>
      </c>
      <c r="AN1233" s="6" t="s">
        <v>18467</v>
      </c>
      <c r="AO1233" s="6" t="s">
        <v>18610</v>
      </c>
      <c r="AP1233" s="6" t="s">
        <v>19267</v>
      </c>
      <c r="AQ1233" s="6" t="s">
        <v>104</v>
      </c>
      <c r="AR1233" s="6" t="s">
        <v>16158</v>
      </c>
      <c r="AS1233" s="6" t="s">
        <v>16687</v>
      </c>
      <c r="AT1233" s="6" t="s">
        <v>16931</v>
      </c>
      <c r="AU1233" s="6" t="s">
        <v>17812</v>
      </c>
      <c r="AV1233" s="6" t="s">
        <v>104</v>
      </c>
      <c r="AW1233" s="6" t="s">
        <v>104</v>
      </c>
      <c r="AX1233" s="6" t="s">
        <v>21075</v>
      </c>
      <c r="AY1233" s="6" t="s">
        <v>22875</v>
      </c>
      <c r="AZ1233" s="6" t="s">
        <v>23997</v>
      </c>
      <c r="BA1233" s="6" t="s">
        <v>24426</v>
      </c>
      <c r="BB1233" s="6" t="s">
        <v>104</v>
      </c>
      <c r="BC1233" s="26"/>
      <c r="BD1233" s="26"/>
      <c r="BE1233" s="26"/>
      <c r="BF1233" s="26"/>
      <c r="BG1233" s="26"/>
      <c r="BH1233" s="26"/>
      <c r="BI1233" s="26"/>
      <c r="BJ1233" s="26"/>
      <c r="BK1233" s="26"/>
      <c r="BL1233" s="26"/>
      <c r="BM1233" s="26"/>
      <c r="BN1233" s="26"/>
      <c r="BO1233" s="26"/>
      <c r="BP1233" s="16" t="n">
        <v>45737</v>
      </c>
      <c r="BQ1233" s="28" t="str">
        <f>HYPERLINK("https://organic.ams.usda.gov/Integrity/Certificate.aspx?cid=15&amp;nopid=5561001644")</f>
        <v>https://organic.ams.usda.gov/Integrity/Certificate.aspx?cid=15&amp;nopid=5561001644</v>
      </c>
    </row>
    <row r="1234">
      <c r="A1234" t="s">
        <v>3</v>
      </c>
      <c r="B1234" s="6" t="s">
        <v>55</v>
      </c>
      <c r="C1234" s="6" t="s">
        <v>121</v>
      </c>
      <c r="D1234" s="6" t="s">
        <v>185</v>
      </c>
      <c r="E1234" s="10" t="s">
        <v>1432</v>
      </c>
      <c r="F1234" s="6" t="s">
        <v>3675</v>
      </c>
      <c r="G1234" s="6" t="s">
        <v>104</v>
      </c>
      <c r="H1234" s="6" t="s">
        <v>6011</v>
      </c>
      <c r="I1234" s="6" t="s">
        <v>7667</v>
      </c>
      <c r="J1234" s="6" t="s">
        <v>9052</v>
      </c>
      <c r="K1234" s="6" t="s">
        <v>9714</v>
      </c>
      <c r="L1234" s="16" t="n">
        <v>43734</v>
      </c>
      <c r="M1234" s="16" t="n">
        <v>45864</v>
      </c>
      <c r="N1234" s="6" t="s">
        <v>104</v>
      </c>
      <c r="O1234" s="21" t="s">
        <v>104</v>
      </c>
      <c r="P1234" s="6" t="s">
        <v>104</v>
      </c>
      <c r="Q1234" s="6" t="s">
        <v>104</v>
      </c>
      <c r="R1234" s="6" t="s">
        <v>104</v>
      </c>
      <c r="S1234" s="6" t="s">
        <v>104</v>
      </c>
      <c r="T1234" s="21" t="s">
        <v>104</v>
      </c>
      <c r="U1234" s="6" t="s">
        <v>104</v>
      </c>
      <c r="V1234" s="6" t="s">
        <v>104</v>
      </c>
      <c r="W1234" s="6" t="s">
        <v>104</v>
      </c>
      <c r="X1234" s="6" t="s">
        <v>104</v>
      </c>
      <c r="Y1234" s="21" t="s">
        <v>104</v>
      </c>
      <c r="Z1234" s="6" t="s">
        <v>104</v>
      </c>
      <c r="AA1234" s="6" t="s">
        <v>104</v>
      </c>
      <c r="AB1234" s="6" t="s">
        <v>104</v>
      </c>
      <c r="AC1234" s="6" t="s">
        <v>9714</v>
      </c>
      <c r="AD1234" s="16" t="n">
        <v>43734</v>
      </c>
      <c r="AE1234" s="6" t="s">
        <v>11603</v>
      </c>
      <c r="AF1234" s="6" t="s">
        <v>104</v>
      </c>
      <c r="AG1234" s="6" t="s">
        <v>12868</v>
      </c>
      <c r="AH1234" s="6" t="s">
        <v>14282</v>
      </c>
      <c r="AI1234" s="6" t="s">
        <v>104</v>
      </c>
      <c r="AJ1234" s="6" t="s">
        <v>15922</v>
      </c>
      <c r="AK1234" s="6" t="s">
        <v>16862</v>
      </c>
      <c r="AL1234" s="6" t="s">
        <v>16958</v>
      </c>
      <c r="AM1234" s="6" t="s">
        <v>17813</v>
      </c>
      <c r="AN1234" s="6" t="s">
        <v>104</v>
      </c>
      <c r="AO1234" s="6" t="s">
        <v>104</v>
      </c>
      <c r="AP1234" s="6" t="s">
        <v>14282</v>
      </c>
      <c r="AQ1234" s="6" t="s">
        <v>104</v>
      </c>
      <c r="AR1234" s="6" t="s">
        <v>15922</v>
      </c>
      <c r="AS1234" s="6" t="s">
        <v>16862</v>
      </c>
      <c r="AT1234" s="6" t="s">
        <v>16958</v>
      </c>
      <c r="AU1234" s="6" t="s">
        <v>17813</v>
      </c>
      <c r="AV1234" s="6" t="s">
        <v>104</v>
      </c>
      <c r="AW1234" s="6" t="s">
        <v>104</v>
      </c>
      <c r="AX1234" s="6" t="s">
        <v>21076</v>
      </c>
      <c r="AY1234" s="6" t="s">
        <v>22876</v>
      </c>
      <c r="AZ1234" s="6" t="s">
        <v>23998</v>
      </c>
      <c r="BA1234" s="6" t="s">
        <v>104</v>
      </c>
      <c r="BB1234" s="6" t="s">
        <v>104</v>
      </c>
      <c r="BC1234" s="26" t="s">
        <v>24533</v>
      </c>
      <c r="BD1234" s="26"/>
      <c r="BE1234" s="26"/>
      <c r="BF1234" s="26"/>
      <c r="BG1234" s="26"/>
      <c r="BH1234" s="26"/>
      <c r="BI1234" s="26"/>
      <c r="BJ1234" s="26"/>
      <c r="BK1234" s="26"/>
      <c r="BL1234" s="26"/>
      <c r="BM1234" s="26"/>
      <c r="BN1234" s="26"/>
      <c r="BO1234" s="26"/>
      <c r="BP1234" s="16" t="n">
        <v>45603</v>
      </c>
      <c r="BQ1234" s="28" t="str">
        <f>HYPERLINK("https://organic.ams.usda.gov/Integrity/Certificate.aspx?cid=70&amp;nopid=6435640000")</f>
        <v>https://organic.ams.usda.gov/Integrity/Certificate.aspx?cid=70&amp;nopid=6435640000</v>
      </c>
    </row>
    <row r="1235">
      <c r="A1235" t="s">
        <v>3</v>
      </c>
      <c r="B1235" s="6" t="s">
        <v>34</v>
      </c>
      <c r="C1235" s="6" t="s">
        <v>100</v>
      </c>
      <c r="D1235" s="6" t="s">
        <v>165</v>
      </c>
      <c r="E1235" s="10" t="s">
        <v>1433</v>
      </c>
      <c r="F1235" s="6" t="s">
        <v>3676</v>
      </c>
      <c r="G1235" s="6" t="s">
        <v>104</v>
      </c>
      <c r="H1235" s="6" t="s">
        <v>6012</v>
      </c>
      <c r="I1235" s="6" t="s">
        <v>7303</v>
      </c>
      <c r="J1235" s="6" t="s">
        <v>8561</v>
      </c>
      <c r="K1235" s="6" t="s">
        <v>9714</v>
      </c>
      <c r="L1235" s="16" t="n">
        <v>44091</v>
      </c>
      <c r="M1235" s="16" t="n">
        <v>45825</v>
      </c>
      <c r="N1235" s="6" t="s">
        <v>104</v>
      </c>
      <c r="O1235" s="21" t="s">
        <v>104</v>
      </c>
      <c r="P1235" s="6" t="s">
        <v>104</v>
      </c>
      <c r="Q1235" s="6" t="s">
        <v>104</v>
      </c>
      <c r="R1235" s="6" t="s">
        <v>104</v>
      </c>
      <c r="S1235" s="6" t="s">
        <v>104</v>
      </c>
      <c r="T1235" s="21" t="s">
        <v>104</v>
      </c>
      <c r="U1235" s="6" t="s">
        <v>104</v>
      </c>
      <c r="V1235" s="6" t="s">
        <v>104</v>
      </c>
      <c r="W1235" s="6" t="s">
        <v>104</v>
      </c>
      <c r="X1235" s="6" t="s">
        <v>104</v>
      </c>
      <c r="Y1235" s="21" t="s">
        <v>104</v>
      </c>
      <c r="Z1235" s="6" t="s">
        <v>104</v>
      </c>
      <c r="AA1235" s="6" t="s">
        <v>104</v>
      </c>
      <c r="AB1235" s="6" t="s">
        <v>104</v>
      </c>
      <c r="AC1235" s="6" t="s">
        <v>9714</v>
      </c>
      <c r="AD1235" s="16" t="n">
        <v>44091</v>
      </c>
      <c r="AE1235" s="6" t="s">
        <v>11604</v>
      </c>
      <c r="AF1235" s="6" t="s">
        <v>104</v>
      </c>
      <c r="AG1235" s="6" t="s">
        <v>12869</v>
      </c>
      <c r="AH1235" s="6" t="s">
        <v>14283</v>
      </c>
      <c r="AI1235" s="6" t="s">
        <v>104</v>
      </c>
      <c r="AJ1235" s="6" t="s">
        <v>16159</v>
      </c>
      <c r="AK1235" s="6" t="s">
        <v>16688</v>
      </c>
      <c r="AL1235" s="6" t="s">
        <v>16931</v>
      </c>
      <c r="AM1235" s="6" t="s">
        <v>17814</v>
      </c>
      <c r="AN1235" s="6" t="s">
        <v>18542</v>
      </c>
      <c r="AO1235" s="6" t="s">
        <v>18811</v>
      </c>
      <c r="AP1235" s="6" t="s">
        <v>19093</v>
      </c>
      <c r="AQ1235" s="6" t="s">
        <v>104</v>
      </c>
      <c r="AR1235" s="6" t="s">
        <v>19639</v>
      </c>
      <c r="AS1235" s="6" t="s">
        <v>16711</v>
      </c>
      <c r="AT1235" s="6" t="s">
        <v>16931</v>
      </c>
      <c r="AU1235" s="6" t="s">
        <v>19868</v>
      </c>
      <c r="AV1235" s="6" t="s">
        <v>104</v>
      </c>
      <c r="AW1235" s="6" t="s">
        <v>104</v>
      </c>
      <c r="AX1235" s="6" t="s">
        <v>20680</v>
      </c>
      <c r="AY1235" s="6" t="s">
        <v>22323</v>
      </c>
      <c r="AZ1235" s="6" t="s">
        <v>104</v>
      </c>
      <c r="BA1235" s="6" t="s">
        <v>104</v>
      </c>
      <c r="BB1235" s="6" t="s">
        <v>104</v>
      </c>
      <c r="BC1235" s="26"/>
      <c r="BD1235" s="26"/>
      <c r="BE1235" s="26"/>
      <c r="BF1235" s="26"/>
      <c r="BG1235" s="26"/>
      <c r="BH1235" s="26"/>
      <c r="BI1235" s="26"/>
      <c r="BJ1235" s="26"/>
      <c r="BK1235" s="26"/>
      <c r="BL1235" s="26"/>
      <c r="BM1235" s="26"/>
      <c r="BN1235" s="26"/>
      <c r="BO1235" s="26"/>
      <c r="BP1235" s="16" t="n">
        <v>45737</v>
      </c>
      <c r="BQ1235" s="28" t="str">
        <f>HYPERLINK("https://organic.ams.usda.gov/Integrity/Certificate.aspx?cid=71&amp;nopid=5520557458")</f>
        <v>https://organic.ams.usda.gov/Integrity/Certificate.aspx?cid=71&amp;nopid=5520557458</v>
      </c>
    </row>
    <row r="1236">
      <c r="A1236" t="s">
        <v>3</v>
      </c>
      <c r="B1236" s="6" t="s">
        <v>17</v>
      </c>
      <c r="C1236" s="6" t="s">
        <v>83</v>
      </c>
      <c r="D1236" s="6" t="s">
        <v>148</v>
      </c>
      <c r="E1236" s="10" t="s">
        <v>1434</v>
      </c>
      <c r="F1236" s="6" t="s">
        <v>3677</v>
      </c>
      <c r="G1236" s="6" t="s">
        <v>104</v>
      </c>
      <c r="H1236" s="6" t="s">
        <v>6013</v>
      </c>
      <c r="I1236" s="6" t="s">
        <v>7138</v>
      </c>
      <c r="J1236" s="6" t="s">
        <v>9053</v>
      </c>
      <c r="K1236" s="6" t="s">
        <v>9714</v>
      </c>
      <c r="L1236" s="16" t="n">
        <v>45560</v>
      </c>
      <c r="M1236" s="16" t="n">
        <v>45778</v>
      </c>
      <c r="N1236" s="6" t="s">
        <v>104</v>
      </c>
      <c r="O1236" s="21" t="s">
        <v>104</v>
      </c>
      <c r="P1236" s="6" t="s">
        <v>104</v>
      </c>
      <c r="Q1236" s="6" t="s">
        <v>104</v>
      </c>
      <c r="R1236" s="6" t="s">
        <v>104</v>
      </c>
      <c r="S1236" s="6" t="s">
        <v>104</v>
      </c>
      <c r="T1236" s="21" t="s">
        <v>104</v>
      </c>
      <c r="U1236" s="6" t="s">
        <v>104</v>
      </c>
      <c r="V1236" s="6" t="s">
        <v>104</v>
      </c>
      <c r="W1236" s="6" t="s">
        <v>104</v>
      </c>
      <c r="X1236" s="6" t="s">
        <v>104</v>
      </c>
      <c r="Y1236" s="21" t="s">
        <v>104</v>
      </c>
      <c r="Z1236" s="6" t="s">
        <v>104</v>
      </c>
      <c r="AA1236" s="6" t="s">
        <v>104</v>
      </c>
      <c r="AB1236" s="6" t="s">
        <v>104</v>
      </c>
      <c r="AC1236" s="6" t="s">
        <v>9714</v>
      </c>
      <c r="AD1236" s="16" t="n">
        <v>45560</v>
      </c>
      <c r="AE1236" s="6" t="s">
        <v>11605</v>
      </c>
      <c r="AF1236" s="6" t="s">
        <v>104</v>
      </c>
      <c r="AG1236" s="6" t="s">
        <v>104</v>
      </c>
      <c r="AH1236" s="6" t="s">
        <v>14284</v>
      </c>
      <c r="AI1236" s="6" t="s">
        <v>104</v>
      </c>
      <c r="AJ1236" s="6" t="s">
        <v>16160</v>
      </c>
      <c r="AK1236" s="6" t="s">
        <v>15697</v>
      </c>
      <c r="AL1236" s="6" t="s">
        <v>16931</v>
      </c>
      <c r="AM1236" s="6" t="s">
        <v>17815</v>
      </c>
      <c r="AN1236" s="6" t="s">
        <v>104</v>
      </c>
      <c r="AO1236" s="6" t="s">
        <v>104</v>
      </c>
      <c r="AP1236" s="6" t="s">
        <v>19268</v>
      </c>
      <c r="AQ1236" s="6" t="s">
        <v>104</v>
      </c>
      <c r="AR1236" s="6" t="s">
        <v>16160</v>
      </c>
      <c r="AS1236" s="6" t="s">
        <v>15697</v>
      </c>
      <c r="AT1236" s="6" t="s">
        <v>16931</v>
      </c>
      <c r="AU1236" s="6" t="s">
        <v>17815</v>
      </c>
      <c r="AV1236" s="6" t="s">
        <v>104</v>
      </c>
      <c r="AW1236" s="6" t="s">
        <v>104</v>
      </c>
      <c r="AX1236" s="6" t="s">
        <v>21077</v>
      </c>
      <c r="AY1236" s="6" t="s">
        <v>22877</v>
      </c>
      <c r="AZ1236" s="6" t="s">
        <v>104</v>
      </c>
      <c r="BA1236" s="6" t="s">
        <v>104</v>
      </c>
      <c r="BB1236" s="24" t="n">
        <v>0</v>
      </c>
      <c r="BC1236" s="26"/>
      <c r="BD1236" s="26"/>
      <c r="BE1236" s="26"/>
      <c r="BF1236" s="26"/>
      <c r="BG1236" s="26"/>
      <c r="BH1236" s="26" t="s">
        <v>24533</v>
      </c>
      <c r="BI1236" s="26"/>
      <c r="BJ1236" s="26"/>
      <c r="BK1236" s="26"/>
      <c r="BL1236" s="26"/>
      <c r="BM1236" s="26"/>
      <c r="BN1236" s="26"/>
      <c r="BO1236" s="26"/>
      <c r="BP1236" s="16" t="n">
        <v>45664</v>
      </c>
      <c r="BQ1236" s="28" t="str">
        <f>HYPERLINK("https://organic.ams.usda.gov/Integrity/Certificate.aspx?cid=51&amp;nopid=8241000145")</f>
        <v>https://organic.ams.usda.gov/Integrity/Certificate.aspx?cid=51&amp;nopid=8241000145</v>
      </c>
    </row>
    <row r="1237">
      <c r="A1237" t="s">
        <v>3</v>
      </c>
      <c r="B1237" s="6" t="s">
        <v>16</v>
      </c>
      <c r="C1237" s="6" t="s">
        <v>82</v>
      </c>
      <c r="D1237" s="6" t="s">
        <v>147</v>
      </c>
      <c r="E1237" s="10" t="s">
        <v>1435</v>
      </c>
      <c r="F1237" s="6" t="s">
        <v>3678</v>
      </c>
      <c r="G1237" s="6" t="s">
        <v>104</v>
      </c>
      <c r="H1237" s="6" t="s">
        <v>6014</v>
      </c>
      <c r="I1237" s="6" t="s">
        <v>7380</v>
      </c>
      <c r="J1237" s="6" t="s">
        <v>8662</v>
      </c>
      <c r="K1237" s="6" t="s">
        <v>9714</v>
      </c>
      <c r="L1237" s="16" t="n">
        <v>42977</v>
      </c>
      <c r="M1237" s="16" t="n">
        <v>45900</v>
      </c>
      <c r="N1237" s="6" t="s">
        <v>9714</v>
      </c>
      <c r="O1237" s="16" t="n">
        <v>42977</v>
      </c>
      <c r="P1237" s="6" t="s">
        <v>10075</v>
      </c>
      <c r="Q1237" s="6" t="s">
        <v>104</v>
      </c>
      <c r="R1237" s="6" t="s">
        <v>6014</v>
      </c>
      <c r="S1237" s="6" t="s">
        <v>104</v>
      </c>
      <c r="T1237" s="21" t="s">
        <v>104</v>
      </c>
      <c r="U1237" s="6" t="s">
        <v>104</v>
      </c>
      <c r="V1237" s="6" t="s">
        <v>104</v>
      </c>
      <c r="W1237" s="6" t="s">
        <v>104</v>
      </c>
      <c r="X1237" s="6" t="s">
        <v>104</v>
      </c>
      <c r="Y1237" s="21" t="s">
        <v>104</v>
      </c>
      <c r="Z1237" s="6" t="s">
        <v>104</v>
      </c>
      <c r="AA1237" s="6" t="s">
        <v>104</v>
      </c>
      <c r="AB1237" s="6" t="s">
        <v>104</v>
      </c>
      <c r="AC1237" s="6" t="s">
        <v>104</v>
      </c>
      <c r="AD1237" s="21" t="s">
        <v>104</v>
      </c>
      <c r="AE1237" s="6" t="s">
        <v>104</v>
      </c>
      <c r="AF1237" s="6" t="s">
        <v>104</v>
      </c>
      <c r="AG1237" s="6" t="s">
        <v>104</v>
      </c>
      <c r="AH1237" s="6" t="s">
        <v>13784</v>
      </c>
      <c r="AI1237" s="6" t="s">
        <v>104</v>
      </c>
      <c r="AJ1237" s="6" t="s">
        <v>15741</v>
      </c>
      <c r="AK1237" s="6" t="s">
        <v>16684</v>
      </c>
      <c r="AL1237" s="6" t="s">
        <v>16931</v>
      </c>
      <c r="AM1237" s="6" t="s">
        <v>17361</v>
      </c>
      <c r="AN1237" s="6" t="s">
        <v>18480</v>
      </c>
      <c r="AO1237" s="6" t="s">
        <v>18590</v>
      </c>
      <c r="AP1237" s="6" t="s">
        <v>13784</v>
      </c>
      <c r="AQ1237" s="6" t="s">
        <v>104</v>
      </c>
      <c r="AR1237" s="6" t="s">
        <v>15741</v>
      </c>
      <c r="AS1237" s="6" t="s">
        <v>16684</v>
      </c>
      <c r="AT1237" s="6" t="s">
        <v>16931</v>
      </c>
      <c r="AU1237" s="6" t="s">
        <v>17361</v>
      </c>
      <c r="AV1237" s="6" t="s">
        <v>18466</v>
      </c>
      <c r="AW1237" s="6" t="s">
        <v>18923</v>
      </c>
      <c r="AX1237" s="6" t="s">
        <v>20653</v>
      </c>
      <c r="AY1237" s="6" t="s">
        <v>22425</v>
      </c>
      <c r="AZ1237" s="6" t="s">
        <v>104</v>
      </c>
      <c r="BA1237" s="6" t="s">
        <v>104</v>
      </c>
      <c r="BB1237" s="24" t="n">
        <v>1110</v>
      </c>
      <c r="BC1237" s="26"/>
      <c r="BD1237" s="26"/>
      <c r="BE1237" s="26"/>
      <c r="BF1237" s="26"/>
      <c r="BG1237" s="26"/>
      <c r="BH1237" s="26"/>
      <c r="BI1237" s="26"/>
      <c r="BJ1237" s="26"/>
      <c r="BK1237" s="26"/>
      <c r="BL1237" s="26"/>
      <c r="BM1237" s="26"/>
      <c r="BN1237" s="26"/>
      <c r="BO1237" s="26"/>
      <c r="BP1237" s="16" t="n">
        <v>45642</v>
      </c>
      <c r="BQ1237" s="28" t="str">
        <f>HYPERLINK("https://organic.ams.usda.gov/Integrity/Certificate.aspx?cid=77&amp;nopid=3510767837")</f>
        <v>https://organic.ams.usda.gov/Integrity/Certificate.aspx?cid=77&amp;nopid=3510767837</v>
      </c>
    </row>
    <row r="1238">
      <c r="A1238" t="s">
        <v>3</v>
      </c>
      <c r="B1238" s="6" t="s">
        <v>21</v>
      </c>
      <c r="C1238" s="6" t="s">
        <v>87</v>
      </c>
      <c r="D1238" s="6" t="s">
        <v>152</v>
      </c>
      <c r="E1238" s="10" t="s">
        <v>1436</v>
      </c>
      <c r="F1238" s="6" t="s">
        <v>3679</v>
      </c>
      <c r="G1238" s="6" t="s">
        <v>4787</v>
      </c>
      <c r="H1238" s="6" t="s">
        <v>6015</v>
      </c>
      <c r="I1238" s="6" t="s">
        <v>7138</v>
      </c>
      <c r="J1238" s="6" t="s">
        <v>9054</v>
      </c>
      <c r="K1238" s="6" t="s">
        <v>9714</v>
      </c>
      <c r="L1238" s="16" t="n">
        <v>43046</v>
      </c>
      <c r="M1238" s="16" t="n">
        <v>46023</v>
      </c>
      <c r="N1238" s="6" t="s">
        <v>104</v>
      </c>
      <c r="O1238" s="21" t="s">
        <v>104</v>
      </c>
      <c r="P1238" s="6" t="s">
        <v>104</v>
      </c>
      <c r="Q1238" s="6" t="s">
        <v>104</v>
      </c>
      <c r="R1238" s="6" t="s">
        <v>104</v>
      </c>
      <c r="S1238" s="6" t="s">
        <v>104</v>
      </c>
      <c r="T1238" s="21" t="s">
        <v>104</v>
      </c>
      <c r="U1238" s="6" t="s">
        <v>104</v>
      </c>
      <c r="V1238" s="6" t="s">
        <v>104</v>
      </c>
      <c r="W1238" s="6" t="s">
        <v>104</v>
      </c>
      <c r="X1238" s="6" t="s">
        <v>104</v>
      </c>
      <c r="Y1238" s="21" t="s">
        <v>104</v>
      </c>
      <c r="Z1238" s="6" t="s">
        <v>104</v>
      </c>
      <c r="AA1238" s="6" t="s">
        <v>104</v>
      </c>
      <c r="AB1238" s="6" t="s">
        <v>104</v>
      </c>
      <c r="AC1238" s="6" t="s">
        <v>9714</v>
      </c>
      <c r="AD1238" s="16" t="n">
        <v>43046</v>
      </c>
      <c r="AE1238" s="6" t="s">
        <v>11606</v>
      </c>
      <c r="AF1238" s="6" t="s">
        <v>104</v>
      </c>
      <c r="AG1238" s="6" t="s">
        <v>104</v>
      </c>
      <c r="AH1238" s="6" t="s">
        <v>14285</v>
      </c>
      <c r="AI1238" s="6" t="s">
        <v>104</v>
      </c>
      <c r="AJ1238" s="6" t="s">
        <v>15362</v>
      </c>
      <c r="AK1238" s="6" t="s">
        <v>16687</v>
      </c>
      <c r="AL1238" s="6" t="s">
        <v>16931</v>
      </c>
      <c r="AM1238" s="6" t="s">
        <v>17068</v>
      </c>
      <c r="AN1238" s="6" t="s">
        <v>18476</v>
      </c>
      <c r="AO1238" s="6" t="s">
        <v>18585</v>
      </c>
      <c r="AP1238" s="6" t="s">
        <v>19269</v>
      </c>
      <c r="AQ1238" s="6" t="s">
        <v>104</v>
      </c>
      <c r="AR1238" s="6" t="s">
        <v>16233</v>
      </c>
      <c r="AS1238" s="6" t="s">
        <v>16687</v>
      </c>
      <c r="AT1238" s="6" t="s">
        <v>16931</v>
      </c>
      <c r="AU1238" s="6" t="s">
        <v>17900</v>
      </c>
      <c r="AV1238" s="6" t="s">
        <v>104</v>
      </c>
      <c r="AW1238" s="6" t="s">
        <v>104</v>
      </c>
      <c r="AX1238" s="6" t="s">
        <v>21078</v>
      </c>
      <c r="AY1238" s="6" t="s">
        <v>22878</v>
      </c>
      <c r="AZ1238" s="6" t="s">
        <v>23999</v>
      </c>
      <c r="BA1238" s="6" t="s">
        <v>24427</v>
      </c>
      <c r="BB1238" s="6" t="s">
        <v>104</v>
      </c>
      <c r="BC1238" s="26"/>
      <c r="BD1238" s="26"/>
      <c r="BE1238" s="26"/>
      <c r="BF1238" s="26"/>
      <c r="BG1238" s="26"/>
      <c r="BH1238" s="26"/>
      <c r="BI1238" s="26"/>
      <c r="BJ1238" s="26"/>
      <c r="BK1238" s="26"/>
      <c r="BL1238" s="26"/>
      <c r="BM1238" s="26"/>
      <c r="BN1238" s="26"/>
      <c r="BO1238" s="26"/>
      <c r="BP1238" s="16" t="n">
        <v>45667</v>
      </c>
      <c r="BQ1238" s="28" t="str">
        <f>HYPERLINK("https://organic.ams.usda.gov/Integrity/Certificate.aspx?cid=15&amp;nopid=5561004950")</f>
        <v>https://organic.ams.usda.gov/Integrity/Certificate.aspx?cid=15&amp;nopid=5561004950</v>
      </c>
    </row>
    <row r="1239">
      <c r="A1239" t="s">
        <v>3</v>
      </c>
      <c r="B1239" s="6" t="s">
        <v>53</v>
      </c>
      <c r="C1239" s="6" t="s">
        <v>119</v>
      </c>
      <c r="D1239" s="6" t="s">
        <v>183</v>
      </c>
      <c r="E1239" s="10" t="s">
        <v>1437</v>
      </c>
      <c r="F1239" s="6" t="s">
        <v>3680</v>
      </c>
      <c r="G1239" s="6" t="s">
        <v>104</v>
      </c>
      <c r="H1239" s="6" t="s">
        <v>104</v>
      </c>
      <c r="I1239" s="6" t="s">
        <v>7172</v>
      </c>
      <c r="J1239" s="6" t="s">
        <v>9055</v>
      </c>
      <c r="K1239" s="6" t="s">
        <v>9714</v>
      </c>
      <c r="L1239" s="16" t="n">
        <v>44860</v>
      </c>
      <c r="M1239" s="16" t="n">
        <v>45956</v>
      </c>
      <c r="N1239" s="6" t="s">
        <v>104</v>
      </c>
      <c r="O1239" s="21" t="s">
        <v>104</v>
      </c>
      <c r="P1239" s="6" t="s">
        <v>104</v>
      </c>
      <c r="Q1239" s="6" t="s">
        <v>104</v>
      </c>
      <c r="R1239" s="6" t="s">
        <v>104</v>
      </c>
      <c r="S1239" s="6" t="s">
        <v>104</v>
      </c>
      <c r="T1239" s="21" t="s">
        <v>104</v>
      </c>
      <c r="U1239" s="6" t="s">
        <v>104</v>
      </c>
      <c r="V1239" s="6" t="s">
        <v>104</v>
      </c>
      <c r="W1239" s="6" t="s">
        <v>104</v>
      </c>
      <c r="X1239" s="6" t="s">
        <v>104</v>
      </c>
      <c r="Y1239" s="21" t="s">
        <v>104</v>
      </c>
      <c r="Z1239" s="6" t="s">
        <v>104</v>
      </c>
      <c r="AA1239" s="6" t="s">
        <v>104</v>
      </c>
      <c r="AB1239" s="6" t="s">
        <v>104</v>
      </c>
      <c r="AC1239" s="6" t="s">
        <v>9714</v>
      </c>
      <c r="AD1239" s="16" t="n">
        <v>44860</v>
      </c>
      <c r="AE1239" s="6" t="s">
        <v>11607</v>
      </c>
      <c r="AF1239" s="6" t="s">
        <v>104</v>
      </c>
      <c r="AG1239" s="6" t="s">
        <v>104</v>
      </c>
      <c r="AH1239" s="6" t="s">
        <v>14286</v>
      </c>
      <c r="AI1239" s="6" t="s">
        <v>104</v>
      </c>
      <c r="AJ1239" s="6" t="s">
        <v>16047</v>
      </c>
      <c r="AK1239" s="6" t="s">
        <v>16686</v>
      </c>
      <c r="AL1239" s="6" t="s">
        <v>16931</v>
      </c>
      <c r="AM1239" s="6" t="s">
        <v>17816</v>
      </c>
      <c r="AN1239" s="6" t="s">
        <v>18509</v>
      </c>
      <c r="AO1239" s="6" t="s">
        <v>18779</v>
      </c>
      <c r="AP1239" s="6" t="s">
        <v>104</v>
      </c>
      <c r="AQ1239" s="6" t="s">
        <v>104</v>
      </c>
      <c r="AR1239" s="6" t="s">
        <v>104</v>
      </c>
      <c r="AS1239" s="6" t="s">
        <v>104</v>
      </c>
      <c r="AT1239" s="6" t="s">
        <v>104</v>
      </c>
      <c r="AU1239" s="6" t="s">
        <v>104</v>
      </c>
      <c r="AV1239" s="6" t="s">
        <v>104</v>
      </c>
      <c r="AW1239" s="6" t="s">
        <v>104</v>
      </c>
      <c r="AX1239" s="6" t="s">
        <v>21079</v>
      </c>
      <c r="AY1239" s="6" t="s">
        <v>22879</v>
      </c>
      <c r="AZ1239" s="6" t="s">
        <v>24000</v>
      </c>
      <c r="BA1239" s="6" t="s">
        <v>104</v>
      </c>
      <c r="BB1239" s="6" t="s">
        <v>104</v>
      </c>
      <c r="BC1239" s="26"/>
      <c r="BD1239" s="26"/>
      <c r="BE1239" s="26"/>
      <c r="BF1239" s="26"/>
      <c r="BG1239" s="26"/>
      <c r="BH1239" s="26"/>
      <c r="BI1239" s="26"/>
      <c r="BJ1239" s="26"/>
      <c r="BK1239" s="26"/>
      <c r="BL1239" s="26"/>
      <c r="BM1239" s="26"/>
      <c r="BN1239" s="26"/>
      <c r="BO1239" s="26"/>
      <c r="BP1239" s="16" t="n">
        <v>45650</v>
      </c>
      <c r="BQ1239" s="28" t="str">
        <f>HYPERLINK("https://organic.ams.usda.gov/Integrity/Certificate.aspx?cid=74&amp;nopid=5350000238")</f>
        <v>https://organic.ams.usda.gov/Integrity/Certificate.aspx?cid=74&amp;nopid=5350000238</v>
      </c>
    </row>
    <row r="1240">
      <c r="A1240" t="s">
        <v>3</v>
      </c>
      <c r="B1240" s="6" t="s">
        <v>51</v>
      </c>
      <c r="C1240" s="6" t="s">
        <v>117</v>
      </c>
      <c r="D1240" s="6" t="s">
        <v>181</v>
      </c>
      <c r="E1240" s="10" t="s">
        <v>1438</v>
      </c>
      <c r="F1240" s="6" t="s">
        <v>3681</v>
      </c>
      <c r="G1240" s="6" t="s">
        <v>104</v>
      </c>
      <c r="H1240" s="6" t="s">
        <v>6016</v>
      </c>
      <c r="I1240" s="6" t="s">
        <v>7668</v>
      </c>
      <c r="J1240" s="6" t="s">
        <v>8604</v>
      </c>
      <c r="K1240" s="6" t="s">
        <v>9714</v>
      </c>
      <c r="L1240" s="16" t="n">
        <v>44861</v>
      </c>
      <c r="M1240" s="16" t="n">
        <v>45809</v>
      </c>
      <c r="N1240" s="6" t="s">
        <v>9714</v>
      </c>
      <c r="O1240" s="16" t="n">
        <v>44861</v>
      </c>
      <c r="P1240" s="6" t="s">
        <v>10076</v>
      </c>
      <c r="Q1240" s="6" t="s">
        <v>104</v>
      </c>
      <c r="R1240" s="6" t="s">
        <v>10388</v>
      </c>
      <c r="S1240" s="6" t="s">
        <v>104</v>
      </c>
      <c r="T1240" s="21" t="s">
        <v>104</v>
      </c>
      <c r="U1240" s="6" t="s">
        <v>104</v>
      </c>
      <c r="V1240" s="6" t="s">
        <v>104</v>
      </c>
      <c r="W1240" s="6" t="s">
        <v>104</v>
      </c>
      <c r="X1240" s="6" t="s">
        <v>104</v>
      </c>
      <c r="Y1240" s="21" t="s">
        <v>104</v>
      </c>
      <c r="Z1240" s="6" t="s">
        <v>104</v>
      </c>
      <c r="AA1240" s="6" t="s">
        <v>104</v>
      </c>
      <c r="AB1240" s="6" t="s">
        <v>104</v>
      </c>
      <c r="AC1240" s="6" t="s">
        <v>9714</v>
      </c>
      <c r="AD1240" s="16" t="n">
        <v>45330</v>
      </c>
      <c r="AE1240" s="6" t="s">
        <v>11608</v>
      </c>
      <c r="AF1240" s="6" t="s">
        <v>104</v>
      </c>
      <c r="AG1240" s="6" t="s">
        <v>10388</v>
      </c>
      <c r="AH1240" s="6" t="s">
        <v>14287</v>
      </c>
      <c r="AI1240" s="6" t="s">
        <v>104</v>
      </c>
      <c r="AJ1240" s="6" t="s">
        <v>16161</v>
      </c>
      <c r="AK1240" s="6" t="s">
        <v>16270</v>
      </c>
      <c r="AL1240" s="6" t="s">
        <v>16932</v>
      </c>
      <c r="AM1240" s="6" t="s">
        <v>17696</v>
      </c>
      <c r="AN1240" s="6" t="s">
        <v>104</v>
      </c>
      <c r="AO1240" s="6" t="s">
        <v>104</v>
      </c>
      <c r="AP1240" s="6" t="s">
        <v>19270</v>
      </c>
      <c r="AQ1240" s="6" t="s">
        <v>104</v>
      </c>
      <c r="AR1240" s="6" t="s">
        <v>104</v>
      </c>
      <c r="AS1240" s="6" t="s">
        <v>104</v>
      </c>
      <c r="AT1240" s="6" t="s">
        <v>16932</v>
      </c>
      <c r="AU1240" s="6" t="s">
        <v>104</v>
      </c>
      <c r="AV1240" s="6" t="s">
        <v>104</v>
      </c>
      <c r="AW1240" s="6" t="s">
        <v>104</v>
      </c>
      <c r="AX1240" s="6" t="s">
        <v>21080</v>
      </c>
      <c r="AY1240" s="6" t="s">
        <v>22508</v>
      </c>
      <c r="AZ1240" s="6" t="s">
        <v>104</v>
      </c>
      <c r="BA1240" s="6" t="s">
        <v>24428</v>
      </c>
      <c r="BB1240" s="24" t="n">
        <v>2384</v>
      </c>
      <c r="BC1240" s="26"/>
      <c r="BD1240" s="26"/>
      <c r="BE1240" s="26"/>
      <c r="BF1240" s="26"/>
      <c r="BG1240" s="26"/>
      <c r="BH1240" s="26"/>
      <c r="BI1240" s="26"/>
      <c r="BJ1240" s="26"/>
      <c r="BK1240" s="26"/>
      <c r="BL1240" s="26"/>
      <c r="BM1240" s="26"/>
      <c r="BN1240" s="26" t="s">
        <v>24533</v>
      </c>
      <c r="BO1240" s="26" t="s">
        <v>24533</v>
      </c>
      <c r="BP1240" s="16" t="n">
        <v>45687</v>
      </c>
      <c r="BQ1240" s="28" t="str">
        <f>HYPERLINK("https://organic.ams.usda.gov/Integrity/Certificate.aspx?cid=40&amp;nopid=4490003555")</f>
        <v>https://organic.ams.usda.gov/Integrity/Certificate.aspx?cid=40&amp;nopid=4490003555</v>
      </c>
    </row>
    <row r="1241">
      <c r="A1241" t="s">
        <v>3</v>
      </c>
      <c r="B1241" s="6" t="s">
        <v>29</v>
      </c>
      <c r="C1241" s="6" t="s">
        <v>95</v>
      </c>
      <c r="D1241" s="6" t="s">
        <v>160</v>
      </c>
      <c r="E1241" s="10" t="s">
        <v>1439</v>
      </c>
      <c r="F1241" s="6" t="s">
        <v>3682</v>
      </c>
      <c r="G1241" s="6" t="s">
        <v>104</v>
      </c>
      <c r="H1241" s="6" t="s">
        <v>6017</v>
      </c>
      <c r="I1241" s="6" t="s">
        <v>104</v>
      </c>
      <c r="J1241" s="6" t="s">
        <v>9056</v>
      </c>
      <c r="K1241" s="6" t="s">
        <v>9714</v>
      </c>
      <c r="L1241" s="16" t="n">
        <v>45388</v>
      </c>
      <c r="M1241" s="16" t="n">
        <v>45962</v>
      </c>
      <c r="N1241" s="6" t="s">
        <v>104</v>
      </c>
      <c r="O1241" s="21" t="s">
        <v>104</v>
      </c>
      <c r="P1241" s="6" t="s">
        <v>104</v>
      </c>
      <c r="Q1241" s="6" t="s">
        <v>104</v>
      </c>
      <c r="R1241" s="6" t="s">
        <v>104</v>
      </c>
      <c r="S1241" s="6" t="s">
        <v>104</v>
      </c>
      <c r="T1241" s="21" t="s">
        <v>104</v>
      </c>
      <c r="U1241" s="6" t="s">
        <v>104</v>
      </c>
      <c r="V1241" s="6" t="s">
        <v>104</v>
      </c>
      <c r="W1241" s="6" t="s">
        <v>104</v>
      </c>
      <c r="X1241" s="6" t="s">
        <v>104</v>
      </c>
      <c r="Y1241" s="21" t="s">
        <v>104</v>
      </c>
      <c r="Z1241" s="6" t="s">
        <v>104</v>
      </c>
      <c r="AA1241" s="6" t="s">
        <v>104</v>
      </c>
      <c r="AB1241" s="6" t="s">
        <v>104</v>
      </c>
      <c r="AC1241" s="6" t="s">
        <v>9714</v>
      </c>
      <c r="AD1241" s="16" t="n">
        <v>45388</v>
      </c>
      <c r="AE1241" s="6" t="s">
        <v>11609</v>
      </c>
      <c r="AF1241" s="6" t="s">
        <v>104</v>
      </c>
      <c r="AG1241" s="6" t="s">
        <v>104</v>
      </c>
      <c r="AH1241" s="6" t="s">
        <v>14288</v>
      </c>
      <c r="AI1241" s="6" t="s">
        <v>104</v>
      </c>
      <c r="AJ1241" s="6" t="s">
        <v>104</v>
      </c>
      <c r="AK1241" s="6" t="s">
        <v>16270</v>
      </c>
      <c r="AL1241" s="6" t="s">
        <v>16932</v>
      </c>
      <c r="AM1241" s="6" t="s">
        <v>17696</v>
      </c>
      <c r="AN1241" s="6" t="s">
        <v>104</v>
      </c>
      <c r="AO1241" s="6" t="s">
        <v>104</v>
      </c>
      <c r="AP1241" s="6" t="s">
        <v>104</v>
      </c>
      <c r="AQ1241" s="6" t="s">
        <v>104</v>
      </c>
      <c r="AR1241" s="6" t="s">
        <v>104</v>
      </c>
      <c r="AS1241" s="6" t="s">
        <v>104</v>
      </c>
      <c r="AT1241" s="6" t="s">
        <v>104</v>
      </c>
      <c r="AU1241" s="6" t="s">
        <v>104</v>
      </c>
      <c r="AV1241" s="6" t="s">
        <v>104</v>
      </c>
      <c r="AW1241" s="6" t="s">
        <v>104</v>
      </c>
      <c r="AX1241" s="6" t="s">
        <v>21080</v>
      </c>
      <c r="AY1241" s="6" t="s">
        <v>22508</v>
      </c>
      <c r="AZ1241" s="6" t="s">
        <v>104</v>
      </c>
      <c r="BA1241" s="6" t="s">
        <v>104</v>
      </c>
      <c r="BB1241" s="24" t="n">
        <v>0</v>
      </c>
      <c r="BC1241" s="26"/>
      <c r="BD1241" s="26"/>
      <c r="BE1241" s="26"/>
      <c r="BF1241" s="26"/>
      <c r="BG1241" s="26"/>
      <c r="BH1241" s="26"/>
      <c r="BI1241" s="26"/>
      <c r="BJ1241" s="26"/>
      <c r="BK1241" s="26"/>
      <c r="BL1241" s="26"/>
      <c r="BM1241" s="26"/>
      <c r="BN1241" s="26"/>
      <c r="BO1241" s="26"/>
      <c r="BP1241" s="16" t="n">
        <v>45601</v>
      </c>
      <c r="BQ1241" s="28" t="str">
        <f>HYPERLINK("https://organic.ams.usda.gov/Integrity/Certificate.aspx?cid=24&amp;nopid=7880290368")</f>
        <v>https://organic.ams.usda.gov/Integrity/Certificate.aspx?cid=24&amp;nopid=7880290368</v>
      </c>
    </row>
    <row r="1242">
      <c r="A1242" t="s">
        <v>3</v>
      </c>
      <c r="B1242" s="6" t="s">
        <v>14</v>
      </c>
      <c r="C1242" s="6" t="s">
        <v>80</v>
      </c>
      <c r="D1242" s="6" t="s">
        <v>145</v>
      </c>
      <c r="E1242" s="10" t="s">
        <v>1440</v>
      </c>
      <c r="F1242" s="6" t="s">
        <v>3683</v>
      </c>
      <c r="G1242" s="6" t="s">
        <v>104</v>
      </c>
      <c r="H1242" s="6" t="s">
        <v>6018</v>
      </c>
      <c r="I1242" s="6" t="s">
        <v>7669</v>
      </c>
      <c r="J1242" s="6" t="s">
        <v>9057</v>
      </c>
      <c r="K1242" s="6" t="s">
        <v>9714</v>
      </c>
      <c r="L1242" s="16" t="n">
        <v>44960</v>
      </c>
      <c r="M1242" s="16" t="n">
        <v>45991</v>
      </c>
      <c r="N1242" s="6" t="s">
        <v>104</v>
      </c>
      <c r="O1242" s="21" t="s">
        <v>104</v>
      </c>
      <c r="P1242" s="6" t="s">
        <v>104</v>
      </c>
      <c r="Q1242" s="6" t="s">
        <v>104</v>
      </c>
      <c r="R1242" s="6" t="s">
        <v>104</v>
      </c>
      <c r="S1242" s="6" t="s">
        <v>104</v>
      </c>
      <c r="T1242" s="21" t="s">
        <v>104</v>
      </c>
      <c r="U1242" s="6" t="s">
        <v>104</v>
      </c>
      <c r="V1242" s="6" t="s">
        <v>104</v>
      </c>
      <c r="W1242" s="6" t="s">
        <v>104</v>
      </c>
      <c r="X1242" s="6" t="s">
        <v>104</v>
      </c>
      <c r="Y1242" s="21" t="s">
        <v>104</v>
      </c>
      <c r="Z1242" s="6" t="s">
        <v>104</v>
      </c>
      <c r="AA1242" s="6" t="s">
        <v>104</v>
      </c>
      <c r="AB1242" s="6" t="s">
        <v>104</v>
      </c>
      <c r="AC1242" s="6" t="s">
        <v>9714</v>
      </c>
      <c r="AD1242" s="16" t="n">
        <v>44960</v>
      </c>
      <c r="AE1242" s="6" t="s">
        <v>11610</v>
      </c>
      <c r="AF1242" s="6" t="s">
        <v>104</v>
      </c>
      <c r="AG1242" s="6" t="s">
        <v>104</v>
      </c>
      <c r="AH1242" s="6" t="s">
        <v>14289</v>
      </c>
      <c r="AI1242" s="6" t="s">
        <v>104</v>
      </c>
      <c r="AJ1242" s="6" t="s">
        <v>16108</v>
      </c>
      <c r="AK1242" s="6" t="s">
        <v>16685</v>
      </c>
      <c r="AL1242" s="6" t="s">
        <v>16932</v>
      </c>
      <c r="AM1242" s="6" t="s">
        <v>17817</v>
      </c>
      <c r="AN1242" s="6" t="s">
        <v>104</v>
      </c>
      <c r="AO1242" s="6" t="s">
        <v>104</v>
      </c>
      <c r="AP1242" s="6" t="s">
        <v>19271</v>
      </c>
      <c r="AQ1242" s="6" t="s">
        <v>104</v>
      </c>
      <c r="AR1242" s="6" t="s">
        <v>16793</v>
      </c>
      <c r="AS1242" s="6" t="s">
        <v>16793</v>
      </c>
      <c r="AT1242" s="6" t="s">
        <v>16932</v>
      </c>
      <c r="AU1242" s="6" t="s">
        <v>19953</v>
      </c>
      <c r="AV1242" s="6" t="s">
        <v>104</v>
      </c>
      <c r="AW1242" s="6" t="s">
        <v>104</v>
      </c>
      <c r="AX1242" s="6" t="s">
        <v>21081</v>
      </c>
      <c r="AY1242" s="6" t="s">
        <v>22880</v>
      </c>
      <c r="AZ1242" s="6" t="s">
        <v>104</v>
      </c>
      <c r="BA1242" s="6" t="s">
        <v>24272</v>
      </c>
      <c r="BB1242" s="6" t="s">
        <v>104</v>
      </c>
      <c r="BC1242" s="26"/>
      <c r="BD1242" s="26"/>
      <c r="BE1242" s="26"/>
      <c r="BF1242" s="26"/>
      <c r="BG1242" s="26"/>
      <c r="BH1242" s="26"/>
      <c r="BI1242" s="26"/>
      <c r="BJ1242" s="26"/>
      <c r="BK1242" s="26"/>
      <c r="BL1242" s="26"/>
      <c r="BM1242" s="26"/>
      <c r="BN1242" s="26"/>
      <c r="BO1242" s="26"/>
      <c r="BP1242" s="16" t="n">
        <v>45726</v>
      </c>
      <c r="BQ1242" s="28" t="str">
        <f>HYPERLINK("https://organic.ams.usda.gov/Integrity/Certificate.aspx?cid=89&amp;nopid=4920006277")</f>
        <v>https://organic.ams.usda.gov/Integrity/Certificate.aspx?cid=89&amp;nopid=4920006277</v>
      </c>
    </row>
    <row r="1243">
      <c r="A1243" t="s">
        <v>3</v>
      </c>
      <c r="B1243" s="6" t="s">
        <v>25</v>
      </c>
      <c r="C1243" s="6" t="s">
        <v>91</v>
      </c>
      <c r="D1243" s="6" t="s">
        <v>156</v>
      </c>
      <c r="E1243" s="10" t="s">
        <v>1441</v>
      </c>
      <c r="F1243" s="6" t="s">
        <v>3684</v>
      </c>
      <c r="G1243" s="6" t="s">
        <v>104</v>
      </c>
      <c r="H1243" s="6" t="s">
        <v>6019</v>
      </c>
      <c r="I1243" s="6" t="s">
        <v>6939</v>
      </c>
      <c r="J1243" s="6" t="s">
        <v>8151</v>
      </c>
      <c r="K1243" s="6" t="s">
        <v>9714</v>
      </c>
      <c r="L1243" s="16" t="n">
        <v>44309</v>
      </c>
      <c r="M1243" s="16" t="n">
        <v>45767</v>
      </c>
      <c r="N1243" s="6" t="s">
        <v>104</v>
      </c>
      <c r="O1243" s="21" t="s">
        <v>104</v>
      </c>
      <c r="P1243" s="6" t="s">
        <v>104</v>
      </c>
      <c r="Q1243" s="6" t="s">
        <v>104</v>
      </c>
      <c r="R1243" s="6" t="s">
        <v>104</v>
      </c>
      <c r="S1243" s="6" t="s">
        <v>104</v>
      </c>
      <c r="T1243" s="21" t="s">
        <v>104</v>
      </c>
      <c r="U1243" s="6" t="s">
        <v>104</v>
      </c>
      <c r="V1243" s="6" t="s">
        <v>104</v>
      </c>
      <c r="W1243" s="6" t="s">
        <v>104</v>
      </c>
      <c r="X1243" s="6" t="s">
        <v>104</v>
      </c>
      <c r="Y1243" s="21" t="s">
        <v>104</v>
      </c>
      <c r="Z1243" s="6" t="s">
        <v>104</v>
      </c>
      <c r="AA1243" s="6" t="s">
        <v>104</v>
      </c>
      <c r="AB1243" s="6" t="s">
        <v>104</v>
      </c>
      <c r="AC1243" s="6" t="s">
        <v>9714</v>
      </c>
      <c r="AD1243" s="16" t="n">
        <v>44309</v>
      </c>
      <c r="AE1243" s="6" t="s">
        <v>11611</v>
      </c>
      <c r="AF1243" s="6" t="s">
        <v>104</v>
      </c>
      <c r="AG1243" s="6" t="s">
        <v>104</v>
      </c>
      <c r="AH1243" s="6" t="s">
        <v>14290</v>
      </c>
      <c r="AI1243" s="6" t="s">
        <v>104</v>
      </c>
      <c r="AJ1243" s="6" t="s">
        <v>16162</v>
      </c>
      <c r="AK1243" s="6" t="s">
        <v>16691</v>
      </c>
      <c r="AL1243" s="6" t="s">
        <v>16935</v>
      </c>
      <c r="AM1243" s="6" t="s">
        <v>17818</v>
      </c>
      <c r="AN1243" s="6" t="s">
        <v>104</v>
      </c>
      <c r="AO1243" s="6" t="s">
        <v>104</v>
      </c>
      <c r="AP1243" s="6" t="s">
        <v>19272</v>
      </c>
      <c r="AQ1243" s="6" t="s">
        <v>104</v>
      </c>
      <c r="AR1243" s="6" t="s">
        <v>16370</v>
      </c>
      <c r="AS1243" s="6" t="s">
        <v>16370</v>
      </c>
      <c r="AT1243" s="6" t="s">
        <v>16931</v>
      </c>
      <c r="AU1243" s="6" t="s">
        <v>19954</v>
      </c>
      <c r="AV1243" s="6" t="s">
        <v>104</v>
      </c>
      <c r="AW1243" s="6" t="s">
        <v>104</v>
      </c>
      <c r="AX1243" s="6" t="s">
        <v>20137</v>
      </c>
      <c r="AY1243" s="6" t="s">
        <v>21875</v>
      </c>
      <c r="AZ1243" s="6" t="s">
        <v>104</v>
      </c>
      <c r="BA1243" s="6" t="s">
        <v>24264</v>
      </c>
      <c r="BB1243" s="6" t="s">
        <v>104</v>
      </c>
      <c r="BC1243" s="26"/>
      <c r="BD1243" s="26"/>
      <c r="BE1243" s="26"/>
      <c r="BF1243" s="26"/>
      <c r="BG1243" s="26"/>
      <c r="BH1243" s="26" t="s">
        <v>24533</v>
      </c>
      <c r="BI1243" s="26"/>
      <c r="BJ1243" s="26"/>
      <c r="BK1243" s="26"/>
      <c r="BL1243" s="26"/>
      <c r="BM1243" s="26"/>
      <c r="BN1243" s="26"/>
      <c r="BO1243" s="26"/>
      <c r="BP1243" s="16" t="n">
        <v>45642</v>
      </c>
      <c r="BQ1243" s="28" t="str">
        <f>HYPERLINK("https://organic.ams.usda.gov/Integrity/Certificate.aspx?cid=66&amp;nopid=5500006516")</f>
        <v>https://organic.ams.usda.gov/Integrity/Certificate.aspx?cid=66&amp;nopid=5500006516</v>
      </c>
    </row>
    <row r="1244">
      <c r="A1244" t="s">
        <v>3</v>
      </c>
      <c r="B1244" s="6" t="s">
        <v>27</v>
      </c>
      <c r="C1244" s="6" t="s">
        <v>93</v>
      </c>
      <c r="D1244" s="6" t="s">
        <v>158</v>
      </c>
      <c r="E1244" s="10" t="s">
        <v>1442</v>
      </c>
      <c r="F1244" s="6" t="s">
        <v>3685</v>
      </c>
      <c r="G1244" s="6" t="s">
        <v>104</v>
      </c>
      <c r="H1244" s="6" t="s">
        <v>6020</v>
      </c>
      <c r="I1244" s="6" t="s">
        <v>7063</v>
      </c>
      <c r="J1244" s="6" t="s">
        <v>8283</v>
      </c>
      <c r="K1244" s="6" t="s">
        <v>9714</v>
      </c>
      <c r="L1244" s="16" t="n">
        <v>45311</v>
      </c>
      <c r="M1244" s="16" t="n">
        <v>45504</v>
      </c>
      <c r="N1244" s="6" t="s">
        <v>9714</v>
      </c>
      <c r="O1244" s="16" t="n">
        <v>45311</v>
      </c>
      <c r="P1244" s="6" t="s">
        <v>10077</v>
      </c>
      <c r="Q1244" s="6" t="s">
        <v>104</v>
      </c>
      <c r="R1244" s="6" t="s">
        <v>10389</v>
      </c>
      <c r="S1244" s="6" t="s">
        <v>104</v>
      </c>
      <c r="T1244" s="21" t="s">
        <v>104</v>
      </c>
      <c r="U1244" s="6" t="s">
        <v>104</v>
      </c>
      <c r="V1244" s="6" t="s">
        <v>104</v>
      </c>
      <c r="W1244" s="6" t="s">
        <v>104</v>
      </c>
      <c r="X1244" s="6" t="s">
        <v>104</v>
      </c>
      <c r="Y1244" s="21" t="s">
        <v>104</v>
      </c>
      <c r="Z1244" s="6" t="s">
        <v>104</v>
      </c>
      <c r="AA1244" s="6" t="s">
        <v>104</v>
      </c>
      <c r="AB1244" s="6" t="s">
        <v>104</v>
      </c>
      <c r="AC1244" s="6" t="s">
        <v>104</v>
      </c>
      <c r="AD1244" s="21" t="s">
        <v>104</v>
      </c>
      <c r="AE1244" s="6" t="s">
        <v>104</v>
      </c>
      <c r="AF1244" s="6" t="s">
        <v>104</v>
      </c>
      <c r="AG1244" s="6" t="s">
        <v>104</v>
      </c>
      <c r="AH1244" s="6" t="s">
        <v>14114</v>
      </c>
      <c r="AI1244" s="6" t="s">
        <v>15288</v>
      </c>
      <c r="AJ1244" s="6" t="s">
        <v>16050</v>
      </c>
      <c r="AK1244" s="6" t="s">
        <v>16270</v>
      </c>
      <c r="AL1244" s="6" t="s">
        <v>16932</v>
      </c>
      <c r="AM1244" s="6" t="s">
        <v>17118</v>
      </c>
      <c r="AN1244" s="6" t="s">
        <v>104</v>
      </c>
      <c r="AO1244" s="6" t="s">
        <v>104</v>
      </c>
      <c r="AP1244" s="6" t="s">
        <v>19214</v>
      </c>
      <c r="AQ1244" s="6" t="s">
        <v>104</v>
      </c>
      <c r="AR1244" s="6" t="s">
        <v>16625</v>
      </c>
      <c r="AS1244" s="6" t="s">
        <v>16270</v>
      </c>
      <c r="AT1244" s="6" t="s">
        <v>16932</v>
      </c>
      <c r="AU1244" s="6" t="s">
        <v>18385</v>
      </c>
      <c r="AV1244" s="6" t="s">
        <v>104</v>
      </c>
      <c r="AW1244" s="6" t="s">
        <v>104</v>
      </c>
      <c r="AX1244" s="6" t="s">
        <v>20268</v>
      </c>
      <c r="AY1244" s="6" t="s">
        <v>22012</v>
      </c>
      <c r="AZ1244" s="6" t="s">
        <v>23961</v>
      </c>
      <c r="BA1244" s="6" t="s">
        <v>104</v>
      </c>
      <c r="BB1244" s="24" t="n">
        <v>1665</v>
      </c>
      <c r="BC1244" s="26"/>
      <c r="BD1244" s="26"/>
      <c r="BE1244" s="26"/>
      <c r="BF1244" s="26"/>
      <c r="BG1244" s="26"/>
      <c r="BH1244" s="26"/>
      <c r="BI1244" s="26"/>
      <c r="BJ1244" s="26"/>
      <c r="BK1244" s="26"/>
      <c r="BL1244" s="26"/>
      <c r="BM1244" s="26"/>
      <c r="BN1244" s="26"/>
      <c r="BO1244" s="26" t="s">
        <v>24533</v>
      </c>
      <c r="BP1244" s="16" t="n">
        <v>45453</v>
      </c>
      <c r="BQ1244" s="28" t="str">
        <f>HYPERLINK("https://organic.ams.usda.gov/Integrity/Certificate.aspx?cid=93&amp;nopid=6365029111")</f>
        <v>https://organic.ams.usda.gov/Integrity/Certificate.aspx?cid=93&amp;nopid=6365029111</v>
      </c>
    </row>
    <row r="1245">
      <c r="A1245" t="s">
        <v>3</v>
      </c>
      <c r="B1245" s="6" t="s">
        <v>27</v>
      </c>
      <c r="C1245" s="6" t="s">
        <v>93</v>
      </c>
      <c r="D1245" s="6" t="s">
        <v>158</v>
      </c>
      <c r="E1245" s="10" t="s">
        <v>1443</v>
      </c>
      <c r="F1245" s="6" t="s">
        <v>3686</v>
      </c>
      <c r="G1245" s="6" t="s">
        <v>104</v>
      </c>
      <c r="H1245" s="6" t="s">
        <v>6021</v>
      </c>
      <c r="I1245" s="6" t="s">
        <v>7063</v>
      </c>
      <c r="J1245" s="6" t="s">
        <v>8283</v>
      </c>
      <c r="K1245" s="6" t="s">
        <v>9714</v>
      </c>
      <c r="L1245" s="16" t="n">
        <v>45325</v>
      </c>
      <c r="M1245" s="16" t="n">
        <v>45504</v>
      </c>
      <c r="N1245" s="6" t="s">
        <v>9714</v>
      </c>
      <c r="O1245" s="16" t="n">
        <v>45325</v>
      </c>
      <c r="P1245" s="6" t="s">
        <v>10078</v>
      </c>
      <c r="Q1245" s="6" t="s">
        <v>104</v>
      </c>
      <c r="R1245" s="6" t="s">
        <v>10390</v>
      </c>
      <c r="S1245" s="6" t="s">
        <v>104</v>
      </c>
      <c r="T1245" s="21" t="s">
        <v>104</v>
      </c>
      <c r="U1245" s="6" t="s">
        <v>104</v>
      </c>
      <c r="V1245" s="6" t="s">
        <v>104</v>
      </c>
      <c r="W1245" s="6" t="s">
        <v>104</v>
      </c>
      <c r="X1245" s="6" t="s">
        <v>104</v>
      </c>
      <c r="Y1245" s="21" t="s">
        <v>104</v>
      </c>
      <c r="Z1245" s="6" t="s">
        <v>104</v>
      </c>
      <c r="AA1245" s="6" t="s">
        <v>104</v>
      </c>
      <c r="AB1245" s="6" t="s">
        <v>104</v>
      </c>
      <c r="AC1245" s="6" t="s">
        <v>104</v>
      </c>
      <c r="AD1245" s="21" t="s">
        <v>104</v>
      </c>
      <c r="AE1245" s="6" t="s">
        <v>104</v>
      </c>
      <c r="AF1245" s="6" t="s">
        <v>104</v>
      </c>
      <c r="AG1245" s="6" t="s">
        <v>104</v>
      </c>
      <c r="AH1245" s="6" t="s">
        <v>14114</v>
      </c>
      <c r="AI1245" s="6" t="s">
        <v>15288</v>
      </c>
      <c r="AJ1245" s="6" t="s">
        <v>16050</v>
      </c>
      <c r="AK1245" s="6" t="s">
        <v>16270</v>
      </c>
      <c r="AL1245" s="6" t="s">
        <v>16932</v>
      </c>
      <c r="AM1245" s="6" t="s">
        <v>17118</v>
      </c>
      <c r="AN1245" s="6" t="s">
        <v>104</v>
      </c>
      <c r="AO1245" s="6" t="s">
        <v>104</v>
      </c>
      <c r="AP1245" s="6" t="s">
        <v>19214</v>
      </c>
      <c r="AQ1245" s="6" t="s">
        <v>104</v>
      </c>
      <c r="AR1245" s="6" t="s">
        <v>16625</v>
      </c>
      <c r="AS1245" s="6" t="s">
        <v>16270</v>
      </c>
      <c r="AT1245" s="6" t="s">
        <v>16932</v>
      </c>
      <c r="AU1245" s="6" t="s">
        <v>18385</v>
      </c>
      <c r="AV1245" s="6" t="s">
        <v>104</v>
      </c>
      <c r="AW1245" s="6" t="s">
        <v>104</v>
      </c>
      <c r="AX1245" s="6" t="s">
        <v>20268</v>
      </c>
      <c r="AY1245" s="6" t="s">
        <v>22012</v>
      </c>
      <c r="AZ1245" s="6" t="s">
        <v>23961</v>
      </c>
      <c r="BA1245" s="6" t="s">
        <v>104</v>
      </c>
      <c r="BB1245" s="24" t="n">
        <v>1644</v>
      </c>
      <c r="BC1245" s="26"/>
      <c r="BD1245" s="26"/>
      <c r="BE1245" s="26"/>
      <c r="BF1245" s="26"/>
      <c r="BG1245" s="26"/>
      <c r="BH1245" s="26"/>
      <c r="BI1245" s="26"/>
      <c r="BJ1245" s="26"/>
      <c r="BK1245" s="26"/>
      <c r="BL1245" s="26"/>
      <c r="BM1245" s="26"/>
      <c r="BN1245" s="26"/>
      <c r="BO1245" s="26" t="s">
        <v>24533</v>
      </c>
      <c r="BP1245" s="16" t="n">
        <v>45463</v>
      </c>
      <c r="BQ1245" s="28" t="str">
        <f>HYPERLINK("https://organic.ams.usda.gov/Integrity/Certificate.aspx?cid=93&amp;nopid=6368029574")</f>
        <v>https://organic.ams.usda.gov/Integrity/Certificate.aspx?cid=93&amp;nopid=6368029574</v>
      </c>
    </row>
    <row r="1246">
      <c r="A1246" t="s">
        <v>3</v>
      </c>
      <c r="B1246" s="6" t="s">
        <v>11</v>
      </c>
      <c r="C1246" s="6" t="s">
        <v>77</v>
      </c>
      <c r="D1246" s="6" t="s">
        <v>142</v>
      </c>
      <c r="E1246" s="10" t="s">
        <v>1444</v>
      </c>
      <c r="F1246" s="6" t="s">
        <v>3687</v>
      </c>
      <c r="G1246" s="6" t="s">
        <v>104</v>
      </c>
      <c r="H1246" s="6" t="s">
        <v>6022</v>
      </c>
      <c r="I1246" s="6" t="s">
        <v>7670</v>
      </c>
      <c r="J1246" s="6" t="s">
        <v>9058</v>
      </c>
      <c r="K1246" s="6" t="s">
        <v>9714</v>
      </c>
      <c r="L1246" s="16" t="n">
        <v>44019</v>
      </c>
      <c r="M1246" s="16" t="n">
        <v>45819</v>
      </c>
      <c r="N1246" s="6" t="s">
        <v>104</v>
      </c>
      <c r="O1246" s="21" t="s">
        <v>104</v>
      </c>
      <c r="P1246" s="6" t="s">
        <v>104</v>
      </c>
      <c r="Q1246" s="6" t="s">
        <v>104</v>
      </c>
      <c r="R1246" s="6" t="s">
        <v>104</v>
      </c>
      <c r="S1246" s="6" t="s">
        <v>104</v>
      </c>
      <c r="T1246" s="21" t="s">
        <v>104</v>
      </c>
      <c r="U1246" s="6" t="s">
        <v>104</v>
      </c>
      <c r="V1246" s="6" t="s">
        <v>104</v>
      </c>
      <c r="W1246" s="6" t="s">
        <v>104</v>
      </c>
      <c r="X1246" s="6" t="s">
        <v>104</v>
      </c>
      <c r="Y1246" s="21" t="s">
        <v>104</v>
      </c>
      <c r="Z1246" s="6" t="s">
        <v>104</v>
      </c>
      <c r="AA1246" s="6" t="s">
        <v>104</v>
      </c>
      <c r="AB1246" s="6" t="s">
        <v>104</v>
      </c>
      <c r="AC1246" s="6" t="s">
        <v>9714</v>
      </c>
      <c r="AD1246" s="16" t="n">
        <v>44019</v>
      </c>
      <c r="AE1246" s="6" t="s">
        <v>11276</v>
      </c>
      <c r="AF1246" s="6" t="s">
        <v>104</v>
      </c>
      <c r="AG1246" s="6" t="s">
        <v>104</v>
      </c>
      <c r="AH1246" s="6" t="s">
        <v>14291</v>
      </c>
      <c r="AI1246" s="6" t="s">
        <v>104</v>
      </c>
      <c r="AJ1246" s="6" t="s">
        <v>16163</v>
      </c>
      <c r="AK1246" s="6" t="s">
        <v>16863</v>
      </c>
      <c r="AL1246" s="6" t="s">
        <v>16969</v>
      </c>
      <c r="AM1246" s="6" t="s">
        <v>17819</v>
      </c>
      <c r="AN1246" s="6" t="s">
        <v>104</v>
      </c>
      <c r="AO1246" s="6" t="s">
        <v>104</v>
      </c>
      <c r="AP1246" s="6" t="s">
        <v>104</v>
      </c>
      <c r="AQ1246" s="6" t="s">
        <v>104</v>
      </c>
      <c r="AR1246" s="6" t="s">
        <v>104</v>
      </c>
      <c r="AS1246" s="6" t="s">
        <v>104</v>
      </c>
      <c r="AT1246" s="6" t="s">
        <v>104</v>
      </c>
      <c r="AU1246" s="6" t="s">
        <v>104</v>
      </c>
      <c r="AV1246" s="6" t="s">
        <v>104</v>
      </c>
      <c r="AW1246" s="6" t="s">
        <v>104</v>
      </c>
      <c r="AX1246" s="6" t="s">
        <v>21082</v>
      </c>
      <c r="AY1246" s="6" t="s">
        <v>22552</v>
      </c>
      <c r="AZ1246" s="6" t="s">
        <v>104</v>
      </c>
      <c r="BA1246" s="6" t="s">
        <v>104</v>
      </c>
      <c r="BB1246" s="6" t="s">
        <v>104</v>
      </c>
      <c r="BC1246" s="26"/>
      <c r="BD1246" s="26"/>
      <c r="BE1246" s="26"/>
      <c r="BF1246" s="26"/>
      <c r="BG1246" s="26"/>
      <c r="BH1246" s="26"/>
      <c r="BI1246" s="26"/>
      <c r="BJ1246" s="26"/>
      <c r="BK1246" s="26"/>
      <c r="BL1246" s="26"/>
      <c r="BM1246" s="26"/>
      <c r="BN1246" s="26"/>
      <c r="BO1246" s="26"/>
      <c r="BP1246" s="16" t="n">
        <v>45456</v>
      </c>
      <c r="BQ1246" s="28" t="str">
        <f>HYPERLINK("https://organic.ams.usda.gov/Integrity/Certificate.aspx?cid=21&amp;nopid=1780871311")</f>
        <v>https://organic.ams.usda.gov/Integrity/Certificate.aspx?cid=21&amp;nopid=1780871311</v>
      </c>
    </row>
    <row r="1247">
      <c r="A1247" t="s">
        <v>3</v>
      </c>
      <c r="B1247" s="6" t="s">
        <v>14</v>
      </c>
      <c r="C1247" s="6" t="s">
        <v>80</v>
      </c>
      <c r="D1247" s="6" t="s">
        <v>145</v>
      </c>
      <c r="E1247" s="10" t="s">
        <v>1445</v>
      </c>
      <c r="F1247" s="6" t="s">
        <v>3688</v>
      </c>
      <c r="G1247" s="6" t="s">
        <v>104</v>
      </c>
      <c r="H1247" s="6" t="s">
        <v>6023</v>
      </c>
      <c r="I1247" s="6" t="s">
        <v>7671</v>
      </c>
      <c r="J1247" s="6" t="s">
        <v>9059</v>
      </c>
      <c r="K1247" s="6" t="s">
        <v>9714</v>
      </c>
      <c r="L1247" s="16" t="n">
        <v>45156</v>
      </c>
      <c r="M1247" s="16" t="n">
        <v>45328</v>
      </c>
      <c r="N1247" s="6" t="s">
        <v>9714</v>
      </c>
      <c r="O1247" s="16" t="n">
        <v>45156</v>
      </c>
      <c r="P1247" s="6" t="s">
        <v>10079</v>
      </c>
      <c r="Q1247" s="6" t="s">
        <v>104</v>
      </c>
      <c r="R1247" s="6" t="s">
        <v>104</v>
      </c>
      <c r="S1247" s="6" t="s">
        <v>104</v>
      </c>
      <c r="T1247" s="21" t="s">
        <v>104</v>
      </c>
      <c r="U1247" s="6" t="s">
        <v>104</v>
      </c>
      <c r="V1247" s="6" t="s">
        <v>104</v>
      </c>
      <c r="W1247" s="6" t="s">
        <v>104</v>
      </c>
      <c r="X1247" s="6" t="s">
        <v>104</v>
      </c>
      <c r="Y1247" s="21" t="s">
        <v>104</v>
      </c>
      <c r="Z1247" s="6" t="s">
        <v>104</v>
      </c>
      <c r="AA1247" s="6" t="s">
        <v>104</v>
      </c>
      <c r="AB1247" s="6" t="s">
        <v>104</v>
      </c>
      <c r="AC1247" s="6" t="s">
        <v>104</v>
      </c>
      <c r="AD1247" s="21" t="s">
        <v>104</v>
      </c>
      <c r="AE1247" s="6" t="s">
        <v>104</v>
      </c>
      <c r="AF1247" s="6" t="s">
        <v>104</v>
      </c>
      <c r="AG1247" s="6" t="s">
        <v>104</v>
      </c>
      <c r="AH1247" s="6" t="s">
        <v>14292</v>
      </c>
      <c r="AI1247" s="6" t="s">
        <v>104</v>
      </c>
      <c r="AJ1247" s="6" t="s">
        <v>16164</v>
      </c>
      <c r="AK1247" s="6" t="s">
        <v>16773</v>
      </c>
      <c r="AL1247" s="6" t="s">
        <v>16932</v>
      </c>
      <c r="AM1247" s="6" t="s">
        <v>17820</v>
      </c>
      <c r="AN1247" s="6" t="s">
        <v>104</v>
      </c>
      <c r="AO1247" s="6" t="s">
        <v>104</v>
      </c>
      <c r="AP1247" s="6" t="s">
        <v>19273</v>
      </c>
      <c r="AQ1247" s="6" t="s">
        <v>104</v>
      </c>
      <c r="AR1247" s="6" t="s">
        <v>16595</v>
      </c>
      <c r="AS1247" s="6" t="s">
        <v>16773</v>
      </c>
      <c r="AT1247" s="6" t="s">
        <v>16932</v>
      </c>
      <c r="AU1247" s="6" t="s">
        <v>19955</v>
      </c>
      <c r="AV1247" s="6" t="s">
        <v>104</v>
      </c>
      <c r="AW1247" s="6" t="s">
        <v>104</v>
      </c>
      <c r="AX1247" s="6" t="s">
        <v>104</v>
      </c>
      <c r="AY1247" s="6" t="s">
        <v>22881</v>
      </c>
      <c r="AZ1247" s="6" t="s">
        <v>104</v>
      </c>
      <c r="BA1247" s="6" t="s">
        <v>24319</v>
      </c>
      <c r="BB1247" s="24" t="n">
        <v>182</v>
      </c>
      <c r="BC1247" s="26"/>
      <c r="BD1247" s="26"/>
      <c r="BE1247" s="26"/>
      <c r="BF1247" s="26"/>
      <c r="BG1247" s="26"/>
      <c r="BH1247" s="26"/>
      <c r="BI1247" s="26"/>
      <c r="BJ1247" s="26"/>
      <c r="BK1247" s="26"/>
      <c r="BL1247" s="26"/>
      <c r="BM1247" s="26"/>
      <c r="BN1247" s="26"/>
      <c r="BO1247" s="26"/>
      <c r="BP1247" s="16" t="n">
        <v>45370</v>
      </c>
      <c r="BQ1247" s="28" t="str">
        <f>HYPERLINK("https://organic.ams.usda.gov/Integrity/Certificate.aspx?cid=89&amp;nopid=4920006352")</f>
        <v>https://organic.ams.usda.gov/Integrity/Certificate.aspx?cid=89&amp;nopid=4920006352</v>
      </c>
    </row>
    <row r="1248">
      <c r="A1248" t="s">
        <v>3</v>
      </c>
      <c r="B1248" s="6" t="s">
        <v>30</v>
      </c>
      <c r="C1248" s="6" t="s">
        <v>96</v>
      </c>
      <c r="D1248" s="6" t="s">
        <v>161</v>
      </c>
      <c r="E1248" s="10" t="s">
        <v>1446</v>
      </c>
      <c r="F1248" s="6" t="s">
        <v>3689</v>
      </c>
      <c r="G1248" s="6" t="s">
        <v>104</v>
      </c>
      <c r="H1248" s="6" t="s">
        <v>6024</v>
      </c>
      <c r="I1248" s="6" t="s">
        <v>104</v>
      </c>
      <c r="J1248" s="6" t="s">
        <v>104</v>
      </c>
      <c r="K1248" s="6" t="s">
        <v>9714</v>
      </c>
      <c r="L1248" s="16" t="n">
        <v>43713</v>
      </c>
      <c r="M1248" s="16" t="n">
        <v>45846</v>
      </c>
      <c r="N1248" s="6" t="s">
        <v>104</v>
      </c>
      <c r="O1248" s="21" t="s">
        <v>104</v>
      </c>
      <c r="P1248" s="6" t="s">
        <v>104</v>
      </c>
      <c r="Q1248" s="6" t="s">
        <v>104</v>
      </c>
      <c r="R1248" s="6" t="s">
        <v>104</v>
      </c>
      <c r="S1248" s="6" t="s">
        <v>104</v>
      </c>
      <c r="T1248" s="21" t="s">
        <v>104</v>
      </c>
      <c r="U1248" s="6" t="s">
        <v>104</v>
      </c>
      <c r="V1248" s="6" t="s">
        <v>104</v>
      </c>
      <c r="W1248" s="6" t="s">
        <v>104</v>
      </c>
      <c r="X1248" s="6" t="s">
        <v>104</v>
      </c>
      <c r="Y1248" s="21" t="s">
        <v>104</v>
      </c>
      <c r="Z1248" s="6" t="s">
        <v>104</v>
      </c>
      <c r="AA1248" s="6" t="s">
        <v>104</v>
      </c>
      <c r="AB1248" s="6" t="s">
        <v>104</v>
      </c>
      <c r="AC1248" s="6" t="s">
        <v>9714</v>
      </c>
      <c r="AD1248" s="16" t="n">
        <v>43713</v>
      </c>
      <c r="AE1248" s="6" t="s">
        <v>11612</v>
      </c>
      <c r="AF1248" s="6" t="s">
        <v>104</v>
      </c>
      <c r="AG1248" s="6" t="s">
        <v>12870</v>
      </c>
      <c r="AH1248" s="6" t="s">
        <v>14293</v>
      </c>
      <c r="AI1248" s="6" t="s">
        <v>104</v>
      </c>
      <c r="AJ1248" s="6" t="s">
        <v>16165</v>
      </c>
      <c r="AK1248" s="6" t="s">
        <v>15383</v>
      </c>
      <c r="AL1248" s="6" t="s">
        <v>16933</v>
      </c>
      <c r="AM1248" s="6" t="s">
        <v>17821</v>
      </c>
      <c r="AN1248" s="6" t="s">
        <v>104</v>
      </c>
      <c r="AO1248" s="6" t="s">
        <v>104</v>
      </c>
      <c r="AP1248" s="6" t="s">
        <v>14293</v>
      </c>
      <c r="AQ1248" s="6" t="s">
        <v>104</v>
      </c>
      <c r="AR1248" s="6" t="s">
        <v>16165</v>
      </c>
      <c r="AS1248" s="6" t="s">
        <v>15383</v>
      </c>
      <c r="AT1248" s="6" t="s">
        <v>16933</v>
      </c>
      <c r="AU1248" s="6" t="s">
        <v>17821</v>
      </c>
      <c r="AV1248" s="6" t="s">
        <v>104</v>
      </c>
      <c r="AW1248" s="6" t="s">
        <v>104</v>
      </c>
      <c r="AX1248" s="6" t="s">
        <v>21083</v>
      </c>
      <c r="AY1248" s="6" t="s">
        <v>22882</v>
      </c>
      <c r="AZ1248" s="6" t="s">
        <v>104</v>
      </c>
      <c r="BA1248" s="6" t="s">
        <v>104</v>
      </c>
      <c r="BB1248" s="6" t="s">
        <v>104</v>
      </c>
      <c r="BC1248" s="26"/>
      <c r="BD1248" s="26"/>
      <c r="BE1248" s="26"/>
      <c r="BF1248" s="26"/>
      <c r="BG1248" s="26"/>
      <c r="BH1248" s="26"/>
      <c r="BI1248" s="26"/>
      <c r="BJ1248" s="26"/>
      <c r="BK1248" s="26"/>
      <c r="BL1248" s="26"/>
      <c r="BM1248" s="26"/>
      <c r="BN1248" s="26"/>
      <c r="BO1248" s="26"/>
      <c r="BP1248" s="16" t="n">
        <v>45581</v>
      </c>
      <c r="BQ1248" s="28" t="str">
        <f>HYPERLINK("https://organic.ams.usda.gov/Integrity/Certificate.aspx?cid=14&amp;nopid=6250030532")</f>
        <v>https://organic.ams.usda.gov/Integrity/Certificate.aspx?cid=14&amp;nopid=6250030532</v>
      </c>
    </row>
    <row r="1249">
      <c r="A1249" t="s">
        <v>3</v>
      </c>
      <c r="B1249" s="6" t="s">
        <v>47</v>
      </c>
      <c r="C1249" s="6" t="s">
        <v>113</v>
      </c>
      <c r="D1249" s="6" t="s">
        <v>177</v>
      </c>
      <c r="E1249" s="10" t="s">
        <v>1447</v>
      </c>
      <c r="F1249" s="6" t="s">
        <v>3690</v>
      </c>
      <c r="G1249" s="6" t="s">
        <v>104</v>
      </c>
      <c r="H1249" s="6" t="s">
        <v>6025</v>
      </c>
      <c r="I1249" s="6" t="s">
        <v>7416</v>
      </c>
      <c r="J1249" s="6" t="s">
        <v>9060</v>
      </c>
      <c r="K1249" s="6" t="s">
        <v>9714</v>
      </c>
      <c r="L1249" s="16" t="n">
        <v>41179</v>
      </c>
      <c r="M1249" s="16" t="n">
        <v>46142</v>
      </c>
      <c r="N1249" s="6" t="s">
        <v>104</v>
      </c>
      <c r="O1249" s="21" t="s">
        <v>104</v>
      </c>
      <c r="P1249" s="6" t="s">
        <v>104</v>
      </c>
      <c r="Q1249" s="6" t="s">
        <v>104</v>
      </c>
      <c r="R1249" s="6" t="s">
        <v>104</v>
      </c>
      <c r="S1249" s="6" t="s">
        <v>104</v>
      </c>
      <c r="T1249" s="21" t="s">
        <v>104</v>
      </c>
      <c r="U1249" s="6" t="s">
        <v>104</v>
      </c>
      <c r="V1249" s="6" t="s">
        <v>104</v>
      </c>
      <c r="W1249" s="6" t="s">
        <v>104</v>
      </c>
      <c r="X1249" s="6" t="s">
        <v>104</v>
      </c>
      <c r="Y1249" s="21" t="s">
        <v>104</v>
      </c>
      <c r="Z1249" s="6" t="s">
        <v>104</v>
      </c>
      <c r="AA1249" s="6" t="s">
        <v>104</v>
      </c>
      <c r="AB1249" s="6" t="s">
        <v>104</v>
      </c>
      <c r="AC1249" s="6" t="s">
        <v>9714</v>
      </c>
      <c r="AD1249" s="16" t="n">
        <v>41179</v>
      </c>
      <c r="AE1249" s="6" t="s">
        <v>11613</v>
      </c>
      <c r="AF1249" s="6" t="s">
        <v>104</v>
      </c>
      <c r="AG1249" s="6" t="s">
        <v>12871</v>
      </c>
      <c r="AH1249" s="6" t="s">
        <v>14294</v>
      </c>
      <c r="AI1249" s="6" t="s">
        <v>104</v>
      </c>
      <c r="AJ1249" s="6" t="s">
        <v>16166</v>
      </c>
      <c r="AK1249" s="6" t="s">
        <v>16734</v>
      </c>
      <c r="AL1249" s="6" t="s">
        <v>16931</v>
      </c>
      <c r="AM1249" s="6" t="s">
        <v>17822</v>
      </c>
      <c r="AN1249" s="6" t="s">
        <v>5640</v>
      </c>
      <c r="AO1249" s="6" t="s">
        <v>18678</v>
      </c>
      <c r="AP1249" s="6" t="s">
        <v>19274</v>
      </c>
      <c r="AQ1249" s="6" t="s">
        <v>104</v>
      </c>
      <c r="AR1249" s="6" t="s">
        <v>16166</v>
      </c>
      <c r="AS1249" s="6" t="s">
        <v>16734</v>
      </c>
      <c r="AT1249" s="6" t="s">
        <v>16931</v>
      </c>
      <c r="AU1249" s="6" t="s">
        <v>17822</v>
      </c>
      <c r="AV1249" s="6" t="s">
        <v>104</v>
      </c>
      <c r="AW1249" s="6" t="s">
        <v>104</v>
      </c>
      <c r="AX1249" s="6" t="s">
        <v>21084</v>
      </c>
      <c r="AY1249" s="6" t="s">
        <v>22883</v>
      </c>
      <c r="AZ1249" s="6" t="s">
        <v>24001</v>
      </c>
      <c r="BA1249" s="6" t="s">
        <v>104</v>
      </c>
      <c r="BB1249" s="24" t="n">
        <v>0</v>
      </c>
      <c r="BC1249" s="26"/>
      <c r="BD1249" s="26"/>
      <c r="BE1249" s="26"/>
      <c r="BF1249" s="26"/>
      <c r="BG1249" s="26"/>
      <c r="BH1249" s="26"/>
      <c r="BI1249" s="26"/>
      <c r="BJ1249" s="26"/>
      <c r="BK1249" s="26"/>
      <c r="BL1249" s="26"/>
      <c r="BM1249" s="26"/>
      <c r="BN1249" s="26"/>
      <c r="BO1249" s="26"/>
      <c r="BP1249" s="16" t="n">
        <v>45715</v>
      </c>
      <c r="BQ1249" s="28" t="str">
        <f>HYPERLINK("https://organic.ams.usda.gov/Integrity/Certificate.aspx?cid=47&amp;nopid=7142074317")</f>
        <v>https://organic.ams.usda.gov/Integrity/Certificate.aspx?cid=47&amp;nopid=7142074317</v>
      </c>
    </row>
    <row r="1250">
      <c r="A1250" t="s">
        <v>3</v>
      </c>
      <c r="B1250" s="6" t="s">
        <v>20</v>
      </c>
      <c r="C1250" s="6" t="s">
        <v>86</v>
      </c>
      <c r="D1250" s="6" t="s">
        <v>151</v>
      </c>
      <c r="E1250" s="10" t="s">
        <v>1448</v>
      </c>
      <c r="F1250" s="6" t="s">
        <v>3691</v>
      </c>
      <c r="G1250" s="6" t="s">
        <v>104</v>
      </c>
      <c r="H1250" s="6" t="s">
        <v>6026</v>
      </c>
      <c r="I1250" s="6" t="s">
        <v>7672</v>
      </c>
      <c r="J1250" s="6" t="s">
        <v>9061</v>
      </c>
      <c r="K1250" s="6" t="s">
        <v>9714</v>
      </c>
      <c r="L1250" s="16" t="n">
        <v>45526</v>
      </c>
      <c r="M1250" s="16" t="n">
        <v>45900</v>
      </c>
      <c r="N1250" s="6" t="s">
        <v>104</v>
      </c>
      <c r="O1250" s="21" t="s">
        <v>104</v>
      </c>
      <c r="P1250" s="6" t="s">
        <v>104</v>
      </c>
      <c r="Q1250" s="6" t="s">
        <v>104</v>
      </c>
      <c r="R1250" s="6" t="s">
        <v>104</v>
      </c>
      <c r="S1250" s="6" t="s">
        <v>104</v>
      </c>
      <c r="T1250" s="21" t="s">
        <v>104</v>
      </c>
      <c r="U1250" s="6" t="s">
        <v>104</v>
      </c>
      <c r="V1250" s="6" t="s">
        <v>104</v>
      </c>
      <c r="W1250" s="6" t="s">
        <v>104</v>
      </c>
      <c r="X1250" s="6" t="s">
        <v>104</v>
      </c>
      <c r="Y1250" s="21" t="s">
        <v>104</v>
      </c>
      <c r="Z1250" s="6" t="s">
        <v>104</v>
      </c>
      <c r="AA1250" s="6" t="s">
        <v>104</v>
      </c>
      <c r="AB1250" s="6" t="s">
        <v>104</v>
      </c>
      <c r="AC1250" s="6" t="s">
        <v>9714</v>
      </c>
      <c r="AD1250" s="16" t="n">
        <v>45526</v>
      </c>
      <c r="AE1250" s="6" t="s">
        <v>10902</v>
      </c>
      <c r="AF1250" s="6" t="s">
        <v>104</v>
      </c>
      <c r="AG1250" s="6" t="s">
        <v>12872</v>
      </c>
      <c r="AH1250" s="6" t="s">
        <v>14295</v>
      </c>
      <c r="AI1250" s="6" t="s">
        <v>104</v>
      </c>
      <c r="AJ1250" s="6" t="s">
        <v>15801</v>
      </c>
      <c r="AK1250" s="6" t="s">
        <v>15801</v>
      </c>
      <c r="AL1250" s="6" t="s">
        <v>16939</v>
      </c>
      <c r="AM1250" s="6" t="s">
        <v>104</v>
      </c>
      <c r="AN1250" s="6" t="s">
        <v>104</v>
      </c>
      <c r="AO1250" s="6" t="s">
        <v>104</v>
      </c>
      <c r="AP1250" s="6" t="s">
        <v>104</v>
      </c>
      <c r="AQ1250" s="6" t="s">
        <v>104</v>
      </c>
      <c r="AR1250" s="6" t="s">
        <v>104</v>
      </c>
      <c r="AS1250" s="6" t="s">
        <v>104</v>
      </c>
      <c r="AT1250" s="6" t="s">
        <v>104</v>
      </c>
      <c r="AU1250" s="6" t="s">
        <v>104</v>
      </c>
      <c r="AV1250" s="6" t="s">
        <v>104</v>
      </c>
      <c r="AW1250" s="6" t="s">
        <v>104</v>
      </c>
      <c r="AX1250" s="6" t="s">
        <v>21085</v>
      </c>
      <c r="AY1250" s="6" t="s">
        <v>22884</v>
      </c>
      <c r="AZ1250" s="6" t="s">
        <v>24002</v>
      </c>
      <c r="BA1250" s="6" t="s">
        <v>104</v>
      </c>
      <c r="BB1250" s="6" t="s">
        <v>104</v>
      </c>
      <c r="BC1250" s="26"/>
      <c r="BD1250" s="26"/>
      <c r="BE1250" s="26"/>
      <c r="BF1250" s="26"/>
      <c r="BG1250" s="26"/>
      <c r="BH1250" s="26"/>
      <c r="BI1250" s="26"/>
      <c r="BJ1250" s="26"/>
      <c r="BK1250" s="26"/>
      <c r="BL1250" s="26"/>
      <c r="BM1250" s="26"/>
      <c r="BN1250" s="26"/>
      <c r="BO1250" s="26"/>
      <c r="BP1250" s="16" t="n">
        <v>45527</v>
      </c>
      <c r="BQ1250" s="28" t="str">
        <f>HYPERLINK("https://organic.ams.usda.gov/Integrity/Certificate.aspx?cid=17&amp;nopid=4080200061")</f>
        <v>https://organic.ams.usda.gov/Integrity/Certificate.aspx?cid=17&amp;nopid=4080200061</v>
      </c>
    </row>
    <row r="1251">
      <c r="A1251" t="s">
        <v>3</v>
      </c>
      <c r="B1251" s="6" t="s">
        <v>36</v>
      </c>
      <c r="C1251" s="6" t="s">
        <v>102</v>
      </c>
      <c r="D1251" s="6" t="s">
        <v>167</v>
      </c>
      <c r="E1251" s="10" t="s">
        <v>1449</v>
      </c>
      <c r="F1251" s="6" t="s">
        <v>3692</v>
      </c>
      <c r="G1251" s="6" t="s">
        <v>104</v>
      </c>
      <c r="H1251" s="6" t="s">
        <v>6027</v>
      </c>
      <c r="I1251" s="6" t="s">
        <v>7630</v>
      </c>
      <c r="J1251" s="6" t="s">
        <v>9062</v>
      </c>
      <c r="K1251" s="6" t="s">
        <v>9714</v>
      </c>
      <c r="L1251" s="16" t="n">
        <v>44798</v>
      </c>
      <c r="M1251" s="16" t="n">
        <v>45808</v>
      </c>
      <c r="N1251" s="6" t="s">
        <v>104</v>
      </c>
      <c r="O1251" s="21" t="s">
        <v>104</v>
      </c>
      <c r="P1251" s="6" t="s">
        <v>104</v>
      </c>
      <c r="Q1251" s="6" t="s">
        <v>104</v>
      </c>
      <c r="R1251" s="6" t="s">
        <v>104</v>
      </c>
      <c r="S1251" s="6" t="s">
        <v>104</v>
      </c>
      <c r="T1251" s="21" t="s">
        <v>104</v>
      </c>
      <c r="U1251" s="6" t="s">
        <v>104</v>
      </c>
      <c r="V1251" s="6" t="s">
        <v>104</v>
      </c>
      <c r="W1251" s="6" t="s">
        <v>104</v>
      </c>
      <c r="X1251" s="6" t="s">
        <v>104</v>
      </c>
      <c r="Y1251" s="21" t="s">
        <v>104</v>
      </c>
      <c r="Z1251" s="6" t="s">
        <v>104</v>
      </c>
      <c r="AA1251" s="6" t="s">
        <v>104</v>
      </c>
      <c r="AB1251" s="6" t="s">
        <v>104</v>
      </c>
      <c r="AC1251" s="6" t="s">
        <v>9714</v>
      </c>
      <c r="AD1251" s="16" t="n">
        <v>44798</v>
      </c>
      <c r="AE1251" s="6" t="s">
        <v>11614</v>
      </c>
      <c r="AF1251" s="6" t="s">
        <v>104</v>
      </c>
      <c r="AG1251" s="6" t="s">
        <v>104</v>
      </c>
      <c r="AH1251" s="6" t="s">
        <v>14296</v>
      </c>
      <c r="AI1251" s="6" t="s">
        <v>104</v>
      </c>
      <c r="AJ1251" s="6" t="s">
        <v>16167</v>
      </c>
      <c r="AK1251" s="6" t="s">
        <v>16705</v>
      </c>
      <c r="AL1251" s="6" t="s">
        <v>16931</v>
      </c>
      <c r="AM1251" s="6" t="s">
        <v>17823</v>
      </c>
      <c r="AN1251" s="6" t="s">
        <v>18473</v>
      </c>
      <c r="AO1251" s="6" t="s">
        <v>18812</v>
      </c>
      <c r="AP1251" s="6" t="s">
        <v>19275</v>
      </c>
      <c r="AQ1251" s="6" t="s">
        <v>104</v>
      </c>
      <c r="AR1251" s="6" t="s">
        <v>16167</v>
      </c>
      <c r="AS1251" s="6" t="s">
        <v>16705</v>
      </c>
      <c r="AT1251" s="6" t="s">
        <v>16931</v>
      </c>
      <c r="AU1251" s="6" t="s">
        <v>17823</v>
      </c>
      <c r="AV1251" s="6" t="s">
        <v>104</v>
      </c>
      <c r="AW1251" s="6" t="s">
        <v>104</v>
      </c>
      <c r="AX1251" s="6" t="s">
        <v>21086</v>
      </c>
      <c r="AY1251" s="6" t="s">
        <v>22885</v>
      </c>
      <c r="AZ1251" s="6" t="s">
        <v>104</v>
      </c>
      <c r="BA1251" s="6" t="s">
        <v>24429</v>
      </c>
      <c r="BB1251" s="6" t="s">
        <v>104</v>
      </c>
      <c r="BC1251" s="26"/>
      <c r="BD1251" s="26"/>
      <c r="BE1251" s="26"/>
      <c r="BF1251" s="26"/>
      <c r="BG1251" s="26"/>
      <c r="BH1251" s="26"/>
      <c r="BI1251" s="26"/>
      <c r="BJ1251" s="26"/>
      <c r="BK1251" s="26"/>
      <c r="BL1251" s="26"/>
      <c r="BM1251" s="26"/>
      <c r="BN1251" s="26" t="s">
        <v>24533</v>
      </c>
      <c r="BO1251" s="26"/>
      <c r="BP1251" s="16" t="n">
        <v>45729</v>
      </c>
      <c r="BQ1251" s="28" t="str">
        <f>HYPERLINK("https://organic.ams.usda.gov/Integrity/Certificate.aspx?cid=61&amp;nopid=7270001717")</f>
        <v>https://organic.ams.usda.gov/Integrity/Certificate.aspx?cid=61&amp;nopid=7270001717</v>
      </c>
    </row>
    <row r="1252">
      <c r="A1252" t="s">
        <v>3</v>
      </c>
      <c r="B1252" s="6" t="s">
        <v>33</v>
      </c>
      <c r="C1252" s="6" t="s">
        <v>99</v>
      </c>
      <c r="D1252" s="6" t="s">
        <v>164</v>
      </c>
      <c r="E1252" s="10" t="s">
        <v>1450</v>
      </c>
      <c r="F1252" s="6" t="s">
        <v>3693</v>
      </c>
      <c r="G1252" s="6" t="s">
        <v>104</v>
      </c>
      <c r="H1252" s="6" t="s">
        <v>104</v>
      </c>
      <c r="I1252" s="6" t="s">
        <v>7673</v>
      </c>
      <c r="J1252" s="6" t="s">
        <v>9063</v>
      </c>
      <c r="K1252" s="6" t="s">
        <v>9714</v>
      </c>
      <c r="L1252" s="16" t="n">
        <v>43809</v>
      </c>
      <c r="M1252" s="16" t="n">
        <v>45672</v>
      </c>
      <c r="N1252" s="6" t="s">
        <v>104</v>
      </c>
      <c r="O1252" s="21" t="s">
        <v>104</v>
      </c>
      <c r="P1252" s="6" t="s">
        <v>104</v>
      </c>
      <c r="Q1252" s="6" t="s">
        <v>104</v>
      </c>
      <c r="R1252" s="6" t="s">
        <v>104</v>
      </c>
      <c r="S1252" s="6" t="s">
        <v>104</v>
      </c>
      <c r="T1252" s="21" t="s">
        <v>104</v>
      </c>
      <c r="U1252" s="6" t="s">
        <v>104</v>
      </c>
      <c r="V1252" s="6" t="s">
        <v>104</v>
      </c>
      <c r="W1252" s="6" t="s">
        <v>104</v>
      </c>
      <c r="X1252" s="6" t="s">
        <v>104</v>
      </c>
      <c r="Y1252" s="21" t="s">
        <v>104</v>
      </c>
      <c r="Z1252" s="6" t="s">
        <v>104</v>
      </c>
      <c r="AA1252" s="6" t="s">
        <v>104</v>
      </c>
      <c r="AB1252" s="6" t="s">
        <v>104</v>
      </c>
      <c r="AC1252" s="6" t="s">
        <v>9714</v>
      </c>
      <c r="AD1252" s="16" t="n">
        <v>43809</v>
      </c>
      <c r="AE1252" s="6" t="s">
        <v>11615</v>
      </c>
      <c r="AF1252" s="6" t="s">
        <v>104</v>
      </c>
      <c r="AG1252" s="6" t="s">
        <v>104</v>
      </c>
      <c r="AH1252" s="6" t="s">
        <v>13424</v>
      </c>
      <c r="AI1252" s="6" t="s">
        <v>104</v>
      </c>
      <c r="AJ1252" s="6" t="s">
        <v>15570</v>
      </c>
      <c r="AK1252" s="6" t="s">
        <v>16683</v>
      </c>
      <c r="AL1252" s="6" t="s">
        <v>16931</v>
      </c>
      <c r="AM1252" s="6" t="s">
        <v>17184</v>
      </c>
      <c r="AN1252" s="6" t="s">
        <v>18500</v>
      </c>
      <c r="AO1252" s="6" t="s">
        <v>18813</v>
      </c>
      <c r="AP1252" s="6" t="s">
        <v>13424</v>
      </c>
      <c r="AQ1252" s="6" t="s">
        <v>104</v>
      </c>
      <c r="AR1252" s="6" t="s">
        <v>15570</v>
      </c>
      <c r="AS1252" s="6" t="s">
        <v>16683</v>
      </c>
      <c r="AT1252" s="6" t="s">
        <v>16931</v>
      </c>
      <c r="AU1252" s="6" t="s">
        <v>17184</v>
      </c>
      <c r="AV1252" s="6" t="s">
        <v>104</v>
      </c>
      <c r="AW1252" s="6" t="s">
        <v>104</v>
      </c>
      <c r="AX1252" s="6" t="s">
        <v>21087</v>
      </c>
      <c r="AY1252" s="6" t="s">
        <v>22886</v>
      </c>
      <c r="AZ1252" s="6" t="s">
        <v>24003</v>
      </c>
      <c r="BA1252" s="6" t="s">
        <v>24430</v>
      </c>
      <c r="BB1252" s="6" t="s">
        <v>104</v>
      </c>
      <c r="BC1252" s="26"/>
      <c r="BD1252" s="26"/>
      <c r="BE1252" s="26"/>
      <c r="BF1252" s="26"/>
      <c r="BG1252" s="26"/>
      <c r="BH1252" s="26"/>
      <c r="BI1252" s="26"/>
      <c r="BJ1252" s="26"/>
      <c r="BK1252" s="26"/>
      <c r="BL1252" s="26"/>
      <c r="BM1252" s="26"/>
      <c r="BN1252" s="26"/>
      <c r="BO1252" s="26"/>
      <c r="BP1252" s="16" t="n">
        <v>45667</v>
      </c>
      <c r="BQ1252" s="28" t="str">
        <f>HYPERLINK("https://organic.ams.usda.gov/Integrity/Certificate.aspx?cid=46&amp;nopid=3671900107")</f>
        <v>https://organic.ams.usda.gov/Integrity/Certificate.aspx?cid=46&amp;nopid=3671900107</v>
      </c>
    </row>
    <row r="1253">
      <c r="A1253" t="s">
        <v>3</v>
      </c>
      <c r="B1253" s="6" t="s">
        <v>65</v>
      </c>
      <c r="C1253" s="6" t="s">
        <v>131</v>
      </c>
      <c r="D1253" s="6" t="s">
        <v>195</v>
      </c>
      <c r="E1253" s="10" t="s">
        <v>1451</v>
      </c>
      <c r="F1253" s="6" t="s">
        <v>3694</v>
      </c>
      <c r="G1253" s="6" t="s">
        <v>104</v>
      </c>
      <c r="H1253" s="6" t="s">
        <v>6028</v>
      </c>
      <c r="I1253" s="6" t="s">
        <v>7674</v>
      </c>
      <c r="J1253" s="6" t="s">
        <v>9064</v>
      </c>
      <c r="K1253" s="6" t="s">
        <v>9714</v>
      </c>
      <c r="L1253" s="16" t="n">
        <v>45261</v>
      </c>
      <c r="M1253" s="16" t="n">
        <v>45597</v>
      </c>
      <c r="N1253" s="6" t="s">
        <v>104</v>
      </c>
      <c r="O1253" s="21" t="s">
        <v>104</v>
      </c>
      <c r="P1253" s="6" t="s">
        <v>104</v>
      </c>
      <c r="Q1253" s="6" t="s">
        <v>104</v>
      </c>
      <c r="R1253" s="6" t="s">
        <v>104</v>
      </c>
      <c r="S1253" s="6" t="s">
        <v>104</v>
      </c>
      <c r="T1253" s="21" t="s">
        <v>104</v>
      </c>
      <c r="U1253" s="6" t="s">
        <v>104</v>
      </c>
      <c r="V1253" s="6" t="s">
        <v>104</v>
      </c>
      <c r="W1253" s="6" t="s">
        <v>104</v>
      </c>
      <c r="X1253" s="6" t="s">
        <v>104</v>
      </c>
      <c r="Y1253" s="21" t="s">
        <v>104</v>
      </c>
      <c r="Z1253" s="6" t="s">
        <v>104</v>
      </c>
      <c r="AA1253" s="6" t="s">
        <v>104</v>
      </c>
      <c r="AB1253" s="6" t="s">
        <v>104</v>
      </c>
      <c r="AC1253" s="6" t="s">
        <v>9714</v>
      </c>
      <c r="AD1253" s="16" t="n">
        <v>45261</v>
      </c>
      <c r="AE1253" s="6" t="s">
        <v>11616</v>
      </c>
      <c r="AF1253" s="6" t="s">
        <v>104</v>
      </c>
      <c r="AG1253" s="6" t="s">
        <v>12873</v>
      </c>
      <c r="AH1253" s="6" t="s">
        <v>14297</v>
      </c>
      <c r="AI1253" s="6" t="s">
        <v>15298</v>
      </c>
      <c r="AJ1253" s="6" t="s">
        <v>16168</v>
      </c>
      <c r="AK1253" s="6" t="s">
        <v>104</v>
      </c>
      <c r="AL1253" s="6" t="s">
        <v>16898</v>
      </c>
      <c r="AM1253" s="6" t="s">
        <v>104</v>
      </c>
      <c r="AN1253" s="6" t="s">
        <v>104</v>
      </c>
      <c r="AO1253" s="6" t="s">
        <v>104</v>
      </c>
      <c r="AP1253" s="6" t="s">
        <v>14297</v>
      </c>
      <c r="AQ1253" s="6" t="s">
        <v>15298</v>
      </c>
      <c r="AR1253" s="6" t="s">
        <v>16168</v>
      </c>
      <c r="AS1253" s="6" t="s">
        <v>104</v>
      </c>
      <c r="AT1253" s="6" t="s">
        <v>16898</v>
      </c>
      <c r="AU1253" s="6" t="s">
        <v>104</v>
      </c>
      <c r="AV1253" s="6" t="s">
        <v>104</v>
      </c>
      <c r="AW1253" s="6" t="s">
        <v>104</v>
      </c>
      <c r="AX1253" s="6" t="s">
        <v>21088</v>
      </c>
      <c r="AY1253" s="6" t="s">
        <v>22887</v>
      </c>
      <c r="AZ1253" s="6" t="s">
        <v>104</v>
      </c>
      <c r="BA1253" s="6" t="s">
        <v>104</v>
      </c>
      <c r="BB1253" s="6" t="s">
        <v>104</v>
      </c>
      <c r="BC1253" s="26"/>
      <c r="BD1253" s="26"/>
      <c r="BE1253" s="26"/>
      <c r="BF1253" s="26"/>
      <c r="BG1253" s="26"/>
      <c r="BH1253" s="26"/>
      <c r="BI1253" s="26"/>
      <c r="BJ1253" s="26"/>
      <c r="BK1253" s="26"/>
      <c r="BL1253" s="26"/>
      <c r="BM1253" s="26"/>
      <c r="BN1253" s="26"/>
      <c r="BO1253" s="26"/>
      <c r="BP1253" s="16" t="n">
        <v>45435</v>
      </c>
      <c r="BQ1253" s="28" t="str">
        <f>HYPERLINK("https://organic.ams.usda.gov/Integrity/Certificate.aspx?cid=27&amp;nopid=9962876001")</f>
        <v>https://organic.ams.usda.gov/Integrity/Certificate.aspx?cid=27&amp;nopid=9962876001</v>
      </c>
    </row>
    <row r="1254">
      <c r="A1254" t="s">
        <v>3</v>
      </c>
      <c r="B1254" s="6" t="s">
        <v>61</v>
      </c>
      <c r="C1254" s="6" t="s">
        <v>127</v>
      </c>
      <c r="D1254" s="6" t="s">
        <v>191</v>
      </c>
      <c r="E1254" s="10" t="s">
        <v>1452</v>
      </c>
      <c r="F1254" s="6" t="s">
        <v>3695</v>
      </c>
      <c r="G1254" s="6" t="s">
        <v>104</v>
      </c>
      <c r="H1254" s="6" t="s">
        <v>6029</v>
      </c>
      <c r="I1254" s="6" t="s">
        <v>6986</v>
      </c>
      <c r="J1254" s="6" t="s">
        <v>9065</v>
      </c>
      <c r="K1254" s="6" t="s">
        <v>9714</v>
      </c>
      <c r="L1254" s="16" t="n">
        <v>44854</v>
      </c>
      <c r="M1254" s="16" t="n">
        <v>45901</v>
      </c>
      <c r="N1254" s="6" t="s">
        <v>9714</v>
      </c>
      <c r="O1254" s="16" t="n">
        <v>44854</v>
      </c>
      <c r="P1254" s="6" t="s">
        <v>10080</v>
      </c>
      <c r="Q1254" s="6" t="s">
        <v>104</v>
      </c>
      <c r="R1254" s="6" t="s">
        <v>6029</v>
      </c>
      <c r="S1254" s="6" t="s">
        <v>104</v>
      </c>
      <c r="T1254" s="21" t="s">
        <v>104</v>
      </c>
      <c r="U1254" s="6" t="s">
        <v>104</v>
      </c>
      <c r="V1254" s="6" t="s">
        <v>104</v>
      </c>
      <c r="W1254" s="6" t="s">
        <v>104</v>
      </c>
      <c r="X1254" s="6" t="s">
        <v>104</v>
      </c>
      <c r="Y1254" s="21" t="s">
        <v>104</v>
      </c>
      <c r="Z1254" s="6" t="s">
        <v>104</v>
      </c>
      <c r="AA1254" s="6" t="s">
        <v>104</v>
      </c>
      <c r="AB1254" s="6" t="s">
        <v>104</v>
      </c>
      <c r="AC1254" s="6" t="s">
        <v>104</v>
      </c>
      <c r="AD1254" s="21" t="s">
        <v>104</v>
      </c>
      <c r="AE1254" s="6" t="s">
        <v>104</v>
      </c>
      <c r="AF1254" s="6" t="s">
        <v>104</v>
      </c>
      <c r="AG1254" s="6" t="s">
        <v>104</v>
      </c>
      <c r="AH1254" s="6" t="s">
        <v>14298</v>
      </c>
      <c r="AI1254" s="6" t="s">
        <v>104</v>
      </c>
      <c r="AJ1254" s="6" t="s">
        <v>16169</v>
      </c>
      <c r="AK1254" s="6" t="s">
        <v>16687</v>
      </c>
      <c r="AL1254" s="6" t="s">
        <v>16931</v>
      </c>
      <c r="AM1254" s="6" t="s">
        <v>17824</v>
      </c>
      <c r="AN1254" s="6" t="s">
        <v>18471</v>
      </c>
      <c r="AO1254" s="6" t="s">
        <v>18579</v>
      </c>
      <c r="AP1254" s="6" t="s">
        <v>19276</v>
      </c>
      <c r="AQ1254" s="6" t="s">
        <v>104</v>
      </c>
      <c r="AR1254" s="6" t="s">
        <v>16169</v>
      </c>
      <c r="AS1254" s="6" t="s">
        <v>16687</v>
      </c>
      <c r="AT1254" s="6" t="s">
        <v>16931</v>
      </c>
      <c r="AU1254" s="6" t="s">
        <v>17824</v>
      </c>
      <c r="AV1254" s="6" t="s">
        <v>104</v>
      </c>
      <c r="AW1254" s="6" t="s">
        <v>104</v>
      </c>
      <c r="AX1254" s="6" t="s">
        <v>21089</v>
      </c>
      <c r="AY1254" s="6" t="s">
        <v>22888</v>
      </c>
      <c r="AZ1254" s="6" t="s">
        <v>104</v>
      </c>
      <c r="BA1254" s="6" t="s">
        <v>104</v>
      </c>
      <c r="BB1254" s="24" t="n">
        <v>1383</v>
      </c>
      <c r="BC1254" s="26"/>
      <c r="BD1254" s="26"/>
      <c r="BE1254" s="26"/>
      <c r="BF1254" s="26"/>
      <c r="BG1254" s="26"/>
      <c r="BH1254" s="26"/>
      <c r="BI1254" s="26"/>
      <c r="BJ1254" s="26"/>
      <c r="BK1254" s="26"/>
      <c r="BL1254" s="26"/>
      <c r="BM1254" s="26"/>
      <c r="BN1254" s="26"/>
      <c r="BO1254" s="26"/>
      <c r="BP1254" s="16" t="n">
        <v>45722</v>
      </c>
      <c r="BQ1254" s="28" t="str">
        <f>HYPERLINK("https://organic.ams.usda.gov/Integrity/Certificate.aspx?cid=83&amp;nopid=4930000111")</f>
        <v>https://organic.ams.usda.gov/Integrity/Certificate.aspx?cid=83&amp;nopid=4930000111</v>
      </c>
    </row>
    <row r="1255">
      <c r="A1255" t="s">
        <v>3</v>
      </c>
      <c r="B1255" s="6" t="s">
        <v>18</v>
      </c>
      <c r="C1255" s="6" t="s">
        <v>84</v>
      </c>
      <c r="D1255" s="6" t="s">
        <v>149</v>
      </c>
      <c r="E1255" s="10" t="s">
        <v>1453</v>
      </c>
      <c r="F1255" s="6" t="s">
        <v>3696</v>
      </c>
      <c r="G1255" s="6" t="s">
        <v>104</v>
      </c>
      <c r="H1255" s="6" t="s">
        <v>6030</v>
      </c>
      <c r="I1255" s="6" t="s">
        <v>7675</v>
      </c>
      <c r="J1255" s="6" t="s">
        <v>8305</v>
      </c>
      <c r="K1255" s="6" t="s">
        <v>9714</v>
      </c>
      <c r="L1255" s="16" t="n">
        <v>45096</v>
      </c>
      <c r="M1255" s="16" t="n">
        <v>45870</v>
      </c>
      <c r="N1255" s="6" t="s">
        <v>9714</v>
      </c>
      <c r="O1255" s="16" t="n">
        <v>45096</v>
      </c>
      <c r="P1255" s="6" t="s">
        <v>10081</v>
      </c>
      <c r="Q1255" s="6" t="s">
        <v>104</v>
      </c>
      <c r="R1255" s="6" t="s">
        <v>10391</v>
      </c>
      <c r="S1255" s="6" t="s">
        <v>104</v>
      </c>
      <c r="T1255" s="21" t="s">
        <v>104</v>
      </c>
      <c r="U1255" s="6" t="s">
        <v>104</v>
      </c>
      <c r="V1255" s="6" t="s">
        <v>104</v>
      </c>
      <c r="W1255" s="6" t="s">
        <v>104</v>
      </c>
      <c r="X1255" s="6" t="s">
        <v>104</v>
      </c>
      <c r="Y1255" s="21" t="s">
        <v>104</v>
      </c>
      <c r="Z1255" s="6" t="s">
        <v>104</v>
      </c>
      <c r="AA1255" s="6" t="s">
        <v>104</v>
      </c>
      <c r="AB1255" s="6" t="s">
        <v>104</v>
      </c>
      <c r="AC1255" s="6" t="s">
        <v>9714</v>
      </c>
      <c r="AD1255" s="16" t="n">
        <v>45096</v>
      </c>
      <c r="AE1255" s="6" t="s">
        <v>11617</v>
      </c>
      <c r="AF1255" s="6" t="s">
        <v>104</v>
      </c>
      <c r="AG1255" s="6" t="s">
        <v>12874</v>
      </c>
      <c r="AH1255" s="6" t="s">
        <v>14299</v>
      </c>
      <c r="AI1255" s="6" t="s">
        <v>104</v>
      </c>
      <c r="AJ1255" s="6" t="s">
        <v>15523</v>
      </c>
      <c r="AK1255" s="6" t="s">
        <v>16738</v>
      </c>
      <c r="AL1255" s="6" t="s">
        <v>16931</v>
      </c>
      <c r="AM1255" s="6" t="s">
        <v>17825</v>
      </c>
      <c r="AN1255" s="6" t="s">
        <v>18517</v>
      </c>
      <c r="AO1255" s="6" t="s">
        <v>18814</v>
      </c>
      <c r="AP1255" s="6" t="s">
        <v>19277</v>
      </c>
      <c r="AQ1255" s="6" t="s">
        <v>104</v>
      </c>
      <c r="AR1255" s="6" t="s">
        <v>15523</v>
      </c>
      <c r="AS1255" s="6" t="s">
        <v>16738</v>
      </c>
      <c r="AT1255" s="6" t="s">
        <v>16931</v>
      </c>
      <c r="AU1255" s="6" t="s">
        <v>17825</v>
      </c>
      <c r="AV1255" s="6" t="s">
        <v>104</v>
      </c>
      <c r="AW1255" s="6" t="s">
        <v>104</v>
      </c>
      <c r="AX1255" s="6" t="s">
        <v>21090</v>
      </c>
      <c r="AY1255" s="6" t="s">
        <v>22889</v>
      </c>
      <c r="AZ1255" s="6" t="s">
        <v>104</v>
      </c>
      <c r="BA1255" s="6" t="s">
        <v>104</v>
      </c>
      <c r="BB1255" s="24" t="n">
        <v>67</v>
      </c>
      <c r="BC1255" s="26"/>
      <c r="BD1255" s="26"/>
      <c r="BE1255" s="26"/>
      <c r="BF1255" s="26"/>
      <c r="BG1255" s="26"/>
      <c r="BH1255" s="26"/>
      <c r="BI1255" s="26"/>
      <c r="BJ1255" s="26"/>
      <c r="BK1255" s="26"/>
      <c r="BL1255" s="26"/>
      <c r="BM1255" s="26"/>
      <c r="BN1255" s="26"/>
      <c r="BO1255" s="26"/>
      <c r="BP1255" s="16" t="n">
        <v>45737</v>
      </c>
      <c r="BQ1255" s="28" t="str">
        <f>HYPERLINK("https://organic.ams.usda.gov/Integrity/Certificate.aspx?cid=31&amp;nopid=3928972350")</f>
        <v>https://organic.ams.usda.gov/Integrity/Certificate.aspx?cid=31&amp;nopid=3928972350</v>
      </c>
    </row>
    <row r="1256">
      <c r="A1256" t="s">
        <v>3</v>
      </c>
      <c r="B1256" s="6" t="s">
        <v>24</v>
      </c>
      <c r="C1256" s="6" t="s">
        <v>90</v>
      </c>
      <c r="D1256" s="6" t="s">
        <v>155</v>
      </c>
      <c r="E1256" s="10" t="s">
        <v>1454</v>
      </c>
      <c r="F1256" s="6" t="s">
        <v>3697</v>
      </c>
      <c r="G1256" s="6" t="s">
        <v>4788</v>
      </c>
      <c r="H1256" s="6" t="s">
        <v>6031</v>
      </c>
      <c r="I1256" s="6" t="s">
        <v>7538</v>
      </c>
      <c r="J1256" s="6" t="s">
        <v>9066</v>
      </c>
      <c r="K1256" s="6" t="s">
        <v>9714</v>
      </c>
      <c r="L1256" s="16" t="n">
        <v>40856</v>
      </c>
      <c r="M1256" s="16" t="n">
        <v>45869</v>
      </c>
      <c r="N1256" s="6" t="s">
        <v>104</v>
      </c>
      <c r="O1256" s="21" t="s">
        <v>104</v>
      </c>
      <c r="P1256" s="6" t="s">
        <v>104</v>
      </c>
      <c r="Q1256" s="6" t="s">
        <v>104</v>
      </c>
      <c r="R1256" s="6" t="s">
        <v>104</v>
      </c>
      <c r="S1256" s="6" t="s">
        <v>104</v>
      </c>
      <c r="T1256" s="21" t="s">
        <v>104</v>
      </c>
      <c r="U1256" s="6" t="s">
        <v>104</v>
      </c>
      <c r="V1256" s="6" t="s">
        <v>104</v>
      </c>
      <c r="W1256" s="6" t="s">
        <v>104</v>
      </c>
      <c r="X1256" s="6" t="s">
        <v>104</v>
      </c>
      <c r="Y1256" s="21" t="s">
        <v>104</v>
      </c>
      <c r="Z1256" s="6" t="s">
        <v>104</v>
      </c>
      <c r="AA1256" s="6" t="s">
        <v>104</v>
      </c>
      <c r="AB1256" s="6" t="s">
        <v>104</v>
      </c>
      <c r="AC1256" s="6" t="s">
        <v>9714</v>
      </c>
      <c r="AD1256" s="16" t="n">
        <v>40856</v>
      </c>
      <c r="AE1256" s="6" t="s">
        <v>11618</v>
      </c>
      <c r="AF1256" s="6" t="s">
        <v>104</v>
      </c>
      <c r="AG1256" s="6" t="s">
        <v>6031</v>
      </c>
      <c r="AH1256" s="6" t="s">
        <v>14300</v>
      </c>
      <c r="AI1256" s="6" t="s">
        <v>15299</v>
      </c>
      <c r="AJ1256" s="6" t="s">
        <v>16170</v>
      </c>
      <c r="AK1256" s="6" t="s">
        <v>16826</v>
      </c>
      <c r="AL1256" s="6" t="s">
        <v>16934</v>
      </c>
      <c r="AM1256" s="6" t="s">
        <v>17826</v>
      </c>
      <c r="AN1256" s="6" t="s">
        <v>104</v>
      </c>
      <c r="AO1256" s="6" t="s">
        <v>104</v>
      </c>
      <c r="AP1256" s="6" t="s">
        <v>19278</v>
      </c>
      <c r="AQ1256" s="6" t="s">
        <v>104</v>
      </c>
      <c r="AR1256" s="6" t="s">
        <v>16170</v>
      </c>
      <c r="AS1256" s="6" t="s">
        <v>16826</v>
      </c>
      <c r="AT1256" s="6" t="s">
        <v>16934</v>
      </c>
      <c r="AU1256" s="6" t="s">
        <v>17826</v>
      </c>
      <c r="AV1256" s="6" t="s">
        <v>104</v>
      </c>
      <c r="AW1256" s="6" t="s">
        <v>104</v>
      </c>
      <c r="AX1256" s="6" t="s">
        <v>21091</v>
      </c>
      <c r="AY1256" s="6" t="s">
        <v>22890</v>
      </c>
      <c r="AZ1256" s="6" t="s">
        <v>104</v>
      </c>
      <c r="BA1256" s="6" t="s">
        <v>24262</v>
      </c>
      <c r="BB1256" s="24" t="n">
        <v>0</v>
      </c>
      <c r="BC1256" s="26"/>
      <c r="BD1256" s="26"/>
      <c r="BE1256" s="26"/>
      <c r="BF1256" s="26"/>
      <c r="BG1256" s="26"/>
      <c r="BH1256" s="26"/>
      <c r="BI1256" s="26"/>
      <c r="BJ1256" s="26"/>
      <c r="BK1256" s="26"/>
      <c r="BL1256" s="26"/>
      <c r="BM1256" s="26"/>
      <c r="BN1256" s="26"/>
      <c r="BO1256" s="26"/>
      <c r="BP1256" s="16" t="n">
        <v>45693</v>
      </c>
      <c r="BQ1256" s="28" t="str">
        <f>HYPERLINK("https://organic.ams.usda.gov/Integrity/Certificate.aspx?cid=7&amp;nopid=3950000188")</f>
        <v>https://organic.ams.usda.gov/Integrity/Certificate.aspx?cid=7&amp;nopid=3950000188</v>
      </c>
    </row>
    <row r="1257">
      <c r="A1257" t="s">
        <v>3</v>
      </c>
      <c r="B1257" s="6" t="s">
        <v>20</v>
      </c>
      <c r="C1257" s="6" t="s">
        <v>86</v>
      </c>
      <c r="D1257" s="6" t="s">
        <v>151</v>
      </c>
      <c r="E1257" s="10" t="s">
        <v>1455</v>
      </c>
      <c r="F1257" s="6" t="s">
        <v>3698</v>
      </c>
      <c r="G1257" s="6" t="s">
        <v>104</v>
      </c>
      <c r="H1257" s="6" t="s">
        <v>6032</v>
      </c>
      <c r="I1257" s="6" t="s">
        <v>7676</v>
      </c>
      <c r="J1257" s="6" t="s">
        <v>9067</v>
      </c>
      <c r="K1257" s="6" t="s">
        <v>9714</v>
      </c>
      <c r="L1257" s="16" t="n">
        <v>43047</v>
      </c>
      <c r="M1257" s="16" t="n">
        <v>45991</v>
      </c>
      <c r="N1257" s="6" t="s">
        <v>104</v>
      </c>
      <c r="O1257" s="21" t="s">
        <v>104</v>
      </c>
      <c r="P1257" s="6" t="s">
        <v>104</v>
      </c>
      <c r="Q1257" s="6" t="s">
        <v>104</v>
      </c>
      <c r="R1257" s="6" t="s">
        <v>104</v>
      </c>
      <c r="S1257" s="6" t="s">
        <v>104</v>
      </c>
      <c r="T1257" s="21" t="s">
        <v>104</v>
      </c>
      <c r="U1257" s="6" t="s">
        <v>104</v>
      </c>
      <c r="V1257" s="6" t="s">
        <v>104</v>
      </c>
      <c r="W1257" s="6" t="s">
        <v>104</v>
      </c>
      <c r="X1257" s="6" t="s">
        <v>104</v>
      </c>
      <c r="Y1257" s="21" t="s">
        <v>104</v>
      </c>
      <c r="Z1257" s="6" t="s">
        <v>104</v>
      </c>
      <c r="AA1257" s="6" t="s">
        <v>104</v>
      </c>
      <c r="AB1257" s="6" t="s">
        <v>104</v>
      </c>
      <c r="AC1257" s="6" t="s">
        <v>9714</v>
      </c>
      <c r="AD1257" s="16" t="n">
        <v>43047</v>
      </c>
      <c r="AE1257" s="6" t="s">
        <v>11619</v>
      </c>
      <c r="AF1257" s="6" t="s">
        <v>104</v>
      </c>
      <c r="AG1257" s="6" t="s">
        <v>12875</v>
      </c>
      <c r="AH1257" s="6" t="s">
        <v>14301</v>
      </c>
      <c r="AI1257" s="6" t="s">
        <v>104</v>
      </c>
      <c r="AJ1257" s="6" t="s">
        <v>15373</v>
      </c>
      <c r="AK1257" s="6" t="s">
        <v>15373</v>
      </c>
      <c r="AL1257" s="6" t="s">
        <v>16933</v>
      </c>
      <c r="AM1257" s="6" t="s">
        <v>104</v>
      </c>
      <c r="AN1257" s="6" t="s">
        <v>104</v>
      </c>
      <c r="AO1257" s="6" t="s">
        <v>104</v>
      </c>
      <c r="AP1257" s="6" t="s">
        <v>104</v>
      </c>
      <c r="AQ1257" s="6" t="s">
        <v>104</v>
      </c>
      <c r="AR1257" s="6" t="s">
        <v>104</v>
      </c>
      <c r="AS1257" s="6" t="s">
        <v>104</v>
      </c>
      <c r="AT1257" s="6" t="s">
        <v>104</v>
      </c>
      <c r="AU1257" s="6" t="s">
        <v>104</v>
      </c>
      <c r="AV1257" s="6" t="s">
        <v>104</v>
      </c>
      <c r="AW1257" s="6" t="s">
        <v>104</v>
      </c>
      <c r="AX1257" s="6" t="s">
        <v>21092</v>
      </c>
      <c r="AY1257" s="6" t="s">
        <v>22891</v>
      </c>
      <c r="AZ1257" s="6" t="s">
        <v>104</v>
      </c>
      <c r="BA1257" s="6" t="s">
        <v>104</v>
      </c>
      <c r="BB1257" s="6" t="s">
        <v>104</v>
      </c>
      <c r="BC1257" s="26"/>
      <c r="BD1257" s="26"/>
      <c r="BE1257" s="26"/>
      <c r="BF1257" s="26"/>
      <c r="BG1257" s="26"/>
      <c r="BH1257" s="26"/>
      <c r="BI1257" s="26"/>
      <c r="BJ1257" s="26"/>
      <c r="BK1257" s="26"/>
      <c r="BL1257" s="26"/>
      <c r="BM1257" s="26"/>
      <c r="BN1257" s="26"/>
      <c r="BO1257" s="26"/>
      <c r="BP1257" s="16" t="n">
        <v>45588</v>
      </c>
      <c r="BQ1257" s="28" t="str">
        <f>HYPERLINK("https://organic.ams.usda.gov/Integrity/Certificate.aspx?cid=17&amp;nopid=4087184940")</f>
        <v>https://organic.ams.usda.gov/Integrity/Certificate.aspx?cid=17&amp;nopid=4087184940</v>
      </c>
    </row>
    <row r="1258">
      <c r="A1258" t="s">
        <v>3</v>
      </c>
      <c r="B1258" s="6" t="s">
        <v>34</v>
      </c>
      <c r="C1258" s="6" t="s">
        <v>100</v>
      </c>
      <c r="D1258" s="6" t="s">
        <v>165</v>
      </c>
      <c r="E1258" s="10" t="s">
        <v>1456</v>
      </c>
      <c r="F1258" s="6" t="s">
        <v>3699</v>
      </c>
      <c r="G1258" s="6" t="s">
        <v>104</v>
      </c>
      <c r="H1258" s="6" t="s">
        <v>6033</v>
      </c>
      <c r="I1258" s="6" t="s">
        <v>7677</v>
      </c>
      <c r="J1258" s="6" t="s">
        <v>9068</v>
      </c>
      <c r="K1258" s="6" t="s">
        <v>9714</v>
      </c>
      <c r="L1258" s="16" t="n">
        <v>38960</v>
      </c>
      <c r="M1258" s="16" t="n">
        <v>45761</v>
      </c>
      <c r="N1258" s="6" t="s">
        <v>104</v>
      </c>
      <c r="O1258" s="21" t="s">
        <v>104</v>
      </c>
      <c r="P1258" s="6" t="s">
        <v>104</v>
      </c>
      <c r="Q1258" s="6" t="s">
        <v>104</v>
      </c>
      <c r="R1258" s="6" t="s">
        <v>104</v>
      </c>
      <c r="S1258" s="6" t="s">
        <v>104</v>
      </c>
      <c r="T1258" s="21" t="s">
        <v>104</v>
      </c>
      <c r="U1258" s="6" t="s">
        <v>104</v>
      </c>
      <c r="V1258" s="6" t="s">
        <v>104</v>
      </c>
      <c r="W1258" s="6" t="s">
        <v>104</v>
      </c>
      <c r="X1258" s="6" t="s">
        <v>104</v>
      </c>
      <c r="Y1258" s="21" t="s">
        <v>104</v>
      </c>
      <c r="Z1258" s="6" t="s">
        <v>104</v>
      </c>
      <c r="AA1258" s="6" t="s">
        <v>104</v>
      </c>
      <c r="AB1258" s="6" t="s">
        <v>104</v>
      </c>
      <c r="AC1258" s="6" t="s">
        <v>9714</v>
      </c>
      <c r="AD1258" s="16" t="n">
        <v>38960</v>
      </c>
      <c r="AE1258" s="6" t="s">
        <v>11620</v>
      </c>
      <c r="AF1258" s="6" t="s">
        <v>104</v>
      </c>
      <c r="AG1258" s="6" t="s">
        <v>12876</v>
      </c>
      <c r="AH1258" s="6" t="s">
        <v>14302</v>
      </c>
      <c r="AI1258" s="6" t="s">
        <v>104</v>
      </c>
      <c r="AJ1258" s="6" t="s">
        <v>16171</v>
      </c>
      <c r="AK1258" s="6" t="s">
        <v>16687</v>
      </c>
      <c r="AL1258" s="6" t="s">
        <v>16931</v>
      </c>
      <c r="AM1258" s="6" t="s">
        <v>17827</v>
      </c>
      <c r="AN1258" s="6" t="s">
        <v>18465</v>
      </c>
      <c r="AO1258" s="6" t="s">
        <v>18572</v>
      </c>
      <c r="AP1258" s="6" t="s">
        <v>14302</v>
      </c>
      <c r="AQ1258" s="6" t="s">
        <v>104</v>
      </c>
      <c r="AR1258" s="6" t="s">
        <v>16171</v>
      </c>
      <c r="AS1258" s="6" t="s">
        <v>16687</v>
      </c>
      <c r="AT1258" s="6" t="s">
        <v>16931</v>
      </c>
      <c r="AU1258" s="6" t="s">
        <v>17827</v>
      </c>
      <c r="AV1258" s="6" t="s">
        <v>104</v>
      </c>
      <c r="AW1258" s="6" t="s">
        <v>104</v>
      </c>
      <c r="AX1258" s="6" t="s">
        <v>21093</v>
      </c>
      <c r="AY1258" s="6" t="s">
        <v>22892</v>
      </c>
      <c r="AZ1258" s="6" t="s">
        <v>104</v>
      </c>
      <c r="BA1258" s="6" t="s">
        <v>104</v>
      </c>
      <c r="BB1258" s="6" t="s">
        <v>104</v>
      </c>
      <c r="BC1258" s="26"/>
      <c r="BD1258" s="26"/>
      <c r="BE1258" s="26"/>
      <c r="BF1258" s="26"/>
      <c r="BG1258" s="26"/>
      <c r="BH1258" s="26"/>
      <c r="BI1258" s="26"/>
      <c r="BJ1258" s="26"/>
      <c r="BK1258" s="26"/>
      <c r="BL1258" s="26"/>
      <c r="BM1258" s="26"/>
      <c r="BN1258" s="26"/>
      <c r="BO1258" s="26"/>
      <c r="BP1258" s="16" t="n">
        <v>45737</v>
      </c>
      <c r="BQ1258" s="28" t="str">
        <f>HYPERLINK("https://organic.ams.usda.gov/Integrity/Certificate.aspx?cid=71&amp;nopid=5520031106")</f>
        <v>https://organic.ams.usda.gov/Integrity/Certificate.aspx?cid=71&amp;nopid=5520031106</v>
      </c>
    </row>
    <row r="1259">
      <c r="A1259" t="s">
        <v>3</v>
      </c>
      <c r="B1259" s="6" t="s">
        <v>58</v>
      </c>
      <c r="C1259" s="6" t="s">
        <v>124</v>
      </c>
      <c r="D1259" s="6" t="s">
        <v>188</v>
      </c>
      <c r="E1259" s="10" t="s">
        <v>1457</v>
      </c>
      <c r="F1259" s="6" t="s">
        <v>3700</v>
      </c>
      <c r="G1259" s="6" t="s">
        <v>104</v>
      </c>
      <c r="H1259" s="6" t="s">
        <v>6034</v>
      </c>
      <c r="I1259" s="6" t="s">
        <v>7678</v>
      </c>
      <c r="J1259" s="6" t="s">
        <v>9069</v>
      </c>
      <c r="K1259" s="6" t="s">
        <v>9714</v>
      </c>
      <c r="L1259" s="16" t="n">
        <v>45490</v>
      </c>
      <c r="M1259" s="16" t="n">
        <v>45854</v>
      </c>
      <c r="N1259" s="6" t="s">
        <v>104</v>
      </c>
      <c r="O1259" s="21" t="s">
        <v>104</v>
      </c>
      <c r="P1259" s="6" t="s">
        <v>104</v>
      </c>
      <c r="Q1259" s="6" t="s">
        <v>104</v>
      </c>
      <c r="R1259" s="6" t="s">
        <v>104</v>
      </c>
      <c r="S1259" s="6" t="s">
        <v>104</v>
      </c>
      <c r="T1259" s="21" t="s">
        <v>104</v>
      </c>
      <c r="U1259" s="6" t="s">
        <v>104</v>
      </c>
      <c r="V1259" s="6" t="s">
        <v>104</v>
      </c>
      <c r="W1259" s="6" t="s">
        <v>104</v>
      </c>
      <c r="X1259" s="6" t="s">
        <v>104</v>
      </c>
      <c r="Y1259" s="21" t="s">
        <v>104</v>
      </c>
      <c r="Z1259" s="6" t="s">
        <v>104</v>
      </c>
      <c r="AA1259" s="6" t="s">
        <v>104</v>
      </c>
      <c r="AB1259" s="6" t="s">
        <v>104</v>
      </c>
      <c r="AC1259" s="6" t="s">
        <v>9714</v>
      </c>
      <c r="AD1259" s="16" t="n">
        <v>45490</v>
      </c>
      <c r="AE1259" s="6" t="s">
        <v>11621</v>
      </c>
      <c r="AF1259" s="6" t="s">
        <v>104</v>
      </c>
      <c r="AG1259" s="6" t="s">
        <v>12877</v>
      </c>
      <c r="AH1259" s="6" t="s">
        <v>14303</v>
      </c>
      <c r="AI1259" s="6" t="s">
        <v>104</v>
      </c>
      <c r="AJ1259" s="6" t="s">
        <v>16080</v>
      </c>
      <c r="AK1259" s="6" t="s">
        <v>15749</v>
      </c>
      <c r="AL1259" s="6" t="s">
        <v>16943</v>
      </c>
      <c r="AM1259" s="6" t="s">
        <v>6569</v>
      </c>
      <c r="AN1259" s="6" t="s">
        <v>104</v>
      </c>
      <c r="AO1259" s="6" t="s">
        <v>104</v>
      </c>
      <c r="AP1259" s="6" t="s">
        <v>14303</v>
      </c>
      <c r="AQ1259" s="6" t="s">
        <v>104</v>
      </c>
      <c r="AR1259" s="6" t="s">
        <v>16080</v>
      </c>
      <c r="AS1259" s="6" t="s">
        <v>15749</v>
      </c>
      <c r="AT1259" s="6" t="s">
        <v>16943</v>
      </c>
      <c r="AU1259" s="6" t="s">
        <v>6569</v>
      </c>
      <c r="AV1259" s="6" t="s">
        <v>104</v>
      </c>
      <c r="AW1259" s="6" t="s">
        <v>104</v>
      </c>
      <c r="AX1259" s="6" t="s">
        <v>21094</v>
      </c>
      <c r="AY1259" s="6" t="s">
        <v>22893</v>
      </c>
      <c r="AZ1259" s="6" t="s">
        <v>104</v>
      </c>
      <c r="BA1259" s="6" t="s">
        <v>104</v>
      </c>
      <c r="BB1259" s="6" t="s">
        <v>104</v>
      </c>
      <c r="BC1259" s="26"/>
      <c r="BD1259" s="26"/>
      <c r="BE1259" s="26"/>
      <c r="BF1259" s="26"/>
      <c r="BG1259" s="26"/>
      <c r="BH1259" s="26"/>
      <c r="BI1259" s="26"/>
      <c r="BJ1259" s="26"/>
      <c r="BK1259" s="26"/>
      <c r="BL1259" s="26"/>
      <c r="BM1259" s="26"/>
      <c r="BN1259" s="26"/>
      <c r="BO1259" s="26"/>
      <c r="BP1259" s="16" t="n">
        <v>45496</v>
      </c>
      <c r="BQ1259" s="28" t="str">
        <f>HYPERLINK("https://organic.ams.usda.gov/Integrity/Certificate.aspx?cid=16&amp;nopid=7281691138")</f>
        <v>https://organic.ams.usda.gov/Integrity/Certificate.aspx?cid=16&amp;nopid=7281691138</v>
      </c>
    </row>
    <row r="1260">
      <c r="A1260" t="s">
        <v>3</v>
      </c>
      <c r="B1260" s="6" t="s">
        <v>6</v>
      </c>
      <c r="C1260" s="6" t="s">
        <v>72</v>
      </c>
      <c r="D1260" s="6" t="s">
        <v>137</v>
      </c>
      <c r="E1260" s="10" t="s">
        <v>1458</v>
      </c>
      <c r="F1260" s="6" t="s">
        <v>3701</v>
      </c>
      <c r="G1260" s="6" t="s">
        <v>104</v>
      </c>
      <c r="H1260" s="6" t="s">
        <v>6035</v>
      </c>
      <c r="I1260" s="6" t="s">
        <v>7679</v>
      </c>
      <c r="J1260" s="6" t="s">
        <v>9070</v>
      </c>
      <c r="K1260" s="6" t="s">
        <v>9714</v>
      </c>
      <c r="L1260" s="16" t="n">
        <v>45390</v>
      </c>
      <c r="M1260" s="16" t="n">
        <v>45695</v>
      </c>
      <c r="N1260" s="6" t="s">
        <v>9714</v>
      </c>
      <c r="O1260" s="16" t="n">
        <v>45390</v>
      </c>
      <c r="P1260" s="6" t="s">
        <v>10082</v>
      </c>
      <c r="Q1260" s="6" t="s">
        <v>104</v>
      </c>
      <c r="R1260" s="6" t="s">
        <v>10392</v>
      </c>
      <c r="S1260" s="6" t="s">
        <v>104</v>
      </c>
      <c r="T1260" s="21" t="s">
        <v>104</v>
      </c>
      <c r="U1260" s="6" t="s">
        <v>104</v>
      </c>
      <c r="V1260" s="6" t="s">
        <v>104</v>
      </c>
      <c r="W1260" s="6" t="s">
        <v>104</v>
      </c>
      <c r="X1260" s="6" t="s">
        <v>104</v>
      </c>
      <c r="Y1260" s="21" t="s">
        <v>104</v>
      </c>
      <c r="Z1260" s="6" t="s">
        <v>104</v>
      </c>
      <c r="AA1260" s="6" t="s">
        <v>104</v>
      </c>
      <c r="AB1260" s="6" t="s">
        <v>104</v>
      </c>
      <c r="AC1260" s="6" t="s">
        <v>104</v>
      </c>
      <c r="AD1260" s="21" t="s">
        <v>104</v>
      </c>
      <c r="AE1260" s="6" t="s">
        <v>104</v>
      </c>
      <c r="AF1260" s="6" t="s">
        <v>104</v>
      </c>
      <c r="AG1260" s="6" t="s">
        <v>104</v>
      </c>
      <c r="AH1260" s="6" t="s">
        <v>14304</v>
      </c>
      <c r="AI1260" s="6" t="s">
        <v>104</v>
      </c>
      <c r="AJ1260" s="6" t="s">
        <v>16172</v>
      </c>
      <c r="AK1260" s="6" t="s">
        <v>16707</v>
      </c>
      <c r="AL1260" s="6" t="s">
        <v>16930</v>
      </c>
      <c r="AM1260" s="6" t="s">
        <v>17828</v>
      </c>
      <c r="AN1260" s="6" t="s">
        <v>104</v>
      </c>
      <c r="AO1260" s="6" t="s">
        <v>104</v>
      </c>
      <c r="AP1260" s="6" t="s">
        <v>104</v>
      </c>
      <c r="AQ1260" s="6" t="s">
        <v>104</v>
      </c>
      <c r="AR1260" s="6" t="s">
        <v>104</v>
      </c>
      <c r="AS1260" s="6" t="s">
        <v>104</v>
      </c>
      <c r="AT1260" s="6" t="s">
        <v>104</v>
      </c>
      <c r="AU1260" s="6" t="s">
        <v>104</v>
      </c>
      <c r="AV1260" s="6" t="s">
        <v>104</v>
      </c>
      <c r="AW1260" s="6" t="s">
        <v>104</v>
      </c>
      <c r="AX1260" s="6" t="s">
        <v>21095</v>
      </c>
      <c r="AY1260" s="6" t="s">
        <v>22894</v>
      </c>
      <c r="AZ1260" s="6" t="s">
        <v>104</v>
      </c>
      <c r="BA1260" s="6" t="s">
        <v>104</v>
      </c>
      <c r="BB1260" s="24" t="n">
        <v>67</v>
      </c>
      <c r="BC1260" s="26"/>
      <c r="BD1260" s="26"/>
      <c r="BE1260" s="26"/>
      <c r="BF1260" s="26"/>
      <c r="BG1260" s="26"/>
      <c r="BH1260" s="26"/>
      <c r="BI1260" s="26"/>
      <c r="BJ1260" s="26"/>
      <c r="BK1260" s="26"/>
      <c r="BL1260" s="26"/>
      <c r="BM1260" s="26"/>
      <c r="BN1260" s="26"/>
      <c r="BO1260" s="26"/>
      <c r="BP1260" s="16" t="n">
        <v>45737</v>
      </c>
      <c r="BQ1260" s="28" t="str">
        <f>HYPERLINK("https://organic.ams.usda.gov/Integrity/Certificate.aspx?cid=32&amp;nopid=2230010916")</f>
        <v>https://organic.ams.usda.gov/Integrity/Certificate.aspx?cid=32&amp;nopid=2230010916</v>
      </c>
    </row>
    <row r="1261">
      <c r="A1261" t="s">
        <v>3</v>
      </c>
      <c r="B1261" s="6" t="s">
        <v>22</v>
      </c>
      <c r="C1261" s="6" t="s">
        <v>88</v>
      </c>
      <c r="D1261" s="6" t="s">
        <v>153</v>
      </c>
      <c r="E1261" s="10" t="s">
        <v>1459</v>
      </c>
      <c r="F1261" s="6" t="s">
        <v>3702</v>
      </c>
      <c r="G1261" s="6" t="s">
        <v>104</v>
      </c>
      <c r="H1261" s="6" t="s">
        <v>6036</v>
      </c>
      <c r="I1261" s="6" t="s">
        <v>7680</v>
      </c>
      <c r="J1261" s="6" t="s">
        <v>8248</v>
      </c>
      <c r="K1261" s="6" t="s">
        <v>9714</v>
      </c>
      <c r="L1261" s="16" t="n">
        <v>38958</v>
      </c>
      <c r="M1261" s="16" t="n">
        <v>45839</v>
      </c>
      <c r="N1261" s="6" t="s">
        <v>104</v>
      </c>
      <c r="O1261" s="21" t="s">
        <v>104</v>
      </c>
      <c r="P1261" s="6" t="s">
        <v>104</v>
      </c>
      <c r="Q1261" s="6" t="s">
        <v>104</v>
      </c>
      <c r="R1261" s="6" t="s">
        <v>104</v>
      </c>
      <c r="S1261" s="6" t="s">
        <v>104</v>
      </c>
      <c r="T1261" s="21" t="s">
        <v>104</v>
      </c>
      <c r="U1261" s="6" t="s">
        <v>104</v>
      </c>
      <c r="V1261" s="6" t="s">
        <v>104</v>
      </c>
      <c r="W1261" s="6" t="s">
        <v>104</v>
      </c>
      <c r="X1261" s="6" t="s">
        <v>104</v>
      </c>
      <c r="Y1261" s="21" t="s">
        <v>104</v>
      </c>
      <c r="Z1261" s="6" t="s">
        <v>104</v>
      </c>
      <c r="AA1261" s="6" t="s">
        <v>104</v>
      </c>
      <c r="AB1261" s="6" t="s">
        <v>104</v>
      </c>
      <c r="AC1261" s="6" t="s">
        <v>9714</v>
      </c>
      <c r="AD1261" s="16" t="n">
        <v>38958</v>
      </c>
      <c r="AE1261" s="6" t="s">
        <v>11622</v>
      </c>
      <c r="AF1261" s="6" t="s">
        <v>104</v>
      </c>
      <c r="AG1261" s="6" t="s">
        <v>12878</v>
      </c>
      <c r="AH1261" s="6" t="s">
        <v>14305</v>
      </c>
      <c r="AI1261" s="6" t="s">
        <v>104</v>
      </c>
      <c r="AJ1261" s="6" t="s">
        <v>16173</v>
      </c>
      <c r="AK1261" s="6" t="s">
        <v>16687</v>
      </c>
      <c r="AL1261" s="6" t="s">
        <v>16931</v>
      </c>
      <c r="AM1261" s="6" t="s">
        <v>17829</v>
      </c>
      <c r="AN1261" s="6" t="s">
        <v>18463</v>
      </c>
      <c r="AO1261" s="6" t="s">
        <v>18809</v>
      </c>
      <c r="AP1261" s="6" t="s">
        <v>19279</v>
      </c>
      <c r="AQ1261" s="6" t="s">
        <v>104</v>
      </c>
      <c r="AR1261" s="6" t="s">
        <v>16173</v>
      </c>
      <c r="AS1261" s="6" t="s">
        <v>16687</v>
      </c>
      <c r="AT1261" s="6" t="s">
        <v>16931</v>
      </c>
      <c r="AU1261" s="6" t="s">
        <v>17829</v>
      </c>
      <c r="AV1261" s="6" t="s">
        <v>104</v>
      </c>
      <c r="AW1261" s="6" t="s">
        <v>104</v>
      </c>
      <c r="AX1261" s="6" t="s">
        <v>21096</v>
      </c>
      <c r="AY1261" s="6" t="s">
        <v>22895</v>
      </c>
      <c r="AZ1261" s="6" t="s">
        <v>24004</v>
      </c>
      <c r="BA1261" s="6" t="s">
        <v>104</v>
      </c>
      <c r="BB1261" s="6" t="s">
        <v>104</v>
      </c>
      <c r="BC1261" s="26"/>
      <c r="BD1261" s="26"/>
      <c r="BE1261" s="26" t="s">
        <v>24533</v>
      </c>
      <c r="BF1261" s="26"/>
      <c r="BG1261" s="26"/>
      <c r="BH1261" s="26"/>
      <c r="BI1261" s="26"/>
      <c r="BJ1261" s="26"/>
      <c r="BK1261" s="26"/>
      <c r="BL1261" s="26"/>
      <c r="BM1261" s="26"/>
      <c r="BN1261" s="26"/>
      <c r="BO1261" s="26"/>
      <c r="BP1261" s="16" t="n">
        <v>45712</v>
      </c>
      <c r="BQ1261" s="28" t="str">
        <f>HYPERLINK("https://organic.ams.usda.gov/Integrity/Certificate.aspx?cid=72&amp;nopid=5870000733")</f>
        <v>https://organic.ams.usda.gov/Integrity/Certificate.aspx?cid=72&amp;nopid=5870000733</v>
      </c>
    </row>
    <row r="1262">
      <c r="A1262" t="s">
        <v>3</v>
      </c>
      <c r="B1262" s="6" t="s">
        <v>31</v>
      </c>
      <c r="C1262" s="6" t="s">
        <v>97</v>
      </c>
      <c r="D1262" s="6" t="s">
        <v>162</v>
      </c>
      <c r="E1262" s="10" t="s">
        <v>1460</v>
      </c>
      <c r="F1262" s="6" t="s">
        <v>3703</v>
      </c>
      <c r="G1262" s="6" t="s">
        <v>104</v>
      </c>
      <c r="H1262" s="6" t="s">
        <v>6037</v>
      </c>
      <c r="I1262" s="6" t="s">
        <v>7681</v>
      </c>
      <c r="J1262" s="6" t="s">
        <v>9071</v>
      </c>
      <c r="K1262" s="6" t="s">
        <v>9714</v>
      </c>
      <c r="L1262" s="16" t="n">
        <v>44977</v>
      </c>
      <c r="M1262" s="16" t="n">
        <v>45341</v>
      </c>
      <c r="N1262" s="6" t="s">
        <v>104</v>
      </c>
      <c r="O1262" s="21" t="s">
        <v>104</v>
      </c>
      <c r="P1262" s="6" t="s">
        <v>104</v>
      </c>
      <c r="Q1262" s="6" t="s">
        <v>104</v>
      </c>
      <c r="R1262" s="6" t="s">
        <v>104</v>
      </c>
      <c r="S1262" s="6" t="s">
        <v>104</v>
      </c>
      <c r="T1262" s="21" t="s">
        <v>104</v>
      </c>
      <c r="U1262" s="6" t="s">
        <v>104</v>
      </c>
      <c r="V1262" s="6" t="s">
        <v>104</v>
      </c>
      <c r="W1262" s="6" t="s">
        <v>104</v>
      </c>
      <c r="X1262" s="6" t="s">
        <v>9714</v>
      </c>
      <c r="Y1262" s="16" t="n">
        <v>44977</v>
      </c>
      <c r="Z1262" s="6" t="s">
        <v>10523</v>
      </c>
      <c r="AA1262" s="6" t="s">
        <v>104</v>
      </c>
      <c r="AB1262" s="6" t="s">
        <v>10529</v>
      </c>
      <c r="AC1262" s="6" t="s">
        <v>9714</v>
      </c>
      <c r="AD1262" s="16" t="n">
        <v>44977</v>
      </c>
      <c r="AE1262" s="6" t="s">
        <v>11623</v>
      </c>
      <c r="AF1262" s="6" t="s">
        <v>104</v>
      </c>
      <c r="AG1262" s="6" t="s">
        <v>10529</v>
      </c>
      <c r="AH1262" s="6" t="s">
        <v>14306</v>
      </c>
      <c r="AI1262" s="6" t="s">
        <v>104</v>
      </c>
      <c r="AJ1262" s="6" t="s">
        <v>104</v>
      </c>
      <c r="AK1262" s="6" t="s">
        <v>16864</v>
      </c>
      <c r="AL1262" s="6" t="s">
        <v>16962</v>
      </c>
      <c r="AM1262" s="6" t="s">
        <v>104</v>
      </c>
      <c r="AN1262" s="6" t="s">
        <v>104</v>
      </c>
      <c r="AO1262" s="6" t="s">
        <v>104</v>
      </c>
      <c r="AP1262" s="6" t="s">
        <v>14306</v>
      </c>
      <c r="AQ1262" s="6" t="s">
        <v>104</v>
      </c>
      <c r="AR1262" s="6" t="s">
        <v>104</v>
      </c>
      <c r="AS1262" s="6" t="s">
        <v>16864</v>
      </c>
      <c r="AT1262" s="6" t="s">
        <v>16962</v>
      </c>
      <c r="AU1262" s="6" t="s">
        <v>104</v>
      </c>
      <c r="AV1262" s="6" t="s">
        <v>104</v>
      </c>
      <c r="AW1262" s="6" t="s">
        <v>104</v>
      </c>
      <c r="AX1262" s="6" t="s">
        <v>21097</v>
      </c>
      <c r="AY1262" s="6" t="s">
        <v>22896</v>
      </c>
      <c r="AZ1262" s="6" t="s">
        <v>104</v>
      </c>
      <c r="BA1262" s="6" t="s">
        <v>104</v>
      </c>
      <c r="BB1262" s="24" t="n">
        <v>2303</v>
      </c>
      <c r="BC1262" s="26"/>
      <c r="BD1262" s="26"/>
      <c r="BE1262" s="26"/>
      <c r="BF1262" s="26"/>
      <c r="BG1262" s="26"/>
      <c r="BH1262" s="26"/>
      <c r="BI1262" s="26"/>
      <c r="BJ1262" s="26"/>
      <c r="BK1262" s="26"/>
      <c r="BL1262" s="26"/>
      <c r="BM1262" s="26"/>
      <c r="BN1262" s="26"/>
      <c r="BO1262" s="26"/>
      <c r="BP1262" s="16" t="n">
        <v>45364</v>
      </c>
      <c r="BQ1262" s="28" t="str">
        <f>HYPERLINK("https://organic.ams.usda.gov/Integrity/Certificate.aspx?cid=43&amp;nopid=3539355238")</f>
        <v>https://organic.ams.usda.gov/Integrity/Certificate.aspx?cid=43&amp;nopid=3539355238</v>
      </c>
    </row>
    <row r="1263">
      <c r="A1263" t="s">
        <v>3</v>
      </c>
      <c r="B1263" s="6" t="s">
        <v>54</v>
      </c>
      <c r="C1263" s="6" t="s">
        <v>120</v>
      </c>
      <c r="D1263" s="6" t="s">
        <v>184</v>
      </c>
      <c r="E1263" s="10" t="s">
        <v>1461</v>
      </c>
      <c r="F1263" s="6" t="s">
        <v>3704</v>
      </c>
      <c r="G1263" s="6" t="s">
        <v>104</v>
      </c>
      <c r="H1263" s="6" t="s">
        <v>6038</v>
      </c>
      <c r="I1263" s="6" t="s">
        <v>7682</v>
      </c>
      <c r="J1263" s="6" t="s">
        <v>9072</v>
      </c>
      <c r="K1263" s="6" t="s">
        <v>9714</v>
      </c>
      <c r="L1263" s="16" t="n">
        <v>39645</v>
      </c>
      <c r="M1263" s="16" t="n">
        <v>45717</v>
      </c>
      <c r="N1263" s="6" t="s">
        <v>9714</v>
      </c>
      <c r="O1263" s="16" t="n">
        <v>39645</v>
      </c>
      <c r="P1263" s="6" t="s">
        <v>10083</v>
      </c>
      <c r="Q1263" s="6" t="s">
        <v>104</v>
      </c>
      <c r="R1263" s="6" t="s">
        <v>104</v>
      </c>
      <c r="S1263" s="6" t="s">
        <v>104</v>
      </c>
      <c r="T1263" s="21" t="s">
        <v>104</v>
      </c>
      <c r="U1263" s="6" t="s">
        <v>104</v>
      </c>
      <c r="V1263" s="6" t="s">
        <v>104</v>
      </c>
      <c r="W1263" s="6" t="s">
        <v>104</v>
      </c>
      <c r="X1263" s="6" t="s">
        <v>104</v>
      </c>
      <c r="Y1263" s="21" t="s">
        <v>104</v>
      </c>
      <c r="Z1263" s="6" t="s">
        <v>104</v>
      </c>
      <c r="AA1263" s="6" t="s">
        <v>104</v>
      </c>
      <c r="AB1263" s="6" t="s">
        <v>104</v>
      </c>
      <c r="AC1263" s="6" t="s">
        <v>104</v>
      </c>
      <c r="AD1263" s="21" t="s">
        <v>104</v>
      </c>
      <c r="AE1263" s="6" t="s">
        <v>104</v>
      </c>
      <c r="AF1263" s="6" t="s">
        <v>104</v>
      </c>
      <c r="AG1263" s="6" t="s">
        <v>104</v>
      </c>
      <c r="AH1263" s="6" t="s">
        <v>14307</v>
      </c>
      <c r="AI1263" s="6" t="s">
        <v>104</v>
      </c>
      <c r="AJ1263" s="6" t="s">
        <v>16174</v>
      </c>
      <c r="AK1263" s="6" t="s">
        <v>16704</v>
      </c>
      <c r="AL1263" s="6" t="s">
        <v>16931</v>
      </c>
      <c r="AM1263" s="6" t="s">
        <v>17830</v>
      </c>
      <c r="AN1263" s="6" t="s">
        <v>18474</v>
      </c>
      <c r="AO1263" s="6" t="s">
        <v>18815</v>
      </c>
      <c r="AP1263" s="6" t="s">
        <v>104</v>
      </c>
      <c r="AQ1263" s="6" t="s">
        <v>104</v>
      </c>
      <c r="AR1263" s="6" t="s">
        <v>104</v>
      </c>
      <c r="AS1263" s="6" t="s">
        <v>104</v>
      </c>
      <c r="AT1263" s="6" t="s">
        <v>104</v>
      </c>
      <c r="AU1263" s="6" t="s">
        <v>104</v>
      </c>
      <c r="AV1263" s="6" t="s">
        <v>104</v>
      </c>
      <c r="AW1263" s="6" t="s">
        <v>104</v>
      </c>
      <c r="AX1263" s="6" t="s">
        <v>104</v>
      </c>
      <c r="AY1263" s="6" t="s">
        <v>22897</v>
      </c>
      <c r="AZ1263" s="6" t="s">
        <v>104</v>
      </c>
      <c r="BA1263" s="6" t="s">
        <v>24323</v>
      </c>
      <c r="BB1263" s="24" t="n">
        <v>178</v>
      </c>
      <c r="BC1263" s="26"/>
      <c r="BD1263" s="26"/>
      <c r="BE1263" s="26"/>
      <c r="BF1263" s="26"/>
      <c r="BG1263" s="26"/>
      <c r="BH1263" s="26"/>
      <c r="BI1263" s="26"/>
      <c r="BJ1263" s="26"/>
      <c r="BK1263" s="26"/>
      <c r="BL1263" s="26"/>
      <c r="BM1263" s="26"/>
      <c r="BN1263" s="26"/>
      <c r="BO1263" s="26"/>
      <c r="BP1263" s="16" t="n">
        <v>45539</v>
      </c>
      <c r="BQ1263" s="28" t="str">
        <f>HYPERLINK("https://organic.ams.usda.gov/Integrity/Certificate.aspx?cid=60&amp;nopid=2580000475")</f>
        <v>https://organic.ams.usda.gov/Integrity/Certificate.aspx?cid=60&amp;nopid=2580000475</v>
      </c>
    </row>
    <row r="1264">
      <c r="A1264" t="s">
        <v>3</v>
      </c>
      <c r="B1264" s="6" t="s">
        <v>22</v>
      </c>
      <c r="C1264" s="6" t="s">
        <v>88</v>
      </c>
      <c r="D1264" s="6" t="s">
        <v>153</v>
      </c>
      <c r="E1264" s="10" t="s">
        <v>1462</v>
      </c>
      <c r="F1264" s="6" t="s">
        <v>3705</v>
      </c>
      <c r="G1264" s="6" t="s">
        <v>104</v>
      </c>
      <c r="H1264" s="6" t="s">
        <v>6039</v>
      </c>
      <c r="I1264" s="6" t="s">
        <v>7683</v>
      </c>
      <c r="J1264" s="6" t="s">
        <v>9073</v>
      </c>
      <c r="K1264" s="6" t="s">
        <v>9714</v>
      </c>
      <c r="L1264" s="16" t="n">
        <v>41611</v>
      </c>
      <c r="M1264" s="16" t="n">
        <v>45992</v>
      </c>
      <c r="N1264" s="6" t="s">
        <v>9714</v>
      </c>
      <c r="O1264" s="16" t="n">
        <v>41611</v>
      </c>
      <c r="P1264" s="6" t="s">
        <v>10084</v>
      </c>
      <c r="Q1264" s="6" t="s">
        <v>104</v>
      </c>
      <c r="R1264" s="6" t="s">
        <v>10393</v>
      </c>
      <c r="S1264" s="6" t="s">
        <v>104</v>
      </c>
      <c r="T1264" s="21" t="s">
        <v>104</v>
      </c>
      <c r="U1264" s="6" t="s">
        <v>104</v>
      </c>
      <c r="V1264" s="6" t="s">
        <v>104</v>
      </c>
      <c r="W1264" s="6" t="s">
        <v>104</v>
      </c>
      <c r="X1264" s="6" t="s">
        <v>104</v>
      </c>
      <c r="Y1264" s="21" t="s">
        <v>104</v>
      </c>
      <c r="Z1264" s="6" t="s">
        <v>104</v>
      </c>
      <c r="AA1264" s="6" t="s">
        <v>104</v>
      </c>
      <c r="AB1264" s="6" t="s">
        <v>104</v>
      </c>
      <c r="AC1264" s="6" t="s">
        <v>104</v>
      </c>
      <c r="AD1264" s="21" t="s">
        <v>104</v>
      </c>
      <c r="AE1264" s="6" t="s">
        <v>104</v>
      </c>
      <c r="AF1264" s="6" t="s">
        <v>104</v>
      </c>
      <c r="AG1264" s="6" t="s">
        <v>104</v>
      </c>
      <c r="AH1264" s="6" t="s">
        <v>14308</v>
      </c>
      <c r="AI1264" s="6" t="s">
        <v>104</v>
      </c>
      <c r="AJ1264" s="6" t="s">
        <v>15604</v>
      </c>
      <c r="AK1264" s="6" t="s">
        <v>16337</v>
      </c>
      <c r="AL1264" s="6" t="s">
        <v>16931</v>
      </c>
      <c r="AM1264" s="6" t="s">
        <v>17831</v>
      </c>
      <c r="AN1264" s="6" t="s">
        <v>18523</v>
      </c>
      <c r="AO1264" s="6" t="s">
        <v>18816</v>
      </c>
      <c r="AP1264" s="6" t="s">
        <v>14308</v>
      </c>
      <c r="AQ1264" s="6" t="s">
        <v>104</v>
      </c>
      <c r="AR1264" s="6" t="s">
        <v>15604</v>
      </c>
      <c r="AS1264" s="6" t="s">
        <v>16337</v>
      </c>
      <c r="AT1264" s="6" t="s">
        <v>16931</v>
      </c>
      <c r="AU1264" s="6" t="s">
        <v>17831</v>
      </c>
      <c r="AV1264" s="6" t="s">
        <v>104</v>
      </c>
      <c r="AW1264" s="6" t="s">
        <v>104</v>
      </c>
      <c r="AX1264" s="6" t="s">
        <v>21098</v>
      </c>
      <c r="AY1264" s="6" t="s">
        <v>22898</v>
      </c>
      <c r="AZ1264" s="6" t="s">
        <v>104</v>
      </c>
      <c r="BA1264" s="6" t="s">
        <v>104</v>
      </c>
      <c r="BB1264" s="24" t="n">
        <v>286</v>
      </c>
      <c r="BC1264" s="26"/>
      <c r="BD1264" s="26"/>
      <c r="BE1264" s="26"/>
      <c r="BF1264" s="26"/>
      <c r="BG1264" s="26"/>
      <c r="BH1264" s="26"/>
      <c r="BI1264" s="26"/>
      <c r="BJ1264" s="26"/>
      <c r="BK1264" s="26"/>
      <c r="BL1264" s="26"/>
      <c r="BM1264" s="26"/>
      <c r="BN1264" s="26"/>
      <c r="BO1264" s="26"/>
      <c r="BP1264" s="16" t="n">
        <v>45735</v>
      </c>
      <c r="BQ1264" s="28" t="str">
        <f>HYPERLINK("https://organic.ams.usda.gov/Integrity/Certificate.aspx?cid=72&amp;nopid=5870001725")</f>
        <v>https://organic.ams.usda.gov/Integrity/Certificate.aspx?cid=72&amp;nopid=5870001725</v>
      </c>
    </row>
    <row r="1265">
      <c r="A1265" t="s">
        <v>3</v>
      </c>
      <c r="B1265" s="6" t="s">
        <v>54</v>
      </c>
      <c r="C1265" s="6" t="s">
        <v>120</v>
      </c>
      <c r="D1265" s="6" t="s">
        <v>184</v>
      </c>
      <c r="E1265" s="10" t="s">
        <v>1463</v>
      </c>
      <c r="F1265" s="6" t="s">
        <v>3706</v>
      </c>
      <c r="G1265" s="6" t="s">
        <v>104</v>
      </c>
      <c r="H1265" s="6" t="s">
        <v>6040</v>
      </c>
      <c r="I1265" s="6" t="s">
        <v>7683</v>
      </c>
      <c r="J1265" s="6" t="s">
        <v>8561</v>
      </c>
      <c r="K1265" s="6" t="s">
        <v>9714</v>
      </c>
      <c r="L1265" s="16" t="n">
        <v>38714</v>
      </c>
      <c r="M1265" s="16" t="n">
        <v>45717</v>
      </c>
      <c r="N1265" s="6" t="s">
        <v>9714</v>
      </c>
      <c r="O1265" s="16" t="n">
        <v>38714</v>
      </c>
      <c r="P1265" s="6" t="s">
        <v>10085</v>
      </c>
      <c r="Q1265" s="6" t="s">
        <v>104</v>
      </c>
      <c r="R1265" s="6" t="s">
        <v>104</v>
      </c>
      <c r="S1265" s="6" t="s">
        <v>104</v>
      </c>
      <c r="T1265" s="21" t="s">
        <v>104</v>
      </c>
      <c r="U1265" s="6" t="s">
        <v>104</v>
      </c>
      <c r="V1265" s="6" t="s">
        <v>104</v>
      </c>
      <c r="W1265" s="6" t="s">
        <v>104</v>
      </c>
      <c r="X1265" s="6" t="s">
        <v>104</v>
      </c>
      <c r="Y1265" s="21" t="s">
        <v>104</v>
      </c>
      <c r="Z1265" s="6" t="s">
        <v>104</v>
      </c>
      <c r="AA1265" s="6" t="s">
        <v>104</v>
      </c>
      <c r="AB1265" s="6" t="s">
        <v>104</v>
      </c>
      <c r="AC1265" s="6" t="s">
        <v>104</v>
      </c>
      <c r="AD1265" s="21" t="s">
        <v>104</v>
      </c>
      <c r="AE1265" s="6" t="s">
        <v>104</v>
      </c>
      <c r="AF1265" s="6" t="s">
        <v>104</v>
      </c>
      <c r="AG1265" s="6" t="s">
        <v>104</v>
      </c>
      <c r="AH1265" s="6" t="s">
        <v>14309</v>
      </c>
      <c r="AI1265" s="6" t="s">
        <v>104</v>
      </c>
      <c r="AJ1265" s="6" t="s">
        <v>15497</v>
      </c>
      <c r="AK1265" s="6" t="s">
        <v>16694</v>
      </c>
      <c r="AL1265" s="6" t="s">
        <v>16931</v>
      </c>
      <c r="AM1265" s="6" t="s">
        <v>17832</v>
      </c>
      <c r="AN1265" s="6" t="s">
        <v>18453</v>
      </c>
      <c r="AO1265" s="6" t="s">
        <v>18817</v>
      </c>
      <c r="AP1265" s="6" t="s">
        <v>19280</v>
      </c>
      <c r="AQ1265" s="6" t="s">
        <v>104</v>
      </c>
      <c r="AR1265" s="6" t="s">
        <v>19708</v>
      </c>
      <c r="AS1265" s="6" t="s">
        <v>16694</v>
      </c>
      <c r="AT1265" s="6" t="s">
        <v>16931</v>
      </c>
      <c r="AU1265" s="6" t="s">
        <v>19956</v>
      </c>
      <c r="AV1265" s="6" t="s">
        <v>104</v>
      </c>
      <c r="AW1265" s="6" t="s">
        <v>104</v>
      </c>
      <c r="AX1265" s="6" t="s">
        <v>21099</v>
      </c>
      <c r="AY1265" s="6" t="s">
        <v>104</v>
      </c>
      <c r="AZ1265" s="6" t="s">
        <v>104</v>
      </c>
      <c r="BA1265" s="6" t="s">
        <v>104</v>
      </c>
      <c r="BB1265" s="24" t="n">
        <v>274</v>
      </c>
      <c r="BC1265" s="26"/>
      <c r="BD1265" s="26"/>
      <c r="BE1265" s="26"/>
      <c r="BF1265" s="26"/>
      <c r="BG1265" s="26"/>
      <c r="BH1265" s="26"/>
      <c r="BI1265" s="26"/>
      <c r="BJ1265" s="26"/>
      <c r="BK1265" s="26"/>
      <c r="BL1265" s="26"/>
      <c r="BM1265" s="26"/>
      <c r="BN1265" s="26"/>
      <c r="BO1265" s="26"/>
      <c r="BP1265" s="16" t="n">
        <v>45618</v>
      </c>
      <c r="BQ1265" s="28" t="str">
        <f>HYPERLINK("https://organic.ams.usda.gov/Integrity/Certificate.aspx?cid=60&amp;nopid=2580000233")</f>
        <v>https://organic.ams.usda.gov/Integrity/Certificate.aspx?cid=60&amp;nopid=2580000233</v>
      </c>
    </row>
    <row r="1266">
      <c r="A1266" t="s">
        <v>3</v>
      </c>
      <c r="B1266" s="6" t="s">
        <v>54</v>
      </c>
      <c r="C1266" s="6" t="s">
        <v>120</v>
      </c>
      <c r="D1266" s="6" t="s">
        <v>184</v>
      </c>
      <c r="E1266" s="10" t="s">
        <v>1464</v>
      </c>
      <c r="F1266" s="6" t="s">
        <v>3707</v>
      </c>
      <c r="G1266" s="6" t="s">
        <v>104</v>
      </c>
      <c r="H1266" s="6" t="s">
        <v>6041</v>
      </c>
      <c r="I1266" s="6" t="s">
        <v>7684</v>
      </c>
      <c r="J1266" s="6" t="s">
        <v>9074</v>
      </c>
      <c r="K1266" s="6" t="s">
        <v>9714</v>
      </c>
      <c r="L1266" s="16" t="n">
        <v>45642</v>
      </c>
      <c r="M1266" s="16" t="n">
        <v>45352</v>
      </c>
      <c r="N1266" s="6" t="s">
        <v>9714</v>
      </c>
      <c r="O1266" s="16" t="n">
        <v>45642</v>
      </c>
      <c r="P1266" s="6" t="s">
        <v>10015</v>
      </c>
      <c r="Q1266" s="6" t="s">
        <v>104</v>
      </c>
      <c r="R1266" s="6" t="s">
        <v>104</v>
      </c>
      <c r="S1266" s="6" t="s">
        <v>104</v>
      </c>
      <c r="T1266" s="21" t="s">
        <v>104</v>
      </c>
      <c r="U1266" s="6" t="s">
        <v>104</v>
      </c>
      <c r="V1266" s="6" t="s">
        <v>104</v>
      </c>
      <c r="W1266" s="6" t="s">
        <v>104</v>
      </c>
      <c r="X1266" s="6" t="s">
        <v>104</v>
      </c>
      <c r="Y1266" s="21" t="s">
        <v>104</v>
      </c>
      <c r="Z1266" s="6" t="s">
        <v>104</v>
      </c>
      <c r="AA1266" s="6" t="s">
        <v>104</v>
      </c>
      <c r="AB1266" s="6" t="s">
        <v>104</v>
      </c>
      <c r="AC1266" s="6" t="s">
        <v>104</v>
      </c>
      <c r="AD1266" s="21" t="s">
        <v>104</v>
      </c>
      <c r="AE1266" s="6" t="s">
        <v>104</v>
      </c>
      <c r="AF1266" s="6" t="s">
        <v>104</v>
      </c>
      <c r="AG1266" s="6" t="s">
        <v>104</v>
      </c>
      <c r="AH1266" s="6" t="s">
        <v>14310</v>
      </c>
      <c r="AI1266" s="6" t="s">
        <v>104</v>
      </c>
      <c r="AJ1266" s="6" t="s">
        <v>16175</v>
      </c>
      <c r="AK1266" s="6" t="s">
        <v>16681</v>
      </c>
      <c r="AL1266" s="6" t="s">
        <v>16931</v>
      </c>
      <c r="AM1266" s="6" t="s">
        <v>17833</v>
      </c>
      <c r="AN1266" s="6" t="s">
        <v>104</v>
      </c>
      <c r="AO1266" s="6" t="s">
        <v>104</v>
      </c>
      <c r="AP1266" s="6" t="s">
        <v>19281</v>
      </c>
      <c r="AQ1266" s="6" t="s">
        <v>104</v>
      </c>
      <c r="AR1266" s="6" t="s">
        <v>19709</v>
      </c>
      <c r="AS1266" s="6" t="s">
        <v>16681</v>
      </c>
      <c r="AT1266" s="6" t="s">
        <v>16931</v>
      </c>
      <c r="AU1266" s="6" t="s">
        <v>19957</v>
      </c>
      <c r="AV1266" s="6" t="s">
        <v>104</v>
      </c>
      <c r="AW1266" s="6" t="s">
        <v>104</v>
      </c>
      <c r="AX1266" s="6" t="s">
        <v>104</v>
      </c>
      <c r="AY1266" s="6" t="s">
        <v>22899</v>
      </c>
      <c r="AZ1266" s="6" t="s">
        <v>104</v>
      </c>
      <c r="BA1266" s="6" t="s">
        <v>24267</v>
      </c>
      <c r="BB1266" s="24" t="n">
        <v>332</v>
      </c>
      <c r="BC1266" s="26"/>
      <c r="BD1266" s="26"/>
      <c r="BE1266" s="26"/>
      <c r="BF1266" s="26"/>
      <c r="BG1266" s="26"/>
      <c r="BH1266" s="26"/>
      <c r="BI1266" s="26"/>
      <c r="BJ1266" s="26"/>
      <c r="BK1266" s="26"/>
      <c r="BL1266" s="26"/>
      <c r="BM1266" s="26"/>
      <c r="BN1266" s="26"/>
      <c r="BO1266" s="26"/>
      <c r="BP1266" s="16" t="n">
        <v>45644</v>
      </c>
      <c r="BQ1266" s="28" t="str">
        <f>HYPERLINK("https://organic.ams.usda.gov/Integrity/Certificate.aspx?cid=60&amp;nopid=2580006826")</f>
        <v>https://organic.ams.usda.gov/Integrity/Certificate.aspx?cid=60&amp;nopid=2580006826</v>
      </c>
    </row>
    <row r="1267">
      <c r="A1267" t="s">
        <v>3</v>
      </c>
      <c r="B1267" s="6" t="s">
        <v>34</v>
      </c>
      <c r="C1267" s="6" t="s">
        <v>100</v>
      </c>
      <c r="D1267" s="6" t="s">
        <v>165</v>
      </c>
      <c r="E1267" s="10" t="s">
        <v>1465</v>
      </c>
      <c r="F1267" s="6" t="s">
        <v>3708</v>
      </c>
      <c r="G1267" s="6" t="s">
        <v>104</v>
      </c>
      <c r="H1267" s="6" t="s">
        <v>6042</v>
      </c>
      <c r="I1267" s="6" t="s">
        <v>7434</v>
      </c>
      <c r="J1267" s="6" t="s">
        <v>8901</v>
      </c>
      <c r="K1267" s="6" t="s">
        <v>9714</v>
      </c>
      <c r="L1267" s="16" t="n">
        <v>37375</v>
      </c>
      <c r="M1267" s="16" t="n">
        <v>45875</v>
      </c>
      <c r="N1267" s="6" t="s">
        <v>104</v>
      </c>
      <c r="O1267" s="21" t="s">
        <v>104</v>
      </c>
      <c r="P1267" s="6" t="s">
        <v>104</v>
      </c>
      <c r="Q1267" s="6" t="s">
        <v>104</v>
      </c>
      <c r="R1267" s="6" t="s">
        <v>104</v>
      </c>
      <c r="S1267" s="6" t="s">
        <v>104</v>
      </c>
      <c r="T1267" s="21" t="s">
        <v>104</v>
      </c>
      <c r="U1267" s="6" t="s">
        <v>104</v>
      </c>
      <c r="V1267" s="6" t="s">
        <v>104</v>
      </c>
      <c r="W1267" s="6" t="s">
        <v>104</v>
      </c>
      <c r="X1267" s="6" t="s">
        <v>104</v>
      </c>
      <c r="Y1267" s="21" t="s">
        <v>104</v>
      </c>
      <c r="Z1267" s="6" t="s">
        <v>104</v>
      </c>
      <c r="AA1267" s="6" t="s">
        <v>104</v>
      </c>
      <c r="AB1267" s="6" t="s">
        <v>104</v>
      </c>
      <c r="AC1267" s="6" t="s">
        <v>9714</v>
      </c>
      <c r="AD1267" s="16" t="n">
        <v>37375</v>
      </c>
      <c r="AE1267" s="6" t="s">
        <v>11624</v>
      </c>
      <c r="AF1267" s="6" t="s">
        <v>104</v>
      </c>
      <c r="AG1267" s="6" t="s">
        <v>12879</v>
      </c>
      <c r="AH1267" s="6" t="s">
        <v>14311</v>
      </c>
      <c r="AI1267" s="6" t="s">
        <v>104</v>
      </c>
      <c r="AJ1267" s="6" t="s">
        <v>15621</v>
      </c>
      <c r="AK1267" s="6" t="s">
        <v>16710</v>
      </c>
      <c r="AL1267" s="6" t="s">
        <v>16931</v>
      </c>
      <c r="AM1267" s="6" t="s">
        <v>17834</v>
      </c>
      <c r="AN1267" s="6" t="s">
        <v>18468</v>
      </c>
      <c r="AO1267" s="6" t="s">
        <v>18575</v>
      </c>
      <c r="AP1267" s="6" t="s">
        <v>19282</v>
      </c>
      <c r="AQ1267" s="6" t="s">
        <v>104</v>
      </c>
      <c r="AR1267" s="6" t="s">
        <v>15621</v>
      </c>
      <c r="AS1267" s="6" t="s">
        <v>16710</v>
      </c>
      <c r="AT1267" s="6" t="s">
        <v>16931</v>
      </c>
      <c r="AU1267" s="6" t="s">
        <v>19958</v>
      </c>
      <c r="AV1267" s="6" t="s">
        <v>104</v>
      </c>
      <c r="AW1267" s="6" t="s">
        <v>104</v>
      </c>
      <c r="AX1267" s="6" t="s">
        <v>21100</v>
      </c>
      <c r="AY1267" s="6" t="s">
        <v>22900</v>
      </c>
      <c r="AZ1267" s="6" t="s">
        <v>104</v>
      </c>
      <c r="BA1267" s="6" t="s">
        <v>104</v>
      </c>
      <c r="BB1267" s="6" t="s">
        <v>104</v>
      </c>
      <c r="BC1267" s="26"/>
      <c r="BD1267" s="26"/>
      <c r="BE1267" s="26"/>
      <c r="BF1267" s="26"/>
      <c r="BG1267" s="26"/>
      <c r="BH1267" s="26" t="s">
        <v>24533</v>
      </c>
      <c r="BI1267" s="26"/>
      <c r="BJ1267" s="26"/>
      <c r="BK1267" s="26"/>
      <c r="BL1267" s="26"/>
      <c r="BM1267" s="26"/>
      <c r="BN1267" s="26"/>
      <c r="BO1267" s="26"/>
      <c r="BP1267" s="16" t="n">
        <v>45737</v>
      </c>
      <c r="BQ1267" s="28" t="str">
        <f>HYPERLINK("https://organic.ams.usda.gov/Integrity/Certificate.aspx?cid=71&amp;nopid=5520031638")</f>
        <v>https://organic.ams.usda.gov/Integrity/Certificate.aspx?cid=71&amp;nopid=5520031638</v>
      </c>
    </row>
    <row r="1268">
      <c r="A1268" t="s">
        <v>3</v>
      </c>
      <c r="B1268" s="6" t="s">
        <v>66</v>
      </c>
      <c r="C1268" s="6" t="s">
        <v>132</v>
      </c>
      <c r="D1268" s="6" t="s">
        <v>196</v>
      </c>
      <c r="E1268" s="10" t="s">
        <v>1466</v>
      </c>
      <c r="F1268" s="6" t="s">
        <v>3709</v>
      </c>
      <c r="G1268" s="6" t="s">
        <v>104</v>
      </c>
      <c r="H1268" s="6" t="s">
        <v>6043</v>
      </c>
      <c r="I1268" s="6" t="s">
        <v>7685</v>
      </c>
      <c r="J1268" s="6" t="s">
        <v>9075</v>
      </c>
      <c r="K1268" s="6" t="s">
        <v>9714</v>
      </c>
      <c r="L1268" s="16" t="n">
        <v>45328</v>
      </c>
      <c r="M1268" s="16" t="n">
        <v>45717</v>
      </c>
      <c r="N1268" s="6" t="s">
        <v>104</v>
      </c>
      <c r="O1268" s="21" t="s">
        <v>104</v>
      </c>
      <c r="P1268" s="6" t="s">
        <v>104</v>
      </c>
      <c r="Q1268" s="6" t="s">
        <v>104</v>
      </c>
      <c r="R1268" s="6" t="s">
        <v>104</v>
      </c>
      <c r="S1268" s="6" t="s">
        <v>104</v>
      </c>
      <c r="T1268" s="21" t="s">
        <v>104</v>
      </c>
      <c r="U1268" s="6" t="s">
        <v>104</v>
      </c>
      <c r="V1268" s="6" t="s">
        <v>104</v>
      </c>
      <c r="W1268" s="6" t="s">
        <v>104</v>
      </c>
      <c r="X1268" s="6" t="s">
        <v>104</v>
      </c>
      <c r="Y1268" s="21" t="s">
        <v>104</v>
      </c>
      <c r="Z1268" s="6" t="s">
        <v>104</v>
      </c>
      <c r="AA1268" s="6" t="s">
        <v>104</v>
      </c>
      <c r="AB1268" s="6" t="s">
        <v>104</v>
      </c>
      <c r="AC1268" s="6" t="s">
        <v>9714</v>
      </c>
      <c r="AD1268" s="16" t="n">
        <v>45328</v>
      </c>
      <c r="AE1268" s="6" t="s">
        <v>11625</v>
      </c>
      <c r="AF1268" s="6" t="s">
        <v>104</v>
      </c>
      <c r="AG1268" s="6" t="s">
        <v>6043</v>
      </c>
      <c r="AH1268" s="6" t="s">
        <v>14312</v>
      </c>
      <c r="AI1268" s="6" t="s">
        <v>104</v>
      </c>
      <c r="AJ1268" s="6" t="s">
        <v>16176</v>
      </c>
      <c r="AK1268" s="6" t="s">
        <v>16759</v>
      </c>
      <c r="AL1268" s="6" t="s">
        <v>16931</v>
      </c>
      <c r="AM1268" s="6" t="s">
        <v>17835</v>
      </c>
      <c r="AN1268" s="6" t="s">
        <v>104</v>
      </c>
      <c r="AO1268" s="6" t="s">
        <v>104</v>
      </c>
      <c r="AP1268" s="6" t="s">
        <v>104</v>
      </c>
      <c r="AQ1268" s="6" t="s">
        <v>104</v>
      </c>
      <c r="AR1268" s="6" t="s">
        <v>104</v>
      </c>
      <c r="AS1268" s="6" t="s">
        <v>104</v>
      </c>
      <c r="AT1268" s="6" t="s">
        <v>104</v>
      </c>
      <c r="AU1268" s="6" t="s">
        <v>104</v>
      </c>
      <c r="AV1268" s="6" t="s">
        <v>104</v>
      </c>
      <c r="AW1268" s="6" t="s">
        <v>104</v>
      </c>
      <c r="AX1268" s="6" t="s">
        <v>21101</v>
      </c>
      <c r="AY1268" s="6" t="s">
        <v>22901</v>
      </c>
      <c r="AZ1268" s="6" t="s">
        <v>24005</v>
      </c>
      <c r="BA1268" s="6" t="s">
        <v>104</v>
      </c>
      <c r="BB1268" s="6" t="s">
        <v>104</v>
      </c>
      <c r="BC1268" s="26"/>
      <c r="BD1268" s="26"/>
      <c r="BE1268" s="26"/>
      <c r="BF1268" s="26"/>
      <c r="BG1268" s="26"/>
      <c r="BH1268" s="26"/>
      <c r="BI1268" s="26"/>
      <c r="BJ1268" s="26"/>
      <c r="BK1268" s="26"/>
      <c r="BL1268" s="26"/>
      <c r="BM1268" s="26"/>
      <c r="BN1268" s="26"/>
      <c r="BO1268" s="26"/>
      <c r="BP1268" s="16" t="n">
        <v>45639</v>
      </c>
      <c r="BQ1268" s="28" t="str">
        <f>HYPERLINK("https://organic.ams.usda.gov/Integrity/Certificate.aspx?cid=22&amp;nopid=6830024001")</f>
        <v>https://organic.ams.usda.gov/Integrity/Certificate.aspx?cid=22&amp;nopid=6830024001</v>
      </c>
    </row>
    <row r="1269">
      <c r="A1269" t="s">
        <v>3</v>
      </c>
      <c r="B1269" s="6" t="s">
        <v>21</v>
      </c>
      <c r="C1269" s="6" t="s">
        <v>87</v>
      </c>
      <c r="D1269" s="6" t="s">
        <v>152</v>
      </c>
      <c r="E1269" s="10" t="s">
        <v>1467</v>
      </c>
      <c r="F1269" s="6" t="s">
        <v>3710</v>
      </c>
      <c r="G1269" s="6" t="s">
        <v>4789</v>
      </c>
      <c r="H1269" s="6" t="s">
        <v>6044</v>
      </c>
      <c r="I1269" s="6" t="s">
        <v>7592</v>
      </c>
      <c r="J1269" s="6" t="s">
        <v>7686</v>
      </c>
      <c r="K1269" s="6" t="s">
        <v>9714</v>
      </c>
      <c r="L1269" s="16" t="n">
        <v>45504</v>
      </c>
      <c r="M1269" s="16" t="n">
        <v>46023</v>
      </c>
      <c r="N1269" s="6" t="s">
        <v>104</v>
      </c>
      <c r="O1269" s="21" t="s">
        <v>104</v>
      </c>
      <c r="P1269" s="6" t="s">
        <v>104</v>
      </c>
      <c r="Q1269" s="6" t="s">
        <v>104</v>
      </c>
      <c r="R1269" s="6" t="s">
        <v>104</v>
      </c>
      <c r="S1269" s="6" t="s">
        <v>104</v>
      </c>
      <c r="T1269" s="21" t="s">
        <v>104</v>
      </c>
      <c r="U1269" s="6" t="s">
        <v>104</v>
      </c>
      <c r="V1269" s="6" t="s">
        <v>104</v>
      </c>
      <c r="W1269" s="6" t="s">
        <v>104</v>
      </c>
      <c r="X1269" s="6" t="s">
        <v>104</v>
      </c>
      <c r="Y1269" s="21" t="s">
        <v>104</v>
      </c>
      <c r="Z1269" s="6" t="s">
        <v>104</v>
      </c>
      <c r="AA1269" s="6" t="s">
        <v>104</v>
      </c>
      <c r="AB1269" s="6" t="s">
        <v>104</v>
      </c>
      <c r="AC1269" s="6" t="s">
        <v>9714</v>
      </c>
      <c r="AD1269" s="16" t="n">
        <v>45504</v>
      </c>
      <c r="AE1269" s="6" t="s">
        <v>11626</v>
      </c>
      <c r="AF1269" s="6" t="s">
        <v>104</v>
      </c>
      <c r="AG1269" s="6" t="s">
        <v>104</v>
      </c>
      <c r="AH1269" s="6" t="s">
        <v>14313</v>
      </c>
      <c r="AI1269" s="6" t="s">
        <v>15300</v>
      </c>
      <c r="AJ1269" s="6" t="s">
        <v>16177</v>
      </c>
      <c r="AK1269" s="6" t="s">
        <v>16382</v>
      </c>
      <c r="AL1269" s="6" t="s">
        <v>16931</v>
      </c>
      <c r="AM1269" s="6" t="s">
        <v>17836</v>
      </c>
      <c r="AN1269" s="6" t="s">
        <v>104</v>
      </c>
      <c r="AO1269" s="6" t="s">
        <v>104</v>
      </c>
      <c r="AP1269" s="6" t="s">
        <v>19283</v>
      </c>
      <c r="AQ1269" s="6" t="s">
        <v>104</v>
      </c>
      <c r="AR1269" s="6" t="s">
        <v>16177</v>
      </c>
      <c r="AS1269" s="6" t="s">
        <v>16382</v>
      </c>
      <c r="AT1269" s="6" t="s">
        <v>16931</v>
      </c>
      <c r="AU1269" s="6" t="s">
        <v>19959</v>
      </c>
      <c r="AV1269" s="6" t="s">
        <v>104</v>
      </c>
      <c r="AW1269" s="6" t="s">
        <v>104</v>
      </c>
      <c r="AX1269" s="6" t="s">
        <v>21102</v>
      </c>
      <c r="AY1269" s="6" t="s">
        <v>22902</v>
      </c>
      <c r="AZ1269" s="6" t="s">
        <v>24006</v>
      </c>
      <c r="BA1269" s="6" t="s">
        <v>24263</v>
      </c>
      <c r="BB1269" s="6" t="s">
        <v>104</v>
      </c>
      <c r="BC1269" s="26" t="s">
        <v>24533</v>
      </c>
      <c r="BD1269" s="26"/>
      <c r="BE1269" s="26"/>
      <c r="BF1269" s="26"/>
      <c r="BG1269" s="26"/>
      <c r="BH1269" s="26"/>
      <c r="BI1269" s="26"/>
      <c r="BJ1269" s="26"/>
      <c r="BK1269" s="26"/>
      <c r="BL1269" s="26"/>
      <c r="BM1269" s="26"/>
      <c r="BN1269" s="26"/>
      <c r="BO1269" s="26"/>
      <c r="BP1269" s="16" t="n">
        <v>45727</v>
      </c>
      <c r="BQ1269" s="28" t="str">
        <f>HYPERLINK("https://organic.ams.usda.gov/Integrity/Certificate.aspx?cid=15&amp;nopid=5561008428")</f>
        <v>https://organic.ams.usda.gov/Integrity/Certificate.aspx?cid=15&amp;nopid=5561008428</v>
      </c>
    </row>
    <row r="1270">
      <c r="A1270" t="s">
        <v>3</v>
      </c>
      <c r="B1270" s="6" t="s">
        <v>54</v>
      </c>
      <c r="C1270" s="6" t="s">
        <v>120</v>
      </c>
      <c r="D1270" s="6" t="s">
        <v>184</v>
      </c>
      <c r="E1270" s="10" t="s">
        <v>1468</v>
      </c>
      <c r="F1270" s="6" t="s">
        <v>3711</v>
      </c>
      <c r="G1270" s="6" t="s">
        <v>4790</v>
      </c>
      <c r="H1270" s="6" t="s">
        <v>6045</v>
      </c>
      <c r="I1270" s="6" t="s">
        <v>7686</v>
      </c>
      <c r="J1270" s="6" t="s">
        <v>9076</v>
      </c>
      <c r="K1270" s="6" t="s">
        <v>9714</v>
      </c>
      <c r="L1270" s="16" t="n">
        <v>39052</v>
      </c>
      <c r="M1270" s="16" t="n">
        <v>45717</v>
      </c>
      <c r="N1270" s="6" t="s">
        <v>9714</v>
      </c>
      <c r="O1270" s="16" t="n">
        <v>39052</v>
      </c>
      <c r="P1270" s="6" t="s">
        <v>10086</v>
      </c>
      <c r="Q1270" s="6" t="s">
        <v>104</v>
      </c>
      <c r="R1270" s="6" t="s">
        <v>104</v>
      </c>
      <c r="S1270" s="6" t="s">
        <v>104</v>
      </c>
      <c r="T1270" s="21" t="s">
        <v>104</v>
      </c>
      <c r="U1270" s="6" t="s">
        <v>104</v>
      </c>
      <c r="V1270" s="6" t="s">
        <v>104</v>
      </c>
      <c r="W1270" s="6" t="s">
        <v>104</v>
      </c>
      <c r="X1270" s="6" t="s">
        <v>104</v>
      </c>
      <c r="Y1270" s="21" t="s">
        <v>104</v>
      </c>
      <c r="Z1270" s="6" t="s">
        <v>104</v>
      </c>
      <c r="AA1270" s="6" t="s">
        <v>104</v>
      </c>
      <c r="AB1270" s="6" t="s">
        <v>104</v>
      </c>
      <c r="AC1270" s="6" t="s">
        <v>104</v>
      </c>
      <c r="AD1270" s="21" t="s">
        <v>104</v>
      </c>
      <c r="AE1270" s="6" t="s">
        <v>104</v>
      </c>
      <c r="AF1270" s="6" t="s">
        <v>104</v>
      </c>
      <c r="AG1270" s="6" t="s">
        <v>104</v>
      </c>
      <c r="AH1270" s="6" t="s">
        <v>14314</v>
      </c>
      <c r="AI1270" s="6" t="s">
        <v>104</v>
      </c>
      <c r="AJ1270" s="6" t="s">
        <v>15548</v>
      </c>
      <c r="AK1270" s="6" t="s">
        <v>16743</v>
      </c>
      <c r="AL1270" s="6" t="s">
        <v>16931</v>
      </c>
      <c r="AM1270" s="6" t="s">
        <v>17837</v>
      </c>
      <c r="AN1270" s="6" t="s">
        <v>18456</v>
      </c>
      <c r="AO1270" s="6" t="s">
        <v>18818</v>
      </c>
      <c r="AP1270" s="6" t="s">
        <v>104</v>
      </c>
      <c r="AQ1270" s="6" t="s">
        <v>104</v>
      </c>
      <c r="AR1270" s="6" t="s">
        <v>104</v>
      </c>
      <c r="AS1270" s="6" t="s">
        <v>104</v>
      </c>
      <c r="AT1270" s="6" t="s">
        <v>104</v>
      </c>
      <c r="AU1270" s="6" t="s">
        <v>104</v>
      </c>
      <c r="AV1270" s="6" t="s">
        <v>104</v>
      </c>
      <c r="AW1270" s="6" t="s">
        <v>104</v>
      </c>
      <c r="AX1270" s="6" t="s">
        <v>21103</v>
      </c>
      <c r="AY1270" s="6" t="s">
        <v>22903</v>
      </c>
      <c r="AZ1270" s="6" t="s">
        <v>104</v>
      </c>
      <c r="BA1270" s="6" t="s">
        <v>24267</v>
      </c>
      <c r="BB1270" s="24" t="n">
        <v>466</v>
      </c>
      <c r="BC1270" s="26"/>
      <c r="BD1270" s="26"/>
      <c r="BE1270" s="26"/>
      <c r="BF1270" s="26"/>
      <c r="BG1270" s="26"/>
      <c r="BH1270" s="26"/>
      <c r="BI1270" s="26"/>
      <c r="BJ1270" s="26"/>
      <c r="BK1270" s="26"/>
      <c r="BL1270" s="26"/>
      <c r="BM1270" s="26"/>
      <c r="BN1270" s="26"/>
      <c r="BO1270" s="26"/>
      <c r="BP1270" s="16" t="n">
        <v>45721</v>
      </c>
      <c r="BQ1270" s="28" t="str">
        <f>HYPERLINK("https://organic.ams.usda.gov/Integrity/Certificate.aspx?cid=60&amp;nopid=2580000274")</f>
        <v>https://organic.ams.usda.gov/Integrity/Certificate.aspx?cid=60&amp;nopid=2580000274</v>
      </c>
    </row>
    <row r="1271">
      <c r="A1271" t="s">
        <v>3</v>
      </c>
      <c r="B1271" s="6" t="s">
        <v>45</v>
      </c>
      <c r="C1271" s="6" t="s">
        <v>111</v>
      </c>
      <c r="D1271" s="6" t="s">
        <v>175</v>
      </c>
      <c r="E1271" s="10" t="s">
        <v>1469</v>
      </c>
      <c r="F1271" s="6" t="s">
        <v>3712</v>
      </c>
      <c r="G1271" s="6" t="s">
        <v>104</v>
      </c>
      <c r="H1271" s="6" t="s">
        <v>6046</v>
      </c>
      <c r="I1271" s="6" t="s">
        <v>7041</v>
      </c>
      <c r="J1271" s="6" t="s">
        <v>9077</v>
      </c>
      <c r="K1271" s="6" t="s">
        <v>9714</v>
      </c>
      <c r="L1271" s="16" t="n">
        <v>40963</v>
      </c>
      <c r="M1271" s="16" t="n">
        <v>46082</v>
      </c>
      <c r="N1271" s="6" t="s">
        <v>104</v>
      </c>
      <c r="O1271" s="21" t="s">
        <v>104</v>
      </c>
      <c r="P1271" s="6" t="s">
        <v>104</v>
      </c>
      <c r="Q1271" s="6" t="s">
        <v>104</v>
      </c>
      <c r="R1271" s="6" t="s">
        <v>104</v>
      </c>
      <c r="S1271" s="6" t="s">
        <v>104</v>
      </c>
      <c r="T1271" s="21" t="s">
        <v>104</v>
      </c>
      <c r="U1271" s="6" t="s">
        <v>104</v>
      </c>
      <c r="V1271" s="6" t="s">
        <v>104</v>
      </c>
      <c r="W1271" s="6" t="s">
        <v>104</v>
      </c>
      <c r="X1271" s="6" t="s">
        <v>104</v>
      </c>
      <c r="Y1271" s="21" t="s">
        <v>104</v>
      </c>
      <c r="Z1271" s="6" t="s">
        <v>104</v>
      </c>
      <c r="AA1271" s="6" t="s">
        <v>104</v>
      </c>
      <c r="AB1271" s="6" t="s">
        <v>104</v>
      </c>
      <c r="AC1271" s="6" t="s">
        <v>9714</v>
      </c>
      <c r="AD1271" s="16" t="n">
        <v>40963</v>
      </c>
      <c r="AE1271" s="6" t="s">
        <v>11627</v>
      </c>
      <c r="AF1271" s="6" t="s">
        <v>104</v>
      </c>
      <c r="AG1271" s="6" t="s">
        <v>4667</v>
      </c>
      <c r="AH1271" s="6" t="s">
        <v>14315</v>
      </c>
      <c r="AI1271" s="6" t="s">
        <v>104</v>
      </c>
      <c r="AJ1271" s="6" t="s">
        <v>16178</v>
      </c>
      <c r="AK1271" s="6" t="s">
        <v>16382</v>
      </c>
      <c r="AL1271" s="6" t="s">
        <v>16931</v>
      </c>
      <c r="AM1271" s="6" t="s">
        <v>17838</v>
      </c>
      <c r="AN1271" s="6" t="s">
        <v>104</v>
      </c>
      <c r="AO1271" s="6" t="s">
        <v>104</v>
      </c>
      <c r="AP1271" s="6" t="s">
        <v>19284</v>
      </c>
      <c r="AQ1271" s="6" t="s">
        <v>104</v>
      </c>
      <c r="AR1271" s="6" t="s">
        <v>16178</v>
      </c>
      <c r="AS1271" s="6" t="s">
        <v>16382</v>
      </c>
      <c r="AT1271" s="6" t="s">
        <v>16931</v>
      </c>
      <c r="AU1271" s="6" t="s">
        <v>17838</v>
      </c>
      <c r="AV1271" s="6" t="s">
        <v>18503</v>
      </c>
      <c r="AW1271" s="6" t="s">
        <v>18837</v>
      </c>
      <c r="AX1271" s="6" t="s">
        <v>21104</v>
      </c>
      <c r="AY1271" s="6" t="s">
        <v>22904</v>
      </c>
      <c r="AZ1271" s="6" t="s">
        <v>104</v>
      </c>
      <c r="BA1271" s="6" t="s">
        <v>104</v>
      </c>
      <c r="BB1271" s="6" t="s">
        <v>104</v>
      </c>
      <c r="BC1271" s="26"/>
      <c r="BD1271" s="26"/>
      <c r="BE1271" s="26"/>
      <c r="BF1271" s="26"/>
      <c r="BG1271" s="26"/>
      <c r="BH1271" s="26"/>
      <c r="BI1271" s="26"/>
      <c r="BJ1271" s="26"/>
      <c r="BK1271" s="26"/>
      <c r="BL1271" s="26"/>
      <c r="BM1271" s="26"/>
      <c r="BN1271" s="26" t="s">
        <v>24533</v>
      </c>
      <c r="BO1271" s="26"/>
      <c r="BP1271" s="16" t="n">
        <v>45739</v>
      </c>
      <c r="BQ1271" s="28" t="str">
        <f>HYPERLINK("https://organic.ams.usda.gov/Integrity/Certificate.aspx?cid=82&amp;nopid=2780002491")</f>
        <v>https://organic.ams.usda.gov/Integrity/Certificate.aspx?cid=82&amp;nopid=2780002491</v>
      </c>
    </row>
    <row r="1272">
      <c r="A1272" t="s">
        <v>3</v>
      </c>
      <c r="B1272" s="6" t="s">
        <v>26</v>
      </c>
      <c r="C1272" s="6" t="s">
        <v>92</v>
      </c>
      <c r="D1272" s="6" t="s">
        <v>157</v>
      </c>
      <c r="E1272" s="10" t="s">
        <v>1470</v>
      </c>
      <c r="F1272" s="6" t="s">
        <v>3713</v>
      </c>
      <c r="G1272" s="6" t="s">
        <v>104</v>
      </c>
      <c r="H1272" s="6" t="s">
        <v>6047</v>
      </c>
      <c r="I1272" s="6" t="s">
        <v>7687</v>
      </c>
      <c r="J1272" s="6" t="s">
        <v>9078</v>
      </c>
      <c r="K1272" s="6" t="s">
        <v>9714</v>
      </c>
      <c r="L1272" s="16" t="n">
        <v>45530</v>
      </c>
      <c r="M1272" s="16" t="n">
        <v>45823</v>
      </c>
      <c r="N1272" s="6" t="s">
        <v>104</v>
      </c>
      <c r="O1272" s="21" t="s">
        <v>104</v>
      </c>
      <c r="P1272" s="6" t="s">
        <v>104</v>
      </c>
      <c r="Q1272" s="6" t="s">
        <v>104</v>
      </c>
      <c r="R1272" s="6" t="s">
        <v>104</v>
      </c>
      <c r="S1272" s="6" t="s">
        <v>104</v>
      </c>
      <c r="T1272" s="21" t="s">
        <v>104</v>
      </c>
      <c r="U1272" s="6" t="s">
        <v>104</v>
      </c>
      <c r="V1272" s="6" t="s">
        <v>104</v>
      </c>
      <c r="W1272" s="6" t="s">
        <v>104</v>
      </c>
      <c r="X1272" s="6" t="s">
        <v>104</v>
      </c>
      <c r="Y1272" s="21" t="s">
        <v>104</v>
      </c>
      <c r="Z1272" s="6" t="s">
        <v>104</v>
      </c>
      <c r="AA1272" s="6" t="s">
        <v>104</v>
      </c>
      <c r="AB1272" s="6" t="s">
        <v>104</v>
      </c>
      <c r="AC1272" s="6" t="s">
        <v>9714</v>
      </c>
      <c r="AD1272" s="16" t="n">
        <v>45530</v>
      </c>
      <c r="AE1272" s="6" t="s">
        <v>11628</v>
      </c>
      <c r="AF1272" s="6" t="s">
        <v>104</v>
      </c>
      <c r="AG1272" s="6" t="s">
        <v>104</v>
      </c>
      <c r="AH1272" s="6" t="s">
        <v>14316</v>
      </c>
      <c r="AI1272" s="6" t="s">
        <v>104</v>
      </c>
      <c r="AJ1272" s="6" t="s">
        <v>16179</v>
      </c>
      <c r="AK1272" s="6" t="s">
        <v>16751</v>
      </c>
      <c r="AL1272" s="6" t="s">
        <v>16931</v>
      </c>
      <c r="AM1272" s="6" t="s">
        <v>17839</v>
      </c>
      <c r="AN1272" s="6" t="s">
        <v>104</v>
      </c>
      <c r="AO1272" s="6" t="s">
        <v>104</v>
      </c>
      <c r="AP1272" s="6" t="s">
        <v>19285</v>
      </c>
      <c r="AQ1272" s="6" t="s">
        <v>104</v>
      </c>
      <c r="AR1272" s="6" t="s">
        <v>19710</v>
      </c>
      <c r="AS1272" s="6" t="s">
        <v>16751</v>
      </c>
      <c r="AT1272" s="6" t="s">
        <v>16931</v>
      </c>
      <c r="AU1272" s="6" t="s">
        <v>17839</v>
      </c>
      <c r="AV1272" s="6" t="s">
        <v>104</v>
      </c>
      <c r="AW1272" s="6" t="s">
        <v>104</v>
      </c>
      <c r="AX1272" s="6" t="s">
        <v>21105</v>
      </c>
      <c r="AY1272" s="6" t="s">
        <v>104</v>
      </c>
      <c r="AZ1272" s="6" t="s">
        <v>24007</v>
      </c>
      <c r="BA1272" s="6" t="s">
        <v>104</v>
      </c>
      <c r="BB1272" s="24" t="n">
        <v>0</v>
      </c>
      <c r="BC1272" s="26"/>
      <c r="BD1272" s="26"/>
      <c r="BE1272" s="26"/>
      <c r="BF1272" s="26"/>
      <c r="BG1272" s="26"/>
      <c r="BH1272" s="26"/>
      <c r="BI1272" s="26"/>
      <c r="BJ1272" s="26"/>
      <c r="BK1272" s="26"/>
      <c r="BL1272" s="26"/>
      <c r="BM1272" s="26"/>
      <c r="BN1272" s="26"/>
      <c r="BO1272" s="26"/>
      <c r="BP1272" s="16" t="n">
        <v>45701</v>
      </c>
      <c r="BQ1272" s="28" t="str">
        <f>HYPERLINK("https://organic.ams.usda.gov/Integrity/Certificate.aspx?cid=81&amp;nopid=4212024038")</f>
        <v>https://organic.ams.usda.gov/Integrity/Certificate.aspx?cid=81&amp;nopid=4212024038</v>
      </c>
    </row>
    <row r="1273">
      <c r="A1273" t="s">
        <v>3</v>
      </c>
      <c r="B1273" s="6" t="s">
        <v>27</v>
      </c>
      <c r="C1273" s="6" t="s">
        <v>93</v>
      </c>
      <c r="D1273" s="6" t="s">
        <v>158</v>
      </c>
      <c r="E1273" s="10" t="s">
        <v>1471</v>
      </c>
      <c r="F1273" s="6" t="s">
        <v>3714</v>
      </c>
      <c r="G1273" s="6" t="s">
        <v>104</v>
      </c>
      <c r="H1273" s="6" t="s">
        <v>6048</v>
      </c>
      <c r="I1273" s="6" t="s">
        <v>7688</v>
      </c>
      <c r="J1273" s="6" t="s">
        <v>9079</v>
      </c>
      <c r="K1273" s="6" t="s">
        <v>9714</v>
      </c>
      <c r="L1273" s="16" t="n">
        <v>45620</v>
      </c>
      <c r="M1273" s="16" t="n">
        <v>45869</v>
      </c>
      <c r="N1273" s="6" t="s">
        <v>9714</v>
      </c>
      <c r="O1273" s="16" t="n">
        <v>45620</v>
      </c>
      <c r="P1273" s="6" t="s">
        <v>10087</v>
      </c>
      <c r="Q1273" s="6" t="s">
        <v>104</v>
      </c>
      <c r="R1273" s="6" t="s">
        <v>10394</v>
      </c>
      <c r="S1273" s="6" t="s">
        <v>104</v>
      </c>
      <c r="T1273" s="21" t="s">
        <v>104</v>
      </c>
      <c r="U1273" s="6" t="s">
        <v>104</v>
      </c>
      <c r="V1273" s="6" t="s">
        <v>104</v>
      </c>
      <c r="W1273" s="6" t="s">
        <v>104</v>
      </c>
      <c r="X1273" s="6" t="s">
        <v>104</v>
      </c>
      <c r="Y1273" s="21" t="s">
        <v>104</v>
      </c>
      <c r="Z1273" s="6" t="s">
        <v>104</v>
      </c>
      <c r="AA1273" s="6" t="s">
        <v>104</v>
      </c>
      <c r="AB1273" s="6" t="s">
        <v>104</v>
      </c>
      <c r="AC1273" s="6" t="s">
        <v>104</v>
      </c>
      <c r="AD1273" s="21" t="s">
        <v>104</v>
      </c>
      <c r="AE1273" s="6" t="s">
        <v>104</v>
      </c>
      <c r="AF1273" s="6" t="s">
        <v>104</v>
      </c>
      <c r="AG1273" s="6" t="s">
        <v>104</v>
      </c>
      <c r="AH1273" s="6" t="s">
        <v>14317</v>
      </c>
      <c r="AI1273" s="6" t="s">
        <v>104</v>
      </c>
      <c r="AJ1273" s="6" t="s">
        <v>16180</v>
      </c>
      <c r="AK1273" s="6" t="s">
        <v>16699</v>
      </c>
      <c r="AL1273" s="6" t="s">
        <v>16932</v>
      </c>
      <c r="AM1273" s="6" t="s">
        <v>17840</v>
      </c>
      <c r="AN1273" s="6" t="s">
        <v>104</v>
      </c>
      <c r="AO1273" s="6" t="s">
        <v>104</v>
      </c>
      <c r="AP1273" s="6" t="s">
        <v>19286</v>
      </c>
      <c r="AQ1273" s="6" t="s">
        <v>104</v>
      </c>
      <c r="AR1273" s="6" t="s">
        <v>16295</v>
      </c>
      <c r="AS1273" s="6" t="s">
        <v>104</v>
      </c>
      <c r="AT1273" s="6" t="s">
        <v>16932</v>
      </c>
      <c r="AU1273" s="6" t="s">
        <v>17638</v>
      </c>
      <c r="AV1273" s="6" t="s">
        <v>104</v>
      </c>
      <c r="AW1273" s="6" t="s">
        <v>104</v>
      </c>
      <c r="AX1273" s="6" t="s">
        <v>21106</v>
      </c>
      <c r="AY1273" s="6" t="s">
        <v>22905</v>
      </c>
      <c r="AZ1273" s="6" t="s">
        <v>104</v>
      </c>
      <c r="BA1273" s="6" t="s">
        <v>24355</v>
      </c>
      <c r="BB1273" s="24" t="n">
        <v>1630</v>
      </c>
      <c r="BC1273" s="26"/>
      <c r="BD1273" s="26"/>
      <c r="BE1273" s="26"/>
      <c r="BF1273" s="26"/>
      <c r="BG1273" s="26"/>
      <c r="BH1273" s="26"/>
      <c r="BI1273" s="26"/>
      <c r="BJ1273" s="26"/>
      <c r="BK1273" s="26"/>
      <c r="BL1273" s="26"/>
      <c r="BM1273" s="26"/>
      <c r="BN1273" s="26"/>
      <c r="BO1273" s="26" t="s">
        <v>24533</v>
      </c>
      <c r="BP1273" s="16" t="n">
        <v>45628</v>
      </c>
      <c r="BQ1273" s="28" t="str">
        <f>HYPERLINK("https://organic.ams.usda.gov/Integrity/Certificate.aspx?cid=93&amp;nopid=6362503567")</f>
        <v>https://organic.ams.usda.gov/Integrity/Certificate.aspx?cid=93&amp;nopid=6362503567</v>
      </c>
    </row>
    <row r="1274">
      <c r="A1274" t="s">
        <v>3</v>
      </c>
      <c r="B1274" s="6" t="s">
        <v>13</v>
      </c>
      <c r="C1274" s="6" t="s">
        <v>79</v>
      </c>
      <c r="D1274" s="6" t="s">
        <v>144</v>
      </c>
      <c r="E1274" s="10" t="s">
        <v>1472</v>
      </c>
      <c r="F1274" s="6" t="s">
        <v>3715</v>
      </c>
      <c r="G1274" s="6" t="s">
        <v>104</v>
      </c>
      <c r="H1274" s="6" t="s">
        <v>6049</v>
      </c>
      <c r="I1274" s="6" t="s">
        <v>7689</v>
      </c>
      <c r="J1274" s="6" t="s">
        <v>9080</v>
      </c>
      <c r="K1274" s="6" t="s">
        <v>9714</v>
      </c>
      <c r="L1274" s="16" t="n">
        <v>37474</v>
      </c>
      <c r="M1274" s="16" t="n">
        <v>45748</v>
      </c>
      <c r="N1274" s="6" t="s">
        <v>104</v>
      </c>
      <c r="O1274" s="21" t="s">
        <v>104</v>
      </c>
      <c r="P1274" s="6" t="s">
        <v>104</v>
      </c>
      <c r="Q1274" s="6" t="s">
        <v>104</v>
      </c>
      <c r="R1274" s="6" t="s">
        <v>104</v>
      </c>
      <c r="S1274" s="6" t="s">
        <v>104</v>
      </c>
      <c r="T1274" s="21" t="s">
        <v>104</v>
      </c>
      <c r="U1274" s="6" t="s">
        <v>104</v>
      </c>
      <c r="V1274" s="6" t="s">
        <v>104</v>
      </c>
      <c r="W1274" s="6" t="s">
        <v>104</v>
      </c>
      <c r="X1274" s="6" t="s">
        <v>104</v>
      </c>
      <c r="Y1274" s="21" t="s">
        <v>104</v>
      </c>
      <c r="Z1274" s="6" t="s">
        <v>104</v>
      </c>
      <c r="AA1274" s="6" t="s">
        <v>104</v>
      </c>
      <c r="AB1274" s="6" t="s">
        <v>104</v>
      </c>
      <c r="AC1274" s="6" t="s">
        <v>9714</v>
      </c>
      <c r="AD1274" s="16" t="n">
        <v>37474</v>
      </c>
      <c r="AE1274" s="6" t="s">
        <v>11629</v>
      </c>
      <c r="AF1274" s="6" t="s">
        <v>104</v>
      </c>
      <c r="AG1274" s="6" t="s">
        <v>104</v>
      </c>
      <c r="AH1274" s="6" t="s">
        <v>104</v>
      </c>
      <c r="AI1274" s="6" t="s">
        <v>104</v>
      </c>
      <c r="AJ1274" s="6" t="s">
        <v>104</v>
      </c>
      <c r="AK1274" s="6" t="s">
        <v>104</v>
      </c>
      <c r="AL1274" s="6" t="s">
        <v>104</v>
      </c>
      <c r="AM1274" s="6" t="s">
        <v>104</v>
      </c>
      <c r="AN1274" s="6" t="s">
        <v>104</v>
      </c>
      <c r="AO1274" s="6" t="s">
        <v>104</v>
      </c>
      <c r="AP1274" s="6" t="s">
        <v>19287</v>
      </c>
      <c r="AQ1274" s="6" t="s">
        <v>104</v>
      </c>
      <c r="AR1274" s="6" t="s">
        <v>16236</v>
      </c>
      <c r="AS1274" s="6" t="s">
        <v>16687</v>
      </c>
      <c r="AT1274" s="6" t="s">
        <v>16931</v>
      </c>
      <c r="AU1274" s="6" t="s">
        <v>17904</v>
      </c>
      <c r="AV1274" s="6" t="s">
        <v>18487</v>
      </c>
      <c r="AW1274" s="6" t="s">
        <v>18601</v>
      </c>
      <c r="AX1274" s="6" t="s">
        <v>21107</v>
      </c>
      <c r="AY1274" s="6" t="s">
        <v>22906</v>
      </c>
      <c r="AZ1274" s="6" t="s">
        <v>24008</v>
      </c>
      <c r="BA1274" s="6" t="s">
        <v>104</v>
      </c>
      <c r="BB1274" s="6" t="s">
        <v>104</v>
      </c>
      <c r="BC1274" s="26"/>
      <c r="BD1274" s="26"/>
      <c r="BE1274" s="26"/>
      <c r="BF1274" s="26"/>
      <c r="BG1274" s="26"/>
      <c r="BH1274" s="26"/>
      <c r="BI1274" s="26"/>
      <c r="BJ1274" s="26"/>
      <c r="BK1274" s="26"/>
      <c r="BL1274" s="26"/>
      <c r="BM1274" s="26"/>
      <c r="BN1274" s="26"/>
      <c r="BO1274" s="26"/>
      <c r="BP1274" s="16" t="n">
        <v>45701</v>
      </c>
      <c r="BQ1274" s="28" t="str">
        <f>HYPERLINK("https://organic.ams.usda.gov/Integrity/Certificate.aspx?cid=62&amp;nopid=8150001232")</f>
        <v>https://organic.ams.usda.gov/Integrity/Certificate.aspx?cid=62&amp;nopid=8150001232</v>
      </c>
    </row>
    <row r="1275">
      <c r="A1275" t="s">
        <v>3</v>
      </c>
      <c r="B1275" s="6" t="s">
        <v>37</v>
      </c>
      <c r="C1275" s="6" t="s">
        <v>103</v>
      </c>
      <c r="D1275" s="6" t="s">
        <v>168</v>
      </c>
      <c r="E1275" s="10" t="s">
        <v>1473</v>
      </c>
      <c r="F1275" s="6" t="s">
        <v>3716</v>
      </c>
      <c r="G1275" s="6" t="s">
        <v>104</v>
      </c>
      <c r="H1275" s="6" t="s">
        <v>6050</v>
      </c>
      <c r="I1275" s="6" t="s">
        <v>7398</v>
      </c>
      <c r="J1275" s="6" t="s">
        <v>9081</v>
      </c>
      <c r="K1275" s="6" t="s">
        <v>9714</v>
      </c>
      <c r="L1275" s="16" t="n">
        <v>44194</v>
      </c>
      <c r="M1275" s="16" t="n">
        <v>45748</v>
      </c>
      <c r="N1275" s="6" t="s">
        <v>9714</v>
      </c>
      <c r="O1275" s="16" t="n">
        <v>44644</v>
      </c>
      <c r="P1275" s="6" t="s">
        <v>10088</v>
      </c>
      <c r="Q1275" s="6" t="s">
        <v>104</v>
      </c>
      <c r="R1275" s="6" t="s">
        <v>10395</v>
      </c>
      <c r="S1275" s="6" t="s">
        <v>104</v>
      </c>
      <c r="T1275" s="21" t="s">
        <v>104</v>
      </c>
      <c r="U1275" s="6" t="s">
        <v>104</v>
      </c>
      <c r="V1275" s="6" t="s">
        <v>104</v>
      </c>
      <c r="W1275" s="6" t="s">
        <v>104</v>
      </c>
      <c r="X1275" s="6" t="s">
        <v>104</v>
      </c>
      <c r="Y1275" s="21" t="s">
        <v>104</v>
      </c>
      <c r="Z1275" s="6" t="s">
        <v>104</v>
      </c>
      <c r="AA1275" s="6" t="s">
        <v>104</v>
      </c>
      <c r="AB1275" s="6" t="s">
        <v>104</v>
      </c>
      <c r="AC1275" s="6" t="s">
        <v>104</v>
      </c>
      <c r="AD1275" s="21" t="s">
        <v>104</v>
      </c>
      <c r="AE1275" s="6" t="s">
        <v>104</v>
      </c>
      <c r="AF1275" s="6" t="s">
        <v>104</v>
      </c>
      <c r="AG1275" s="6" t="s">
        <v>104</v>
      </c>
      <c r="AH1275" s="6" t="s">
        <v>14318</v>
      </c>
      <c r="AI1275" s="6" t="s">
        <v>104</v>
      </c>
      <c r="AJ1275" s="6" t="s">
        <v>16181</v>
      </c>
      <c r="AK1275" s="6" t="s">
        <v>16694</v>
      </c>
      <c r="AL1275" s="6" t="s">
        <v>16931</v>
      </c>
      <c r="AM1275" s="6" t="s">
        <v>17841</v>
      </c>
      <c r="AN1275" s="6" t="s">
        <v>18539</v>
      </c>
      <c r="AO1275" s="6" t="s">
        <v>18819</v>
      </c>
      <c r="AP1275" s="6" t="s">
        <v>14318</v>
      </c>
      <c r="AQ1275" s="6" t="s">
        <v>104</v>
      </c>
      <c r="AR1275" s="6" t="s">
        <v>16181</v>
      </c>
      <c r="AS1275" s="6" t="s">
        <v>16694</v>
      </c>
      <c r="AT1275" s="6" t="s">
        <v>16931</v>
      </c>
      <c r="AU1275" s="6" t="s">
        <v>17841</v>
      </c>
      <c r="AV1275" s="6" t="s">
        <v>104</v>
      </c>
      <c r="AW1275" s="6" t="s">
        <v>104</v>
      </c>
      <c r="AX1275" s="6" t="s">
        <v>21108</v>
      </c>
      <c r="AY1275" s="6" t="s">
        <v>22907</v>
      </c>
      <c r="AZ1275" s="6" t="s">
        <v>104</v>
      </c>
      <c r="BA1275" s="6" t="s">
        <v>104</v>
      </c>
      <c r="BB1275" s="24" t="n">
        <v>184</v>
      </c>
      <c r="BC1275" s="26"/>
      <c r="BD1275" s="26"/>
      <c r="BE1275" s="26"/>
      <c r="BF1275" s="26"/>
      <c r="BG1275" s="26"/>
      <c r="BH1275" s="26"/>
      <c r="BI1275" s="26"/>
      <c r="BJ1275" s="26"/>
      <c r="BK1275" s="26"/>
      <c r="BL1275" s="26"/>
      <c r="BM1275" s="26"/>
      <c r="BN1275" s="26"/>
      <c r="BO1275" s="26"/>
      <c r="BP1275" s="16" t="n">
        <v>45730</v>
      </c>
      <c r="BQ1275" s="28" t="str">
        <f>HYPERLINK("https://organic.ams.usda.gov/Integrity/Certificate.aspx?cid=90&amp;nopid=7170220511")</f>
        <v>https://organic.ams.usda.gov/Integrity/Certificate.aspx?cid=90&amp;nopid=7170220511</v>
      </c>
    </row>
    <row r="1276">
      <c r="A1276" t="s">
        <v>3</v>
      </c>
      <c r="B1276" s="6" t="s">
        <v>22</v>
      </c>
      <c r="C1276" s="6" t="s">
        <v>88</v>
      </c>
      <c r="D1276" s="6" t="s">
        <v>153</v>
      </c>
      <c r="E1276" s="10" t="s">
        <v>1474</v>
      </c>
      <c r="F1276" s="6" t="s">
        <v>3717</v>
      </c>
      <c r="G1276" s="6" t="s">
        <v>104</v>
      </c>
      <c r="H1276" s="6" t="s">
        <v>6051</v>
      </c>
      <c r="I1276" s="6" t="s">
        <v>7690</v>
      </c>
      <c r="J1276" s="6" t="s">
        <v>7259</v>
      </c>
      <c r="K1276" s="6" t="s">
        <v>9714</v>
      </c>
      <c r="L1276" s="16" t="n">
        <v>43697</v>
      </c>
      <c r="M1276" s="16" t="n">
        <v>45778</v>
      </c>
      <c r="N1276" s="6" t="s">
        <v>104</v>
      </c>
      <c r="O1276" s="21" t="s">
        <v>104</v>
      </c>
      <c r="P1276" s="6" t="s">
        <v>104</v>
      </c>
      <c r="Q1276" s="6" t="s">
        <v>104</v>
      </c>
      <c r="R1276" s="6" t="s">
        <v>104</v>
      </c>
      <c r="S1276" s="6" t="s">
        <v>104</v>
      </c>
      <c r="T1276" s="21" t="s">
        <v>104</v>
      </c>
      <c r="U1276" s="6" t="s">
        <v>104</v>
      </c>
      <c r="V1276" s="6" t="s">
        <v>104</v>
      </c>
      <c r="W1276" s="6" t="s">
        <v>104</v>
      </c>
      <c r="X1276" s="6" t="s">
        <v>104</v>
      </c>
      <c r="Y1276" s="21" t="s">
        <v>104</v>
      </c>
      <c r="Z1276" s="6" t="s">
        <v>104</v>
      </c>
      <c r="AA1276" s="6" t="s">
        <v>104</v>
      </c>
      <c r="AB1276" s="6" t="s">
        <v>104</v>
      </c>
      <c r="AC1276" s="6" t="s">
        <v>9714</v>
      </c>
      <c r="AD1276" s="16" t="n">
        <v>43697</v>
      </c>
      <c r="AE1276" s="6" t="s">
        <v>11630</v>
      </c>
      <c r="AF1276" s="6" t="s">
        <v>104</v>
      </c>
      <c r="AG1276" s="6" t="s">
        <v>12880</v>
      </c>
      <c r="AH1276" s="6" t="s">
        <v>14319</v>
      </c>
      <c r="AI1276" s="6" t="s">
        <v>104</v>
      </c>
      <c r="AJ1276" s="6" t="s">
        <v>16026</v>
      </c>
      <c r="AK1276" s="6" t="s">
        <v>16838</v>
      </c>
      <c r="AL1276" s="6" t="s">
        <v>16963</v>
      </c>
      <c r="AM1276" s="6" t="s">
        <v>104</v>
      </c>
      <c r="AN1276" s="6" t="s">
        <v>104</v>
      </c>
      <c r="AO1276" s="6" t="s">
        <v>104</v>
      </c>
      <c r="AP1276" s="6" t="s">
        <v>14319</v>
      </c>
      <c r="AQ1276" s="6" t="s">
        <v>104</v>
      </c>
      <c r="AR1276" s="6" t="s">
        <v>16026</v>
      </c>
      <c r="AS1276" s="6" t="s">
        <v>16838</v>
      </c>
      <c r="AT1276" s="6" t="s">
        <v>16963</v>
      </c>
      <c r="AU1276" s="6" t="s">
        <v>104</v>
      </c>
      <c r="AV1276" s="6" t="s">
        <v>104</v>
      </c>
      <c r="AW1276" s="6" t="s">
        <v>104</v>
      </c>
      <c r="AX1276" s="6" t="s">
        <v>21109</v>
      </c>
      <c r="AY1276" s="6" t="s">
        <v>22908</v>
      </c>
      <c r="AZ1276" s="6" t="s">
        <v>104</v>
      </c>
      <c r="BA1276" s="6" t="s">
        <v>104</v>
      </c>
      <c r="BB1276" s="6" t="s">
        <v>104</v>
      </c>
      <c r="BC1276" s="26"/>
      <c r="BD1276" s="26"/>
      <c r="BE1276" s="26"/>
      <c r="BF1276" s="26"/>
      <c r="BG1276" s="26"/>
      <c r="BH1276" s="26"/>
      <c r="BI1276" s="26"/>
      <c r="BJ1276" s="26"/>
      <c r="BK1276" s="26"/>
      <c r="BL1276" s="26"/>
      <c r="BM1276" s="26"/>
      <c r="BN1276" s="26"/>
      <c r="BO1276" s="26"/>
      <c r="BP1276" s="16" t="n">
        <v>45674</v>
      </c>
      <c r="BQ1276" s="28" t="str">
        <f>HYPERLINK("https://organic.ams.usda.gov/Integrity/Certificate.aspx?cid=72&amp;nopid=5873977017")</f>
        <v>https://organic.ams.usda.gov/Integrity/Certificate.aspx?cid=72&amp;nopid=5873977017</v>
      </c>
    </row>
    <row r="1277">
      <c r="A1277" t="s">
        <v>3</v>
      </c>
      <c r="B1277" s="6" t="s">
        <v>13</v>
      </c>
      <c r="C1277" s="6" t="s">
        <v>79</v>
      </c>
      <c r="D1277" s="6" t="s">
        <v>144</v>
      </c>
      <c r="E1277" s="10" t="s">
        <v>1475</v>
      </c>
      <c r="F1277" s="6" t="s">
        <v>3718</v>
      </c>
      <c r="G1277" s="6" t="s">
        <v>104</v>
      </c>
      <c r="H1277" s="6" t="s">
        <v>6052</v>
      </c>
      <c r="I1277" s="6" t="s">
        <v>7691</v>
      </c>
      <c r="J1277" s="6" t="s">
        <v>9082</v>
      </c>
      <c r="K1277" s="6" t="s">
        <v>9714</v>
      </c>
      <c r="L1277" s="16" t="n">
        <v>42075</v>
      </c>
      <c r="M1277" s="16" t="n">
        <v>46023</v>
      </c>
      <c r="N1277" s="6" t="s">
        <v>9714</v>
      </c>
      <c r="O1277" s="16" t="n">
        <v>42075</v>
      </c>
      <c r="P1277" s="6" t="s">
        <v>10089</v>
      </c>
      <c r="Q1277" s="6" t="s">
        <v>104</v>
      </c>
      <c r="R1277" s="6" t="s">
        <v>104</v>
      </c>
      <c r="S1277" s="6" t="s">
        <v>104</v>
      </c>
      <c r="T1277" s="21" t="s">
        <v>104</v>
      </c>
      <c r="U1277" s="6" t="s">
        <v>104</v>
      </c>
      <c r="V1277" s="6" t="s">
        <v>104</v>
      </c>
      <c r="W1277" s="6" t="s">
        <v>104</v>
      </c>
      <c r="X1277" s="6" t="s">
        <v>104</v>
      </c>
      <c r="Y1277" s="21" t="s">
        <v>104</v>
      </c>
      <c r="Z1277" s="6" t="s">
        <v>104</v>
      </c>
      <c r="AA1277" s="6" t="s">
        <v>104</v>
      </c>
      <c r="AB1277" s="6" t="s">
        <v>104</v>
      </c>
      <c r="AC1277" s="6" t="s">
        <v>104</v>
      </c>
      <c r="AD1277" s="21" t="s">
        <v>104</v>
      </c>
      <c r="AE1277" s="6" t="s">
        <v>104</v>
      </c>
      <c r="AF1277" s="6" t="s">
        <v>104</v>
      </c>
      <c r="AG1277" s="6" t="s">
        <v>104</v>
      </c>
      <c r="AH1277" s="6" t="s">
        <v>104</v>
      </c>
      <c r="AI1277" s="6" t="s">
        <v>104</v>
      </c>
      <c r="AJ1277" s="6" t="s">
        <v>104</v>
      </c>
      <c r="AK1277" s="6" t="s">
        <v>104</v>
      </c>
      <c r="AL1277" s="6" t="s">
        <v>104</v>
      </c>
      <c r="AM1277" s="6" t="s">
        <v>104</v>
      </c>
      <c r="AN1277" s="6" t="s">
        <v>104</v>
      </c>
      <c r="AO1277" s="6" t="s">
        <v>104</v>
      </c>
      <c r="AP1277" s="6" t="s">
        <v>19288</v>
      </c>
      <c r="AQ1277" s="6" t="s">
        <v>104</v>
      </c>
      <c r="AR1277" s="6" t="s">
        <v>19711</v>
      </c>
      <c r="AS1277" s="6" t="s">
        <v>16681</v>
      </c>
      <c r="AT1277" s="6" t="s">
        <v>16931</v>
      </c>
      <c r="AU1277" s="6" t="s">
        <v>19960</v>
      </c>
      <c r="AV1277" s="6" t="s">
        <v>18506</v>
      </c>
      <c r="AW1277" s="6" t="s">
        <v>18629</v>
      </c>
      <c r="AX1277" s="6" t="s">
        <v>21110</v>
      </c>
      <c r="AY1277" s="6" t="s">
        <v>104</v>
      </c>
      <c r="AZ1277" s="6" t="s">
        <v>104</v>
      </c>
      <c r="BA1277" s="6" t="s">
        <v>104</v>
      </c>
      <c r="BB1277" s="24" t="n">
        <v>733</v>
      </c>
      <c r="BC1277" s="26"/>
      <c r="BD1277" s="26"/>
      <c r="BE1277" s="26"/>
      <c r="BF1277" s="26"/>
      <c r="BG1277" s="26"/>
      <c r="BH1277" s="26"/>
      <c r="BI1277" s="26"/>
      <c r="BJ1277" s="26"/>
      <c r="BK1277" s="26"/>
      <c r="BL1277" s="26"/>
      <c r="BM1277" s="26"/>
      <c r="BN1277" s="26"/>
      <c r="BO1277" s="26"/>
      <c r="BP1277" s="16" t="n">
        <v>45720</v>
      </c>
      <c r="BQ1277" s="28" t="str">
        <f>HYPERLINK("https://organic.ams.usda.gov/Integrity/Certificate.aspx?cid=62&amp;nopid=8150001352")</f>
        <v>https://organic.ams.usda.gov/Integrity/Certificate.aspx?cid=62&amp;nopid=8150001352</v>
      </c>
    </row>
    <row r="1278">
      <c r="A1278" t="s">
        <v>3</v>
      </c>
      <c r="B1278" s="6" t="s">
        <v>11</v>
      </c>
      <c r="C1278" s="6" t="s">
        <v>77</v>
      </c>
      <c r="D1278" s="6" t="s">
        <v>142</v>
      </c>
      <c r="E1278" s="10" t="s">
        <v>1476</v>
      </c>
      <c r="F1278" s="6" t="s">
        <v>3719</v>
      </c>
      <c r="G1278" s="6" t="s">
        <v>104</v>
      </c>
      <c r="H1278" s="6" t="s">
        <v>6053</v>
      </c>
      <c r="I1278" s="6" t="s">
        <v>7450</v>
      </c>
      <c r="J1278" s="6" t="s">
        <v>9083</v>
      </c>
      <c r="K1278" s="6" t="s">
        <v>9714</v>
      </c>
      <c r="L1278" s="16" t="n">
        <v>42347</v>
      </c>
      <c r="M1278" s="16" t="n">
        <v>46011</v>
      </c>
      <c r="N1278" s="6" t="s">
        <v>104</v>
      </c>
      <c r="O1278" s="21" t="s">
        <v>104</v>
      </c>
      <c r="P1278" s="6" t="s">
        <v>104</v>
      </c>
      <c r="Q1278" s="6" t="s">
        <v>104</v>
      </c>
      <c r="R1278" s="6" t="s">
        <v>104</v>
      </c>
      <c r="S1278" s="6" t="s">
        <v>104</v>
      </c>
      <c r="T1278" s="21" t="s">
        <v>104</v>
      </c>
      <c r="U1278" s="6" t="s">
        <v>104</v>
      </c>
      <c r="V1278" s="6" t="s">
        <v>104</v>
      </c>
      <c r="W1278" s="6" t="s">
        <v>104</v>
      </c>
      <c r="X1278" s="6" t="s">
        <v>104</v>
      </c>
      <c r="Y1278" s="21" t="s">
        <v>104</v>
      </c>
      <c r="Z1278" s="6" t="s">
        <v>104</v>
      </c>
      <c r="AA1278" s="6" t="s">
        <v>104</v>
      </c>
      <c r="AB1278" s="6" t="s">
        <v>104</v>
      </c>
      <c r="AC1278" s="6" t="s">
        <v>9714</v>
      </c>
      <c r="AD1278" s="16" t="n">
        <v>42347</v>
      </c>
      <c r="AE1278" s="6" t="s">
        <v>11631</v>
      </c>
      <c r="AF1278" s="6" t="s">
        <v>104</v>
      </c>
      <c r="AG1278" s="6" t="s">
        <v>104</v>
      </c>
      <c r="AH1278" s="6" t="s">
        <v>14320</v>
      </c>
      <c r="AI1278" s="6" t="s">
        <v>104</v>
      </c>
      <c r="AJ1278" s="6" t="s">
        <v>104</v>
      </c>
      <c r="AK1278" s="6" t="s">
        <v>104</v>
      </c>
      <c r="AL1278" s="6" t="s">
        <v>16940</v>
      </c>
      <c r="AM1278" s="6" t="s">
        <v>104</v>
      </c>
      <c r="AN1278" s="6" t="s">
        <v>104</v>
      </c>
      <c r="AO1278" s="6" t="s">
        <v>104</v>
      </c>
      <c r="AP1278" s="6" t="s">
        <v>104</v>
      </c>
      <c r="AQ1278" s="6" t="s">
        <v>104</v>
      </c>
      <c r="AR1278" s="6" t="s">
        <v>104</v>
      </c>
      <c r="AS1278" s="6" t="s">
        <v>104</v>
      </c>
      <c r="AT1278" s="6" t="s">
        <v>104</v>
      </c>
      <c r="AU1278" s="6" t="s">
        <v>104</v>
      </c>
      <c r="AV1278" s="6" t="s">
        <v>104</v>
      </c>
      <c r="AW1278" s="6" t="s">
        <v>104</v>
      </c>
      <c r="AX1278" s="6" t="s">
        <v>21111</v>
      </c>
      <c r="AY1278" s="6" t="s">
        <v>22909</v>
      </c>
      <c r="AZ1278" s="6" t="s">
        <v>104</v>
      </c>
      <c r="BA1278" s="6" t="s">
        <v>104</v>
      </c>
      <c r="BB1278" s="6" t="s">
        <v>104</v>
      </c>
      <c r="BC1278" s="26"/>
      <c r="BD1278" s="26"/>
      <c r="BE1278" s="26"/>
      <c r="BF1278" s="26"/>
      <c r="BG1278" s="26"/>
      <c r="BH1278" s="26"/>
      <c r="BI1278" s="26"/>
      <c r="BJ1278" s="26"/>
      <c r="BK1278" s="26"/>
      <c r="BL1278" s="26"/>
      <c r="BM1278" s="26"/>
      <c r="BN1278" s="26"/>
      <c r="BO1278" s="26"/>
      <c r="BP1278" s="16" t="n">
        <v>45676</v>
      </c>
      <c r="BQ1278" s="28" t="str">
        <f>HYPERLINK("https://organic.ams.usda.gov/Integrity/Certificate.aspx?cid=21&amp;nopid=1780838119")</f>
        <v>https://organic.ams.usda.gov/Integrity/Certificate.aspx?cid=21&amp;nopid=1780838119</v>
      </c>
    </row>
    <row r="1279">
      <c r="A1279" t="s">
        <v>3</v>
      </c>
      <c r="B1279" s="6" t="s">
        <v>57</v>
      </c>
      <c r="C1279" s="6" t="s">
        <v>123</v>
      </c>
      <c r="D1279" s="6" t="s">
        <v>187</v>
      </c>
      <c r="E1279" s="10" t="s">
        <v>1477</v>
      </c>
      <c r="F1279" s="6" t="s">
        <v>3720</v>
      </c>
      <c r="G1279" s="6" t="s">
        <v>104</v>
      </c>
      <c r="H1279" s="6" t="s">
        <v>6054</v>
      </c>
      <c r="I1279" s="6" t="s">
        <v>7304</v>
      </c>
      <c r="J1279" s="6" t="s">
        <v>9084</v>
      </c>
      <c r="K1279" s="6" t="s">
        <v>9714</v>
      </c>
      <c r="L1279" s="16" t="n">
        <v>37882</v>
      </c>
      <c r="M1279" s="16" t="n">
        <v>45444</v>
      </c>
      <c r="N1279" s="6" t="s">
        <v>9714</v>
      </c>
      <c r="O1279" s="16" t="n">
        <v>37882</v>
      </c>
      <c r="P1279" s="6" t="s">
        <v>10090</v>
      </c>
      <c r="Q1279" s="6" t="s">
        <v>104</v>
      </c>
      <c r="R1279" s="6" t="s">
        <v>6054</v>
      </c>
      <c r="S1279" s="6" t="s">
        <v>104</v>
      </c>
      <c r="T1279" s="21" t="s">
        <v>104</v>
      </c>
      <c r="U1279" s="6" t="s">
        <v>104</v>
      </c>
      <c r="V1279" s="6" t="s">
        <v>104</v>
      </c>
      <c r="W1279" s="6" t="s">
        <v>104</v>
      </c>
      <c r="X1279" s="6" t="s">
        <v>104</v>
      </c>
      <c r="Y1279" s="21" t="s">
        <v>104</v>
      </c>
      <c r="Z1279" s="6" t="s">
        <v>104</v>
      </c>
      <c r="AA1279" s="6" t="s">
        <v>104</v>
      </c>
      <c r="AB1279" s="6" t="s">
        <v>104</v>
      </c>
      <c r="AC1279" s="6" t="s">
        <v>104</v>
      </c>
      <c r="AD1279" s="21" t="s">
        <v>104</v>
      </c>
      <c r="AE1279" s="6" t="s">
        <v>104</v>
      </c>
      <c r="AF1279" s="6" t="s">
        <v>104</v>
      </c>
      <c r="AG1279" s="6" t="s">
        <v>104</v>
      </c>
      <c r="AH1279" s="6" t="s">
        <v>14321</v>
      </c>
      <c r="AI1279" s="6" t="s">
        <v>104</v>
      </c>
      <c r="AJ1279" s="6" t="s">
        <v>15942</v>
      </c>
      <c r="AK1279" s="6" t="s">
        <v>16730</v>
      </c>
      <c r="AL1279" s="6" t="s">
        <v>16931</v>
      </c>
      <c r="AM1279" s="6" t="s">
        <v>17578</v>
      </c>
      <c r="AN1279" s="6" t="s">
        <v>18477</v>
      </c>
      <c r="AO1279" s="6" t="s">
        <v>18710</v>
      </c>
      <c r="AP1279" s="6" t="s">
        <v>19289</v>
      </c>
      <c r="AQ1279" s="6" t="s">
        <v>104</v>
      </c>
      <c r="AR1279" s="6" t="s">
        <v>15942</v>
      </c>
      <c r="AS1279" s="6" t="s">
        <v>16730</v>
      </c>
      <c r="AT1279" s="6" t="s">
        <v>16931</v>
      </c>
      <c r="AU1279" s="6" t="s">
        <v>17578</v>
      </c>
      <c r="AV1279" s="6" t="s">
        <v>104</v>
      </c>
      <c r="AW1279" s="6" t="s">
        <v>104</v>
      </c>
      <c r="AX1279" s="6" t="s">
        <v>21112</v>
      </c>
      <c r="AY1279" s="6" t="s">
        <v>22910</v>
      </c>
      <c r="AZ1279" s="6" t="s">
        <v>104</v>
      </c>
      <c r="BA1279" s="6" t="s">
        <v>104</v>
      </c>
      <c r="BB1279" s="24" t="n">
        <v>947</v>
      </c>
      <c r="BC1279" s="26"/>
      <c r="BD1279" s="26"/>
      <c r="BE1279" s="26"/>
      <c r="BF1279" s="26"/>
      <c r="BG1279" s="26"/>
      <c r="BH1279" s="26"/>
      <c r="BI1279" s="26"/>
      <c r="BJ1279" s="26"/>
      <c r="BK1279" s="26"/>
      <c r="BL1279" s="26"/>
      <c r="BM1279" s="26"/>
      <c r="BN1279" s="26"/>
      <c r="BO1279" s="26"/>
      <c r="BP1279" s="16" t="n">
        <v>45328</v>
      </c>
      <c r="BQ1279" s="28" t="str">
        <f>HYPERLINK("https://organic.ams.usda.gov/Integrity/Certificate.aspx?cid=19&amp;nopid=6350000138")</f>
        <v>https://organic.ams.usda.gov/Integrity/Certificate.aspx?cid=19&amp;nopid=6350000138</v>
      </c>
    </row>
    <row r="1280">
      <c r="A1280" t="s">
        <v>3</v>
      </c>
      <c r="B1280" s="6" t="s">
        <v>11</v>
      </c>
      <c r="C1280" s="6" t="s">
        <v>77</v>
      </c>
      <c r="D1280" s="6" t="s">
        <v>142</v>
      </c>
      <c r="E1280" s="10" t="s">
        <v>1478</v>
      </c>
      <c r="F1280" s="6" t="s">
        <v>3721</v>
      </c>
      <c r="G1280" s="6" t="s">
        <v>104</v>
      </c>
      <c r="H1280" s="6" t="s">
        <v>1478</v>
      </c>
      <c r="I1280" s="6" t="s">
        <v>7692</v>
      </c>
      <c r="J1280" s="6" t="s">
        <v>9085</v>
      </c>
      <c r="K1280" s="6" t="s">
        <v>9714</v>
      </c>
      <c r="L1280" s="16" t="n">
        <v>44456</v>
      </c>
      <c r="M1280" s="16" t="n">
        <v>45890</v>
      </c>
      <c r="N1280" s="6" t="s">
        <v>104</v>
      </c>
      <c r="O1280" s="21" t="s">
        <v>104</v>
      </c>
      <c r="P1280" s="6" t="s">
        <v>104</v>
      </c>
      <c r="Q1280" s="6" t="s">
        <v>104</v>
      </c>
      <c r="R1280" s="6" t="s">
        <v>104</v>
      </c>
      <c r="S1280" s="6" t="s">
        <v>104</v>
      </c>
      <c r="T1280" s="21" t="s">
        <v>104</v>
      </c>
      <c r="U1280" s="6" t="s">
        <v>104</v>
      </c>
      <c r="V1280" s="6" t="s">
        <v>104</v>
      </c>
      <c r="W1280" s="6" t="s">
        <v>104</v>
      </c>
      <c r="X1280" s="6" t="s">
        <v>104</v>
      </c>
      <c r="Y1280" s="21" t="s">
        <v>104</v>
      </c>
      <c r="Z1280" s="6" t="s">
        <v>104</v>
      </c>
      <c r="AA1280" s="6" t="s">
        <v>104</v>
      </c>
      <c r="AB1280" s="6" t="s">
        <v>104</v>
      </c>
      <c r="AC1280" s="6" t="s">
        <v>9714</v>
      </c>
      <c r="AD1280" s="16" t="n">
        <v>44456</v>
      </c>
      <c r="AE1280" s="6" t="s">
        <v>11632</v>
      </c>
      <c r="AF1280" s="6" t="s">
        <v>104</v>
      </c>
      <c r="AG1280" s="6" t="s">
        <v>12881</v>
      </c>
      <c r="AH1280" s="6" t="s">
        <v>14322</v>
      </c>
      <c r="AI1280" s="6" t="s">
        <v>104</v>
      </c>
      <c r="AJ1280" s="6" t="s">
        <v>16182</v>
      </c>
      <c r="AK1280" s="6" t="s">
        <v>15885</v>
      </c>
      <c r="AL1280" s="6" t="s">
        <v>16932</v>
      </c>
      <c r="AM1280" s="6" t="s">
        <v>17842</v>
      </c>
      <c r="AN1280" s="6" t="s">
        <v>104</v>
      </c>
      <c r="AO1280" s="6" t="s">
        <v>104</v>
      </c>
      <c r="AP1280" s="6" t="s">
        <v>14322</v>
      </c>
      <c r="AQ1280" s="6" t="s">
        <v>104</v>
      </c>
      <c r="AR1280" s="6" t="s">
        <v>16182</v>
      </c>
      <c r="AS1280" s="6" t="s">
        <v>15885</v>
      </c>
      <c r="AT1280" s="6" t="s">
        <v>16932</v>
      </c>
      <c r="AU1280" s="6" t="s">
        <v>17842</v>
      </c>
      <c r="AV1280" s="6" t="s">
        <v>104</v>
      </c>
      <c r="AW1280" s="6" t="s">
        <v>104</v>
      </c>
      <c r="AX1280" s="6" t="s">
        <v>21113</v>
      </c>
      <c r="AY1280" s="6" t="s">
        <v>22911</v>
      </c>
      <c r="AZ1280" s="6" t="s">
        <v>104</v>
      </c>
      <c r="BA1280" s="6" t="s">
        <v>104</v>
      </c>
      <c r="BB1280" s="6" t="s">
        <v>104</v>
      </c>
      <c r="BC1280" s="26"/>
      <c r="BD1280" s="26"/>
      <c r="BE1280" s="26"/>
      <c r="BF1280" s="26"/>
      <c r="BG1280" s="26"/>
      <c r="BH1280" s="26"/>
      <c r="BI1280" s="26"/>
      <c r="BJ1280" s="26"/>
      <c r="BK1280" s="26"/>
      <c r="BL1280" s="26"/>
      <c r="BM1280" s="26"/>
      <c r="BN1280" s="26" t="s">
        <v>24533</v>
      </c>
      <c r="BO1280" s="26"/>
      <c r="BP1280" s="16" t="n">
        <v>45588</v>
      </c>
      <c r="BQ1280" s="28" t="str">
        <f>HYPERLINK("https://organic.ams.usda.gov/Integrity/Certificate.aspx?cid=21&amp;nopid=1780882424")</f>
        <v>https://organic.ams.usda.gov/Integrity/Certificate.aspx?cid=21&amp;nopid=1780882424</v>
      </c>
    </row>
    <row r="1281">
      <c r="A1281" t="s">
        <v>3</v>
      </c>
      <c r="B1281" s="6" t="s">
        <v>9</v>
      </c>
      <c r="C1281" s="6" t="s">
        <v>75</v>
      </c>
      <c r="D1281" s="6" t="s">
        <v>140</v>
      </c>
      <c r="E1281" s="10" t="s">
        <v>1479</v>
      </c>
      <c r="F1281" s="6" t="s">
        <v>3722</v>
      </c>
      <c r="G1281" s="6" t="s">
        <v>104</v>
      </c>
      <c r="H1281" s="6" t="s">
        <v>6055</v>
      </c>
      <c r="I1281" s="6" t="s">
        <v>7693</v>
      </c>
      <c r="J1281" s="6" t="s">
        <v>7560</v>
      </c>
      <c r="K1281" s="6" t="s">
        <v>9714</v>
      </c>
      <c r="L1281" s="16" t="n">
        <v>43621</v>
      </c>
      <c r="M1281" s="16" t="n">
        <v>45813</v>
      </c>
      <c r="N1281" s="6" t="s">
        <v>104</v>
      </c>
      <c r="O1281" s="21" t="s">
        <v>104</v>
      </c>
      <c r="P1281" s="6" t="s">
        <v>104</v>
      </c>
      <c r="Q1281" s="6" t="s">
        <v>104</v>
      </c>
      <c r="R1281" s="6" t="s">
        <v>104</v>
      </c>
      <c r="S1281" s="6" t="s">
        <v>104</v>
      </c>
      <c r="T1281" s="21" t="s">
        <v>104</v>
      </c>
      <c r="U1281" s="6" t="s">
        <v>104</v>
      </c>
      <c r="V1281" s="6" t="s">
        <v>104</v>
      </c>
      <c r="W1281" s="6" t="s">
        <v>104</v>
      </c>
      <c r="X1281" s="6" t="s">
        <v>104</v>
      </c>
      <c r="Y1281" s="21" t="s">
        <v>104</v>
      </c>
      <c r="Z1281" s="6" t="s">
        <v>104</v>
      </c>
      <c r="AA1281" s="6" t="s">
        <v>104</v>
      </c>
      <c r="AB1281" s="6" t="s">
        <v>104</v>
      </c>
      <c r="AC1281" s="6" t="s">
        <v>9714</v>
      </c>
      <c r="AD1281" s="16" t="n">
        <v>43621</v>
      </c>
      <c r="AE1281" s="6" t="s">
        <v>11633</v>
      </c>
      <c r="AF1281" s="6" t="s">
        <v>104</v>
      </c>
      <c r="AG1281" s="6" t="s">
        <v>104</v>
      </c>
      <c r="AH1281" s="6" t="s">
        <v>104</v>
      </c>
      <c r="AI1281" s="6" t="s">
        <v>104</v>
      </c>
      <c r="AJ1281" s="6" t="s">
        <v>104</v>
      </c>
      <c r="AK1281" s="6" t="s">
        <v>104</v>
      </c>
      <c r="AL1281" s="6" t="s">
        <v>104</v>
      </c>
      <c r="AM1281" s="6" t="s">
        <v>104</v>
      </c>
      <c r="AN1281" s="6" t="s">
        <v>104</v>
      </c>
      <c r="AO1281" s="6" t="s">
        <v>104</v>
      </c>
      <c r="AP1281" s="6" t="s">
        <v>19290</v>
      </c>
      <c r="AQ1281" s="6" t="s">
        <v>104</v>
      </c>
      <c r="AR1281" s="6" t="s">
        <v>19712</v>
      </c>
      <c r="AS1281" s="6" t="s">
        <v>16827</v>
      </c>
      <c r="AT1281" s="6" t="s">
        <v>16931</v>
      </c>
      <c r="AU1281" s="6" t="s">
        <v>19961</v>
      </c>
      <c r="AV1281" s="6" t="s">
        <v>18473</v>
      </c>
      <c r="AW1281" s="6" t="s">
        <v>18668</v>
      </c>
      <c r="AX1281" s="6" t="s">
        <v>21114</v>
      </c>
      <c r="AY1281" s="6" t="s">
        <v>22912</v>
      </c>
      <c r="AZ1281" s="6" t="s">
        <v>104</v>
      </c>
      <c r="BA1281" s="6" t="s">
        <v>104</v>
      </c>
      <c r="BB1281" s="6" t="s">
        <v>104</v>
      </c>
      <c r="BC1281" s="26"/>
      <c r="BD1281" s="26"/>
      <c r="BE1281" s="26"/>
      <c r="BF1281" s="26"/>
      <c r="BG1281" s="26"/>
      <c r="BH1281" s="26"/>
      <c r="BI1281" s="26"/>
      <c r="BJ1281" s="26"/>
      <c r="BK1281" s="26"/>
      <c r="BL1281" s="26"/>
      <c r="BM1281" s="26"/>
      <c r="BN1281" s="26"/>
      <c r="BO1281" s="26"/>
      <c r="BP1281" s="16" t="n">
        <v>45631</v>
      </c>
      <c r="BQ1281" s="28" t="str">
        <f>HYPERLINK("https://organic.ams.usda.gov/Integrity/Certificate.aspx?cid=63&amp;nopid=6220007962")</f>
        <v>https://organic.ams.usda.gov/Integrity/Certificate.aspx?cid=63&amp;nopid=6220007962</v>
      </c>
    </row>
    <row r="1282">
      <c r="A1282" t="s">
        <v>3</v>
      </c>
      <c r="B1282" s="6" t="s">
        <v>41</v>
      </c>
      <c r="C1282" s="6" t="s">
        <v>107</v>
      </c>
      <c r="D1282" s="6" t="s">
        <v>171</v>
      </c>
      <c r="E1282" s="10" t="s">
        <v>1480</v>
      </c>
      <c r="F1282" s="6" t="s">
        <v>3723</v>
      </c>
      <c r="G1282" s="6" t="s">
        <v>4791</v>
      </c>
      <c r="H1282" s="6" t="s">
        <v>6056</v>
      </c>
      <c r="I1282" s="6" t="s">
        <v>7464</v>
      </c>
      <c r="J1282" s="6" t="s">
        <v>9086</v>
      </c>
      <c r="K1282" s="6" t="s">
        <v>9714</v>
      </c>
      <c r="L1282" s="16" t="n">
        <v>39687</v>
      </c>
      <c r="M1282" s="16" t="n">
        <v>45901</v>
      </c>
      <c r="N1282" s="6" t="s">
        <v>104</v>
      </c>
      <c r="O1282" s="21" t="s">
        <v>104</v>
      </c>
      <c r="P1282" s="6" t="s">
        <v>104</v>
      </c>
      <c r="Q1282" s="6" t="s">
        <v>104</v>
      </c>
      <c r="R1282" s="6" t="s">
        <v>104</v>
      </c>
      <c r="S1282" s="6" t="s">
        <v>104</v>
      </c>
      <c r="T1282" s="21" t="s">
        <v>104</v>
      </c>
      <c r="U1282" s="6" t="s">
        <v>104</v>
      </c>
      <c r="V1282" s="6" t="s">
        <v>104</v>
      </c>
      <c r="W1282" s="6" t="s">
        <v>104</v>
      </c>
      <c r="X1282" s="6" t="s">
        <v>104</v>
      </c>
      <c r="Y1282" s="21" t="s">
        <v>104</v>
      </c>
      <c r="Z1282" s="6" t="s">
        <v>104</v>
      </c>
      <c r="AA1282" s="6" t="s">
        <v>104</v>
      </c>
      <c r="AB1282" s="6" t="s">
        <v>104</v>
      </c>
      <c r="AC1282" s="6" t="s">
        <v>9714</v>
      </c>
      <c r="AD1282" s="16" t="n">
        <v>39687</v>
      </c>
      <c r="AE1282" s="6" t="s">
        <v>11634</v>
      </c>
      <c r="AF1282" s="6" t="s">
        <v>104</v>
      </c>
      <c r="AG1282" s="6" t="s">
        <v>104</v>
      </c>
      <c r="AH1282" s="6" t="s">
        <v>14323</v>
      </c>
      <c r="AI1282" s="6" t="s">
        <v>104</v>
      </c>
      <c r="AJ1282" s="6" t="s">
        <v>16183</v>
      </c>
      <c r="AK1282" s="6" t="s">
        <v>16706</v>
      </c>
      <c r="AL1282" s="6" t="s">
        <v>16931</v>
      </c>
      <c r="AM1282" s="6" t="s">
        <v>17843</v>
      </c>
      <c r="AN1282" s="6" t="s">
        <v>18458</v>
      </c>
      <c r="AO1282" s="6" t="s">
        <v>18671</v>
      </c>
      <c r="AP1282" s="6" t="s">
        <v>14323</v>
      </c>
      <c r="AQ1282" s="6" t="s">
        <v>104</v>
      </c>
      <c r="AR1282" s="6" t="s">
        <v>16183</v>
      </c>
      <c r="AS1282" s="6" t="s">
        <v>16706</v>
      </c>
      <c r="AT1282" s="6" t="s">
        <v>16931</v>
      </c>
      <c r="AU1282" s="6" t="s">
        <v>17843</v>
      </c>
      <c r="AV1282" s="6" t="s">
        <v>104</v>
      </c>
      <c r="AW1282" s="6" t="s">
        <v>104</v>
      </c>
      <c r="AX1282" s="6" t="s">
        <v>21115</v>
      </c>
      <c r="AY1282" s="6" t="s">
        <v>104</v>
      </c>
      <c r="AZ1282" s="6" t="s">
        <v>104</v>
      </c>
      <c r="BA1282" s="6" t="s">
        <v>104</v>
      </c>
      <c r="BB1282" s="6" t="s">
        <v>104</v>
      </c>
      <c r="BC1282" s="26" t="s">
        <v>24533</v>
      </c>
      <c r="BD1282" s="26"/>
      <c r="BE1282" s="26"/>
      <c r="BF1282" s="26"/>
      <c r="BG1282" s="26"/>
      <c r="BH1282" s="26"/>
      <c r="BI1282" s="26"/>
      <c r="BJ1282" s="26"/>
      <c r="BK1282" s="26"/>
      <c r="BL1282" s="26"/>
      <c r="BM1282" s="26"/>
      <c r="BN1282" s="26" t="s">
        <v>24533</v>
      </c>
      <c r="BO1282" s="26"/>
      <c r="BP1282" s="16" t="n">
        <v>45737</v>
      </c>
      <c r="BQ1282" s="28" t="str">
        <f>HYPERLINK("https://organic.ams.usda.gov/Integrity/Certificate.aspx?cid=58&amp;nopid=1600001608")</f>
        <v>https://organic.ams.usda.gov/Integrity/Certificate.aspx?cid=58&amp;nopid=1600001608</v>
      </c>
    </row>
    <row r="1283">
      <c r="A1283" t="s">
        <v>3</v>
      </c>
      <c r="B1283" s="6" t="s">
        <v>38</v>
      </c>
      <c r="C1283" s="6" t="s">
        <v>104</v>
      </c>
      <c r="D1283" s="6" t="s">
        <v>104</v>
      </c>
      <c r="E1283" s="10" t="s">
        <v>1481</v>
      </c>
      <c r="F1283" s="6" t="s">
        <v>3724</v>
      </c>
      <c r="G1283" s="6" t="s">
        <v>4792</v>
      </c>
      <c r="H1283" s="6" t="s">
        <v>6057</v>
      </c>
      <c r="I1283" s="6" t="s">
        <v>7694</v>
      </c>
      <c r="J1283" s="6" t="s">
        <v>9087</v>
      </c>
      <c r="K1283" s="6" t="s">
        <v>9714</v>
      </c>
      <c r="L1283" s="16" t="n">
        <v>44551</v>
      </c>
      <c r="M1283" s="16" t="n">
        <v>45885</v>
      </c>
      <c r="N1283" s="6" t="s">
        <v>104</v>
      </c>
      <c r="O1283" s="21" t="s">
        <v>104</v>
      </c>
      <c r="P1283" s="6" t="s">
        <v>104</v>
      </c>
      <c r="Q1283" s="6" t="s">
        <v>104</v>
      </c>
      <c r="R1283" s="6" t="s">
        <v>104</v>
      </c>
      <c r="S1283" s="6" t="s">
        <v>104</v>
      </c>
      <c r="T1283" s="21" t="s">
        <v>104</v>
      </c>
      <c r="U1283" s="6" t="s">
        <v>104</v>
      </c>
      <c r="V1283" s="6" t="s">
        <v>104</v>
      </c>
      <c r="W1283" s="6" t="s">
        <v>104</v>
      </c>
      <c r="X1283" s="6" t="s">
        <v>104</v>
      </c>
      <c r="Y1283" s="21" t="s">
        <v>104</v>
      </c>
      <c r="Z1283" s="6" t="s">
        <v>104</v>
      </c>
      <c r="AA1283" s="6" t="s">
        <v>104</v>
      </c>
      <c r="AB1283" s="6" t="s">
        <v>104</v>
      </c>
      <c r="AC1283" s="6" t="s">
        <v>9714</v>
      </c>
      <c r="AD1283" s="16" t="n">
        <v>44551</v>
      </c>
      <c r="AE1283" s="6" t="s">
        <v>11635</v>
      </c>
      <c r="AF1283" s="6" t="s">
        <v>104</v>
      </c>
      <c r="AG1283" s="6" t="s">
        <v>12882</v>
      </c>
      <c r="AH1283" s="6" t="s">
        <v>14324</v>
      </c>
      <c r="AI1283" s="6" t="s">
        <v>104</v>
      </c>
      <c r="AJ1283" s="6" t="s">
        <v>7055</v>
      </c>
      <c r="AK1283" s="6" t="s">
        <v>16687</v>
      </c>
      <c r="AL1283" s="6" t="s">
        <v>16931</v>
      </c>
      <c r="AM1283" s="6" t="s">
        <v>17376</v>
      </c>
      <c r="AN1283" s="6" t="s">
        <v>104</v>
      </c>
      <c r="AO1283" s="6" t="s">
        <v>104</v>
      </c>
      <c r="AP1283" s="6" t="s">
        <v>14324</v>
      </c>
      <c r="AQ1283" s="6" t="s">
        <v>104</v>
      </c>
      <c r="AR1283" s="6" t="s">
        <v>7055</v>
      </c>
      <c r="AS1283" s="6" t="s">
        <v>16687</v>
      </c>
      <c r="AT1283" s="6" t="s">
        <v>16931</v>
      </c>
      <c r="AU1283" s="6" t="s">
        <v>17376</v>
      </c>
      <c r="AV1283" s="6" t="s">
        <v>104</v>
      </c>
      <c r="AW1283" s="6" t="s">
        <v>104</v>
      </c>
      <c r="AX1283" s="6" t="s">
        <v>21116</v>
      </c>
      <c r="AY1283" s="6" t="s">
        <v>22913</v>
      </c>
      <c r="AZ1283" s="6" t="s">
        <v>104</v>
      </c>
      <c r="BA1283" s="6" t="s">
        <v>24285</v>
      </c>
      <c r="BB1283" s="24" t="n">
        <v>0</v>
      </c>
      <c r="BC1283" s="26" t="s">
        <v>24533</v>
      </c>
      <c r="BD1283" s="26"/>
      <c r="BE1283" s="26"/>
      <c r="BF1283" s="26"/>
      <c r="BG1283" s="26"/>
      <c r="BH1283" s="26"/>
      <c r="BI1283" s="26"/>
      <c r="BJ1283" s="26"/>
      <c r="BK1283" s="26"/>
      <c r="BL1283" s="26"/>
      <c r="BM1283" s="26"/>
      <c r="BN1283" s="26"/>
      <c r="BO1283" s="26"/>
      <c r="BP1283" s="16" t="n">
        <v>45733</v>
      </c>
      <c r="BQ1283" s="28" t="str">
        <f>HYPERLINK("")</f>
      </c>
    </row>
    <row r="1284">
      <c r="A1284" t="s">
        <v>3</v>
      </c>
      <c r="B1284" s="6" t="s">
        <v>34</v>
      </c>
      <c r="C1284" s="6" t="s">
        <v>100</v>
      </c>
      <c r="D1284" s="6" t="s">
        <v>165</v>
      </c>
      <c r="E1284" s="10" t="s">
        <v>1482</v>
      </c>
      <c r="F1284" s="6" t="s">
        <v>3725</v>
      </c>
      <c r="G1284" s="6" t="s">
        <v>104</v>
      </c>
      <c r="H1284" s="6" t="s">
        <v>6058</v>
      </c>
      <c r="I1284" s="6" t="s">
        <v>7608</v>
      </c>
      <c r="J1284" s="6" t="s">
        <v>9088</v>
      </c>
      <c r="K1284" s="6" t="s">
        <v>9714</v>
      </c>
      <c r="L1284" s="16" t="n">
        <v>37375</v>
      </c>
      <c r="M1284" s="16" t="n">
        <v>45818</v>
      </c>
      <c r="N1284" s="6" t="s">
        <v>104</v>
      </c>
      <c r="O1284" s="21" t="s">
        <v>104</v>
      </c>
      <c r="P1284" s="6" t="s">
        <v>104</v>
      </c>
      <c r="Q1284" s="6" t="s">
        <v>104</v>
      </c>
      <c r="R1284" s="6" t="s">
        <v>104</v>
      </c>
      <c r="S1284" s="6" t="s">
        <v>104</v>
      </c>
      <c r="T1284" s="21" t="s">
        <v>104</v>
      </c>
      <c r="U1284" s="6" t="s">
        <v>104</v>
      </c>
      <c r="V1284" s="6" t="s">
        <v>104</v>
      </c>
      <c r="W1284" s="6" t="s">
        <v>104</v>
      </c>
      <c r="X1284" s="6" t="s">
        <v>104</v>
      </c>
      <c r="Y1284" s="21" t="s">
        <v>104</v>
      </c>
      <c r="Z1284" s="6" t="s">
        <v>104</v>
      </c>
      <c r="AA1284" s="6" t="s">
        <v>104</v>
      </c>
      <c r="AB1284" s="6" t="s">
        <v>104</v>
      </c>
      <c r="AC1284" s="6" t="s">
        <v>9714</v>
      </c>
      <c r="AD1284" s="16" t="n">
        <v>37375</v>
      </c>
      <c r="AE1284" s="6" t="s">
        <v>11636</v>
      </c>
      <c r="AF1284" s="6" t="s">
        <v>104</v>
      </c>
      <c r="AG1284" s="6" t="s">
        <v>12883</v>
      </c>
      <c r="AH1284" s="6" t="s">
        <v>14325</v>
      </c>
      <c r="AI1284" s="6" t="s">
        <v>104</v>
      </c>
      <c r="AJ1284" s="6" t="s">
        <v>15506</v>
      </c>
      <c r="AK1284" s="6" t="s">
        <v>16686</v>
      </c>
      <c r="AL1284" s="6" t="s">
        <v>16931</v>
      </c>
      <c r="AM1284" s="6" t="s">
        <v>17844</v>
      </c>
      <c r="AN1284" s="6" t="s">
        <v>18460</v>
      </c>
      <c r="AO1284" s="6" t="s">
        <v>18566</v>
      </c>
      <c r="AP1284" s="6" t="s">
        <v>19291</v>
      </c>
      <c r="AQ1284" s="6" t="s">
        <v>19568</v>
      </c>
      <c r="AR1284" s="6" t="s">
        <v>15506</v>
      </c>
      <c r="AS1284" s="6" t="s">
        <v>16686</v>
      </c>
      <c r="AT1284" s="6" t="s">
        <v>16931</v>
      </c>
      <c r="AU1284" s="6" t="s">
        <v>17844</v>
      </c>
      <c r="AV1284" s="6" t="s">
        <v>104</v>
      </c>
      <c r="AW1284" s="6" t="s">
        <v>104</v>
      </c>
      <c r="AX1284" s="6" t="s">
        <v>21117</v>
      </c>
      <c r="AY1284" s="6" t="s">
        <v>22914</v>
      </c>
      <c r="AZ1284" s="6" t="s">
        <v>104</v>
      </c>
      <c r="BA1284" s="6" t="s">
        <v>104</v>
      </c>
      <c r="BB1284" s="6" t="s">
        <v>104</v>
      </c>
      <c r="BC1284" s="26"/>
      <c r="BD1284" s="26"/>
      <c r="BE1284" s="26"/>
      <c r="BF1284" s="26"/>
      <c r="BG1284" s="26"/>
      <c r="BH1284" s="26"/>
      <c r="BI1284" s="26"/>
      <c r="BJ1284" s="26"/>
      <c r="BK1284" s="26"/>
      <c r="BL1284" s="26"/>
      <c r="BM1284" s="26"/>
      <c r="BN1284" s="26"/>
      <c r="BO1284" s="26"/>
      <c r="BP1284" s="16" t="n">
        <v>45737</v>
      </c>
      <c r="BQ1284" s="28" t="str">
        <f>HYPERLINK("https://organic.ams.usda.gov/Integrity/Certificate.aspx?cid=71&amp;nopid=5520031215")</f>
        <v>https://organic.ams.usda.gov/Integrity/Certificate.aspx?cid=71&amp;nopid=5520031215</v>
      </c>
    </row>
    <row r="1285">
      <c r="A1285" t="s">
        <v>3</v>
      </c>
      <c r="B1285" s="6" t="s">
        <v>21</v>
      </c>
      <c r="C1285" s="6" t="s">
        <v>87</v>
      </c>
      <c r="D1285" s="6" t="s">
        <v>152</v>
      </c>
      <c r="E1285" s="10" t="s">
        <v>1483</v>
      </c>
      <c r="F1285" s="6" t="s">
        <v>3726</v>
      </c>
      <c r="G1285" s="6" t="s">
        <v>104</v>
      </c>
      <c r="H1285" s="6" t="s">
        <v>6059</v>
      </c>
      <c r="I1285" s="6" t="s">
        <v>7695</v>
      </c>
      <c r="J1285" s="6" t="s">
        <v>9089</v>
      </c>
      <c r="K1285" s="6" t="s">
        <v>9714</v>
      </c>
      <c r="L1285" s="16" t="n">
        <v>39282</v>
      </c>
      <c r="M1285" s="16" t="n">
        <v>46023</v>
      </c>
      <c r="N1285" s="6" t="s">
        <v>9714</v>
      </c>
      <c r="O1285" s="16" t="n">
        <v>39282</v>
      </c>
      <c r="P1285" s="6" t="s">
        <v>9786</v>
      </c>
      <c r="Q1285" s="6" t="s">
        <v>104</v>
      </c>
      <c r="R1285" s="6" t="s">
        <v>104</v>
      </c>
      <c r="S1285" s="6" t="s">
        <v>104</v>
      </c>
      <c r="T1285" s="21" t="s">
        <v>104</v>
      </c>
      <c r="U1285" s="6" t="s">
        <v>104</v>
      </c>
      <c r="V1285" s="6" t="s">
        <v>104</v>
      </c>
      <c r="W1285" s="6" t="s">
        <v>104</v>
      </c>
      <c r="X1285" s="6" t="s">
        <v>104</v>
      </c>
      <c r="Y1285" s="21" t="s">
        <v>104</v>
      </c>
      <c r="Z1285" s="6" t="s">
        <v>104</v>
      </c>
      <c r="AA1285" s="6" t="s">
        <v>104</v>
      </c>
      <c r="AB1285" s="6" t="s">
        <v>104</v>
      </c>
      <c r="AC1285" s="6" t="s">
        <v>9714</v>
      </c>
      <c r="AD1285" s="16" t="n">
        <v>43357</v>
      </c>
      <c r="AE1285" s="6" t="s">
        <v>11637</v>
      </c>
      <c r="AF1285" s="6" t="s">
        <v>104</v>
      </c>
      <c r="AG1285" s="6" t="s">
        <v>104</v>
      </c>
      <c r="AH1285" s="6" t="s">
        <v>14326</v>
      </c>
      <c r="AI1285" s="6" t="s">
        <v>104</v>
      </c>
      <c r="AJ1285" s="6" t="s">
        <v>16184</v>
      </c>
      <c r="AK1285" s="6" t="s">
        <v>16705</v>
      </c>
      <c r="AL1285" s="6" t="s">
        <v>16931</v>
      </c>
      <c r="AM1285" s="6" t="s">
        <v>17845</v>
      </c>
      <c r="AN1285" s="6" t="s">
        <v>18473</v>
      </c>
      <c r="AO1285" s="6" t="s">
        <v>18812</v>
      </c>
      <c r="AP1285" s="6" t="s">
        <v>14326</v>
      </c>
      <c r="AQ1285" s="6" t="s">
        <v>104</v>
      </c>
      <c r="AR1285" s="6" t="s">
        <v>16184</v>
      </c>
      <c r="AS1285" s="6" t="s">
        <v>16705</v>
      </c>
      <c r="AT1285" s="6" t="s">
        <v>16931</v>
      </c>
      <c r="AU1285" s="6" t="s">
        <v>17845</v>
      </c>
      <c r="AV1285" s="6" t="s">
        <v>104</v>
      </c>
      <c r="AW1285" s="6" t="s">
        <v>104</v>
      </c>
      <c r="AX1285" s="6" t="s">
        <v>21118</v>
      </c>
      <c r="AY1285" s="6" t="s">
        <v>22915</v>
      </c>
      <c r="AZ1285" s="6" t="s">
        <v>104</v>
      </c>
      <c r="BA1285" s="6" t="s">
        <v>24431</v>
      </c>
      <c r="BB1285" s="24" t="n">
        <v>4797</v>
      </c>
      <c r="BC1285" s="26"/>
      <c r="BD1285" s="26"/>
      <c r="BE1285" s="26"/>
      <c r="BF1285" s="26"/>
      <c r="BG1285" s="26"/>
      <c r="BH1285" s="26"/>
      <c r="BI1285" s="26"/>
      <c r="BJ1285" s="26"/>
      <c r="BK1285" s="26"/>
      <c r="BL1285" s="26"/>
      <c r="BM1285" s="26"/>
      <c r="BN1285" s="26"/>
      <c r="BO1285" s="26"/>
      <c r="BP1285" s="16" t="n">
        <v>45709</v>
      </c>
      <c r="BQ1285" s="28" t="str">
        <f>HYPERLINK("https://organic.ams.usda.gov/Integrity/Certificate.aspx?cid=15&amp;nopid=5561000028")</f>
        <v>https://organic.ams.usda.gov/Integrity/Certificate.aspx?cid=15&amp;nopid=5561000028</v>
      </c>
    </row>
    <row r="1286">
      <c r="A1286" t="s">
        <v>3</v>
      </c>
      <c r="B1286" s="6" t="s">
        <v>54</v>
      </c>
      <c r="C1286" s="6" t="s">
        <v>120</v>
      </c>
      <c r="D1286" s="6" t="s">
        <v>184</v>
      </c>
      <c r="E1286" s="10" t="s">
        <v>1484</v>
      </c>
      <c r="F1286" s="6" t="s">
        <v>3727</v>
      </c>
      <c r="G1286" s="6" t="s">
        <v>104</v>
      </c>
      <c r="H1286" s="6" t="s">
        <v>6060</v>
      </c>
      <c r="I1286" s="6" t="s">
        <v>7216</v>
      </c>
      <c r="J1286" s="6" t="s">
        <v>9090</v>
      </c>
      <c r="K1286" s="6" t="s">
        <v>9714</v>
      </c>
      <c r="L1286" s="16" t="n">
        <v>43691</v>
      </c>
      <c r="M1286" s="16" t="n">
        <v>45717</v>
      </c>
      <c r="N1286" s="6" t="s">
        <v>9714</v>
      </c>
      <c r="O1286" s="16" t="n">
        <v>43691</v>
      </c>
      <c r="P1286" s="6" t="s">
        <v>10091</v>
      </c>
      <c r="Q1286" s="6" t="s">
        <v>104</v>
      </c>
      <c r="R1286" s="6" t="s">
        <v>104</v>
      </c>
      <c r="S1286" s="6" t="s">
        <v>104</v>
      </c>
      <c r="T1286" s="21" t="s">
        <v>104</v>
      </c>
      <c r="U1286" s="6" t="s">
        <v>104</v>
      </c>
      <c r="V1286" s="6" t="s">
        <v>104</v>
      </c>
      <c r="W1286" s="6" t="s">
        <v>104</v>
      </c>
      <c r="X1286" s="6" t="s">
        <v>104</v>
      </c>
      <c r="Y1286" s="21" t="s">
        <v>104</v>
      </c>
      <c r="Z1286" s="6" t="s">
        <v>104</v>
      </c>
      <c r="AA1286" s="6" t="s">
        <v>104</v>
      </c>
      <c r="AB1286" s="6" t="s">
        <v>104</v>
      </c>
      <c r="AC1286" s="6" t="s">
        <v>104</v>
      </c>
      <c r="AD1286" s="21" t="s">
        <v>104</v>
      </c>
      <c r="AE1286" s="6" t="s">
        <v>104</v>
      </c>
      <c r="AF1286" s="6" t="s">
        <v>104</v>
      </c>
      <c r="AG1286" s="6" t="s">
        <v>104</v>
      </c>
      <c r="AH1286" s="6" t="s">
        <v>14327</v>
      </c>
      <c r="AI1286" s="6" t="s">
        <v>104</v>
      </c>
      <c r="AJ1286" s="6" t="s">
        <v>15910</v>
      </c>
      <c r="AK1286" s="6" t="s">
        <v>16743</v>
      </c>
      <c r="AL1286" s="6" t="s">
        <v>16931</v>
      </c>
      <c r="AM1286" s="6" t="s">
        <v>17544</v>
      </c>
      <c r="AN1286" s="6" t="s">
        <v>18507</v>
      </c>
      <c r="AO1286" s="6" t="s">
        <v>18630</v>
      </c>
      <c r="AP1286" s="6" t="s">
        <v>104</v>
      </c>
      <c r="AQ1286" s="6" t="s">
        <v>104</v>
      </c>
      <c r="AR1286" s="6" t="s">
        <v>104</v>
      </c>
      <c r="AS1286" s="6" t="s">
        <v>104</v>
      </c>
      <c r="AT1286" s="6" t="s">
        <v>104</v>
      </c>
      <c r="AU1286" s="6" t="s">
        <v>104</v>
      </c>
      <c r="AV1286" s="6" t="s">
        <v>104</v>
      </c>
      <c r="AW1286" s="6" t="s">
        <v>104</v>
      </c>
      <c r="AX1286" s="6" t="s">
        <v>21119</v>
      </c>
      <c r="AY1286" s="6" t="s">
        <v>22916</v>
      </c>
      <c r="AZ1286" s="6" t="s">
        <v>104</v>
      </c>
      <c r="BA1286" s="6" t="s">
        <v>24267</v>
      </c>
      <c r="BB1286" s="24" t="n">
        <v>184</v>
      </c>
      <c r="BC1286" s="26"/>
      <c r="BD1286" s="26"/>
      <c r="BE1286" s="26"/>
      <c r="BF1286" s="26"/>
      <c r="BG1286" s="26"/>
      <c r="BH1286" s="26"/>
      <c r="BI1286" s="26"/>
      <c r="BJ1286" s="26"/>
      <c r="BK1286" s="26"/>
      <c r="BL1286" s="26"/>
      <c r="BM1286" s="26"/>
      <c r="BN1286" s="26"/>
      <c r="BO1286" s="26"/>
      <c r="BP1286" s="16" t="n">
        <v>45672</v>
      </c>
      <c r="BQ1286" s="28" t="str">
        <f>HYPERLINK("https://organic.ams.usda.gov/Integrity/Certificate.aspx?cid=60&amp;nopid=2580003016")</f>
        <v>https://organic.ams.usda.gov/Integrity/Certificate.aspx?cid=60&amp;nopid=2580003016</v>
      </c>
    </row>
    <row r="1287">
      <c r="A1287" t="s">
        <v>3</v>
      </c>
      <c r="B1287" s="6" t="s">
        <v>15</v>
      </c>
      <c r="C1287" s="6" t="s">
        <v>81</v>
      </c>
      <c r="D1287" s="6" t="s">
        <v>146</v>
      </c>
      <c r="E1287" s="10" t="s">
        <v>1485</v>
      </c>
      <c r="F1287" s="6" t="s">
        <v>3728</v>
      </c>
      <c r="G1287" s="6" t="s">
        <v>104</v>
      </c>
      <c r="H1287" s="6" t="s">
        <v>6061</v>
      </c>
      <c r="I1287" s="6" t="s">
        <v>104</v>
      </c>
      <c r="J1287" s="6" t="s">
        <v>104</v>
      </c>
      <c r="K1287" s="6" t="s">
        <v>9714</v>
      </c>
      <c r="L1287" s="16" t="n">
        <v>44265</v>
      </c>
      <c r="M1287" s="16" t="n">
        <v>45748</v>
      </c>
      <c r="N1287" s="6" t="s">
        <v>104</v>
      </c>
      <c r="O1287" s="21" t="s">
        <v>104</v>
      </c>
      <c r="P1287" s="6" t="s">
        <v>104</v>
      </c>
      <c r="Q1287" s="6" t="s">
        <v>104</v>
      </c>
      <c r="R1287" s="6" t="s">
        <v>104</v>
      </c>
      <c r="S1287" s="6" t="s">
        <v>104</v>
      </c>
      <c r="T1287" s="21" t="s">
        <v>104</v>
      </c>
      <c r="U1287" s="6" t="s">
        <v>104</v>
      </c>
      <c r="V1287" s="6" t="s">
        <v>104</v>
      </c>
      <c r="W1287" s="6" t="s">
        <v>104</v>
      </c>
      <c r="X1287" s="6" t="s">
        <v>104</v>
      </c>
      <c r="Y1287" s="21" t="s">
        <v>104</v>
      </c>
      <c r="Z1287" s="6" t="s">
        <v>104</v>
      </c>
      <c r="AA1287" s="6" t="s">
        <v>104</v>
      </c>
      <c r="AB1287" s="6" t="s">
        <v>104</v>
      </c>
      <c r="AC1287" s="6" t="s">
        <v>9714</v>
      </c>
      <c r="AD1287" s="16" t="n">
        <v>44265</v>
      </c>
      <c r="AE1287" s="6" t="s">
        <v>11638</v>
      </c>
      <c r="AF1287" s="6" t="s">
        <v>104</v>
      </c>
      <c r="AG1287" s="6" t="s">
        <v>12884</v>
      </c>
      <c r="AH1287" s="6" t="s">
        <v>13391</v>
      </c>
      <c r="AI1287" s="6" t="s">
        <v>104</v>
      </c>
      <c r="AJ1287" s="6" t="s">
        <v>15541</v>
      </c>
      <c r="AK1287" s="6" t="s">
        <v>16714</v>
      </c>
      <c r="AL1287" s="6" t="s">
        <v>16931</v>
      </c>
      <c r="AM1287" s="6" t="s">
        <v>17160</v>
      </c>
      <c r="AN1287" s="6" t="s">
        <v>18459</v>
      </c>
      <c r="AO1287" s="6" t="s">
        <v>18617</v>
      </c>
      <c r="AP1287" s="6" t="s">
        <v>104</v>
      </c>
      <c r="AQ1287" s="6" t="s">
        <v>104</v>
      </c>
      <c r="AR1287" s="6" t="s">
        <v>104</v>
      </c>
      <c r="AS1287" s="6" t="s">
        <v>104</v>
      </c>
      <c r="AT1287" s="6" t="s">
        <v>104</v>
      </c>
      <c r="AU1287" s="6" t="s">
        <v>104</v>
      </c>
      <c r="AV1287" s="6" t="s">
        <v>104</v>
      </c>
      <c r="AW1287" s="6" t="s">
        <v>104</v>
      </c>
      <c r="AX1287" s="6" t="s">
        <v>21120</v>
      </c>
      <c r="AY1287" s="6" t="s">
        <v>22917</v>
      </c>
      <c r="AZ1287" s="6" t="s">
        <v>24009</v>
      </c>
      <c r="BA1287" s="6" t="s">
        <v>104</v>
      </c>
      <c r="BB1287" s="6" t="s">
        <v>104</v>
      </c>
      <c r="BC1287" s="26"/>
      <c r="BD1287" s="26"/>
      <c r="BE1287" s="26"/>
      <c r="BF1287" s="26"/>
      <c r="BG1287" s="26"/>
      <c r="BH1287" s="26"/>
      <c r="BI1287" s="26"/>
      <c r="BJ1287" s="26"/>
      <c r="BK1287" s="26"/>
      <c r="BL1287" s="26"/>
      <c r="BM1287" s="26"/>
      <c r="BN1287" s="26"/>
      <c r="BO1287" s="26"/>
      <c r="BP1287" s="16" t="n">
        <v>45738</v>
      </c>
      <c r="BQ1287" s="28" t="str">
        <f>HYPERLINK("https://organic.ams.usda.gov/Integrity/Certificate.aspx?cid=52&amp;nopid=8432101927")</f>
        <v>https://organic.ams.usda.gov/Integrity/Certificate.aspx?cid=52&amp;nopid=8432101927</v>
      </c>
    </row>
    <row r="1288">
      <c r="A1288" t="s">
        <v>3</v>
      </c>
      <c r="B1288" s="6" t="s">
        <v>29</v>
      </c>
      <c r="C1288" s="6" t="s">
        <v>95</v>
      </c>
      <c r="D1288" s="6" t="s">
        <v>160</v>
      </c>
      <c r="E1288" s="10" t="s">
        <v>1486</v>
      </c>
      <c r="F1288" s="6" t="s">
        <v>3729</v>
      </c>
      <c r="G1288" s="6" t="s">
        <v>104</v>
      </c>
      <c r="H1288" s="6" t="s">
        <v>6062</v>
      </c>
      <c r="I1288" s="6" t="s">
        <v>104</v>
      </c>
      <c r="J1288" s="6" t="s">
        <v>9091</v>
      </c>
      <c r="K1288" s="6" t="s">
        <v>9714</v>
      </c>
      <c r="L1288" s="16" t="n">
        <v>40824</v>
      </c>
      <c r="M1288" s="16" t="n">
        <v>46054</v>
      </c>
      <c r="N1288" s="6" t="s">
        <v>104</v>
      </c>
      <c r="O1288" s="21" t="s">
        <v>104</v>
      </c>
      <c r="P1288" s="6" t="s">
        <v>104</v>
      </c>
      <c r="Q1288" s="6" t="s">
        <v>104</v>
      </c>
      <c r="R1288" s="6" t="s">
        <v>104</v>
      </c>
      <c r="S1288" s="6" t="s">
        <v>104</v>
      </c>
      <c r="T1288" s="21" t="s">
        <v>104</v>
      </c>
      <c r="U1288" s="6" t="s">
        <v>104</v>
      </c>
      <c r="V1288" s="6" t="s">
        <v>104</v>
      </c>
      <c r="W1288" s="6" t="s">
        <v>104</v>
      </c>
      <c r="X1288" s="6" t="s">
        <v>104</v>
      </c>
      <c r="Y1288" s="21" t="s">
        <v>104</v>
      </c>
      <c r="Z1288" s="6" t="s">
        <v>104</v>
      </c>
      <c r="AA1288" s="6" t="s">
        <v>104</v>
      </c>
      <c r="AB1288" s="6" t="s">
        <v>104</v>
      </c>
      <c r="AC1288" s="6" t="s">
        <v>9714</v>
      </c>
      <c r="AD1288" s="16" t="n">
        <v>40824</v>
      </c>
      <c r="AE1288" s="6" t="s">
        <v>11639</v>
      </c>
      <c r="AF1288" s="6" t="s">
        <v>104</v>
      </c>
      <c r="AG1288" s="6" t="s">
        <v>104</v>
      </c>
      <c r="AH1288" s="6" t="s">
        <v>14328</v>
      </c>
      <c r="AI1288" s="6" t="s">
        <v>104</v>
      </c>
      <c r="AJ1288" s="6" t="s">
        <v>16185</v>
      </c>
      <c r="AK1288" s="6" t="s">
        <v>16185</v>
      </c>
      <c r="AL1288" s="6" t="s">
        <v>16976</v>
      </c>
      <c r="AM1288" s="6" t="s">
        <v>17846</v>
      </c>
      <c r="AN1288" s="6" t="s">
        <v>104</v>
      </c>
      <c r="AO1288" s="6" t="s">
        <v>104</v>
      </c>
      <c r="AP1288" s="6" t="s">
        <v>104</v>
      </c>
      <c r="AQ1288" s="6" t="s">
        <v>104</v>
      </c>
      <c r="AR1288" s="6" t="s">
        <v>104</v>
      </c>
      <c r="AS1288" s="6" t="s">
        <v>104</v>
      </c>
      <c r="AT1288" s="6" t="s">
        <v>104</v>
      </c>
      <c r="AU1288" s="6" t="s">
        <v>104</v>
      </c>
      <c r="AV1288" s="6" t="s">
        <v>104</v>
      </c>
      <c r="AW1288" s="6" t="s">
        <v>104</v>
      </c>
      <c r="AX1288" s="6" t="s">
        <v>21121</v>
      </c>
      <c r="AY1288" s="6" t="s">
        <v>22918</v>
      </c>
      <c r="AZ1288" s="6" t="s">
        <v>104</v>
      </c>
      <c r="BA1288" s="6" t="s">
        <v>104</v>
      </c>
      <c r="BB1288" s="24" t="n">
        <v>0</v>
      </c>
      <c r="BC1288" s="26"/>
      <c r="BD1288" s="26"/>
      <c r="BE1288" s="26"/>
      <c r="BF1288" s="26"/>
      <c r="BG1288" s="26"/>
      <c r="BH1288" s="26"/>
      <c r="BI1288" s="26"/>
      <c r="BJ1288" s="26"/>
      <c r="BK1288" s="26"/>
      <c r="BL1288" s="26"/>
      <c r="BM1288" s="26"/>
      <c r="BN1288" s="26"/>
      <c r="BO1288" s="26"/>
      <c r="BP1288" s="16" t="n">
        <v>45691</v>
      </c>
      <c r="BQ1288" s="28" t="str">
        <f>HYPERLINK("https://organic.ams.usda.gov/Integrity/Certificate.aspx?cid=24&amp;nopid=7887791600")</f>
        <v>https://organic.ams.usda.gov/Integrity/Certificate.aspx?cid=24&amp;nopid=7887791600</v>
      </c>
    </row>
    <row r="1289">
      <c r="A1289" t="s">
        <v>3</v>
      </c>
      <c r="B1289" s="6" t="s">
        <v>20</v>
      </c>
      <c r="C1289" s="6" t="s">
        <v>86</v>
      </c>
      <c r="D1289" s="6" t="s">
        <v>151</v>
      </c>
      <c r="E1289" s="10" t="s">
        <v>1487</v>
      </c>
      <c r="F1289" s="6" t="s">
        <v>3730</v>
      </c>
      <c r="G1289" s="6" t="s">
        <v>104</v>
      </c>
      <c r="H1289" s="6" t="s">
        <v>6063</v>
      </c>
      <c r="I1289" s="6" t="s">
        <v>7696</v>
      </c>
      <c r="J1289" s="6" t="s">
        <v>9092</v>
      </c>
      <c r="K1289" s="6" t="s">
        <v>9714</v>
      </c>
      <c r="L1289" s="16" t="n">
        <v>42060</v>
      </c>
      <c r="M1289" s="16" t="n">
        <v>45808</v>
      </c>
      <c r="N1289" s="6" t="s">
        <v>9714</v>
      </c>
      <c r="O1289" s="16" t="n">
        <v>42060</v>
      </c>
      <c r="P1289" s="6" t="s">
        <v>10092</v>
      </c>
      <c r="Q1289" s="6" t="s">
        <v>104</v>
      </c>
      <c r="R1289" s="6" t="s">
        <v>10396</v>
      </c>
      <c r="S1289" s="6" t="s">
        <v>104</v>
      </c>
      <c r="T1289" s="21" t="s">
        <v>104</v>
      </c>
      <c r="U1289" s="6" t="s">
        <v>104</v>
      </c>
      <c r="V1289" s="6" t="s">
        <v>104</v>
      </c>
      <c r="W1289" s="6" t="s">
        <v>104</v>
      </c>
      <c r="X1289" s="6" t="s">
        <v>104</v>
      </c>
      <c r="Y1289" s="21" t="s">
        <v>104</v>
      </c>
      <c r="Z1289" s="6" t="s">
        <v>104</v>
      </c>
      <c r="AA1289" s="6" t="s">
        <v>104</v>
      </c>
      <c r="AB1289" s="6" t="s">
        <v>104</v>
      </c>
      <c r="AC1289" s="6" t="s">
        <v>9714</v>
      </c>
      <c r="AD1289" s="16" t="n">
        <v>42060</v>
      </c>
      <c r="AE1289" s="6" t="s">
        <v>11640</v>
      </c>
      <c r="AF1289" s="6" t="s">
        <v>104</v>
      </c>
      <c r="AG1289" s="6" t="s">
        <v>10396</v>
      </c>
      <c r="AH1289" s="6" t="s">
        <v>14329</v>
      </c>
      <c r="AI1289" s="6" t="s">
        <v>104</v>
      </c>
      <c r="AJ1289" s="6" t="s">
        <v>16186</v>
      </c>
      <c r="AK1289" s="6" t="s">
        <v>16865</v>
      </c>
      <c r="AL1289" s="6" t="s">
        <v>15513</v>
      </c>
      <c r="AM1289" s="6" t="s">
        <v>17847</v>
      </c>
      <c r="AN1289" s="6" t="s">
        <v>104</v>
      </c>
      <c r="AO1289" s="6" t="s">
        <v>104</v>
      </c>
      <c r="AP1289" s="6" t="s">
        <v>104</v>
      </c>
      <c r="AQ1289" s="6" t="s">
        <v>104</v>
      </c>
      <c r="AR1289" s="6" t="s">
        <v>104</v>
      </c>
      <c r="AS1289" s="6" t="s">
        <v>104</v>
      </c>
      <c r="AT1289" s="6" t="s">
        <v>104</v>
      </c>
      <c r="AU1289" s="6" t="s">
        <v>104</v>
      </c>
      <c r="AV1289" s="6" t="s">
        <v>104</v>
      </c>
      <c r="AW1289" s="6" t="s">
        <v>104</v>
      </c>
      <c r="AX1289" s="6" t="s">
        <v>21122</v>
      </c>
      <c r="AY1289" s="6" t="s">
        <v>22919</v>
      </c>
      <c r="AZ1289" s="6" t="s">
        <v>104</v>
      </c>
      <c r="BA1289" s="6" t="s">
        <v>24432</v>
      </c>
      <c r="BB1289" s="24" t="n">
        <v>1003</v>
      </c>
      <c r="BC1289" s="26"/>
      <c r="BD1289" s="26"/>
      <c r="BE1289" s="26"/>
      <c r="BF1289" s="26"/>
      <c r="BG1289" s="26"/>
      <c r="BH1289" s="26"/>
      <c r="BI1289" s="26"/>
      <c r="BJ1289" s="26"/>
      <c r="BK1289" s="26"/>
      <c r="BL1289" s="26"/>
      <c r="BM1289" s="26"/>
      <c r="BN1289" s="26"/>
      <c r="BO1289" s="26" t="s">
        <v>24533</v>
      </c>
      <c r="BP1289" s="16" t="n">
        <v>45614</v>
      </c>
      <c r="BQ1289" s="28" t="str">
        <f>HYPERLINK("https://organic.ams.usda.gov/Integrity/Certificate.aspx?cid=17&amp;nopid=4083800009")</f>
        <v>https://organic.ams.usda.gov/Integrity/Certificate.aspx?cid=17&amp;nopid=4083800009</v>
      </c>
    </row>
    <row r="1290">
      <c r="A1290" t="s">
        <v>3</v>
      </c>
      <c r="B1290" s="6" t="s">
        <v>11</v>
      </c>
      <c r="C1290" s="6" t="s">
        <v>77</v>
      </c>
      <c r="D1290" s="6" t="s">
        <v>142</v>
      </c>
      <c r="E1290" s="10" t="s">
        <v>1488</v>
      </c>
      <c r="F1290" s="6" t="s">
        <v>3731</v>
      </c>
      <c r="G1290" s="6" t="s">
        <v>104</v>
      </c>
      <c r="H1290" s="6" t="s">
        <v>1488</v>
      </c>
      <c r="I1290" s="6" t="s">
        <v>7697</v>
      </c>
      <c r="J1290" s="6" t="s">
        <v>9093</v>
      </c>
      <c r="K1290" s="6" t="s">
        <v>9714</v>
      </c>
      <c r="L1290" s="16" t="n">
        <v>44739</v>
      </c>
      <c r="M1290" s="16" t="n">
        <v>45814</v>
      </c>
      <c r="N1290" s="6" t="s">
        <v>104</v>
      </c>
      <c r="O1290" s="21" t="s">
        <v>104</v>
      </c>
      <c r="P1290" s="6" t="s">
        <v>104</v>
      </c>
      <c r="Q1290" s="6" t="s">
        <v>104</v>
      </c>
      <c r="R1290" s="6" t="s">
        <v>104</v>
      </c>
      <c r="S1290" s="6" t="s">
        <v>104</v>
      </c>
      <c r="T1290" s="21" t="s">
        <v>104</v>
      </c>
      <c r="U1290" s="6" t="s">
        <v>104</v>
      </c>
      <c r="V1290" s="6" t="s">
        <v>104</v>
      </c>
      <c r="W1290" s="6" t="s">
        <v>104</v>
      </c>
      <c r="X1290" s="6" t="s">
        <v>104</v>
      </c>
      <c r="Y1290" s="21" t="s">
        <v>104</v>
      </c>
      <c r="Z1290" s="6" t="s">
        <v>104</v>
      </c>
      <c r="AA1290" s="6" t="s">
        <v>104</v>
      </c>
      <c r="AB1290" s="6" t="s">
        <v>104</v>
      </c>
      <c r="AC1290" s="6" t="s">
        <v>9714</v>
      </c>
      <c r="AD1290" s="16" t="n">
        <v>44739</v>
      </c>
      <c r="AE1290" s="6" t="s">
        <v>11641</v>
      </c>
      <c r="AF1290" s="6" t="s">
        <v>104</v>
      </c>
      <c r="AG1290" s="6" t="s">
        <v>12885</v>
      </c>
      <c r="AH1290" s="6" t="s">
        <v>14330</v>
      </c>
      <c r="AI1290" s="6" t="s">
        <v>104</v>
      </c>
      <c r="AJ1290" s="6" t="s">
        <v>16187</v>
      </c>
      <c r="AK1290" s="6" t="s">
        <v>16001</v>
      </c>
      <c r="AL1290" s="6" t="s">
        <v>16932</v>
      </c>
      <c r="AM1290" s="6" t="s">
        <v>17102</v>
      </c>
      <c r="AN1290" s="6" t="s">
        <v>104</v>
      </c>
      <c r="AO1290" s="6" t="s">
        <v>104</v>
      </c>
      <c r="AP1290" s="6" t="s">
        <v>14330</v>
      </c>
      <c r="AQ1290" s="6" t="s">
        <v>104</v>
      </c>
      <c r="AR1290" s="6" t="s">
        <v>16187</v>
      </c>
      <c r="AS1290" s="6" t="s">
        <v>16001</v>
      </c>
      <c r="AT1290" s="6" t="s">
        <v>16932</v>
      </c>
      <c r="AU1290" s="6" t="s">
        <v>17102</v>
      </c>
      <c r="AV1290" s="6" t="s">
        <v>104</v>
      </c>
      <c r="AW1290" s="6" t="s">
        <v>104</v>
      </c>
      <c r="AX1290" s="6" t="s">
        <v>21123</v>
      </c>
      <c r="AY1290" s="6" t="s">
        <v>22920</v>
      </c>
      <c r="AZ1290" s="6" t="s">
        <v>104</v>
      </c>
      <c r="BA1290" s="6" t="s">
        <v>104</v>
      </c>
      <c r="BB1290" s="6" t="s">
        <v>104</v>
      </c>
      <c r="BC1290" s="26"/>
      <c r="BD1290" s="26"/>
      <c r="BE1290" s="26"/>
      <c r="BF1290" s="26"/>
      <c r="BG1290" s="26"/>
      <c r="BH1290" s="26"/>
      <c r="BI1290" s="26"/>
      <c r="BJ1290" s="26"/>
      <c r="BK1290" s="26"/>
      <c r="BL1290" s="26"/>
      <c r="BM1290" s="26"/>
      <c r="BN1290" s="26" t="s">
        <v>24533</v>
      </c>
      <c r="BO1290" s="26"/>
      <c r="BP1290" s="16" t="n">
        <v>45468</v>
      </c>
      <c r="BQ1290" s="28" t="str">
        <f>HYPERLINK("https://organic.ams.usda.gov/Integrity/Certificate.aspx?cid=21&amp;nopid=1780833549")</f>
        <v>https://organic.ams.usda.gov/Integrity/Certificate.aspx?cid=21&amp;nopid=1780833549</v>
      </c>
    </row>
    <row r="1291">
      <c r="A1291" t="s">
        <v>3</v>
      </c>
      <c r="B1291" s="6" t="s">
        <v>21</v>
      </c>
      <c r="C1291" s="6" t="s">
        <v>87</v>
      </c>
      <c r="D1291" s="6" t="s">
        <v>152</v>
      </c>
      <c r="E1291" s="10" t="s">
        <v>1489</v>
      </c>
      <c r="F1291" s="6" t="s">
        <v>3732</v>
      </c>
      <c r="G1291" s="6" t="s">
        <v>104</v>
      </c>
      <c r="H1291" s="6" t="s">
        <v>6064</v>
      </c>
      <c r="I1291" s="6" t="s">
        <v>7698</v>
      </c>
      <c r="J1291" s="6" t="s">
        <v>9094</v>
      </c>
      <c r="K1291" s="6" t="s">
        <v>9714</v>
      </c>
      <c r="L1291" s="16" t="n">
        <v>45118</v>
      </c>
      <c r="M1291" s="16" t="n">
        <v>46023</v>
      </c>
      <c r="N1291" s="6" t="s">
        <v>104</v>
      </c>
      <c r="O1291" s="21" t="s">
        <v>104</v>
      </c>
      <c r="P1291" s="6" t="s">
        <v>104</v>
      </c>
      <c r="Q1291" s="6" t="s">
        <v>104</v>
      </c>
      <c r="R1291" s="6" t="s">
        <v>104</v>
      </c>
      <c r="S1291" s="6" t="s">
        <v>104</v>
      </c>
      <c r="T1291" s="21" t="s">
        <v>104</v>
      </c>
      <c r="U1291" s="6" t="s">
        <v>104</v>
      </c>
      <c r="V1291" s="6" t="s">
        <v>104</v>
      </c>
      <c r="W1291" s="6" t="s">
        <v>104</v>
      </c>
      <c r="X1291" s="6" t="s">
        <v>104</v>
      </c>
      <c r="Y1291" s="21" t="s">
        <v>104</v>
      </c>
      <c r="Z1291" s="6" t="s">
        <v>104</v>
      </c>
      <c r="AA1291" s="6" t="s">
        <v>104</v>
      </c>
      <c r="AB1291" s="6" t="s">
        <v>104</v>
      </c>
      <c r="AC1291" s="6" t="s">
        <v>9714</v>
      </c>
      <c r="AD1291" s="16" t="n">
        <v>45118</v>
      </c>
      <c r="AE1291" s="6" t="s">
        <v>11642</v>
      </c>
      <c r="AF1291" s="6" t="s">
        <v>104</v>
      </c>
      <c r="AG1291" s="6" t="s">
        <v>104</v>
      </c>
      <c r="AH1291" s="6" t="s">
        <v>14331</v>
      </c>
      <c r="AI1291" s="6" t="s">
        <v>104</v>
      </c>
      <c r="AJ1291" s="6" t="s">
        <v>15417</v>
      </c>
      <c r="AK1291" s="6" t="s">
        <v>16687</v>
      </c>
      <c r="AL1291" s="6" t="s">
        <v>16931</v>
      </c>
      <c r="AM1291" s="6" t="s">
        <v>17848</v>
      </c>
      <c r="AN1291" s="6" t="s">
        <v>18517</v>
      </c>
      <c r="AO1291" s="6" t="s">
        <v>18726</v>
      </c>
      <c r="AP1291" s="6" t="s">
        <v>14331</v>
      </c>
      <c r="AQ1291" s="6" t="s">
        <v>104</v>
      </c>
      <c r="AR1291" s="6" t="s">
        <v>15417</v>
      </c>
      <c r="AS1291" s="6" t="s">
        <v>16687</v>
      </c>
      <c r="AT1291" s="6" t="s">
        <v>16931</v>
      </c>
      <c r="AU1291" s="6" t="s">
        <v>17848</v>
      </c>
      <c r="AV1291" s="6" t="s">
        <v>104</v>
      </c>
      <c r="AW1291" s="6" t="s">
        <v>104</v>
      </c>
      <c r="AX1291" s="6" t="s">
        <v>21124</v>
      </c>
      <c r="AY1291" s="6" t="s">
        <v>22921</v>
      </c>
      <c r="AZ1291" s="6" t="s">
        <v>24010</v>
      </c>
      <c r="BA1291" s="6" t="s">
        <v>24263</v>
      </c>
      <c r="BB1291" s="6" t="s">
        <v>104</v>
      </c>
      <c r="BC1291" s="26" t="s">
        <v>24533</v>
      </c>
      <c r="BD1291" s="26"/>
      <c r="BE1291" s="26"/>
      <c r="BF1291" s="26"/>
      <c r="BG1291" s="26"/>
      <c r="BH1291" s="26" t="s">
        <v>24533</v>
      </c>
      <c r="BI1291" s="26"/>
      <c r="BJ1291" s="26"/>
      <c r="BK1291" s="26"/>
      <c r="BL1291" s="26"/>
      <c r="BM1291" s="26"/>
      <c r="BN1291" s="26"/>
      <c r="BO1291" s="26"/>
      <c r="BP1291" s="16" t="n">
        <v>45713</v>
      </c>
      <c r="BQ1291" s="28" t="str">
        <f>HYPERLINK("https://organic.ams.usda.gov/Integrity/Certificate.aspx?cid=15&amp;nopid=5561007755")</f>
        <v>https://organic.ams.usda.gov/Integrity/Certificate.aspx?cid=15&amp;nopid=5561007755</v>
      </c>
    </row>
    <row r="1292">
      <c r="A1292" t="s">
        <v>3</v>
      </c>
      <c r="B1292" s="6" t="s">
        <v>54</v>
      </c>
      <c r="C1292" s="6" t="s">
        <v>120</v>
      </c>
      <c r="D1292" s="6" t="s">
        <v>184</v>
      </c>
      <c r="E1292" s="10" t="s">
        <v>1490</v>
      </c>
      <c r="F1292" s="6" t="s">
        <v>3733</v>
      </c>
      <c r="G1292" s="6" t="s">
        <v>104</v>
      </c>
      <c r="H1292" s="6" t="s">
        <v>6065</v>
      </c>
      <c r="I1292" s="6" t="s">
        <v>7699</v>
      </c>
      <c r="J1292" s="6" t="s">
        <v>9095</v>
      </c>
      <c r="K1292" s="6" t="s">
        <v>9714</v>
      </c>
      <c r="L1292" s="16" t="n">
        <v>44025</v>
      </c>
      <c r="M1292" s="16" t="n">
        <v>45717</v>
      </c>
      <c r="N1292" s="6" t="s">
        <v>9714</v>
      </c>
      <c r="O1292" s="16" t="n">
        <v>44025</v>
      </c>
      <c r="P1292" s="6" t="s">
        <v>10093</v>
      </c>
      <c r="Q1292" s="6" t="s">
        <v>104</v>
      </c>
      <c r="R1292" s="6" t="s">
        <v>104</v>
      </c>
      <c r="S1292" s="6" t="s">
        <v>104</v>
      </c>
      <c r="T1292" s="21" t="s">
        <v>104</v>
      </c>
      <c r="U1292" s="6" t="s">
        <v>104</v>
      </c>
      <c r="V1292" s="6" t="s">
        <v>104</v>
      </c>
      <c r="W1292" s="6" t="s">
        <v>104</v>
      </c>
      <c r="X1292" s="6" t="s">
        <v>104</v>
      </c>
      <c r="Y1292" s="21" t="s">
        <v>104</v>
      </c>
      <c r="Z1292" s="6" t="s">
        <v>104</v>
      </c>
      <c r="AA1292" s="6" t="s">
        <v>104</v>
      </c>
      <c r="AB1292" s="6" t="s">
        <v>104</v>
      </c>
      <c r="AC1292" s="6" t="s">
        <v>104</v>
      </c>
      <c r="AD1292" s="21" t="s">
        <v>104</v>
      </c>
      <c r="AE1292" s="6" t="s">
        <v>104</v>
      </c>
      <c r="AF1292" s="6" t="s">
        <v>104</v>
      </c>
      <c r="AG1292" s="6" t="s">
        <v>104</v>
      </c>
      <c r="AH1292" s="6" t="s">
        <v>14332</v>
      </c>
      <c r="AI1292" s="6" t="s">
        <v>104</v>
      </c>
      <c r="AJ1292" s="6" t="s">
        <v>16188</v>
      </c>
      <c r="AK1292" s="6" t="s">
        <v>16743</v>
      </c>
      <c r="AL1292" s="6" t="s">
        <v>16931</v>
      </c>
      <c r="AM1292" s="6" t="s">
        <v>17849</v>
      </c>
      <c r="AN1292" s="6" t="s">
        <v>18525</v>
      </c>
      <c r="AO1292" s="6" t="s">
        <v>18820</v>
      </c>
      <c r="AP1292" s="6" t="s">
        <v>104</v>
      </c>
      <c r="AQ1292" s="6" t="s">
        <v>104</v>
      </c>
      <c r="AR1292" s="6" t="s">
        <v>104</v>
      </c>
      <c r="AS1292" s="6" t="s">
        <v>104</v>
      </c>
      <c r="AT1292" s="6" t="s">
        <v>104</v>
      </c>
      <c r="AU1292" s="6" t="s">
        <v>104</v>
      </c>
      <c r="AV1292" s="6" t="s">
        <v>104</v>
      </c>
      <c r="AW1292" s="6" t="s">
        <v>104</v>
      </c>
      <c r="AX1292" s="6" t="s">
        <v>21125</v>
      </c>
      <c r="AY1292" s="6" t="s">
        <v>22922</v>
      </c>
      <c r="AZ1292" s="6" t="s">
        <v>104</v>
      </c>
      <c r="BA1292" s="6" t="s">
        <v>24323</v>
      </c>
      <c r="BB1292" s="24" t="n">
        <v>4210</v>
      </c>
      <c r="BC1292" s="26"/>
      <c r="BD1292" s="26"/>
      <c r="BE1292" s="26"/>
      <c r="BF1292" s="26"/>
      <c r="BG1292" s="26"/>
      <c r="BH1292" s="26"/>
      <c r="BI1292" s="26"/>
      <c r="BJ1292" s="26"/>
      <c r="BK1292" s="26"/>
      <c r="BL1292" s="26"/>
      <c r="BM1292" s="26"/>
      <c r="BN1292" s="26"/>
      <c r="BO1292" s="26"/>
      <c r="BP1292" s="16" t="n">
        <v>45532</v>
      </c>
      <c r="BQ1292" s="28" t="str">
        <f>HYPERLINK("https://organic.ams.usda.gov/Integrity/Certificate.aspx?cid=60&amp;nopid=2580003587")</f>
        <v>https://organic.ams.usda.gov/Integrity/Certificate.aspx?cid=60&amp;nopid=2580003587</v>
      </c>
    </row>
    <row r="1293">
      <c r="A1293" t="s">
        <v>3</v>
      </c>
      <c r="B1293" s="6" t="s">
        <v>13</v>
      </c>
      <c r="C1293" s="6" t="s">
        <v>79</v>
      </c>
      <c r="D1293" s="6" t="s">
        <v>144</v>
      </c>
      <c r="E1293" s="10" t="s">
        <v>1491</v>
      </c>
      <c r="F1293" s="6" t="s">
        <v>3734</v>
      </c>
      <c r="G1293" s="6" t="s">
        <v>104</v>
      </c>
      <c r="H1293" s="6" t="s">
        <v>6066</v>
      </c>
      <c r="I1293" s="6" t="s">
        <v>7080</v>
      </c>
      <c r="J1293" s="6" t="s">
        <v>8412</v>
      </c>
      <c r="K1293" s="6" t="s">
        <v>9714</v>
      </c>
      <c r="L1293" s="16" t="n">
        <v>43179</v>
      </c>
      <c r="M1293" s="16" t="n">
        <v>46023</v>
      </c>
      <c r="N1293" s="6" t="s">
        <v>9714</v>
      </c>
      <c r="O1293" s="16" t="n">
        <v>43179</v>
      </c>
      <c r="P1293" s="6" t="s">
        <v>10094</v>
      </c>
      <c r="Q1293" s="6" t="s">
        <v>104</v>
      </c>
      <c r="R1293" s="6" t="s">
        <v>104</v>
      </c>
      <c r="S1293" s="6" t="s">
        <v>9714</v>
      </c>
      <c r="T1293" s="16" t="n">
        <v>45533</v>
      </c>
      <c r="U1293" s="6" t="s">
        <v>10493</v>
      </c>
      <c r="V1293" s="6" t="s">
        <v>104</v>
      </c>
      <c r="W1293" s="6" t="s">
        <v>104</v>
      </c>
      <c r="X1293" s="6" t="s">
        <v>104</v>
      </c>
      <c r="Y1293" s="21" t="s">
        <v>104</v>
      </c>
      <c r="Z1293" s="6" t="s">
        <v>104</v>
      </c>
      <c r="AA1293" s="6" t="s">
        <v>104</v>
      </c>
      <c r="AB1293" s="6" t="s">
        <v>104</v>
      </c>
      <c r="AC1293" s="6" t="s">
        <v>104</v>
      </c>
      <c r="AD1293" s="21" t="s">
        <v>104</v>
      </c>
      <c r="AE1293" s="6" t="s">
        <v>104</v>
      </c>
      <c r="AF1293" s="6" t="s">
        <v>104</v>
      </c>
      <c r="AG1293" s="6" t="s">
        <v>104</v>
      </c>
      <c r="AH1293" s="6" t="s">
        <v>104</v>
      </c>
      <c r="AI1293" s="6" t="s">
        <v>104</v>
      </c>
      <c r="AJ1293" s="6" t="s">
        <v>104</v>
      </c>
      <c r="AK1293" s="6" t="s">
        <v>104</v>
      </c>
      <c r="AL1293" s="6" t="s">
        <v>104</v>
      </c>
      <c r="AM1293" s="6" t="s">
        <v>104</v>
      </c>
      <c r="AN1293" s="6" t="s">
        <v>104</v>
      </c>
      <c r="AO1293" s="6" t="s">
        <v>104</v>
      </c>
      <c r="AP1293" s="6" t="s">
        <v>19292</v>
      </c>
      <c r="AQ1293" s="6" t="s">
        <v>104</v>
      </c>
      <c r="AR1293" s="6" t="s">
        <v>19713</v>
      </c>
      <c r="AS1293" s="6" t="s">
        <v>16678</v>
      </c>
      <c r="AT1293" s="6" t="s">
        <v>16931</v>
      </c>
      <c r="AU1293" s="6" t="s">
        <v>19962</v>
      </c>
      <c r="AV1293" s="6" t="s">
        <v>18525</v>
      </c>
      <c r="AW1293" s="6" t="s">
        <v>18637</v>
      </c>
      <c r="AX1293" s="6" t="s">
        <v>21126</v>
      </c>
      <c r="AY1293" s="6" t="s">
        <v>22923</v>
      </c>
      <c r="AZ1293" s="6" t="s">
        <v>104</v>
      </c>
      <c r="BA1293" s="6" t="s">
        <v>104</v>
      </c>
      <c r="BB1293" s="24" t="n">
        <v>2235</v>
      </c>
      <c r="BC1293" s="26"/>
      <c r="BD1293" s="26"/>
      <c r="BE1293" s="26"/>
      <c r="BF1293" s="26"/>
      <c r="BG1293" s="26"/>
      <c r="BH1293" s="26"/>
      <c r="BI1293" s="26"/>
      <c r="BJ1293" s="26"/>
      <c r="BK1293" s="26"/>
      <c r="BL1293" s="26"/>
      <c r="BM1293" s="26"/>
      <c r="BN1293" s="26"/>
      <c r="BO1293" s="26"/>
      <c r="BP1293" s="16" t="n">
        <v>45656</v>
      </c>
      <c r="BQ1293" s="28" t="str">
        <f>HYPERLINK("https://organic.ams.usda.gov/Integrity/Certificate.aspx?cid=62&amp;nopid=8150006098")</f>
        <v>https://organic.ams.usda.gov/Integrity/Certificate.aspx?cid=62&amp;nopid=8150006098</v>
      </c>
    </row>
    <row r="1294">
      <c r="A1294" t="s">
        <v>3</v>
      </c>
      <c r="B1294" s="6" t="s">
        <v>21</v>
      </c>
      <c r="C1294" s="6" t="s">
        <v>87</v>
      </c>
      <c r="D1294" s="6" t="s">
        <v>152</v>
      </c>
      <c r="E1294" s="10" t="s">
        <v>1492</v>
      </c>
      <c r="F1294" s="6" t="s">
        <v>3735</v>
      </c>
      <c r="G1294" s="6" t="s">
        <v>104</v>
      </c>
      <c r="H1294" s="6" t="s">
        <v>6067</v>
      </c>
      <c r="I1294" s="6" t="s">
        <v>6949</v>
      </c>
      <c r="J1294" s="6" t="s">
        <v>9096</v>
      </c>
      <c r="K1294" s="6" t="s">
        <v>9714</v>
      </c>
      <c r="L1294" s="16" t="n">
        <v>43332</v>
      </c>
      <c r="M1294" s="16" t="n">
        <v>46023</v>
      </c>
      <c r="N1294" s="6" t="s">
        <v>9714</v>
      </c>
      <c r="O1294" s="16" t="n">
        <v>43332</v>
      </c>
      <c r="P1294" s="6" t="s">
        <v>10095</v>
      </c>
      <c r="Q1294" s="6" t="s">
        <v>104</v>
      </c>
      <c r="R1294" s="6" t="s">
        <v>104</v>
      </c>
      <c r="S1294" s="6" t="s">
        <v>104</v>
      </c>
      <c r="T1294" s="21" t="s">
        <v>104</v>
      </c>
      <c r="U1294" s="6" t="s">
        <v>104</v>
      </c>
      <c r="V1294" s="6" t="s">
        <v>104</v>
      </c>
      <c r="W1294" s="6" t="s">
        <v>104</v>
      </c>
      <c r="X1294" s="6" t="s">
        <v>104</v>
      </c>
      <c r="Y1294" s="21" t="s">
        <v>104</v>
      </c>
      <c r="Z1294" s="6" t="s">
        <v>104</v>
      </c>
      <c r="AA1294" s="6" t="s">
        <v>104</v>
      </c>
      <c r="AB1294" s="6" t="s">
        <v>104</v>
      </c>
      <c r="AC1294" s="6" t="s">
        <v>104</v>
      </c>
      <c r="AD1294" s="21" t="s">
        <v>104</v>
      </c>
      <c r="AE1294" s="6" t="s">
        <v>104</v>
      </c>
      <c r="AF1294" s="6" t="s">
        <v>104</v>
      </c>
      <c r="AG1294" s="6" t="s">
        <v>104</v>
      </c>
      <c r="AH1294" s="6" t="s">
        <v>14333</v>
      </c>
      <c r="AI1294" s="6" t="s">
        <v>104</v>
      </c>
      <c r="AJ1294" s="6" t="s">
        <v>16169</v>
      </c>
      <c r="AK1294" s="6" t="s">
        <v>16687</v>
      </c>
      <c r="AL1294" s="6" t="s">
        <v>16931</v>
      </c>
      <c r="AM1294" s="6" t="s">
        <v>17824</v>
      </c>
      <c r="AN1294" s="6" t="s">
        <v>18471</v>
      </c>
      <c r="AO1294" s="6" t="s">
        <v>18579</v>
      </c>
      <c r="AP1294" s="6" t="s">
        <v>14333</v>
      </c>
      <c r="AQ1294" s="6" t="s">
        <v>104</v>
      </c>
      <c r="AR1294" s="6" t="s">
        <v>16169</v>
      </c>
      <c r="AS1294" s="6" t="s">
        <v>16687</v>
      </c>
      <c r="AT1294" s="6" t="s">
        <v>16931</v>
      </c>
      <c r="AU1294" s="6" t="s">
        <v>17824</v>
      </c>
      <c r="AV1294" s="6" t="s">
        <v>104</v>
      </c>
      <c r="AW1294" s="6" t="s">
        <v>104</v>
      </c>
      <c r="AX1294" s="6" t="s">
        <v>21127</v>
      </c>
      <c r="AY1294" s="6" t="s">
        <v>22924</v>
      </c>
      <c r="AZ1294" s="6" t="s">
        <v>104</v>
      </c>
      <c r="BA1294" s="6" t="s">
        <v>104</v>
      </c>
      <c r="BB1294" s="24" t="n">
        <v>1360</v>
      </c>
      <c r="BC1294" s="26"/>
      <c r="BD1294" s="26"/>
      <c r="BE1294" s="26"/>
      <c r="BF1294" s="26"/>
      <c r="BG1294" s="26"/>
      <c r="BH1294" s="26"/>
      <c r="BI1294" s="26"/>
      <c r="BJ1294" s="26"/>
      <c r="BK1294" s="26"/>
      <c r="BL1294" s="26"/>
      <c r="BM1294" s="26"/>
      <c r="BN1294" s="26"/>
      <c r="BO1294" s="26"/>
      <c r="BP1294" s="16" t="n">
        <v>45667</v>
      </c>
      <c r="BQ1294" s="28" t="str">
        <f>HYPERLINK("https://organic.ams.usda.gov/Integrity/Certificate.aspx?cid=15&amp;nopid=5561005356")</f>
        <v>https://organic.ams.usda.gov/Integrity/Certificate.aspx?cid=15&amp;nopid=5561005356</v>
      </c>
    </row>
    <row r="1295">
      <c r="A1295" t="s">
        <v>3</v>
      </c>
      <c r="B1295" s="6" t="s">
        <v>9</v>
      </c>
      <c r="C1295" s="6" t="s">
        <v>75</v>
      </c>
      <c r="D1295" s="6" t="s">
        <v>140</v>
      </c>
      <c r="E1295" s="10" t="s">
        <v>1493</v>
      </c>
      <c r="F1295" s="6" t="s">
        <v>3736</v>
      </c>
      <c r="G1295" s="6" t="s">
        <v>104</v>
      </c>
      <c r="H1295" s="6" t="s">
        <v>6068</v>
      </c>
      <c r="I1295" s="6" t="s">
        <v>7593</v>
      </c>
      <c r="J1295" s="6" t="s">
        <v>9097</v>
      </c>
      <c r="K1295" s="6" t="s">
        <v>9714</v>
      </c>
      <c r="L1295" s="16" t="n">
        <v>45720</v>
      </c>
      <c r="M1295" s="16" t="n">
        <v>46085</v>
      </c>
      <c r="N1295" s="6" t="s">
        <v>104</v>
      </c>
      <c r="O1295" s="21" t="s">
        <v>104</v>
      </c>
      <c r="P1295" s="6" t="s">
        <v>104</v>
      </c>
      <c r="Q1295" s="6" t="s">
        <v>104</v>
      </c>
      <c r="R1295" s="6" t="s">
        <v>104</v>
      </c>
      <c r="S1295" s="6" t="s">
        <v>104</v>
      </c>
      <c r="T1295" s="21" t="s">
        <v>104</v>
      </c>
      <c r="U1295" s="6" t="s">
        <v>104</v>
      </c>
      <c r="V1295" s="6" t="s">
        <v>104</v>
      </c>
      <c r="W1295" s="6" t="s">
        <v>104</v>
      </c>
      <c r="X1295" s="6" t="s">
        <v>104</v>
      </c>
      <c r="Y1295" s="21" t="s">
        <v>104</v>
      </c>
      <c r="Z1295" s="6" t="s">
        <v>104</v>
      </c>
      <c r="AA1295" s="6" t="s">
        <v>104</v>
      </c>
      <c r="AB1295" s="6" t="s">
        <v>104</v>
      </c>
      <c r="AC1295" s="6" t="s">
        <v>9714</v>
      </c>
      <c r="AD1295" s="16" t="n">
        <v>45720</v>
      </c>
      <c r="AE1295" s="6" t="s">
        <v>11643</v>
      </c>
      <c r="AF1295" s="6" t="s">
        <v>104</v>
      </c>
      <c r="AG1295" s="6" t="s">
        <v>104</v>
      </c>
      <c r="AH1295" s="6" t="s">
        <v>14334</v>
      </c>
      <c r="AI1295" s="6" t="s">
        <v>15301</v>
      </c>
      <c r="AJ1295" s="6" t="s">
        <v>15879</v>
      </c>
      <c r="AK1295" s="6" t="s">
        <v>16683</v>
      </c>
      <c r="AL1295" s="6" t="s">
        <v>16931</v>
      </c>
      <c r="AM1295" s="6" t="s">
        <v>17850</v>
      </c>
      <c r="AN1295" s="6" t="s">
        <v>104</v>
      </c>
      <c r="AO1295" s="6" t="s">
        <v>104</v>
      </c>
      <c r="AP1295" s="6" t="s">
        <v>104</v>
      </c>
      <c r="AQ1295" s="6" t="s">
        <v>104</v>
      </c>
      <c r="AR1295" s="6" t="s">
        <v>104</v>
      </c>
      <c r="AS1295" s="6" t="s">
        <v>104</v>
      </c>
      <c r="AT1295" s="6" t="s">
        <v>104</v>
      </c>
      <c r="AU1295" s="6" t="s">
        <v>104</v>
      </c>
      <c r="AV1295" s="6" t="s">
        <v>104</v>
      </c>
      <c r="AW1295" s="6" t="s">
        <v>104</v>
      </c>
      <c r="AX1295" s="6" t="s">
        <v>21128</v>
      </c>
      <c r="AY1295" s="6" t="s">
        <v>22925</v>
      </c>
      <c r="AZ1295" s="6" t="s">
        <v>104</v>
      </c>
      <c r="BA1295" s="6" t="s">
        <v>104</v>
      </c>
      <c r="BB1295" s="6" t="s">
        <v>104</v>
      </c>
      <c r="BC1295" s="26" t="s">
        <v>24533</v>
      </c>
      <c r="BD1295" s="26"/>
      <c r="BE1295" s="26"/>
      <c r="BF1295" s="26"/>
      <c r="BG1295" s="26"/>
      <c r="BH1295" s="26"/>
      <c r="BI1295" s="26"/>
      <c r="BJ1295" s="26"/>
      <c r="BK1295" s="26"/>
      <c r="BL1295" s="26"/>
      <c r="BM1295" s="26"/>
      <c r="BN1295" s="26"/>
      <c r="BO1295" s="26"/>
      <c r="BP1295" s="16" t="n">
        <v>45721</v>
      </c>
      <c r="BQ1295" s="28" t="str">
        <f>HYPERLINK("https://organic.ams.usda.gov/Integrity/Certificate.aspx?cid=63&amp;nopid=6220010078")</f>
        <v>https://organic.ams.usda.gov/Integrity/Certificate.aspx?cid=63&amp;nopid=6220010078</v>
      </c>
    </row>
    <row r="1296">
      <c r="A1296" t="s">
        <v>3</v>
      </c>
      <c r="B1296" s="6" t="s">
        <v>34</v>
      </c>
      <c r="C1296" s="6" t="s">
        <v>100</v>
      </c>
      <c r="D1296" s="6" t="s">
        <v>165</v>
      </c>
      <c r="E1296" s="10" t="s">
        <v>1494</v>
      </c>
      <c r="F1296" s="6" t="s">
        <v>3737</v>
      </c>
      <c r="G1296" s="6" t="s">
        <v>104</v>
      </c>
      <c r="H1296" s="6" t="s">
        <v>6069</v>
      </c>
      <c r="I1296" s="6" t="s">
        <v>7303</v>
      </c>
      <c r="J1296" s="6" t="s">
        <v>8561</v>
      </c>
      <c r="K1296" s="6" t="s">
        <v>9714</v>
      </c>
      <c r="L1296" s="16" t="n">
        <v>44440</v>
      </c>
      <c r="M1296" s="16" t="n">
        <v>45650</v>
      </c>
      <c r="N1296" s="6" t="s">
        <v>104</v>
      </c>
      <c r="O1296" s="21" t="s">
        <v>104</v>
      </c>
      <c r="P1296" s="6" t="s">
        <v>104</v>
      </c>
      <c r="Q1296" s="6" t="s">
        <v>104</v>
      </c>
      <c r="R1296" s="6" t="s">
        <v>104</v>
      </c>
      <c r="S1296" s="6" t="s">
        <v>104</v>
      </c>
      <c r="T1296" s="21" t="s">
        <v>104</v>
      </c>
      <c r="U1296" s="6" t="s">
        <v>104</v>
      </c>
      <c r="V1296" s="6" t="s">
        <v>104</v>
      </c>
      <c r="W1296" s="6" t="s">
        <v>104</v>
      </c>
      <c r="X1296" s="6" t="s">
        <v>104</v>
      </c>
      <c r="Y1296" s="21" t="s">
        <v>104</v>
      </c>
      <c r="Z1296" s="6" t="s">
        <v>104</v>
      </c>
      <c r="AA1296" s="6" t="s">
        <v>104</v>
      </c>
      <c r="AB1296" s="6" t="s">
        <v>104</v>
      </c>
      <c r="AC1296" s="6" t="s">
        <v>9714</v>
      </c>
      <c r="AD1296" s="16" t="n">
        <v>44440</v>
      </c>
      <c r="AE1296" s="6" t="s">
        <v>11644</v>
      </c>
      <c r="AF1296" s="6" t="s">
        <v>104</v>
      </c>
      <c r="AG1296" s="6" t="s">
        <v>12886</v>
      </c>
      <c r="AH1296" s="6" t="s">
        <v>14335</v>
      </c>
      <c r="AI1296" s="6" t="s">
        <v>15302</v>
      </c>
      <c r="AJ1296" s="6" t="s">
        <v>16135</v>
      </c>
      <c r="AK1296" s="6" t="s">
        <v>16715</v>
      </c>
      <c r="AL1296" s="6" t="s">
        <v>16931</v>
      </c>
      <c r="AM1296" s="6" t="s">
        <v>17851</v>
      </c>
      <c r="AN1296" s="6" t="s">
        <v>18463</v>
      </c>
      <c r="AO1296" s="6" t="s">
        <v>18801</v>
      </c>
      <c r="AP1296" s="6" t="s">
        <v>19093</v>
      </c>
      <c r="AQ1296" s="6" t="s">
        <v>104</v>
      </c>
      <c r="AR1296" s="6" t="s">
        <v>19639</v>
      </c>
      <c r="AS1296" s="6" t="s">
        <v>16711</v>
      </c>
      <c r="AT1296" s="6" t="s">
        <v>16931</v>
      </c>
      <c r="AU1296" s="6" t="s">
        <v>19868</v>
      </c>
      <c r="AV1296" s="6" t="s">
        <v>104</v>
      </c>
      <c r="AW1296" s="6" t="s">
        <v>104</v>
      </c>
      <c r="AX1296" s="6" t="s">
        <v>21129</v>
      </c>
      <c r="AY1296" s="6" t="s">
        <v>22323</v>
      </c>
      <c r="AZ1296" s="6" t="s">
        <v>104</v>
      </c>
      <c r="BA1296" s="6" t="s">
        <v>104</v>
      </c>
      <c r="BB1296" s="6" t="s">
        <v>104</v>
      </c>
      <c r="BC1296" s="26"/>
      <c r="BD1296" s="26"/>
      <c r="BE1296" s="26"/>
      <c r="BF1296" s="26"/>
      <c r="BG1296" s="26"/>
      <c r="BH1296" s="26"/>
      <c r="BI1296" s="26"/>
      <c r="BJ1296" s="26"/>
      <c r="BK1296" s="26"/>
      <c r="BL1296" s="26"/>
      <c r="BM1296" s="26"/>
      <c r="BN1296" s="26"/>
      <c r="BO1296" s="26"/>
      <c r="BP1296" s="16" t="n">
        <v>45737</v>
      </c>
      <c r="BQ1296" s="28" t="str">
        <f>HYPERLINK("https://organic.ams.usda.gov/Integrity/Certificate.aspx?cid=71&amp;nopid=5520461427")</f>
        <v>https://organic.ams.usda.gov/Integrity/Certificate.aspx?cid=71&amp;nopid=5520461427</v>
      </c>
    </row>
    <row r="1297">
      <c r="A1297" t="s">
        <v>3</v>
      </c>
      <c r="B1297" s="6" t="s">
        <v>21</v>
      </c>
      <c r="C1297" s="6" t="s">
        <v>87</v>
      </c>
      <c r="D1297" s="6" t="s">
        <v>152</v>
      </c>
      <c r="E1297" s="10" t="s">
        <v>1495</v>
      </c>
      <c r="F1297" s="6" t="s">
        <v>3738</v>
      </c>
      <c r="G1297" s="6" t="s">
        <v>104</v>
      </c>
      <c r="H1297" s="6" t="s">
        <v>6070</v>
      </c>
      <c r="I1297" s="6" t="s">
        <v>7138</v>
      </c>
      <c r="J1297" s="6" t="s">
        <v>9098</v>
      </c>
      <c r="K1297" s="6" t="s">
        <v>9714</v>
      </c>
      <c r="L1297" s="16" t="n">
        <v>36364</v>
      </c>
      <c r="M1297" s="16" t="n">
        <v>46023</v>
      </c>
      <c r="N1297" s="6" t="s">
        <v>9714</v>
      </c>
      <c r="O1297" s="16" t="n">
        <v>36364</v>
      </c>
      <c r="P1297" s="6" t="s">
        <v>10048</v>
      </c>
      <c r="Q1297" s="6" t="s">
        <v>104</v>
      </c>
      <c r="R1297" s="6" t="s">
        <v>104</v>
      </c>
      <c r="S1297" s="6" t="s">
        <v>104</v>
      </c>
      <c r="T1297" s="21" t="s">
        <v>104</v>
      </c>
      <c r="U1297" s="6" t="s">
        <v>104</v>
      </c>
      <c r="V1297" s="6" t="s">
        <v>104</v>
      </c>
      <c r="W1297" s="6" t="s">
        <v>104</v>
      </c>
      <c r="X1297" s="6" t="s">
        <v>104</v>
      </c>
      <c r="Y1297" s="21" t="s">
        <v>104</v>
      </c>
      <c r="Z1297" s="6" t="s">
        <v>104</v>
      </c>
      <c r="AA1297" s="6" t="s">
        <v>104</v>
      </c>
      <c r="AB1297" s="6" t="s">
        <v>104</v>
      </c>
      <c r="AC1297" s="6" t="s">
        <v>9714</v>
      </c>
      <c r="AD1297" s="16" t="n">
        <v>36364</v>
      </c>
      <c r="AE1297" s="6" t="s">
        <v>11645</v>
      </c>
      <c r="AF1297" s="6" t="s">
        <v>104</v>
      </c>
      <c r="AG1297" s="6" t="s">
        <v>104</v>
      </c>
      <c r="AH1297" s="6" t="s">
        <v>14336</v>
      </c>
      <c r="AI1297" s="6" t="s">
        <v>104</v>
      </c>
      <c r="AJ1297" s="6" t="s">
        <v>16189</v>
      </c>
      <c r="AK1297" s="6" t="s">
        <v>16687</v>
      </c>
      <c r="AL1297" s="6" t="s">
        <v>16931</v>
      </c>
      <c r="AM1297" s="6" t="s">
        <v>17852</v>
      </c>
      <c r="AN1297" s="6" t="s">
        <v>18453</v>
      </c>
      <c r="AO1297" s="6" t="s">
        <v>18821</v>
      </c>
      <c r="AP1297" s="6" t="s">
        <v>19106</v>
      </c>
      <c r="AQ1297" s="6" t="s">
        <v>104</v>
      </c>
      <c r="AR1297" s="6" t="s">
        <v>19714</v>
      </c>
      <c r="AS1297" s="6" t="s">
        <v>16687</v>
      </c>
      <c r="AT1297" s="6" t="s">
        <v>16931</v>
      </c>
      <c r="AU1297" s="6" t="s">
        <v>19963</v>
      </c>
      <c r="AV1297" s="6" t="s">
        <v>104</v>
      </c>
      <c r="AW1297" s="6" t="s">
        <v>104</v>
      </c>
      <c r="AX1297" s="6" t="s">
        <v>21130</v>
      </c>
      <c r="AY1297" s="6" t="s">
        <v>22926</v>
      </c>
      <c r="AZ1297" s="6" t="s">
        <v>104</v>
      </c>
      <c r="BA1297" s="6" t="s">
        <v>104</v>
      </c>
      <c r="BB1297" s="24" t="n">
        <v>276</v>
      </c>
      <c r="BC1297" s="26"/>
      <c r="BD1297" s="26"/>
      <c r="BE1297" s="26"/>
      <c r="BF1297" s="26"/>
      <c r="BG1297" s="26"/>
      <c r="BH1297" s="26"/>
      <c r="BI1297" s="26"/>
      <c r="BJ1297" s="26"/>
      <c r="BK1297" s="26"/>
      <c r="BL1297" s="26"/>
      <c r="BM1297" s="26"/>
      <c r="BN1297" s="26"/>
      <c r="BO1297" s="26"/>
      <c r="BP1297" s="16" t="n">
        <v>45667</v>
      </c>
      <c r="BQ1297" s="28" t="str">
        <f>HYPERLINK("https://organic.ams.usda.gov/Integrity/Certificate.aspx?cid=15&amp;nopid=5561001505")</f>
        <v>https://organic.ams.usda.gov/Integrity/Certificate.aspx?cid=15&amp;nopid=5561001505</v>
      </c>
    </row>
    <row r="1298">
      <c r="A1298" t="s">
        <v>3</v>
      </c>
      <c r="B1298" s="6" t="s">
        <v>41</v>
      </c>
      <c r="C1298" s="6" t="s">
        <v>107</v>
      </c>
      <c r="D1298" s="6" t="s">
        <v>171</v>
      </c>
      <c r="E1298" s="10" t="s">
        <v>1496</v>
      </c>
      <c r="F1298" s="6" t="s">
        <v>3739</v>
      </c>
      <c r="G1298" s="6" t="s">
        <v>4793</v>
      </c>
      <c r="H1298" s="6" t="s">
        <v>6071</v>
      </c>
      <c r="I1298" s="6" t="s">
        <v>7700</v>
      </c>
      <c r="J1298" s="6" t="s">
        <v>9099</v>
      </c>
      <c r="K1298" s="6" t="s">
        <v>9714</v>
      </c>
      <c r="L1298" s="16" t="n">
        <v>38976</v>
      </c>
      <c r="M1298" s="16" t="n">
        <v>45792</v>
      </c>
      <c r="N1298" s="6" t="s">
        <v>9714</v>
      </c>
      <c r="O1298" s="16" t="n">
        <v>38976</v>
      </c>
      <c r="P1298" s="6" t="s">
        <v>10096</v>
      </c>
      <c r="Q1298" s="6" t="s">
        <v>104</v>
      </c>
      <c r="R1298" s="6" t="s">
        <v>104</v>
      </c>
      <c r="U1298" s="6" t="s">
        <v>104</v>
      </c>
      <c r="V1298" s="6" t="s">
        <v>104</v>
      </c>
      <c r="W1298" s="6" t="s">
        <v>104</v>
      </c>
      <c r="X1298" s="6" t="s">
        <v>104</v>
      </c>
      <c r="Y1298" s="21" t="s">
        <v>104</v>
      </c>
      <c r="Z1298" s="6" t="s">
        <v>104</v>
      </c>
      <c r="AA1298" s="6" t="s">
        <v>104</v>
      </c>
      <c r="AB1298" s="6" t="s">
        <v>104</v>
      </c>
      <c r="AC1298" s="6" t="s">
        <v>9714</v>
      </c>
      <c r="AD1298" s="16" t="n">
        <v>38976</v>
      </c>
      <c r="AE1298" s="6" t="s">
        <v>11646</v>
      </c>
      <c r="AF1298" s="6" t="s">
        <v>104</v>
      </c>
      <c r="AG1298" s="6" t="s">
        <v>104</v>
      </c>
      <c r="AH1298" s="6" t="s">
        <v>14337</v>
      </c>
      <c r="AI1298" s="6" t="s">
        <v>104</v>
      </c>
      <c r="AJ1298" s="6" t="s">
        <v>16190</v>
      </c>
      <c r="AK1298" s="6" t="s">
        <v>16706</v>
      </c>
      <c r="AL1298" s="6" t="s">
        <v>16931</v>
      </c>
      <c r="AM1298" s="6" t="s">
        <v>17853</v>
      </c>
      <c r="AN1298" s="6" t="s">
        <v>18500</v>
      </c>
      <c r="AO1298" s="6" t="s">
        <v>18822</v>
      </c>
      <c r="AP1298" s="6" t="s">
        <v>14337</v>
      </c>
      <c r="AQ1298" s="6" t="s">
        <v>104</v>
      </c>
      <c r="AR1298" s="6" t="s">
        <v>16190</v>
      </c>
      <c r="AS1298" s="6" t="s">
        <v>16706</v>
      </c>
      <c r="AT1298" s="6" t="s">
        <v>16931</v>
      </c>
      <c r="AU1298" s="6" t="s">
        <v>17853</v>
      </c>
      <c r="AV1298" s="6" t="s">
        <v>104</v>
      </c>
      <c r="AW1298" s="6" t="s">
        <v>104</v>
      </c>
      <c r="AX1298" s="6" t="s">
        <v>21131</v>
      </c>
      <c r="AY1298" s="6" t="s">
        <v>104</v>
      </c>
      <c r="AZ1298" s="6" t="s">
        <v>104</v>
      </c>
      <c r="BA1298" s="6" t="s">
        <v>104</v>
      </c>
      <c r="BB1298" s="24" t="n">
        <v>235</v>
      </c>
      <c r="BC1298" s="26"/>
      <c r="BD1298" s="26"/>
      <c r="BE1298" s="26"/>
      <c r="BF1298" s="26"/>
      <c r="BG1298" s="26"/>
      <c r="BH1298" s="26"/>
      <c r="BI1298" s="26"/>
      <c r="BJ1298" s="26"/>
      <c r="BK1298" s="26"/>
      <c r="BL1298" s="26"/>
      <c r="BM1298" s="26"/>
      <c r="BN1298" s="26"/>
      <c r="BO1298" s="26"/>
      <c r="BP1298" s="16" t="n">
        <v>45737</v>
      </c>
      <c r="BQ1298" s="28" t="str">
        <f>HYPERLINK("https://organic.ams.usda.gov/Integrity/Certificate.aspx?cid=58&amp;nopid=1600001081")</f>
        <v>https://organic.ams.usda.gov/Integrity/Certificate.aspx?cid=58&amp;nopid=1600001081</v>
      </c>
    </row>
    <row r="1299">
      <c r="A1299" t="s">
        <v>3</v>
      </c>
      <c r="B1299" s="6" t="s">
        <v>54</v>
      </c>
      <c r="C1299" s="6" t="s">
        <v>120</v>
      </c>
      <c r="D1299" s="6" t="s">
        <v>184</v>
      </c>
      <c r="E1299" s="10" t="s">
        <v>1497</v>
      </c>
      <c r="F1299" s="6" t="s">
        <v>3740</v>
      </c>
      <c r="G1299" s="6" t="s">
        <v>104</v>
      </c>
      <c r="H1299" s="6" t="s">
        <v>6072</v>
      </c>
      <c r="I1299" s="6" t="s">
        <v>7138</v>
      </c>
      <c r="J1299" s="6" t="s">
        <v>9100</v>
      </c>
      <c r="K1299" s="6" t="s">
        <v>9714</v>
      </c>
      <c r="L1299" s="16" t="n">
        <v>43252</v>
      </c>
      <c r="M1299" s="16" t="n">
        <v>45717</v>
      </c>
      <c r="N1299" s="6" t="s">
        <v>9714</v>
      </c>
      <c r="O1299" s="16" t="n">
        <v>43252</v>
      </c>
      <c r="P1299" s="6" t="s">
        <v>10097</v>
      </c>
      <c r="Q1299" s="6" t="s">
        <v>104</v>
      </c>
      <c r="R1299" s="6" t="s">
        <v>104</v>
      </c>
      <c r="S1299" s="6" t="s">
        <v>104</v>
      </c>
      <c r="T1299" s="21" t="s">
        <v>104</v>
      </c>
      <c r="U1299" s="6" t="s">
        <v>104</v>
      </c>
      <c r="V1299" s="6" t="s">
        <v>104</v>
      </c>
      <c r="W1299" s="6" t="s">
        <v>104</v>
      </c>
      <c r="X1299" s="6" t="s">
        <v>104</v>
      </c>
      <c r="Y1299" s="21" t="s">
        <v>104</v>
      </c>
      <c r="Z1299" s="6" t="s">
        <v>104</v>
      </c>
      <c r="AA1299" s="6" t="s">
        <v>104</v>
      </c>
      <c r="AB1299" s="6" t="s">
        <v>104</v>
      </c>
      <c r="AC1299" s="6" t="s">
        <v>104</v>
      </c>
      <c r="AD1299" s="21" t="s">
        <v>104</v>
      </c>
      <c r="AE1299" s="6" t="s">
        <v>104</v>
      </c>
      <c r="AF1299" s="6" t="s">
        <v>104</v>
      </c>
      <c r="AG1299" s="6" t="s">
        <v>104</v>
      </c>
      <c r="AH1299" s="6" t="s">
        <v>14338</v>
      </c>
      <c r="AI1299" s="6" t="s">
        <v>104</v>
      </c>
      <c r="AJ1299" s="6" t="s">
        <v>15646</v>
      </c>
      <c r="AK1299" s="6" t="s">
        <v>16743</v>
      </c>
      <c r="AL1299" s="6" t="s">
        <v>16931</v>
      </c>
      <c r="AM1299" s="6" t="s">
        <v>17264</v>
      </c>
      <c r="AN1299" s="6" t="s">
        <v>18483</v>
      </c>
      <c r="AO1299" s="6" t="s">
        <v>18652</v>
      </c>
      <c r="AP1299" s="6" t="s">
        <v>19293</v>
      </c>
      <c r="AQ1299" s="6" t="s">
        <v>104</v>
      </c>
      <c r="AR1299" s="6" t="s">
        <v>16409</v>
      </c>
      <c r="AS1299" s="6" t="s">
        <v>16743</v>
      </c>
      <c r="AT1299" s="6" t="s">
        <v>16931</v>
      </c>
      <c r="AU1299" s="6" t="s">
        <v>18115</v>
      </c>
      <c r="AV1299" s="6" t="s">
        <v>104</v>
      </c>
      <c r="AW1299" s="6" t="s">
        <v>104</v>
      </c>
      <c r="AX1299" s="6" t="s">
        <v>104</v>
      </c>
      <c r="AY1299" s="6" t="s">
        <v>22927</v>
      </c>
      <c r="AZ1299" s="6" t="s">
        <v>104</v>
      </c>
      <c r="BA1299" s="6" t="s">
        <v>24323</v>
      </c>
      <c r="BB1299" s="24" t="n">
        <v>195</v>
      </c>
      <c r="BC1299" s="26"/>
      <c r="BD1299" s="26"/>
      <c r="BE1299" s="26"/>
      <c r="BF1299" s="26"/>
      <c r="BG1299" s="26"/>
      <c r="BH1299" s="26"/>
      <c r="BI1299" s="26"/>
      <c r="BJ1299" s="26"/>
      <c r="BK1299" s="26"/>
      <c r="BL1299" s="26"/>
      <c r="BM1299" s="26"/>
      <c r="BN1299" s="26"/>
      <c r="BO1299" s="26"/>
      <c r="BP1299" s="16" t="n">
        <v>45560</v>
      </c>
      <c r="BQ1299" s="28" t="str">
        <f>HYPERLINK("https://organic.ams.usda.gov/Integrity/Certificate.aspx?cid=60&amp;nopid=2580002477")</f>
        <v>https://organic.ams.usda.gov/Integrity/Certificate.aspx?cid=60&amp;nopid=2580002477</v>
      </c>
    </row>
    <row r="1300">
      <c r="A1300" t="s">
        <v>3</v>
      </c>
      <c r="B1300" s="6" t="s">
        <v>18</v>
      </c>
      <c r="C1300" s="6" t="s">
        <v>84</v>
      </c>
      <c r="D1300" s="6" t="s">
        <v>149</v>
      </c>
      <c r="E1300" s="10" t="s">
        <v>1498</v>
      </c>
      <c r="F1300" s="6" t="s">
        <v>3741</v>
      </c>
      <c r="G1300" s="6" t="s">
        <v>104</v>
      </c>
      <c r="H1300" s="6" t="s">
        <v>6073</v>
      </c>
      <c r="I1300" s="6" t="s">
        <v>6917</v>
      </c>
      <c r="J1300" s="6" t="s">
        <v>9101</v>
      </c>
      <c r="K1300" s="6" t="s">
        <v>9714</v>
      </c>
      <c r="L1300" s="16" t="n">
        <v>43623</v>
      </c>
      <c r="M1300" s="16" t="n">
        <v>45870</v>
      </c>
      <c r="N1300" s="6" t="s">
        <v>104</v>
      </c>
      <c r="O1300" s="21" t="s">
        <v>104</v>
      </c>
      <c r="P1300" s="6" t="s">
        <v>104</v>
      </c>
      <c r="Q1300" s="6" t="s">
        <v>104</v>
      </c>
      <c r="R1300" s="6" t="s">
        <v>104</v>
      </c>
      <c r="S1300" s="6" t="s">
        <v>104</v>
      </c>
      <c r="T1300" s="21" t="s">
        <v>104</v>
      </c>
      <c r="U1300" s="6" t="s">
        <v>104</v>
      </c>
      <c r="V1300" s="6" t="s">
        <v>104</v>
      </c>
      <c r="W1300" s="6" t="s">
        <v>104</v>
      </c>
      <c r="X1300" s="6" t="s">
        <v>104</v>
      </c>
      <c r="Y1300" s="21" t="s">
        <v>104</v>
      </c>
      <c r="Z1300" s="6" t="s">
        <v>104</v>
      </c>
      <c r="AA1300" s="6" t="s">
        <v>104</v>
      </c>
      <c r="AB1300" s="6" t="s">
        <v>104</v>
      </c>
      <c r="AC1300" s="6" t="s">
        <v>9714</v>
      </c>
      <c r="AD1300" s="16" t="n">
        <v>43623</v>
      </c>
      <c r="AE1300" s="6" t="s">
        <v>11647</v>
      </c>
      <c r="AF1300" s="6" t="s">
        <v>104</v>
      </c>
      <c r="AG1300" s="6" t="s">
        <v>12887</v>
      </c>
      <c r="AH1300" s="6" t="s">
        <v>14339</v>
      </c>
      <c r="AI1300" s="6" t="s">
        <v>104</v>
      </c>
      <c r="AJ1300" s="6" t="s">
        <v>16191</v>
      </c>
      <c r="AK1300" s="6" t="s">
        <v>16738</v>
      </c>
      <c r="AL1300" s="6" t="s">
        <v>16931</v>
      </c>
      <c r="AM1300" s="6" t="s">
        <v>17854</v>
      </c>
      <c r="AN1300" s="6" t="s">
        <v>18538</v>
      </c>
      <c r="AO1300" s="6" t="s">
        <v>18823</v>
      </c>
      <c r="AP1300" s="6" t="s">
        <v>19294</v>
      </c>
      <c r="AQ1300" s="6" t="s">
        <v>104</v>
      </c>
      <c r="AR1300" s="6" t="s">
        <v>19660</v>
      </c>
      <c r="AS1300" s="6" t="s">
        <v>16738</v>
      </c>
      <c r="AT1300" s="6" t="s">
        <v>16931</v>
      </c>
      <c r="AU1300" s="6" t="s">
        <v>19964</v>
      </c>
      <c r="AV1300" s="6" t="s">
        <v>104</v>
      </c>
      <c r="AW1300" s="6" t="s">
        <v>104</v>
      </c>
      <c r="AX1300" s="6" t="s">
        <v>21132</v>
      </c>
      <c r="AY1300" s="6" t="s">
        <v>22928</v>
      </c>
      <c r="AZ1300" s="6" t="s">
        <v>104</v>
      </c>
      <c r="BA1300" s="6" t="s">
        <v>104</v>
      </c>
      <c r="BB1300" s="6" t="s">
        <v>104</v>
      </c>
      <c r="BC1300" s="26" t="s">
        <v>24533</v>
      </c>
      <c r="BD1300" s="26"/>
      <c r="BE1300" s="26"/>
      <c r="BF1300" s="26"/>
      <c r="BG1300" s="26"/>
      <c r="BH1300" s="26"/>
      <c r="BI1300" s="26"/>
      <c r="BJ1300" s="26"/>
      <c r="BK1300" s="26"/>
      <c r="BL1300" s="26"/>
      <c r="BM1300" s="26"/>
      <c r="BN1300" s="26"/>
      <c r="BO1300" s="26"/>
      <c r="BP1300" s="16" t="n">
        <v>45737</v>
      </c>
      <c r="BQ1300" s="28" t="str">
        <f>HYPERLINK("https://organic.ams.usda.gov/Integrity/Certificate.aspx?cid=31&amp;nopid=3928972009")</f>
        <v>https://organic.ams.usda.gov/Integrity/Certificate.aspx?cid=31&amp;nopid=3928972009</v>
      </c>
    </row>
    <row r="1301">
      <c r="A1301" t="s">
        <v>3</v>
      </c>
      <c r="B1301" s="6" t="s">
        <v>18</v>
      </c>
      <c r="C1301" s="6" t="s">
        <v>84</v>
      </c>
      <c r="D1301" s="6" t="s">
        <v>149</v>
      </c>
      <c r="E1301" s="10" t="s">
        <v>1499</v>
      </c>
      <c r="F1301" s="6" t="s">
        <v>3742</v>
      </c>
      <c r="G1301" s="6" t="s">
        <v>104</v>
      </c>
      <c r="H1301" s="6" t="s">
        <v>6074</v>
      </c>
      <c r="I1301" s="6" t="s">
        <v>7701</v>
      </c>
      <c r="J1301" s="6" t="s">
        <v>9102</v>
      </c>
      <c r="K1301" s="6" t="s">
        <v>9714</v>
      </c>
      <c r="L1301" s="16" t="n">
        <v>38744</v>
      </c>
      <c r="M1301" s="16" t="n">
        <v>45505</v>
      </c>
      <c r="N1301" s="6" t="s">
        <v>104</v>
      </c>
      <c r="O1301" s="21" t="s">
        <v>104</v>
      </c>
      <c r="P1301" s="6" t="s">
        <v>104</v>
      </c>
      <c r="Q1301" s="6" t="s">
        <v>104</v>
      </c>
      <c r="R1301" s="6" t="s">
        <v>104</v>
      </c>
      <c r="S1301" s="6" t="s">
        <v>104</v>
      </c>
      <c r="T1301" s="21" t="s">
        <v>104</v>
      </c>
      <c r="U1301" s="6" t="s">
        <v>104</v>
      </c>
      <c r="V1301" s="6" t="s">
        <v>104</v>
      </c>
      <c r="W1301" s="6" t="s">
        <v>104</v>
      </c>
      <c r="X1301" s="6" t="s">
        <v>104</v>
      </c>
      <c r="Y1301" s="21" t="s">
        <v>104</v>
      </c>
      <c r="Z1301" s="6" t="s">
        <v>104</v>
      </c>
      <c r="AA1301" s="6" t="s">
        <v>104</v>
      </c>
      <c r="AB1301" s="6" t="s">
        <v>104</v>
      </c>
      <c r="AC1301" s="6" t="s">
        <v>9714</v>
      </c>
      <c r="AD1301" s="16" t="n">
        <v>42396</v>
      </c>
      <c r="AE1301" s="6" t="s">
        <v>11648</v>
      </c>
      <c r="AF1301" s="6" t="s">
        <v>104</v>
      </c>
      <c r="AG1301" s="6" t="s">
        <v>12888</v>
      </c>
      <c r="AH1301" s="6" t="s">
        <v>14340</v>
      </c>
      <c r="AI1301" s="6" t="s">
        <v>104</v>
      </c>
      <c r="AJ1301" s="6" t="s">
        <v>15829</v>
      </c>
      <c r="AK1301" s="6" t="s">
        <v>16738</v>
      </c>
      <c r="AL1301" s="6" t="s">
        <v>16931</v>
      </c>
      <c r="AM1301" s="6" t="s">
        <v>17462</v>
      </c>
      <c r="AN1301" s="6" t="s">
        <v>18529</v>
      </c>
      <c r="AO1301" s="6" t="s">
        <v>18824</v>
      </c>
      <c r="AP1301" s="6" t="s">
        <v>104</v>
      </c>
      <c r="AQ1301" s="6" t="s">
        <v>104</v>
      </c>
      <c r="AR1301" s="6" t="s">
        <v>104</v>
      </c>
      <c r="AS1301" s="6" t="s">
        <v>104</v>
      </c>
      <c r="AT1301" s="6" t="s">
        <v>104</v>
      </c>
      <c r="AU1301" s="6" t="s">
        <v>104</v>
      </c>
      <c r="AV1301" s="6" t="s">
        <v>104</v>
      </c>
      <c r="AW1301" s="6" t="s">
        <v>104</v>
      </c>
      <c r="AX1301" s="6" t="s">
        <v>21133</v>
      </c>
      <c r="AY1301" s="6" t="s">
        <v>22929</v>
      </c>
      <c r="AZ1301" s="6" t="s">
        <v>104</v>
      </c>
      <c r="BA1301" s="6" t="s">
        <v>104</v>
      </c>
      <c r="BB1301" s="6" t="s">
        <v>104</v>
      </c>
      <c r="BC1301" s="26"/>
      <c r="BD1301" s="26"/>
      <c r="BE1301" s="26"/>
      <c r="BF1301" s="26"/>
      <c r="BG1301" s="26"/>
      <c r="BH1301" s="26"/>
      <c r="BI1301" s="26"/>
      <c r="BJ1301" s="26"/>
      <c r="BK1301" s="26"/>
      <c r="BL1301" s="26"/>
      <c r="BM1301" s="26"/>
      <c r="BN1301" s="26" t="s">
        <v>24533</v>
      </c>
      <c r="BO1301" s="26"/>
      <c r="BP1301" s="16" t="n">
        <v>45737</v>
      </c>
      <c r="BQ1301" s="28" t="str">
        <f>HYPERLINK("https://organic.ams.usda.gov/Integrity/Certificate.aspx?cid=31&amp;nopid=3920897521")</f>
        <v>https://organic.ams.usda.gov/Integrity/Certificate.aspx?cid=31&amp;nopid=3920897521</v>
      </c>
    </row>
    <row r="1302">
      <c r="A1302" t="s">
        <v>3</v>
      </c>
      <c r="B1302" s="6" t="s">
        <v>32</v>
      </c>
      <c r="C1302" s="6" t="s">
        <v>98</v>
      </c>
      <c r="D1302" s="6" t="s">
        <v>163</v>
      </c>
      <c r="E1302" s="10" t="s">
        <v>1500</v>
      </c>
      <c r="F1302" s="6" t="s">
        <v>3743</v>
      </c>
      <c r="G1302" s="6" t="s">
        <v>104</v>
      </c>
      <c r="H1302" s="6" t="s">
        <v>6075</v>
      </c>
      <c r="I1302" s="6" t="s">
        <v>7071</v>
      </c>
      <c r="J1302" s="6" t="s">
        <v>9103</v>
      </c>
      <c r="K1302" s="6" t="s">
        <v>9714</v>
      </c>
      <c r="L1302" s="16" t="n">
        <v>42643</v>
      </c>
      <c r="M1302" s="16" t="n">
        <v>45717</v>
      </c>
      <c r="N1302" s="6" t="s">
        <v>104</v>
      </c>
      <c r="O1302" s="21" t="s">
        <v>104</v>
      </c>
      <c r="P1302" s="6" t="s">
        <v>104</v>
      </c>
      <c r="Q1302" s="6" t="s">
        <v>104</v>
      </c>
      <c r="R1302" s="6" t="s">
        <v>104</v>
      </c>
      <c r="S1302" s="6" t="s">
        <v>104</v>
      </c>
      <c r="T1302" s="21" t="s">
        <v>104</v>
      </c>
      <c r="U1302" s="6" t="s">
        <v>104</v>
      </c>
      <c r="V1302" s="6" t="s">
        <v>104</v>
      </c>
      <c r="W1302" s="6" t="s">
        <v>104</v>
      </c>
      <c r="X1302" s="6" t="s">
        <v>104</v>
      </c>
      <c r="Y1302" s="21" t="s">
        <v>104</v>
      </c>
      <c r="Z1302" s="6" t="s">
        <v>104</v>
      </c>
      <c r="AA1302" s="6" t="s">
        <v>104</v>
      </c>
      <c r="AB1302" s="6" t="s">
        <v>104</v>
      </c>
      <c r="AC1302" s="6" t="s">
        <v>9714</v>
      </c>
      <c r="AD1302" s="16" t="n">
        <v>42643</v>
      </c>
      <c r="AE1302" s="6" t="s">
        <v>11649</v>
      </c>
      <c r="AF1302" s="6" t="s">
        <v>104</v>
      </c>
      <c r="AG1302" s="6" t="s">
        <v>104</v>
      </c>
      <c r="AH1302" s="6" t="s">
        <v>14341</v>
      </c>
      <c r="AI1302" s="6" t="s">
        <v>104</v>
      </c>
      <c r="AJ1302" s="6" t="s">
        <v>16192</v>
      </c>
      <c r="AK1302" s="6" t="s">
        <v>16720</v>
      </c>
      <c r="AL1302" s="6" t="s">
        <v>16931</v>
      </c>
      <c r="AM1302" s="6" t="s">
        <v>17855</v>
      </c>
      <c r="AN1302" s="6" t="s">
        <v>18479</v>
      </c>
      <c r="AO1302" s="6" t="s">
        <v>18825</v>
      </c>
      <c r="AP1302" s="6" t="s">
        <v>104</v>
      </c>
      <c r="AQ1302" s="6" t="s">
        <v>104</v>
      </c>
      <c r="AR1302" s="6" t="s">
        <v>104</v>
      </c>
      <c r="AS1302" s="6" t="s">
        <v>104</v>
      </c>
      <c r="AT1302" s="6" t="s">
        <v>104</v>
      </c>
      <c r="AU1302" s="6" t="s">
        <v>104</v>
      </c>
      <c r="AV1302" s="6" t="s">
        <v>104</v>
      </c>
      <c r="AW1302" s="6" t="s">
        <v>104</v>
      </c>
      <c r="AX1302" s="6" t="s">
        <v>21134</v>
      </c>
      <c r="AY1302" s="6" t="s">
        <v>22930</v>
      </c>
      <c r="AZ1302" s="6" t="s">
        <v>104</v>
      </c>
      <c r="BA1302" s="6" t="s">
        <v>104</v>
      </c>
      <c r="BB1302" s="6" t="s">
        <v>104</v>
      </c>
      <c r="BC1302" s="26"/>
      <c r="BD1302" s="26"/>
      <c r="BE1302" s="26"/>
      <c r="BF1302" s="26"/>
      <c r="BG1302" s="26"/>
      <c r="BH1302" s="26"/>
      <c r="BI1302" s="26"/>
      <c r="BJ1302" s="26"/>
      <c r="BK1302" s="26"/>
      <c r="BL1302" s="26"/>
      <c r="BM1302" s="26"/>
      <c r="BN1302" s="26"/>
      <c r="BO1302" s="26"/>
      <c r="BP1302" s="16" t="n">
        <v>45590</v>
      </c>
      <c r="BQ1302" s="28" t="str">
        <f>HYPERLINK("https://organic.ams.usda.gov/Integrity/Certificate.aspx?cid=64&amp;nopid=8830000950")</f>
        <v>https://organic.ams.usda.gov/Integrity/Certificate.aspx?cid=64&amp;nopid=8830000950</v>
      </c>
    </row>
    <row r="1303">
      <c r="A1303" t="s">
        <v>3</v>
      </c>
      <c r="B1303" s="6" t="s">
        <v>34</v>
      </c>
      <c r="C1303" s="6" t="s">
        <v>100</v>
      </c>
      <c r="D1303" s="6" t="s">
        <v>165</v>
      </c>
      <c r="E1303" s="10" t="s">
        <v>1501</v>
      </c>
      <c r="F1303" s="6" t="s">
        <v>3744</v>
      </c>
      <c r="G1303" s="6" t="s">
        <v>104</v>
      </c>
      <c r="H1303" s="6" t="s">
        <v>6076</v>
      </c>
      <c r="I1303" s="6" t="s">
        <v>7044</v>
      </c>
      <c r="J1303" s="6" t="s">
        <v>9104</v>
      </c>
      <c r="K1303" s="6" t="s">
        <v>9714</v>
      </c>
      <c r="L1303" s="16" t="n">
        <v>38042</v>
      </c>
      <c r="M1303" s="16" t="n">
        <v>45687</v>
      </c>
      <c r="N1303" s="6" t="s">
        <v>104</v>
      </c>
      <c r="O1303" s="21" t="s">
        <v>104</v>
      </c>
      <c r="P1303" s="6" t="s">
        <v>104</v>
      </c>
      <c r="Q1303" s="6" t="s">
        <v>104</v>
      </c>
      <c r="R1303" s="6" t="s">
        <v>104</v>
      </c>
      <c r="S1303" s="6" t="s">
        <v>104</v>
      </c>
      <c r="T1303" s="21" t="s">
        <v>104</v>
      </c>
      <c r="U1303" s="6" t="s">
        <v>104</v>
      </c>
      <c r="V1303" s="6" t="s">
        <v>104</v>
      </c>
      <c r="W1303" s="6" t="s">
        <v>104</v>
      </c>
      <c r="X1303" s="6" t="s">
        <v>104</v>
      </c>
      <c r="Y1303" s="21" t="s">
        <v>104</v>
      </c>
      <c r="Z1303" s="6" t="s">
        <v>104</v>
      </c>
      <c r="AA1303" s="6" t="s">
        <v>104</v>
      </c>
      <c r="AB1303" s="6" t="s">
        <v>104</v>
      </c>
      <c r="AC1303" s="6" t="s">
        <v>9714</v>
      </c>
      <c r="AD1303" s="16" t="n">
        <v>38042</v>
      </c>
      <c r="AE1303" s="6" t="s">
        <v>11650</v>
      </c>
      <c r="AF1303" s="6" t="s">
        <v>104</v>
      </c>
      <c r="AG1303" s="6" t="s">
        <v>12889</v>
      </c>
      <c r="AH1303" s="6" t="s">
        <v>14342</v>
      </c>
      <c r="AI1303" s="6" t="s">
        <v>104</v>
      </c>
      <c r="AJ1303" s="6" t="s">
        <v>16193</v>
      </c>
      <c r="AK1303" s="6" t="s">
        <v>16751</v>
      </c>
      <c r="AL1303" s="6" t="s">
        <v>16931</v>
      </c>
      <c r="AM1303" s="6" t="s">
        <v>17856</v>
      </c>
      <c r="AN1303" s="6" t="s">
        <v>18508</v>
      </c>
      <c r="AO1303" s="6" t="s">
        <v>18649</v>
      </c>
      <c r="AP1303" s="6" t="s">
        <v>14342</v>
      </c>
      <c r="AQ1303" s="6" t="s">
        <v>104</v>
      </c>
      <c r="AR1303" s="6" t="s">
        <v>16193</v>
      </c>
      <c r="AS1303" s="6" t="s">
        <v>16751</v>
      </c>
      <c r="AT1303" s="6" t="s">
        <v>16931</v>
      </c>
      <c r="AU1303" s="6" t="s">
        <v>19965</v>
      </c>
      <c r="AV1303" s="6" t="s">
        <v>104</v>
      </c>
      <c r="AW1303" s="6" t="s">
        <v>104</v>
      </c>
      <c r="AX1303" s="6" t="s">
        <v>21135</v>
      </c>
      <c r="AY1303" s="6" t="s">
        <v>22931</v>
      </c>
      <c r="AZ1303" s="6" t="s">
        <v>104</v>
      </c>
      <c r="BA1303" s="6" t="s">
        <v>104</v>
      </c>
      <c r="BB1303" s="6" t="s">
        <v>104</v>
      </c>
      <c r="BC1303" s="26"/>
      <c r="BD1303" s="26"/>
      <c r="BE1303" s="26"/>
      <c r="BF1303" s="26"/>
      <c r="BG1303" s="26"/>
      <c r="BH1303" s="26"/>
      <c r="BI1303" s="26"/>
      <c r="BJ1303" s="26"/>
      <c r="BK1303" s="26"/>
      <c r="BL1303" s="26"/>
      <c r="BM1303" s="26"/>
      <c r="BN1303" s="26"/>
      <c r="BO1303" s="26"/>
      <c r="BP1303" s="16" t="n">
        <v>45737</v>
      </c>
      <c r="BQ1303" s="28" t="str">
        <f>HYPERLINK("https://organic.ams.usda.gov/Integrity/Certificate.aspx?cid=71&amp;nopid=5520030354")</f>
        <v>https://organic.ams.usda.gov/Integrity/Certificate.aspx?cid=71&amp;nopid=5520030354</v>
      </c>
    </row>
    <row r="1304">
      <c r="A1304" t="s">
        <v>3</v>
      </c>
      <c r="B1304" s="6" t="s">
        <v>44</v>
      </c>
      <c r="C1304" s="6" t="s">
        <v>110</v>
      </c>
      <c r="D1304" s="6" t="s">
        <v>174</v>
      </c>
      <c r="E1304" s="10" t="s">
        <v>1502</v>
      </c>
      <c r="F1304" s="6" t="s">
        <v>3745</v>
      </c>
      <c r="G1304" s="6" t="s">
        <v>104</v>
      </c>
      <c r="H1304" s="6" t="s">
        <v>6077</v>
      </c>
      <c r="I1304" s="6" t="s">
        <v>7225</v>
      </c>
      <c r="J1304" s="6" t="s">
        <v>9105</v>
      </c>
      <c r="K1304" s="6" t="s">
        <v>9714</v>
      </c>
      <c r="L1304" s="16" t="n">
        <v>45168</v>
      </c>
      <c r="M1304" s="16" t="n">
        <v>45672</v>
      </c>
      <c r="N1304" s="6" t="s">
        <v>104</v>
      </c>
      <c r="O1304" s="21" t="s">
        <v>104</v>
      </c>
      <c r="P1304" s="6" t="s">
        <v>104</v>
      </c>
      <c r="Q1304" s="6" t="s">
        <v>104</v>
      </c>
      <c r="R1304" s="6" t="s">
        <v>104</v>
      </c>
      <c r="S1304" s="6" t="s">
        <v>104</v>
      </c>
      <c r="T1304" s="21" t="s">
        <v>104</v>
      </c>
      <c r="U1304" s="6" t="s">
        <v>104</v>
      </c>
      <c r="V1304" s="6" t="s">
        <v>104</v>
      </c>
      <c r="W1304" s="6" t="s">
        <v>104</v>
      </c>
      <c r="X1304" s="6" t="s">
        <v>104</v>
      </c>
      <c r="Y1304" s="21" t="s">
        <v>104</v>
      </c>
      <c r="Z1304" s="6" t="s">
        <v>104</v>
      </c>
      <c r="AA1304" s="6" t="s">
        <v>104</v>
      </c>
      <c r="AB1304" s="6" t="s">
        <v>104</v>
      </c>
      <c r="AC1304" s="6" t="s">
        <v>9714</v>
      </c>
      <c r="AD1304" s="16" t="n">
        <v>45168</v>
      </c>
      <c r="AE1304" s="6" t="s">
        <v>11651</v>
      </c>
      <c r="AF1304" s="6" t="s">
        <v>104</v>
      </c>
      <c r="AG1304" s="6" t="s">
        <v>104</v>
      </c>
      <c r="AH1304" s="6" t="s">
        <v>14343</v>
      </c>
      <c r="AI1304" s="6" t="s">
        <v>15303</v>
      </c>
      <c r="AJ1304" s="6" t="s">
        <v>16194</v>
      </c>
      <c r="AK1304" s="6" t="s">
        <v>15697</v>
      </c>
      <c r="AL1304" s="6" t="s">
        <v>16931</v>
      </c>
      <c r="AM1304" s="6" t="s">
        <v>17857</v>
      </c>
      <c r="AN1304" s="6" t="s">
        <v>104</v>
      </c>
      <c r="AO1304" s="6" t="s">
        <v>104</v>
      </c>
      <c r="AP1304" s="6" t="s">
        <v>14343</v>
      </c>
      <c r="AQ1304" s="6" t="s">
        <v>15303</v>
      </c>
      <c r="AR1304" s="6" t="s">
        <v>16194</v>
      </c>
      <c r="AS1304" s="6" t="s">
        <v>15697</v>
      </c>
      <c r="AT1304" s="6" t="s">
        <v>16931</v>
      </c>
      <c r="AU1304" s="6" t="s">
        <v>17857</v>
      </c>
      <c r="AV1304" s="6" t="s">
        <v>104</v>
      </c>
      <c r="AW1304" s="6" t="s">
        <v>104</v>
      </c>
      <c r="AX1304" s="6" t="s">
        <v>21136</v>
      </c>
      <c r="AY1304" s="6" t="s">
        <v>22932</v>
      </c>
      <c r="AZ1304" s="6" t="s">
        <v>104</v>
      </c>
      <c r="BA1304" s="6" t="s">
        <v>104</v>
      </c>
      <c r="BB1304" s="24" t="n">
        <v>0</v>
      </c>
      <c r="BC1304" s="26"/>
      <c r="BD1304" s="26"/>
      <c r="BE1304" s="26"/>
      <c r="BF1304" s="26"/>
      <c r="BG1304" s="26"/>
      <c r="BH1304" s="26"/>
      <c r="BI1304" s="26"/>
      <c r="BJ1304" s="26"/>
      <c r="BK1304" s="26"/>
      <c r="BL1304" s="26"/>
      <c r="BM1304" s="26"/>
      <c r="BN1304" s="26"/>
      <c r="BO1304" s="26"/>
      <c r="BP1304" s="16" t="n">
        <v>45603</v>
      </c>
      <c r="BQ1304" s="28" t="str">
        <f>HYPERLINK("https://organic.ams.usda.gov/Integrity/Certificate.aspx?cid=57&amp;nopid=3252023059")</f>
        <v>https://organic.ams.usda.gov/Integrity/Certificate.aspx?cid=57&amp;nopid=3252023059</v>
      </c>
    </row>
    <row r="1305">
      <c r="A1305" t="s">
        <v>3</v>
      </c>
      <c r="B1305" s="6" t="s">
        <v>33</v>
      </c>
      <c r="C1305" s="6" t="s">
        <v>99</v>
      </c>
      <c r="D1305" s="6" t="s">
        <v>164</v>
      </c>
      <c r="E1305" s="10" t="s">
        <v>1503</v>
      </c>
      <c r="F1305" s="6" t="s">
        <v>3746</v>
      </c>
      <c r="G1305" s="6" t="s">
        <v>104</v>
      </c>
      <c r="H1305" s="6" t="s">
        <v>104</v>
      </c>
      <c r="I1305" s="6" t="s">
        <v>7622</v>
      </c>
      <c r="J1305" s="6" t="s">
        <v>9106</v>
      </c>
      <c r="K1305" s="6" t="s">
        <v>9714</v>
      </c>
      <c r="L1305" s="16" t="n">
        <v>45656</v>
      </c>
      <c r="M1305" s="16" t="n">
        <v>45672</v>
      </c>
      <c r="N1305" s="6" t="s">
        <v>104</v>
      </c>
      <c r="O1305" s="21" t="s">
        <v>104</v>
      </c>
      <c r="P1305" s="6" t="s">
        <v>104</v>
      </c>
      <c r="Q1305" s="6" t="s">
        <v>104</v>
      </c>
      <c r="R1305" s="6" t="s">
        <v>104</v>
      </c>
      <c r="S1305" s="6" t="s">
        <v>104</v>
      </c>
      <c r="T1305" s="21" t="s">
        <v>104</v>
      </c>
      <c r="U1305" s="6" t="s">
        <v>104</v>
      </c>
      <c r="V1305" s="6" t="s">
        <v>104</v>
      </c>
      <c r="W1305" s="6" t="s">
        <v>104</v>
      </c>
      <c r="X1305" s="6" t="s">
        <v>104</v>
      </c>
      <c r="Y1305" s="21" t="s">
        <v>104</v>
      </c>
      <c r="Z1305" s="6" t="s">
        <v>104</v>
      </c>
      <c r="AA1305" s="6" t="s">
        <v>104</v>
      </c>
      <c r="AB1305" s="6" t="s">
        <v>104</v>
      </c>
      <c r="AC1305" s="6" t="s">
        <v>9714</v>
      </c>
      <c r="AD1305" s="16" t="n">
        <v>45656</v>
      </c>
      <c r="AE1305" s="6" t="s">
        <v>11652</v>
      </c>
      <c r="AF1305" s="6" t="s">
        <v>104</v>
      </c>
      <c r="AG1305" s="6" t="s">
        <v>104</v>
      </c>
      <c r="AH1305" s="6" t="s">
        <v>14344</v>
      </c>
      <c r="AI1305" s="6" t="s">
        <v>104</v>
      </c>
      <c r="AJ1305" s="6" t="s">
        <v>16195</v>
      </c>
      <c r="AK1305" s="6" t="s">
        <v>16710</v>
      </c>
      <c r="AL1305" s="6" t="s">
        <v>16931</v>
      </c>
      <c r="AM1305" s="6" t="s">
        <v>17858</v>
      </c>
      <c r="AN1305" s="6" t="s">
        <v>104</v>
      </c>
      <c r="AO1305" s="6" t="s">
        <v>104</v>
      </c>
      <c r="AP1305" s="6" t="s">
        <v>14344</v>
      </c>
      <c r="AQ1305" s="6" t="s">
        <v>104</v>
      </c>
      <c r="AR1305" s="6" t="s">
        <v>16195</v>
      </c>
      <c r="AS1305" s="6" t="s">
        <v>16710</v>
      </c>
      <c r="AT1305" s="6" t="s">
        <v>16931</v>
      </c>
      <c r="AU1305" s="6" t="s">
        <v>17858</v>
      </c>
      <c r="AV1305" s="6" t="s">
        <v>104</v>
      </c>
      <c r="AW1305" s="6" t="s">
        <v>104</v>
      </c>
      <c r="AX1305" s="6" t="s">
        <v>104</v>
      </c>
      <c r="AY1305" s="6" t="s">
        <v>104</v>
      </c>
      <c r="AZ1305" s="6" t="s">
        <v>24011</v>
      </c>
      <c r="BA1305" s="6" t="s">
        <v>104</v>
      </c>
      <c r="BB1305" s="6" t="s">
        <v>104</v>
      </c>
      <c r="BC1305" s="26"/>
      <c r="BD1305" s="26"/>
      <c r="BE1305" s="26"/>
      <c r="BF1305" s="26"/>
      <c r="BG1305" s="26"/>
      <c r="BH1305" s="26"/>
      <c r="BI1305" s="26"/>
      <c r="BJ1305" s="26"/>
      <c r="BK1305" s="26"/>
      <c r="BL1305" s="26"/>
      <c r="BM1305" s="26"/>
      <c r="BN1305" s="26"/>
      <c r="BO1305" s="26"/>
      <c r="BP1305" s="16" t="n">
        <v>45656</v>
      </c>
      <c r="BQ1305" s="28" t="str">
        <f>HYPERLINK("https://organic.ams.usda.gov/Integrity/Certificate.aspx?cid=46&amp;nopid=3672400066")</f>
        <v>https://organic.ams.usda.gov/Integrity/Certificate.aspx?cid=46&amp;nopid=3672400066</v>
      </c>
    </row>
    <row r="1306">
      <c r="A1306" t="s">
        <v>3</v>
      </c>
      <c r="B1306" s="6" t="s">
        <v>41</v>
      </c>
      <c r="C1306" s="6" t="s">
        <v>107</v>
      </c>
      <c r="D1306" s="6" t="s">
        <v>171</v>
      </c>
      <c r="E1306" s="10" t="s">
        <v>1504</v>
      </c>
      <c r="F1306" s="6" t="s">
        <v>3747</v>
      </c>
      <c r="G1306" s="6" t="s">
        <v>4794</v>
      </c>
      <c r="H1306" s="6" t="s">
        <v>6078</v>
      </c>
      <c r="I1306" s="6" t="s">
        <v>7702</v>
      </c>
      <c r="J1306" s="6" t="s">
        <v>9107</v>
      </c>
      <c r="K1306" s="6" t="s">
        <v>9714</v>
      </c>
      <c r="L1306" s="16" t="n">
        <v>45560</v>
      </c>
      <c r="M1306" s="16" t="n">
        <v>45901</v>
      </c>
      <c r="N1306" s="6" t="s">
        <v>104</v>
      </c>
      <c r="O1306" s="21" t="s">
        <v>104</v>
      </c>
      <c r="P1306" s="6" t="s">
        <v>104</v>
      </c>
      <c r="Q1306" s="6" t="s">
        <v>104</v>
      </c>
      <c r="R1306" s="6" t="s">
        <v>104</v>
      </c>
      <c r="S1306" s="6" t="s">
        <v>104</v>
      </c>
      <c r="T1306" s="21" t="s">
        <v>104</v>
      </c>
      <c r="U1306" s="6" t="s">
        <v>104</v>
      </c>
      <c r="V1306" s="6" t="s">
        <v>104</v>
      </c>
      <c r="W1306" s="6" t="s">
        <v>104</v>
      </c>
      <c r="X1306" s="6" t="s">
        <v>104</v>
      </c>
      <c r="Y1306" s="21" t="s">
        <v>104</v>
      </c>
      <c r="Z1306" s="6" t="s">
        <v>104</v>
      </c>
      <c r="AA1306" s="6" t="s">
        <v>104</v>
      </c>
      <c r="AB1306" s="6" t="s">
        <v>104</v>
      </c>
      <c r="AC1306" s="6" t="s">
        <v>9714</v>
      </c>
      <c r="AD1306" s="16" t="n">
        <v>45560</v>
      </c>
      <c r="AE1306" s="6" t="s">
        <v>11653</v>
      </c>
      <c r="AF1306" s="6" t="s">
        <v>104</v>
      </c>
      <c r="AG1306" s="6" t="s">
        <v>104</v>
      </c>
      <c r="AH1306" s="6" t="s">
        <v>14345</v>
      </c>
      <c r="AI1306" s="6" t="s">
        <v>104</v>
      </c>
      <c r="AJ1306" s="6" t="s">
        <v>16196</v>
      </c>
      <c r="AK1306" s="6" t="s">
        <v>16688</v>
      </c>
      <c r="AL1306" s="6" t="s">
        <v>16931</v>
      </c>
      <c r="AM1306" s="6" t="s">
        <v>17859</v>
      </c>
      <c r="AN1306" s="6" t="s">
        <v>104</v>
      </c>
      <c r="AO1306" s="6" t="s">
        <v>104</v>
      </c>
      <c r="AP1306" s="6" t="s">
        <v>19295</v>
      </c>
      <c r="AQ1306" s="6" t="s">
        <v>104</v>
      </c>
      <c r="AR1306" s="6" t="s">
        <v>19715</v>
      </c>
      <c r="AS1306" s="6" t="s">
        <v>16688</v>
      </c>
      <c r="AT1306" s="6" t="s">
        <v>16931</v>
      </c>
      <c r="AU1306" s="6" t="s">
        <v>19966</v>
      </c>
      <c r="AV1306" s="6" t="s">
        <v>104</v>
      </c>
      <c r="AW1306" s="6" t="s">
        <v>104</v>
      </c>
      <c r="AX1306" s="6" t="s">
        <v>21137</v>
      </c>
      <c r="AY1306" s="6" t="s">
        <v>22933</v>
      </c>
      <c r="AZ1306" s="6" t="s">
        <v>104</v>
      </c>
      <c r="BA1306" s="6" t="s">
        <v>104</v>
      </c>
      <c r="BB1306" s="6" t="s">
        <v>104</v>
      </c>
      <c r="BC1306" s="26"/>
      <c r="BD1306" s="26"/>
      <c r="BE1306" s="26"/>
      <c r="BF1306" s="26"/>
      <c r="BG1306" s="26"/>
      <c r="BH1306" s="26"/>
      <c r="BI1306" s="26"/>
      <c r="BJ1306" s="26"/>
      <c r="BK1306" s="26"/>
      <c r="BL1306" s="26"/>
      <c r="BM1306" s="26"/>
      <c r="BN1306" s="26"/>
      <c r="BO1306" s="26"/>
      <c r="BP1306" s="16" t="n">
        <v>45737</v>
      </c>
      <c r="BQ1306" s="28" t="str">
        <f>HYPERLINK("https://organic.ams.usda.gov/Integrity/Certificate.aspx?cid=58&amp;nopid=1600003808")</f>
        <v>https://organic.ams.usda.gov/Integrity/Certificate.aspx?cid=58&amp;nopid=1600003808</v>
      </c>
    </row>
    <row r="1307">
      <c r="A1307" t="s">
        <v>3</v>
      </c>
      <c r="B1307" s="6" t="s">
        <v>6</v>
      </c>
      <c r="C1307" s="6" t="s">
        <v>72</v>
      </c>
      <c r="D1307" s="6" t="s">
        <v>137</v>
      </c>
      <c r="E1307" s="10" t="s">
        <v>1505</v>
      </c>
      <c r="F1307" s="6" t="s">
        <v>3748</v>
      </c>
      <c r="G1307" s="6" t="s">
        <v>104</v>
      </c>
      <c r="H1307" s="6" t="s">
        <v>6079</v>
      </c>
      <c r="I1307" s="6" t="s">
        <v>7703</v>
      </c>
      <c r="J1307" s="6" t="s">
        <v>9108</v>
      </c>
      <c r="K1307" s="6" t="s">
        <v>9714</v>
      </c>
      <c r="L1307" s="16" t="n">
        <v>44155</v>
      </c>
      <c r="M1307" s="16" t="n">
        <v>45961</v>
      </c>
      <c r="N1307" s="6" t="s">
        <v>104</v>
      </c>
      <c r="O1307" s="21" t="s">
        <v>104</v>
      </c>
      <c r="P1307" s="6" t="s">
        <v>104</v>
      </c>
      <c r="Q1307" s="6" t="s">
        <v>104</v>
      </c>
      <c r="R1307" s="6" t="s">
        <v>104</v>
      </c>
      <c r="S1307" s="6" t="s">
        <v>104</v>
      </c>
      <c r="T1307" s="21" t="s">
        <v>104</v>
      </c>
      <c r="U1307" s="6" t="s">
        <v>104</v>
      </c>
      <c r="V1307" s="6" t="s">
        <v>104</v>
      </c>
      <c r="W1307" s="6" t="s">
        <v>104</v>
      </c>
      <c r="X1307" s="6" t="s">
        <v>104</v>
      </c>
      <c r="Y1307" s="21" t="s">
        <v>104</v>
      </c>
      <c r="Z1307" s="6" t="s">
        <v>104</v>
      </c>
      <c r="AA1307" s="6" t="s">
        <v>104</v>
      </c>
      <c r="AB1307" s="6" t="s">
        <v>104</v>
      </c>
      <c r="AC1307" s="6" t="s">
        <v>9714</v>
      </c>
      <c r="AD1307" s="16" t="n">
        <v>44155</v>
      </c>
      <c r="AE1307" s="6" t="s">
        <v>11654</v>
      </c>
      <c r="AF1307" s="6" t="s">
        <v>104</v>
      </c>
      <c r="AG1307" s="6" t="s">
        <v>12890</v>
      </c>
      <c r="AH1307" s="6" t="s">
        <v>14346</v>
      </c>
      <c r="AI1307" s="6" t="s">
        <v>104</v>
      </c>
      <c r="AJ1307" s="6" t="s">
        <v>16197</v>
      </c>
      <c r="AK1307" s="6" t="s">
        <v>16866</v>
      </c>
      <c r="AL1307" s="6" t="s">
        <v>16930</v>
      </c>
      <c r="AM1307" s="6" t="s">
        <v>17860</v>
      </c>
      <c r="AN1307" s="6" t="s">
        <v>104</v>
      </c>
      <c r="AO1307" s="6" t="s">
        <v>104</v>
      </c>
      <c r="AP1307" s="6" t="s">
        <v>104</v>
      </c>
      <c r="AQ1307" s="6" t="s">
        <v>104</v>
      </c>
      <c r="AR1307" s="6" t="s">
        <v>104</v>
      </c>
      <c r="AS1307" s="6" t="s">
        <v>104</v>
      </c>
      <c r="AT1307" s="6" t="s">
        <v>104</v>
      </c>
      <c r="AU1307" s="6" t="s">
        <v>104</v>
      </c>
      <c r="AV1307" s="6" t="s">
        <v>104</v>
      </c>
      <c r="AW1307" s="6" t="s">
        <v>104</v>
      </c>
      <c r="AX1307" s="6" t="s">
        <v>21138</v>
      </c>
      <c r="AY1307" s="6" t="s">
        <v>22934</v>
      </c>
      <c r="AZ1307" s="6" t="s">
        <v>104</v>
      </c>
      <c r="BA1307" s="6" t="s">
        <v>104</v>
      </c>
      <c r="BB1307" s="6" t="s">
        <v>104</v>
      </c>
      <c r="BC1307" s="26"/>
      <c r="BD1307" s="26"/>
      <c r="BE1307" s="26"/>
      <c r="BF1307" s="26"/>
      <c r="BG1307" s="26"/>
      <c r="BH1307" s="26"/>
      <c r="BI1307" s="26"/>
      <c r="BJ1307" s="26"/>
      <c r="BK1307" s="26"/>
      <c r="BL1307" s="26"/>
      <c r="BM1307" s="26"/>
      <c r="BN1307" s="26"/>
      <c r="BO1307" s="26"/>
      <c r="BP1307" s="16" t="n">
        <v>45737</v>
      </c>
      <c r="BQ1307" s="28" t="str">
        <f>HYPERLINK("https://organic.ams.usda.gov/Integrity/Certificate.aspx?cid=32&amp;nopid=2230008140")</f>
        <v>https://organic.ams.usda.gov/Integrity/Certificate.aspx?cid=32&amp;nopid=2230008140</v>
      </c>
    </row>
    <row r="1308">
      <c r="A1308" t="s">
        <v>3</v>
      </c>
      <c r="B1308" s="6" t="s">
        <v>6</v>
      </c>
      <c r="C1308" s="6" t="s">
        <v>72</v>
      </c>
      <c r="D1308" s="6" t="s">
        <v>137</v>
      </c>
      <c r="E1308" s="10" t="s">
        <v>1506</v>
      </c>
      <c r="F1308" s="6" t="s">
        <v>3749</v>
      </c>
      <c r="G1308" s="6" t="s">
        <v>104</v>
      </c>
      <c r="H1308" s="6" t="s">
        <v>6080</v>
      </c>
      <c r="I1308" s="6" t="s">
        <v>7703</v>
      </c>
      <c r="J1308" s="6" t="s">
        <v>9108</v>
      </c>
      <c r="K1308" s="6" t="s">
        <v>9714</v>
      </c>
      <c r="L1308" s="16" t="n">
        <v>45702</v>
      </c>
      <c r="M1308" s="16" t="n">
        <v>45961</v>
      </c>
      <c r="N1308" s="6" t="s">
        <v>104</v>
      </c>
      <c r="O1308" s="21" t="s">
        <v>104</v>
      </c>
      <c r="P1308" s="6" t="s">
        <v>104</v>
      </c>
      <c r="Q1308" s="6" t="s">
        <v>104</v>
      </c>
      <c r="R1308" s="6" t="s">
        <v>104</v>
      </c>
      <c r="S1308" s="6" t="s">
        <v>104</v>
      </c>
      <c r="T1308" s="21" t="s">
        <v>104</v>
      </c>
      <c r="U1308" s="6" t="s">
        <v>104</v>
      </c>
      <c r="V1308" s="6" t="s">
        <v>104</v>
      </c>
      <c r="W1308" s="6" t="s">
        <v>104</v>
      </c>
      <c r="X1308" s="6" t="s">
        <v>104</v>
      </c>
      <c r="Y1308" s="21" t="s">
        <v>104</v>
      </c>
      <c r="Z1308" s="6" t="s">
        <v>104</v>
      </c>
      <c r="AA1308" s="6" t="s">
        <v>104</v>
      </c>
      <c r="AB1308" s="6" t="s">
        <v>104</v>
      </c>
      <c r="AC1308" s="6" t="s">
        <v>9714</v>
      </c>
      <c r="AD1308" s="16" t="n">
        <v>45702</v>
      </c>
      <c r="AE1308" s="6" t="s">
        <v>11655</v>
      </c>
      <c r="AF1308" s="6" t="s">
        <v>104</v>
      </c>
      <c r="AG1308" s="6" t="s">
        <v>12891</v>
      </c>
      <c r="AH1308" s="6" t="s">
        <v>14347</v>
      </c>
      <c r="AI1308" s="6" t="s">
        <v>104</v>
      </c>
      <c r="AJ1308" s="6" t="s">
        <v>16198</v>
      </c>
      <c r="AK1308" s="6" t="s">
        <v>16866</v>
      </c>
      <c r="AL1308" s="6" t="s">
        <v>16930</v>
      </c>
      <c r="AM1308" s="6" t="s">
        <v>17861</v>
      </c>
      <c r="AN1308" s="6" t="s">
        <v>104</v>
      </c>
      <c r="AO1308" s="6" t="s">
        <v>104</v>
      </c>
      <c r="AP1308" s="6" t="s">
        <v>104</v>
      </c>
      <c r="AQ1308" s="6" t="s">
        <v>104</v>
      </c>
      <c r="AR1308" s="6" t="s">
        <v>104</v>
      </c>
      <c r="AS1308" s="6" t="s">
        <v>104</v>
      </c>
      <c r="AT1308" s="6" t="s">
        <v>104</v>
      </c>
      <c r="AU1308" s="6" t="s">
        <v>104</v>
      </c>
      <c r="AV1308" s="6" t="s">
        <v>104</v>
      </c>
      <c r="AW1308" s="6" t="s">
        <v>104</v>
      </c>
      <c r="AX1308" s="6" t="s">
        <v>21138</v>
      </c>
      <c r="AY1308" s="6" t="s">
        <v>22934</v>
      </c>
      <c r="AZ1308" s="6" t="s">
        <v>104</v>
      </c>
      <c r="BA1308" s="6" t="s">
        <v>104</v>
      </c>
      <c r="BB1308" s="6" t="s">
        <v>104</v>
      </c>
      <c r="BC1308" s="26"/>
      <c r="BD1308" s="26"/>
      <c r="BE1308" s="26"/>
      <c r="BF1308" s="26"/>
      <c r="BG1308" s="26"/>
      <c r="BH1308" s="26"/>
      <c r="BI1308" s="26"/>
      <c r="BJ1308" s="26"/>
      <c r="BK1308" s="26"/>
      <c r="BL1308" s="26"/>
      <c r="BM1308" s="26"/>
      <c r="BN1308" s="26"/>
      <c r="BO1308" s="26"/>
      <c r="BP1308" s="16" t="n">
        <v>45737</v>
      </c>
      <c r="BQ1308" s="28" t="str">
        <f>HYPERLINK("https://organic.ams.usda.gov/Integrity/Certificate.aspx?cid=32&amp;nopid=2230008141")</f>
        <v>https://organic.ams.usda.gov/Integrity/Certificate.aspx?cid=32&amp;nopid=2230008141</v>
      </c>
    </row>
    <row r="1309">
      <c r="A1309" t="s">
        <v>3</v>
      </c>
      <c r="B1309" s="6" t="s">
        <v>21</v>
      </c>
      <c r="C1309" s="6" t="s">
        <v>87</v>
      </c>
      <c r="D1309" s="6" t="s">
        <v>152</v>
      </c>
      <c r="E1309" s="10" t="s">
        <v>1507</v>
      </c>
      <c r="F1309" s="6" t="s">
        <v>3750</v>
      </c>
      <c r="G1309" s="6" t="s">
        <v>4795</v>
      </c>
      <c r="H1309" s="6" t="s">
        <v>6081</v>
      </c>
      <c r="I1309" s="6" t="s">
        <v>7023</v>
      </c>
      <c r="J1309" s="6" t="s">
        <v>9109</v>
      </c>
      <c r="K1309" s="6" t="s">
        <v>9714</v>
      </c>
      <c r="L1309" s="16" t="n">
        <v>43770</v>
      </c>
      <c r="M1309" s="16" t="n">
        <v>46023</v>
      </c>
      <c r="N1309" s="6" t="s">
        <v>104</v>
      </c>
      <c r="O1309" s="21" t="s">
        <v>104</v>
      </c>
      <c r="P1309" s="6" t="s">
        <v>104</v>
      </c>
      <c r="Q1309" s="6" t="s">
        <v>104</v>
      </c>
      <c r="R1309" s="6" t="s">
        <v>104</v>
      </c>
      <c r="S1309" s="6" t="s">
        <v>104</v>
      </c>
      <c r="T1309" s="21" t="s">
        <v>104</v>
      </c>
      <c r="U1309" s="6" t="s">
        <v>104</v>
      </c>
      <c r="V1309" s="6" t="s">
        <v>104</v>
      </c>
      <c r="W1309" s="6" t="s">
        <v>104</v>
      </c>
      <c r="X1309" s="6" t="s">
        <v>104</v>
      </c>
      <c r="Y1309" s="21" t="s">
        <v>104</v>
      </c>
      <c r="Z1309" s="6" t="s">
        <v>104</v>
      </c>
      <c r="AA1309" s="6" t="s">
        <v>104</v>
      </c>
      <c r="AB1309" s="6" t="s">
        <v>104</v>
      </c>
      <c r="AC1309" s="6" t="s">
        <v>9714</v>
      </c>
      <c r="AD1309" s="16" t="n">
        <v>43770</v>
      </c>
      <c r="AE1309" s="6" t="s">
        <v>11656</v>
      </c>
      <c r="AF1309" s="6" t="s">
        <v>104</v>
      </c>
      <c r="AG1309" s="6" t="s">
        <v>104</v>
      </c>
      <c r="AH1309" s="6" t="s">
        <v>14348</v>
      </c>
      <c r="AI1309" s="6" t="s">
        <v>104</v>
      </c>
      <c r="AJ1309" s="6" t="s">
        <v>16199</v>
      </c>
      <c r="AK1309" s="6" t="s">
        <v>16714</v>
      </c>
      <c r="AL1309" s="6" t="s">
        <v>16931</v>
      </c>
      <c r="AM1309" s="6" t="s">
        <v>17862</v>
      </c>
      <c r="AN1309" s="6" t="s">
        <v>18518</v>
      </c>
      <c r="AO1309" s="6" t="s">
        <v>18826</v>
      </c>
      <c r="AP1309" s="6" t="s">
        <v>19296</v>
      </c>
      <c r="AQ1309" s="6" t="s">
        <v>15343</v>
      </c>
      <c r="AR1309" s="6" t="s">
        <v>19672</v>
      </c>
      <c r="AS1309" s="6" t="s">
        <v>16683</v>
      </c>
      <c r="AT1309" s="6" t="s">
        <v>16931</v>
      </c>
      <c r="AU1309" s="6" t="s">
        <v>19899</v>
      </c>
      <c r="AV1309" s="6" t="s">
        <v>104</v>
      </c>
      <c r="AW1309" s="6" t="s">
        <v>104</v>
      </c>
      <c r="AX1309" s="6" t="s">
        <v>21139</v>
      </c>
      <c r="AY1309" s="6" t="s">
        <v>22935</v>
      </c>
      <c r="AZ1309" s="6" t="s">
        <v>24012</v>
      </c>
      <c r="BA1309" s="6" t="s">
        <v>24433</v>
      </c>
      <c r="BB1309" s="6" t="s">
        <v>104</v>
      </c>
      <c r="BC1309" s="26"/>
      <c r="BD1309" s="26"/>
      <c r="BE1309" s="26"/>
      <c r="BF1309" s="26" t="s">
        <v>24533</v>
      </c>
      <c r="BG1309" s="26"/>
      <c r="BH1309" s="26"/>
      <c r="BI1309" s="26"/>
      <c r="BJ1309" s="26"/>
      <c r="BK1309" s="26"/>
      <c r="BL1309" s="26"/>
      <c r="BM1309" s="26"/>
      <c r="BN1309" s="26"/>
      <c r="BO1309" s="26"/>
      <c r="BP1309" s="16" t="n">
        <v>45698</v>
      </c>
      <c r="BQ1309" s="28" t="str">
        <f>HYPERLINK("https://organic.ams.usda.gov/Integrity/Certificate.aspx?cid=15&amp;nopid=5561006123")</f>
        <v>https://organic.ams.usda.gov/Integrity/Certificate.aspx?cid=15&amp;nopid=5561006123</v>
      </c>
    </row>
    <row r="1310">
      <c r="A1310" t="s">
        <v>3</v>
      </c>
      <c r="B1310" s="6" t="s">
        <v>54</v>
      </c>
      <c r="C1310" s="6" t="s">
        <v>120</v>
      </c>
      <c r="D1310" s="6" t="s">
        <v>184</v>
      </c>
      <c r="E1310" s="10" t="s">
        <v>1508</v>
      </c>
      <c r="F1310" s="6" t="s">
        <v>3751</v>
      </c>
      <c r="G1310" s="6" t="s">
        <v>104</v>
      </c>
      <c r="H1310" s="6" t="s">
        <v>6082</v>
      </c>
      <c r="I1310" s="6" t="s">
        <v>7670</v>
      </c>
      <c r="J1310" s="6" t="s">
        <v>9110</v>
      </c>
      <c r="K1310" s="6" t="s">
        <v>9714</v>
      </c>
      <c r="L1310" s="16" t="n">
        <v>45629</v>
      </c>
      <c r="M1310" s="16" t="n">
        <v>45748</v>
      </c>
      <c r="N1310" s="6" t="s">
        <v>104</v>
      </c>
      <c r="O1310" s="21" t="s">
        <v>104</v>
      </c>
      <c r="P1310" s="6" t="s">
        <v>104</v>
      </c>
      <c r="Q1310" s="6" t="s">
        <v>104</v>
      </c>
      <c r="R1310" s="6" t="s">
        <v>104</v>
      </c>
      <c r="S1310" s="6" t="s">
        <v>104</v>
      </c>
      <c r="T1310" s="21" t="s">
        <v>104</v>
      </c>
      <c r="U1310" s="6" t="s">
        <v>104</v>
      </c>
      <c r="V1310" s="6" t="s">
        <v>104</v>
      </c>
      <c r="W1310" s="6" t="s">
        <v>104</v>
      </c>
      <c r="X1310" s="6" t="s">
        <v>104</v>
      </c>
      <c r="Y1310" s="21" t="s">
        <v>104</v>
      </c>
      <c r="Z1310" s="6" t="s">
        <v>104</v>
      </c>
      <c r="AA1310" s="6" t="s">
        <v>104</v>
      </c>
      <c r="AB1310" s="6" t="s">
        <v>104</v>
      </c>
      <c r="AC1310" s="6" t="s">
        <v>9714</v>
      </c>
      <c r="AD1310" s="16" t="n">
        <v>45629</v>
      </c>
      <c r="AE1310" s="6" t="s">
        <v>11657</v>
      </c>
      <c r="AF1310" s="6" t="s">
        <v>104</v>
      </c>
      <c r="AG1310" s="6" t="s">
        <v>104</v>
      </c>
      <c r="AH1310" s="6" t="s">
        <v>14349</v>
      </c>
      <c r="AI1310" s="6" t="s">
        <v>104</v>
      </c>
      <c r="AJ1310" s="6" t="s">
        <v>16200</v>
      </c>
      <c r="AK1310" s="6" t="s">
        <v>16742</v>
      </c>
      <c r="AL1310" s="6" t="s">
        <v>16931</v>
      </c>
      <c r="AM1310" s="6" t="s">
        <v>17863</v>
      </c>
      <c r="AN1310" s="6" t="s">
        <v>104</v>
      </c>
      <c r="AO1310" s="6" t="s">
        <v>104</v>
      </c>
      <c r="AP1310" s="6" t="s">
        <v>104</v>
      </c>
      <c r="AQ1310" s="6" t="s">
        <v>104</v>
      </c>
      <c r="AR1310" s="6" t="s">
        <v>104</v>
      </c>
      <c r="AS1310" s="6" t="s">
        <v>104</v>
      </c>
      <c r="AT1310" s="6" t="s">
        <v>104</v>
      </c>
      <c r="AU1310" s="6" t="s">
        <v>104</v>
      </c>
      <c r="AV1310" s="6" t="s">
        <v>104</v>
      </c>
      <c r="AW1310" s="6" t="s">
        <v>104</v>
      </c>
      <c r="AX1310" s="6" t="s">
        <v>21140</v>
      </c>
      <c r="AY1310" s="6" t="s">
        <v>22936</v>
      </c>
      <c r="AZ1310" s="6" t="s">
        <v>24013</v>
      </c>
      <c r="BA1310" s="6" t="s">
        <v>24272</v>
      </c>
      <c r="BB1310" s="6" t="s">
        <v>104</v>
      </c>
      <c r="BC1310" s="26"/>
      <c r="BD1310" s="26"/>
      <c r="BE1310" s="26"/>
      <c r="BF1310" s="26"/>
      <c r="BG1310" s="26"/>
      <c r="BH1310" s="26"/>
      <c r="BI1310" s="26"/>
      <c r="BJ1310" s="26"/>
      <c r="BK1310" s="26"/>
      <c r="BL1310" s="26"/>
      <c r="BM1310" s="26"/>
      <c r="BN1310" s="26"/>
      <c r="BO1310" s="26"/>
      <c r="BP1310" s="16" t="n">
        <v>45726</v>
      </c>
      <c r="BQ1310" s="28" t="str">
        <f>HYPERLINK("https://organic.ams.usda.gov/Integrity/Certificate.aspx?cid=60&amp;nopid=2580006929")</f>
        <v>https://organic.ams.usda.gov/Integrity/Certificate.aspx?cid=60&amp;nopid=2580006929</v>
      </c>
    </row>
    <row r="1311">
      <c r="A1311" t="s">
        <v>3</v>
      </c>
      <c r="B1311" s="6" t="s">
        <v>54</v>
      </c>
      <c r="C1311" s="6" t="s">
        <v>120</v>
      </c>
      <c r="D1311" s="6" t="s">
        <v>184</v>
      </c>
      <c r="E1311" s="10" t="s">
        <v>1509</v>
      </c>
      <c r="F1311" s="6" t="s">
        <v>3751</v>
      </c>
      <c r="G1311" s="6" t="s">
        <v>104</v>
      </c>
      <c r="H1311" s="6" t="s">
        <v>6083</v>
      </c>
      <c r="I1311" s="6" t="s">
        <v>7209</v>
      </c>
      <c r="J1311" s="6" t="s">
        <v>9111</v>
      </c>
      <c r="K1311" s="6" t="s">
        <v>9714</v>
      </c>
      <c r="L1311" s="16" t="n">
        <v>45497</v>
      </c>
      <c r="M1311" s="16" t="n">
        <v>45748</v>
      </c>
      <c r="N1311" s="6" t="s">
        <v>104</v>
      </c>
      <c r="O1311" s="21" t="s">
        <v>104</v>
      </c>
      <c r="P1311" s="6" t="s">
        <v>104</v>
      </c>
      <c r="Q1311" s="6" t="s">
        <v>104</v>
      </c>
      <c r="R1311" s="6" t="s">
        <v>104</v>
      </c>
      <c r="S1311" s="6" t="s">
        <v>104</v>
      </c>
      <c r="T1311" s="21" t="s">
        <v>104</v>
      </c>
      <c r="U1311" s="6" t="s">
        <v>104</v>
      </c>
      <c r="V1311" s="6" t="s">
        <v>104</v>
      </c>
      <c r="W1311" s="6" t="s">
        <v>104</v>
      </c>
      <c r="X1311" s="6" t="s">
        <v>104</v>
      </c>
      <c r="Y1311" s="21" t="s">
        <v>104</v>
      </c>
      <c r="Z1311" s="6" t="s">
        <v>104</v>
      </c>
      <c r="AA1311" s="6" t="s">
        <v>104</v>
      </c>
      <c r="AB1311" s="6" t="s">
        <v>104</v>
      </c>
      <c r="AC1311" s="6" t="s">
        <v>9714</v>
      </c>
      <c r="AD1311" s="16" t="n">
        <v>45497</v>
      </c>
      <c r="AE1311" s="6" t="s">
        <v>11658</v>
      </c>
      <c r="AF1311" s="6" t="s">
        <v>104</v>
      </c>
      <c r="AG1311" s="6" t="s">
        <v>104</v>
      </c>
      <c r="AH1311" s="6" t="s">
        <v>14350</v>
      </c>
      <c r="AI1311" s="6" t="s">
        <v>104</v>
      </c>
      <c r="AJ1311" s="6" t="s">
        <v>16201</v>
      </c>
      <c r="AK1311" s="6" t="s">
        <v>16743</v>
      </c>
      <c r="AL1311" s="6" t="s">
        <v>16931</v>
      </c>
      <c r="AM1311" s="6" t="s">
        <v>17864</v>
      </c>
      <c r="AN1311" s="6" t="s">
        <v>104</v>
      </c>
      <c r="AO1311" s="6" t="s">
        <v>104</v>
      </c>
      <c r="AP1311" s="6" t="s">
        <v>104</v>
      </c>
      <c r="AQ1311" s="6" t="s">
        <v>104</v>
      </c>
      <c r="AR1311" s="6" t="s">
        <v>104</v>
      </c>
      <c r="AS1311" s="6" t="s">
        <v>104</v>
      </c>
      <c r="AT1311" s="6" t="s">
        <v>104</v>
      </c>
      <c r="AU1311" s="6" t="s">
        <v>104</v>
      </c>
      <c r="AV1311" s="6" t="s">
        <v>104</v>
      </c>
      <c r="AW1311" s="6" t="s">
        <v>104</v>
      </c>
      <c r="AX1311" s="6" t="s">
        <v>104</v>
      </c>
      <c r="AY1311" s="6" t="s">
        <v>22937</v>
      </c>
      <c r="AZ1311" s="6" t="s">
        <v>104</v>
      </c>
      <c r="BA1311" s="6" t="s">
        <v>24267</v>
      </c>
      <c r="BB1311" s="6" t="s">
        <v>104</v>
      </c>
      <c r="BC1311" s="26"/>
      <c r="BD1311" s="26"/>
      <c r="BE1311" s="26"/>
      <c r="BF1311" s="26"/>
      <c r="BG1311" s="26"/>
      <c r="BH1311" s="26" t="s">
        <v>24533</v>
      </c>
      <c r="BI1311" s="26"/>
      <c r="BJ1311" s="26"/>
      <c r="BK1311" s="26"/>
      <c r="BL1311" s="26"/>
      <c r="BM1311" s="26"/>
      <c r="BN1311" s="26" t="s">
        <v>24533</v>
      </c>
      <c r="BO1311" s="26"/>
      <c r="BP1311" s="16" t="n">
        <v>45726</v>
      </c>
      <c r="BQ1311" s="28" t="str">
        <f>HYPERLINK("https://organic.ams.usda.gov/Integrity/Certificate.aspx?cid=60&amp;nopid=2580006751")</f>
        <v>https://organic.ams.usda.gov/Integrity/Certificate.aspx?cid=60&amp;nopid=2580006751</v>
      </c>
    </row>
    <row r="1312">
      <c r="A1312" t="s">
        <v>3</v>
      </c>
      <c r="B1312" s="6" t="s">
        <v>14</v>
      </c>
      <c r="C1312" s="6" t="s">
        <v>80</v>
      </c>
      <c r="D1312" s="6" t="s">
        <v>145</v>
      </c>
      <c r="E1312" s="10" t="s">
        <v>1510</v>
      </c>
      <c r="F1312" s="6" t="s">
        <v>3752</v>
      </c>
      <c r="G1312" s="6" t="s">
        <v>104</v>
      </c>
      <c r="H1312" s="6" t="s">
        <v>6084</v>
      </c>
      <c r="I1312" s="6" t="s">
        <v>7704</v>
      </c>
      <c r="J1312" s="6" t="s">
        <v>9112</v>
      </c>
      <c r="K1312" s="6" t="s">
        <v>9714</v>
      </c>
      <c r="L1312" s="16" t="n">
        <v>44988</v>
      </c>
      <c r="M1312" s="16" t="n">
        <v>45639</v>
      </c>
      <c r="N1312" s="6" t="s">
        <v>104</v>
      </c>
      <c r="O1312" s="21" t="s">
        <v>104</v>
      </c>
      <c r="P1312" s="6" t="s">
        <v>104</v>
      </c>
      <c r="Q1312" s="6" t="s">
        <v>104</v>
      </c>
      <c r="R1312" s="6" t="s">
        <v>104</v>
      </c>
      <c r="S1312" s="6" t="s">
        <v>104</v>
      </c>
      <c r="T1312" s="21" t="s">
        <v>104</v>
      </c>
      <c r="U1312" s="6" t="s">
        <v>104</v>
      </c>
      <c r="V1312" s="6" t="s">
        <v>104</v>
      </c>
      <c r="W1312" s="6" t="s">
        <v>104</v>
      </c>
      <c r="X1312" s="6" t="s">
        <v>104</v>
      </c>
      <c r="Y1312" s="21" t="s">
        <v>104</v>
      </c>
      <c r="Z1312" s="6" t="s">
        <v>104</v>
      </c>
      <c r="AA1312" s="6" t="s">
        <v>104</v>
      </c>
      <c r="AB1312" s="6" t="s">
        <v>104</v>
      </c>
      <c r="AC1312" s="6" t="s">
        <v>9714</v>
      </c>
      <c r="AD1312" s="16" t="n">
        <v>44988</v>
      </c>
      <c r="AE1312" s="6" t="s">
        <v>11659</v>
      </c>
      <c r="AF1312" s="6" t="s">
        <v>104</v>
      </c>
      <c r="AG1312" s="6" t="s">
        <v>104</v>
      </c>
      <c r="AH1312" s="6" t="s">
        <v>14351</v>
      </c>
      <c r="AI1312" s="6" t="s">
        <v>104</v>
      </c>
      <c r="AJ1312" s="6" t="s">
        <v>16202</v>
      </c>
      <c r="AK1312" s="6" t="s">
        <v>16773</v>
      </c>
      <c r="AL1312" s="6" t="s">
        <v>16932</v>
      </c>
      <c r="AM1312" s="6" t="s">
        <v>17865</v>
      </c>
      <c r="AN1312" s="6" t="s">
        <v>104</v>
      </c>
      <c r="AO1312" s="6" t="s">
        <v>104</v>
      </c>
      <c r="AP1312" s="6" t="s">
        <v>104</v>
      </c>
      <c r="AQ1312" s="6" t="s">
        <v>104</v>
      </c>
      <c r="AR1312" s="6" t="s">
        <v>104</v>
      </c>
      <c r="AS1312" s="6" t="s">
        <v>104</v>
      </c>
      <c r="AT1312" s="6" t="s">
        <v>104</v>
      </c>
      <c r="AU1312" s="6" t="s">
        <v>104</v>
      </c>
      <c r="AV1312" s="6" t="s">
        <v>104</v>
      </c>
      <c r="AW1312" s="6" t="s">
        <v>104</v>
      </c>
      <c r="AX1312" s="6" t="s">
        <v>21141</v>
      </c>
      <c r="AY1312" s="6" t="s">
        <v>22938</v>
      </c>
      <c r="AZ1312" s="6" t="s">
        <v>104</v>
      </c>
      <c r="BA1312" s="6" t="s">
        <v>24319</v>
      </c>
      <c r="BB1312" s="6" t="s">
        <v>104</v>
      </c>
      <c r="BC1312" s="26"/>
      <c r="BD1312" s="26"/>
      <c r="BE1312" s="26"/>
      <c r="BF1312" s="26"/>
      <c r="BG1312" s="26"/>
      <c r="BH1312" s="26"/>
      <c r="BI1312" s="26"/>
      <c r="BJ1312" s="26"/>
      <c r="BK1312" s="26"/>
      <c r="BL1312" s="26"/>
      <c r="BM1312" s="26"/>
      <c r="BN1312" s="26"/>
      <c r="BO1312" s="26"/>
      <c r="BP1312" s="16" t="n">
        <v>45373</v>
      </c>
      <c r="BQ1312" s="28" t="str">
        <f>HYPERLINK("https://organic.ams.usda.gov/Integrity/Certificate.aspx?cid=89&amp;nopid=4920006286")</f>
        <v>https://organic.ams.usda.gov/Integrity/Certificate.aspx?cid=89&amp;nopid=4920006286</v>
      </c>
    </row>
    <row r="1313">
      <c r="A1313" t="s">
        <v>3</v>
      </c>
      <c r="B1313" s="6" t="s">
        <v>22</v>
      </c>
      <c r="C1313" s="6" t="s">
        <v>88</v>
      </c>
      <c r="D1313" s="6" t="s">
        <v>153</v>
      </c>
      <c r="E1313" s="10" t="s">
        <v>1511</v>
      </c>
      <c r="F1313" s="6" t="s">
        <v>3753</v>
      </c>
      <c r="G1313" s="6" t="s">
        <v>104</v>
      </c>
      <c r="H1313" s="6" t="s">
        <v>6085</v>
      </c>
      <c r="I1313" s="6" t="s">
        <v>7705</v>
      </c>
      <c r="J1313" s="6" t="s">
        <v>9113</v>
      </c>
      <c r="K1313" s="6" t="s">
        <v>9714</v>
      </c>
      <c r="L1313" s="16" t="n">
        <v>45561</v>
      </c>
      <c r="M1313" s="16" t="n">
        <v>46113</v>
      </c>
      <c r="N1313" s="6" t="s">
        <v>104</v>
      </c>
      <c r="O1313" s="21" t="s">
        <v>104</v>
      </c>
      <c r="P1313" s="6" t="s">
        <v>104</v>
      </c>
      <c r="Q1313" s="6" t="s">
        <v>104</v>
      </c>
      <c r="R1313" s="6" t="s">
        <v>104</v>
      </c>
      <c r="S1313" s="6" t="s">
        <v>104</v>
      </c>
      <c r="T1313" s="21" t="s">
        <v>104</v>
      </c>
      <c r="U1313" s="6" t="s">
        <v>104</v>
      </c>
      <c r="V1313" s="6" t="s">
        <v>104</v>
      </c>
      <c r="W1313" s="6" t="s">
        <v>104</v>
      </c>
      <c r="X1313" s="6" t="s">
        <v>104</v>
      </c>
      <c r="Y1313" s="21" t="s">
        <v>104</v>
      </c>
      <c r="Z1313" s="6" t="s">
        <v>104</v>
      </c>
      <c r="AA1313" s="6" t="s">
        <v>104</v>
      </c>
      <c r="AB1313" s="6" t="s">
        <v>104</v>
      </c>
      <c r="AC1313" s="6" t="s">
        <v>9714</v>
      </c>
      <c r="AD1313" s="16" t="n">
        <v>45561</v>
      </c>
      <c r="AE1313" s="6" t="s">
        <v>11660</v>
      </c>
      <c r="AF1313" s="6" t="s">
        <v>104</v>
      </c>
      <c r="AG1313" s="6" t="s">
        <v>12892</v>
      </c>
      <c r="AH1313" s="6" t="s">
        <v>14352</v>
      </c>
      <c r="AI1313" s="6" t="s">
        <v>104</v>
      </c>
      <c r="AJ1313" s="6" t="s">
        <v>16203</v>
      </c>
      <c r="AK1313" s="6" t="s">
        <v>16686</v>
      </c>
      <c r="AL1313" s="6" t="s">
        <v>16931</v>
      </c>
      <c r="AM1313" s="6" t="s">
        <v>17866</v>
      </c>
      <c r="AN1313" s="6" t="s">
        <v>104</v>
      </c>
      <c r="AO1313" s="6" t="s">
        <v>104</v>
      </c>
      <c r="AP1313" s="6" t="s">
        <v>14352</v>
      </c>
      <c r="AQ1313" s="6" t="s">
        <v>104</v>
      </c>
      <c r="AR1313" s="6" t="s">
        <v>16203</v>
      </c>
      <c r="AS1313" s="6" t="s">
        <v>16686</v>
      </c>
      <c r="AT1313" s="6" t="s">
        <v>16931</v>
      </c>
      <c r="AU1313" s="6" t="s">
        <v>17866</v>
      </c>
      <c r="AV1313" s="6" t="s">
        <v>104</v>
      </c>
      <c r="AW1313" s="6" t="s">
        <v>104</v>
      </c>
      <c r="AX1313" s="6" t="s">
        <v>21142</v>
      </c>
      <c r="AY1313" s="6" t="s">
        <v>22939</v>
      </c>
      <c r="AZ1313" s="6" t="s">
        <v>24014</v>
      </c>
      <c r="BA1313" s="6" t="s">
        <v>104</v>
      </c>
      <c r="BB1313" s="6" t="s">
        <v>104</v>
      </c>
      <c r="BC1313" s="26"/>
      <c r="BD1313" s="26"/>
      <c r="BE1313" s="26"/>
      <c r="BF1313" s="26"/>
      <c r="BG1313" s="26" t="s">
        <v>24533</v>
      </c>
      <c r="BH1313" s="26"/>
      <c r="BI1313" s="26"/>
      <c r="BJ1313" s="26"/>
      <c r="BK1313" s="26"/>
      <c r="BL1313" s="26"/>
      <c r="BM1313" s="26"/>
      <c r="BN1313" s="26"/>
      <c r="BO1313" s="26"/>
      <c r="BP1313" s="16" t="n">
        <v>45695</v>
      </c>
      <c r="BQ1313" s="28" t="str">
        <f>HYPERLINK("https://organic.ams.usda.gov/Integrity/Certificate.aspx?cid=72&amp;nopid=5870107281")</f>
        <v>https://organic.ams.usda.gov/Integrity/Certificate.aspx?cid=72&amp;nopid=5870107281</v>
      </c>
    </row>
    <row r="1314">
      <c r="A1314" t="s">
        <v>3</v>
      </c>
      <c r="B1314" s="6" t="s">
        <v>41</v>
      </c>
      <c r="C1314" s="6" t="s">
        <v>107</v>
      </c>
      <c r="D1314" s="6" t="s">
        <v>171</v>
      </c>
      <c r="E1314" s="10" t="s">
        <v>1512</v>
      </c>
      <c r="F1314" s="6" t="s">
        <v>3754</v>
      </c>
      <c r="G1314" s="6" t="s">
        <v>4796</v>
      </c>
      <c r="H1314" s="6" t="s">
        <v>6086</v>
      </c>
      <c r="I1314" s="6" t="s">
        <v>7706</v>
      </c>
      <c r="J1314" s="6" t="s">
        <v>9114</v>
      </c>
      <c r="K1314" s="6" t="s">
        <v>9714</v>
      </c>
      <c r="L1314" s="16" t="n">
        <v>38903</v>
      </c>
      <c r="M1314" s="16" t="n">
        <v>45792</v>
      </c>
      <c r="N1314" s="6" t="s">
        <v>9714</v>
      </c>
      <c r="O1314" s="16" t="n">
        <v>38903</v>
      </c>
      <c r="P1314" s="6" t="s">
        <v>10098</v>
      </c>
      <c r="Q1314" s="6" t="s">
        <v>104</v>
      </c>
      <c r="R1314" s="6" t="s">
        <v>104</v>
      </c>
      <c r="S1314" s="6" t="s">
        <v>104</v>
      </c>
      <c r="T1314" s="21" t="s">
        <v>104</v>
      </c>
      <c r="U1314" s="6" t="s">
        <v>104</v>
      </c>
      <c r="V1314" s="6" t="s">
        <v>104</v>
      </c>
      <c r="W1314" s="6" t="s">
        <v>104</v>
      </c>
      <c r="X1314" s="6" t="s">
        <v>104</v>
      </c>
      <c r="Y1314" s="21" t="s">
        <v>104</v>
      </c>
      <c r="Z1314" s="6" t="s">
        <v>104</v>
      </c>
      <c r="AA1314" s="6" t="s">
        <v>104</v>
      </c>
      <c r="AB1314" s="6" t="s">
        <v>104</v>
      </c>
      <c r="AC1314" s="6" t="s">
        <v>9714</v>
      </c>
      <c r="AD1314" s="16" t="n">
        <v>38903</v>
      </c>
      <c r="AE1314" s="6" t="s">
        <v>11661</v>
      </c>
      <c r="AF1314" s="6" t="s">
        <v>104</v>
      </c>
      <c r="AG1314" s="6" t="s">
        <v>104</v>
      </c>
      <c r="AH1314" s="6" t="s">
        <v>14353</v>
      </c>
      <c r="AI1314" s="6" t="s">
        <v>104</v>
      </c>
      <c r="AJ1314" s="6" t="s">
        <v>16204</v>
      </c>
      <c r="AK1314" s="6" t="s">
        <v>16706</v>
      </c>
      <c r="AL1314" s="6" t="s">
        <v>16931</v>
      </c>
      <c r="AM1314" s="6" t="s">
        <v>17867</v>
      </c>
      <c r="AN1314" s="6" t="s">
        <v>18510</v>
      </c>
      <c r="AO1314" s="6" t="s">
        <v>18653</v>
      </c>
      <c r="AP1314" s="6" t="s">
        <v>14353</v>
      </c>
      <c r="AQ1314" s="6" t="s">
        <v>104</v>
      </c>
      <c r="AR1314" s="6" t="s">
        <v>16204</v>
      </c>
      <c r="AS1314" s="6" t="s">
        <v>16706</v>
      </c>
      <c r="AT1314" s="6" t="s">
        <v>16931</v>
      </c>
      <c r="AU1314" s="6" t="s">
        <v>17867</v>
      </c>
      <c r="AV1314" s="6" t="s">
        <v>104</v>
      </c>
      <c r="AW1314" s="6" t="s">
        <v>104</v>
      </c>
      <c r="AX1314" s="6" t="s">
        <v>21143</v>
      </c>
      <c r="AY1314" s="6" t="s">
        <v>22940</v>
      </c>
      <c r="AZ1314" s="6" t="s">
        <v>104</v>
      </c>
      <c r="BA1314" s="6" t="s">
        <v>104</v>
      </c>
      <c r="BB1314" s="24" t="n">
        <v>270</v>
      </c>
      <c r="BC1314" s="26"/>
      <c r="BD1314" s="26"/>
      <c r="BE1314" s="26"/>
      <c r="BF1314" s="26"/>
      <c r="BG1314" s="26"/>
      <c r="BH1314" s="26"/>
      <c r="BI1314" s="26"/>
      <c r="BJ1314" s="26"/>
      <c r="BK1314" s="26"/>
      <c r="BL1314" s="26"/>
      <c r="BM1314" s="26"/>
      <c r="BN1314" s="26"/>
      <c r="BO1314" s="26"/>
      <c r="BP1314" s="16" t="n">
        <v>45737</v>
      </c>
      <c r="BQ1314" s="28" t="str">
        <f>HYPERLINK("https://organic.ams.usda.gov/Integrity/Certificate.aspx?cid=58&amp;nopid=1600001069")</f>
        <v>https://organic.ams.usda.gov/Integrity/Certificate.aspx?cid=58&amp;nopid=1600001069</v>
      </c>
    </row>
    <row r="1315">
      <c r="A1315" t="s">
        <v>3</v>
      </c>
      <c r="B1315" s="6" t="s">
        <v>11</v>
      </c>
      <c r="C1315" s="6" t="s">
        <v>77</v>
      </c>
      <c r="D1315" s="6" t="s">
        <v>142</v>
      </c>
      <c r="E1315" s="10" t="s">
        <v>1513</v>
      </c>
      <c r="F1315" s="6" t="s">
        <v>3755</v>
      </c>
      <c r="G1315" s="6" t="s">
        <v>104</v>
      </c>
      <c r="H1315" s="6" t="s">
        <v>6087</v>
      </c>
      <c r="I1315" s="6" t="s">
        <v>6967</v>
      </c>
      <c r="J1315" s="6" t="s">
        <v>8178</v>
      </c>
      <c r="K1315" s="6" t="s">
        <v>9714</v>
      </c>
      <c r="L1315" s="16" t="n">
        <v>44069</v>
      </c>
      <c r="M1315" s="16" t="n">
        <v>45858</v>
      </c>
      <c r="N1315" s="6" t="s">
        <v>104</v>
      </c>
      <c r="O1315" s="21" t="s">
        <v>104</v>
      </c>
      <c r="P1315" s="6" t="s">
        <v>104</v>
      </c>
      <c r="Q1315" s="6" t="s">
        <v>104</v>
      </c>
      <c r="R1315" s="6" t="s">
        <v>104</v>
      </c>
      <c r="S1315" s="6" t="s">
        <v>104</v>
      </c>
      <c r="T1315" s="21" t="s">
        <v>104</v>
      </c>
      <c r="U1315" s="6" t="s">
        <v>104</v>
      </c>
      <c r="V1315" s="6" t="s">
        <v>104</v>
      </c>
      <c r="W1315" s="6" t="s">
        <v>104</v>
      </c>
      <c r="X1315" s="6" t="s">
        <v>104</v>
      </c>
      <c r="Y1315" s="21" t="s">
        <v>104</v>
      </c>
      <c r="Z1315" s="6" t="s">
        <v>104</v>
      </c>
      <c r="AA1315" s="6" t="s">
        <v>104</v>
      </c>
      <c r="AB1315" s="6" t="s">
        <v>104</v>
      </c>
      <c r="AC1315" s="6" t="s">
        <v>9714</v>
      </c>
      <c r="AD1315" s="16" t="n">
        <v>45544</v>
      </c>
      <c r="AE1315" s="6" t="s">
        <v>11662</v>
      </c>
      <c r="AF1315" s="6" t="s">
        <v>104</v>
      </c>
      <c r="AG1315" s="6" t="s">
        <v>104</v>
      </c>
      <c r="AH1315" s="6" t="s">
        <v>14354</v>
      </c>
      <c r="AI1315" s="6" t="s">
        <v>104</v>
      </c>
      <c r="AJ1315" s="6" t="s">
        <v>15405</v>
      </c>
      <c r="AK1315" s="6" t="s">
        <v>16680</v>
      </c>
      <c r="AL1315" s="6" t="s">
        <v>16931</v>
      </c>
      <c r="AM1315" s="6" t="s">
        <v>17029</v>
      </c>
      <c r="AN1315" s="6" t="s">
        <v>18523</v>
      </c>
      <c r="AO1315" s="6" t="s">
        <v>18827</v>
      </c>
      <c r="AP1315" s="6" t="s">
        <v>14354</v>
      </c>
      <c r="AQ1315" s="6" t="s">
        <v>104</v>
      </c>
      <c r="AR1315" s="6" t="s">
        <v>15405</v>
      </c>
      <c r="AS1315" s="6" t="s">
        <v>16680</v>
      </c>
      <c r="AT1315" s="6" t="s">
        <v>16931</v>
      </c>
      <c r="AU1315" s="6" t="s">
        <v>17029</v>
      </c>
      <c r="AV1315" s="6" t="s">
        <v>104</v>
      </c>
      <c r="AW1315" s="6" t="s">
        <v>104</v>
      </c>
      <c r="AX1315" s="6" t="s">
        <v>21144</v>
      </c>
      <c r="AY1315" s="6" t="s">
        <v>22941</v>
      </c>
      <c r="AZ1315" s="6" t="s">
        <v>24015</v>
      </c>
      <c r="BA1315" s="6" t="s">
        <v>104</v>
      </c>
      <c r="BB1315" s="24" t="n">
        <v>0</v>
      </c>
      <c r="BC1315" s="26"/>
      <c r="BD1315" s="26"/>
      <c r="BE1315" s="26"/>
      <c r="BF1315" s="26"/>
      <c r="BG1315" s="26"/>
      <c r="BH1315" s="26"/>
      <c r="BI1315" s="26"/>
      <c r="BJ1315" s="26"/>
      <c r="BK1315" s="26"/>
      <c r="BL1315" s="26"/>
      <c r="BM1315" s="26"/>
      <c r="BN1315" s="26"/>
      <c r="BO1315" s="26"/>
      <c r="BP1315" s="16" t="n">
        <v>45545</v>
      </c>
      <c r="BQ1315" s="28" t="str">
        <f>HYPERLINK("https://organic.ams.usda.gov/Integrity/Certificate.aspx?cid=21&amp;nopid=1780872154")</f>
        <v>https://organic.ams.usda.gov/Integrity/Certificate.aspx?cid=21&amp;nopid=1780872154</v>
      </c>
    </row>
    <row r="1316">
      <c r="A1316" t="s">
        <v>3</v>
      </c>
      <c r="B1316" s="6" t="s">
        <v>12</v>
      </c>
      <c r="C1316" s="6" t="s">
        <v>78</v>
      </c>
      <c r="D1316" s="6" t="s">
        <v>143</v>
      </c>
      <c r="E1316" s="10" t="s">
        <v>1514</v>
      </c>
      <c r="F1316" s="6" t="s">
        <v>3756</v>
      </c>
      <c r="G1316" s="6" t="s">
        <v>104</v>
      </c>
      <c r="H1316" s="6" t="s">
        <v>104</v>
      </c>
      <c r="I1316" s="6" t="s">
        <v>7332</v>
      </c>
      <c r="J1316" s="6" t="s">
        <v>9115</v>
      </c>
      <c r="K1316" s="6" t="s">
        <v>9714</v>
      </c>
      <c r="L1316" s="16" t="n">
        <v>44588</v>
      </c>
      <c r="M1316" s="16" t="n">
        <v>45718</v>
      </c>
      <c r="N1316" s="6" t="s">
        <v>104</v>
      </c>
      <c r="O1316" s="21" t="s">
        <v>104</v>
      </c>
      <c r="P1316" s="6" t="s">
        <v>104</v>
      </c>
      <c r="Q1316" s="6" t="s">
        <v>104</v>
      </c>
      <c r="R1316" s="6" t="s">
        <v>104</v>
      </c>
      <c r="S1316" s="6" t="s">
        <v>104</v>
      </c>
      <c r="T1316" s="21" t="s">
        <v>104</v>
      </c>
      <c r="U1316" s="6" t="s">
        <v>104</v>
      </c>
      <c r="V1316" s="6" t="s">
        <v>104</v>
      </c>
      <c r="W1316" s="6" t="s">
        <v>104</v>
      </c>
      <c r="X1316" s="6" t="s">
        <v>104</v>
      </c>
      <c r="Y1316" s="21" t="s">
        <v>104</v>
      </c>
      <c r="Z1316" s="6" t="s">
        <v>104</v>
      </c>
      <c r="AA1316" s="6" t="s">
        <v>104</v>
      </c>
      <c r="AB1316" s="6" t="s">
        <v>104</v>
      </c>
      <c r="AC1316" s="6" t="s">
        <v>9714</v>
      </c>
      <c r="AD1316" s="16" t="n">
        <v>44588</v>
      </c>
      <c r="AE1316" s="6" t="s">
        <v>11663</v>
      </c>
      <c r="AF1316" s="6" t="s">
        <v>104</v>
      </c>
      <c r="AG1316" s="6" t="s">
        <v>104</v>
      </c>
      <c r="AH1316" s="6" t="s">
        <v>14355</v>
      </c>
      <c r="AI1316" s="6" t="s">
        <v>104</v>
      </c>
      <c r="AJ1316" s="6" t="s">
        <v>16205</v>
      </c>
      <c r="AK1316" s="6" t="s">
        <v>16720</v>
      </c>
      <c r="AL1316" s="6" t="s">
        <v>16931</v>
      </c>
      <c r="AM1316" s="6" t="s">
        <v>17868</v>
      </c>
      <c r="AN1316" s="6" t="s">
        <v>18461</v>
      </c>
      <c r="AO1316" s="6" t="s">
        <v>18828</v>
      </c>
      <c r="AP1316" s="6" t="s">
        <v>14355</v>
      </c>
      <c r="AQ1316" s="6" t="s">
        <v>104</v>
      </c>
      <c r="AR1316" s="6" t="s">
        <v>16205</v>
      </c>
      <c r="AS1316" s="6" t="s">
        <v>16720</v>
      </c>
      <c r="AT1316" s="6" t="s">
        <v>16931</v>
      </c>
      <c r="AU1316" s="6" t="s">
        <v>17868</v>
      </c>
      <c r="AV1316" s="6" t="s">
        <v>104</v>
      </c>
      <c r="AW1316" s="6" t="s">
        <v>104</v>
      </c>
      <c r="AX1316" s="6" t="s">
        <v>104</v>
      </c>
      <c r="AY1316" s="6" t="s">
        <v>22942</v>
      </c>
      <c r="AZ1316" s="6" t="s">
        <v>104</v>
      </c>
      <c r="BA1316" s="6" t="s">
        <v>104</v>
      </c>
      <c r="BB1316" s="6" t="s">
        <v>104</v>
      </c>
      <c r="BC1316" s="26"/>
      <c r="BD1316" s="26"/>
      <c r="BE1316" s="26"/>
      <c r="BF1316" s="26"/>
      <c r="BG1316" s="26"/>
      <c r="BH1316" s="26"/>
      <c r="BI1316" s="26"/>
      <c r="BJ1316" s="26"/>
      <c r="BK1316" s="26"/>
      <c r="BL1316" s="26"/>
      <c r="BM1316" s="26"/>
      <c r="BN1316" s="26"/>
      <c r="BO1316" s="26"/>
      <c r="BP1316" s="16" t="n">
        <v>45616</v>
      </c>
      <c r="BQ1316" s="28" t="str">
        <f>HYPERLINK("https://organic.ams.usda.gov/Integrity/Certificate.aspx?cid=1&amp;nopid=9092130903")</f>
        <v>https://organic.ams.usda.gov/Integrity/Certificate.aspx?cid=1&amp;nopid=9092130903</v>
      </c>
    </row>
    <row r="1317">
      <c r="A1317" t="s">
        <v>3</v>
      </c>
      <c r="B1317" s="6" t="s">
        <v>34</v>
      </c>
      <c r="C1317" s="6" t="s">
        <v>100</v>
      </c>
      <c r="D1317" s="6" t="s">
        <v>165</v>
      </c>
      <c r="E1317" s="10" t="s">
        <v>1515</v>
      </c>
      <c r="F1317" s="6" t="s">
        <v>3757</v>
      </c>
      <c r="G1317" s="6" t="s">
        <v>104</v>
      </c>
      <c r="H1317" s="6" t="s">
        <v>6088</v>
      </c>
      <c r="I1317" s="6" t="s">
        <v>7707</v>
      </c>
      <c r="J1317" s="6" t="s">
        <v>8262</v>
      </c>
      <c r="K1317" s="6" t="s">
        <v>9714</v>
      </c>
      <c r="L1317" s="16" t="n">
        <v>38677</v>
      </c>
      <c r="M1317" s="16" t="n">
        <v>45930</v>
      </c>
      <c r="N1317" s="6" t="s">
        <v>104</v>
      </c>
      <c r="O1317" s="21" t="s">
        <v>104</v>
      </c>
      <c r="P1317" s="6" t="s">
        <v>104</v>
      </c>
      <c r="Q1317" s="6" t="s">
        <v>104</v>
      </c>
      <c r="R1317" s="6" t="s">
        <v>104</v>
      </c>
      <c r="S1317" s="6" t="s">
        <v>104</v>
      </c>
      <c r="T1317" s="21" t="s">
        <v>104</v>
      </c>
      <c r="U1317" s="6" t="s">
        <v>104</v>
      </c>
      <c r="V1317" s="6" t="s">
        <v>104</v>
      </c>
      <c r="W1317" s="6" t="s">
        <v>104</v>
      </c>
      <c r="X1317" s="6" t="s">
        <v>104</v>
      </c>
      <c r="Y1317" s="21" t="s">
        <v>104</v>
      </c>
      <c r="Z1317" s="6" t="s">
        <v>104</v>
      </c>
      <c r="AA1317" s="6" t="s">
        <v>104</v>
      </c>
      <c r="AB1317" s="6" t="s">
        <v>104</v>
      </c>
      <c r="AC1317" s="6" t="s">
        <v>9714</v>
      </c>
      <c r="AD1317" s="16" t="n">
        <v>38677</v>
      </c>
      <c r="AE1317" s="6" t="s">
        <v>11664</v>
      </c>
      <c r="AF1317" s="6" t="s">
        <v>104</v>
      </c>
      <c r="AG1317" s="6" t="s">
        <v>12893</v>
      </c>
      <c r="AH1317" s="6" t="s">
        <v>14356</v>
      </c>
      <c r="AI1317" s="6" t="s">
        <v>104</v>
      </c>
      <c r="AJ1317" s="6" t="s">
        <v>16206</v>
      </c>
      <c r="AK1317" s="6" t="s">
        <v>16687</v>
      </c>
      <c r="AL1317" s="6" t="s">
        <v>16931</v>
      </c>
      <c r="AM1317" s="6" t="s">
        <v>17869</v>
      </c>
      <c r="AN1317" s="6" t="s">
        <v>18460</v>
      </c>
      <c r="AO1317" s="6" t="s">
        <v>18604</v>
      </c>
      <c r="AP1317" s="6" t="s">
        <v>14356</v>
      </c>
      <c r="AQ1317" s="6" t="s">
        <v>104</v>
      </c>
      <c r="AR1317" s="6" t="s">
        <v>16206</v>
      </c>
      <c r="AS1317" s="6" t="s">
        <v>16687</v>
      </c>
      <c r="AT1317" s="6" t="s">
        <v>16931</v>
      </c>
      <c r="AU1317" s="6" t="s">
        <v>17869</v>
      </c>
      <c r="AV1317" s="6" t="s">
        <v>104</v>
      </c>
      <c r="AW1317" s="6" t="s">
        <v>104</v>
      </c>
      <c r="AX1317" s="6" t="s">
        <v>20259</v>
      </c>
      <c r="AY1317" s="6" t="s">
        <v>22943</v>
      </c>
      <c r="AZ1317" s="6" t="s">
        <v>104</v>
      </c>
      <c r="BA1317" s="6" t="s">
        <v>104</v>
      </c>
      <c r="BB1317" s="6" t="s">
        <v>104</v>
      </c>
      <c r="BC1317" s="26"/>
      <c r="BD1317" s="26"/>
      <c r="BE1317" s="26"/>
      <c r="BF1317" s="26"/>
      <c r="BG1317" s="26"/>
      <c r="BH1317" s="26"/>
      <c r="BI1317" s="26"/>
      <c r="BJ1317" s="26"/>
      <c r="BK1317" s="26"/>
      <c r="BL1317" s="26"/>
      <c r="BM1317" s="26"/>
      <c r="BN1317" s="26"/>
      <c r="BO1317" s="26"/>
      <c r="BP1317" s="16" t="n">
        <v>45737</v>
      </c>
      <c r="BQ1317" s="28" t="str">
        <f>HYPERLINK("https://organic.ams.usda.gov/Integrity/Certificate.aspx?cid=71&amp;nopid=5520031287")</f>
        <v>https://organic.ams.usda.gov/Integrity/Certificate.aspx?cid=71&amp;nopid=5520031287</v>
      </c>
    </row>
    <row r="1318">
      <c r="A1318" t="s">
        <v>3</v>
      </c>
      <c r="B1318" s="6" t="s">
        <v>11</v>
      </c>
      <c r="C1318" s="6" t="s">
        <v>77</v>
      </c>
      <c r="D1318" s="6" t="s">
        <v>142</v>
      </c>
      <c r="E1318" s="10" t="s">
        <v>1516</v>
      </c>
      <c r="F1318" s="6" t="s">
        <v>3758</v>
      </c>
      <c r="G1318" s="6" t="s">
        <v>104</v>
      </c>
      <c r="H1318" s="6" t="s">
        <v>6089</v>
      </c>
      <c r="I1318" s="6" t="s">
        <v>7708</v>
      </c>
      <c r="J1318" s="6" t="s">
        <v>9116</v>
      </c>
      <c r="K1318" s="6" t="s">
        <v>9714</v>
      </c>
      <c r="L1318" s="16" t="n">
        <v>45721</v>
      </c>
      <c r="M1318" s="16" t="n">
        <v>45940</v>
      </c>
      <c r="N1318" s="6" t="s">
        <v>9714</v>
      </c>
      <c r="O1318" s="16" t="n">
        <v>45721</v>
      </c>
      <c r="P1318" s="6" t="s">
        <v>10099</v>
      </c>
      <c r="Q1318" s="6" t="s">
        <v>104</v>
      </c>
      <c r="R1318" s="6" t="s">
        <v>104</v>
      </c>
      <c r="S1318" s="6" t="s">
        <v>104</v>
      </c>
      <c r="T1318" s="21" t="s">
        <v>104</v>
      </c>
      <c r="U1318" s="6" t="s">
        <v>104</v>
      </c>
      <c r="V1318" s="6" t="s">
        <v>104</v>
      </c>
      <c r="W1318" s="6" t="s">
        <v>104</v>
      </c>
      <c r="X1318" s="6" t="s">
        <v>104</v>
      </c>
      <c r="Y1318" s="21" t="s">
        <v>104</v>
      </c>
      <c r="Z1318" s="6" t="s">
        <v>104</v>
      </c>
      <c r="AA1318" s="6" t="s">
        <v>104</v>
      </c>
      <c r="AB1318" s="6" t="s">
        <v>104</v>
      </c>
      <c r="AC1318" s="6" t="s">
        <v>9714</v>
      </c>
      <c r="AD1318" s="16" t="n">
        <v>45721</v>
      </c>
      <c r="AE1318" s="6" t="s">
        <v>11665</v>
      </c>
      <c r="AF1318" s="6" t="s">
        <v>104</v>
      </c>
      <c r="AG1318" s="6" t="s">
        <v>104</v>
      </c>
      <c r="AH1318" s="6" t="s">
        <v>14357</v>
      </c>
      <c r="AI1318" s="6" t="s">
        <v>104</v>
      </c>
      <c r="AJ1318" s="6" t="s">
        <v>16207</v>
      </c>
      <c r="AK1318" s="6" t="s">
        <v>104</v>
      </c>
      <c r="AL1318" s="6" t="s">
        <v>16977</v>
      </c>
      <c r="AM1318" s="6" t="s">
        <v>17870</v>
      </c>
      <c r="AN1318" s="6" t="s">
        <v>104</v>
      </c>
      <c r="AO1318" s="6" t="s">
        <v>104</v>
      </c>
      <c r="AP1318" s="6" t="s">
        <v>14357</v>
      </c>
      <c r="AQ1318" s="6" t="s">
        <v>104</v>
      </c>
      <c r="AR1318" s="6" t="s">
        <v>16207</v>
      </c>
      <c r="AS1318" s="6" t="s">
        <v>104</v>
      </c>
      <c r="AT1318" s="6" t="s">
        <v>16977</v>
      </c>
      <c r="AU1318" s="6" t="s">
        <v>17870</v>
      </c>
      <c r="AV1318" s="6" t="s">
        <v>104</v>
      </c>
      <c r="AW1318" s="6" t="s">
        <v>104</v>
      </c>
      <c r="AX1318" s="6" t="s">
        <v>21145</v>
      </c>
      <c r="AY1318" s="6" t="s">
        <v>22944</v>
      </c>
      <c r="AZ1318" s="6" t="s">
        <v>104</v>
      </c>
      <c r="BA1318" s="6" t="s">
        <v>104</v>
      </c>
      <c r="BB1318" s="24" t="n">
        <v>12165</v>
      </c>
      <c r="BC1318" s="26"/>
      <c r="BD1318" s="26"/>
      <c r="BE1318" s="26"/>
      <c r="BF1318" s="26"/>
      <c r="BG1318" s="26"/>
      <c r="BH1318" s="26"/>
      <c r="BI1318" s="26"/>
      <c r="BJ1318" s="26"/>
      <c r="BK1318" s="26"/>
      <c r="BL1318" s="26"/>
      <c r="BM1318" s="26"/>
      <c r="BN1318" s="26"/>
      <c r="BO1318" s="26" t="s">
        <v>24533</v>
      </c>
      <c r="BP1318" s="16" t="n">
        <v>45723</v>
      </c>
      <c r="BQ1318" s="28" t="str">
        <f>HYPERLINK("https://organic.ams.usda.gov/Integrity/Certificate.aspx?cid=21&amp;nopid=1780905301")</f>
        <v>https://organic.ams.usda.gov/Integrity/Certificate.aspx?cid=21&amp;nopid=1780905301</v>
      </c>
    </row>
    <row r="1319">
      <c r="A1319" t="s">
        <v>3</v>
      </c>
      <c r="B1319" s="6" t="s">
        <v>30</v>
      </c>
      <c r="C1319" s="6" t="s">
        <v>96</v>
      </c>
      <c r="D1319" s="6" t="s">
        <v>161</v>
      </c>
      <c r="E1319" s="10" t="s">
        <v>1517</v>
      </c>
      <c r="F1319" s="6" t="s">
        <v>3759</v>
      </c>
      <c r="G1319" s="6" t="s">
        <v>104</v>
      </c>
      <c r="H1319" s="6" t="s">
        <v>6090</v>
      </c>
      <c r="I1319" s="6" t="s">
        <v>104</v>
      </c>
      <c r="J1319" s="6" t="s">
        <v>104</v>
      </c>
      <c r="K1319" s="6" t="s">
        <v>9714</v>
      </c>
      <c r="L1319" s="16" t="n">
        <v>44029</v>
      </c>
      <c r="M1319" s="16" t="n">
        <v>45721</v>
      </c>
      <c r="N1319" s="6" t="s">
        <v>104</v>
      </c>
      <c r="O1319" s="21" t="s">
        <v>104</v>
      </c>
      <c r="P1319" s="6" t="s">
        <v>104</v>
      </c>
      <c r="Q1319" s="6" t="s">
        <v>104</v>
      </c>
      <c r="R1319" s="6" t="s">
        <v>104</v>
      </c>
      <c r="S1319" s="6" t="s">
        <v>104</v>
      </c>
      <c r="T1319" s="21" t="s">
        <v>104</v>
      </c>
      <c r="U1319" s="6" t="s">
        <v>104</v>
      </c>
      <c r="V1319" s="6" t="s">
        <v>104</v>
      </c>
      <c r="W1319" s="6" t="s">
        <v>104</v>
      </c>
      <c r="X1319" s="6" t="s">
        <v>104</v>
      </c>
      <c r="Y1319" s="21" t="s">
        <v>104</v>
      </c>
      <c r="Z1319" s="6" t="s">
        <v>104</v>
      </c>
      <c r="AA1319" s="6" t="s">
        <v>104</v>
      </c>
      <c r="AB1319" s="6" t="s">
        <v>104</v>
      </c>
      <c r="AC1319" s="6" t="s">
        <v>9714</v>
      </c>
      <c r="AD1319" s="16" t="n">
        <v>44029</v>
      </c>
      <c r="AE1319" s="6" t="s">
        <v>11666</v>
      </c>
      <c r="AF1319" s="6" t="s">
        <v>104</v>
      </c>
      <c r="AG1319" s="6" t="s">
        <v>12894</v>
      </c>
      <c r="AH1319" s="6" t="s">
        <v>14358</v>
      </c>
      <c r="AI1319" s="6" t="s">
        <v>104</v>
      </c>
      <c r="AJ1319" s="6" t="s">
        <v>16208</v>
      </c>
      <c r="AK1319" s="6" t="s">
        <v>15383</v>
      </c>
      <c r="AL1319" s="6" t="s">
        <v>16933</v>
      </c>
      <c r="AM1319" s="6" t="s">
        <v>17871</v>
      </c>
      <c r="AN1319" s="6" t="s">
        <v>104</v>
      </c>
      <c r="AO1319" s="6" t="s">
        <v>104</v>
      </c>
      <c r="AP1319" s="6" t="s">
        <v>14358</v>
      </c>
      <c r="AQ1319" s="6" t="s">
        <v>104</v>
      </c>
      <c r="AR1319" s="6" t="s">
        <v>16208</v>
      </c>
      <c r="AS1319" s="6" t="s">
        <v>15383</v>
      </c>
      <c r="AT1319" s="6" t="s">
        <v>16933</v>
      </c>
      <c r="AU1319" s="6" t="s">
        <v>17871</v>
      </c>
      <c r="AV1319" s="6" t="s">
        <v>104</v>
      </c>
      <c r="AW1319" s="6" t="s">
        <v>104</v>
      </c>
      <c r="AX1319" s="6" t="s">
        <v>21146</v>
      </c>
      <c r="AY1319" s="6" t="s">
        <v>22218</v>
      </c>
      <c r="AZ1319" s="6" t="s">
        <v>104</v>
      </c>
      <c r="BA1319" s="6" t="s">
        <v>104</v>
      </c>
      <c r="BB1319" s="6" t="s">
        <v>104</v>
      </c>
      <c r="BC1319" s="26"/>
      <c r="BD1319" s="26"/>
      <c r="BE1319" s="26"/>
      <c r="BF1319" s="26"/>
      <c r="BG1319" s="26"/>
      <c r="BH1319" s="26"/>
      <c r="BI1319" s="26"/>
      <c r="BJ1319" s="26"/>
      <c r="BK1319" s="26"/>
      <c r="BL1319" s="26"/>
      <c r="BM1319" s="26"/>
      <c r="BN1319" s="26"/>
      <c r="BO1319" s="26"/>
      <c r="BP1319" s="16" t="n">
        <v>45457</v>
      </c>
      <c r="BQ1319" s="28" t="str">
        <f>HYPERLINK("https://organic.ams.usda.gov/Integrity/Certificate.aspx?cid=14&amp;nopid=6250031995")</f>
        <v>https://organic.ams.usda.gov/Integrity/Certificate.aspx?cid=14&amp;nopid=6250031995</v>
      </c>
    </row>
    <row r="1320">
      <c r="A1320" t="s">
        <v>3</v>
      </c>
      <c r="B1320" s="6" t="s">
        <v>13</v>
      </c>
      <c r="C1320" s="6" t="s">
        <v>79</v>
      </c>
      <c r="D1320" s="6" t="s">
        <v>144</v>
      </c>
      <c r="E1320" s="10" t="s">
        <v>1518</v>
      </c>
      <c r="F1320" s="6" t="s">
        <v>3760</v>
      </c>
      <c r="G1320" s="6" t="s">
        <v>104</v>
      </c>
      <c r="H1320" s="6" t="s">
        <v>6091</v>
      </c>
      <c r="I1320" s="6" t="s">
        <v>7709</v>
      </c>
      <c r="J1320" s="6" t="s">
        <v>7014</v>
      </c>
      <c r="K1320" s="6" t="s">
        <v>9714</v>
      </c>
      <c r="L1320" s="16" t="n">
        <v>45138</v>
      </c>
      <c r="M1320" s="16" t="n">
        <v>45748</v>
      </c>
      <c r="N1320" s="6" t="s">
        <v>104</v>
      </c>
      <c r="O1320" s="21" t="s">
        <v>104</v>
      </c>
      <c r="P1320" s="6" t="s">
        <v>104</v>
      </c>
      <c r="Q1320" s="6" t="s">
        <v>104</v>
      </c>
      <c r="R1320" s="6" t="s">
        <v>104</v>
      </c>
      <c r="S1320" s="6" t="s">
        <v>104</v>
      </c>
      <c r="T1320" s="21" t="s">
        <v>104</v>
      </c>
      <c r="U1320" s="6" t="s">
        <v>104</v>
      </c>
      <c r="V1320" s="6" t="s">
        <v>104</v>
      </c>
      <c r="W1320" s="6" t="s">
        <v>104</v>
      </c>
      <c r="X1320" s="6" t="s">
        <v>104</v>
      </c>
      <c r="Y1320" s="21" t="s">
        <v>104</v>
      </c>
      <c r="Z1320" s="6" t="s">
        <v>104</v>
      </c>
      <c r="AA1320" s="6" t="s">
        <v>104</v>
      </c>
      <c r="AB1320" s="6" t="s">
        <v>104</v>
      </c>
      <c r="AC1320" s="6" t="s">
        <v>9714</v>
      </c>
      <c r="AD1320" s="16" t="n">
        <v>45138</v>
      </c>
      <c r="AE1320" s="6" t="s">
        <v>11667</v>
      </c>
      <c r="AF1320" s="6" t="s">
        <v>104</v>
      </c>
      <c r="AG1320" s="6" t="s">
        <v>104</v>
      </c>
      <c r="AH1320" s="6" t="s">
        <v>104</v>
      </c>
      <c r="AI1320" s="6" t="s">
        <v>104</v>
      </c>
      <c r="AJ1320" s="6" t="s">
        <v>104</v>
      </c>
      <c r="AK1320" s="6" t="s">
        <v>104</v>
      </c>
      <c r="AL1320" s="6" t="s">
        <v>104</v>
      </c>
      <c r="AM1320" s="6" t="s">
        <v>104</v>
      </c>
      <c r="AN1320" s="6" t="s">
        <v>104</v>
      </c>
      <c r="AO1320" s="6" t="s">
        <v>104</v>
      </c>
      <c r="AP1320" s="6" t="s">
        <v>19297</v>
      </c>
      <c r="AQ1320" s="6" t="s">
        <v>104</v>
      </c>
      <c r="AR1320" s="6" t="s">
        <v>19716</v>
      </c>
      <c r="AS1320" s="6" t="s">
        <v>16711</v>
      </c>
      <c r="AT1320" s="6" t="s">
        <v>16931</v>
      </c>
      <c r="AU1320" s="6" t="s">
        <v>5097</v>
      </c>
      <c r="AV1320" s="6" t="s">
        <v>18534</v>
      </c>
      <c r="AW1320" s="6" t="s">
        <v>20096</v>
      </c>
      <c r="AX1320" s="6" t="s">
        <v>21147</v>
      </c>
      <c r="AY1320" s="6" t="s">
        <v>22945</v>
      </c>
      <c r="AZ1320" s="6" t="s">
        <v>104</v>
      </c>
      <c r="BA1320" s="6" t="s">
        <v>104</v>
      </c>
      <c r="BB1320" s="6" t="s">
        <v>104</v>
      </c>
      <c r="BC1320" s="26"/>
      <c r="BD1320" s="26"/>
      <c r="BE1320" s="26"/>
      <c r="BF1320" s="26"/>
      <c r="BG1320" s="26"/>
      <c r="BH1320" s="26" t="s">
        <v>24533</v>
      </c>
      <c r="BI1320" s="26"/>
      <c r="BJ1320" s="26"/>
      <c r="BK1320" s="26"/>
      <c r="BL1320" s="26" t="s">
        <v>24533</v>
      </c>
      <c r="BM1320" s="26"/>
      <c r="BN1320" s="26"/>
      <c r="BO1320" s="26"/>
      <c r="BP1320" s="16" t="n">
        <v>45632</v>
      </c>
      <c r="BQ1320" s="28" t="str">
        <f>HYPERLINK("https://organic.ams.usda.gov/Integrity/Certificate.aspx?cid=62&amp;nopid=8150023005")</f>
        <v>https://organic.ams.usda.gov/Integrity/Certificate.aspx?cid=62&amp;nopid=8150023005</v>
      </c>
    </row>
    <row r="1321">
      <c r="A1321" t="s">
        <v>3</v>
      </c>
      <c r="B1321" s="6" t="s">
        <v>47</v>
      </c>
      <c r="C1321" s="6" t="s">
        <v>113</v>
      </c>
      <c r="D1321" s="6" t="s">
        <v>177</v>
      </c>
      <c r="E1321" s="10" t="s">
        <v>1519</v>
      </c>
      <c r="F1321" s="6" t="s">
        <v>3761</v>
      </c>
      <c r="G1321" s="6" t="s">
        <v>104</v>
      </c>
      <c r="H1321" s="6" t="s">
        <v>6092</v>
      </c>
      <c r="I1321" s="6" t="s">
        <v>7710</v>
      </c>
      <c r="J1321" s="6" t="s">
        <v>9117</v>
      </c>
      <c r="K1321" s="6" t="s">
        <v>9714</v>
      </c>
      <c r="L1321" s="16" t="n">
        <v>41788</v>
      </c>
      <c r="M1321" s="16" t="n">
        <v>45762</v>
      </c>
      <c r="N1321" s="6" t="s">
        <v>9714</v>
      </c>
      <c r="O1321" s="16" t="n">
        <v>41788</v>
      </c>
      <c r="P1321" s="6" t="s">
        <v>10100</v>
      </c>
      <c r="Q1321" s="6" t="s">
        <v>104</v>
      </c>
      <c r="R1321" s="6" t="s">
        <v>10397</v>
      </c>
      <c r="S1321" s="6" t="s">
        <v>9714</v>
      </c>
      <c r="T1321" s="16" t="n">
        <v>41788</v>
      </c>
      <c r="U1321" s="6" t="s">
        <v>10494</v>
      </c>
      <c r="V1321" s="6" t="s">
        <v>104</v>
      </c>
      <c r="W1321" s="6" t="s">
        <v>10397</v>
      </c>
      <c r="X1321" s="6" t="s">
        <v>104</v>
      </c>
      <c r="Y1321" s="21" t="s">
        <v>104</v>
      </c>
      <c r="Z1321" s="6" t="s">
        <v>104</v>
      </c>
      <c r="AA1321" s="6" t="s">
        <v>104</v>
      </c>
      <c r="AB1321" s="6" t="s">
        <v>104</v>
      </c>
      <c r="AC1321" s="6" t="s">
        <v>9714</v>
      </c>
      <c r="AD1321" s="16" t="n">
        <v>41788</v>
      </c>
      <c r="AE1321" s="6" t="s">
        <v>11668</v>
      </c>
      <c r="AF1321" s="6" t="s">
        <v>104</v>
      </c>
      <c r="AG1321" s="6" t="s">
        <v>10397</v>
      </c>
      <c r="AH1321" s="6" t="s">
        <v>14359</v>
      </c>
      <c r="AI1321" s="6" t="s">
        <v>104</v>
      </c>
      <c r="AJ1321" s="6" t="s">
        <v>16209</v>
      </c>
      <c r="AK1321" s="6" t="s">
        <v>16734</v>
      </c>
      <c r="AL1321" s="6" t="s">
        <v>16931</v>
      </c>
      <c r="AM1321" s="6" t="s">
        <v>17872</v>
      </c>
      <c r="AN1321" s="6" t="s">
        <v>18456</v>
      </c>
      <c r="AO1321" s="6" t="s">
        <v>18758</v>
      </c>
      <c r="AP1321" s="6" t="s">
        <v>14359</v>
      </c>
      <c r="AQ1321" s="6" t="s">
        <v>104</v>
      </c>
      <c r="AR1321" s="6" t="s">
        <v>16209</v>
      </c>
      <c r="AS1321" s="6" t="s">
        <v>16734</v>
      </c>
      <c r="AT1321" s="6" t="s">
        <v>16931</v>
      </c>
      <c r="AU1321" s="6" t="s">
        <v>17872</v>
      </c>
      <c r="AV1321" s="6" t="s">
        <v>104</v>
      </c>
      <c r="AW1321" s="6" t="s">
        <v>104</v>
      </c>
      <c r="AX1321" s="6" t="s">
        <v>21148</v>
      </c>
      <c r="AY1321" s="6" t="s">
        <v>22946</v>
      </c>
      <c r="AZ1321" s="6" t="s">
        <v>24016</v>
      </c>
      <c r="BA1321" s="6" t="s">
        <v>104</v>
      </c>
      <c r="BB1321" s="24" t="n">
        <v>926</v>
      </c>
      <c r="BC1321" s="26"/>
      <c r="BD1321" s="26"/>
      <c r="BE1321" s="26"/>
      <c r="BF1321" s="26"/>
      <c r="BG1321" s="26"/>
      <c r="BH1321" s="26"/>
      <c r="BI1321" s="26"/>
      <c r="BJ1321" s="26"/>
      <c r="BK1321" s="26"/>
      <c r="BL1321" s="26"/>
      <c r="BM1321" s="26"/>
      <c r="BN1321" s="26"/>
      <c r="BO1321" s="26"/>
      <c r="BP1321" s="16" t="n">
        <v>45738</v>
      </c>
      <c r="BQ1321" s="28" t="str">
        <f>HYPERLINK("https://organic.ams.usda.gov/Integrity/Certificate.aspx?cid=47&amp;nopid=7142074245")</f>
        <v>https://organic.ams.usda.gov/Integrity/Certificate.aspx?cid=47&amp;nopid=7142074245</v>
      </c>
    </row>
    <row r="1322">
      <c r="A1322" t="s">
        <v>3</v>
      </c>
      <c r="B1322" s="6" t="s">
        <v>34</v>
      </c>
      <c r="C1322" s="6" t="s">
        <v>100</v>
      </c>
      <c r="D1322" s="6" t="s">
        <v>165</v>
      </c>
      <c r="E1322" s="10" t="s">
        <v>1520</v>
      </c>
      <c r="F1322" s="6" t="s">
        <v>3762</v>
      </c>
      <c r="G1322" s="6" t="s">
        <v>104</v>
      </c>
      <c r="H1322" s="6" t="s">
        <v>6093</v>
      </c>
      <c r="I1322" s="6" t="s">
        <v>7711</v>
      </c>
      <c r="J1322" s="6" t="s">
        <v>9118</v>
      </c>
      <c r="K1322" s="6" t="s">
        <v>9714</v>
      </c>
      <c r="L1322" s="16" t="n">
        <v>43461</v>
      </c>
      <c r="M1322" s="16" t="n">
        <v>45960</v>
      </c>
      <c r="N1322" s="6" t="s">
        <v>104</v>
      </c>
      <c r="O1322" s="21" t="s">
        <v>104</v>
      </c>
      <c r="P1322" s="6" t="s">
        <v>104</v>
      </c>
      <c r="Q1322" s="6" t="s">
        <v>104</v>
      </c>
      <c r="R1322" s="6" t="s">
        <v>104</v>
      </c>
      <c r="S1322" s="6" t="s">
        <v>104</v>
      </c>
      <c r="T1322" s="21" t="s">
        <v>104</v>
      </c>
      <c r="U1322" s="6" t="s">
        <v>104</v>
      </c>
      <c r="V1322" s="6" t="s">
        <v>104</v>
      </c>
      <c r="W1322" s="6" t="s">
        <v>104</v>
      </c>
      <c r="X1322" s="6" t="s">
        <v>104</v>
      </c>
      <c r="Y1322" s="21" t="s">
        <v>104</v>
      </c>
      <c r="Z1322" s="6" t="s">
        <v>104</v>
      </c>
      <c r="AA1322" s="6" t="s">
        <v>104</v>
      </c>
      <c r="AB1322" s="6" t="s">
        <v>104</v>
      </c>
      <c r="AC1322" s="6" t="s">
        <v>9714</v>
      </c>
      <c r="AD1322" s="16" t="n">
        <v>43461</v>
      </c>
      <c r="AE1322" s="6" t="s">
        <v>11669</v>
      </c>
      <c r="AF1322" s="6" t="s">
        <v>104</v>
      </c>
      <c r="AG1322" s="6" t="s">
        <v>12895</v>
      </c>
      <c r="AH1322" s="6" t="s">
        <v>14360</v>
      </c>
      <c r="AI1322" s="6" t="s">
        <v>104</v>
      </c>
      <c r="AJ1322" s="6" t="s">
        <v>16210</v>
      </c>
      <c r="AK1322" s="6" t="s">
        <v>16687</v>
      </c>
      <c r="AL1322" s="6" t="s">
        <v>16931</v>
      </c>
      <c r="AM1322" s="6" t="s">
        <v>17450</v>
      </c>
      <c r="AN1322" s="6" t="s">
        <v>18489</v>
      </c>
      <c r="AO1322" s="6" t="s">
        <v>18608</v>
      </c>
      <c r="AP1322" s="6" t="s">
        <v>19298</v>
      </c>
      <c r="AQ1322" s="6" t="s">
        <v>15258</v>
      </c>
      <c r="AR1322" s="6" t="s">
        <v>19628</v>
      </c>
      <c r="AS1322" s="6" t="s">
        <v>16710</v>
      </c>
      <c r="AT1322" s="6" t="s">
        <v>16931</v>
      </c>
      <c r="AU1322" s="6" t="s">
        <v>19856</v>
      </c>
      <c r="AV1322" s="6" t="s">
        <v>104</v>
      </c>
      <c r="AW1322" s="6" t="s">
        <v>104</v>
      </c>
      <c r="AX1322" s="6" t="s">
        <v>21149</v>
      </c>
      <c r="AY1322" s="6" t="s">
        <v>22947</v>
      </c>
      <c r="AZ1322" s="6" t="s">
        <v>104</v>
      </c>
      <c r="BA1322" s="6" t="s">
        <v>104</v>
      </c>
      <c r="BB1322" s="6" t="s">
        <v>104</v>
      </c>
      <c r="BC1322" s="26"/>
      <c r="BD1322" s="26"/>
      <c r="BE1322" s="26" t="s">
        <v>24533</v>
      </c>
      <c r="BF1322" s="26"/>
      <c r="BG1322" s="26"/>
      <c r="BH1322" s="26"/>
      <c r="BI1322" s="26"/>
      <c r="BJ1322" s="26"/>
      <c r="BK1322" s="26"/>
      <c r="BL1322" s="26"/>
      <c r="BM1322" s="26"/>
      <c r="BN1322" s="26"/>
      <c r="BO1322" s="26"/>
      <c r="BP1322" s="16" t="n">
        <v>45737</v>
      </c>
      <c r="BQ1322" s="28" t="str">
        <f>HYPERLINK("https://organic.ams.usda.gov/Integrity/Certificate.aspx?cid=71&amp;nopid=5520448725")</f>
        <v>https://organic.ams.usda.gov/Integrity/Certificate.aspx?cid=71&amp;nopid=5520448725</v>
      </c>
    </row>
    <row r="1323">
      <c r="A1323" t="s">
        <v>3</v>
      </c>
      <c r="B1323" s="6" t="s">
        <v>34</v>
      </c>
      <c r="C1323" s="6" t="s">
        <v>100</v>
      </c>
      <c r="D1323" s="6" t="s">
        <v>165</v>
      </c>
      <c r="E1323" s="10" t="s">
        <v>1521</v>
      </c>
      <c r="F1323" s="6" t="s">
        <v>3763</v>
      </c>
      <c r="G1323" s="6" t="s">
        <v>104</v>
      </c>
      <c r="H1323" s="6" t="s">
        <v>6094</v>
      </c>
      <c r="I1323" s="6" t="s">
        <v>7711</v>
      </c>
      <c r="J1323" s="6" t="s">
        <v>9118</v>
      </c>
      <c r="K1323" s="6" t="s">
        <v>9714</v>
      </c>
      <c r="L1323" s="16" t="n">
        <v>38512</v>
      </c>
      <c r="M1323" s="16" t="n">
        <v>45979</v>
      </c>
      <c r="N1323" s="6" t="s">
        <v>104</v>
      </c>
      <c r="O1323" s="21" t="s">
        <v>104</v>
      </c>
      <c r="P1323" s="6" t="s">
        <v>104</v>
      </c>
      <c r="Q1323" s="6" t="s">
        <v>104</v>
      </c>
      <c r="R1323" s="6" t="s">
        <v>104</v>
      </c>
      <c r="S1323" s="6" t="s">
        <v>104</v>
      </c>
      <c r="T1323" s="21" t="s">
        <v>104</v>
      </c>
      <c r="U1323" s="6" t="s">
        <v>104</v>
      </c>
      <c r="V1323" s="6" t="s">
        <v>104</v>
      </c>
      <c r="W1323" s="6" t="s">
        <v>104</v>
      </c>
      <c r="X1323" s="6" t="s">
        <v>104</v>
      </c>
      <c r="Y1323" s="21" t="s">
        <v>104</v>
      </c>
      <c r="Z1323" s="6" t="s">
        <v>104</v>
      </c>
      <c r="AA1323" s="6" t="s">
        <v>104</v>
      </c>
      <c r="AB1323" s="6" t="s">
        <v>104</v>
      </c>
      <c r="AC1323" s="6" t="s">
        <v>9714</v>
      </c>
      <c r="AD1323" s="16" t="n">
        <v>38512</v>
      </c>
      <c r="AE1323" s="6" t="s">
        <v>11670</v>
      </c>
      <c r="AF1323" s="6" t="s">
        <v>104</v>
      </c>
      <c r="AG1323" s="6" t="s">
        <v>12896</v>
      </c>
      <c r="AH1323" s="6" t="s">
        <v>14361</v>
      </c>
      <c r="AI1323" s="6" t="s">
        <v>104</v>
      </c>
      <c r="AJ1323" s="6" t="s">
        <v>16211</v>
      </c>
      <c r="AK1323" s="6" t="s">
        <v>16738</v>
      </c>
      <c r="AL1323" s="6" t="s">
        <v>16931</v>
      </c>
      <c r="AM1323" s="6" t="s">
        <v>17873</v>
      </c>
      <c r="AN1323" s="6" t="s">
        <v>18502</v>
      </c>
      <c r="AO1323" s="6" t="s">
        <v>18682</v>
      </c>
      <c r="AP1323" s="6" t="s">
        <v>19298</v>
      </c>
      <c r="AQ1323" s="6" t="s">
        <v>15258</v>
      </c>
      <c r="AR1323" s="6" t="s">
        <v>19628</v>
      </c>
      <c r="AS1323" s="6" t="s">
        <v>16710</v>
      </c>
      <c r="AT1323" s="6" t="s">
        <v>16931</v>
      </c>
      <c r="AU1323" s="6" t="s">
        <v>19856</v>
      </c>
      <c r="AV1323" s="6" t="s">
        <v>104</v>
      </c>
      <c r="AW1323" s="6" t="s">
        <v>104</v>
      </c>
      <c r="AX1323" s="6" t="s">
        <v>20259</v>
      </c>
      <c r="AY1323" s="6" t="s">
        <v>22947</v>
      </c>
      <c r="AZ1323" s="6" t="s">
        <v>104</v>
      </c>
      <c r="BA1323" s="6" t="s">
        <v>104</v>
      </c>
      <c r="BB1323" s="6" t="s">
        <v>104</v>
      </c>
      <c r="BC1323" s="26"/>
      <c r="BD1323" s="26"/>
      <c r="BE1323" s="26"/>
      <c r="BF1323" s="26"/>
      <c r="BG1323" s="26"/>
      <c r="BH1323" s="26"/>
      <c r="BI1323" s="26"/>
      <c r="BJ1323" s="26"/>
      <c r="BK1323" s="26"/>
      <c r="BL1323" s="26"/>
      <c r="BM1323" s="26"/>
      <c r="BN1323" s="26"/>
      <c r="BO1323" s="26"/>
      <c r="BP1323" s="16" t="n">
        <v>45737</v>
      </c>
      <c r="BQ1323" s="28" t="str">
        <f>HYPERLINK("https://organic.ams.usda.gov/Integrity/Certificate.aspx?cid=71&amp;nopid=5520030210")</f>
        <v>https://organic.ams.usda.gov/Integrity/Certificate.aspx?cid=71&amp;nopid=5520030210</v>
      </c>
    </row>
    <row r="1324">
      <c r="A1324" t="s">
        <v>3</v>
      </c>
      <c r="B1324" s="6" t="s">
        <v>13</v>
      </c>
      <c r="C1324" s="6" t="s">
        <v>79</v>
      </c>
      <c r="D1324" s="6" t="s">
        <v>144</v>
      </c>
      <c r="E1324" s="10" t="s">
        <v>1522</v>
      </c>
      <c r="F1324" s="6" t="s">
        <v>3764</v>
      </c>
      <c r="G1324" s="6" t="s">
        <v>104</v>
      </c>
      <c r="H1324" s="6" t="s">
        <v>6095</v>
      </c>
      <c r="I1324" s="6" t="s">
        <v>7359</v>
      </c>
      <c r="J1324" s="6" t="s">
        <v>8637</v>
      </c>
      <c r="K1324" s="6" t="s">
        <v>9714</v>
      </c>
      <c r="L1324" s="16" t="n">
        <v>37375</v>
      </c>
      <c r="M1324" s="16" t="n">
        <v>46023</v>
      </c>
      <c r="N1324" s="6" t="s">
        <v>104</v>
      </c>
      <c r="O1324" s="21" t="s">
        <v>104</v>
      </c>
      <c r="P1324" s="6" t="s">
        <v>104</v>
      </c>
      <c r="Q1324" s="6" t="s">
        <v>104</v>
      </c>
      <c r="R1324" s="6" t="s">
        <v>104</v>
      </c>
      <c r="S1324" s="6" t="s">
        <v>104</v>
      </c>
      <c r="T1324" s="21" t="s">
        <v>104</v>
      </c>
      <c r="U1324" s="6" t="s">
        <v>104</v>
      </c>
      <c r="V1324" s="6" t="s">
        <v>104</v>
      </c>
      <c r="W1324" s="6" t="s">
        <v>104</v>
      </c>
      <c r="X1324" s="6" t="s">
        <v>104</v>
      </c>
      <c r="Y1324" s="21" t="s">
        <v>104</v>
      </c>
      <c r="Z1324" s="6" t="s">
        <v>104</v>
      </c>
      <c r="AA1324" s="6" t="s">
        <v>104</v>
      </c>
      <c r="AB1324" s="6" t="s">
        <v>104</v>
      </c>
      <c r="AC1324" s="6" t="s">
        <v>9714</v>
      </c>
      <c r="AD1324" s="16" t="n">
        <v>37375</v>
      </c>
      <c r="AE1324" s="6" t="s">
        <v>11671</v>
      </c>
      <c r="AF1324" s="6" t="s">
        <v>104</v>
      </c>
      <c r="AG1324" s="6" t="s">
        <v>104</v>
      </c>
      <c r="AH1324" s="6" t="s">
        <v>104</v>
      </c>
      <c r="AI1324" s="6" t="s">
        <v>104</v>
      </c>
      <c r="AJ1324" s="6" t="s">
        <v>104</v>
      </c>
      <c r="AK1324" s="6" t="s">
        <v>104</v>
      </c>
      <c r="AL1324" s="6" t="s">
        <v>104</v>
      </c>
      <c r="AM1324" s="6" t="s">
        <v>104</v>
      </c>
      <c r="AN1324" s="6" t="s">
        <v>104</v>
      </c>
      <c r="AO1324" s="6" t="s">
        <v>104</v>
      </c>
      <c r="AP1324" s="6" t="s">
        <v>19299</v>
      </c>
      <c r="AQ1324" s="6" t="s">
        <v>104</v>
      </c>
      <c r="AR1324" s="6" t="s">
        <v>19654</v>
      </c>
      <c r="AS1324" s="6" t="s">
        <v>16687</v>
      </c>
      <c r="AT1324" s="6" t="s">
        <v>16931</v>
      </c>
      <c r="AU1324" s="6" t="s">
        <v>19882</v>
      </c>
      <c r="AV1324" s="6" t="s">
        <v>18484</v>
      </c>
      <c r="AW1324" s="6" t="s">
        <v>18597</v>
      </c>
      <c r="AX1324" s="6" t="s">
        <v>20625</v>
      </c>
      <c r="AY1324" s="6" t="s">
        <v>22399</v>
      </c>
      <c r="AZ1324" s="6" t="s">
        <v>24017</v>
      </c>
      <c r="BA1324" s="6" t="s">
        <v>104</v>
      </c>
      <c r="BB1324" s="6" t="s">
        <v>104</v>
      </c>
      <c r="BC1324" s="26" t="s">
        <v>24533</v>
      </c>
      <c r="BD1324" s="26"/>
      <c r="BE1324" s="26"/>
      <c r="BF1324" s="26"/>
      <c r="BG1324" s="26"/>
      <c r="BH1324" s="26"/>
      <c r="BI1324" s="26"/>
      <c r="BJ1324" s="26"/>
      <c r="BK1324" s="26"/>
      <c r="BL1324" s="26"/>
      <c r="BM1324" s="26"/>
      <c r="BN1324" s="26"/>
      <c r="BO1324" s="26"/>
      <c r="BP1324" s="16" t="n">
        <v>45720</v>
      </c>
      <c r="BQ1324" s="28" t="str">
        <f>HYPERLINK("https://organic.ams.usda.gov/Integrity/Certificate.aspx?cid=62&amp;nopid=8150001559")</f>
        <v>https://organic.ams.usda.gov/Integrity/Certificate.aspx?cid=62&amp;nopid=8150001559</v>
      </c>
    </row>
    <row r="1325">
      <c r="A1325" t="s">
        <v>3</v>
      </c>
      <c r="B1325" s="6" t="s">
        <v>25</v>
      </c>
      <c r="C1325" s="6" t="s">
        <v>91</v>
      </c>
      <c r="D1325" s="6" t="s">
        <v>156</v>
      </c>
      <c r="E1325" s="10" t="s">
        <v>1523</v>
      </c>
      <c r="F1325" s="6" t="s">
        <v>3765</v>
      </c>
      <c r="G1325" s="6" t="s">
        <v>104</v>
      </c>
      <c r="H1325" s="6" t="s">
        <v>6096</v>
      </c>
      <c r="I1325" s="6" t="s">
        <v>7712</v>
      </c>
      <c r="J1325" s="6" t="s">
        <v>9119</v>
      </c>
      <c r="K1325" s="6" t="s">
        <v>9714</v>
      </c>
      <c r="L1325" s="16" t="n">
        <v>45630</v>
      </c>
      <c r="M1325" s="16" t="n">
        <v>45891</v>
      </c>
      <c r="N1325" s="6" t="s">
        <v>104</v>
      </c>
      <c r="O1325" s="21" t="s">
        <v>104</v>
      </c>
      <c r="P1325" s="6" t="s">
        <v>104</v>
      </c>
      <c r="Q1325" s="6" t="s">
        <v>104</v>
      </c>
      <c r="R1325" s="6" t="s">
        <v>104</v>
      </c>
      <c r="S1325" s="6" t="s">
        <v>104</v>
      </c>
      <c r="T1325" s="21" t="s">
        <v>104</v>
      </c>
      <c r="U1325" s="6" t="s">
        <v>104</v>
      </c>
      <c r="V1325" s="6" t="s">
        <v>104</v>
      </c>
      <c r="W1325" s="6" t="s">
        <v>104</v>
      </c>
      <c r="X1325" s="6" t="s">
        <v>104</v>
      </c>
      <c r="Y1325" s="21" t="s">
        <v>104</v>
      </c>
      <c r="Z1325" s="6" t="s">
        <v>104</v>
      </c>
      <c r="AA1325" s="6" t="s">
        <v>104</v>
      </c>
      <c r="AB1325" s="6" t="s">
        <v>104</v>
      </c>
      <c r="AC1325" s="6" t="s">
        <v>9714</v>
      </c>
      <c r="AD1325" s="16" t="n">
        <v>45630</v>
      </c>
      <c r="AE1325" s="6" t="s">
        <v>11672</v>
      </c>
      <c r="AF1325" s="6" t="s">
        <v>104</v>
      </c>
      <c r="AG1325" s="6" t="s">
        <v>104</v>
      </c>
      <c r="AH1325" s="6" t="s">
        <v>14362</v>
      </c>
      <c r="AI1325" s="6" t="s">
        <v>104</v>
      </c>
      <c r="AJ1325" s="6" t="s">
        <v>16212</v>
      </c>
      <c r="AK1325" s="6" t="s">
        <v>16691</v>
      </c>
      <c r="AL1325" s="6" t="s">
        <v>16935</v>
      </c>
      <c r="AM1325" s="6" t="s">
        <v>17874</v>
      </c>
      <c r="AN1325" s="6" t="s">
        <v>104</v>
      </c>
      <c r="AO1325" s="6" t="s">
        <v>104</v>
      </c>
      <c r="AP1325" s="6" t="s">
        <v>19300</v>
      </c>
      <c r="AQ1325" s="6" t="s">
        <v>104</v>
      </c>
      <c r="AR1325" s="6" t="s">
        <v>19717</v>
      </c>
      <c r="AS1325" s="6" t="s">
        <v>16691</v>
      </c>
      <c r="AT1325" s="6" t="s">
        <v>16935</v>
      </c>
      <c r="AU1325" s="6" t="s">
        <v>19967</v>
      </c>
      <c r="AV1325" s="6" t="s">
        <v>104</v>
      </c>
      <c r="AW1325" s="6" t="s">
        <v>104</v>
      </c>
      <c r="AX1325" s="6" t="s">
        <v>21150</v>
      </c>
      <c r="AY1325" s="6" t="s">
        <v>22948</v>
      </c>
      <c r="AZ1325" s="6" t="s">
        <v>104</v>
      </c>
      <c r="BA1325" s="6" t="s">
        <v>104</v>
      </c>
      <c r="BB1325" s="6" t="s">
        <v>104</v>
      </c>
      <c r="BC1325" s="26"/>
      <c r="BD1325" s="26"/>
      <c r="BE1325" s="26"/>
      <c r="BF1325" s="26"/>
      <c r="BG1325" s="26"/>
      <c r="BH1325" s="26"/>
      <c r="BI1325" s="26"/>
      <c r="BJ1325" s="26"/>
      <c r="BK1325" s="26"/>
      <c r="BL1325" s="26"/>
      <c r="BM1325" s="26"/>
      <c r="BN1325" s="26"/>
      <c r="BO1325" s="26"/>
      <c r="BP1325" s="16" t="n">
        <v>45630</v>
      </c>
      <c r="BQ1325" s="28" t="str">
        <f>HYPERLINK("https://organic.ams.usda.gov/Integrity/Certificate.aspx?cid=66&amp;nopid=5500007322")</f>
        <v>https://organic.ams.usda.gov/Integrity/Certificate.aspx?cid=66&amp;nopid=5500007322</v>
      </c>
    </row>
    <row r="1326">
      <c r="A1326" t="s">
        <v>3</v>
      </c>
      <c r="B1326" s="6" t="s">
        <v>34</v>
      </c>
      <c r="C1326" s="6" t="s">
        <v>100</v>
      </c>
      <c r="D1326" s="6" t="s">
        <v>165</v>
      </c>
      <c r="E1326" s="10" t="s">
        <v>1524</v>
      </c>
      <c r="F1326" s="6" t="s">
        <v>3766</v>
      </c>
      <c r="G1326" s="6" t="s">
        <v>104</v>
      </c>
      <c r="H1326" s="6" t="s">
        <v>6097</v>
      </c>
      <c r="I1326" s="6" t="s">
        <v>7713</v>
      </c>
      <c r="J1326" s="6" t="s">
        <v>9120</v>
      </c>
      <c r="K1326" s="6" t="s">
        <v>9714</v>
      </c>
      <c r="L1326" s="16" t="n">
        <v>45184</v>
      </c>
      <c r="M1326" s="16" t="n">
        <v>45799</v>
      </c>
      <c r="N1326" s="6" t="s">
        <v>104</v>
      </c>
      <c r="O1326" s="21" t="s">
        <v>104</v>
      </c>
      <c r="P1326" s="6" t="s">
        <v>104</v>
      </c>
      <c r="Q1326" s="6" t="s">
        <v>104</v>
      </c>
      <c r="R1326" s="6" t="s">
        <v>104</v>
      </c>
      <c r="S1326" s="6" t="s">
        <v>104</v>
      </c>
      <c r="T1326" s="21" t="s">
        <v>104</v>
      </c>
      <c r="U1326" s="6" t="s">
        <v>104</v>
      </c>
      <c r="V1326" s="6" t="s">
        <v>104</v>
      </c>
      <c r="W1326" s="6" t="s">
        <v>104</v>
      </c>
      <c r="X1326" s="6" t="s">
        <v>104</v>
      </c>
      <c r="Y1326" s="21" t="s">
        <v>104</v>
      </c>
      <c r="Z1326" s="6" t="s">
        <v>104</v>
      </c>
      <c r="AA1326" s="6" t="s">
        <v>104</v>
      </c>
      <c r="AB1326" s="6" t="s">
        <v>104</v>
      </c>
      <c r="AC1326" s="6" t="s">
        <v>9714</v>
      </c>
      <c r="AD1326" s="16" t="n">
        <v>45184</v>
      </c>
      <c r="AE1326" s="6" t="s">
        <v>11673</v>
      </c>
      <c r="AF1326" s="6" t="s">
        <v>104</v>
      </c>
      <c r="AG1326" s="6" t="s">
        <v>12897</v>
      </c>
      <c r="AH1326" s="6" t="s">
        <v>14363</v>
      </c>
      <c r="AI1326" s="6" t="s">
        <v>104</v>
      </c>
      <c r="AJ1326" s="6" t="s">
        <v>16213</v>
      </c>
      <c r="AK1326" s="6" t="s">
        <v>16687</v>
      </c>
      <c r="AL1326" s="6" t="s">
        <v>16931</v>
      </c>
      <c r="AM1326" s="6" t="s">
        <v>17875</v>
      </c>
      <c r="AN1326" s="6" t="s">
        <v>18465</v>
      </c>
      <c r="AO1326" s="6" t="s">
        <v>18572</v>
      </c>
      <c r="AP1326" s="6" t="s">
        <v>14363</v>
      </c>
      <c r="AQ1326" s="6" t="s">
        <v>104</v>
      </c>
      <c r="AR1326" s="6" t="s">
        <v>16213</v>
      </c>
      <c r="AS1326" s="6" t="s">
        <v>16687</v>
      </c>
      <c r="AT1326" s="6" t="s">
        <v>16931</v>
      </c>
      <c r="AU1326" s="6" t="s">
        <v>17875</v>
      </c>
      <c r="AV1326" s="6" t="s">
        <v>104</v>
      </c>
      <c r="AW1326" s="6" t="s">
        <v>104</v>
      </c>
      <c r="AX1326" s="6" t="s">
        <v>21151</v>
      </c>
      <c r="AY1326" s="6" t="s">
        <v>22949</v>
      </c>
      <c r="AZ1326" s="6" t="s">
        <v>24018</v>
      </c>
      <c r="BA1326" s="6" t="s">
        <v>104</v>
      </c>
      <c r="BB1326" s="6" t="s">
        <v>104</v>
      </c>
      <c r="BC1326" s="26"/>
      <c r="BD1326" s="26"/>
      <c r="BE1326" s="26"/>
      <c r="BF1326" s="26"/>
      <c r="BG1326" s="26" t="s">
        <v>24533</v>
      </c>
      <c r="BH1326" s="26"/>
      <c r="BI1326" s="26"/>
      <c r="BJ1326" s="26"/>
      <c r="BK1326" s="26"/>
      <c r="BL1326" s="26" t="s">
        <v>24533</v>
      </c>
      <c r="BM1326" s="26"/>
      <c r="BN1326" s="26"/>
      <c r="BO1326" s="26"/>
      <c r="BP1326" s="16" t="n">
        <v>45737</v>
      </c>
      <c r="BQ1326" s="28" t="str">
        <f>HYPERLINK("https://organic.ams.usda.gov/Integrity/Certificate.aspx?cid=71&amp;nopid=5520774239")</f>
        <v>https://organic.ams.usda.gov/Integrity/Certificate.aspx?cid=71&amp;nopid=5520774239</v>
      </c>
    </row>
    <row r="1327">
      <c r="A1327" t="s">
        <v>3</v>
      </c>
      <c r="B1327" s="6" t="s">
        <v>34</v>
      </c>
      <c r="C1327" s="6" t="s">
        <v>100</v>
      </c>
      <c r="D1327" s="6" t="s">
        <v>165</v>
      </c>
      <c r="E1327" s="10" t="s">
        <v>1525</v>
      </c>
      <c r="F1327" s="6" t="s">
        <v>3767</v>
      </c>
      <c r="G1327" s="6" t="s">
        <v>104</v>
      </c>
      <c r="H1327" s="6" t="s">
        <v>6098</v>
      </c>
      <c r="I1327" s="6" t="s">
        <v>7713</v>
      </c>
      <c r="J1327" s="6" t="s">
        <v>9120</v>
      </c>
      <c r="K1327" s="6" t="s">
        <v>9714</v>
      </c>
      <c r="L1327" s="16" t="n">
        <v>42625</v>
      </c>
      <c r="M1327" s="16" t="n">
        <v>45757</v>
      </c>
      <c r="N1327" s="6" t="s">
        <v>104</v>
      </c>
      <c r="O1327" s="21" t="s">
        <v>104</v>
      </c>
      <c r="P1327" s="6" t="s">
        <v>104</v>
      </c>
      <c r="Q1327" s="6" t="s">
        <v>104</v>
      </c>
      <c r="R1327" s="6" t="s">
        <v>104</v>
      </c>
      <c r="S1327" s="6" t="s">
        <v>104</v>
      </c>
      <c r="T1327" s="21" t="s">
        <v>104</v>
      </c>
      <c r="U1327" s="6" t="s">
        <v>104</v>
      </c>
      <c r="V1327" s="6" t="s">
        <v>104</v>
      </c>
      <c r="W1327" s="6" t="s">
        <v>104</v>
      </c>
      <c r="X1327" s="6" t="s">
        <v>104</v>
      </c>
      <c r="Y1327" s="21" t="s">
        <v>104</v>
      </c>
      <c r="Z1327" s="6" t="s">
        <v>104</v>
      </c>
      <c r="AA1327" s="6" t="s">
        <v>104</v>
      </c>
      <c r="AB1327" s="6" t="s">
        <v>104</v>
      </c>
      <c r="AC1327" s="6" t="s">
        <v>9714</v>
      </c>
      <c r="AD1327" s="16" t="n">
        <v>42625</v>
      </c>
      <c r="AE1327" s="6" t="s">
        <v>11674</v>
      </c>
      <c r="AF1327" s="6" t="s">
        <v>104</v>
      </c>
      <c r="AG1327" s="6" t="s">
        <v>12898</v>
      </c>
      <c r="AH1327" s="6" t="s">
        <v>14364</v>
      </c>
      <c r="AI1327" s="6" t="s">
        <v>104</v>
      </c>
      <c r="AJ1327" s="6" t="s">
        <v>15935</v>
      </c>
      <c r="AK1327" s="6" t="s">
        <v>16693</v>
      </c>
      <c r="AL1327" s="6" t="s">
        <v>16931</v>
      </c>
      <c r="AM1327" s="6" t="s">
        <v>17876</v>
      </c>
      <c r="AN1327" s="6" t="s">
        <v>18471</v>
      </c>
      <c r="AO1327" s="6" t="s">
        <v>18756</v>
      </c>
      <c r="AP1327" s="6" t="s">
        <v>14363</v>
      </c>
      <c r="AQ1327" s="6" t="s">
        <v>104</v>
      </c>
      <c r="AR1327" s="6" t="s">
        <v>16213</v>
      </c>
      <c r="AS1327" s="6" t="s">
        <v>16687</v>
      </c>
      <c r="AT1327" s="6" t="s">
        <v>16931</v>
      </c>
      <c r="AU1327" s="6" t="s">
        <v>17878</v>
      </c>
      <c r="AV1327" s="6" t="s">
        <v>104</v>
      </c>
      <c r="AW1327" s="6" t="s">
        <v>104</v>
      </c>
      <c r="AX1327" s="6" t="s">
        <v>20259</v>
      </c>
      <c r="AY1327" s="6" t="s">
        <v>22949</v>
      </c>
      <c r="AZ1327" s="6" t="s">
        <v>104</v>
      </c>
      <c r="BA1327" s="6" t="s">
        <v>104</v>
      </c>
      <c r="BB1327" s="6" t="s">
        <v>104</v>
      </c>
      <c r="BC1327" s="26"/>
      <c r="BD1327" s="26"/>
      <c r="BE1327" s="26"/>
      <c r="BF1327" s="26"/>
      <c r="BG1327" s="26"/>
      <c r="BH1327" s="26"/>
      <c r="BI1327" s="26"/>
      <c r="BJ1327" s="26"/>
      <c r="BK1327" s="26"/>
      <c r="BL1327" s="26"/>
      <c r="BM1327" s="26"/>
      <c r="BN1327" s="26"/>
      <c r="BO1327" s="26"/>
      <c r="BP1327" s="16" t="n">
        <v>45737</v>
      </c>
      <c r="BQ1327" s="28" t="str">
        <f>HYPERLINK("https://organic.ams.usda.gov/Integrity/Certificate.aspx?cid=71&amp;nopid=5520302966")</f>
        <v>https://organic.ams.usda.gov/Integrity/Certificate.aspx?cid=71&amp;nopid=5520302966</v>
      </c>
    </row>
    <row r="1328">
      <c r="A1328" t="s">
        <v>3</v>
      </c>
      <c r="B1328" s="6" t="s">
        <v>34</v>
      </c>
      <c r="C1328" s="6" t="s">
        <v>100</v>
      </c>
      <c r="D1328" s="6" t="s">
        <v>165</v>
      </c>
      <c r="E1328" s="10" t="s">
        <v>1526</v>
      </c>
      <c r="F1328" s="6" t="s">
        <v>3767</v>
      </c>
      <c r="G1328" s="6" t="s">
        <v>104</v>
      </c>
      <c r="H1328" s="6" t="s">
        <v>6099</v>
      </c>
      <c r="I1328" s="6" t="s">
        <v>7713</v>
      </c>
      <c r="J1328" s="6" t="s">
        <v>9120</v>
      </c>
      <c r="K1328" s="6" t="s">
        <v>9714</v>
      </c>
      <c r="L1328" s="16" t="n">
        <v>42597</v>
      </c>
      <c r="M1328" s="16" t="n">
        <v>45748</v>
      </c>
      <c r="N1328" s="6" t="s">
        <v>104</v>
      </c>
      <c r="O1328" s="21" t="s">
        <v>104</v>
      </c>
      <c r="P1328" s="6" t="s">
        <v>104</v>
      </c>
      <c r="Q1328" s="6" t="s">
        <v>104</v>
      </c>
      <c r="R1328" s="6" t="s">
        <v>104</v>
      </c>
      <c r="S1328" s="6" t="s">
        <v>104</v>
      </c>
      <c r="T1328" s="21" t="s">
        <v>104</v>
      </c>
      <c r="U1328" s="6" t="s">
        <v>104</v>
      </c>
      <c r="V1328" s="6" t="s">
        <v>104</v>
      </c>
      <c r="W1328" s="6" t="s">
        <v>104</v>
      </c>
      <c r="X1328" s="6" t="s">
        <v>104</v>
      </c>
      <c r="Y1328" s="21" t="s">
        <v>104</v>
      </c>
      <c r="Z1328" s="6" t="s">
        <v>104</v>
      </c>
      <c r="AA1328" s="6" t="s">
        <v>104</v>
      </c>
      <c r="AB1328" s="6" t="s">
        <v>104</v>
      </c>
      <c r="AC1328" s="6" t="s">
        <v>9714</v>
      </c>
      <c r="AD1328" s="16" t="n">
        <v>42597</v>
      </c>
      <c r="AE1328" s="6" t="s">
        <v>11675</v>
      </c>
      <c r="AF1328" s="6" t="s">
        <v>104</v>
      </c>
      <c r="AG1328" s="6" t="s">
        <v>12899</v>
      </c>
      <c r="AH1328" s="6" t="s">
        <v>14365</v>
      </c>
      <c r="AI1328" s="6" t="s">
        <v>104</v>
      </c>
      <c r="AJ1328" s="6" t="s">
        <v>7520</v>
      </c>
      <c r="AK1328" s="6" t="s">
        <v>16678</v>
      </c>
      <c r="AL1328" s="6" t="s">
        <v>16931</v>
      </c>
      <c r="AM1328" s="6" t="s">
        <v>17877</v>
      </c>
      <c r="AN1328" s="6" t="s">
        <v>18450</v>
      </c>
      <c r="AO1328" s="6" t="s">
        <v>18555</v>
      </c>
      <c r="AP1328" s="6" t="s">
        <v>14363</v>
      </c>
      <c r="AQ1328" s="6" t="s">
        <v>104</v>
      </c>
      <c r="AR1328" s="6" t="s">
        <v>16213</v>
      </c>
      <c r="AS1328" s="6" t="s">
        <v>16687</v>
      </c>
      <c r="AT1328" s="6" t="s">
        <v>16931</v>
      </c>
      <c r="AU1328" s="6" t="s">
        <v>17878</v>
      </c>
      <c r="AV1328" s="6" t="s">
        <v>104</v>
      </c>
      <c r="AW1328" s="6" t="s">
        <v>104</v>
      </c>
      <c r="AX1328" s="6" t="s">
        <v>21152</v>
      </c>
      <c r="AY1328" s="6" t="s">
        <v>22949</v>
      </c>
      <c r="AZ1328" s="6" t="s">
        <v>104</v>
      </c>
      <c r="BA1328" s="6" t="s">
        <v>104</v>
      </c>
      <c r="BB1328" s="6" t="s">
        <v>104</v>
      </c>
      <c r="BC1328" s="26"/>
      <c r="BD1328" s="26"/>
      <c r="BE1328" s="26"/>
      <c r="BF1328" s="26"/>
      <c r="BG1328" s="26"/>
      <c r="BH1328" s="26"/>
      <c r="BI1328" s="26"/>
      <c r="BJ1328" s="26"/>
      <c r="BK1328" s="26"/>
      <c r="BL1328" s="26"/>
      <c r="BM1328" s="26"/>
      <c r="BN1328" s="26"/>
      <c r="BO1328" s="26"/>
      <c r="BP1328" s="16" t="n">
        <v>45737</v>
      </c>
      <c r="BQ1328" s="28" t="str">
        <f>HYPERLINK("https://organic.ams.usda.gov/Integrity/Certificate.aspx?cid=71&amp;nopid=5520279720")</f>
        <v>https://organic.ams.usda.gov/Integrity/Certificate.aspx?cid=71&amp;nopid=5520279720</v>
      </c>
    </row>
    <row r="1329">
      <c r="A1329" t="s">
        <v>3</v>
      </c>
      <c r="B1329" s="6" t="s">
        <v>34</v>
      </c>
      <c r="C1329" s="6" t="s">
        <v>100</v>
      </c>
      <c r="D1329" s="6" t="s">
        <v>165</v>
      </c>
      <c r="E1329" s="10" t="s">
        <v>1527</v>
      </c>
      <c r="F1329" s="6" t="s">
        <v>3767</v>
      </c>
      <c r="G1329" s="6" t="s">
        <v>104</v>
      </c>
      <c r="H1329" s="6" t="s">
        <v>6100</v>
      </c>
      <c r="I1329" s="6" t="s">
        <v>7713</v>
      </c>
      <c r="J1329" s="6" t="s">
        <v>9120</v>
      </c>
      <c r="K1329" s="6" t="s">
        <v>9714</v>
      </c>
      <c r="L1329" s="16" t="n">
        <v>37684</v>
      </c>
      <c r="M1329" s="16" t="n">
        <v>45797</v>
      </c>
      <c r="N1329" s="6" t="s">
        <v>104</v>
      </c>
      <c r="O1329" s="21" t="s">
        <v>104</v>
      </c>
      <c r="P1329" s="6" t="s">
        <v>104</v>
      </c>
      <c r="Q1329" s="6" t="s">
        <v>104</v>
      </c>
      <c r="R1329" s="6" t="s">
        <v>104</v>
      </c>
      <c r="S1329" s="6" t="s">
        <v>104</v>
      </c>
      <c r="T1329" s="21" t="s">
        <v>104</v>
      </c>
      <c r="U1329" s="6" t="s">
        <v>104</v>
      </c>
      <c r="V1329" s="6" t="s">
        <v>104</v>
      </c>
      <c r="W1329" s="6" t="s">
        <v>104</v>
      </c>
      <c r="X1329" s="6" t="s">
        <v>104</v>
      </c>
      <c r="Y1329" s="21" t="s">
        <v>104</v>
      </c>
      <c r="Z1329" s="6" t="s">
        <v>104</v>
      </c>
      <c r="AA1329" s="6" t="s">
        <v>104</v>
      </c>
      <c r="AB1329" s="6" t="s">
        <v>104</v>
      </c>
      <c r="AC1329" s="6" t="s">
        <v>9714</v>
      </c>
      <c r="AD1329" s="16" t="n">
        <v>37684</v>
      </c>
      <c r="AE1329" s="6" t="s">
        <v>11676</v>
      </c>
      <c r="AF1329" s="6" t="s">
        <v>104</v>
      </c>
      <c r="AG1329" s="6" t="s">
        <v>12900</v>
      </c>
      <c r="AH1329" s="6" t="s">
        <v>14363</v>
      </c>
      <c r="AI1329" s="6" t="s">
        <v>104</v>
      </c>
      <c r="AJ1329" s="6" t="s">
        <v>16213</v>
      </c>
      <c r="AK1329" s="6" t="s">
        <v>16687</v>
      </c>
      <c r="AL1329" s="6" t="s">
        <v>16931</v>
      </c>
      <c r="AM1329" s="6" t="s">
        <v>17878</v>
      </c>
      <c r="AN1329" s="6" t="s">
        <v>18465</v>
      </c>
      <c r="AO1329" s="6" t="s">
        <v>18572</v>
      </c>
      <c r="AP1329" s="6" t="s">
        <v>14363</v>
      </c>
      <c r="AQ1329" s="6" t="s">
        <v>104</v>
      </c>
      <c r="AR1329" s="6" t="s">
        <v>16213</v>
      </c>
      <c r="AS1329" s="6" t="s">
        <v>16687</v>
      </c>
      <c r="AT1329" s="6" t="s">
        <v>16931</v>
      </c>
      <c r="AU1329" s="6" t="s">
        <v>17878</v>
      </c>
      <c r="AV1329" s="6" t="s">
        <v>104</v>
      </c>
      <c r="AW1329" s="6" t="s">
        <v>104</v>
      </c>
      <c r="AX1329" s="6" t="s">
        <v>21153</v>
      </c>
      <c r="AY1329" s="6" t="s">
        <v>22949</v>
      </c>
      <c r="AZ1329" s="6" t="s">
        <v>104</v>
      </c>
      <c r="BA1329" s="6" t="s">
        <v>104</v>
      </c>
      <c r="BB1329" s="6" t="s">
        <v>104</v>
      </c>
      <c r="BC1329" s="26"/>
      <c r="BD1329" s="26"/>
      <c r="BE1329" s="26"/>
      <c r="BF1329" s="26"/>
      <c r="BG1329" s="26" t="s">
        <v>24533</v>
      </c>
      <c r="BH1329" s="26"/>
      <c r="BI1329" s="26"/>
      <c r="BJ1329" s="26"/>
      <c r="BK1329" s="26"/>
      <c r="BL1329" s="26" t="s">
        <v>24533</v>
      </c>
      <c r="BM1329" s="26"/>
      <c r="BN1329" s="26"/>
      <c r="BO1329" s="26"/>
      <c r="BP1329" s="16" t="n">
        <v>45739</v>
      </c>
      <c r="BQ1329" s="28" t="str">
        <f>HYPERLINK("https://organic.ams.usda.gov/Integrity/Certificate.aspx?cid=71&amp;nopid=5520029826")</f>
        <v>https://organic.ams.usda.gov/Integrity/Certificate.aspx?cid=71&amp;nopid=5520029826</v>
      </c>
    </row>
    <row r="1330">
      <c r="A1330" t="s">
        <v>3</v>
      </c>
      <c r="B1330" s="6" t="s">
        <v>21</v>
      </c>
      <c r="C1330" s="6" t="s">
        <v>87</v>
      </c>
      <c r="D1330" s="6" t="s">
        <v>152</v>
      </c>
      <c r="E1330" s="10" t="s">
        <v>1528</v>
      </c>
      <c r="F1330" s="6" t="s">
        <v>3768</v>
      </c>
      <c r="G1330" s="6" t="s">
        <v>4797</v>
      </c>
      <c r="H1330" s="6" t="s">
        <v>6101</v>
      </c>
      <c r="I1330" s="6" t="s">
        <v>7714</v>
      </c>
      <c r="J1330" s="6" t="s">
        <v>8958</v>
      </c>
      <c r="K1330" s="6" t="s">
        <v>9714</v>
      </c>
      <c r="L1330" s="16" t="n">
        <v>40347</v>
      </c>
      <c r="M1330" s="16" t="n">
        <v>46023</v>
      </c>
      <c r="N1330" s="6" t="s">
        <v>104</v>
      </c>
      <c r="O1330" s="21" t="s">
        <v>104</v>
      </c>
      <c r="P1330" s="6" t="s">
        <v>104</v>
      </c>
      <c r="Q1330" s="6" t="s">
        <v>104</v>
      </c>
      <c r="R1330" s="6" t="s">
        <v>104</v>
      </c>
      <c r="S1330" s="6" t="s">
        <v>104</v>
      </c>
      <c r="T1330" s="21" t="s">
        <v>104</v>
      </c>
      <c r="U1330" s="6" t="s">
        <v>104</v>
      </c>
      <c r="V1330" s="6" t="s">
        <v>104</v>
      </c>
      <c r="W1330" s="6" t="s">
        <v>104</v>
      </c>
      <c r="X1330" s="6" t="s">
        <v>104</v>
      </c>
      <c r="Y1330" s="21" t="s">
        <v>104</v>
      </c>
      <c r="Z1330" s="6" t="s">
        <v>104</v>
      </c>
      <c r="AA1330" s="6" t="s">
        <v>104</v>
      </c>
      <c r="AB1330" s="6" t="s">
        <v>104</v>
      </c>
      <c r="AC1330" s="6" t="s">
        <v>9714</v>
      </c>
      <c r="AD1330" s="16" t="n">
        <v>40347</v>
      </c>
      <c r="AE1330" s="6" t="s">
        <v>11677</v>
      </c>
      <c r="AF1330" s="6" t="s">
        <v>104</v>
      </c>
      <c r="AG1330" s="6" t="s">
        <v>104</v>
      </c>
      <c r="AH1330" s="6" t="s">
        <v>14366</v>
      </c>
      <c r="AI1330" s="6" t="s">
        <v>104</v>
      </c>
      <c r="AJ1330" s="6" t="s">
        <v>16214</v>
      </c>
      <c r="AK1330" s="6" t="s">
        <v>16715</v>
      </c>
      <c r="AL1330" s="6" t="s">
        <v>16931</v>
      </c>
      <c r="AM1330" s="6" t="s">
        <v>17879</v>
      </c>
      <c r="AN1330" s="6" t="s">
        <v>18463</v>
      </c>
      <c r="AO1330" s="6" t="s">
        <v>18801</v>
      </c>
      <c r="AP1330" s="6" t="s">
        <v>19301</v>
      </c>
      <c r="AQ1330" s="6" t="s">
        <v>104</v>
      </c>
      <c r="AR1330" s="6" t="s">
        <v>16214</v>
      </c>
      <c r="AS1330" s="6" t="s">
        <v>16715</v>
      </c>
      <c r="AT1330" s="6" t="s">
        <v>16931</v>
      </c>
      <c r="AU1330" s="6" t="s">
        <v>17879</v>
      </c>
      <c r="AV1330" s="6" t="s">
        <v>104</v>
      </c>
      <c r="AW1330" s="6" t="s">
        <v>104</v>
      </c>
      <c r="AX1330" s="6" t="s">
        <v>21154</v>
      </c>
      <c r="AY1330" s="6" t="s">
        <v>22950</v>
      </c>
      <c r="AZ1330" s="6" t="s">
        <v>104</v>
      </c>
      <c r="BA1330" s="6" t="s">
        <v>24434</v>
      </c>
      <c r="BB1330" s="6" t="s">
        <v>104</v>
      </c>
      <c r="BC1330" s="26"/>
      <c r="BD1330" s="26"/>
      <c r="BE1330" s="26"/>
      <c r="BF1330" s="26"/>
      <c r="BG1330" s="26"/>
      <c r="BH1330" s="26"/>
      <c r="BI1330" s="26"/>
      <c r="BJ1330" s="26"/>
      <c r="BK1330" s="26"/>
      <c r="BL1330" s="26"/>
      <c r="BM1330" s="26"/>
      <c r="BN1330" s="26"/>
      <c r="BO1330" s="26"/>
      <c r="BP1330" s="16" t="n">
        <v>45712</v>
      </c>
      <c r="BQ1330" s="28" t="str">
        <f>HYPERLINK("https://organic.ams.usda.gov/Integrity/Certificate.aspx?cid=15&amp;nopid=5561002545")</f>
        <v>https://organic.ams.usda.gov/Integrity/Certificate.aspx?cid=15&amp;nopid=5561002545</v>
      </c>
    </row>
    <row r="1331">
      <c r="A1331" t="s">
        <v>3</v>
      </c>
      <c r="B1331" s="6" t="s">
        <v>41</v>
      </c>
      <c r="C1331" s="6" t="s">
        <v>107</v>
      </c>
      <c r="D1331" s="6" t="s">
        <v>171</v>
      </c>
      <c r="E1331" s="10" t="s">
        <v>1529</v>
      </c>
      <c r="F1331" s="6" t="s">
        <v>3769</v>
      </c>
      <c r="G1331" s="6" t="s">
        <v>4798</v>
      </c>
      <c r="H1331" s="6" t="s">
        <v>6102</v>
      </c>
      <c r="I1331" s="6" t="s">
        <v>7715</v>
      </c>
      <c r="J1331" s="6" t="s">
        <v>9121</v>
      </c>
      <c r="K1331" s="6" t="s">
        <v>9714</v>
      </c>
      <c r="L1331" s="16" t="n">
        <v>40667</v>
      </c>
      <c r="M1331" s="16" t="n">
        <v>45747</v>
      </c>
      <c r="N1331" s="6" t="s">
        <v>104</v>
      </c>
      <c r="O1331" s="21" t="s">
        <v>104</v>
      </c>
      <c r="P1331" s="6" t="s">
        <v>104</v>
      </c>
      <c r="Q1331" s="6" t="s">
        <v>104</v>
      </c>
      <c r="R1331" s="6" t="s">
        <v>104</v>
      </c>
      <c r="S1331" s="6" t="s">
        <v>104</v>
      </c>
      <c r="T1331" s="21" t="s">
        <v>104</v>
      </c>
      <c r="U1331" s="6" t="s">
        <v>104</v>
      </c>
      <c r="V1331" s="6" t="s">
        <v>104</v>
      </c>
      <c r="W1331" s="6" t="s">
        <v>104</v>
      </c>
      <c r="X1331" s="6" t="s">
        <v>104</v>
      </c>
      <c r="Y1331" s="21" t="s">
        <v>104</v>
      </c>
      <c r="Z1331" s="6" t="s">
        <v>104</v>
      </c>
      <c r="AA1331" s="6" t="s">
        <v>104</v>
      </c>
      <c r="AB1331" s="6" t="s">
        <v>104</v>
      </c>
      <c r="AC1331" s="6" t="s">
        <v>9714</v>
      </c>
      <c r="AD1331" s="16" t="n">
        <v>40667</v>
      </c>
      <c r="AE1331" s="6" t="s">
        <v>11678</v>
      </c>
      <c r="AF1331" s="6" t="s">
        <v>104</v>
      </c>
      <c r="AG1331" s="6" t="s">
        <v>104</v>
      </c>
      <c r="AH1331" s="6" t="s">
        <v>14367</v>
      </c>
      <c r="AI1331" s="6" t="s">
        <v>104</v>
      </c>
      <c r="AJ1331" s="6" t="s">
        <v>15590</v>
      </c>
      <c r="AK1331" s="6" t="s">
        <v>16706</v>
      </c>
      <c r="AL1331" s="6" t="s">
        <v>16931</v>
      </c>
      <c r="AM1331" s="6" t="s">
        <v>17205</v>
      </c>
      <c r="AN1331" s="6" t="s">
        <v>18510</v>
      </c>
      <c r="AO1331" s="6" t="s">
        <v>18653</v>
      </c>
      <c r="AP1331" s="6" t="s">
        <v>14367</v>
      </c>
      <c r="AQ1331" s="6" t="s">
        <v>104</v>
      </c>
      <c r="AR1331" s="6" t="s">
        <v>15590</v>
      </c>
      <c r="AS1331" s="6" t="s">
        <v>16706</v>
      </c>
      <c r="AT1331" s="6" t="s">
        <v>16931</v>
      </c>
      <c r="AU1331" s="6" t="s">
        <v>17205</v>
      </c>
      <c r="AV1331" s="6" t="s">
        <v>104</v>
      </c>
      <c r="AW1331" s="6" t="s">
        <v>104</v>
      </c>
      <c r="AX1331" s="6" t="s">
        <v>21155</v>
      </c>
      <c r="AY1331" s="6" t="s">
        <v>104</v>
      </c>
      <c r="AZ1331" s="6" t="s">
        <v>104</v>
      </c>
      <c r="BA1331" s="6" t="s">
        <v>104</v>
      </c>
      <c r="BB1331" s="6" t="s">
        <v>104</v>
      </c>
      <c r="BC1331" s="26"/>
      <c r="BD1331" s="26"/>
      <c r="BE1331" s="26"/>
      <c r="BF1331" s="26"/>
      <c r="BG1331" s="26"/>
      <c r="BH1331" s="26"/>
      <c r="BI1331" s="26"/>
      <c r="BJ1331" s="26"/>
      <c r="BK1331" s="26"/>
      <c r="BL1331" s="26"/>
      <c r="BM1331" s="26"/>
      <c r="BN1331" s="26"/>
      <c r="BO1331" s="26"/>
      <c r="BP1331" s="16" t="n">
        <v>45737</v>
      </c>
      <c r="BQ1331" s="28" t="str">
        <f>HYPERLINK("https://organic.ams.usda.gov/Integrity/Certificate.aspx?cid=58&amp;nopid=1600001816")</f>
        <v>https://organic.ams.usda.gov/Integrity/Certificate.aspx?cid=58&amp;nopid=1600001816</v>
      </c>
    </row>
    <row r="1332">
      <c r="A1332" t="s">
        <v>3</v>
      </c>
      <c r="B1332" s="6" t="s">
        <v>8</v>
      </c>
      <c r="C1332" s="6" t="s">
        <v>74</v>
      </c>
      <c r="D1332" s="6" t="s">
        <v>139</v>
      </c>
      <c r="E1332" s="10" t="s">
        <v>1530</v>
      </c>
      <c r="F1332" s="6" t="s">
        <v>3770</v>
      </c>
      <c r="G1332" s="6" t="s">
        <v>104</v>
      </c>
      <c r="H1332" s="6" t="s">
        <v>1530</v>
      </c>
      <c r="I1332" s="6" t="s">
        <v>7716</v>
      </c>
      <c r="J1332" s="6" t="s">
        <v>9122</v>
      </c>
      <c r="K1332" s="6" t="s">
        <v>9714</v>
      </c>
      <c r="L1332" s="16" t="n">
        <v>37769</v>
      </c>
      <c r="M1332" s="16" t="n">
        <v>45550</v>
      </c>
      <c r="N1332" s="6" t="s">
        <v>104</v>
      </c>
      <c r="O1332" s="21" t="s">
        <v>104</v>
      </c>
      <c r="P1332" s="6" t="s">
        <v>104</v>
      </c>
      <c r="Q1332" s="6" t="s">
        <v>104</v>
      </c>
      <c r="R1332" s="6" t="s">
        <v>104</v>
      </c>
      <c r="S1332" s="6" t="s">
        <v>104</v>
      </c>
      <c r="T1332" s="21" t="s">
        <v>104</v>
      </c>
      <c r="U1332" s="6" t="s">
        <v>104</v>
      </c>
      <c r="V1332" s="6" t="s">
        <v>104</v>
      </c>
      <c r="W1332" s="6" t="s">
        <v>104</v>
      </c>
      <c r="X1332" s="6" t="s">
        <v>104</v>
      </c>
      <c r="Y1332" s="21" t="s">
        <v>104</v>
      </c>
      <c r="Z1332" s="6" t="s">
        <v>104</v>
      </c>
      <c r="AA1332" s="6" t="s">
        <v>104</v>
      </c>
      <c r="AB1332" s="6" t="s">
        <v>104</v>
      </c>
      <c r="AC1332" s="6" t="s">
        <v>9714</v>
      </c>
      <c r="AD1332" s="16" t="n">
        <v>37769</v>
      </c>
      <c r="AE1332" s="6" t="s">
        <v>11679</v>
      </c>
      <c r="AF1332" s="6" t="s">
        <v>104</v>
      </c>
      <c r="AG1332" s="6" t="s">
        <v>104</v>
      </c>
      <c r="AH1332" s="6" t="s">
        <v>14368</v>
      </c>
      <c r="AI1332" s="6" t="s">
        <v>104</v>
      </c>
      <c r="AJ1332" s="6" t="s">
        <v>16215</v>
      </c>
      <c r="AK1332" s="6" t="s">
        <v>16679</v>
      </c>
      <c r="AL1332" s="6" t="s">
        <v>16931</v>
      </c>
      <c r="AM1332" s="6" t="s">
        <v>17880</v>
      </c>
      <c r="AN1332" s="6" t="s">
        <v>18462</v>
      </c>
      <c r="AO1332" s="6" t="s">
        <v>18804</v>
      </c>
      <c r="AP1332" s="6" t="s">
        <v>19302</v>
      </c>
      <c r="AQ1332" s="6" t="s">
        <v>104</v>
      </c>
      <c r="AR1332" s="6" t="s">
        <v>16215</v>
      </c>
      <c r="AS1332" s="6" t="s">
        <v>16679</v>
      </c>
      <c r="AT1332" s="6" t="s">
        <v>16931</v>
      </c>
      <c r="AU1332" s="6" t="s">
        <v>17880</v>
      </c>
      <c r="AV1332" s="6" t="s">
        <v>104</v>
      </c>
      <c r="AW1332" s="6" t="s">
        <v>104</v>
      </c>
      <c r="AX1332" s="6" t="s">
        <v>21156</v>
      </c>
      <c r="AY1332" s="6" t="s">
        <v>22951</v>
      </c>
      <c r="AZ1332" s="6" t="s">
        <v>24019</v>
      </c>
      <c r="BA1332" s="6" t="s">
        <v>104</v>
      </c>
      <c r="BB1332" s="6" t="s">
        <v>104</v>
      </c>
      <c r="BC1332" s="26"/>
      <c r="BD1332" s="26"/>
      <c r="BE1332" s="26"/>
      <c r="BF1332" s="26"/>
      <c r="BG1332" s="26"/>
      <c r="BH1332" s="26"/>
      <c r="BI1332" s="26"/>
      <c r="BJ1332" s="26"/>
      <c r="BK1332" s="26"/>
      <c r="BL1332" s="26"/>
      <c r="BM1332" s="26"/>
      <c r="BN1332" s="26"/>
      <c r="BO1332" s="26"/>
      <c r="BP1332" s="16" t="n">
        <v>45706</v>
      </c>
      <c r="BQ1332" s="28" t="str">
        <f>HYPERLINK("https://organic.ams.usda.gov/Integrity/Certificate.aspx?cid=48&amp;nopid=1460029877")</f>
        <v>https://organic.ams.usda.gov/Integrity/Certificate.aspx?cid=48&amp;nopid=1460029877</v>
      </c>
    </row>
    <row r="1333">
      <c r="A1333" t="s">
        <v>3</v>
      </c>
      <c r="B1333" s="6" t="s">
        <v>8</v>
      </c>
      <c r="C1333" s="6" t="s">
        <v>74</v>
      </c>
      <c r="D1333" s="6" t="s">
        <v>139</v>
      </c>
      <c r="E1333" s="10" t="s">
        <v>1531</v>
      </c>
      <c r="F1333" s="6" t="s">
        <v>3771</v>
      </c>
      <c r="G1333" s="6" t="s">
        <v>104</v>
      </c>
      <c r="H1333" s="6" t="s">
        <v>1531</v>
      </c>
      <c r="I1333" s="6" t="s">
        <v>7717</v>
      </c>
      <c r="J1333" s="6" t="s">
        <v>9123</v>
      </c>
      <c r="K1333" s="6" t="s">
        <v>9714</v>
      </c>
      <c r="L1333" s="16" t="n">
        <v>40988</v>
      </c>
      <c r="M1333" s="16" t="n">
        <v>45915</v>
      </c>
      <c r="N1333" s="6" t="s">
        <v>104</v>
      </c>
      <c r="O1333" s="21" t="s">
        <v>104</v>
      </c>
      <c r="P1333" s="6" t="s">
        <v>104</v>
      </c>
      <c r="Q1333" s="6" t="s">
        <v>104</v>
      </c>
      <c r="R1333" s="6" t="s">
        <v>104</v>
      </c>
      <c r="S1333" s="6" t="s">
        <v>104</v>
      </c>
      <c r="T1333" s="21" t="s">
        <v>104</v>
      </c>
      <c r="U1333" s="6" t="s">
        <v>104</v>
      </c>
      <c r="V1333" s="6" t="s">
        <v>104</v>
      </c>
      <c r="W1333" s="6" t="s">
        <v>104</v>
      </c>
      <c r="X1333" s="6" t="s">
        <v>104</v>
      </c>
      <c r="Y1333" s="21" t="s">
        <v>104</v>
      </c>
      <c r="Z1333" s="6" t="s">
        <v>104</v>
      </c>
      <c r="AA1333" s="6" t="s">
        <v>104</v>
      </c>
      <c r="AB1333" s="6" t="s">
        <v>104</v>
      </c>
      <c r="AC1333" s="6" t="s">
        <v>9714</v>
      </c>
      <c r="AD1333" s="16" t="n">
        <v>40988</v>
      </c>
      <c r="AE1333" s="6" t="s">
        <v>11680</v>
      </c>
      <c r="AF1333" s="6" t="s">
        <v>104</v>
      </c>
      <c r="AG1333" s="6" t="s">
        <v>104</v>
      </c>
      <c r="AH1333" s="6" t="s">
        <v>14369</v>
      </c>
      <c r="AI1333" s="6" t="s">
        <v>104</v>
      </c>
      <c r="AJ1333" s="6" t="s">
        <v>15524</v>
      </c>
      <c r="AK1333" s="6" t="s">
        <v>16679</v>
      </c>
      <c r="AL1333" s="6" t="s">
        <v>16931</v>
      </c>
      <c r="AM1333" s="6" t="s">
        <v>17139</v>
      </c>
      <c r="AN1333" s="6" t="s">
        <v>18468</v>
      </c>
      <c r="AO1333" s="6" t="s">
        <v>18655</v>
      </c>
      <c r="AP1333" s="6" t="s">
        <v>14369</v>
      </c>
      <c r="AQ1333" s="6" t="s">
        <v>104</v>
      </c>
      <c r="AR1333" s="6" t="s">
        <v>15524</v>
      </c>
      <c r="AS1333" s="6" t="s">
        <v>16679</v>
      </c>
      <c r="AT1333" s="6" t="s">
        <v>16931</v>
      </c>
      <c r="AU1333" s="6" t="s">
        <v>17139</v>
      </c>
      <c r="AV1333" s="6" t="s">
        <v>104</v>
      </c>
      <c r="AW1333" s="6" t="s">
        <v>104</v>
      </c>
      <c r="AX1333" s="6" t="s">
        <v>21157</v>
      </c>
      <c r="AY1333" s="6" t="s">
        <v>22952</v>
      </c>
      <c r="AZ1333" s="6" t="s">
        <v>24020</v>
      </c>
      <c r="BA1333" s="6" t="s">
        <v>104</v>
      </c>
      <c r="BB1333" s="6" t="s">
        <v>104</v>
      </c>
      <c r="BC1333" s="26"/>
      <c r="BD1333" s="26"/>
      <c r="BE1333" s="26"/>
      <c r="BF1333" s="26"/>
      <c r="BG1333" s="26"/>
      <c r="BH1333" s="26"/>
      <c r="BI1333" s="26"/>
      <c r="BJ1333" s="26"/>
      <c r="BK1333" s="26"/>
      <c r="BL1333" s="26"/>
      <c r="BM1333" s="26"/>
      <c r="BN1333" s="26"/>
      <c r="BO1333" s="26"/>
      <c r="BP1333" s="16" t="n">
        <v>45646</v>
      </c>
      <c r="BQ1333" s="28" t="str">
        <f>HYPERLINK("https://organic.ams.usda.gov/Integrity/Certificate.aspx?cid=48&amp;nopid=1460030356")</f>
        <v>https://organic.ams.usda.gov/Integrity/Certificate.aspx?cid=48&amp;nopid=1460030356</v>
      </c>
    </row>
    <row r="1334">
      <c r="A1334" t="s">
        <v>3</v>
      </c>
      <c r="B1334" s="6" t="s">
        <v>8</v>
      </c>
      <c r="C1334" s="6" t="s">
        <v>74</v>
      </c>
      <c r="D1334" s="6" t="s">
        <v>139</v>
      </c>
      <c r="E1334" s="10" t="s">
        <v>1532</v>
      </c>
      <c r="F1334" s="6" t="s">
        <v>3772</v>
      </c>
      <c r="G1334" s="6" t="s">
        <v>104</v>
      </c>
      <c r="H1334" s="6" t="s">
        <v>1532</v>
      </c>
      <c r="I1334" s="6" t="s">
        <v>7558</v>
      </c>
      <c r="J1334" s="6" t="s">
        <v>8888</v>
      </c>
      <c r="K1334" s="6" t="s">
        <v>9714</v>
      </c>
      <c r="L1334" s="16" t="n">
        <v>40113</v>
      </c>
      <c r="M1334" s="16" t="n">
        <v>45915</v>
      </c>
      <c r="N1334" s="6" t="s">
        <v>104</v>
      </c>
      <c r="O1334" s="21" t="s">
        <v>104</v>
      </c>
      <c r="P1334" s="6" t="s">
        <v>104</v>
      </c>
      <c r="Q1334" s="6" t="s">
        <v>104</v>
      </c>
      <c r="R1334" s="6" t="s">
        <v>104</v>
      </c>
      <c r="S1334" s="6" t="s">
        <v>104</v>
      </c>
      <c r="T1334" s="21" t="s">
        <v>104</v>
      </c>
      <c r="U1334" s="6" t="s">
        <v>104</v>
      </c>
      <c r="V1334" s="6" t="s">
        <v>104</v>
      </c>
      <c r="W1334" s="6" t="s">
        <v>104</v>
      </c>
      <c r="X1334" s="6" t="s">
        <v>104</v>
      </c>
      <c r="Y1334" s="21" t="s">
        <v>104</v>
      </c>
      <c r="Z1334" s="6" t="s">
        <v>104</v>
      </c>
      <c r="AA1334" s="6" t="s">
        <v>104</v>
      </c>
      <c r="AB1334" s="6" t="s">
        <v>104</v>
      </c>
      <c r="AC1334" s="6" t="s">
        <v>9714</v>
      </c>
      <c r="AD1334" s="16" t="n">
        <v>40113</v>
      </c>
      <c r="AE1334" s="6" t="s">
        <v>11681</v>
      </c>
      <c r="AF1334" s="6" t="s">
        <v>104</v>
      </c>
      <c r="AG1334" s="6" t="s">
        <v>12901</v>
      </c>
      <c r="AH1334" s="6" t="s">
        <v>14370</v>
      </c>
      <c r="AI1334" s="6" t="s">
        <v>104</v>
      </c>
      <c r="AJ1334" s="6" t="s">
        <v>15656</v>
      </c>
      <c r="AK1334" s="6" t="s">
        <v>16679</v>
      </c>
      <c r="AL1334" s="6" t="s">
        <v>16931</v>
      </c>
      <c r="AM1334" s="6" t="s">
        <v>17881</v>
      </c>
      <c r="AN1334" s="6" t="s">
        <v>18463</v>
      </c>
      <c r="AO1334" s="6" t="s">
        <v>18656</v>
      </c>
      <c r="AP1334" s="6" t="s">
        <v>14370</v>
      </c>
      <c r="AQ1334" s="6" t="s">
        <v>104</v>
      </c>
      <c r="AR1334" s="6" t="s">
        <v>15656</v>
      </c>
      <c r="AS1334" s="6" t="s">
        <v>16679</v>
      </c>
      <c r="AT1334" s="6" t="s">
        <v>16931</v>
      </c>
      <c r="AU1334" s="6" t="s">
        <v>17881</v>
      </c>
      <c r="AV1334" s="6" t="s">
        <v>104</v>
      </c>
      <c r="AW1334" s="6" t="s">
        <v>104</v>
      </c>
      <c r="AX1334" s="6" t="s">
        <v>21158</v>
      </c>
      <c r="AY1334" s="6" t="s">
        <v>22953</v>
      </c>
      <c r="AZ1334" s="6" t="s">
        <v>24021</v>
      </c>
      <c r="BA1334" s="6" t="s">
        <v>104</v>
      </c>
      <c r="BB1334" s="6" t="s">
        <v>104</v>
      </c>
      <c r="BC1334" s="26"/>
      <c r="BD1334" s="26"/>
      <c r="BE1334" s="26"/>
      <c r="BF1334" s="26"/>
      <c r="BG1334" s="26"/>
      <c r="BH1334" s="26"/>
      <c r="BI1334" s="26"/>
      <c r="BJ1334" s="26"/>
      <c r="BK1334" s="26"/>
      <c r="BL1334" s="26"/>
      <c r="BM1334" s="26"/>
      <c r="BN1334" s="26"/>
      <c r="BO1334" s="26"/>
      <c r="BP1334" s="16" t="n">
        <v>45701</v>
      </c>
      <c r="BQ1334" s="28" t="str">
        <f>HYPERLINK("https://organic.ams.usda.gov/Integrity/Certificate.aspx?cid=48&amp;nopid=1460029668")</f>
        <v>https://organic.ams.usda.gov/Integrity/Certificate.aspx?cid=48&amp;nopid=1460029668</v>
      </c>
    </row>
    <row r="1335">
      <c r="A1335" t="s">
        <v>3</v>
      </c>
      <c r="B1335" s="6" t="s">
        <v>11</v>
      </c>
      <c r="C1335" s="6" t="s">
        <v>77</v>
      </c>
      <c r="D1335" s="6" t="s">
        <v>142</v>
      </c>
      <c r="E1335" s="10" t="s">
        <v>1533</v>
      </c>
      <c r="F1335" s="6" t="s">
        <v>3773</v>
      </c>
      <c r="G1335" s="6" t="s">
        <v>104</v>
      </c>
      <c r="H1335" s="6" t="s">
        <v>1533</v>
      </c>
      <c r="I1335" s="6" t="s">
        <v>7718</v>
      </c>
      <c r="J1335" s="6" t="s">
        <v>9124</v>
      </c>
      <c r="K1335" s="6" t="s">
        <v>9714</v>
      </c>
      <c r="L1335" s="16" t="n">
        <v>44862</v>
      </c>
      <c r="M1335" s="16" t="n">
        <v>45912</v>
      </c>
      <c r="N1335" s="6" t="s">
        <v>104</v>
      </c>
      <c r="O1335" s="21" t="s">
        <v>104</v>
      </c>
      <c r="P1335" s="6" t="s">
        <v>104</v>
      </c>
      <c r="Q1335" s="6" t="s">
        <v>104</v>
      </c>
      <c r="R1335" s="6" t="s">
        <v>104</v>
      </c>
      <c r="S1335" s="6" t="s">
        <v>104</v>
      </c>
      <c r="T1335" s="21" t="s">
        <v>104</v>
      </c>
      <c r="U1335" s="6" t="s">
        <v>104</v>
      </c>
      <c r="V1335" s="6" t="s">
        <v>104</v>
      </c>
      <c r="W1335" s="6" t="s">
        <v>104</v>
      </c>
      <c r="X1335" s="6" t="s">
        <v>104</v>
      </c>
      <c r="Y1335" s="21" t="s">
        <v>104</v>
      </c>
      <c r="Z1335" s="6" t="s">
        <v>104</v>
      </c>
      <c r="AA1335" s="6" t="s">
        <v>104</v>
      </c>
      <c r="AB1335" s="6" t="s">
        <v>104</v>
      </c>
      <c r="AC1335" s="6" t="s">
        <v>9714</v>
      </c>
      <c r="AD1335" s="16" t="n">
        <v>44862</v>
      </c>
      <c r="AE1335" s="6" t="s">
        <v>11682</v>
      </c>
      <c r="AF1335" s="6" t="s">
        <v>104</v>
      </c>
      <c r="AG1335" s="6" t="s">
        <v>12902</v>
      </c>
      <c r="AH1335" s="6" t="s">
        <v>14371</v>
      </c>
      <c r="AI1335" s="6" t="s">
        <v>104</v>
      </c>
      <c r="AJ1335" s="6" t="s">
        <v>16216</v>
      </c>
      <c r="AK1335" s="6" t="s">
        <v>16867</v>
      </c>
      <c r="AL1335" s="6" t="s">
        <v>16932</v>
      </c>
      <c r="AM1335" s="6" t="s">
        <v>17882</v>
      </c>
      <c r="AN1335" s="6" t="s">
        <v>104</v>
      </c>
      <c r="AO1335" s="6" t="s">
        <v>104</v>
      </c>
      <c r="AP1335" s="6" t="s">
        <v>19303</v>
      </c>
      <c r="AQ1335" s="6" t="s">
        <v>104</v>
      </c>
      <c r="AR1335" s="6" t="s">
        <v>19718</v>
      </c>
      <c r="AS1335" s="6" t="s">
        <v>16867</v>
      </c>
      <c r="AT1335" s="6" t="s">
        <v>16932</v>
      </c>
      <c r="AU1335" s="6" t="s">
        <v>19968</v>
      </c>
      <c r="AV1335" s="6" t="s">
        <v>104</v>
      </c>
      <c r="AW1335" s="6" t="s">
        <v>104</v>
      </c>
      <c r="AX1335" s="6" t="s">
        <v>21159</v>
      </c>
      <c r="AY1335" s="6" t="s">
        <v>22954</v>
      </c>
      <c r="AZ1335" s="6" t="s">
        <v>104</v>
      </c>
      <c r="BA1335" s="6" t="s">
        <v>104</v>
      </c>
      <c r="BB1335" s="6" t="s">
        <v>104</v>
      </c>
      <c r="BC1335" s="26"/>
      <c r="BD1335" s="26"/>
      <c r="BE1335" s="26"/>
      <c r="BF1335" s="26"/>
      <c r="BG1335" s="26"/>
      <c r="BH1335" s="26"/>
      <c r="BI1335" s="26"/>
      <c r="BJ1335" s="26"/>
      <c r="BK1335" s="26"/>
      <c r="BL1335" s="26"/>
      <c r="BM1335" s="26"/>
      <c r="BN1335" s="26" t="s">
        <v>24533</v>
      </c>
      <c r="BO1335" s="26"/>
      <c r="BP1335" s="16" t="n">
        <v>45688</v>
      </c>
      <c r="BQ1335" s="28" t="str">
        <f>HYPERLINK("https://organic.ams.usda.gov/Integrity/Certificate.aspx?cid=21&amp;nopid=1780890700")</f>
        <v>https://organic.ams.usda.gov/Integrity/Certificate.aspx?cid=21&amp;nopid=1780890700</v>
      </c>
    </row>
    <row r="1336">
      <c r="A1336" t="s">
        <v>3</v>
      </c>
      <c r="B1336" s="6" t="s">
        <v>13</v>
      </c>
      <c r="C1336" s="6" t="s">
        <v>79</v>
      </c>
      <c r="D1336" s="6" t="s">
        <v>144</v>
      </c>
      <c r="E1336" s="10" t="s">
        <v>1534</v>
      </c>
      <c r="F1336" s="6" t="s">
        <v>3774</v>
      </c>
      <c r="G1336" s="6" t="s">
        <v>104</v>
      </c>
      <c r="H1336" s="6" t="s">
        <v>6103</v>
      </c>
      <c r="I1336" s="6" t="s">
        <v>7085</v>
      </c>
      <c r="J1336" s="6" t="s">
        <v>9125</v>
      </c>
      <c r="K1336" s="6" t="s">
        <v>9714</v>
      </c>
      <c r="L1336" s="16" t="n">
        <v>37375</v>
      </c>
      <c r="M1336" s="16" t="n">
        <v>45748</v>
      </c>
      <c r="N1336" s="6" t="s">
        <v>104</v>
      </c>
      <c r="O1336" s="21" t="s">
        <v>104</v>
      </c>
      <c r="P1336" s="6" t="s">
        <v>104</v>
      </c>
      <c r="Q1336" s="6" t="s">
        <v>104</v>
      </c>
      <c r="R1336" s="6" t="s">
        <v>104</v>
      </c>
      <c r="S1336" s="6" t="s">
        <v>104</v>
      </c>
      <c r="T1336" s="21" t="s">
        <v>104</v>
      </c>
      <c r="U1336" s="6" t="s">
        <v>104</v>
      </c>
      <c r="V1336" s="6" t="s">
        <v>104</v>
      </c>
      <c r="W1336" s="6" t="s">
        <v>104</v>
      </c>
      <c r="X1336" s="6" t="s">
        <v>104</v>
      </c>
      <c r="Y1336" s="21" t="s">
        <v>104</v>
      </c>
      <c r="Z1336" s="6" t="s">
        <v>104</v>
      </c>
      <c r="AA1336" s="6" t="s">
        <v>104</v>
      </c>
      <c r="AB1336" s="6" t="s">
        <v>104</v>
      </c>
      <c r="AC1336" s="6" t="s">
        <v>9714</v>
      </c>
      <c r="AD1336" s="16" t="n">
        <v>37375</v>
      </c>
      <c r="AE1336" s="6" t="s">
        <v>11683</v>
      </c>
      <c r="AF1336" s="6" t="s">
        <v>104</v>
      </c>
      <c r="AG1336" s="6" t="s">
        <v>104</v>
      </c>
      <c r="AH1336" s="6" t="s">
        <v>104</v>
      </c>
      <c r="AI1336" s="6" t="s">
        <v>104</v>
      </c>
      <c r="AJ1336" s="6" t="s">
        <v>104</v>
      </c>
      <c r="AK1336" s="6" t="s">
        <v>104</v>
      </c>
      <c r="AL1336" s="6" t="s">
        <v>104</v>
      </c>
      <c r="AM1336" s="6" t="s">
        <v>104</v>
      </c>
      <c r="AN1336" s="6" t="s">
        <v>104</v>
      </c>
      <c r="AO1336" s="6" t="s">
        <v>104</v>
      </c>
      <c r="AP1336" s="6" t="s">
        <v>19304</v>
      </c>
      <c r="AQ1336" s="6" t="s">
        <v>104</v>
      </c>
      <c r="AR1336" s="6" t="s">
        <v>19719</v>
      </c>
      <c r="AS1336" s="6" t="s">
        <v>16687</v>
      </c>
      <c r="AT1336" s="6" t="s">
        <v>16931</v>
      </c>
      <c r="AU1336" s="6" t="s">
        <v>19969</v>
      </c>
      <c r="AV1336" s="6" t="s">
        <v>18461</v>
      </c>
      <c r="AW1336" s="6" t="s">
        <v>20097</v>
      </c>
      <c r="AX1336" s="6" t="s">
        <v>21160</v>
      </c>
      <c r="AY1336" s="6" t="s">
        <v>22955</v>
      </c>
      <c r="AZ1336" s="6" t="s">
        <v>104</v>
      </c>
      <c r="BA1336" s="6" t="s">
        <v>104</v>
      </c>
      <c r="BB1336" s="6" t="s">
        <v>104</v>
      </c>
      <c r="BC1336" s="26"/>
      <c r="BD1336" s="26"/>
      <c r="BE1336" s="26" t="s">
        <v>24533</v>
      </c>
      <c r="BF1336" s="26"/>
      <c r="BG1336" s="26"/>
      <c r="BH1336" s="26"/>
      <c r="BI1336" s="26"/>
      <c r="BJ1336" s="26"/>
      <c r="BK1336" s="26"/>
      <c r="BL1336" s="26"/>
      <c r="BM1336" s="26"/>
      <c r="BN1336" s="26"/>
      <c r="BO1336" s="26"/>
      <c r="BP1336" s="16" t="n">
        <v>45680</v>
      </c>
      <c r="BQ1336" s="28" t="str">
        <f>HYPERLINK("https://organic.ams.usda.gov/Integrity/Certificate.aspx?cid=62&amp;nopid=8150001154")</f>
        <v>https://organic.ams.usda.gov/Integrity/Certificate.aspx?cid=62&amp;nopid=8150001154</v>
      </c>
    </row>
    <row r="1337">
      <c r="A1337" t="s">
        <v>3</v>
      </c>
      <c r="B1337" s="6" t="s">
        <v>34</v>
      </c>
      <c r="C1337" s="6" t="s">
        <v>100</v>
      </c>
      <c r="D1337" s="6" t="s">
        <v>165</v>
      </c>
      <c r="E1337" s="10" t="s">
        <v>1535</v>
      </c>
      <c r="F1337" s="6" t="s">
        <v>3775</v>
      </c>
      <c r="G1337" s="6" t="s">
        <v>104</v>
      </c>
      <c r="H1337" s="6" t="s">
        <v>6104</v>
      </c>
      <c r="I1337" s="6" t="s">
        <v>7719</v>
      </c>
      <c r="J1337" s="6" t="s">
        <v>9126</v>
      </c>
      <c r="K1337" s="6" t="s">
        <v>9714</v>
      </c>
      <c r="L1337" s="16" t="n">
        <v>37375</v>
      </c>
      <c r="M1337" s="16" t="n">
        <v>45812</v>
      </c>
      <c r="N1337" s="6" t="s">
        <v>104</v>
      </c>
      <c r="O1337" s="21" t="s">
        <v>104</v>
      </c>
      <c r="P1337" s="6" t="s">
        <v>104</v>
      </c>
      <c r="Q1337" s="6" t="s">
        <v>104</v>
      </c>
      <c r="R1337" s="6" t="s">
        <v>104</v>
      </c>
      <c r="S1337" s="6" t="s">
        <v>104</v>
      </c>
      <c r="T1337" s="21" t="s">
        <v>104</v>
      </c>
      <c r="U1337" s="6" t="s">
        <v>104</v>
      </c>
      <c r="V1337" s="6" t="s">
        <v>104</v>
      </c>
      <c r="W1337" s="6" t="s">
        <v>104</v>
      </c>
      <c r="X1337" s="6" t="s">
        <v>104</v>
      </c>
      <c r="Y1337" s="21" t="s">
        <v>104</v>
      </c>
      <c r="Z1337" s="6" t="s">
        <v>104</v>
      </c>
      <c r="AA1337" s="6" t="s">
        <v>104</v>
      </c>
      <c r="AB1337" s="6" t="s">
        <v>104</v>
      </c>
      <c r="AC1337" s="6" t="s">
        <v>9714</v>
      </c>
      <c r="AD1337" s="16" t="n">
        <v>37375</v>
      </c>
      <c r="AE1337" s="6" t="s">
        <v>11684</v>
      </c>
      <c r="AF1337" s="6" t="s">
        <v>104</v>
      </c>
      <c r="AG1337" s="6" t="s">
        <v>12903</v>
      </c>
      <c r="AH1337" s="6" t="s">
        <v>14372</v>
      </c>
      <c r="AI1337" s="6" t="s">
        <v>104</v>
      </c>
      <c r="AJ1337" s="6" t="s">
        <v>15542</v>
      </c>
      <c r="AK1337" s="6" t="s">
        <v>16687</v>
      </c>
      <c r="AL1337" s="6" t="s">
        <v>16931</v>
      </c>
      <c r="AM1337" s="6" t="s">
        <v>17161</v>
      </c>
      <c r="AN1337" s="6" t="s">
        <v>18487</v>
      </c>
      <c r="AO1337" s="6" t="s">
        <v>18601</v>
      </c>
      <c r="AP1337" s="6" t="s">
        <v>14372</v>
      </c>
      <c r="AQ1337" s="6" t="s">
        <v>104</v>
      </c>
      <c r="AR1337" s="6" t="s">
        <v>15542</v>
      </c>
      <c r="AS1337" s="6" t="s">
        <v>16687</v>
      </c>
      <c r="AT1337" s="6" t="s">
        <v>16931</v>
      </c>
      <c r="AU1337" s="6" t="s">
        <v>17161</v>
      </c>
      <c r="AV1337" s="6" t="s">
        <v>104</v>
      </c>
      <c r="AW1337" s="6" t="s">
        <v>104</v>
      </c>
      <c r="AX1337" s="6" t="s">
        <v>21161</v>
      </c>
      <c r="AY1337" s="6" t="s">
        <v>22956</v>
      </c>
      <c r="AZ1337" s="6" t="s">
        <v>104</v>
      </c>
      <c r="BA1337" s="6" t="s">
        <v>104</v>
      </c>
      <c r="BB1337" s="6" t="s">
        <v>104</v>
      </c>
      <c r="BC1337" s="26"/>
      <c r="BD1337" s="26"/>
      <c r="BE1337" s="26" t="s">
        <v>24533</v>
      </c>
      <c r="BF1337" s="26"/>
      <c r="BG1337" s="26"/>
      <c r="BH1337" s="26"/>
      <c r="BI1337" s="26"/>
      <c r="BJ1337" s="26"/>
      <c r="BK1337" s="26"/>
      <c r="BL1337" s="26"/>
      <c r="BM1337" s="26"/>
      <c r="BN1337" s="26"/>
      <c r="BO1337" s="26"/>
      <c r="BP1337" s="16" t="n">
        <v>45737</v>
      </c>
      <c r="BQ1337" s="28" t="str">
        <f>HYPERLINK("https://organic.ams.usda.gov/Integrity/Certificate.aspx?cid=71&amp;nopid=5520030418")</f>
        <v>https://organic.ams.usda.gov/Integrity/Certificate.aspx?cid=71&amp;nopid=5520030418</v>
      </c>
    </row>
    <row r="1338">
      <c r="A1338" t="s">
        <v>3</v>
      </c>
      <c r="B1338" s="6" t="s">
        <v>47</v>
      </c>
      <c r="C1338" s="6" t="s">
        <v>113</v>
      </c>
      <c r="D1338" s="6" t="s">
        <v>177</v>
      </c>
      <c r="E1338" s="10" t="s">
        <v>1536</v>
      </c>
      <c r="F1338" s="6" t="s">
        <v>3776</v>
      </c>
      <c r="G1338" s="6" t="s">
        <v>104</v>
      </c>
      <c r="H1338" s="6" t="s">
        <v>6105</v>
      </c>
      <c r="I1338" s="6" t="s">
        <v>7060</v>
      </c>
      <c r="J1338" s="6" t="s">
        <v>9127</v>
      </c>
      <c r="K1338" s="6" t="s">
        <v>9714</v>
      </c>
      <c r="L1338" s="16" t="n">
        <v>37862</v>
      </c>
      <c r="M1338" s="16" t="n">
        <v>46142</v>
      </c>
      <c r="N1338" s="6" t="s">
        <v>104</v>
      </c>
      <c r="O1338" s="21" t="s">
        <v>104</v>
      </c>
      <c r="P1338" s="6" t="s">
        <v>104</v>
      </c>
      <c r="Q1338" s="6" t="s">
        <v>104</v>
      </c>
      <c r="R1338" s="6" t="s">
        <v>104</v>
      </c>
      <c r="S1338" s="6" t="s">
        <v>104</v>
      </c>
      <c r="T1338" s="21" t="s">
        <v>104</v>
      </c>
      <c r="U1338" s="6" t="s">
        <v>104</v>
      </c>
      <c r="V1338" s="6" t="s">
        <v>104</v>
      </c>
      <c r="W1338" s="6" t="s">
        <v>104</v>
      </c>
      <c r="X1338" s="6" t="s">
        <v>104</v>
      </c>
      <c r="Y1338" s="21" t="s">
        <v>104</v>
      </c>
      <c r="Z1338" s="6" t="s">
        <v>104</v>
      </c>
      <c r="AA1338" s="6" t="s">
        <v>104</v>
      </c>
      <c r="AB1338" s="6" t="s">
        <v>104</v>
      </c>
      <c r="AC1338" s="6" t="s">
        <v>9714</v>
      </c>
      <c r="AD1338" s="16" t="n">
        <v>37862</v>
      </c>
      <c r="AE1338" s="6" t="s">
        <v>11685</v>
      </c>
      <c r="AF1338" s="6" t="s">
        <v>104</v>
      </c>
      <c r="AG1338" s="6" t="s">
        <v>12904</v>
      </c>
      <c r="AH1338" s="6" t="s">
        <v>14373</v>
      </c>
      <c r="AI1338" s="6" t="s">
        <v>104</v>
      </c>
      <c r="AJ1338" s="6" t="s">
        <v>16217</v>
      </c>
      <c r="AK1338" s="6" t="s">
        <v>16734</v>
      </c>
      <c r="AL1338" s="6" t="s">
        <v>16931</v>
      </c>
      <c r="AM1338" s="6" t="s">
        <v>17883</v>
      </c>
      <c r="AN1338" s="6" t="s">
        <v>18463</v>
      </c>
      <c r="AO1338" s="6" t="s">
        <v>18624</v>
      </c>
      <c r="AP1338" s="6" t="s">
        <v>19305</v>
      </c>
      <c r="AQ1338" s="6" t="s">
        <v>104</v>
      </c>
      <c r="AR1338" s="6" t="s">
        <v>16217</v>
      </c>
      <c r="AS1338" s="6" t="s">
        <v>16734</v>
      </c>
      <c r="AT1338" s="6" t="s">
        <v>16931</v>
      </c>
      <c r="AU1338" s="6" t="s">
        <v>17883</v>
      </c>
      <c r="AV1338" s="6" t="s">
        <v>104</v>
      </c>
      <c r="AW1338" s="6" t="s">
        <v>104</v>
      </c>
      <c r="AX1338" s="6" t="s">
        <v>21162</v>
      </c>
      <c r="AY1338" s="6" t="s">
        <v>22957</v>
      </c>
      <c r="AZ1338" s="6" t="s">
        <v>104</v>
      </c>
      <c r="BA1338" s="6" t="s">
        <v>104</v>
      </c>
      <c r="BB1338" s="24" t="n">
        <v>0</v>
      </c>
      <c r="BC1338" s="26"/>
      <c r="BD1338" s="26"/>
      <c r="BE1338" s="26"/>
      <c r="BF1338" s="26"/>
      <c r="BG1338" s="26"/>
      <c r="BH1338" s="26"/>
      <c r="BI1338" s="26"/>
      <c r="BJ1338" s="26"/>
      <c r="BK1338" s="26"/>
      <c r="BL1338" s="26"/>
      <c r="BM1338" s="26"/>
      <c r="BN1338" s="26"/>
      <c r="BO1338" s="26"/>
      <c r="BP1338" s="16" t="n">
        <v>45709</v>
      </c>
      <c r="BQ1338" s="28" t="str">
        <f>HYPERLINK("https://organic.ams.usda.gov/Integrity/Certificate.aspx?cid=47&amp;nopid=7142070949")</f>
        <v>https://organic.ams.usda.gov/Integrity/Certificate.aspx?cid=47&amp;nopid=7142070949</v>
      </c>
    </row>
    <row r="1339">
      <c r="A1339" t="s">
        <v>3</v>
      </c>
      <c r="B1339" s="6" t="s">
        <v>53</v>
      </c>
      <c r="C1339" s="6" t="s">
        <v>119</v>
      </c>
      <c r="D1339" s="6" t="s">
        <v>183</v>
      </c>
      <c r="E1339" s="10" t="s">
        <v>1537</v>
      </c>
      <c r="F1339" s="6" t="s">
        <v>3777</v>
      </c>
      <c r="G1339" s="6" t="s">
        <v>104</v>
      </c>
      <c r="H1339" s="6" t="s">
        <v>104</v>
      </c>
      <c r="I1339" s="6" t="s">
        <v>7720</v>
      </c>
      <c r="J1339" s="6" t="s">
        <v>9128</v>
      </c>
      <c r="K1339" s="6" t="s">
        <v>9714</v>
      </c>
      <c r="L1339" s="16" t="n">
        <v>45299</v>
      </c>
      <c r="M1339" s="16" t="n">
        <v>46030</v>
      </c>
      <c r="N1339" s="6" t="s">
        <v>104</v>
      </c>
      <c r="O1339" s="21" t="s">
        <v>104</v>
      </c>
      <c r="P1339" s="6" t="s">
        <v>104</v>
      </c>
      <c r="Q1339" s="6" t="s">
        <v>104</v>
      </c>
      <c r="R1339" s="6" t="s">
        <v>104</v>
      </c>
      <c r="S1339" s="6" t="s">
        <v>104</v>
      </c>
      <c r="T1339" s="21" t="s">
        <v>104</v>
      </c>
      <c r="U1339" s="6" t="s">
        <v>104</v>
      </c>
      <c r="V1339" s="6" t="s">
        <v>104</v>
      </c>
      <c r="W1339" s="6" t="s">
        <v>104</v>
      </c>
      <c r="X1339" s="6" t="s">
        <v>104</v>
      </c>
      <c r="Y1339" s="21" t="s">
        <v>104</v>
      </c>
      <c r="Z1339" s="6" t="s">
        <v>104</v>
      </c>
      <c r="AA1339" s="6" t="s">
        <v>104</v>
      </c>
      <c r="AB1339" s="6" t="s">
        <v>104</v>
      </c>
      <c r="AC1339" s="6" t="s">
        <v>9714</v>
      </c>
      <c r="AD1339" s="16" t="n">
        <v>45299</v>
      </c>
      <c r="AE1339" s="6" t="s">
        <v>11686</v>
      </c>
      <c r="AF1339" s="6" t="s">
        <v>104</v>
      </c>
      <c r="AG1339" s="6" t="s">
        <v>104</v>
      </c>
      <c r="AH1339" s="6" t="s">
        <v>14374</v>
      </c>
      <c r="AI1339" s="6" t="s">
        <v>15304</v>
      </c>
      <c r="AJ1339" s="6" t="s">
        <v>16218</v>
      </c>
      <c r="AK1339" s="6" t="s">
        <v>16687</v>
      </c>
      <c r="AL1339" s="6" t="s">
        <v>16931</v>
      </c>
      <c r="AM1339" s="6" t="s">
        <v>17884</v>
      </c>
      <c r="AN1339" s="6" t="s">
        <v>104</v>
      </c>
      <c r="AO1339" s="6" t="s">
        <v>104</v>
      </c>
      <c r="AP1339" s="6" t="s">
        <v>104</v>
      </c>
      <c r="AQ1339" s="6" t="s">
        <v>104</v>
      </c>
      <c r="AR1339" s="6" t="s">
        <v>104</v>
      </c>
      <c r="AS1339" s="6" t="s">
        <v>104</v>
      </c>
      <c r="AT1339" s="6" t="s">
        <v>104</v>
      </c>
      <c r="AU1339" s="6" t="s">
        <v>104</v>
      </c>
      <c r="AV1339" s="6" t="s">
        <v>104</v>
      </c>
      <c r="AW1339" s="6" t="s">
        <v>104</v>
      </c>
      <c r="AX1339" s="6" t="s">
        <v>104</v>
      </c>
      <c r="AY1339" s="6" t="s">
        <v>22958</v>
      </c>
      <c r="AZ1339" s="6" t="s">
        <v>104</v>
      </c>
      <c r="BA1339" s="6" t="s">
        <v>104</v>
      </c>
      <c r="BB1339" s="6" t="s">
        <v>104</v>
      </c>
      <c r="BC1339" s="26"/>
      <c r="BD1339" s="26"/>
      <c r="BE1339" s="26"/>
      <c r="BF1339" s="26"/>
      <c r="BG1339" s="26"/>
      <c r="BH1339" s="26"/>
      <c r="BI1339" s="26"/>
      <c r="BJ1339" s="26"/>
      <c r="BK1339" s="26"/>
      <c r="BL1339" s="26"/>
      <c r="BM1339" s="26"/>
      <c r="BN1339" s="26"/>
      <c r="BO1339" s="26"/>
      <c r="BP1339" s="16" t="n">
        <v>45708</v>
      </c>
      <c r="BQ1339" s="28" t="str">
        <f>HYPERLINK("https://organic.ams.usda.gov/Integrity/Certificate.aspx?cid=74&amp;nopid=5350000299")</f>
        <v>https://organic.ams.usda.gov/Integrity/Certificate.aspx?cid=74&amp;nopid=5350000299</v>
      </c>
    </row>
    <row r="1340">
      <c r="A1340" t="s">
        <v>3</v>
      </c>
      <c r="B1340" s="6" t="s">
        <v>24</v>
      </c>
      <c r="C1340" s="6" t="s">
        <v>90</v>
      </c>
      <c r="D1340" s="6" t="s">
        <v>155</v>
      </c>
      <c r="E1340" s="10" t="s">
        <v>1538</v>
      </c>
      <c r="F1340" s="6" t="s">
        <v>3778</v>
      </c>
      <c r="G1340" s="6" t="s">
        <v>4667</v>
      </c>
      <c r="H1340" s="6" t="s">
        <v>6106</v>
      </c>
      <c r="I1340" s="6" t="s">
        <v>7721</v>
      </c>
      <c r="J1340" s="6" t="s">
        <v>8604</v>
      </c>
      <c r="K1340" s="6" t="s">
        <v>9714</v>
      </c>
      <c r="L1340" s="16" t="n">
        <v>40702</v>
      </c>
      <c r="M1340" s="16" t="n">
        <v>45716</v>
      </c>
      <c r="N1340" s="6" t="s">
        <v>104</v>
      </c>
      <c r="O1340" s="21" t="s">
        <v>104</v>
      </c>
      <c r="P1340" s="6" t="s">
        <v>104</v>
      </c>
      <c r="Q1340" s="6" t="s">
        <v>104</v>
      </c>
      <c r="R1340" s="6" t="s">
        <v>104</v>
      </c>
      <c r="S1340" s="6" t="s">
        <v>104</v>
      </c>
      <c r="T1340" s="21" t="s">
        <v>104</v>
      </c>
      <c r="U1340" s="6" t="s">
        <v>104</v>
      </c>
      <c r="V1340" s="6" t="s">
        <v>104</v>
      </c>
      <c r="W1340" s="6" t="s">
        <v>104</v>
      </c>
      <c r="X1340" s="6" t="s">
        <v>104</v>
      </c>
      <c r="Y1340" s="21" t="s">
        <v>104</v>
      </c>
      <c r="Z1340" s="6" t="s">
        <v>104</v>
      </c>
      <c r="AA1340" s="6" t="s">
        <v>104</v>
      </c>
      <c r="AB1340" s="6" t="s">
        <v>104</v>
      </c>
      <c r="AC1340" s="6" t="s">
        <v>9714</v>
      </c>
      <c r="AD1340" s="16" t="n">
        <v>40702</v>
      </c>
      <c r="AE1340" s="6" t="s">
        <v>11687</v>
      </c>
      <c r="AF1340" s="6" t="s">
        <v>104</v>
      </c>
      <c r="AG1340" s="6" t="s">
        <v>6106</v>
      </c>
      <c r="AH1340" s="6" t="s">
        <v>14375</v>
      </c>
      <c r="AI1340" s="6" t="s">
        <v>104</v>
      </c>
      <c r="AJ1340" s="6" t="s">
        <v>16219</v>
      </c>
      <c r="AK1340" s="6" t="s">
        <v>16690</v>
      </c>
      <c r="AL1340" s="6" t="s">
        <v>16934</v>
      </c>
      <c r="AM1340" s="6" t="s">
        <v>17885</v>
      </c>
      <c r="AN1340" s="6" t="s">
        <v>104</v>
      </c>
      <c r="AO1340" s="6" t="s">
        <v>104</v>
      </c>
      <c r="AP1340" s="6" t="s">
        <v>14375</v>
      </c>
      <c r="AQ1340" s="6" t="s">
        <v>104</v>
      </c>
      <c r="AR1340" s="6" t="s">
        <v>16219</v>
      </c>
      <c r="AS1340" s="6" t="s">
        <v>16690</v>
      </c>
      <c r="AT1340" s="6" t="s">
        <v>16934</v>
      </c>
      <c r="AU1340" s="6" t="s">
        <v>17885</v>
      </c>
      <c r="AV1340" s="6" t="s">
        <v>104</v>
      </c>
      <c r="AW1340" s="6" t="s">
        <v>104</v>
      </c>
      <c r="AX1340" s="6" t="s">
        <v>21163</v>
      </c>
      <c r="AY1340" s="6" t="s">
        <v>22959</v>
      </c>
      <c r="AZ1340" s="6" t="s">
        <v>104</v>
      </c>
      <c r="BA1340" s="6" t="s">
        <v>24262</v>
      </c>
      <c r="BB1340" s="24" t="n">
        <v>0</v>
      </c>
      <c r="BC1340" s="26"/>
      <c r="BD1340" s="26"/>
      <c r="BE1340" s="26"/>
      <c r="BF1340" s="26"/>
      <c r="BG1340" s="26"/>
      <c r="BH1340" s="26"/>
      <c r="BI1340" s="26"/>
      <c r="BJ1340" s="26"/>
      <c r="BK1340" s="26"/>
      <c r="BL1340" s="26"/>
      <c r="BM1340" s="26"/>
      <c r="BN1340" s="26"/>
      <c r="BO1340" s="26"/>
      <c r="BP1340" s="16" t="n">
        <v>45736</v>
      </c>
      <c r="BQ1340" s="28" t="str">
        <f>HYPERLINK("https://organic.ams.usda.gov/Integrity/Certificate.aspx?cid=7&amp;nopid=3950000210")</f>
        <v>https://organic.ams.usda.gov/Integrity/Certificate.aspx?cid=7&amp;nopid=3950000210</v>
      </c>
    </row>
    <row r="1341">
      <c r="A1341" t="s">
        <v>3</v>
      </c>
      <c r="B1341" s="6" t="s">
        <v>41</v>
      </c>
      <c r="C1341" s="6" t="s">
        <v>107</v>
      </c>
      <c r="D1341" s="6" t="s">
        <v>171</v>
      </c>
      <c r="E1341" s="10" t="s">
        <v>1539</v>
      </c>
      <c r="F1341" s="6" t="s">
        <v>3779</v>
      </c>
      <c r="G1341" s="6" t="s">
        <v>4678</v>
      </c>
      <c r="H1341" s="6" t="s">
        <v>6107</v>
      </c>
      <c r="I1341" s="6" t="s">
        <v>6990</v>
      </c>
      <c r="J1341" s="6" t="s">
        <v>8205</v>
      </c>
      <c r="K1341" s="6" t="s">
        <v>9714</v>
      </c>
      <c r="L1341" s="16" t="n">
        <v>42402</v>
      </c>
      <c r="M1341" s="16" t="n">
        <v>45901</v>
      </c>
      <c r="N1341" s="6" t="s">
        <v>104</v>
      </c>
      <c r="O1341" s="21" t="s">
        <v>104</v>
      </c>
      <c r="P1341" s="6" t="s">
        <v>104</v>
      </c>
      <c r="Q1341" s="6" t="s">
        <v>104</v>
      </c>
      <c r="R1341" s="6" t="s">
        <v>104</v>
      </c>
      <c r="S1341" s="6" t="s">
        <v>104</v>
      </c>
      <c r="T1341" s="21" t="s">
        <v>104</v>
      </c>
      <c r="U1341" s="6" t="s">
        <v>104</v>
      </c>
      <c r="V1341" s="6" t="s">
        <v>104</v>
      </c>
      <c r="W1341" s="6" t="s">
        <v>104</v>
      </c>
      <c r="X1341" s="6" t="s">
        <v>104</v>
      </c>
      <c r="Y1341" s="21" t="s">
        <v>104</v>
      </c>
      <c r="Z1341" s="6" t="s">
        <v>104</v>
      </c>
      <c r="AA1341" s="6" t="s">
        <v>104</v>
      </c>
      <c r="AB1341" s="6" t="s">
        <v>104</v>
      </c>
      <c r="AC1341" s="6" t="s">
        <v>9714</v>
      </c>
      <c r="AD1341" s="16" t="n">
        <v>42402</v>
      </c>
      <c r="AE1341" s="6" t="s">
        <v>11688</v>
      </c>
      <c r="AF1341" s="6" t="s">
        <v>104</v>
      </c>
      <c r="AG1341" s="6" t="s">
        <v>104</v>
      </c>
      <c r="AH1341" s="6" t="s">
        <v>14376</v>
      </c>
      <c r="AI1341" s="6" t="s">
        <v>104</v>
      </c>
      <c r="AJ1341" s="6" t="s">
        <v>16220</v>
      </c>
      <c r="AK1341" s="6" t="s">
        <v>16706</v>
      </c>
      <c r="AL1341" s="6" t="s">
        <v>16931</v>
      </c>
      <c r="AM1341" s="6" t="s">
        <v>17886</v>
      </c>
      <c r="AN1341" s="6" t="s">
        <v>18512</v>
      </c>
      <c r="AO1341" s="6" t="s">
        <v>18829</v>
      </c>
      <c r="AP1341" s="6" t="s">
        <v>19306</v>
      </c>
      <c r="AQ1341" s="6" t="s">
        <v>104</v>
      </c>
      <c r="AR1341" s="6" t="s">
        <v>19596</v>
      </c>
      <c r="AS1341" s="6" t="s">
        <v>16706</v>
      </c>
      <c r="AT1341" s="6" t="s">
        <v>16931</v>
      </c>
      <c r="AU1341" s="6" t="s">
        <v>19813</v>
      </c>
      <c r="AV1341" s="6" t="s">
        <v>104</v>
      </c>
      <c r="AW1341" s="6" t="s">
        <v>104</v>
      </c>
      <c r="AX1341" s="6" t="s">
        <v>21164</v>
      </c>
      <c r="AY1341" s="6" t="s">
        <v>21931</v>
      </c>
      <c r="AZ1341" s="6" t="s">
        <v>104</v>
      </c>
      <c r="BA1341" s="6" t="s">
        <v>104</v>
      </c>
      <c r="BB1341" s="6" t="s">
        <v>104</v>
      </c>
      <c r="BC1341" s="26" t="s">
        <v>24533</v>
      </c>
      <c r="BD1341" s="26"/>
      <c r="BE1341" s="26"/>
      <c r="BF1341" s="26"/>
      <c r="BG1341" s="26"/>
      <c r="BH1341" s="26"/>
      <c r="BI1341" s="26"/>
      <c r="BJ1341" s="26"/>
      <c r="BK1341" s="26"/>
      <c r="BL1341" s="26"/>
      <c r="BM1341" s="26"/>
      <c r="BN1341" s="26" t="s">
        <v>24533</v>
      </c>
      <c r="BO1341" s="26"/>
      <c r="BP1341" s="16" t="n">
        <v>45737</v>
      </c>
      <c r="BQ1341" s="28" t="str">
        <f>HYPERLINK("https://organic.ams.usda.gov/Integrity/Certificate.aspx?cid=58&amp;nopid=1600002547")</f>
        <v>https://organic.ams.usda.gov/Integrity/Certificate.aspx?cid=58&amp;nopid=1600002547</v>
      </c>
    </row>
    <row r="1342">
      <c r="A1342" t="s">
        <v>3</v>
      </c>
      <c r="B1342" s="6" t="s">
        <v>38</v>
      </c>
      <c r="C1342" s="6" t="s">
        <v>104</v>
      </c>
      <c r="D1342" s="6" t="s">
        <v>104</v>
      </c>
      <c r="E1342" s="10" t="s">
        <v>1540</v>
      </c>
      <c r="F1342" s="6" t="s">
        <v>3780</v>
      </c>
      <c r="G1342" s="6" t="s">
        <v>4799</v>
      </c>
      <c r="H1342" s="6" t="s">
        <v>6108</v>
      </c>
      <c r="I1342" s="6" t="s">
        <v>7359</v>
      </c>
      <c r="J1342" s="6" t="s">
        <v>9129</v>
      </c>
      <c r="K1342" s="6" t="s">
        <v>9714</v>
      </c>
      <c r="L1342" s="16" t="n">
        <v>44064</v>
      </c>
      <c r="M1342" s="16" t="n">
        <v>45890</v>
      </c>
      <c r="N1342" s="6" t="s">
        <v>104</v>
      </c>
      <c r="O1342" s="21" t="s">
        <v>104</v>
      </c>
      <c r="P1342" s="6" t="s">
        <v>104</v>
      </c>
      <c r="Q1342" s="6" t="s">
        <v>104</v>
      </c>
      <c r="R1342" s="6" t="s">
        <v>104</v>
      </c>
      <c r="S1342" s="6" t="s">
        <v>104</v>
      </c>
      <c r="T1342" s="21" t="s">
        <v>104</v>
      </c>
      <c r="U1342" s="6" t="s">
        <v>104</v>
      </c>
      <c r="V1342" s="6" t="s">
        <v>104</v>
      </c>
      <c r="W1342" s="6" t="s">
        <v>104</v>
      </c>
      <c r="X1342" s="6" t="s">
        <v>104</v>
      </c>
      <c r="Y1342" s="21" t="s">
        <v>104</v>
      </c>
      <c r="Z1342" s="6" t="s">
        <v>104</v>
      </c>
      <c r="AA1342" s="6" t="s">
        <v>104</v>
      </c>
      <c r="AB1342" s="6" t="s">
        <v>104</v>
      </c>
      <c r="AC1342" s="6" t="s">
        <v>9714</v>
      </c>
      <c r="AD1342" s="16" t="n">
        <v>44064</v>
      </c>
      <c r="AE1342" s="6" t="s">
        <v>11689</v>
      </c>
      <c r="AF1342" s="6" t="s">
        <v>104</v>
      </c>
      <c r="AG1342" s="6" t="s">
        <v>12905</v>
      </c>
      <c r="AH1342" s="6" t="s">
        <v>14377</v>
      </c>
      <c r="AI1342" s="6" t="s">
        <v>104</v>
      </c>
      <c r="AJ1342" s="6" t="s">
        <v>16123</v>
      </c>
      <c r="AK1342" s="6" t="s">
        <v>16687</v>
      </c>
      <c r="AL1342" s="6" t="s">
        <v>16931</v>
      </c>
      <c r="AM1342" s="6" t="s">
        <v>17887</v>
      </c>
      <c r="AN1342" s="6" t="s">
        <v>104</v>
      </c>
      <c r="AO1342" s="6" t="s">
        <v>104</v>
      </c>
      <c r="AP1342" s="6" t="s">
        <v>14377</v>
      </c>
      <c r="AQ1342" s="6" t="s">
        <v>104</v>
      </c>
      <c r="AR1342" s="6" t="s">
        <v>16123</v>
      </c>
      <c r="AS1342" s="6" t="s">
        <v>16687</v>
      </c>
      <c r="AT1342" s="6" t="s">
        <v>16931</v>
      </c>
      <c r="AU1342" s="6" t="s">
        <v>17887</v>
      </c>
      <c r="AV1342" s="6" t="s">
        <v>104</v>
      </c>
      <c r="AW1342" s="6" t="s">
        <v>104</v>
      </c>
      <c r="AX1342" s="6" t="s">
        <v>21165</v>
      </c>
      <c r="AY1342" s="6" t="s">
        <v>22960</v>
      </c>
      <c r="AZ1342" s="6" t="s">
        <v>104</v>
      </c>
      <c r="BA1342" s="6" t="s">
        <v>24285</v>
      </c>
      <c r="BB1342" s="6" t="s">
        <v>104</v>
      </c>
      <c r="BC1342" s="26"/>
      <c r="BD1342" s="26"/>
      <c r="BE1342" s="26"/>
      <c r="BF1342" s="26"/>
      <c r="BG1342" s="26"/>
      <c r="BH1342" s="26"/>
      <c r="BI1342" s="26"/>
      <c r="BJ1342" s="26"/>
      <c r="BK1342" s="26"/>
      <c r="BL1342" s="26"/>
      <c r="BM1342" s="26"/>
      <c r="BN1342" s="26"/>
      <c r="BO1342" s="26"/>
      <c r="BP1342" s="16" t="n">
        <v>45733</v>
      </c>
      <c r="BQ1342" s="28" t="str">
        <f>HYPERLINK("")</f>
      </c>
    </row>
    <row r="1343">
      <c r="A1343" t="s">
        <v>3</v>
      </c>
      <c r="B1343" s="6" t="s">
        <v>26</v>
      </c>
      <c r="C1343" s="6" t="s">
        <v>92</v>
      </c>
      <c r="D1343" s="6" t="s">
        <v>157</v>
      </c>
      <c r="E1343" s="10" t="s">
        <v>1541</v>
      </c>
      <c r="F1343" s="6" t="s">
        <v>3781</v>
      </c>
      <c r="G1343" s="6" t="s">
        <v>104</v>
      </c>
      <c r="H1343" s="6" t="s">
        <v>6109</v>
      </c>
      <c r="I1343" s="6" t="s">
        <v>7138</v>
      </c>
      <c r="J1343" s="6" t="s">
        <v>9130</v>
      </c>
      <c r="K1343" s="6" t="s">
        <v>9714</v>
      </c>
      <c r="L1343" s="16" t="n">
        <v>37452</v>
      </c>
      <c r="M1343" s="16" t="n">
        <v>45823</v>
      </c>
      <c r="N1343" s="6" t="s">
        <v>104</v>
      </c>
      <c r="O1343" s="21" t="s">
        <v>104</v>
      </c>
      <c r="P1343" s="6" t="s">
        <v>104</v>
      </c>
      <c r="Q1343" s="6" t="s">
        <v>104</v>
      </c>
      <c r="R1343" s="6" t="s">
        <v>104</v>
      </c>
      <c r="S1343" s="6" t="s">
        <v>104</v>
      </c>
      <c r="T1343" s="21" t="s">
        <v>104</v>
      </c>
      <c r="U1343" s="6" t="s">
        <v>104</v>
      </c>
      <c r="V1343" s="6" t="s">
        <v>104</v>
      </c>
      <c r="W1343" s="6" t="s">
        <v>104</v>
      </c>
      <c r="X1343" s="6" t="s">
        <v>104</v>
      </c>
      <c r="Y1343" s="21" t="s">
        <v>104</v>
      </c>
      <c r="Z1343" s="6" t="s">
        <v>104</v>
      </c>
      <c r="AA1343" s="6" t="s">
        <v>104</v>
      </c>
      <c r="AB1343" s="6" t="s">
        <v>104</v>
      </c>
      <c r="AC1343" s="6" t="s">
        <v>9714</v>
      </c>
      <c r="AD1343" s="16" t="n">
        <v>37452</v>
      </c>
      <c r="AE1343" s="6" t="s">
        <v>11690</v>
      </c>
      <c r="AF1343" s="6" t="s">
        <v>104</v>
      </c>
      <c r="AG1343" s="6" t="s">
        <v>104</v>
      </c>
      <c r="AH1343" s="6" t="s">
        <v>14378</v>
      </c>
      <c r="AI1343" s="6" t="s">
        <v>104</v>
      </c>
      <c r="AJ1343" s="6" t="s">
        <v>16221</v>
      </c>
      <c r="AK1343" s="6" t="s">
        <v>16692</v>
      </c>
      <c r="AL1343" s="6" t="s">
        <v>16931</v>
      </c>
      <c r="AM1343" s="6" t="s">
        <v>17888</v>
      </c>
      <c r="AN1343" s="6" t="s">
        <v>18500</v>
      </c>
      <c r="AO1343" s="6" t="s">
        <v>18830</v>
      </c>
      <c r="AP1343" s="6" t="s">
        <v>19307</v>
      </c>
      <c r="AQ1343" s="6" t="s">
        <v>104</v>
      </c>
      <c r="AR1343" s="6" t="s">
        <v>16221</v>
      </c>
      <c r="AS1343" s="6" t="s">
        <v>16692</v>
      </c>
      <c r="AT1343" s="6" t="s">
        <v>16931</v>
      </c>
      <c r="AU1343" s="6" t="s">
        <v>17888</v>
      </c>
      <c r="AV1343" s="6" t="s">
        <v>104</v>
      </c>
      <c r="AW1343" s="6" t="s">
        <v>104</v>
      </c>
      <c r="AX1343" s="6" t="s">
        <v>21166</v>
      </c>
      <c r="AY1343" s="6" t="s">
        <v>104</v>
      </c>
      <c r="AZ1343" s="6" t="s">
        <v>24022</v>
      </c>
      <c r="BA1343" s="6" t="s">
        <v>104</v>
      </c>
      <c r="BB1343" s="24" t="n">
        <v>0</v>
      </c>
      <c r="BC1343" s="26"/>
      <c r="BD1343" s="26"/>
      <c r="BE1343" s="26"/>
      <c r="BF1343" s="26"/>
      <c r="BG1343" s="26"/>
      <c r="BH1343" s="26"/>
      <c r="BI1343" s="26"/>
      <c r="BJ1343" s="26"/>
      <c r="BK1343" s="26"/>
      <c r="BL1343" s="26"/>
      <c r="BM1343" s="26"/>
      <c r="BN1343" s="26"/>
      <c r="BO1343" s="26"/>
      <c r="BP1343" s="16" t="n">
        <v>45701</v>
      </c>
      <c r="BQ1343" s="28" t="str">
        <f>HYPERLINK("https://organic.ams.usda.gov/Integrity/Certificate.aspx?cid=81&amp;nopid=4210099118")</f>
        <v>https://organic.ams.usda.gov/Integrity/Certificate.aspx?cid=81&amp;nopid=4210099118</v>
      </c>
    </row>
    <row r="1344">
      <c r="A1344" t="s">
        <v>3</v>
      </c>
      <c r="B1344" s="6" t="s">
        <v>21</v>
      </c>
      <c r="C1344" s="6" t="s">
        <v>87</v>
      </c>
      <c r="D1344" s="6" t="s">
        <v>152</v>
      </c>
      <c r="E1344" s="10" t="s">
        <v>1542</v>
      </c>
      <c r="F1344" s="6" t="s">
        <v>3782</v>
      </c>
      <c r="G1344" s="6" t="s">
        <v>104</v>
      </c>
      <c r="H1344" s="6" t="s">
        <v>6110</v>
      </c>
      <c r="I1344" s="6" t="s">
        <v>7722</v>
      </c>
      <c r="J1344" s="6" t="s">
        <v>9131</v>
      </c>
      <c r="K1344" s="6" t="s">
        <v>9714</v>
      </c>
      <c r="L1344" s="16" t="n">
        <v>43891</v>
      </c>
      <c r="M1344" s="16" t="n">
        <v>46023</v>
      </c>
      <c r="N1344" s="6" t="s">
        <v>104</v>
      </c>
      <c r="O1344" s="21" t="s">
        <v>104</v>
      </c>
      <c r="P1344" s="6" t="s">
        <v>104</v>
      </c>
      <c r="Q1344" s="6" t="s">
        <v>104</v>
      </c>
      <c r="R1344" s="6" t="s">
        <v>104</v>
      </c>
      <c r="S1344" s="6" t="s">
        <v>104</v>
      </c>
      <c r="T1344" s="21" t="s">
        <v>104</v>
      </c>
      <c r="U1344" s="6" t="s">
        <v>104</v>
      </c>
      <c r="V1344" s="6" t="s">
        <v>104</v>
      </c>
      <c r="W1344" s="6" t="s">
        <v>104</v>
      </c>
      <c r="X1344" s="6" t="s">
        <v>104</v>
      </c>
      <c r="Y1344" s="21" t="s">
        <v>104</v>
      </c>
      <c r="Z1344" s="6" t="s">
        <v>104</v>
      </c>
      <c r="AA1344" s="6" t="s">
        <v>104</v>
      </c>
      <c r="AB1344" s="6" t="s">
        <v>104</v>
      </c>
      <c r="AC1344" s="6" t="s">
        <v>9714</v>
      </c>
      <c r="AD1344" s="16" t="n">
        <v>43891</v>
      </c>
      <c r="AE1344" s="6" t="s">
        <v>11691</v>
      </c>
      <c r="AF1344" s="6" t="s">
        <v>104</v>
      </c>
      <c r="AG1344" s="6" t="s">
        <v>104</v>
      </c>
      <c r="AH1344" s="6" t="s">
        <v>14379</v>
      </c>
      <c r="AI1344" s="6" t="s">
        <v>104</v>
      </c>
      <c r="AJ1344" s="6" t="s">
        <v>16222</v>
      </c>
      <c r="AK1344" s="6" t="s">
        <v>16791</v>
      </c>
      <c r="AL1344" s="6" t="s">
        <v>16931</v>
      </c>
      <c r="AM1344" s="6" t="s">
        <v>17889</v>
      </c>
      <c r="AN1344" s="6" t="s">
        <v>18492</v>
      </c>
      <c r="AO1344" s="6" t="s">
        <v>18692</v>
      </c>
      <c r="AP1344" s="6" t="s">
        <v>19308</v>
      </c>
      <c r="AQ1344" s="6" t="s">
        <v>104</v>
      </c>
      <c r="AR1344" s="6" t="s">
        <v>16222</v>
      </c>
      <c r="AS1344" s="6" t="s">
        <v>16791</v>
      </c>
      <c r="AT1344" s="6" t="s">
        <v>16931</v>
      </c>
      <c r="AU1344" s="6" t="s">
        <v>19970</v>
      </c>
      <c r="AV1344" s="6" t="s">
        <v>104</v>
      </c>
      <c r="AW1344" s="6" t="s">
        <v>104</v>
      </c>
      <c r="AX1344" s="6" t="s">
        <v>21167</v>
      </c>
      <c r="AY1344" s="6" t="s">
        <v>22961</v>
      </c>
      <c r="AZ1344" s="6" t="s">
        <v>24023</v>
      </c>
      <c r="BA1344" s="6" t="s">
        <v>104</v>
      </c>
      <c r="BB1344" s="6" t="s">
        <v>104</v>
      </c>
      <c r="BC1344" s="26"/>
      <c r="BD1344" s="26"/>
      <c r="BE1344" s="26"/>
      <c r="BF1344" s="26"/>
      <c r="BG1344" s="26"/>
      <c r="BH1344" s="26"/>
      <c r="BI1344" s="26"/>
      <c r="BJ1344" s="26"/>
      <c r="BK1344" s="26"/>
      <c r="BL1344" s="26"/>
      <c r="BM1344" s="26"/>
      <c r="BN1344" s="26"/>
      <c r="BO1344" s="26"/>
      <c r="BP1344" s="16" t="n">
        <v>45667</v>
      </c>
      <c r="BQ1344" s="28" t="str">
        <f>HYPERLINK("https://organic.ams.usda.gov/Integrity/Certificate.aspx?cid=15&amp;nopid=5561005779")</f>
        <v>https://organic.ams.usda.gov/Integrity/Certificate.aspx?cid=15&amp;nopid=5561005779</v>
      </c>
    </row>
    <row r="1345">
      <c r="A1345" t="s">
        <v>3</v>
      </c>
      <c r="B1345" s="6" t="s">
        <v>21</v>
      </c>
      <c r="C1345" s="6" t="s">
        <v>87</v>
      </c>
      <c r="D1345" s="6" t="s">
        <v>152</v>
      </c>
      <c r="E1345" s="10" t="s">
        <v>1543</v>
      </c>
      <c r="F1345" s="6" t="s">
        <v>3783</v>
      </c>
      <c r="G1345" s="6" t="s">
        <v>4800</v>
      </c>
      <c r="H1345" s="6" t="s">
        <v>6111</v>
      </c>
      <c r="I1345" s="6" t="s">
        <v>7335</v>
      </c>
      <c r="J1345" s="6" t="s">
        <v>9132</v>
      </c>
      <c r="K1345" s="6" t="s">
        <v>9714</v>
      </c>
      <c r="L1345" s="16" t="n">
        <v>40578</v>
      </c>
      <c r="M1345" s="16" t="n">
        <v>46023</v>
      </c>
      <c r="N1345" s="6" t="s">
        <v>104</v>
      </c>
      <c r="O1345" s="21" t="s">
        <v>104</v>
      </c>
      <c r="P1345" s="6" t="s">
        <v>104</v>
      </c>
      <c r="Q1345" s="6" t="s">
        <v>104</v>
      </c>
      <c r="R1345" s="6" t="s">
        <v>104</v>
      </c>
      <c r="S1345" s="6" t="s">
        <v>104</v>
      </c>
      <c r="T1345" s="21" t="s">
        <v>104</v>
      </c>
      <c r="U1345" s="6" t="s">
        <v>104</v>
      </c>
      <c r="V1345" s="6" t="s">
        <v>104</v>
      </c>
      <c r="W1345" s="6" t="s">
        <v>104</v>
      </c>
      <c r="X1345" s="6" t="s">
        <v>104</v>
      </c>
      <c r="Y1345" s="21" t="s">
        <v>104</v>
      </c>
      <c r="Z1345" s="6" t="s">
        <v>104</v>
      </c>
      <c r="AA1345" s="6" t="s">
        <v>104</v>
      </c>
      <c r="AB1345" s="6" t="s">
        <v>104</v>
      </c>
      <c r="AC1345" s="6" t="s">
        <v>9714</v>
      </c>
      <c r="AD1345" s="16" t="n">
        <v>40578</v>
      </c>
      <c r="AE1345" s="6" t="s">
        <v>11692</v>
      </c>
      <c r="AF1345" s="6" t="s">
        <v>104</v>
      </c>
      <c r="AG1345" s="6" t="s">
        <v>104</v>
      </c>
      <c r="AH1345" s="6" t="s">
        <v>14380</v>
      </c>
      <c r="AI1345" s="6" t="s">
        <v>104</v>
      </c>
      <c r="AJ1345" s="6" t="s">
        <v>16223</v>
      </c>
      <c r="AK1345" s="6" t="s">
        <v>16687</v>
      </c>
      <c r="AL1345" s="6" t="s">
        <v>16931</v>
      </c>
      <c r="AM1345" s="6" t="s">
        <v>17890</v>
      </c>
      <c r="AN1345" s="6" t="s">
        <v>18506</v>
      </c>
      <c r="AO1345" s="6" t="s">
        <v>18642</v>
      </c>
      <c r="AP1345" s="6" t="s">
        <v>19309</v>
      </c>
      <c r="AQ1345" s="6" t="s">
        <v>104</v>
      </c>
      <c r="AR1345" s="6" t="s">
        <v>19720</v>
      </c>
      <c r="AS1345" s="6" t="s">
        <v>16687</v>
      </c>
      <c r="AT1345" s="6" t="s">
        <v>16931</v>
      </c>
      <c r="AU1345" s="6" t="s">
        <v>19971</v>
      </c>
      <c r="AV1345" s="6" t="s">
        <v>104</v>
      </c>
      <c r="AW1345" s="6" t="s">
        <v>104</v>
      </c>
      <c r="AX1345" s="6" t="s">
        <v>21168</v>
      </c>
      <c r="AY1345" s="6" t="s">
        <v>22962</v>
      </c>
      <c r="AZ1345" s="6" t="s">
        <v>24024</v>
      </c>
      <c r="BA1345" s="6" t="s">
        <v>24435</v>
      </c>
      <c r="BB1345" s="6" t="s">
        <v>104</v>
      </c>
      <c r="BC1345" s="26" t="s">
        <v>24533</v>
      </c>
      <c r="BD1345" s="26"/>
      <c r="BE1345" s="26"/>
      <c r="BF1345" s="26"/>
      <c r="BG1345" s="26"/>
      <c r="BH1345" s="26"/>
      <c r="BI1345" s="26"/>
      <c r="BJ1345" s="26"/>
      <c r="BK1345" s="26"/>
      <c r="BL1345" s="26"/>
      <c r="BM1345" s="26"/>
      <c r="BN1345" s="26"/>
      <c r="BO1345" s="26"/>
      <c r="BP1345" s="16" t="n">
        <v>45686</v>
      </c>
      <c r="BQ1345" s="28" t="str">
        <f>HYPERLINK("https://organic.ams.usda.gov/Integrity/Certificate.aspx?cid=15&amp;nopid=5561002560")</f>
        <v>https://organic.ams.usda.gov/Integrity/Certificate.aspx?cid=15&amp;nopid=5561002560</v>
      </c>
    </row>
    <row r="1346">
      <c r="A1346" t="s">
        <v>3</v>
      </c>
      <c r="B1346" s="6" t="s">
        <v>50</v>
      </c>
      <c r="C1346" s="6" t="s">
        <v>116</v>
      </c>
      <c r="D1346" s="6" t="s">
        <v>180</v>
      </c>
      <c r="E1346" s="10" t="s">
        <v>1544</v>
      </c>
      <c r="F1346" s="6" t="s">
        <v>3784</v>
      </c>
      <c r="G1346" s="6" t="s">
        <v>104</v>
      </c>
      <c r="H1346" s="6" t="s">
        <v>6112</v>
      </c>
      <c r="I1346" s="6" t="s">
        <v>7343</v>
      </c>
      <c r="J1346" s="6" t="s">
        <v>9133</v>
      </c>
      <c r="K1346" s="6" t="s">
        <v>9714</v>
      </c>
      <c r="L1346" s="16" t="n">
        <v>42790</v>
      </c>
      <c r="M1346" s="16" t="n">
        <v>46054</v>
      </c>
      <c r="N1346" s="6" t="s">
        <v>104</v>
      </c>
      <c r="O1346" s="21" t="s">
        <v>104</v>
      </c>
      <c r="P1346" s="6" t="s">
        <v>104</v>
      </c>
      <c r="Q1346" s="6" t="s">
        <v>104</v>
      </c>
      <c r="R1346" s="6" t="s">
        <v>104</v>
      </c>
      <c r="S1346" s="6" t="s">
        <v>104</v>
      </c>
      <c r="T1346" s="21" t="s">
        <v>104</v>
      </c>
      <c r="U1346" s="6" t="s">
        <v>104</v>
      </c>
      <c r="V1346" s="6" t="s">
        <v>104</v>
      </c>
      <c r="W1346" s="6" t="s">
        <v>104</v>
      </c>
      <c r="X1346" s="6" t="s">
        <v>104</v>
      </c>
      <c r="Y1346" s="21" t="s">
        <v>104</v>
      </c>
      <c r="Z1346" s="6" t="s">
        <v>104</v>
      </c>
      <c r="AA1346" s="6" t="s">
        <v>104</v>
      </c>
      <c r="AB1346" s="6" t="s">
        <v>104</v>
      </c>
      <c r="AC1346" s="6" t="s">
        <v>9714</v>
      </c>
      <c r="AD1346" s="16" t="n">
        <v>42790</v>
      </c>
      <c r="AE1346" s="6" t="s">
        <v>11693</v>
      </c>
      <c r="AF1346" s="6" t="s">
        <v>104</v>
      </c>
      <c r="AG1346" s="6" t="s">
        <v>6112</v>
      </c>
      <c r="AH1346" s="6" t="s">
        <v>14381</v>
      </c>
      <c r="AI1346" s="6" t="s">
        <v>104</v>
      </c>
      <c r="AJ1346" s="6" t="s">
        <v>16224</v>
      </c>
      <c r="AK1346" s="6" t="s">
        <v>16745</v>
      </c>
      <c r="AL1346" s="6" t="s">
        <v>16931</v>
      </c>
      <c r="AM1346" s="6" t="s">
        <v>17891</v>
      </c>
      <c r="AN1346" s="6" t="s">
        <v>18472</v>
      </c>
      <c r="AO1346" s="6" t="s">
        <v>18650</v>
      </c>
      <c r="AP1346" s="6" t="s">
        <v>14381</v>
      </c>
      <c r="AQ1346" s="6" t="s">
        <v>104</v>
      </c>
      <c r="AR1346" s="6" t="s">
        <v>16224</v>
      </c>
      <c r="AS1346" s="6" t="s">
        <v>16745</v>
      </c>
      <c r="AT1346" s="6" t="s">
        <v>16931</v>
      </c>
      <c r="AU1346" s="6" t="s">
        <v>17891</v>
      </c>
      <c r="AV1346" s="6" t="s">
        <v>104</v>
      </c>
      <c r="AW1346" s="6" t="s">
        <v>104</v>
      </c>
      <c r="AX1346" s="6" t="s">
        <v>21169</v>
      </c>
      <c r="AY1346" s="6" t="s">
        <v>22963</v>
      </c>
      <c r="AZ1346" s="6" t="s">
        <v>24025</v>
      </c>
      <c r="BA1346" s="6" t="s">
        <v>104</v>
      </c>
      <c r="BB1346" s="24" t="n">
        <v>0</v>
      </c>
      <c r="BC1346" s="26"/>
      <c r="BD1346" s="26"/>
      <c r="BE1346" s="26"/>
      <c r="BF1346" s="26"/>
      <c r="BG1346" s="26"/>
      <c r="BH1346" s="26"/>
      <c r="BI1346" s="26"/>
      <c r="BJ1346" s="26"/>
      <c r="BK1346" s="26"/>
      <c r="BL1346" s="26"/>
      <c r="BM1346" s="26"/>
      <c r="BN1346" s="26"/>
      <c r="BO1346" s="26"/>
      <c r="BP1346" s="16" t="n">
        <v>45699</v>
      </c>
      <c r="BQ1346" s="28" t="str">
        <f>HYPERLINK("https://organic.ams.usda.gov/Integrity/Certificate.aspx?cid=80&amp;nopid=5090311751")</f>
        <v>https://organic.ams.usda.gov/Integrity/Certificate.aspx?cid=80&amp;nopid=5090311751</v>
      </c>
    </row>
    <row r="1347">
      <c r="A1347" t="s">
        <v>3</v>
      </c>
      <c r="B1347" s="6" t="s">
        <v>34</v>
      </c>
      <c r="C1347" s="6" t="s">
        <v>100</v>
      </c>
      <c r="D1347" s="6" t="s">
        <v>165</v>
      </c>
      <c r="E1347" s="10" t="s">
        <v>1545</v>
      </c>
      <c r="F1347" s="6" t="s">
        <v>3785</v>
      </c>
      <c r="G1347" s="6" t="s">
        <v>104</v>
      </c>
      <c r="H1347" s="6" t="s">
        <v>6113</v>
      </c>
      <c r="I1347" s="6" t="s">
        <v>7723</v>
      </c>
      <c r="J1347" s="6" t="s">
        <v>9134</v>
      </c>
      <c r="K1347" s="6" t="s">
        <v>9714</v>
      </c>
      <c r="L1347" s="16" t="n">
        <v>41088</v>
      </c>
      <c r="M1347" s="16" t="n">
        <v>45947</v>
      </c>
      <c r="N1347" s="6" t="s">
        <v>104</v>
      </c>
      <c r="O1347" s="21" t="s">
        <v>104</v>
      </c>
      <c r="P1347" s="6" t="s">
        <v>104</v>
      </c>
      <c r="Q1347" s="6" t="s">
        <v>104</v>
      </c>
      <c r="R1347" s="6" t="s">
        <v>104</v>
      </c>
      <c r="S1347" s="6" t="s">
        <v>104</v>
      </c>
      <c r="T1347" s="21" t="s">
        <v>104</v>
      </c>
      <c r="U1347" s="6" t="s">
        <v>104</v>
      </c>
      <c r="V1347" s="6" t="s">
        <v>104</v>
      </c>
      <c r="W1347" s="6" t="s">
        <v>104</v>
      </c>
      <c r="X1347" s="6" t="s">
        <v>104</v>
      </c>
      <c r="Y1347" s="21" t="s">
        <v>104</v>
      </c>
      <c r="Z1347" s="6" t="s">
        <v>104</v>
      </c>
      <c r="AA1347" s="6" t="s">
        <v>104</v>
      </c>
      <c r="AB1347" s="6" t="s">
        <v>104</v>
      </c>
      <c r="AC1347" s="6" t="s">
        <v>9714</v>
      </c>
      <c r="AD1347" s="16" t="n">
        <v>41088</v>
      </c>
      <c r="AE1347" s="6" t="s">
        <v>11694</v>
      </c>
      <c r="AF1347" s="6" t="s">
        <v>104</v>
      </c>
      <c r="AG1347" s="6" t="s">
        <v>12906</v>
      </c>
      <c r="AH1347" s="6" t="s">
        <v>14382</v>
      </c>
      <c r="AI1347" s="6" t="s">
        <v>104</v>
      </c>
      <c r="AJ1347" s="6" t="s">
        <v>16225</v>
      </c>
      <c r="AK1347" s="6" t="s">
        <v>16735</v>
      </c>
      <c r="AL1347" s="6" t="s">
        <v>16931</v>
      </c>
      <c r="AM1347" s="6" t="s">
        <v>17892</v>
      </c>
      <c r="AN1347" s="6" t="s">
        <v>104</v>
      </c>
      <c r="AO1347" s="6" t="s">
        <v>104</v>
      </c>
      <c r="AP1347" s="6" t="s">
        <v>14382</v>
      </c>
      <c r="AQ1347" s="6" t="s">
        <v>104</v>
      </c>
      <c r="AR1347" s="6" t="s">
        <v>16225</v>
      </c>
      <c r="AS1347" s="6" t="s">
        <v>16735</v>
      </c>
      <c r="AT1347" s="6" t="s">
        <v>16931</v>
      </c>
      <c r="AU1347" s="6" t="s">
        <v>17892</v>
      </c>
      <c r="AV1347" s="6" t="s">
        <v>104</v>
      </c>
      <c r="AW1347" s="6" t="s">
        <v>104</v>
      </c>
      <c r="AX1347" s="6" t="s">
        <v>21170</v>
      </c>
      <c r="AY1347" s="6" t="s">
        <v>22964</v>
      </c>
      <c r="AZ1347" s="6" t="s">
        <v>104</v>
      </c>
      <c r="BA1347" s="6" t="s">
        <v>104</v>
      </c>
      <c r="BB1347" s="6" t="s">
        <v>104</v>
      </c>
      <c r="BC1347" s="26"/>
      <c r="BD1347" s="26"/>
      <c r="BE1347" s="26"/>
      <c r="BF1347" s="26"/>
      <c r="BG1347" s="26" t="s">
        <v>24533</v>
      </c>
      <c r="BH1347" s="26"/>
      <c r="BI1347" s="26"/>
      <c r="BJ1347" s="26"/>
      <c r="BK1347" s="26"/>
      <c r="BL1347" s="26"/>
      <c r="BM1347" s="26"/>
      <c r="BN1347" s="26"/>
      <c r="BO1347" s="26"/>
      <c r="BP1347" s="16" t="n">
        <v>45737</v>
      </c>
      <c r="BQ1347" s="28" t="str">
        <f>HYPERLINK("https://organic.ams.usda.gov/Integrity/Certificate.aspx?cid=71&amp;nopid=5520031575")</f>
        <v>https://organic.ams.usda.gov/Integrity/Certificate.aspx?cid=71&amp;nopid=5520031575</v>
      </c>
    </row>
    <row r="1348">
      <c r="A1348" t="s">
        <v>3</v>
      </c>
      <c r="B1348" s="6" t="s">
        <v>13</v>
      </c>
      <c r="C1348" s="6" t="s">
        <v>79</v>
      </c>
      <c r="D1348" s="6" t="s">
        <v>144</v>
      </c>
      <c r="E1348" s="10" t="s">
        <v>1546</v>
      </c>
      <c r="F1348" s="6" t="s">
        <v>3786</v>
      </c>
      <c r="G1348" s="6" t="s">
        <v>104</v>
      </c>
      <c r="H1348" s="6" t="s">
        <v>6114</v>
      </c>
      <c r="I1348" s="6" t="s">
        <v>7636</v>
      </c>
      <c r="J1348" s="6" t="s">
        <v>9135</v>
      </c>
      <c r="K1348" s="6" t="s">
        <v>9714</v>
      </c>
      <c r="L1348" s="16" t="n">
        <v>37540</v>
      </c>
      <c r="M1348" s="16" t="n">
        <v>46023</v>
      </c>
      <c r="N1348" s="6" t="s">
        <v>104</v>
      </c>
      <c r="O1348" s="21" t="s">
        <v>104</v>
      </c>
      <c r="P1348" s="6" t="s">
        <v>104</v>
      </c>
      <c r="Q1348" s="6" t="s">
        <v>104</v>
      </c>
      <c r="R1348" s="6" t="s">
        <v>104</v>
      </c>
      <c r="S1348" s="6" t="s">
        <v>104</v>
      </c>
      <c r="T1348" s="21" t="s">
        <v>104</v>
      </c>
      <c r="U1348" s="6" t="s">
        <v>104</v>
      </c>
      <c r="V1348" s="6" t="s">
        <v>104</v>
      </c>
      <c r="W1348" s="6" t="s">
        <v>104</v>
      </c>
      <c r="X1348" s="6" t="s">
        <v>104</v>
      </c>
      <c r="Y1348" s="21" t="s">
        <v>104</v>
      </c>
      <c r="Z1348" s="6" t="s">
        <v>104</v>
      </c>
      <c r="AA1348" s="6" t="s">
        <v>104</v>
      </c>
      <c r="AB1348" s="6" t="s">
        <v>104</v>
      </c>
      <c r="AC1348" s="6" t="s">
        <v>9714</v>
      </c>
      <c r="AD1348" s="16" t="n">
        <v>37540</v>
      </c>
      <c r="AE1348" s="6" t="s">
        <v>11695</v>
      </c>
      <c r="AF1348" s="6" t="s">
        <v>104</v>
      </c>
      <c r="AG1348" s="6" t="s">
        <v>104</v>
      </c>
      <c r="AH1348" s="6" t="s">
        <v>104</v>
      </c>
      <c r="AI1348" s="6" t="s">
        <v>104</v>
      </c>
      <c r="AJ1348" s="6" t="s">
        <v>104</v>
      </c>
      <c r="AK1348" s="6" t="s">
        <v>104</v>
      </c>
      <c r="AL1348" s="6" t="s">
        <v>104</v>
      </c>
      <c r="AM1348" s="6" t="s">
        <v>104</v>
      </c>
      <c r="AN1348" s="6" t="s">
        <v>104</v>
      </c>
      <c r="AO1348" s="6" t="s">
        <v>104</v>
      </c>
      <c r="AP1348" s="6" t="s">
        <v>19310</v>
      </c>
      <c r="AQ1348" s="6" t="s">
        <v>104</v>
      </c>
      <c r="AR1348" s="6" t="s">
        <v>8077</v>
      </c>
      <c r="AS1348" s="6" t="s">
        <v>16705</v>
      </c>
      <c r="AT1348" s="6" t="s">
        <v>16931</v>
      </c>
      <c r="AU1348" s="6" t="s">
        <v>19972</v>
      </c>
      <c r="AV1348" s="6" t="s">
        <v>18486</v>
      </c>
      <c r="AW1348" s="6" t="s">
        <v>18599</v>
      </c>
      <c r="AX1348" s="6" t="s">
        <v>21171</v>
      </c>
      <c r="AY1348" s="6" t="s">
        <v>22965</v>
      </c>
      <c r="AZ1348" s="6" t="s">
        <v>24026</v>
      </c>
      <c r="BA1348" s="6" t="s">
        <v>104</v>
      </c>
      <c r="BB1348" s="6" t="s">
        <v>104</v>
      </c>
      <c r="BC1348" s="26"/>
      <c r="BD1348" s="26"/>
      <c r="BE1348" s="26"/>
      <c r="BF1348" s="26"/>
      <c r="BG1348" s="26"/>
      <c r="BH1348" s="26"/>
      <c r="BI1348" s="26"/>
      <c r="BJ1348" s="26"/>
      <c r="BK1348" s="26"/>
      <c r="BL1348" s="26"/>
      <c r="BM1348" s="26"/>
      <c r="BN1348" s="26"/>
      <c r="BO1348" s="26"/>
      <c r="BP1348" s="16" t="n">
        <v>45720</v>
      </c>
      <c r="BQ1348" s="28" t="str">
        <f>HYPERLINK("https://organic.ams.usda.gov/Integrity/Certificate.aspx?cid=62&amp;nopid=8150001085")</f>
        <v>https://organic.ams.usda.gov/Integrity/Certificate.aspx?cid=62&amp;nopid=8150001085</v>
      </c>
    </row>
    <row r="1349">
      <c r="A1349" t="s">
        <v>3</v>
      </c>
      <c r="B1349" s="6" t="s">
        <v>9</v>
      </c>
      <c r="C1349" s="6" t="s">
        <v>75</v>
      </c>
      <c r="D1349" s="6" t="s">
        <v>140</v>
      </c>
      <c r="E1349" s="10" t="s">
        <v>1547</v>
      </c>
      <c r="F1349" s="6" t="s">
        <v>3787</v>
      </c>
      <c r="G1349" s="6" t="s">
        <v>104</v>
      </c>
      <c r="H1349" s="6" t="s">
        <v>6115</v>
      </c>
      <c r="I1349" s="6" t="s">
        <v>7617</v>
      </c>
      <c r="J1349" s="6" t="s">
        <v>9136</v>
      </c>
      <c r="K1349" s="6" t="s">
        <v>9714</v>
      </c>
      <c r="L1349" s="16" t="n">
        <v>38657</v>
      </c>
      <c r="M1349" s="16" t="n">
        <v>45962</v>
      </c>
      <c r="N1349" s="6" t="s">
        <v>104</v>
      </c>
      <c r="O1349" s="21" t="s">
        <v>104</v>
      </c>
      <c r="P1349" s="6" t="s">
        <v>104</v>
      </c>
      <c r="Q1349" s="6" t="s">
        <v>104</v>
      </c>
      <c r="R1349" s="6" t="s">
        <v>104</v>
      </c>
      <c r="S1349" s="6" t="s">
        <v>104</v>
      </c>
      <c r="T1349" s="21" t="s">
        <v>104</v>
      </c>
      <c r="U1349" s="6" t="s">
        <v>104</v>
      </c>
      <c r="V1349" s="6" t="s">
        <v>104</v>
      </c>
      <c r="W1349" s="6" t="s">
        <v>104</v>
      </c>
      <c r="X1349" s="6" t="s">
        <v>104</v>
      </c>
      <c r="Y1349" s="21" t="s">
        <v>104</v>
      </c>
      <c r="Z1349" s="6" t="s">
        <v>104</v>
      </c>
      <c r="AA1349" s="6" t="s">
        <v>104</v>
      </c>
      <c r="AB1349" s="6" t="s">
        <v>104</v>
      </c>
      <c r="AC1349" s="6" t="s">
        <v>9714</v>
      </c>
      <c r="AD1349" s="16" t="n">
        <v>38657</v>
      </c>
      <c r="AE1349" s="6" t="s">
        <v>11696</v>
      </c>
      <c r="AF1349" s="6" t="s">
        <v>104</v>
      </c>
      <c r="AG1349" s="6" t="s">
        <v>12907</v>
      </c>
      <c r="AH1349" s="6" t="s">
        <v>14383</v>
      </c>
      <c r="AI1349" s="6" t="s">
        <v>104</v>
      </c>
      <c r="AJ1349" s="6" t="s">
        <v>16226</v>
      </c>
      <c r="AK1349" s="6" t="s">
        <v>16687</v>
      </c>
      <c r="AL1349" s="6" t="s">
        <v>16931</v>
      </c>
      <c r="AM1349" s="6" t="s">
        <v>17893</v>
      </c>
      <c r="AN1349" s="6" t="s">
        <v>104</v>
      </c>
      <c r="AO1349" s="6" t="s">
        <v>104</v>
      </c>
      <c r="AP1349" s="6" t="s">
        <v>104</v>
      </c>
      <c r="AQ1349" s="6" t="s">
        <v>104</v>
      </c>
      <c r="AR1349" s="6" t="s">
        <v>104</v>
      </c>
      <c r="AS1349" s="6" t="s">
        <v>104</v>
      </c>
      <c r="AT1349" s="6" t="s">
        <v>104</v>
      </c>
      <c r="AU1349" s="6" t="s">
        <v>104</v>
      </c>
      <c r="AV1349" s="6" t="s">
        <v>104</v>
      </c>
      <c r="AW1349" s="6" t="s">
        <v>104</v>
      </c>
      <c r="AX1349" s="6" t="s">
        <v>21172</v>
      </c>
      <c r="AY1349" s="6" t="s">
        <v>22966</v>
      </c>
      <c r="AZ1349" s="6" t="s">
        <v>104</v>
      </c>
      <c r="BA1349" s="6" t="s">
        <v>104</v>
      </c>
      <c r="BB1349" s="6" t="s">
        <v>104</v>
      </c>
      <c r="BC1349" s="26"/>
      <c r="BD1349" s="26"/>
      <c r="BE1349" s="26"/>
      <c r="BF1349" s="26"/>
      <c r="BG1349" s="26"/>
      <c r="BH1349" s="26"/>
      <c r="BI1349" s="26"/>
      <c r="BJ1349" s="26"/>
      <c r="BK1349" s="26"/>
      <c r="BL1349" s="26"/>
      <c r="BM1349" s="26"/>
      <c r="BN1349" s="26"/>
      <c r="BO1349" s="26"/>
      <c r="BP1349" s="16" t="n">
        <v>45600</v>
      </c>
      <c r="BQ1349" s="28" t="str">
        <f>HYPERLINK("https://organic.ams.usda.gov/Integrity/Certificate.aspx?cid=63&amp;nopid=6220005090")</f>
        <v>https://organic.ams.usda.gov/Integrity/Certificate.aspx?cid=63&amp;nopid=6220005090</v>
      </c>
    </row>
    <row r="1350">
      <c r="A1350" t="s">
        <v>3</v>
      </c>
      <c r="B1350" s="6" t="s">
        <v>41</v>
      </c>
      <c r="C1350" s="6" t="s">
        <v>107</v>
      </c>
      <c r="D1350" s="6" t="s">
        <v>171</v>
      </c>
      <c r="E1350" s="10" t="s">
        <v>1548</v>
      </c>
      <c r="F1350" s="6" t="s">
        <v>3788</v>
      </c>
      <c r="G1350" s="6" t="s">
        <v>4801</v>
      </c>
      <c r="H1350" s="6" t="s">
        <v>6116</v>
      </c>
      <c r="I1350" s="6" t="s">
        <v>7348</v>
      </c>
      <c r="J1350" s="6" t="s">
        <v>9137</v>
      </c>
      <c r="K1350" s="6" t="s">
        <v>9714</v>
      </c>
      <c r="L1350" s="16" t="n">
        <v>42857</v>
      </c>
      <c r="M1350" s="16" t="n">
        <v>45792</v>
      </c>
      <c r="N1350" s="6" t="s">
        <v>9714</v>
      </c>
      <c r="O1350" s="16" t="n">
        <v>42857</v>
      </c>
      <c r="P1350" s="6" t="s">
        <v>10101</v>
      </c>
      <c r="Q1350" s="6" t="s">
        <v>104</v>
      </c>
      <c r="R1350" s="6" t="s">
        <v>104</v>
      </c>
      <c r="S1350" s="6" t="s">
        <v>9714</v>
      </c>
      <c r="T1350" s="16" t="n">
        <v>42857</v>
      </c>
      <c r="U1350" s="6" t="s">
        <v>10477</v>
      </c>
      <c r="V1350" s="6" t="s">
        <v>104</v>
      </c>
      <c r="W1350" s="6" t="s">
        <v>104</v>
      </c>
      <c r="X1350" s="6" t="s">
        <v>104</v>
      </c>
      <c r="Y1350" s="21" t="s">
        <v>104</v>
      </c>
      <c r="Z1350" s="6" t="s">
        <v>104</v>
      </c>
      <c r="AA1350" s="6" t="s">
        <v>104</v>
      </c>
      <c r="AB1350" s="6" t="s">
        <v>104</v>
      </c>
      <c r="AC1350" s="6" t="s">
        <v>9714</v>
      </c>
      <c r="AD1350" s="16" t="n">
        <v>42857</v>
      </c>
      <c r="AE1350" s="6" t="s">
        <v>11697</v>
      </c>
      <c r="AF1350" s="6" t="s">
        <v>104</v>
      </c>
      <c r="AG1350" s="6" t="s">
        <v>104</v>
      </c>
      <c r="AH1350" s="6" t="s">
        <v>14384</v>
      </c>
      <c r="AI1350" s="6" t="s">
        <v>104</v>
      </c>
      <c r="AJ1350" s="6" t="s">
        <v>16227</v>
      </c>
      <c r="AK1350" s="6" t="s">
        <v>16706</v>
      </c>
      <c r="AL1350" s="6" t="s">
        <v>16931</v>
      </c>
      <c r="AM1350" s="6" t="s">
        <v>17894</v>
      </c>
      <c r="AN1350" s="6" t="s">
        <v>18485</v>
      </c>
      <c r="AO1350" s="6" t="s">
        <v>18828</v>
      </c>
      <c r="AP1350" s="6" t="s">
        <v>14384</v>
      </c>
      <c r="AQ1350" s="6" t="s">
        <v>104</v>
      </c>
      <c r="AR1350" s="6" t="s">
        <v>16227</v>
      </c>
      <c r="AS1350" s="6" t="s">
        <v>16706</v>
      </c>
      <c r="AT1350" s="6" t="s">
        <v>16931</v>
      </c>
      <c r="AU1350" s="6" t="s">
        <v>17894</v>
      </c>
      <c r="AV1350" s="6" t="s">
        <v>104</v>
      </c>
      <c r="AW1350" s="6" t="s">
        <v>104</v>
      </c>
      <c r="AX1350" s="6" t="s">
        <v>21173</v>
      </c>
      <c r="AY1350" s="6" t="s">
        <v>22967</v>
      </c>
      <c r="AZ1350" s="6" t="s">
        <v>24027</v>
      </c>
      <c r="BA1350" s="6" t="s">
        <v>104</v>
      </c>
      <c r="BB1350" s="24" t="n">
        <v>26</v>
      </c>
      <c r="BC1350" s="26"/>
      <c r="BD1350" s="26"/>
      <c r="BE1350" s="26"/>
      <c r="BF1350" s="26"/>
      <c r="BG1350" s="26"/>
      <c r="BH1350" s="26"/>
      <c r="BI1350" s="26"/>
      <c r="BJ1350" s="26"/>
      <c r="BK1350" s="26" t="s">
        <v>24533</v>
      </c>
      <c r="BL1350" s="26"/>
      <c r="BM1350" s="26"/>
      <c r="BN1350" s="26"/>
      <c r="BO1350" s="26"/>
      <c r="BP1350" s="16" t="n">
        <v>45737</v>
      </c>
      <c r="BQ1350" s="28" t="str">
        <f>HYPERLINK("https://organic.ams.usda.gov/Integrity/Certificate.aspx?cid=58&amp;nopid=1600002941")</f>
        <v>https://organic.ams.usda.gov/Integrity/Certificate.aspx?cid=58&amp;nopid=1600002941</v>
      </c>
    </row>
    <row r="1351">
      <c r="A1351" t="s">
        <v>3</v>
      </c>
      <c r="B1351" s="6" t="s">
        <v>18</v>
      </c>
      <c r="C1351" s="6" t="s">
        <v>84</v>
      </c>
      <c r="D1351" s="6" t="s">
        <v>149</v>
      </c>
      <c r="E1351" s="10" t="s">
        <v>1549</v>
      </c>
      <c r="F1351" s="6" t="s">
        <v>3789</v>
      </c>
      <c r="G1351" s="6" t="s">
        <v>104</v>
      </c>
      <c r="H1351" s="6" t="s">
        <v>6117</v>
      </c>
      <c r="I1351" s="6" t="s">
        <v>7724</v>
      </c>
      <c r="J1351" s="6" t="s">
        <v>9138</v>
      </c>
      <c r="K1351" s="6" t="s">
        <v>9714</v>
      </c>
      <c r="L1351" s="16" t="n">
        <v>43794</v>
      </c>
      <c r="M1351" s="16" t="n">
        <v>45962</v>
      </c>
      <c r="N1351" s="6" t="s">
        <v>104</v>
      </c>
      <c r="O1351" s="21" t="s">
        <v>104</v>
      </c>
      <c r="P1351" s="6" t="s">
        <v>104</v>
      </c>
      <c r="Q1351" s="6" t="s">
        <v>104</v>
      </c>
      <c r="R1351" s="6" t="s">
        <v>104</v>
      </c>
      <c r="S1351" s="6" t="s">
        <v>104</v>
      </c>
      <c r="T1351" s="21" t="s">
        <v>104</v>
      </c>
      <c r="U1351" s="6" t="s">
        <v>104</v>
      </c>
      <c r="V1351" s="6" t="s">
        <v>104</v>
      </c>
      <c r="W1351" s="6" t="s">
        <v>104</v>
      </c>
      <c r="X1351" s="6" t="s">
        <v>104</v>
      </c>
      <c r="Y1351" s="21" t="s">
        <v>104</v>
      </c>
      <c r="Z1351" s="6" t="s">
        <v>104</v>
      </c>
      <c r="AA1351" s="6" t="s">
        <v>104</v>
      </c>
      <c r="AB1351" s="6" t="s">
        <v>104</v>
      </c>
      <c r="AC1351" s="6" t="s">
        <v>9714</v>
      </c>
      <c r="AD1351" s="16" t="n">
        <v>43794</v>
      </c>
      <c r="AE1351" s="6" t="s">
        <v>11698</v>
      </c>
      <c r="AF1351" s="6" t="s">
        <v>104</v>
      </c>
      <c r="AG1351" s="6" t="s">
        <v>12908</v>
      </c>
      <c r="AH1351" s="6" t="s">
        <v>14385</v>
      </c>
      <c r="AI1351" s="6" t="s">
        <v>104</v>
      </c>
      <c r="AJ1351" s="6" t="s">
        <v>16228</v>
      </c>
      <c r="AK1351" s="6" t="s">
        <v>16710</v>
      </c>
      <c r="AL1351" s="6" t="s">
        <v>16931</v>
      </c>
      <c r="AM1351" s="6" t="s">
        <v>17895</v>
      </c>
      <c r="AN1351" s="6" t="s">
        <v>18510</v>
      </c>
      <c r="AO1351" s="6" t="s">
        <v>18746</v>
      </c>
      <c r="AP1351" s="6" t="s">
        <v>104</v>
      </c>
      <c r="AQ1351" s="6" t="s">
        <v>104</v>
      </c>
      <c r="AR1351" s="6" t="s">
        <v>104</v>
      </c>
      <c r="AS1351" s="6" t="s">
        <v>104</v>
      </c>
      <c r="AT1351" s="6" t="s">
        <v>104</v>
      </c>
      <c r="AU1351" s="6" t="s">
        <v>104</v>
      </c>
      <c r="AV1351" s="6" t="s">
        <v>104</v>
      </c>
      <c r="AW1351" s="6" t="s">
        <v>104</v>
      </c>
      <c r="AX1351" s="6" t="s">
        <v>21174</v>
      </c>
      <c r="AY1351" s="6" t="s">
        <v>22968</v>
      </c>
      <c r="AZ1351" s="6" t="s">
        <v>104</v>
      </c>
      <c r="BA1351" s="6" t="s">
        <v>104</v>
      </c>
      <c r="BB1351" s="6" t="s">
        <v>104</v>
      </c>
      <c r="BC1351" s="26"/>
      <c r="BD1351" s="26"/>
      <c r="BE1351" s="26"/>
      <c r="BF1351" s="26"/>
      <c r="BG1351" s="26"/>
      <c r="BH1351" s="26"/>
      <c r="BI1351" s="26"/>
      <c r="BJ1351" s="26"/>
      <c r="BK1351" s="26"/>
      <c r="BL1351" s="26"/>
      <c r="BM1351" s="26"/>
      <c r="BN1351" s="26"/>
      <c r="BO1351" s="26"/>
      <c r="BP1351" s="16" t="n">
        <v>45737</v>
      </c>
      <c r="BQ1351" s="28" t="str">
        <f>HYPERLINK("https://organic.ams.usda.gov/Integrity/Certificate.aspx?cid=31&amp;nopid=3928972078")</f>
        <v>https://organic.ams.usda.gov/Integrity/Certificate.aspx?cid=31&amp;nopid=3928972078</v>
      </c>
    </row>
    <row r="1352">
      <c r="A1352" t="s">
        <v>3</v>
      </c>
      <c r="B1352" s="6" t="s">
        <v>49</v>
      </c>
      <c r="C1352" s="6" t="s">
        <v>115</v>
      </c>
      <c r="D1352" s="6" t="s">
        <v>179</v>
      </c>
      <c r="E1352" s="10" t="s">
        <v>1550</v>
      </c>
      <c r="F1352" s="6" t="s">
        <v>3790</v>
      </c>
      <c r="G1352" s="6" t="s">
        <v>104</v>
      </c>
      <c r="H1352" s="6" t="s">
        <v>6118</v>
      </c>
      <c r="I1352" s="6" t="s">
        <v>104</v>
      </c>
      <c r="J1352" s="6" t="s">
        <v>104</v>
      </c>
      <c r="K1352" s="6" t="s">
        <v>9714</v>
      </c>
      <c r="L1352" s="16" t="n">
        <v>45478</v>
      </c>
      <c r="M1352" s="16" t="n">
        <v>45715</v>
      </c>
      <c r="N1352" s="6" t="s">
        <v>104</v>
      </c>
      <c r="O1352" s="21" t="s">
        <v>104</v>
      </c>
      <c r="P1352" s="6" t="s">
        <v>104</v>
      </c>
      <c r="Q1352" s="6" t="s">
        <v>104</v>
      </c>
      <c r="R1352" s="6" t="s">
        <v>104</v>
      </c>
      <c r="S1352" s="6" t="s">
        <v>104</v>
      </c>
      <c r="T1352" s="21" t="s">
        <v>104</v>
      </c>
      <c r="U1352" s="6" t="s">
        <v>104</v>
      </c>
      <c r="V1352" s="6" t="s">
        <v>104</v>
      </c>
      <c r="W1352" s="6" t="s">
        <v>104</v>
      </c>
      <c r="X1352" s="6" t="s">
        <v>104</v>
      </c>
      <c r="Y1352" s="21" t="s">
        <v>104</v>
      </c>
      <c r="Z1352" s="6" t="s">
        <v>104</v>
      </c>
      <c r="AA1352" s="6" t="s">
        <v>104</v>
      </c>
      <c r="AB1352" s="6" t="s">
        <v>104</v>
      </c>
      <c r="AC1352" s="6" t="s">
        <v>9714</v>
      </c>
      <c r="AD1352" s="16" t="n">
        <v>45478</v>
      </c>
      <c r="AE1352" s="6" t="s">
        <v>11699</v>
      </c>
      <c r="AF1352" s="6" t="s">
        <v>104</v>
      </c>
      <c r="AG1352" s="6" t="s">
        <v>12909</v>
      </c>
      <c r="AH1352" s="6" t="s">
        <v>14386</v>
      </c>
      <c r="AI1352" s="6" t="s">
        <v>104</v>
      </c>
      <c r="AJ1352" s="6" t="s">
        <v>16229</v>
      </c>
      <c r="AK1352" s="6" t="s">
        <v>104</v>
      </c>
      <c r="AL1352" s="6" t="s">
        <v>16932</v>
      </c>
      <c r="AM1352" s="6" t="s">
        <v>17896</v>
      </c>
      <c r="AN1352" s="6" t="s">
        <v>104</v>
      </c>
      <c r="AO1352" s="6" t="s">
        <v>104</v>
      </c>
      <c r="AP1352" s="6" t="s">
        <v>104</v>
      </c>
      <c r="AQ1352" s="6" t="s">
        <v>104</v>
      </c>
      <c r="AR1352" s="6" t="s">
        <v>104</v>
      </c>
      <c r="AS1352" s="6" t="s">
        <v>104</v>
      </c>
      <c r="AT1352" s="6" t="s">
        <v>104</v>
      </c>
      <c r="AU1352" s="6" t="s">
        <v>104</v>
      </c>
      <c r="AV1352" s="6" t="s">
        <v>104</v>
      </c>
      <c r="AW1352" s="6" t="s">
        <v>104</v>
      </c>
      <c r="AX1352" s="6" t="s">
        <v>104</v>
      </c>
      <c r="AY1352" s="6" t="s">
        <v>22969</v>
      </c>
      <c r="AZ1352" s="6" t="s">
        <v>104</v>
      </c>
      <c r="BA1352" s="6" t="s">
        <v>104</v>
      </c>
      <c r="BB1352" s="24" t="n">
        <v>0</v>
      </c>
      <c r="BC1352" s="26"/>
      <c r="BD1352" s="26"/>
      <c r="BE1352" s="26"/>
      <c r="BF1352" s="26"/>
      <c r="BG1352" s="26"/>
      <c r="BH1352" s="26"/>
      <c r="BI1352" s="26"/>
      <c r="BJ1352" s="26"/>
      <c r="BK1352" s="26"/>
      <c r="BL1352" s="26"/>
      <c r="BM1352" s="26"/>
      <c r="BN1352" s="26"/>
      <c r="BO1352" s="26"/>
      <c r="BP1352" s="16" t="n">
        <v>45479</v>
      </c>
      <c r="BQ1352" s="28" t="str">
        <f>HYPERLINK("https://organic.ams.usda.gov/Integrity/Certificate.aspx?cid=12&amp;nopid=8699694639")</f>
        <v>https://organic.ams.usda.gov/Integrity/Certificate.aspx?cid=12&amp;nopid=8699694639</v>
      </c>
    </row>
    <row r="1353">
      <c r="A1353" t="s">
        <v>3</v>
      </c>
      <c r="B1353" s="6" t="s">
        <v>38</v>
      </c>
      <c r="C1353" s="6" t="s">
        <v>104</v>
      </c>
      <c r="D1353" s="6" t="s">
        <v>104</v>
      </c>
      <c r="E1353" s="10" t="s">
        <v>1551</v>
      </c>
      <c r="F1353" s="6" t="s">
        <v>3791</v>
      </c>
      <c r="G1353" s="6" t="s">
        <v>4802</v>
      </c>
      <c r="H1353" s="6" t="s">
        <v>6119</v>
      </c>
      <c r="I1353" s="6" t="s">
        <v>7079</v>
      </c>
      <c r="J1353" s="6" t="s">
        <v>9139</v>
      </c>
      <c r="K1353" s="6" t="s">
        <v>9714</v>
      </c>
      <c r="L1353" s="16" t="n">
        <v>43294</v>
      </c>
      <c r="M1353" s="16" t="n">
        <v>45851</v>
      </c>
      <c r="N1353" s="6" t="s">
        <v>9714</v>
      </c>
      <c r="O1353" s="16" t="n">
        <v>43294</v>
      </c>
      <c r="P1353" s="6" t="s">
        <v>10102</v>
      </c>
      <c r="Q1353" s="6" t="s">
        <v>104</v>
      </c>
      <c r="R1353" s="6" t="s">
        <v>6119</v>
      </c>
      <c r="S1353" s="6" t="s">
        <v>104</v>
      </c>
      <c r="T1353" s="21" t="s">
        <v>104</v>
      </c>
      <c r="U1353" s="6" t="s">
        <v>104</v>
      </c>
      <c r="V1353" s="6" t="s">
        <v>104</v>
      </c>
      <c r="W1353" s="6" t="s">
        <v>104</v>
      </c>
      <c r="X1353" s="6" t="s">
        <v>104</v>
      </c>
      <c r="Y1353" s="21" t="s">
        <v>104</v>
      </c>
      <c r="Z1353" s="6" t="s">
        <v>104</v>
      </c>
      <c r="AA1353" s="6" t="s">
        <v>104</v>
      </c>
      <c r="AB1353" s="6" t="s">
        <v>104</v>
      </c>
      <c r="AC1353" s="6" t="s">
        <v>104</v>
      </c>
      <c r="AD1353" s="21" t="s">
        <v>104</v>
      </c>
      <c r="AE1353" s="6" t="s">
        <v>104</v>
      </c>
      <c r="AF1353" s="6" t="s">
        <v>104</v>
      </c>
      <c r="AG1353" s="6" t="s">
        <v>104</v>
      </c>
      <c r="AH1353" s="6" t="s">
        <v>14387</v>
      </c>
      <c r="AI1353" s="6" t="s">
        <v>104</v>
      </c>
      <c r="AJ1353" s="6" t="s">
        <v>16230</v>
      </c>
      <c r="AK1353" s="6" t="s">
        <v>16370</v>
      </c>
      <c r="AL1353" s="6" t="s">
        <v>16931</v>
      </c>
      <c r="AM1353" s="6" t="s">
        <v>17897</v>
      </c>
      <c r="AN1353" s="6" t="s">
        <v>104</v>
      </c>
      <c r="AO1353" s="6" t="s">
        <v>104</v>
      </c>
      <c r="AP1353" s="6" t="s">
        <v>14387</v>
      </c>
      <c r="AQ1353" s="6" t="s">
        <v>104</v>
      </c>
      <c r="AR1353" s="6" t="s">
        <v>16230</v>
      </c>
      <c r="AS1353" s="6" t="s">
        <v>16370</v>
      </c>
      <c r="AT1353" s="6" t="s">
        <v>16931</v>
      </c>
      <c r="AU1353" s="6" t="s">
        <v>17897</v>
      </c>
      <c r="AV1353" s="6" t="s">
        <v>104</v>
      </c>
      <c r="AW1353" s="6" t="s">
        <v>104</v>
      </c>
      <c r="AX1353" s="6" t="s">
        <v>21175</v>
      </c>
      <c r="AY1353" s="6" t="s">
        <v>22970</v>
      </c>
      <c r="AZ1353" s="6" t="s">
        <v>104</v>
      </c>
      <c r="BA1353" s="6" t="s">
        <v>24285</v>
      </c>
      <c r="BB1353" s="24" t="n">
        <v>40</v>
      </c>
      <c r="BC1353" s="26"/>
      <c r="BD1353" s="26"/>
      <c r="BE1353" s="26"/>
      <c r="BF1353" s="26"/>
      <c r="BG1353" s="26"/>
      <c r="BH1353" s="26"/>
      <c r="BI1353" s="26"/>
      <c r="BJ1353" s="26"/>
      <c r="BK1353" s="26"/>
      <c r="BL1353" s="26"/>
      <c r="BM1353" s="26"/>
      <c r="BN1353" s="26"/>
      <c r="BO1353" s="26"/>
      <c r="BP1353" s="16" t="n">
        <v>45733</v>
      </c>
      <c r="BQ1353" s="28" t="str">
        <f>HYPERLINK("")</f>
      </c>
    </row>
    <row r="1354">
      <c r="A1354" t="s">
        <v>3</v>
      </c>
      <c r="B1354" s="6" t="s">
        <v>17</v>
      </c>
      <c r="C1354" s="6" t="s">
        <v>83</v>
      </c>
      <c r="D1354" s="6" t="s">
        <v>148</v>
      </c>
      <c r="E1354" s="10" t="s">
        <v>1552</v>
      </c>
      <c r="F1354" s="6" t="s">
        <v>3792</v>
      </c>
      <c r="G1354" s="6" t="s">
        <v>104</v>
      </c>
      <c r="H1354" s="6" t="s">
        <v>6120</v>
      </c>
      <c r="I1354" s="6" t="s">
        <v>6963</v>
      </c>
      <c r="J1354" s="6" t="s">
        <v>9140</v>
      </c>
      <c r="K1354" s="6" t="s">
        <v>9714</v>
      </c>
      <c r="L1354" s="16" t="n">
        <v>45464</v>
      </c>
      <c r="M1354" s="16" t="n">
        <v>45778</v>
      </c>
      <c r="N1354" s="6" t="s">
        <v>104</v>
      </c>
      <c r="O1354" s="21" t="s">
        <v>104</v>
      </c>
      <c r="P1354" s="6" t="s">
        <v>104</v>
      </c>
      <c r="Q1354" s="6" t="s">
        <v>104</v>
      </c>
      <c r="R1354" s="6" t="s">
        <v>104</v>
      </c>
      <c r="S1354" s="6" t="s">
        <v>104</v>
      </c>
      <c r="T1354" s="21" t="s">
        <v>104</v>
      </c>
      <c r="U1354" s="6" t="s">
        <v>104</v>
      </c>
      <c r="V1354" s="6" t="s">
        <v>104</v>
      </c>
      <c r="W1354" s="6" t="s">
        <v>104</v>
      </c>
      <c r="X1354" s="6" t="s">
        <v>104</v>
      </c>
      <c r="Y1354" s="21" t="s">
        <v>104</v>
      </c>
      <c r="Z1354" s="6" t="s">
        <v>104</v>
      </c>
      <c r="AA1354" s="6" t="s">
        <v>104</v>
      </c>
      <c r="AB1354" s="6" t="s">
        <v>104</v>
      </c>
      <c r="AC1354" s="6" t="s">
        <v>9714</v>
      </c>
      <c r="AD1354" s="16" t="n">
        <v>45464</v>
      </c>
      <c r="AE1354" s="6" t="s">
        <v>11700</v>
      </c>
      <c r="AF1354" s="6" t="s">
        <v>104</v>
      </c>
      <c r="AG1354" s="6" t="s">
        <v>104</v>
      </c>
      <c r="AH1354" s="6" t="s">
        <v>14388</v>
      </c>
      <c r="AI1354" s="6" t="s">
        <v>104</v>
      </c>
      <c r="AJ1354" s="6" t="s">
        <v>16231</v>
      </c>
      <c r="AK1354" s="6" t="s">
        <v>15697</v>
      </c>
      <c r="AL1354" s="6" t="s">
        <v>16931</v>
      </c>
      <c r="AM1354" s="6" t="s">
        <v>17898</v>
      </c>
      <c r="AN1354" s="6" t="s">
        <v>104</v>
      </c>
      <c r="AO1354" s="6" t="s">
        <v>104</v>
      </c>
      <c r="AP1354" s="6" t="s">
        <v>14388</v>
      </c>
      <c r="AQ1354" s="6" t="s">
        <v>104</v>
      </c>
      <c r="AR1354" s="6" t="s">
        <v>16231</v>
      </c>
      <c r="AS1354" s="6" t="s">
        <v>15697</v>
      </c>
      <c r="AT1354" s="6" t="s">
        <v>16931</v>
      </c>
      <c r="AU1354" s="6" t="s">
        <v>17898</v>
      </c>
      <c r="AV1354" s="6" t="s">
        <v>104</v>
      </c>
      <c r="AW1354" s="6" t="s">
        <v>104</v>
      </c>
      <c r="AX1354" s="6" t="s">
        <v>21176</v>
      </c>
      <c r="AY1354" s="6" t="s">
        <v>22971</v>
      </c>
      <c r="AZ1354" s="6" t="s">
        <v>104</v>
      </c>
      <c r="BA1354" s="6" t="s">
        <v>104</v>
      </c>
      <c r="BB1354" s="24" t="n">
        <v>0</v>
      </c>
      <c r="BC1354" s="26"/>
      <c r="BD1354" s="26"/>
      <c r="BE1354" s="26"/>
      <c r="BF1354" s="26"/>
      <c r="BG1354" s="26" t="s">
        <v>24533</v>
      </c>
      <c r="BH1354" s="26" t="s">
        <v>24533</v>
      </c>
      <c r="BI1354" s="26"/>
      <c r="BJ1354" s="26"/>
      <c r="BK1354" s="26"/>
      <c r="BL1354" s="26"/>
      <c r="BM1354" s="26"/>
      <c r="BN1354" s="26"/>
      <c r="BO1354" s="26"/>
      <c r="BP1354" s="16" t="n">
        <v>45735</v>
      </c>
      <c r="BQ1354" s="28" t="str">
        <f>HYPERLINK("https://organic.ams.usda.gov/Integrity/Certificate.aspx?cid=51&amp;nopid=8241000037")</f>
        <v>https://organic.ams.usda.gov/Integrity/Certificate.aspx?cid=51&amp;nopid=8241000037</v>
      </c>
    </row>
    <row r="1355">
      <c r="A1355" t="s">
        <v>3</v>
      </c>
      <c r="B1355" s="6" t="s">
        <v>66</v>
      </c>
      <c r="C1355" s="6" t="s">
        <v>132</v>
      </c>
      <c r="D1355" s="6" t="s">
        <v>196</v>
      </c>
      <c r="E1355" s="10" t="s">
        <v>1553</v>
      </c>
      <c r="F1355" s="6" t="s">
        <v>3793</v>
      </c>
      <c r="G1355" s="6" t="s">
        <v>104</v>
      </c>
      <c r="H1355" s="6" t="s">
        <v>6121</v>
      </c>
      <c r="I1355" s="6" t="s">
        <v>7725</v>
      </c>
      <c r="J1355" s="6" t="s">
        <v>9141</v>
      </c>
      <c r="K1355" s="6" t="s">
        <v>9714</v>
      </c>
      <c r="L1355" s="16" t="n">
        <v>43189</v>
      </c>
      <c r="M1355" s="16" t="n">
        <v>45717</v>
      </c>
      <c r="N1355" s="6" t="s">
        <v>9714</v>
      </c>
      <c r="O1355" s="16" t="n">
        <v>43189</v>
      </c>
      <c r="P1355" s="6" t="s">
        <v>10103</v>
      </c>
      <c r="Q1355" s="6" t="s">
        <v>104</v>
      </c>
      <c r="R1355" s="6" t="s">
        <v>6121</v>
      </c>
      <c r="S1355" s="6" t="s">
        <v>104</v>
      </c>
      <c r="T1355" s="21" t="s">
        <v>104</v>
      </c>
      <c r="U1355" s="6" t="s">
        <v>104</v>
      </c>
      <c r="V1355" s="6" t="s">
        <v>104</v>
      </c>
      <c r="W1355" s="6" t="s">
        <v>104</v>
      </c>
      <c r="X1355" s="6" t="s">
        <v>104</v>
      </c>
      <c r="Y1355" s="21" t="s">
        <v>104</v>
      </c>
      <c r="Z1355" s="6" t="s">
        <v>104</v>
      </c>
      <c r="AA1355" s="6" t="s">
        <v>104</v>
      </c>
      <c r="AB1355" s="6" t="s">
        <v>104</v>
      </c>
      <c r="AC1355" s="6" t="s">
        <v>9714</v>
      </c>
      <c r="AD1355" s="16" t="n">
        <v>43189</v>
      </c>
      <c r="AE1355" s="6" t="s">
        <v>11701</v>
      </c>
      <c r="AF1355" s="6" t="s">
        <v>104</v>
      </c>
      <c r="AG1355" s="6" t="s">
        <v>6121</v>
      </c>
      <c r="AH1355" s="6" t="s">
        <v>14389</v>
      </c>
      <c r="AI1355" s="6" t="s">
        <v>104</v>
      </c>
      <c r="AJ1355" s="6" t="s">
        <v>16232</v>
      </c>
      <c r="AK1355" s="6" t="s">
        <v>16759</v>
      </c>
      <c r="AL1355" s="6" t="s">
        <v>16931</v>
      </c>
      <c r="AM1355" s="6" t="s">
        <v>17899</v>
      </c>
      <c r="AN1355" s="6" t="s">
        <v>18476</v>
      </c>
      <c r="AO1355" s="6" t="s">
        <v>18831</v>
      </c>
      <c r="AP1355" s="6" t="s">
        <v>104</v>
      </c>
      <c r="AQ1355" s="6" t="s">
        <v>104</v>
      </c>
      <c r="AR1355" s="6" t="s">
        <v>104</v>
      </c>
      <c r="AS1355" s="6" t="s">
        <v>104</v>
      </c>
      <c r="AT1355" s="6" t="s">
        <v>104</v>
      </c>
      <c r="AU1355" s="6" t="s">
        <v>104</v>
      </c>
      <c r="AV1355" s="6" t="s">
        <v>104</v>
      </c>
      <c r="AW1355" s="6" t="s">
        <v>104</v>
      </c>
      <c r="AX1355" s="6" t="s">
        <v>21177</v>
      </c>
      <c r="AY1355" s="6" t="s">
        <v>22972</v>
      </c>
      <c r="AZ1355" s="6" t="s">
        <v>104</v>
      </c>
      <c r="BA1355" s="6" t="s">
        <v>104</v>
      </c>
      <c r="BB1355" s="24" t="n">
        <v>5</v>
      </c>
      <c r="BC1355" s="26"/>
      <c r="BD1355" s="26"/>
      <c r="BE1355" s="26"/>
      <c r="BF1355" s="26"/>
      <c r="BG1355" s="26"/>
      <c r="BH1355" s="26"/>
      <c r="BI1355" s="26"/>
      <c r="BJ1355" s="26"/>
      <c r="BK1355" s="26"/>
      <c r="BL1355" s="26"/>
      <c r="BM1355" s="26"/>
      <c r="BN1355" s="26"/>
      <c r="BO1355" s="26"/>
      <c r="BP1355" s="16" t="n">
        <v>45639</v>
      </c>
      <c r="BQ1355" s="28" t="str">
        <f>HYPERLINK("https://organic.ams.usda.gov/Integrity/Certificate.aspx?cid=22&amp;nopid=6830017012")</f>
        <v>https://organic.ams.usda.gov/Integrity/Certificate.aspx?cid=22&amp;nopid=6830017012</v>
      </c>
    </row>
    <row r="1356">
      <c r="A1356" t="s">
        <v>3</v>
      </c>
      <c r="B1356" s="6" t="s">
        <v>21</v>
      </c>
      <c r="C1356" s="6" t="s">
        <v>87</v>
      </c>
      <c r="D1356" s="6" t="s">
        <v>152</v>
      </c>
      <c r="E1356" s="10" t="s">
        <v>1554</v>
      </c>
      <c r="F1356" s="6" t="s">
        <v>3794</v>
      </c>
      <c r="G1356" s="6" t="s">
        <v>4803</v>
      </c>
      <c r="H1356" s="6" t="s">
        <v>6122</v>
      </c>
      <c r="I1356" s="6" t="s">
        <v>7726</v>
      </c>
      <c r="J1356" s="6" t="s">
        <v>9142</v>
      </c>
      <c r="K1356" s="6" t="s">
        <v>9714</v>
      </c>
      <c r="L1356" s="16" t="n">
        <v>43339</v>
      </c>
      <c r="M1356" s="16" t="n">
        <v>46023</v>
      </c>
      <c r="N1356" s="6" t="s">
        <v>104</v>
      </c>
      <c r="O1356" s="21" t="s">
        <v>104</v>
      </c>
      <c r="P1356" s="6" t="s">
        <v>104</v>
      </c>
      <c r="Q1356" s="6" t="s">
        <v>104</v>
      </c>
      <c r="R1356" s="6" t="s">
        <v>104</v>
      </c>
      <c r="S1356" s="6" t="s">
        <v>104</v>
      </c>
      <c r="T1356" s="21" t="s">
        <v>104</v>
      </c>
      <c r="U1356" s="6" t="s">
        <v>104</v>
      </c>
      <c r="V1356" s="6" t="s">
        <v>104</v>
      </c>
      <c r="W1356" s="6" t="s">
        <v>104</v>
      </c>
      <c r="X1356" s="6" t="s">
        <v>104</v>
      </c>
      <c r="Y1356" s="21" t="s">
        <v>104</v>
      </c>
      <c r="Z1356" s="6" t="s">
        <v>104</v>
      </c>
      <c r="AA1356" s="6" t="s">
        <v>104</v>
      </c>
      <c r="AB1356" s="6" t="s">
        <v>104</v>
      </c>
      <c r="AC1356" s="6" t="s">
        <v>9714</v>
      </c>
      <c r="AD1356" s="16" t="n">
        <v>43339</v>
      </c>
      <c r="AE1356" s="6" t="s">
        <v>11702</v>
      </c>
      <c r="AF1356" s="6" t="s">
        <v>104</v>
      </c>
      <c r="AG1356" s="6" t="s">
        <v>104</v>
      </c>
      <c r="AH1356" s="6" t="s">
        <v>14390</v>
      </c>
      <c r="AI1356" s="6" t="s">
        <v>104</v>
      </c>
      <c r="AJ1356" s="6" t="s">
        <v>16233</v>
      </c>
      <c r="AK1356" s="6" t="s">
        <v>16687</v>
      </c>
      <c r="AL1356" s="6" t="s">
        <v>16931</v>
      </c>
      <c r="AM1356" s="6" t="s">
        <v>17900</v>
      </c>
      <c r="AN1356" s="6" t="s">
        <v>18476</v>
      </c>
      <c r="AO1356" s="6" t="s">
        <v>18585</v>
      </c>
      <c r="AP1356" s="6" t="s">
        <v>19311</v>
      </c>
      <c r="AQ1356" s="6" t="s">
        <v>104</v>
      </c>
      <c r="AR1356" s="6" t="s">
        <v>19721</v>
      </c>
      <c r="AS1356" s="6" t="s">
        <v>16687</v>
      </c>
      <c r="AT1356" s="6" t="s">
        <v>16931</v>
      </c>
      <c r="AU1356" s="6" t="s">
        <v>19973</v>
      </c>
      <c r="AV1356" s="6" t="s">
        <v>104</v>
      </c>
      <c r="AW1356" s="6" t="s">
        <v>104</v>
      </c>
      <c r="AX1356" s="6" t="s">
        <v>21178</v>
      </c>
      <c r="AY1356" s="6" t="s">
        <v>22973</v>
      </c>
      <c r="AZ1356" s="6" t="s">
        <v>104</v>
      </c>
      <c r="BA1356" s="6" t="s">
        <v>24263</v>
      </c>
      <c r="BB1356" s="6" t="s">
        <v>104</v>
      </c>
      <c r="BC1356" s="26"/>
      <c r="BD1356" s="26"/>
      <c r="BE1356" s="26"/>
      <c r="BF1356" s="26"/>
      <c r="BG1356" s="26"/>
      <c r="BH1356" s="26"/>
      <c r="BI1356" s="26"/>
      <c r="BJ1356" s="26"/>
      <c r="BK1356" s="26"/>
      <c r="BL1356" s="26"/>
      <c r="BM1356" s="26"/>
      <c r="BN1356" s="26"/>
      <c r="BO1356" s="26"/>
      <c r="BP1356" s="16" t="n">
        <v>45727</v>
      </c>
      <c r="BQ1356" s="28" t="str">
        <f>HYPERLINK("https://organic.ams.usda.gov/Integrity/Certificate.aspx?cid=15&amp;nopid=5561005641")</f>
        <v>https://organic.ams.usda.gov/Integrity/Certificate.aspx?cid=15&amp;nopid=5561005641</v>
      </c>
    </row>
    <row r="1357">
      <c r="A1357" t="s">
        <v>3</v>
      </c>
      <c r="B1357" s="6" t="s">
        <v>21</v>
      </c>
      <c r="C1357" s="6" t="s">
        <v>87</v>
      </c>
      <c r="D1357" s="6" t="s">
        <v>152</v>
      </c>
      <c r="E1357" s="10" t="s">
        <v>1555</v>
      </c>
      <c r="F1357" s="6" t="s">
        <v>3795</v>
      </c>
      <c r="G1357" s="6" t="s">
        <v>104</v>
      </c>
      <c r="H1357" s="6" t="s">
        <v>6123</v>
      </c>
      <c r="I1357" s="6" t="s">
        <v>7727</v>
      </c>
      <c r="J1357" s="6" t="s">
        <v>9008</v>
      </c>
      <c r="K1357" s="6" t="s">
        <v>9714</v>
      </c>
      <c r="L1357" s="16" t="n">
        <v>38450</v>
      </c>
      <c r="M1357" s="16" t="n">
        <v>46023</v>
      </c>
      <c r="N1357" s="6" t="s">
        <v>104</v>
      </c>
      <c r="O1357" s="21" t="s">
        <v>104</v>
      </c>
      <c r="P1357" s="6" t="s">
        <v>104</v>
      </c>
      <c r="Q1357" s="6" t="s">
        <v>104</v>
      </c>
      <c r="R1357" s="6" t="s">
        <v>104</v>
      </c>
      <c r="S1357" s="6" t="s">
        <v>104</v>
      </c>
      <c r="T1357" s="21" t="s">
        <v>104</v>
      </c>
      <c r="U1357" s="6" t="s">
        <v>104</v>
      </c>
      <c r="V1357" s="6" t="s">
        <v>104</v>
      </c>
      <c r="W1357" s="6" t="s">
        <v>104</v>
      </c>
      <c r="X1357" s="6" t="s">
        <v>104</v>
      </c>
      <c r="Y1357" s="21" t="s">
        <v>104</v>
      </c>
      <c r="Z1357" s="6" t="s">
        <v>104</v>
      </c>
      <c r="AA1357" s="6" t="s">
        <v>104</v>
      </c>
      <c r="AB1357" s="6" t="s">
        <v>104</v>
      </c>
      <c r="AC1357" s="6" t="s">
        <v>9714</v>
      </c>
      <c r="AD1357" s="16" t="n">
        <v>38450</v>
      </c>
      <c r="AE1357" s="6" t="s">
        <v>11703</v>
      </c>
      <c r="AF1357" s="6" t="s">
        <v>104</v>
      </c>
      <c r="AG1357" s="6" t="s">
        <v>104</v>
      </c>
      <c r="AH1357" s="6" t="s">
        <v>14391</v>
      </c>
      <c r="AI1357" s="6" t="s">
        <v>104</v>
      </c>
      <c r="AJ1357" s="6" t="s">
        <v>8077</v>
      </c>
      <c r="AK1357" s="6" t="s">
        <v>16705</v>
      </c>
      <c r="AL1357" s="6" t="s">
        <v>16931</v>
      </c>
      <c r="AM1357" s="6" t="s">
        <v>17113</v>
      </c>
      <c r="AN1357" s="6" t="s">
        <v>18486</v>
      </c>
      <c r="AO1357" s="6" t="s">
        <v>18599</v>
      </c>
      <c r="AP1357" s="6" t="s">
        <v>19312</v>
      </c>
      <c r="AQ1357" s="6" t="s">
        <v>104</v>
      </c>
      <c r="AR1357" s="6" t="s">
        <v>8077</v>
      </c>
      <c r="AS1357" s="6" t="s">
        <v>16705</v>
      </c>
      <c r="AT1357" s="6" t="s">
        <v>16931</v>
      </c>
      <c r="AU1357" s="6" t="s">
        <v>17113</v>
      </c>
      <c r="AV1357" s="6" t="s">
        <v>104</v>
      </c>
      <c r="AW1357" s="6" t="s">
        <v>104</v>
      </c>
      <c r="AX1357" s="6" t="s">
        <v>21179</v>
      </c>
      <c r="AY1357" s="6" t="s">
        <v>22974</v>
      </c>
      <c r="AZ1357" s="6" t="s">
        <v>24028</v>
      </c>
      <c r="BA1357" s="6" t="s">
        <v>24436</v>
      </c>
      <c r="BB1357" s="6" t="s">
        <v>104</v>
      </c>
      <c r="BC1357" s="26"/>
      <c r="BD1357" s="26"/>
      <c r="BE1357" s="26"/>
      <c r="BF1357" s="26"/>
      <c r="BG1357" s="26"/>
      <c r="BH1357" s="26"/>
      <c r="BI1357" s="26"/>
      <c r="BJ1357" s="26"/>
      <c r="BK1357" s="26"/>
      <c r="BL1357" s="26"/>
      <c r="BM1357" s="26"/>
      <c r="BN1357" s="26"/>
      <c r="BO1357" s="26"/>
      <c r="BP1357" s="16" t="n">
        <v>45667</v>
      </c>
      <c r="BQ1357" s="28" t="str">
        <f>HYPERLINK("https://organic.ams.usda.gov/Integrity/Certificate.aspx?cid=15&amp;nopid=5561002308")</f>
        <v>https://organic.ams.usda.gov/Integrity/Certificate.aspx?cid=15&amp;nopid=5561002308</v>
      </c>
    </row>
    <row r="1358">
      <c r="A1358" t="s">
        <v>3</v>
      </c>
      <c r="B1358" s="6" t="s">
        <v>26</v>
      </c>
      <c r="C1358" s="6" t="s">
        <v>92</v>
      </c>
      <c r="D1358" s="6" t="s">
        <v>157</v>
      </c>
      <c r="E1358" s="10" t="s">
        <v>1556</v>
      </c>
      <c r="F1358" s="6" t="s">
        <v>3796</v>
      </c>
      <c r="G1358" s="6" t="s">
        <v>104</v>
      </c>
      <c r="H1358" s="6" t="s">
        <v>6124</v>
      </c>
      <c r="I1358" s="6" t="s">
        <v>7728</v>
      </c>
      <c r="J1358" s="6" t="s">
        <v>9143</v>
      </c>
      <c r="K1358" s="6" t="s">
        <v>9714</v>
      </c>
      <c r="L1358" s="16" t="n">
        <v>43269</v>
      </c>
      <c r="M1358" s="16" t="n">
        <v>45823</v>
      </c>
      <c r="N1358" s="6" t="s">
        <v>104</v>
      </c>
      <c r="O1358" s="21" t="s">
        <v>104</v>
      </c>
      <c r="P1358" s="6" t="s">
        <v>104</v>
      </c>
      <c r="Q1358" s="6" t="s">
        <v>104</v>
      </c>
      <c r="R1358" s="6" t="s">
        <v>104</v>
      </c>
      <c r="S1358" s="6" t="s">
        <v>104</v>
      </c>
      <c r="T1358" s="21" t="s">
        <v>104</v>
      </c>
      <c r="U1358" s="6" t="s">
        <v>104</v>
      </c>
      <c r="V1358" s="6" t="s">
        <v>104</v>
      </c>
      <c r="W1358" s="6" t="s">
        <v>104</v>
      </c>
      <c r="X1358" s="6" t="s">
        <v>104</v>
      </c>
      <c r="Y1358" s="21" t="s">
        <v>104</v>
      </c>
      <c r="Z1358" s="6" t="s">
        <v>104</v>
      </c>
      <c r="AA1358" s="6" t="s">
        <v>104</v>
      </c>
      <c r="AB1358" s="6" t="s">
        <v>104</v>
      </c>
      <c r="AC1358" s="6" t="s">
        <v>9714</v>
      </c>
      <c r="AD1358" s="16" t="n">
        <v>43269</v>
      </c>
      <c r="AE1358" s="6" t="s">
        <v>11704</v>
      </c>
      <c r="AF1358" s="6" t="s">
        <v>104</v>
      </c>
      <c r="AG1358" s="6" t="s">
        <v>104</v>
      </c>
      <c r="AH1358" s="6" t="s">
        <v>14392</v>
      </c>
      <c r="AI1358" s="6" t="s">
        <v>104</v>
      </c>
      <c r="AJ1358" s="6" t="s">
        <v>16234</v>
      </c>
      <c r="AK1358" s="6" t="s">
        <v>16751</v>
      </c>
      <c r="AL1358" s="6" t="s">
        <v>16931</v>
      </c>
      <c r="AM1358" s="6" t="s">
        <v>17901</v>
      </c>
      <c r="AN1358" s="6" t="s">
        <v>104</v>
      </c>
      <c r="AO1358" s="6" t="s">
        <v>104</v>
      </c>
      <c r="AP1358" s="6" t="s">
        <v>19313</v>
      </c>
      <c r="AQ1358" s="6" t="s">
        <v>104</v>
      </c>
      <c r="AR1358" s="6" t="s">
        <v>16376</v>
      </c>
      <c r="AS1358" s="6" t="s">
        <v>16692</v>
      </c>
      <c r="AT1358" s="6" t="s">
        <v>16931</v>
      </c>
      <c r="AU1358" s="6" t="s">
        <v>18073</v>
      </c>
      <c r="AV1358" s="6" t="s">
        <v>104</v>
      </c>
      <c r="AW1358" s="6" t="s">
        <v>104</v>
      </c>
      <c r="AX1358" s="6" t="s">
        <v>21180</v>
      </c>
      <c r="AY1358" s="6" t="s">
        <v>104</v>
      </c>
      <c r="AZ1358" s="6" t="s">
        <v>24029</v>
      </c>
      <c r="BA1358" s="6" t="s">
        <v>104</v>
      </c>
      <c r="BB1358" s="24" t="n">
        <v>0</v>
      </c>
      <c r="BC1358" s="26"/>
      <c r="BD1358" s="26"/>
      <c r="BE1358" s="26"/>
      <c r="BF1358" s="26"/>
      <c r="BG1358" s="26"/>
      <c r="BH1358" s="26"/>
      <c r="BI1358" s="26"/>
      <c r="BJ1358" s="26"/>
      <c r="BK1358" s="26"/>
      <c r="BL1358" s="26"/>
      <c r="BM1358" s="26"/>
      <c r="BN1358" s="26"/>
      <c r="BO1358" s="26"/>
      <c r="BP1358" s="16" t="n">
        <v>45701</v>
      </c>
      <c r="BQ1358" s="28" t="str">
        <f>HYPERLINK("https://organic.ams.usda.gov/Integrity/Certificate.aspx?cid=81&amp;nopid=4213724480")</f>
        <v>https://organic.ams.usda.gov/Integrity/Certificate.aspx?cid=81&amp;nopid=4213724480</v>
      </c>
    </row>
    <row r="1359">
      <c r="A1359" t="s">
        <v>3</v>
      </c>
      <c r="B1359" s="6" t="s">
        <v>21</v>
      </c>
      <c r="C1359" s="6" t="s">
        <v>87</v>
      </c>
      <c r="D1359" s="6" t="s">
        <v>152</v>
      </c>
      <c r="E1359" s="10" t="s">
        <v>1557</v>
      </c>
      <c r="F1359" s="6" t="s">
        <v>3797</v>
      </c>
      <c r="G1359" s="6" t="s">
        <v>104</v>
      </c>
      <c r="H1359" s="6" t="s">
        <v>6125</v>
      </c>
      <c r="I1359" s="6" t="s">
        <v>7729</v>
      </c>
      <c r="J1359" s="6" t="s">
        <v>9144</v>
      </c>
      <c r="K1359" s="6" t="s">
        <v>9714</v>
      </c>
      <c r="L1359" s="16" t="n">
        <v>40851</v>
      </c>
      <c r="M1359" s="16" t="n">
        <v>46023</v>
      </c>
      <c r="N1359" s="6" t="s">
        <v>104</v>
      </c>
      <c r="O1359" s="21" t="s">
        <v>104</v>
      </c>
      <c r="P1359" s="6" t="s">
        <v>104</v>
      </c>
      <c r="Q1359" s="6" t="s">
        <v>104</v>
      </c>
      <c r="R1359" s="6" t="s">
        <v>104</v>
      </c>
      <c r="S1359" s="6" t="s">
        <v>104</v>
      </c>
      <c r="T1359" s="21" t="s">
        <v>104</v>
      </c>
      <c r="U1359" s="6" t="s">
        <v>104</v>
      </c>
      <c r="V1359" s="6" t="s">
        <v>104</v>
      </c>
      <c r="W1359" s="6" t="s">
        <v>104</v>
      </c>
      <c r="X1359" s="6" t="s">
        <v>104</v>
      </c>
      <c r="Y1359" s="21" t="s">
        <v>104</v>
      </c>
      <c r="Z1359" s="6" t="s">
        <v>104</v>
      </c>
      <c r="AA1359" s="6" t="s">
        <v>104</v>
      </c>
      <c r="AB1359" s="6" t="s">
        <v>104</v>
      </c>
      <c r="AC1359" s="6" t="s">
        <v>9714</v>
      </c>
      <c r="AD1359" s="16" t="n">
        <v>40851</v>
      </c>
      <c r="AE1359" s="6" t="s">
        <v>11705</v>
      </c>
      <c r="AF1359" s="6" t="s">
        <v>104</v>
      </c>
      <c r="AG1359" s="6" t="s">
        <v>104</v>
      </c>
      <c r="AH1359" s="6" t="s">
        <v>14393</v>
      </c>
      <c r="AI1359" s="6" t="s">
        <v>104</v>
      </c>
      <c r="AJ1359" s="6" t="s">
        <v>16069</v>
      </c>
      <c r="AK1359" s="6" t="s">
        <v>16687</v>
      </c>
      <c r="AL1359" s="6" t="s">
        <v>16931</v>
      </c>
      <c r="AM1359" s="6" t="s">
        <v>17720</v>
      </c>
      <c r="AN1359" s="6" t="s">
        <v>18469</v>
      </c>
      <c r="AO1359" s="6" t="s">
        <v>18677</v>
      </c>
      <c r="AP1359" s="6" t="s">
        <v>19314</v>
      </c>
      <c r="AQ1359" s="6" t="s">
        <v>104</v>
      </c>
      <c r="AR1359" s="6" t="s">
        <v>16069</v>
      </c>
      <c r="AS1359" s="6" t="s">
        <v>16687</v>
      </c>
      <c r="AT1359" s="6" t="s">
        <v>16931</v>
      </c>
      <c r="AU1359" s="6" t="s">
        <v>17720</v>
      </c>
      <c r="AV1359" s="6" t="s">
        <v>104</v>
      </c>
      <c r="AW1359" s="6" t="s">
        <v>104</v>
      </c>
      <c r="AX1359" s="6" t="s">
        <v>21181</v>
      </c>
      <c r="AY1359" s="6" t="s">
        <v>22975</v>
      </c>
      <c r="AZ1359" s="6" t="s">
        <v>104</v>
      </c>
      <c r="BA1359" s="6" t="s">
        <v>24263</v>
      </c>
      <c r="BB1359" s="6" t="s">
        <v>104</v>
      </c>
      <c r="BC1359" s="26"/>
      <c r="BD1359" s="26"/>
      <c r="BE1359" s="26"/>
      <c r="BF1359" s="26"/>
      <c r="BG1359" s="26"/>
      <c r="BH1359" s="26"/>
      <c r="BI1359" s="26"/>
      <c r="BJ1359" s="26"/>
      <c r="BK1359" s="26"/>
      <c r="BL1359" s="26"/>
      <c r="BM1359" s="26"/>
      <c r="BN1359" s="26"/>
      <c r="BO1359" s="26"/>
      <c r="BP1359" s="16" t="n">
        <v>45678</v>
      </c>
      <c r="BQ1359" s="28" t="str">
        <f>HYPERLINK("https://organic.ams.usda.gov/Integrity/Certificate.aspx?cid=15&amp;nopid=5561001681")</f>
        <v>https://organic.ams.usda.gov/Integrity/Certificate.aspx?cid=15&amp;nopid=5561001681</v>
      </c>
    </row>
    <row r="1360">
      <c r="A1360" t="s">
        <v>3</v>
      </c>
      <c r="B1360" s="6" t="s">
        <v>20</v>
      </c>
      <c r="C1360" s="6" t="s">
        <v>86</v>
      </c>
      <c r="D1360" s="6" t="s">
        <v>151</v>
      </c>
      <c r="E1360" s="10" t="s">
        <v>1558</v>
      </c>
      <c r="F1360" s="6" t="s">
        <v>3798</v>
      </c>
      <c r="G1360" s="6" t="s">
        <v>104</v>
      </c>
      <c r="H1360" s="6" t="s">
        <v>6126</v>
      </c>
      <c r="I1360" s="6" t="s">
        <v>7730</v>
      </c>
      <c r="J1360" s="6" t="s">
        <v>9145</v>
      </c>
      <c r="K1360" s="6" t="s">
        <v>9714</v>
      </c>
      <c r="L1360" s="16" t="n">
        <v>45394</v>
      </c>
      <c r="M1360" s="16" t="n">
        <v>45747</v>
      </c>
      <c r="N1360" s="6" t="s">
        <v>9714</v>
      </c>
      <c r="O1360" s="16" t="n">
        <v>45394</v>
      </c>
      <c r="P1360" s="6" t="s">
        <v>10104</v>
      </c>
      <c r="Q1360" s="6" t="s">
        <v>104</v>
      </c>
      <c r="R1360" s="6" t="s">
        <v>10398</v>
      </c>
      <c r="S1360" s="6" t="s">
        <v>104</v>
      </c>
      <c r="T1360" s="21" t="s">
        <v>104</v>
      </c>
      <c r="U1360" s="6" t="s">
        <v>104</v>
      </c>
      <c r="V1360" s="6" t="s">
        <v>104</v>
      </c>
      <c r="W1360" s="6" t="s">
        <v>104</v>
      </c>
      <c r="X1360" s="6" t="s">
        <v>104</v>
      </c>
      <c r="Y1360" s="21" t="s">
        <v>104</v>
      </c>
      <c r="Z1360" s="6" t="s">
        <v>104</v>
      </c>
      <c r="AA1360" s="6" t="s">
        <v>104</v>
      </c>
      <c r="AB1360" s="6" t="s">
        <v>104</v>
      </c>
      <c r="AC1360" s="6" t="s">
        <v>9714</v>
      </c>
      <c r="AD1360" s="16" t="n">
        <v>45394</v>
      </c>
      <c r="AE1360" s="6" t="s">
        <v>11706</v>
      </c>
      <c r="AF1360" s="6" t="s">
        <v>104</v>
      </c>
      <c r="AG1360" s="6" t="s">
        <v>10398</v>
      </c>
      <c r="AH1360" s="6" t="s">
        <v>14394</v>
      </c>
      <c r="AI1360" s="6" t="s">
        <v>104</v>
      </c>
      <c r="AJ1360" s="6" t="s">
        <v>104</v>
      </c>
      <c r="AK1360" s="6" t="s">
        <v>16804</v>
      </c>
      <c r="AL1360" s="6" t="s">
        <v>15513</v>
      </c>
      <c r="AM1360" s="6" t="s">
        <v>17477</v>
      </c>
      <c r="AN1360" s="6" t="s">
        <v>104</v>
      </c>
      <c r="AO1360" s="6" t="s">
        <v>104</v>
      </c>
      <c r="AP1360" s="6" t="s">
        <v>104</v>
      </c>
      <c r="AQ1360" s="6" t="s">
        <v>104</v>
      </c>
      <c r="AR1360" s="6" t="s">
        <v>104</v>
      </c>
      <c r="AS1360" s="6" t="s">
        <v>104</v>
      </c>
      <c r="AT1360" s="6" t="s">
        <v>104</v>
      </c>
      <c r="AU1360" s="6" t="s">
        <v>104</v>
      </c>
      <c r="AV1360" s="6" t="s">
        <v>104</v>
      </c>
      <c r="AW1360" s="6" t="s">
        <v>104</v>
      </c>
      <c r="AX1360" s="6" t="s">
        <v>21182</v>
      </c>
      <c r="AY1360" s="6" t="s">
        <v>22976</v>
      </c>
      <c r="AZ1360" s="6" t="s">
        <v>104</v>
      </c>
      <c r="BA1360" s="6" t="s">
        <v>104</v>
      </c>
      <c r="BB1360" s="24" t="n">
        <v>3316</v>
      </c>
      <c r="BC1360" s="26"/>
      <c r="BD1360" s="26"/>
      <c r="BE1360" s="26"/>
      <c r="BF1360" s="26"/>
      <c r="BG1360" s="26"/>
      <c r="BH1360" s="26"/>
      <c r="BI1360" s="26"/>
      <c r="BJ1360" s="26"/>
      <c r="BK1360" s="26"/>
      <c r="BL1360" s="26"/>
      <c r="BM1360" s="26"/>
      <c r="BN1360" s="26"/>
      <c r="BO1360" s="26" t="s">
        <v>24533</v>
      </c>
      <c r="BP1360" s="16" t="n">
        <v>45457</v>
      </c>
      <c r="BQ1360" s="28" t="str">
        <f>HYPERLINK("https://organic.ams.usda.gov/Integrity/Certificate.aspx?cid=17&amp;nopid=4080207222")</f>
        <v>https://organic.ams.usda.gov/Integrity/Certificate.aspx?cid=17&amp;nopid=4080207222</v>
      </c>
    </row>
    <row r="1361">
      <c r="A1361" t="s">
        <v>3</v>
      </c>
      <c r="B1361" s="6" t="s">
        <v>31</v>
      </c>
      <c r="C1361" s="6" t="s">
        <v>97</v>
      </c>
      <c r="D1361" s="6" t="s">
        <v>162</v>
      </c>
      <c r="E1361" s="10" t="s">
        <v>1559</v>
      </c>
      <c r="F1361" s="6" t="s">
        <v>3799</v>
      </c>
      <c r="G1361" s="6" t="s">
        <v>104</v>
      </c>
      <c r="H1361" s="6" t="s">
        <v>6127</v>
      </c>
      <c r="I1361" s="6" t="s">
        <v>7731</v>
      </c>
      <c r="J1361" s="6" t="s">
        <v>9146</v>
      </c>
      <c r="K1361" s="6" t="s">
        <v>9714</v>
      </c>
      <c r="L1361" s="16" t="n">
        <v>45667</v>
      </c>
      <c r="M1361" s="16" t="n">
        <v>46032</v>
      </c>
      <c r="N1361" s="6" t="s">
        <v>9714</v>
      </c>
      <c r="O1361" s="16" t="n">
        <v>45667</v>
      </c>
      <c r="P1361" s="6" t="s">
        <v>10105</v>
      </c>
      <c r="Q1361" s="6" t="s">
        <v>104</v>
      </c>
      <c r="R1361" s="6" t="s">
        <v>10399</v>
      </c>
      <c r="S1361" s="6" t="s">
        <v>104</v>
      </c>
      <c r="T1361" s="21" t="s">
        <v>104</v>
      </c>
      <c r="U1361" s="6" t="s">
        <v>104</v>
      </c>
      <c r="V1361" s="6" t="s">
        <v>104</v>
      </c>
      <c r="W1361" s="6" t="s">
        <v>104</v>
      </c>
      <c r="X1361" s="6" t="s">
        <v>104</v>
      </c>
      <c r="Y1361" s="21" t="s">
        <v>104</v>
      </c>
      <c r="Z1361" s="6" t="s">
        <v>104</v>
      </c>
      <c r="AA1361" s="6" t="s">
        <v>104</v>
      </c>
      <c r="AB1361" s="6" t="s">
        <v>104</v>
      </c>
      <c r="AC1361" s="6" t="s">
        <v>9714</v>
      </c>
      <c r="AD1361" s="16" t="n">
        <v>45667</v>
      </c>
      <c r="AE1361" s="6" t="s">
        <v>11707</v>
      </c>
      <c r="AF1361" s="6" t="s">
        <v>104</v>
      </c>
      <c r="AG1361" s="6" t="s">
        <v>10399</v>
      </c>
      <c r="AH1361" s="6" t="s">
        <v>14395</v>
      </c>
      <c r="AI1361" s="6" t="s">
        <v>104</v>
      </c>
      <c r="AJ1361" s="6" t="s">
        <v>104</v>
      </c>
      <c r="AK1361" s="6" t="s">
        <v>104</v>
      </c>
      <c r="AL1361" s="6" t="s">
        <v>16932</v>
      </c>
      <c r="AM1361" s="6" t="s">
        <v>17902</v>
      </c>
      <c r="AN1361" s="6" t="s">
        <v>104</v>
      </c>
      <c r="AO1361" s="6" t="s">
        <v>104</v>
      </c>
      <c r="AP1361" s="6" t="s">
        <v>14395</v>
      </c>
      <c r="AQ1361" s="6" t="s">
        <v>104</v>
      </c>
      <c r="AR1361" s="6" t="s">
        <v>104</v>
      </c>
      <c r="AS1361" s="6" t="s">
        <v>104</v>
      </c>
      <c r="AT1361" s="6" t="s">
        <v>16932</v>
      </c>
      <c r="AU1361" s="6" t="s">
        <v>17902</v>
      </c>
      <c r="AV1361" s="6" t="s">
        <v>104</v>
      </c>
      <c r="AW1361" s="6" t="s">
        <v>104</v>
      </c>
      <c r="AX1361" s="6" t="s">
        <v>21183</v>
      </c>
      <c r="AY1361" s="6" t="s">
        <v>22977</v>
      </c>
      <c r="AZ1361" s="6" t="s">
        <v>104</v>
      </c>
      <c r="BA1361" s="6" t="s">
        <v>104</v>
      </c>
      <c r="BB1361" s="24" t="n">
        <v>831</v>
      </c>
      <c r="BC1361" s="26"/>
      <c r="BD1361" s="26"/>
      <c r="BE1361" s="26"/>
      <c r="BF1361" s="26"/>
      <c r="BG1361" s="26"/>
      <c r="BH1361" s="26"/>
      <c r="BI1361" s="26"/>
      <c r="BJ1361" s="26"/>
      <c r="BK1361" s="26"/>
      <c r="BL1361" s="26"/>
      <c r="BM1361" s="26"/>
      <c r="BN1361" s="26"/>
      <c r="BO1361" s="26" t="s">
        <v>24533</v>
      </c>
      <c r="BP1361" s="16" t="n">
        <v>45674</v>
      </c>
      <c r="BQ1361" s="28" t="str">
        <f>HYPERLINK("https://organic.ams.usda.gov/Integrity/Certificate.aspx?cid=43&amp;nopid=3531052484")</f>
        <v>https://organic.ams.usda.gov/Integrity/Certificate.aspx?cid=43&amp;nopid=3531052484</v>
      </c>
    </row>
    <row r="1362">
      <c r="A1362" t="s">
        <v>3</v>
      </c>
      <c r="B1362" s="6" t="s">
        <v>20</v>
      </c>
      <c r="C1362" s="6" t="s">
        <v>86</v>
      </c>
      <c r="D1362" s="6" t="s">
        <v>151</v>
      </c>
      <c r="E1362" s="10" t="s">
        <v>1560</v>
      </c>
      <c r="F1362" s="6" t="s">
        <v>3800</v>
      </c>
      <c r="G1362" s="6" t="s">
        <v>104</v>
      </c>
      <c r="H1362" s="6" t="s">
        <v>6128</v>
      </c>
      <c r="I1362" s="6" t="s">
        <v>7732</v>
      </c>
      <c r="J1362" s="6" t="s">
        <v>9147</v>
      </c>
      <c r="K1362" s="6" t="s">
        <v>9714</v>
      </c>
      <c r="L1362" s="16" t="n">
        <v>42030</v>
      </c>
      <c r="M1362" s="16" t="n">
        <v>45747</v>
      </c>
      <c r="N1362" s="6" t="s">
        <v>9714</v>
      </c>
      <c r="O1362" s="16" t="n">
        <v>42030</v>
      </c>
      <c r="P1362" s="6" t="s">
        <v>10106</v>
      </c>
      <c r="Q1362" s="6" t="s">
        <v>104</v>
      </c>
      <c r="R1362" s="6" t="s">
        <v>10400</v>
      </c>
      <c r="S1362" s="6" t="s">
        <v>104</v>
      </c>
      <c r="T1362" s="21" t="s">
        <v>104</v>
      </c>
      <c r="U1362" s="6" t="s">
        <v>104</v>
      </c>
      <c r="V1362" s="6" t="s">
        <v>104</v>
      </c>
      <c r="W1362" s="6" t="s">
        <v>104</v>
      </c>
      <c r="X1362" s="6" t="s">
        <v>104</v>
      </c>
      <c r="Y1362" s="21" t="s">
        <v>104</v>
      </c>
      <c r="Z1362" s="6" t="s">
        <v>104</v>
      </c>
      <c r="AA1362" s="6" t="s">
        <v>104</v>
      </c>
      <c r="AB1362" s="6" t="s">
        <v>104</v>
      </c>
      <c r="AC1362" s="6" t="s">
        <v>9714</v>
      </c>
      <c r="AD1362" s="16" t="n">
        <v>42030</v>
      </c>
      <c r="AE1362" s="6" t="s">
        <v>11708</v>
      </c>
      <c r="AF1362" s="6" t="s">
        <v>104</v>
      </c>
      <c r="AG1362" s="6" t="s">
        <v>10400</v>
      </c>
      <c r="AH1362" s="6" t="s">
        <v>14396</v>
      </c>
      <c r="AI1362" s="6" t="s">
        <v>104</v>
      </c>
      <c r="AJ1362" s="6" t="s">
        <v>16235</v>
      </c>
      <c r="AK1362" s="6" t="s">
        <v>16868</v>
      </c>
      <c r="AL1362" s="6" t="s">
        <v>15513</v>
      </c>
      <c r="AM1362" s="6" t="s">
        <v>17903</v>
      </c>
      <c r="AN1362" s="6" t="s">
        <v>104</v>
      </c>
      <c r="AO1362" s="6" t="s">
        <v>104</v>
      </c>
      <c r="AP1362" s="6" t="s">
        <v>104</v>
      </c>
      <c r="AQ1362" s="6" t="s">
        <v>104</v>
      </c>
      <c r="AR1362" s="6" t="s">
        <v>104</v>
      </c>
      <c r="AS1362" s="6" t="s">
        <v>104</v>
      </c>
      <c r="AT1362" s="6" t="s">
        <v>104</v>
      </c>
      <c r="AU1362" s="6" t="s">
        <v>104</v>
      </c>
      <c r="AV1362" s="6" t="s">
        <v>104</v>
      </c>
      <c r="AW1362" s="6" t="s">
        <v>104</v>
      </c>
      <c r="AX1362" s="6" t="s">
        <v>21184</v>
      </c>
      <c r="AY1362" s="6" t="s">
        <v>22978</v>
      </c>
      <c r="AZ1362" s="6" t="s">
        <v>104</v>
      </c>
      <c r="BA1362" s="6" t="s">
        <v>24437</v>
      </c>
      <c r="BB1362" s="24" t="n">
        <v>3965</v>
      </c>
      <c r="BC1362" s="26"/>
      <c r="BD1362" s="26"/>
      <c r="BE1362" s="26"/>
      <c r="BF1362" s="26"/>
      <c r="BG1362" s="26"/>
      <c r="BH1362" s="26"/>
      <c r="BI1362" s="26"/>
      <c r="BJ1362" s="26"/>
      <c r="BK1362" s="26"/>
      <c r="BL1362" s="26"/>
      <c r="BM1362" s="26"/>
      <c r="BN1362" s="26"/>
      <c r="BO1362" s="26" t="s">
        <v>24533</v>
      </c>
      <c r="BP1362" s="16" t="n">
        <v>45600</v>
      </c>
      <c r="BQ1362" s="28" t="str">
        <f>HYPERLINK("https://organic.ams.usda.gov/Integrity/Certificate.aspx?cid=17&amp;nopid=4083800010")</f>
        <v>https://organic.ams.usda.gov/Integrity/Certificate.aspx?cid=17&amp;nopid=4083800010</v>
      </c>
    </row>
    <row r="1363">
      <c r="A1363" t="s">
        <v>3</v>
      </c>
      <c r="B1363" s="6" t="s">
        <v>53</v>
      </c>
      <c r="C1363" s="6" t="s">
        <v>119</v>
      </c>
      <c r="D1363" s="6" t="s">
        <v>183</v>
      </c>
      <c r="E1363" s="10" t="s">
        <v>1561</v>
      </c>
      <c r="F1363" s="6" t="s">
        <v>3801</v>
      </c>
      <c r="G1363" s="6" t="s">
        <v>104</v>
      </c>
      <c r="H1363" s="6" t="s">
        <v>104</v>
      </c>
      <c r="I1363" s="6" t="s">
        <v>7733</v>
      </c>
      <c r="J1363" s="6" t="s">
        <v>9148</v>
      </c>
      <c r="K1363" s="6" t="s">
        <v>9714</v>
      </c>
      <c r="L1363" s="16" t="n">
        <v>41353</v>
      </c>
      <c r="M1363" s="16" t="n">
        <v>45736</v>
      </c>
      <c r="N1363" s="6" t="s">
        <v>104</v>
      </c>
      <c r="O1363" s="21" t="s">
        <v>104</v>
      </c>
      <c r="P1363" s="6" t="s">
        <v>104</v>
      </c>
      <c r="Q1363" s="6" t="s">
        <v>104</v>
      </c>
      <c r="R1363" s="6" t="s">
        <v>104</v>
      </c>
      <c r="S1363" s="6" t="s">
        <v>104</v>
      </c>
      <c r="T1363" s="21" t="s">
        <v>104</v>
      </c>
      <c r="U1363" s="6" t="s">
        <v>104</v>
      </c>
      <c r="V1363" s="6" t="s">
        <v>104</v>
      </c>
      <c r="W1363" s="6" t="s">
        <v>104</v>
      </c>
      <c r="X1363" s="6" t="s">
        <v>104</v>
      </c>
      <c r="Y1363" s="21" t="s">
        <v>104</v>
      </c>
      <c r="Z1363" s="6" t="s">
        <v>104</v>
      </c>
      <c r="AA1363" s="6" t="s">
        <v>104</v>
      </c>
      <c r="AB1363" s="6" t="s">
        <v>104</v>
      </c>
      <c r="AC1363" s="6" t="s">
        <v>9714</v>
      </c>
      <c r="AD1363" s="16" t="n">
        <v>41353</v>
      </c>
      <c r="AE1363" s="6" t="s">
        <v>11709</v>
      </c>
      <c r="AF1363" s="6" t="s">
        <v>104</v>
      </c>
      <c r="AG1363" s="6" t="s">
        <v>104</v>
      </c>
      <c r="AH1363" s="6" t="s">
        <v>14397</v>
      </c>
      <c r="AI1363" s="6" t="s">
        <v>104</v>
      </c>
      <c r="AJ1363" s="6" t="s">
        <v>16236</v>
      </c>
      <c r="AK1363" s="6" t="s">
        <v>16687</v>
      </c>
      <c r="AL1363" s="6" t="s">
        <v>16931</v>
      </c>
      <c r="AM1363" s="6" t="s">
        <v>17904</v>
      </c>
      <c r="AN1363" s="6" t="s">
        <v>18487</v>
      </c>
      <c r="AO1363" s="6" t="s">
        <v>18601</v>
      </c>
      <c r="AP1363" s="6" t="s">
        <v>104</v>
      </c>
      <c r="AQ1363" s="6" t="s">
        <v>104</v>
      </c>
      <c r="AR1363" s="6" t="s">
        <v>104</v>
      </c>
      <c r="AS1363" s="6" t="s">
        <v>104</v>
      </c>
      <c r="AT1363" s="6" t="s">
        <v>104</v>
      </c>
      <c r="AU1363" s="6" t="s">
        <v>104</v>
      </c>
      <c r="AV1363" s="6" t="s">
        <v>104</v>
      </c>
      <c r="AW1363" s="6" t="s">
        <v>104</v>
      </c>
      <c r="AX1363" s="6" t="s">
        <v>21185</v>
      </c>
      <c r="AY1363" s="6" t="s">
        <v>22979</v>
      </c>
      <c r="AZ1363" s="6" t="s">
        <v>24030</v>
      </c>
      <c r="BA1363" s="6" t="s">
        <v>104</v>
      </c>
      <c r="BB1363" s="6" t="s">
        <v>104</v>
      </c>
      <c r="BC1363" s="26"/>
      <c r="BD1363" s="26"/>
      <c r="BE1363" s="26"/>
      <c r="BF1363" s="26"/>
      <c r="BG1363" s="26"/>
      <c r="BH1363" s="26"/>
      <c r="BI1363" s="26"/>
      <c r="BJ1363" s="26"/>
      <c r="BK1363" s="26"/>
      <c r="BL1363" s="26"/>
      <c r="BM1363" s="26"/>
      <c r="BN1363" s="26"/>
      <c r="BO1363" s="26"/>
      <c r="BP1363" s="16" t="n">
        <v>45734</v>
      </c>
      <c r="BQ1363" s="28" t="str">
        <f>HYPERLINK("https://organic.ams.usda.gov/Integrity/Certificate.aspx?cid=74&amp;nopid=5350000026")</f>
        <v>https://organic.ams.usda.gov/Integrity/Certificate.aspx?cid=74&amp;nopid=5350000026</v>
      </c>
    </row>
    <row r="1364">
      <c r="A1364" t="s">
        <v>3</v>
      </c>
      <c r="B1364" s="6" t="s">
        <v>20</v>
      </c>
      <c r="C1364" s="6" t="s">
        <v>86</v>
      </c>
      <c r="D1364" s="6" t="s">
        <v>151</v>
      </c>
      <c r="E1364" s="10" t="s">
        <v>1562</v>
      </c>
      <c r="F1364" s="6" t="s">
        <v>3802</v>
      </c>
      <c r="G1364" s="6" t="s">
        <v>104</v>
      </c>
      <c r="H1364" s="6" t="s">
        <v>6129</v>
      </c>
      <c r="I1364" s="6" t="s">
        <v>7734</v>
      </c>
      <c r="J1364" s="6" t="s">
        <v>9149</v>
      </c>
      <c r="K1364" s="6" t="s">
        <v>9714</v>
      </c>
      <c r="L1364" s="16" t="n">
        <v>44020</v>
      </c>
      <c r="M1364" s="16" t="n">
        <v>45945</v>
      </c>
      <c r="N1364" s="6" t="s">
        <v>104</v>
      </c>
      <c r="O1364" s="21" t="s">
        <v>104</v>
      </c>
      <c r="P1364" s="6" t="s">
        <v>104</v>
      </c>
      <c r="Q1364" s="6" t="s">
        <v>104</v>
      </c>
      <c r="R1364" s="6" t="s">
        <v>104</v>
      </c>
      <c r="S1364" s="6" t="s">
        <v>104</v>
      </c>
      <c r="T1364" s="21" t="s">
        <v>104</v>
      </c>
      <c r="U1364" s="6" t="s">
        <v>104</v>
      </c>
      <c r="V1364" s="6" t="s">
        <v>104</v>
      </c>
      <c r="W1364" s="6" t="s">
        <v>104</v>
      </c>
      <c r="X1364" s="6" t="s">
        <v>104</v>
      </c>
      <c r="Y1364" s="21" t="s">
        <v>104</v>
      </c>
      <c r="Z1364" s="6" t="s">
        <v>104</v>
      </c>
      <c r="AA1364" s="6" t="s">
        <v>104</v>
      </c>
      <c r="AB1364" s="6" t="s">
        <v>104</v>
      </c>
      <c r="AC1364" s="6" t="s">
        <v>9714</v>
      </c>
      <c r="AD1364" s="16" t="n">
        <v>44020</v>
      </c>
      <c r="AE1364" s="6" t="s">
        <v>11710</v>
      </c>
      <c r="AF1364" s="6" t="s">
        <v>104</v>
      </c>
      <c r="AG1364" s="6" t="s">
        <v>12910</v>
      </c>
      <c r="AH1364" s="6" t="s">
        <v>14398</v>
      </c>
      <c r="AI1364" s="6" t="s">
        <v>104</v>
      </c>
      <c r="AJ1364" s="6" t="s">
        <v>15373</v>
      </c>
      <c r="AK1364" s="6" t="s">
        <v>15373</v>
      </c>
      <c r="AL1364" s="6" t="s">
        <v>16933</v>
      </c>
      <c r="AM1364" s="6" t="s">
        <v>17905</v>
      </c>
      <c r="AN1364" s="6" t="s">
        <v>104</v>
      </c>
      <c r="AO1364" s="6" t="s">
        <v>104</v>
      </c>
      <c r="AP1364" s="6" t="s">
        <v>104</v>
      </c>
      <c r="AQ1364" s="6" t="s">
        <v>104</v>
      </c>
      <c r="AR1364" s="6" t="s">
        <v>104</v>
      </c>
      <c r="AS1364" s="6" t="s">
        <v>104</v>
      </c>
      <c r="AT1364" s="6" t="s">
        <v>104</v>
      </c>
      <c r="AU1364" s="6" t="s">
        <v>104</v>
      </c>
      <c r="AV1364" s="6" t="s">
        <v>104</v>
      </c>
      <c r="AW1364" s="6" t="s">
        <v>104</v>
      </c>
      <c r="AX1364" s="6" t="s">
        <v>21186</v>
      </c>
      <c r="AY1364" s="6" t="s">
        <v>22980</v>
      </c>
      <c r="AZ1364" s="6" t="s">
        <v>24031</v>
      </c>
      <c r="BA1364" s="6" t="s">
        <v>24438</v>
      </c>
      <c r="BB1364" s="6" t="s">
        <v>104</v>
      </c>
      <c r="BC1364" s="26"/>
      <c r="BD1364" s="26"/>
      <c r="BE1364" s="26"/>
      <c r="BF1364" s="26"/>
      <c r="BG1364" s="26"/>
      <c r="BH1364" s="26"/>
      <c r="BI1364" s="26"/>
      <c r="BJ1364" s="26"/>
      <c r="BK1364" s="26"/>
      <c r="BL1364" s="26"/>
      <c r="BM1364" s="26"/>
      <c r="BN1364" s="26"/>
      <c r="BO1364" s="26"/>
      <c r="BP1364" s="16" t="n">
        <v>45653</v>
      </c>
      <c r="BQ1364" s="28" t="str">
        <f>HYPERLINK("https://organic.ams.usda.gov/Integrity/Certificate.aspx?cid=17&amp;nopid=4087186316")</f>
        <v>https://organic.ams.usda.gov/Integrity/Certificate.aspx?cid=17&amp;nopid=4087186316</v>
      </c>
    </row>
    <row r="1365">
      <c r="A1365" t="s">
        <v>3</v>
      </c>
      <c r="B1365" s="6" t="s">
        <v>29</v>
      </c>
      <c r="C1365" s="6" t="s">
        <v>95</v>
      </c>
      <c r="D1365" s="6" t="s">
        <v>160</v>
      </c>
      <c r="E1365" s="10" t="s">
        <v>1563</v>
      </c>
      <c r="F1365" s="6" t="s">
        <v>3803</v>
      </c>
      <c r="G1365" s="6" t="s">
        <v>104</v>
      </c>
      <c r="H1365" s="6" t="s">
        <v>6130</v>
      </c>
      <c r="I1365" s="6" t="s">
        <v>104</v>
      </c>
      <c r="J1365" s="6" t="s">
        <v>104</v>
      </c>
      <c r="K1365" s="6" t="s">
        <v>9714</v>
      </c>
      <c r="L1365" s="16" t="n">
        <v>45604</v>
      </c>
      <c r="M1365" s="16" t="n">
        <v>45778</v>
      </c>
      <c r="N1365" s="6" t="s">
        <v>9714</v>
      </c>
      <c r="O1365" s="16" t="n">
        <v>45604</v>
      </c>
      <c r="P1365" s="6" t="s">
        <v>10107</v>
      </c>
      <c r="Q1365" s="6" t="s">
        <v>104</v>
      </c>
      <c r="R1365" s="6" t="s">
        <v>104</v>
      </c>
      <c r="S1365" s="6" t="s">
        <v>104</v>
      </c>
      <c r="T1365" s="21" t="s">
        <v>104</v>
      </c>
      <c r="U1365" s="6" t="s">
        <v>104</v>
      </c>
      <c r="V1365" s="6" t="s">
        <v>104</v>
      </c>
      <c r="W1365" s="6" t="s">
        <v>104</v>
      </c>
      <c r="X1365" s="6" t="s">
        <v>104</v>
      </c>
      <c r="Y1365" s="21" t="s">
        <v>104</v>
      </c>
      <c r="Z1365" s="6" t="s">
        <v>104</v>
      </c>
      <c r="AA1365" s="6" t="s">
        <v>104</v>
      </c>
      <c r="AB1365" s="6" t="s">
        <v>104</v>
      </c>
      <c r="AC1365" s="6" t="s">
        <v>104</v>
      </c>
      <c r="AD1365" s="21" t="s">
        <v>104</v>
      </c>
      <c r="AE1365" s="6" t="s">
        <v>104</v>
      </c>
      <c r="AF1365" s="6" t="s">
        <v>104</v>
      </c>
      <c r="AG1365" s="6" t="s">
        <v>104</v>
      </c>
      <c r="AH1365" s="6" t="s">
        <v>14399</v>
      </c>
      <c r="AI1365" s="6" t="s">
        <v>104</v>
      </c>
      <c r="AJ1365" s="6" t="s">
        <v>104</v>
      </c>
      <c r="AK1365" s="6" t="s">
        <v>16270</v>
      </c>
      <c r="AL1365" s="6" t="s">
        <v>16932</v>
      </c>
      <c r="AM1365" s="6" t="s">
        <v>17906</v>
      </c>
      <c r="AN1365" s="6" t="s">
        <v>104</v>
      </c>
      <c r="AO1365" s="6" t="s">
        <v>104</v>
      </c>
      <c r="AP1365" s="6" t="s">
        <v>104</v>
      </c>
      <c r="AQ1365" s="6" t="s">
        <v>104</v>
      </c>
      <c r="AR1365" s="6" t="s">
        <v>104</v>
      </c>
      <c r="AS1365" s="6" t="s">
        <v>104</v>
      </c>
      <c r="AT1365" s="6" t="s">
        <v>104</v>
      </c>
      <c r="AU1365" s="6" t="s">
        <v>104</v>
      </c>
      <c r="AV1365" s="6" t="s">
        <v>104</v>
      </c>
      <c r="AW1365" s="6" t="s">
        <v>104</v>
      </c>
      <c r="AX1365" s="6" t="s">
        <v>20986</v>
      </c>
      <c r="AY1365" s="6" t="s">
        <v>22773</v>
      </c>
      <c r="AZ1365" s="6" t="s">
        <v>104</v>
      </c>
      <c r="BA1365" s="6" t="s">
        <v>104</v>
      </c>
      <c r="BB1365" s="24" t="n">
        <v>5215</v>
      </c>
      <c r="BC1365" s="26"/>
      <c r="BD1365" s="26"/>
      <c r="BE1365" s="26"/>
      <c r="BF1365" s="26"/>
      <c r="BG1365" s="26"/>
      <c r="BH1365" s="26"/>
      <c r="BI1365" s="26"/>
      <c r="BJ1365" s="26"/>
      <c r="BK1365" s="26"/>
      <c r="BL1365" s="26"/>
      <c r="BM1365" s="26"/>
      <c r="BN1365" s="26"/>
      <c r="BO1365" s="26"/>
      <c r="BP1365" s="16" t="n">
        <v>45605</v>
      </c>
      <c r="BQ1365" s="28" t="str">
        <f>HYPERLINK("https://organic.ams.usda.gov/Integrity/Certificate.aspx?cid=24&amp;nopid=7880297790")</f>
        <v>https://organic.ams.usda.gov/Integrity/Certificate.aspx?cid=24&amp;nopid=7880297790</v>
      </c>
    </row>
    <row r="1366">
      <c r="A1366" t="s">
        <v>3</v>
      </c>
      <c r="B1366" s="6" t="s">
        <v>45</v>
      </c>
      <c r="C1366" s="6" t="s">
        <v>111</v>
      </c>
      <c r="D1366" s="6" t="s">
        <v>175</v>
      </c>
      <c r="E1366" s="10" t="s">
        <v>1564</v>
      </c>
      <c r="F1366" s="6" t="s">
        <v>3804</v>
      </c>
      <c r="G1366" s="6" t="s">
        <v>104</v>
      </c>
      <c r="H1366" s="6" t="s">
        <v>5269</v>
      </c>
      <c r="I1366" s="6" t="s">
        <v>7617</v>
      </c>
      <c r="J1366" s="6" t="s">
        <v>9150</v>
      </c>
      <c r="K1366" s="6" t="s">
        <v>9714</v>
      </c>
      <c r="L1366" s="16" t="n">
        <v>37375</v>
      </c>
      <c r="M1366" s="16" t="n">
        <v>46082</v>
      </c>
      <c r="N1366" s="6" t="s">
        <v>9714</v>
      </c>
      <c r="O1366" s="16" t="n">
        <v>37375</v>
      </c>
      <c r="P1366" s="6" t="s">
        <v>10108</v>
      </c>
      <c r="Q1366" s="6" t="s">
        <v>104</v>
      </c>
      <c r="R1366" s="6" t="s">
        <v>4667</v>
      </c>
      <c r="S1366" s="6" t="s">
        <v>104</v>
      </c>
      <c r="T1366" s="21" t="s">
        <v>104</v>
      </c>
      <c r="U1366" s="6" t="s">
        <v>104</v>
      </c>
      <c r="V1366" s="6" t="s">
        <v>104</v>
      </c>
      <c r="W1366" s="6" t="s">
        <v>104</v>
      </c>
      <c r="X1366" s="6" t="s">
        <v>104</v>
      </c>
      <c r="Y1366" s="21" t="s">
        <v>104</v>
      </c>
      <c r="Z1366" s="6" t="s">
        <v>104</v>
      </c>
      <c r="AA1366" s="6" t="s">
        <v>104</v>
      </c>
      <c r="AB1366" s="6" t="s">
        <v>104</v>
      </c>
      <c r="AC1366" s="6" t="s">
        <v>104</v>
      </c>
      <c r="AD1366" s="21" t="s">
        <v>104</v>
      </c>
      <c r="AE1366" s="6" t="s">
        <v>104</v>
      </c>
      <c r="AF1366" s="6" t="s">
        <v>104</v>
      </c>
      <c r="AG1366" s="6" t="s">
        <v>104</v>
      </c>
      <c r="AH1366" s="6" t="s">
        <v>14400</v>
      </c>
      <c r="AI1366" s="6" t="s">
        <v>104</v>
      </c>
      <c r="AJ1366" s="6" t="s">
        <v>16237</v>
      </c>
      <c r="AK1366" s="6" t="s">
        <v>16382</v>
      </c>
      <c r="AL1366" s="6" t="s">
        <v>16931</v>
      </c>
      <c r="AM1366" s="6" t="s">
        <v>17907</v>
      </c>
      <c r="AN1366" s="6" t="s">
        <v>104</v>
      </c>
      <c r="AO1366" s="6" t="s">
        <v>104</v>
      </c>
      <c r="AP1366" s="6" t="s">
        <v>19315</v>
      </c>
      <c r="AQ1366" s="6" t="s">
        <v>104</v>
      </c>
      <c r="AR1366" s="6" t="s">
        <v>16237</v>
      </c>
      <c r="AS1366" s="6" t="s">
        <v>16382</v>
      </c>
      <c r="AT1366" s="6" t="s">
        <v>16931</v>
      </c>
      <c r="AU1366" s="6" t="s">
        <v>17907</v>
      </c>
      <c r="AV1366" s="6" t="s">
        <v>18508</v>
      </c>
      <c r="AW1366" s="6" t="s">
        <v>20098</v>
      </c>
      <c r="AX1366" s="6" t="s">
        <v>21187</v>
      </c>
      <c r="AY1366" s="6" t="s">
        <v>22981</v>
      </c>
      <c r="AZ1366" s="6" t="s">
        <v>24032</v>
      </c>
      <c r="BA1366" s="6" t="s">
        <v>104</v>
      </c>
      <c r="BB1366" s="24" t="n">
        <v>423</v>
      </c>
      <c r="BC1366" s="26"/>
      <c r="BD1366" s="26"/>
      <c r="BE1366" s="26"/>
      <c r="BF1366" s="26"/>
      <c r="BG1366" s="26"/>
      <c r="BH1366" s="26"/>
      <c r="BI1366" s="26"/>
      <c r="BJ1366" s="26"/>
      <c r="BK1366" s="26"/>
      <c r="BL1366" s="26"/>
      <c r="BM1366" s="26"/>
      <c r="BN1366" s="26"/>
      <c r="BO1366" s="26"/>
      <c r="BP1366" s="16" t="n">
        <v>45739</v>
      </c>
      <c r="BQ1366" s="28" t="str">
        <f>HYPERLINK("https://organic.ams.usda.gov/Integrity/Certificate.aspx?cid=82&amp;nopid=2780000470")</f>
        <v>https://organic.ams.usda.gov/Integrity/Certificate.aspx?cid=82&amp;nopid=2780000470</v>
      </c>
    </row>
    <row r="1367">
      <c r="A1367" t="s">
        <v>3</v>
      </c>
      <c r="B1367" s="6" t="s">
        <v>45</v>
      </c>
      <c r="C1367" s="6" t="s">
        <v>111</v>
      </c>
      <c r="D1367" s="6" t="s">
        <v>175</v>
      </c>
      <c r="E1367" s="10" t="s">
        <v>1565</v>
      </c>
      <c r="F1367" s="6" t="s">
        <v>3805</v>
      </c>
      <c r="G1367" s="6" t="s">
        <v>104</v>
      </c>
      <c r="H1367" s="6" t="s">
        <v>6131</v>
      </c>
      <c r="I1367" s="6" t="s">
        <v>7735</v>
      </c>
      <c r="J1367" s="6" t="s">
        <v>9151</v>
      </c>
      <c r="K1367" s="6" t="s">
        <v>9714</v>
      </c>
      <c r="L1367" s="16" t="n">
        <v>44628</v>
      </c>
      <c r="M1367" s="16" t="n">
        <v>46082</v>
      </c>
      <c r="N1367" s="6" t="s">
        <v>104</v>
      </c>
      <c r="O1367" s="21" t="s">
        <v>104</v>
      </c>
      <c r="P1367" s="6" t="s">
        <v>104</v>
      </c>
      <c r="Q1367" s="6" t="s">
        <v>104</v>
      </c>
      <c r="R1367" s="6" t="s">
        <v>104</v>
      </c>
      <c r="S1367" s="6" t="s">
        <v>104</v>
      </c>
      <c r="T1367" s="21" t="s">
        <v>104</v>
      </c>
      <c r="U1367" s="6" t="s">
        <v>104</v>
      </c>
      <c r="V1367" s="6" t="s">
        <v>104</v>
      </c>
      <c r="W1367" s="6" t="s">
        <v>104</v>
      </c>
      <c r="X1367" s="6" t="s">
        <v>104</v>
      </c>
      <c r="Y1367" s="21" t="s">
        <v>104</v>
      </c>
      <c r="Z1367" s="6" t="s">
        <v>104</v>
      </c>
      <c r="AA1367" s="6" t="s">
        <v>104</v>
      </c>
      <c r="AB1367" s="6" t="s">
        <v>104</v>
      </c>
      <c r="AC1367" s="6" t="s">
        <v>9714</v>
      </c>
      <c r="AD1367" s="16" t="n">
        <v>44628</v>
      </c>
      <c r="AE1367" s="6" t="s">
        <v>11711</v>
      </c>
      <c r="AF1367" s="6" t="s">
        <v>104</v>
      </c>
      <c r="AG1367" s="6" t="s">
        <v>4667</v>
      </c>
      <c r="AH1367" s="6" t="s">
        <v>14401</v>
      </c>
      <c r="AI1367" s="6" t="s">
        <v>104</v>
      </c>
      <c r="AJ1367" s="6" t="s">
        <v>16238</v>
      </c>
      <c r="AK1367" s="6" t="s">
        <v>16382</v>
      </c>
      <c r="AL1367" s="6" t="s">
        <v>16931</v>
      </c>
      <c r="AM1367" s="6" t="s">
        <v>17908</v>
      </c>
      <c r="AN1367" s="6" t="s">
        <v>104</v>
      </c>
      <c r="AO1367" s="6" t="s">
        <v>104</v>
      </c>
      <c r="AP1367" s="6" t="s">
        <v>19316</v>
      </c>
      <c r="AQ1367" s="6" t="s">
        <v>104</v>
      </c>
      <c r="AR1367" s="6" t="s">
        <v>16274</v>
      </c>
      <c r="AS1367" s="6" t="s">
        <v>16382</v>
      </c>
      <c r="AT1367" s="6" t="s">
        <v>16931</v>
      </c>
      <c r="AU1367" s="6" t="s">
        <v>19974</v>
      </c>
      <c r="AV1367" s="6" t="s">
        <v>18511</v>
      </c>
      <c r="AW1367" s="6" t="s">
        <v>20099</v>
      </c>
      <c r="AX1367" s="6" t="s">
        <v>21188</v>
      </c>
      <c r="AY1367" s="6" t="s">
        <v>22982</v>
      </c>
      <c r="AZ1367" s="6" t="s">
        <v>104</v>
      </c>
      <c r="BA1367" s="6" t="s">
        <v>104</v>
      </c>
      <c r="BB1367" s="6" t="s">
        <v>104</v>
      </c>
      <c r="BC1367" s="26"/>
      <c r="BD1367" s="26"/>
      <c r="BE1367" s="26"/>
      <c r="BF1367" s="26"/>
      <c r="BG1367" s="26"/>
      <c r="BH1367" s="26"/>
      <c r="BI1367" s="26"/>
      <c r="BJ1367" s="26"/>
      <c r="BK1367" s="26"/>
      <c r="BL1367" s="26"/>
      <c r="BM1367" s="26"/>
      <c r="BN1367" s="26"/>
      <c r="BO1367" s="26"/>
      <c r="BP1367" s="16" t="n">
        <v>45739</v>
      </c>
      <c r="BQ1367" s="28" t="str">
        <f>HYPERLINK("https://organic.ams.usda.gov/Integrity/Certificate.aspx?cid=82&amp;nopid=2780003839")</f>
        <v>https://organic.ams.usda.gov/Integrity/Certificate.aspx?cid=82&amp;nopid=2780003839</v>
      </c>
    </row>
    <row r="1368">
      <c r="A1368" t="s">
        <v>3</v>
      </c>
      <c r="B1368" s="6" t="s">
        <v>34</v>
      </c>
      <c r="C1368" s="6" t="s">
        <v>100</v>
      </c>
      <c r="D1368" s="6" t="s">
        <v>165</v>
      </c>
      <c r="E1368" s="10" t="s">
        <v>1566</v>
      </c>
      <c r="F1368" s="6" t="s">
        <v>3806</v>
      </c>
      <c r="G1368" s="6" t="s">
        <v>104</v>
      </c>
      <c r="H1368" s="6" t="s">
        <v>6132</v>
      </c>
      <c r="I1368" s="6" t="s">
        <v>7736</v>
      </c>
      <c r="J1368" s="6" t="s">
        <v>9127</v>
      </c>
      <c r="K1368" s="6" t="s">
        <v>9714</v>
      </c>
      <c r="L1368" s="16" t="n">
        <v>45058</v>
      </c>
      <c r="M1368" s="16" t="n">
        <v>45733</v>
      </c>
      <c r="N1368" s="6" t="s">
        <v>104</v>
      </c>
      <c r="O1368" s="21" t="s">
        <v>104</v>
      </c>
      <c r="P1368" s="6" t="s">
        <v>104</v>
      </c>
      <c r="Q1368" s="6" t="s">
        <v>104</v>
      </c>
      <c r="R1368" s="6" t="s">
        <v>104</v>
      </c>
      <c r="S1368" s="6" t="s">
        <v>104</v>
      </c>
      <c r="T1368" s="21" t="s">
        <v>104</v>
      </c>
      <c r="U1368" s="6" t="s">
        <v>104</v>
      </c>
      <c r="V1368" s="6" t="s">
        <v>104</v>
      </c>
      <c r="W1368" s="6" t="s">
        <v>104</v>
      </c>
      <c r="X1368" s="6" t="s">
        <v>104</v>
      </c>
      <c r="Y1368" s="21" t="s">
        <v>104</v>
      </c>
      <c r="Z1368" s="6" t="s">
        <v>104</v>
      </c>
      <c r="AA1368" s="6" t="s">
        <v>104</v>
      </c>
      <c r="AB1368" s="6" t="s">
        <v>104</v>
      </c>
      <c r="AC1368" s="6" t="s">
        <v>9714</v>
      </c>
      <c r="AD1368" s="16" t="n">
        <v>45058</v>
      </c>
      <c r="AE1368" s="6" t="s">
        <v>11712</v>
      </c>
      <c r="AF1368" s="6" t="s">
        <v>104</v>
      </c>
      <c r="AG1368" s="6" t="s">
        <v>12911</v>
      </c>
      <c r="AH1368" s="6" t="s">
        <v>14402</v>
      </c>
      <c r="AI1368" s="6" t="s">
        <v>104</v>
      </c>
      <c r="AJ1368" s="6" t="s">
        <v>16239</v>
      </c>
      <c r="AK1368" s="6" t="s">
        <v>16803</v>
      </c>
      <c r="AL1368" s="6" t="s">
        <v>16931</v>
      </c>
      <c r="AM1368" s="6" t="s">
        <v>17909</v>
      </c>
      <c r="AN1368" s="6" t="s">
        <v>17970</v>
      </c>
      <c r="AO1368" s="6" t="s">
        <v>18793</v>
      </c>
      <c r="AP1368" s="6" t="s">
        <v>14402</v>
      </c>
      <c r="AQ1368" s="6" t="s">
        <v>104</v>
      </c>
      <c r="AR1368" s="6" t="s">
        <v>16239</v>
      </c>
      <c r="AS1368" s="6" t="s">
        <v>16803</v>
      </c>
      <c r="AT1368" s="6" t="s">
        <v>16931</v>
      </c>
      <c r="AU1368" s="6" t="s">
        <v>17909</v>
      </c>
      <c r="AV1368" s="6" t="s">
        <v>104</v>
      </c>
      <c r="AW1368" s="6" t="s">
        <v>104</v>
      </c>
      <c r="AX1368" s="6" t="s">
        <v>21189</v>
      </c>
      <c r="AY1368" s="6" t="s">
        <v>22983</v>
      </c>
      <c r="AZ1368" s="6" t="s">
        <v>24033</v>
      </c>
      <c r="BA1368" s="6" t="s">
        <v>104</v>
      </c>
      <c r="BB1368" s="6" t="s">
        <v>104</v>
      </c>
      <c r="BC1368" s="26"/>
      <c r="BD1368" s="26"/>
      <c r="BE1368" s="26"/>
      <c r="BF1368" s="26"/>
      <c r="BG1368" s="26"/>
      <c r="BH1368" s="26"/>
      <c r="BI1368" s="26"/>
      <c r="BJ1368" s="26"/>
      <c r="BK1368" s="26"/>
      <c r="BL1368" s="26"/>
      <c r="BM1368" s="26"/>
      <c r="BN1368" s="26"/>
      <c r="BO1368" s="26"/>
      <c r="BP1368" s="16" t="n">
        <v>45737</v>
      </c>
      <c r="BQ1368" s="28" t="str">
        <f>HYPERLINK("https://organic.ams.usda.gov/Integrity/Certificate.aspx?cid=71&amp;nopid=5520762477")</f>
        <v>https://organic.ams.usda.gov/Integrity/Certificate.aspx?cid=71&amp;nopid=5520762477</v>
      </c>
    </row>
    <row r="1369">
      <c r="A1369" t="s">
        <v>3</v>
      </c>
      <c r="B1369" s="6" t="s">
        <v>19</v>
      </c>
      <c r="C1369" s="6" t="s">
        <v>85</v>
      </c>
      <c r="D1369" s="6" t="s">
        <v>150</v>
      </c>
      <c r="E1369" s="10" t="s">
        <v>1567</v>
      </c>
      <c r="F1369" s="6" t="s">
        <v>3807</v>
      </c>
      <c r="G1369" s="6" t="s">
        <v>104</v>
      </c>
      <c r="H1369" s="6" t="s">
        <v>6133</v>
      </c>
      <c r="I1369" s="6" t="s">
        <v>7737</v>
      </c>
      <c r="J1369" s="6" t="s">
        <v>9152</v>
      </c>
      <c r="K1369" s="6" t="s">
        <v>9714</v>
      </c>
      <c r="L1369" s="16" t="n">
        <v>43053</v>
      </c>
      <c r="M1369" s="16" t="n">
        <v>45717</v>
      </c>
      <c r="N1369" s="6" t="s">
        <v>104</v>
      </c>
      <c r="O1369" s="21" t="s">
        <v>104</v>
      </c>
      <c r="P1369" s="6" t="s">
        <v>104</v>
      </c>
      <c r="Q1369" s="6" t="s">
        <v>104</v>
      </c>
      <c r="R1369" s="6" t="s">
        <v>104</v>
      </c>
      <c r="S1369" s="6" t="s">
        <v>104</v>
      </c>
      <c r="T1369" s="21" t="s">
        <v>104</v>
      </c>
      <c r="U1369" s="6" t="s">
        <v>104</v>
      </c>
      <c r="V1369" s="6" t="s">
        <v>104</v>
      </c>
      <c r="W1369" s="6" t="s">
        <v>104</v>
      </c>
      <c r="X1369" s="6" t="s">
        <v>104</v>
      </c>
      <c r="Y1369" s="21" t="s">
        <v>104</v>
      </c>
      <c r="Z1369" s="6" t="s">
        <v>104</v>
      </c>
      <c r="AA1369" s="6" t="s">
        <v>104</v>
      </c>
      <c r="AB1369" s="6" t="s">
        <v>104</v>
      </c>
      <c r="AC1369" s="6" t="s">
        <v>9714</v>
      </c>
      <c r="AD1369" s="16" t="n">
        <v>43053</v>
      </c>
      <c r="AE1369" s="6" t="s">
        <v>11713</v>
      </c>
      <c r="AF1369" s="6" t="s">
        <v>104</v>
      </c>
      <c r="AG1369" s="6" t="s">
        <v>104</v>
      </c>
      <c r="AH1369" s="6" t="s">
        <v>14403</v>
      </c>
      <c r="AI1369" s="6" t="s">
        <v>15305</v>
      </c>
      <c r="AJ1369" s="6" t="s">
        <v>16240</v>
      </c>
      <c r="AK1369" s="6" t="s">
        <v>16680</v>
      </c>
      <c r="AL1369" s="6" t="s">
        <v>16931</v>
      </c>
      <c r="AM1369" s="6" t="s">
        <v>17910</v>
      </c>
      <c r="AN1369" s="6" t="s">
        <v>18466</v>
      </c>
      <c r="AO1369" s="6" t="s">
        <v>18832</v>
      </c>
      <c r="AP1369" s="6" t="s">
        <v>14403</v>
      </c>
      <c r="AQ1369" s="6" t="s">
        <v>15305</v>
      </c>
      <c r="AR1369" s="6" t="s">
        <v>16240</v>
      </c>
      <c r="AS1369" s="6" t="s">
        <v>16680</v>
      </c>
      <c r="AT1369" s="6" t="s">
        <v>16931</v>
      </c>
      <c r="AU1369" s="6" t="s">
        <v>17910</v>
      </c>
      <c r="AV1369" s="6" t="s">
        <v>104</v>
      </c>
      <c r="AW1369" s="6" t="s">
        <v>104</v>
      </c>
      <c r="AX1369" s="6" t="s">
        <v>21190</v>
      </c>
      <c r="AY1369" s="6" t="s">
        <v>22984</v>
      </c>
      <c r="AZ1369" s="6" t="s">
        <v>104</v>
      </c>
      <c r="BA1369" s="6" t="s">
        <v>104</v>
      </c>
      <c r="BB1369" s="6" t="s">
        <v>104</v>
      </c>
      <c r="BC1369" s="26"/>
      <c r="BD1369" s="26"/>
      <c r="BE1369" s="26"/>
      <c r="BF1369" s="26"/>
      <c r="BG1369" s="26"/>
      <c r="BH1369" s="26"/>
      <c r="BI1369" s="26"/>
      <c r="BJ1369" s="26"/>
      <c r="BK1369" s="26"/>
      <c r="BL1369" s="26"/>
      <c r="BM1369" s="26"/>
      <c r="BN1369" s="26"/>
      <c r="BO1369" s="26"/>
      <c r="BP1369" s="16" t="n">
        <v>45694</v>
      </c>
      <c r="BQ1369" s="28" t="str">
        <f>HYPERLINK("https://organic.ams.usda.gov/Integrity/Certificate.aspx?cid=68&amp;nopid=8210005943")</f>
        <v>https://organic.ams.usda.gov/Integrity/Certificate.aspx?cid=68&amp;nopid=8210005943</v>
      </c>
    </row>
    <row r="1370">
      <c r="A1370" t="s">
        <v>3</v>
      </c>
      <c r="B1370" s="6" t="s">
        <v>25</v>
      </c>
      <c r="C1370" s="6" t="s">
        <v>91</v>
      </c>
      <c r="D1370" s="6" t="s">
        <v>156</v>
      </c>
      <c r="E1370" s="10" t="s">
        <v>1568</v>
      </c>
      <c r="F1370" s="6" t="s">
        <v>3808</v>
      </c>
      <c r="G1370" s="6" t="s">
        <v>104</v>
      </c>
      <c r="H1370" s="6" t="s">
        <v>6134</v>
      </c>
      <c r="I1370" s="6" t="s">
        <v>104</v>
      </c>
      <c r="J1370" s="6" t="s">
        <v>104</v>
      </c>
      <c r="K1370" s="6" t="s">
        <v>9714</v>
      </c>
      <c r="L1370" s="16" t="n">
        <v>45271</v>
      </c>
      <c r="M1370" s="16" t="n">
        <v>45539</v>
      </c>
      <c r="N1370" s="6" t="s">
        <v>104</v>
      </c>
      <c r="O1370" s="21" t="s">
        <v>104</v>
      </c>
      <c r="P1370" s="6" t="s">
        <v>104</v>
      </c>
      <c r="Q1370" s="6" t="s">
        <v>104</v>
      </c>
      <c r="R1370" s="6" t="s">
        <v>104</v>
      </c>
      <c r="S1370" s="6" t="s">
        <v>104</v>
      </c>
      <c r="T1370" s="21" t="s">
        <v>104</v>
      </c>
      <c r="U1370" s="6" t="s">
        <v>104</v>
      </c>
      <c r="V1370" s="6" t="s">
        <v>104</v>
      </c>
      <c r="W1370" s="6" t="s">
        <v>104</v>
      </c>
      <c r="X1370" s="6" t="s">
        <v>104</v>
      </c>
      <c r="Y1370" s="21" t="s">
        <v>104</v>
      </c>
      <c r="Z1370" s="6" t="s">
        <v>104</v>
      </c>
      <c r="AA1370" s="6" t="s">
        <v>104</v>
      </c>
      <c r="AB1370" s="6" t="s">
        <v>104</v>
      </c>
      <c r="AC1370" s="6" t="s">
        <v>9714</v>
      </c>
      <c r="AD1370" s="16" t="n">
        <v>45271</v>
      </c>
      <c r="AE1370" s="6" t="s">
        <v>11714</v>
      </c>
      <c r="AF1370" s="6" t="s">
        <v>104</v>
      </c>
      <c r="AG1370" s="6" t="s">
        <v>104</v>
      </c>
      <c r="AH1370" s="6" t="s">
        <v>14404</v>
      </c>
      <c r="AI1370" s="6" t="s">
        <v>104</v>
      </c>
      <c r="AJ1370" s="6" t="s">
        <v>15897</v>
      </c>
      <c r="AK1370" s="6" t="s">
        <v>16691</v>
      </c>
      <c r="AL1370" s="6" t="s">
        <v>16935</v>
      </c>
      <c r="AM1370" s="6" t="s">
        <v>17531</v>
      </c>
      <c r="AN1370" s="6" t="s">
        <v>104</v>
      </c>
      <c r="AO1370" s="6" t="s">
        <v>104</v>
      </c>
      <c r="AP1370" s="6" t="s">
        <v>19317</v>
      </c>
      <c r="AQ1370" s="6" t="s">
        <v>104</v>
      </c>
      <c r="AR1370" s="6" t="s">
        <v>19722</v>
      </c>
      <c r="AS1370" s="6" t="s">
        <v>16370</v>
      </c>
      <c r="AT1370" s="6" t="s">
        <v>16931</v>
      </c>
      <c r="AU1370" s="6" t="s">
        <v>19975</v>
      </c>
      <c r="AV1370" s="6" t="s">
        <v>104</v>
      </c>
      <c r="AW1370" s="6" t="s">
        <v>104</v>
      </c>
      <c r="AX1370" s="6" t="s">
        <v>104</v>
      </c>
      <c r="AY1370" s="6" t="s">
        <v>104</v>
      </c>
      <c r="AZ1370" s="6" t="s">
        <v>104</v>
      </c>
      <c r="BA1370" s="6" t="s">
        <v>104</v>
      </c>
      <c r="BB1370" s="6" t="s">
        <v>104</v>
      </c>
      <c r="BC1370" s="26"/>
      <c r="BD1370" s="26"/>
      <c r="BE1370" s="26"/>
      <c r="BF1370" s="26"/>
      <c r="BG1370" s="26"/>
      <c r="BH1370" s="26" t="s">
        <v>24533</v>
      </c>
      <c r="BI1370" s="26"/>
      <c r="BJ1370" s="26"/>
      <c r="BK1370" s="26"/>
      <c r="BL1370" s="26"/>
      <c r="BM1370" s="26"/>
      <c r="BN1370" s="26"/>
      <c r="BO1370" s="26"/>
      <c r="BP1370" s="16" t="n">
        <v>45369</v>
      </c>
      <c r="BQ1370" s="28" t="str">
        <f>HYPERLINK("https://organic.ams.usda.gov/Integrity/Certificate.aspx?cid=66&amp;nopid=5500007058")</f>
        <v>https://organic.ams.usda.gov/Integrity/Certificate.aspx?cid=66&amp;nopid=5500007058</v>
      </c>
    </row>
    <row r="1371">
      <c r="A1371" t="s">
        <v>3</v>
      </c>
      <c r="B1371" s="6" t="s">
        <v>19</v>
      </c>
      <c r="C1371" s="6" t="s">
        <v>85</v>
      </c>
      <c r="D1371" s="6" t="s">
        <v>150</v>
      </c>
      <c r="E1371" s="10" t="s">
        <v>1569</v>
      </c>
      <c r="F1371" s="6" t="s">
        <v>3809</v>
      </c>
      <c r="G1371" s="6" t="s">
        <v>104</v>
      </c>
      <c r="H1371" s="6" t="s">
        <v>6135</v>
      </c>
      <c r="I1371" s="6" t="s">
        <v>7738</v>
      </c>
      <c r="J1371" s="6" t="s">
        <v>8785</v>
      </c>
      <c r="K1371" s="6" t="s">
        <v>9714</v>
      </c>
      <c r="L1371" s="16" t="n">
        <v>39363</v>
      </c>
      <c r="M1371" s="16" t="n">
        <v>45717</v>
      </c>
      <c r="N1371" s="6" t="s">
        <v>104</v>
      </c>
      <c r="O1371" s="21" t="s">
        <v>104</v>
      </c>
      <c r="P1371" s="6" t="s">
        <v>104</v>
      </c>
      <c r="Q1371" s="6" t="s">
        <v>104</v>
      </c>
      <c r="R1371" s="6" t="s">
        <v>104</v>
      </c>
      <c r="S1371" s="6" t="s">
        <v>104</v>
      </c>
      <c r="T1371" s="21" t="s">
        <v>104</v>
      </c>
      <c r="U1371" s="6" t="s">
        <v>104</v>
      </c>
      <c r="V1371" s="6" t="s">
        <v>104</v>
      </c>
      <c r="W1371" s="6" t="s">
        <v>104</v>
      </c>
      <c r="X1371" s="6" t="s">
        <v>104</v>
      </c>
      <c r="Y1371" s="21" t="s">
        <v>104</v>
      </c>
      <c r="Z1371" s="6" t="s">
        <v>104</v>
      </c>
      <c r="AA1371" s="6" t="s">
        <v>104</v>
      </c>
      <c r="AB1371" s="6" t="s">
        <v>104</v>
      </c>
      <c r="AC1371" s="6" t="s">
        <v>9714</v>
      </c>
      <c r="AD1371" s="16" t="n">
        <v>39363</v>
      </c>
      <c r="AE1371" s="6" t="s">
        <v>11715</v>
      </c>
      <c r="AF1371" s="6" t="s">
        <v>104</v>
      </c>
      <c r="AG1371" s="6" t="s">
        <v>104</v>
      </c>
      <c r="AH1371" s="6" t="s">
        <v>14405</v>
      </c>
      <c r="AI1371" s="6" t="s">
        <v>104</v>
      </c>
      <c r="AJ1371" s="6" t="s">
        <v>16241</v>
      </c>
      <c r="AK1371" s="6" t="s">
        <v>16686</v>
      </c>
      <c r="AL1371" s="6" t="s">
        <v>16931</v>
      </c>
      <c r="AM1371" s="6" t="s">
        <v>17911</v>
      </c>
      <c r="AN1371" s="6" t="s">
        <v>18476</v>
      </c>
      <c r="AO1371" s="6" t="s">
        <v>18833</v>
      </c>
      <c r="AP1371" s="6" t="s">
        <v>14405</v>
      </c>
      <c r="AQ1371" s="6" t="s">
        <v>104</v>
      </c>
      <c r="AR1371" s="6" t="s">
        <v>16241</v>
      </c>
      <c r="AS1371" s="6" t="s">
        <v>16686</v>
      </c>
      <c r="AT1371" s="6" t="s">
        <v>16931</v>
      </c>
      <c r="AU1371" s="6" t="s">
        <v>17911</v>
      </c>
      <c r="AV1371" s="6" t="s">
        <v>104</v>
      </c>
      <c r="AW1371" s="6" t="s">
        <v>104</v>
      </c>
      <c r="AX1371" s="6" t="s">
        <v>21191</v>
      </c>
      <c r="AY1371" s="6" t="s">
        <v>22985</v>
      </c>
      <c r="AZ1371" s="6" t="s">
        <v>104</v>
      </c>
      <c r="BA1371" s="6" t="s">
        <v>104</v>
      </c>
      <c r="BB1371" s="6" t="s">
        <v>104</v>
      </c>
      <c r="BC1371" s="26"/>
      <c r="BD1371" s="26"/>
      <c r="BE1371" s="26"/>
      <c r="BF1371" s="26"/>
      <c r="BG1371" s="26"/>
      <c r="BH1371" s="26"/>
      <c r="BI1371" s="26"/>
      <c r="BJ1371" s="26"/>
      <c r="BK1371" s="26"/>
      <c r="BL1371" s="26"/>
      <c r="BM1371" s="26"/>
      <c r="BN1371" s="26"/>
      <c r="BO1371" s="26"/>
      <c r="BP1371" s="16" t="n">
        <v>45700</v>
      </c>
      <c r="BQ1371" s="28" t="str">
        <f>HYPERLINK("https://organic.ams.usda.gov/Integrity/Certificate.aspx?cid=68&amp;nopid=8210002272")</f>
        <v>https://organic.ams.usda.gov/Integrity/Certificate.aspx?cid=68&amp;nopid=8210002272</v>
      </c>
    </row>
    <row r="1372">
      <c r="A1372" t="s">
        <v>3</v>
      </c>
      <c r="B1372" s="6" t="s">
        <v>41</v>
      </c>
      <c r="C1372" s="6" t="s">
        <v>107</v>
      </c>
      <c r="D1372" s="6" t="s">
        <v>171</v>
      </c>
      <c r="E1372" s="10" t="s">
        <v>1570</v>
      </c>
      <c r="F1372" s="6" t="s">
        <v>3810</v>
      </c>
      <c r="G1372" s="6" t="s">
        <v>104</v>
      </c>
      <c r="H1372" s="6" t="s">
        <v>6136</v>
      </c>
      <c r="I1372" s="6" t="s">
        <v>7080</v>
      </c>
      <c r="J1372" s="6" t="s">
        <v>9153</v>
      </c>
      <c r="K1372" s="6" t="s">
        <v>9714</v>
      </c>
      <c r="L1372" s="16" t="n">
        <v>42825</v>
      </c>
      <c r="M1372" s="16" t="n">
        <v>45747</v>
      </c>
      <c r="N1372" s="6" t="s">
        <v>104</v>
      </c>
      <c r="O1372" s="21" t="s">
        <v>104</v>
      </c>
      <c r="P1372" s="6" t="s">
        <v>104</v>
      </c>
      <c r="Q1372" s="6" t="s">
        <v>104</v>
      </c>
      <c r="R1372" s="6" t="s">
        <v>104</v>
      </c>
      <c r="S1372" s="6" t="s">
        <v>104</v>
      </c>
      <c r="T1372" s="21" t="s">
        <v>104</v>
      </c>
      <c r="U1372" s="6" t="s">
        <v>104</v>
      </c>
      <c r="V1372" s="6" t="s">
        <v>104</v>
      </c>
      <c r="W1372" s="6" t="s">
        <v>104</v>
      </c>
      <c r="X1372" s="6" t="s">
        <v>104</v>
      </c>
      <c r="Y1372" s="21" t="s">
        <v>104</v>
      </c>
      <c r="Z1372" s="6" t="s">
        <v>104</v>
      </c>
      <c r="AA1372" s="6" t="s">
        <v>104</v>
      </c>
      <c r="AB1372" s="6" t="s">
        <v>104</v>
      </c>
      <c r="AC1372" s="6" t="s">
        <v>9714</v>
      </c>
      <c r="AD1372" s="16" t="n">
        <v>42825</v>
      </c>
      <c r="AE1372" s="6" t="s">
        <v>11716</v>
      </c>
      <c r="AF1372" s="6" t="s">
        <v>104</v>
      </c>
      <c r="AG1372" s="6" t="s">
        <v>104</v>
      </c>
      <c r="AH1372" s="6" t="s">
        <v>14406</v>
      </c>
      <c r="AI1372" s="6" t="s">
        <v>104</v>
      </c>
      <c r="AJ1372" s="6" t="s">
        <v>16242</v>
      </c>
      <c r="AK1372" s="6" t="s">
        <v>16706</v>
      </c>
      <c r="AL1372" s="6" t="s">
        <v>16931</v>
      </c>
      <c r="AM1372" s="6" t="s">
        <v>17912</v>
      </c>
      <c r="AN1372" s="6" t="s">
        <v>18533</v>
      </c>
      <c r="AO1372" s="6" t="s">
        <v>18834</v>
      </c>
      <c r="AP1372" s="6" t="s">
        <v>14406</v>
      </c>
      <c r="AQ1372" s="6" t="s">
        <v>104</v>
      </c>
      <c r="AR1372" s="6" t="s">
        <v>16242</v>
      </c>
      <c r="AS1372" s="6" t="s">
        <v>16706</v>
      </c>
      <c r="AT1372" s="6" t="s">
        <v>16931</v>
      </c>
      <c r="AU1372" s="6" t="s">
        <v>17912</v>
      </c>
      <c r="AV1372" s="6" t="s">
        <v>104</v>
      </c>
      <c r="AW1372" s="6" t="s">
        <v>104</v>
      </c>
      <c r="AX1372" s="6" t="s">
        <v>21192</v>
      </c>
      <c r="AY1372" s="6" t="s">
        <v>22986</v>
      </c>
      <c r="AZ1372" s="6" t="s">
        <v>104</v>
      </c>
      <c r="BA1372" s="6" t="s">
        <v>104</v>
      </c>
      <c r="BB1372" s="6" t="s">
        <v>104</v>
      </c>
      <c r="BC1372" s="26"/>
      <c r="BD1372" s="26"/>
      <c r="BE1372" s="26"/>
      <c r="BF1372" s="26"/>
      <c r="BG1372" s="26"/>
      <c r="BH1372" s="26"/>
      <c r="BI1372" s="26"/>
      <c r="BJ1372" s="26"/>
      <c r="BK1372" s="26"/>
      <c r="BL1372" s="26"/>
      <c r="BM1372" s="26"/>
      <c r="BN1372" s="26"/>
      <c r="BO1372" s="26"/>
      <c r="BP1372" s="16" t="n">
        <v>45737</v>
      </c>
      <c r="BQ1372" s="28" t="str">
        <f>HYPERLINK("https://organic.ams.usda.gov/Integrity/Certificate.aspx?cid=58&amp;nopid=1600002821")</f>
        <v>https://organic.ams.usda.gov/Integrity/Certificate.aspx?cid=58&amp;nopid=1600002821</v>
      </c>
    </row>
    <row r="1373">
      <c r="A1373" t="s">
        <v>3</v>
      </c>
      <c r="B1373" s="6" t="s">
        <v>57</v>
      </c>
      <c r="C1373" s="6" t="s">
        <v>123</v>
      </c>
      <c r="D1373" s="6" t="s">
        <v>187</v>
      </c>
      <c r="E1373" s="10" t="s">
        <v>1571</v>
      </c>
      <c r="F1373" s="6" t="s">
        <v>3811</v>
      </c>
      <c r="G1373" s="6" t="s">
        <v>4804</v>
      </c>
      <c r="H1373" s="6" t="s">
        <v>6137</v>
      </c>
      <c r="I1373" s="6" t="s">
        <v>7739</v>
      </c>
      <c r="J1373" s="6" t="s">
        <v>7239</v>
      </c>
      <c r="K1373" s="6" t="s">
        <v>9714</v>
      </c>
      <c r="L1373" s="16" t="n">
        <v>40151</v>
      </c>
      <c r="M1373" s="16" t="n">
        <v>45931</v>
      </c>
      <c r="N1373" s="6" t="s">
        <v>104</v>
      </c>
      <c r="O1373" s="21" t="s">
        <v>104</v>
      </c>
      <c r="P1373" s="6" t="s">
        <v>104</v>
      </c>
      <c r="Q1373" s="6" t="s">
        <v>104</v>
      </c>
      <c r="R1373" s="6" t="s">
        <v>104</v>
      </c>
      <c r="S1373" s="6" t="s">
        <v>104</v>
      </c>
      <c r="T1373" s="21" t="s">
        <v>104</v>
      </c>
      <c r="U1373" s="6" t="s">
        <v>104</v>
      </c>
      <c r="V1373" s="6" t="s">
        <v>104</v>
      </c>
      <c r="W1373" s="6" t="s">
        <v>104</v>
      </c>
      <c r="X1373" s="6" t="s">
        <v>104</v>
      </c>
      <c r="Y1373" s="21" t="s">
        <v>104</v>
      </c>
      <c r="Z1373" s="6" t="s">
        <v>104</v>
      </c>
      <c r="AA1373" s="6" t="s">
        <v>104</v>
      </c>
      <c r="AB1373" s="6" t="s">
        <v>104</v>
      </c>
      <c r="AC1373" s="6" t="s">
        <v>9714</v>
      </c>
      <c r="AD1373" s="16" t="n">
        <v>40151</v>
      </c>
      <c r="AE1373" s="6" t="s">
        <v>11717</v>
      </c>
      <c r="AF1373" s="6" t="s">
        <v>104</v>
      </c>
      <c r="AG1373" s="6" t="s">
        <v>104</v>
      </c>
      <c r="AH1373" s="6" t="s">
        <v>14407</v>
      </c>
      <c r="AI1373" s="6" t="s">
        <v>104</v>
      </c>
      <c r="AJ1373" s="6" t="s">
        <v>9280</v>
      </c>
      <c r="AK1373" s="6" t="s">
        <v>16730</v>
      </c>
      <c r="AL1373" s="6" t="s">
        <v>16931</v>
      </c>
      <c r="AM1373" s="6" t="s">
        <v>17913</v>
      </c>
      <c r="AN1373" s="6" t="s">
        <v>18517</v>
      </c>
      <c r="AO1373" s="6" t="s">
        <v>18559</v>
      </c>
      <c r="AP1373" s="6" t="s">
        <v>14407</v>
      </c>
      <c r="AQ1373" s="6" t="s">
        <v>104</v>
      </c>
      <c r="AR1373" s="6" t="s">
        <v>9280</v>
      </c>
      <c r="AS1373" s="6" t="s">
        <v>16730</v>
      </c>
      <c r="AT1373" s="6" t="s">
        <v>16931</v>
      </c>
      <c r="AU1373" s="6" t="s">
        <v>17913</v>
      </c>
      <c r="AV1373" s="6" t="s">
        <v>104</v>
      </c>
      <c r="AW1373" s="6" t="s">
        <v>104</v>
      </c>
      <c r="AX1373" s="6" t="s">
        <v>21193</v>
      </c>
      <c r="AY1373" s="6" t="s">
        <v>22987</v>
      </c>
      <c r="AZ1373" s="6" t="s">
        <v>104</v>
      </c>
      <c r="BA1373" s="6" t="s">
        <v>104</v>
      </c>
      <c r="BB1373" s="6" t="s">
        <v>104</v>
      </c>
      <c r="BC1373" s="26"/>
      <c r="BD1373" s="26"/>
      <c r="BE1373" s="26"/>
      <c r="BF1373" s="26"/>
      <c r="BG1373" s="26"/>
      <c r="BH1373" s="26"/>
      <c r="BI1373" s="26"/>
      <c r="BJ1373" s="26"/>
      <c r="BK1373" s="26"/>
      <c r="BL1373" s="26"/>
      <c r="BM1373" s="26"/>
      <c r="BN1373" s="26"/>
      <c r="BO1373" s="26"/>
      <c r="BP1373" s="16" t="n">
        <v>45735</v>
      </c>
      <c r="BQ1373" s="28" t="str">
        <f>HYPERLINK("https://organic.ams.usda.gov/Integrity/Certificate.aspx?cid=19&amp;nopid=6350000314")</f>
        <v>https://organic.ams.usda.gov/Integrity/Certificate.aspx?cid=19&amp;nopid=6350000314</v>
      </c>
    </row>
    <row r="1374">
      <c r="A1374" t="s">
        <v>3</v>
      </c>
      <c r="B1374" s="6" t="s">
        <v>14</v>
      </c>
      <c r="C1374" s="6" t="s">
        <v>80</v>
      </c>
      <c r="D1374" s="6" t="s">
        <v>145</v>
      </c>
      <c r="E1374" s="10" t="s">
        <v>1572</v>
      </c>
      <c r="F1374" s="6" t="s">
        <v>3812</v>
      </c>
      <c r="G1374" s="6" t="s">
        <v>104</v>
      </c>
      <c r="H1374" s="6" t="s">
        <v>6138</v>
      </c>
      <c r="I1374" s="6" t="s">
        <v>104</v>
      </c>
      <c r="J1374" s="6" t="s">
        <v>104</v>
      </c>
      <c r="K1374" s="6" t="s">
        <v>9714</v>
      </c>
      <c r="L1374" s="16" t="n">
        <v>45313</v>
      </c>
      <c r="M1374" s="16" t="n">
        <v>45963</v>
      </c>
      <c r="N1374" s="6" t="s">
        <v>9714</v>
      </c>
      <c r="O1374" s="16" t="n">
        <v>45313</v>
      </c>
      <c r="P1374" s="6" t="s">
        <v>10109</v>
      </c>
      <c r="Q1374" s="6" t="s">
        <v>104</v>
      </c>
      <c r="R1374" s="6" t="s">
        <v>104</v>
      </c>
      <c r="S1374" s="6" t="s">
        <v>104</v>
      </c>
      <c r="T1374" s="21" t="s">
        <v>104</v>
      </c>
      <c r="U1374" s="6" t="s">
        <v>104</v>
      </c>
      <c r="V1374" s="6" t="s">
        <v>104</v>
      </c>
      <c r="W1374" s="6" t="s">
        <v>104</v>
      </c>
      <c r="X1374" s="6" t="s">
        <v>104</v>
      </c>
      <c r="Y1374" s="21" t="s">
        <v>104</v>
      </c>
      <c r="Z1374" s="6" t="s">
        <v>104</v>
      </c>
      <c r="AA1374" s="6" t="s">
        <v>104</v>
      </c>
      <c r="AB1374" s="6" t="s">
        <v>104</v>
      </c>
      <c r="AC1374" s="6" t="s">
        <v>104</v>
      </c>
      <c r="AD1374" s="21" t="s">
        <v>104</v>
      </c>
      <c r="AE1374" s="6" t="s">
        <v>104</v>
      </c>
      <c r="AF1374" s="6" t="s">
        <v>104</v>
      </c>
      <c r="AG1374" s="6" t="s">
        <v>104</v>
      </c>
      <c r="AH1374" s="6" t="s">
        <v>14408</v>
      </c>
      <c r="AI1374" s="6" t="s">
        <v>104</v>
      </c>
      <c r="AJ1374" s="6" t="s">
        <v>15429</v>
      </c>
      <c r="AK1374" s="6" t="s">
        <v>15885</v>
      </c>
      <c r="AL1374" s="6" t="s">
        <v>16932</v>
      </c>
      <c r="AM1374" s="6" t="s">
        <v>17914</v>
      </c>
      <c r="AN1374" s="6" t="s">
        <v>104</v>
      </c>
      <c r="AO1374" s="6" t="s">
        <v>104</v>
      </c>
      <c r="AP1374" s="6" t="s">
        <v>19318</v>
      </c>
      <c r="AQ1374" s="6" t="s">
        <v>104</v>
      </c>
      <c r="AR1374" s="6" t="s">
        <v>15429</v>
      </c>
      <c r="AS1374" s="6" t="s">
        <v>15885</v>
      </c>
      <c r="AT1374" s="6" t="s">
        <v>16932</v>
      </c>
      <c r="AU1374" s="6" t="s">
        <v>19976</v>
      </c>
      <c r="AV1374" s="6" t="s">
        <v>104</v>
      </c>
      <c r="AW1374" s="6" t="s">
        <v>104</v>
      </c>
      <c r="AX1374" s="6" t="s">
        <v>104</v>
      </c>
      <c r="AY1374" s="6" t="s">
        <v>104</v>
      </c>
      <c r="AZ1374" s="6" t="s">
        <v>104</v>
      </c>
      <c r="BA1374" s="6" t="s">
        <v>104</v>
      </c>
      <c r="BB1374" s="24" t="n">
        <v>4204</v>
      </c>
      <c r="BC1374" s="26"/>
      <c r="BD1374" s="26"/>
      <c r="BE1374" s="26"/>
      <c r="BF1374" s="26"/>
      <c r="BG1374" s="26"/>
      <c r="BH1374" s="26"/>
      <c r="BI1374" s="26"/>
      <c r="BJ1374" s="26"/>
      <c r="BK1374" s="26"/>
      <c r="BL1374" s="26"/>
      <c r="BM1374" s="26"/>
      <c r="BN1374" s="26"/>
      <c r="BO1374" s="26"/>
      <c r="BP1374" s="16" t="n">
        <v>45659</v>
      </c>
      <c r="BQ1374" s="28" t="str">
        <f>HYPERLINK("https://organic.ams.usda.gov/Integrity/Certificate.aspx?cid=89&amp;nopid=4920006683")</f>
        <v>https://organic.ams.usda.gov/Integrity/Certificate.aspx?cid=89&amp;nopid=4920006683</v>
      </c>
    </row>
    <row r="1375">
      <c r="A1375" t="s">
        <v>3</v>
      </c>
      <c r="B1375" s="6" t="s">
        <v>48</v>
      </c>
      <c r="C1375" s="6" t="s">
        <v>114</v>
      </c>
      <c r="D1375" s="6" t="s">
        <v>178</v>
      </c>
      <c r="E1375" s="10" t="s">
        <v>1573</v>
      </c>
      <c r="F1375" s="6" t="s">
        <v>3813</v>
      </c>
      <c r="G1375" s="6" t="s">
        <v>104</v>
      </c>
      <c r="H1375" s="6" t="s">
        <v>6139</v>
      </c>
      <c r="I1375" s="6" t="s">
        <v>104</v>
      </c>
      <c r="J1375" s="6" t="s">
        <v>104</v>
      </c>
      <c r="K1375" s="6" t="s">
        <v>9714</v>
      </c>
      <c r="L1375" s="16" t="n">
        <v>44890</v>
      </c>
      <c r="M1375" s="16" t="n">
        <v>45991</v>
      </c>
      <c r="N1375" s="6" t="s">
        <v>104</v>
      </c>
      <c r="O1375" s="21" t="s">
        <v>104</v>
      </c>
      <c r="P1375" s="6" t="s">
        <v>104</v>
      </c>
      <c r="Q1375" s="6" t="s">
        <v>104</v>
      </c>
      <c r="R1375" s="6" t="s">
        <v>104</v>
      </c>
      <c r="S1375" s="6" t="s">
        <v>104</v>
      </c>
      <c r="T1375" s="21" t="s">
        <v>104</v>
      </c>
      <c r="U1375" s="6" t="s">
        <v>104</v>
      </c>
      <c r="V1375" s="6" t="s">
        <v>104</v>
      </c>
      <c r="W1375" s="6" t="s">
        <v>104</v>
      </c>
      <c r="X1375" s="6" t="s">
        <v>104</v>
      </c>
      <c r="Y1375" s="21" t="s">
        <v>104</v>
      </c>
      <c r="Z1375" s="6" t="s">
        <v>104</v>
      </c>
      <c r="AA1375" s="6" t="s">
        <v>104</v>
      </c>
      <c r="AB1375" s="6" t="s">
        <v>104</v>
      </c>
      <c r="AC1375" s="6" t="s">
        <v>9714</v>
      </c>
      <c r="AD1375" s="16" t="n">
        <v>44890</v>
      </c>
      <c r="AE1375" s="6" t="s">
        <v>11718</v>
      </c>
      <c r="AF1375" s="6" t="s">
        <v>104</v>
      </c>
      <c r="AG1375" s="6" t="s">
        <v>104</v>
      </c>
      <c r="AH1375" s="6" t="s">
        <v>14409</v>
      </c>
      <c r="AI1375" s="6" t="s">
        <v>104</v>
      </c>
      <c r="AJ1375" s="6" t="s">
        <v>16243</v>
      </c>
      <c r="AK1375" s="6" t="s">
        <v>104</v>
      </c>
      <c r="AL1375" s="6" t="s">
        <v>16933</v>
      </c>
      <c r="AM1375" s="6" t="s">
        <v>104</v>
      </c>
      <c r="AN1375" s="6" t="s">
        <v>104</v>
      </c>
      <c r="AO1375" s="6" t="s">
        <v>104</v>
      </c>
      <c r="AP1375" s="6" t="s">
        <v>14409</v>
      </c>
      <c r="AQ1375" s="6" t="s">
        <v>104</v>
      </c>
      <c r="AR1375" s="6" t="s">
        <v>16243</v>
      </c>
      <c r="AS1375" s="6" t="s">
        <v>104</v>
      </c>
      <c r="AT1375" s="6" t="s">
        <v>16933</v>
      </c>
      <c r="AU1375" s="6" t="s">
        <v>104</v>
      </c>
      <c r="AV1375" s="6" t="s">
        <v>104</v>
      </c>
      <c r="AW1375" s="6" t="s">
        <v>104</v>
      </c>
      <c r="AX1375" s="6" t="s">
        <v>21194</v>
      </c>
      <c r="AY1375" s="6" t="s">
        <v>22988</v>
      </c>
      <c r="AZ1375" s="6" t="s">
        <v>24034</v>
      </c>
      <c r="BA1375" s="6" t="s">
        <v>104</v>
      </c>
      <c r="BB1375" s="6" t="s">
        <v>104</v>
      </c>
      <c r="BC1375" s="26"/>
      <c r="BD1375" s="26"/>
      <c r="BE1375" s="26"/>
      <c r="BF1375" s="26"/>
      <c r="BG1375" s="26"/>
      <c r="BH1375" s="26"/>
      <c r="BI1375" s="26"/>
      <c r="BJ1375" s="26"/>
      <c r="BK1375" s="26"/>
      <c r="BL1375" s="26"/>
      <c r="BM1375" s="26"/>
      <c r="BN1375" s="26"/>
      <c r="BO1375" s="26"/>
      <c r="BP1375" s="16" t="n">
        <v>45686</v>
      </c>
      <c r="BQ1375" s="28" t="str">
        <f>HYPERLINK("https://organic.ams.usda.gov/Integrity/Certificate.aspx?cid=9&amp;nopid=1203766900")</f>
        <v>https://organic.ams.usda.gov/Integrity/Certificate.aspx?cid=9&amp;nopid=1203766900</v>
      </c>
    </row>
    <row r="1376">
      <c r="A1376" t="s">
        <v>3</v>
      </c>
      <c r="B1376" s="6" t="s">
        <v>57</v>
      </c>
      <c r="C1376" s="6" t="s">
        <v>123</v>
      </c>
      <c r="D1376" s="6" t="s">
        <v>187</v>
      </c>
      <c r="E1376" s="10" t="s">
        <v>1574</v>
      </c>
      <c r="F1376" s="6" t="s">
        <v>3814</v>
      </c>
      <c r="G1376" s="6" t="s">
        <v>104</v>
      </c>
      <c r="H1376" s="6" t="s">
        <v>6140</v>
      </c>
      <c r="I1376" s="6" t="s">
        <v>7005</v>
      </c>
      <c r="J1376" s="6" t="s">
        <v>8561</v>
      </c>
      <c r="K1376" s="6" t="s">
        <v>9714</v>
      </c>
      <c r="L1376" s="16" t="n">
        <v>42276</v>
      </c>
      <c r="M1376" s="16" t="n">
        <v>45809</v>
      </c>
      <c r="N1376" s="6" t="s">
        <v>9714</v>
      </c>
      <c r="O1376" s="16" t="n">
        <v>42276</v>
      </c>
      <c r="P1376" s="6" t="s">
        <v>10110</v>
      </c>
      <c r="Q1376" s="6" t="s">
        <v>104</v>
      </c>
      <c r="R1376" s="6" t="s">
        <v>104</v>
      </c>
      <c r="S1376" s="6" t="s">
        <v>104</v>
      </c>
      <c r="T1376" s="21" t="s">
        <v>104</v>
      </c>
      <c r="U1376" s="6" t="s">
        <v>104</v>
      </c>
      <c r="V1376" s="6" t="s">
        <v>104</v>
      </c>
      <c r="W1376" s="6" t="s">
        <v>104</v>
      </c>
      <c r="X1376" s="6" t="s">
        <v>104</v>
      </c>
      <c r="Y1376" s="21" t="s">
        <v>104</v>
      </c>
      <c r="Z1376" s="6" t="s">
        <v>104</v>
      </c>
      <c r="AA1376" s="6" t="s">
        <v>104</v>
      </c>
      <c r="AB1376" s="6" t="s">
        <v>104</v>
      </c>
      <c r="AC1376" s="6" t="s">
        <v>104</v>
      </c>
      <c r="AD1376" s="21" t="s">
        <v>104</v>
      </c>
      <c r="AE1376" s="6" t="s">
        <v>104</v>
      </c>
      <c r="AF1376" s="6" t="s">
        <v>104</v>
      </c>
      <c r="AG1376" s="6" t="s">
        <v>104</v>
      </c>
      <c r="AH1376" s="6" t="s">
        <v>14410</v>
      </c>
      <c r="AI1376" s="6" t="s">
        <v>104</v>
      </c>
      <c r="AJ1376" s="6" t="s">
        <v>16244</v>
      </c>
      <c r="AK1376" s="6" t="s">
        <v>16730</v>
      </c>
      <c r="AL1376" s="6" t="s">
        <v>16931</v>
      </c>
      <c r="AM1376" s="6" t="s">
        <v>17915</v>
      </c>
      <c r="AN1376" s="6" t="s">
        <v>18523</v>
      </c>
      <c r="AO1376" s="6" t="s">
        <v>18835</v>
      </c>
      <c r="AP1376" s="6" t="s">
        <v>19319</v>
      </c>
      <c r="AQ1376" s="6" t="s">
        <v>104</v>
      </c>
      <c r="AR1376" s="6" t="s">
        <v>16557</v>
      </c>
      <c r="AS1376" s="6" t="s">
        <v>16684</v>
      </c>
      <c r="AT1376" s="6" t="s">
        <v>16931</v>
      </c>
      <c r="AU1376" s="6" t="s">
        <v>19977</v>
      </c>
      <c r="AV1376" s="6" t="s">
        <v>104</v>
      </c>
      <c r="AW1376" s="6" t="s">
        <v>104</v>
      </c>
      <c r="AX1376" s="6" t="s">
        <v>21195</v>
      </c>
      <c r="AY1376" s="6" t="s">
        <v>22989</v>
      </c>
      <c r="AZ1376" s="6" t="s">
        <v>104</v>
      </c>
      <c r="BA1376" s="6" t="s">
        <v>104</v>
      </c>
      <c r="BB1376" s="24" t="n">
        <v>11648</v>
      </c>
      <c r="BC1376" s="26"/>
      <c r="BD1376" s="26"/>
      <c r="BE1376" s="26"/>
      <c r="BF1376" s="26"/>
      <c r="BG1376" s="26"/>
      <c r="BH1376" s="26"/>
      <c r="BI1376" s="26"/>
      <c r="BJ1376" s="26"/>
      <c r="BK1376" s="26"/>
      <c r="BL1376" s="26"/>
      <c r="BM1376" s="26"/>
      <c r="BN1376" s="26"/>
      <c r="BO1376" s="26"/>
      <c r="BP1376" s="16" t="n">
        <v>45735</v>
      </c>
      <c r="BQ1376" s="28" t="str">
        <f>HYPERLINK("https://organic.ams.usda.gov/Integrity/Certificate.aspx?cid=19&amp;nopid=6350000490")</f>
        <v>https://organic.ams.usda.gov/Integrity/Certificate.aspx?cid=19&amp;nopid=6350000490</v>
      </c>
    </row>
    <row r="1377">
      <c r="A1377" t="s">
        <v>3</v>
      </c>
      <c r="B1377" s="6" t="s">
        <v>29</v>
      </c>
      <c r="C1377" s="6" t="s">
        <v>95</v>
      </c>
      <c r="D1377" s="6" t="s">
        <v>160</v>
      </c>
      <c r="E1377" s="10" t="s">
        <v>1575</v>
      </c>
      <c r="F1377" s="6" t="s">
        <v>3815</v>
      </c>
      <c r="G1377" s="6" t="s">
        <v>104</v>
      </c>
      <c r="H1377" s="6" t="s">
        <v>6141</v>
      </c>
      <c r="I1377" s="6" t="s">
        <v>104</v>
      </c>
      <c r="J1377" s="6" t="s">
        <v>9154</v>
      </c>
      <c r="K1377" s="6" t="s">
        <v>9714</v>
      </c>
      <c r="L1377" s="16" t="n">
        <v>44789</v>
      </c>
      <c r="M1377" s="16" t="n">
        <v>45778</v>
      </c>
      <c r="N1377" s="6" t="s">
        <v>104</v>
      </c>
      <c r="O1377" s="21" t="s">
        <v>104</v>
      </c>
      <c r="P1377" s="6" t="s">
        <v>104</v>
      </c>
      <c r="Q1377" s="6" t="s">
        <v>104</v>
      </c>
      <c r="R1377" s="6" t="s">
        <v>104</v>
      </c>
      <c r="S1377" s="6" t="s">
        <v>104</v>
      </c>
      <c r="T1377" s="21" t="s">
        <v>104</v>
      </c>
      <c r="U1377" s="6" t="s">
        <v>104</v>
      </c>
      <c r="V1377" s="6" t="s">
        <v>104</v>
      </c>
      <c r="W1377" s="6" t="s">
        <v>104</v>
      </c>
      <c r="X1377" s="6" t="s">
        <v>104</v>
      </c>
      <c r="Y1377" s="21" t="s">
        <v>104</v>
      </c>
      <c r="Z1377" s="6" t="s">
        <v>104</v>
      </c>
      <c r="AA1377" s="6" t="s">
        <v>104</v>
      </c>
      <c r="AB1377" s="6" t="s">
        <v>104</v>
      </c>
      <c r="AC1377" s="6" t="s">
        <v>9714</v>
      </c>
      <c r="AD1377" s="16" t="n">
        <v>44789</v>
      </c>
      <c r="AE1377" s="6" t="s">
        <v>11719</v>
      </c>
      <c r="AF1377" s="6" t="s">
        <v>104</v>
      </c>
      <c r="AG1377" s="6" t="s">
        <v>104</v>
      </c>
      <c r="AH1377" s="6" t="s">
        <v>14411</v>
      </c>
      <c r="AI1377" s="6" t="s">
        <v>104</v>
      </c>
      <c r="AJ1377" s="6" t="s">
        <v>104</v>
      </c>
      <c r="AK1377" s="6" t="s">
        <v>16697</v>
      </c>
      <c r="AL1377" s="6" t="s">
        <v>16932</v>
      </c>
      <c r="AM1377" s="6" t="s">
        <v>17916</v>
      </c>
      <c r="AN1377" s="6" t="s">
        <v>104</v>
      </c>
      <c r="AO1377" s="6" t="s">
        <v>104</v>
      </c>
      <c r="AP1377" s="6" t="s">
        <v>104</v>
      </c>
      <c r="AQ1377" s="6" t="s">
        <v>104</v>
      </c>
      <c r="AR1377" s="6" t="s">
        <v>104</v>
      </c>
      <c r="AS1377" s="6" t="s">
        <v>104</v>
      </c>
      <c r="AT1377" s="6" t="s">
        <v>104</v>
      </c>
      <c r="AU1377" s="6" t="s">
        <v>104</v>
      </c>
      <c r="AV1377" s="6" t="s">
        <v>104</v>
      </c>
      <c r="AW1377" s="6" t="s">
        <v>104</v>
      </c>
      <c r="AX1377" s="6" t="s">
        <v>21196</v>
      </c>
      <c r="AY1377" s="6" t="s">
        <v>22990</v>
      </c>
      <c r="AZ1377" s="6" t="s">
        <v>104</v>
      </c>
      <c r="BA1377" s="6" t="s">
        <v>104</v>
      </c>
      <c r="BB1377" s="24" t="n">
        <v>0</v>
      </c>
      <c r="BC1377" s="26"/>
      <c r="BD1377" s="26"/>
      <c r="BE1377" s="26"/>
      <c r="BF1377" s="26"/>
      <c r="BG1377" s="26"/>
      <c r="BH1377" s="26"/>
      <c r="BI1377" s="26"/>
      <c r="BJ1377" s="26"/>
      <c r="BK1377" s="26"/>
      <c r="BL1377" s="26"/>
      <c r="BM1377" s="26"/>
      <c r="BN1377" s="26"/>
      <c r="BO1377" s="26"/>
      <c r="BP1377" s="16" t="n">
        <v>45616</v>
      </c>
      <c r="BQ1377" s="28" t="str">
        <f>HYPERLINK("https://organic.ams.usda.gov/Integrity/Certificate.aspx?cid=24&amp;nopid=7880062450")</f>
        <v>https://organic.ams.usda.gov/Integrity/Certificate.aspx?cid=24&amp;nopid=7880062450</v>
      </c>
    </row>
    <row r="1378">
      <c r="A1378" t="s">
        <v>3</v>
      </c>
      <c r="B1378" s="6" t="s">
        <v>29</v>
      </c>
      <c r="C1378" s="6" t="s">
        <v>95</v>
      </c>
      <c r="D1378" s="6" t="s">
        <v>160</v>
      </c>
      <c r="E1378" s="10" t="s">
        <v>1576</v>
      </c>
      <c r="F1378" s="6" t="s">
        <v>3815</v>
      </c>
      <c r="G1378" s="6" t="s">
        <v>104</v>
      </c>
      <c r="H1378" s="6" t="s">
        <v>6142</v>
      </c>
      <c r="I1378" s="6" t="s">
        <v>104</v>
      </c>
      <c r="J1378" s="6" t="s">
        <v>9155</v>
      </c>
      <c r="K1378" s="6" t="s">
        <v>9714</v>
      </c>
      <c r="L1378" s="16" t="n">
        <v>44783</v>
      </c>
      <c r="M1378" s="16" t="n">
        <v>45778</v>
      </c>
      <c r="N1378" s="6" t="s">
        <v>104</v>
      </c>
      <c r="O1378" s="21" t="s">
        <v>104</v>
      </c>
      <c r="P1378" s="6" t="s">
        <v>104</v>
      </c>
      <c r="Q1378" s="6" t="s">
        <v>104</v>
      </c>
      <c r="R1378" s="6" t="s">
        <v>104</v>
      </c>
      <c r="S1378" s="6" t="s">
        <v>104</v>
      </c>
      <c r="T1378" s="21" t="s">
        <v>104</v>
      </c>
      <c r="U1378" s="6" t="s">
        <v>104</v>
      </c>
      <c r="V1378" s="6" t="s">
        <v>104</v>
      </c>
      <c r="W1378" s="6" t="s">
        <v>104</v>
      </c>
      <c r="X1378" s="6" t="s">
        <v>104</v>
      </c>
      <c r="Y1378" s="21" t="s">
        <v>104</v>
      </c>
      <c r="Z1378" s="6" t="s">
        <v>104</v>
      </c>
      <c r="AA1378" s="6" t="s">
        <v>104</v>
      </c>
      <c r="AB1378" s="6" t="s">
        <v>104</v>
      </c>
      <c r="AC1378" s="6" t="s">
        <v>9714</v>
      </c>
      <c r="AD1378" s="16" t="n">
        <v>44783</v>
      </c>
      <c r="AE1378" s="6" t="s">
        <v>11720</v>
      </c>
      <c r="AF1378" s="6" t="s">
        <v>104</v>
      </c>
      <c r="AG1378" s="6" t="s">
        <v>104</v>
      </c>
      <c r="AH1378" s="6" t="s">
        <v>14412</v>
      </c>
      <c r="AI1378" s="6" t="s">
        <v>104</v>
      </c>
      <c r="AJ1378" s="6" t="s">
        <v>104</v>
      </c>
      <c r="AK1378" s="6" t="s">
        <v>16867</v>
      </c>
      <c r="AL1378" s="6" t="s">
        <v>16932</v>
      </c>
      <c r="AM1378" s="6" t="s">
        <v>17917</v>
      </c>
      <c r="AN1378" s="6" t="s">
        <v>104</v>
      </c>
      <c r="AO1378" s="6" t="s">
        <v>104</v>
      </c>
      <c r="AP1378" s="6" t="s">
        <v>104</v>
      </c>
      <c r="AQ1378" s="6" t="s">
        <v>104</v>
      </c>
      <c r="AR1378" s="6" t="s">
        <v>104</v>
      </c>
      <c r="AS1378" s="6" t="s">
        <v>104</v>
      </c>
      <c r="AT1378" s="6" t="s">
        <v>104</v>
      </c>
      <c r="AU1378" s="6" t="s">
        <v>104</v>
      </c>
      <c r="AV1378" s="6" t="s">
        <v>104</v>
      </c>
      <c r="AW1378" s="6" t="s">
        <v>104</v>
      </c>
      <c r="AX1378" s="6" t="s">
        <v>21196</v>
      </c>
      <c r="AY1378" s="6" t="s">
        <v>22990</v>
      </c>
      <c r="AZ1378" s="6" t="s">
        <v>104</v>
      </c>
      <c r="BA1378" s="6" t="s">
        <v>104</v>
      </c>
      <c r="BB1378" s="24" t="n">
        <v>0</v>
      </c>
      <c r="BC1378" s="26"/>
      <c r="BD1378" s="26"/>
      <c r="BE1378" s="26"/>
      <c r="BF1378" s="26"/>
      <c r="BG1378" s="26"/>
      <c r="BH1378" s="26"/>
      <c r="BI1378" s="26"/>
      <c r="BJ1378" s="26"/>
      <c r="BK1378" s="26"/>
      <c r="BL1378" s="26"/>
      <c r="BM1378" s="26"/>
      <c r="BN1378" s="26"/>
      <c r="BO1378" s="26"/>
      <c r="BP1378" s="16" t="n">
        <v>45738</v>
      </c>
      <c r="BQ1378" s="28" t="str">
        <f>HYPERLINK("https://organic.ams.usda.gov/Integrity/Certificate.aspx?cid=24&amp;nopid=7880266659")</f>
        <v>https://organic.ams.usda.gov/Integrity/Certificate.aspx?cid=24&amp;nopid=7880266659</v>
      </c>
    </row>
    <row r="1379">
      <c r="A1379" t="s">
        <v>3</v>
      </c>
      <c r="B1379" s="6" t="s">
        <v>21</v>
      </c>
      <c r="C1379" s="6" t="s">
        <v>87</v>
      </c>
      <c r="D1379" s="6" t="s">
        <v>152</v>
      </c>
      <c r="E1379" s="10" t="s">
        <v>1577</v>
      </c>
      <c r="F1379" s="6" t="s">
        <v>3816</v>
      </c>
      <c r="G1379" s="6" t="s">
        <v>104</v>
      </c>
      <c r="H1379" s="6" t="s">
        <v>6143</v>
      </c>
      <c r="I1379" s="6" t="s">
        <v>7691</v>
      </c>
      <c r="J1379" s="6" t="s">
        <v>9156</v>
      </c>
      <c r="K1379" s="6" t="s">
        <v>9714</v>
      </c>
      <c r="L1379" s="16" t="n">
        <v>43973</v>
      </c>
      <c r="M1379" s="16" t="n">
        <v>46023</v>
      </c>
      <c r="N1379" s="6" t="s">
        <v>9721</v>
      </c>
      <c r="O1379" s="16" t="n">
        <v>43973</v>
      </c>
      <c r="P1379" s="6" t="s">
        <v>104</v>
      </c>
      <c r="Q1379" s="6" t="s">
        <v>104</v>
      </c>
      <c r="R1379" s="6" t="s">
        <v>104</v>
      </c>
      <c r="S1379" s="6" t="s">
        <v>104</v>
      </c>
      <c r="T1379" s="21" t="s">
        <v>104</v>
      </c>
      <c r="U1379" s="6" t="s">
        <v>104</v>
      </c>
      <c r="V1379" s="6" t="s">
        <v>104</v>
      </c>
      <c r="W1379" s="6" t="s">
        <v>104</v>
      </c>
      <c r="X1379" s="6" t="s">
        <v>104</v>
      </c>
      <c r="Y1379" s="21" t="s">
        <v>104</v>
      </c>
      <c r="Z1379" s="6" t="s">
        <v>104</v>
      </c>
      <c r="AA1379" s="6" t="s">
        <v>104</v>
      </c>
      <c r="AB1379" s="6" t="s">
        <v>104</v>
      </c>
      <c r="AC1379" s="6" t="s">
        <v>9714</v>
      </c>
      <c r="AD1379" s="16" t="n">
        <v>43973</v>
      </c>
      <c r="AE1379" s="6" t="s">
        <v>11721</v>
      </c>
      <c r="AF1379" s="6" t="s">
        <v>104</v>
      </c>
      <c r="AG1379" s="6" t="s">
        <v>104</v>
      </c>
      <c r="AH1379" s="6" t="s">
        <v>14413</v>
      </c>
      <c r="AI1379" s="6" t="s">
        <v>104</v>
      </c>
      <c r="AJ1379" s="6" t="s">
        <v>16245</v>
      </c>
      <c r="AK1379" s="6" t="s">
        <v>16694</v>
      </c>
      <c r="AL1379" s="6" t="s">
        <v>16931</v>
      </c>
      <c r="AM1379" s="6" t="s">
        <v>17918</v>
      </c>
      <c r="AN1379" s="6" t="s">
        <v>18543</v>
      </c>
      <c r="AO1379" s="6" t="s">
        <v>18836</v>
      </c>
      <c r="AP1379" s="6" t="s">
        <v>19320</v>
      </c>
      <c r="AQ1379" s="6" t="s">
        <v>104</v>
      </c>
      <c r="AR1379" s="6" t="s">
        <v>15654</v>
      </c>
      <c r="AS1379" s="6" t="s">
        <v>16694</v>
      </c>
      <c r="AT1379" s="6" t="s">
        <v>16931</v>
      </c>
      <c r="AU1379" s="6" t="s">
        <v>19978</v>
      </c>
      <c r="AV1379" s="6" t="s">
        <v>104</v>
      </c>
      <c r="AW1379" s="6" t="s">
        <v>104</v>
      </c>
      <c r="AX1379" s="6" t="s">
        <v>21197</v>
      </c>
      <c r="AY1379" s="6" t="s">
        <v>22991</v>
      </c>
      <c r="AZ1379" s="6" t="s">
        <v>24035</v>
      </c>
      <c r="BA1379" s="6" t="s">
        <v>24439</v>
      </c>
      <c r="BB1379" s="6" t="s">
        <v>104</v>
      </c>
      <c r="BC1379" s="26"/>
      <c r="BD1379" s="26"/>
      <c r="BE1379" s="26"/>
      <c r="BF1379" s="26"/>
      <c r="BG1379" s="26"/>
      <c r="BH1379" s="26"/>
      <c r="BI1379" s="26"/>
      <c r="BJ1379" s="26"/>
      <c r="BK1379" s="26"/>
      <c r="BL1379" s="26"/>
      <c r="BM1379" s="26"/>
      <c r="BN1379" s="26"/>
      <c r="BO1379" s="26"/>
      <c r="BP1379" s="16" t="n">
        <v>45734</v>
      </c>
      <c r="BQ1379" s="28" t="str">
        <f>HYPERLINK("https://organic.ams.usda.gov/Integrity/Certificate.aspx?cid=15&amp;nopid=5561006423")</f>
        <v>https://organic.ams.usda.gov/Integrity/Certificate.aspx?cid=15&amp;nopid=5561006423</v>
      </c>
    </row>
    <row r="1380">
      <c r="A1380" t="s">
        <v>3</v>
      </c>
      <c r="B1380" s="6" t="s">
        <v>21</v>
      </c>
      <c r="C1380" s="6" t="s">
        <v>87</v>
      </c>
      <c r="D1380" s="6" t="s">
        <v>152</v>
      </c>
      <c r="E1380" s="10" t="s">
        <v>1578</v>
      </c>
      <c r="F1380" s="6" t="s">
        <v>3817</v>
      </c>
      <c r="G1380" s="6" t="s">
        <v>4805</v>
      </c>
      <c r="H1380" s="6" t="s">
        <v>6144</v>
      </c>
      <c r="I1380" s="6" t="s">
        <v>7021</v>
      </c>
      <c r="J1380" s="6" t="s">
        <v>8562</v>
      </c>
      <c r="K1380" s="6" t="s">
        <v>9714</v>
      </c>
      <c r="L1380" s="16" t="n">
        <v>43397</v>
      </c>
      <c r="M1380" s="16" t="n">
        <v>46023</v>
      </c>
      <c r="N1380" s="6" t="s">
        <v>104</v>
      </c>
      <c r="O1380" s="21" t="s">
        <v>104</v>
      </c>
      <c r="P1380" s="6" t="s">
        <v>104</v>
      </c>
      <c r="Q1380" s="6" t="s">
        <v>104</v>
      </c>
      <c r="R1380" s="6" t="s">
        <v>104</v>
      </c>
      <c r="S1380" s="6" t="s">
        <v>104</v>
      </c>
      <c r="T1380" s="21" t="s">
        <v>104</v>
      </c>
      <c r="U1380" s="6" t="s">
        <v>104</v>
      </c>
      <c r="V1380" s="6" t="s">
        <v>104</v>
      </c>
      <c r="W1380" s="6" t="s">
        <v>104</v>
      </c>
      <c r="X1380" s="6" t="s">
        <v>104</v>
      </c>
      <c r="Y1380" s="21" t="s">
        <v>104</v>
      </c>
      <c r="Z1380" s="6" t="s">
        <v>104</v>
      </c>
      <c r="AA1380" s="6" t="s">
        <v>104</v>
      </c>
      <c r="AB1380" s="6" t="s">
        <v>104</v>
      </c>
      <c r="AC1380" s="6" t="s">
        <v>9714</v>
      </c>
      <c r="AD1380" s="16" t="n">
        <v>43397</v>
      </c>
      <c r="AE1380" s="6" t="s">
        <v>11722</v>
      </c>
      <c r="AF1380" s="6" t="s">
        <v>104</v>
      </c>
      <c r="AG1380" s="6" t="s">
        <v>104</v>
      </c>
      <c r="AH1380" s="6" t="s">
        <v>14414</v>
      </c>
      <c r="AI1380" s="6" t="s">
        <v>104</v>
      </c>
      <c r="AJ1380" s="6" t="s">
        <v>16246</v>
      </c>
      <c r="AK1380" s="6" t="s">
        <v>16687</v>
      </c>
      <c r="AL1380" s="6" t="s">
        <v>16931</v>
      </c>
      <c r="AM1380" s="6" t="s">
        <v>17919</v>
      </c>
      <c r="AN1380" s="6" t="s">
        <v>5771</v>
      </c>
      <c r="AO1380" s="6" t="s">
        <v>18563</v>
      </c>
      <c r="AP1380" s="6" t="s">
        <v>19321</v>
      </c>
      <c r="AQ1380" s="6" t="s">
        <v>104</v>
      </c>
      <c r="AR1380" s="6" t="s">
        <v>16246</v>
      </c>
      <c r="AS1380" s="6" t="s">
        <v>16687</v>
      </c>
      <c r="AT1380" s="6" t="s">
        <v>16931</v>
      </c>
      <c r="AU1380" s="6" t="s">
        <v>19979</v>
      </c>
      <c r="AV1380" s="6" t="s">
        <v>104</v>
      </c>
      <c r="AW1380" s="6" t="s">
        <v>104</v>
      </c>
      <c r="AX1380" s="6" t="s">
        <v>21198</v>
      </c>
      <c r="AY1380" s="6" t="s">
        <v>22992</v>
      </c>
      <c r="AZ1380" s="6" t="s">
        <v>24036</v>
      </c>
      <c r="BA1380" s="6" t="s">
        <v>24440</v>
      </c>
      <c r="BB1380" s="6" t="s">
        <v>104</v>
      </c>
      <c r="BC1380" s="26"/>
      <c r="BD1380" s="26"/>
      <c r="BE1380" s="26"/>
      <c r="BF1380" s="26"/>
      <c r="BG1380" s="26" t="s">
        <v>24533</v>
      </c>
      <c r="BH1380" s="26"/>
      <c r="BI1380" s="26"/>
      <c r="BJ1380" s="26"/>
      <c r="BK1380" s="26"/>
      <c r="BL1380" s="26" t="s">
        <v>24533</v>
      </c>
      <c r="BM1380" s="26"/>
      <c r="BN1380" s="26"/>
      <c r="BO1380" s="26"/>
      <c r="BP1380" s="16" t="n">
        <v>45698</v>
      </c>
      <c r="BQ1380" s="28" t="str">
        <f>HYPERLINK("https://organic.ams.usda.gov/Integrity/Certificate.aspx?cid=15&amp;nopid=5561005284")</f>
        <v>https://organic.ams.usda.gov/Integrity/Certificate.aspx?cid=15&amp;nopid=5561005284</v>
      </c>
    </row>
    <row r="1381">
      <c r="A1381" t="s">
        <v>3</v>
      </c>
      <c r="B1381" s="6" t="s">
        <v>18</v>
      </c>
      <c r="C1381" s="6" t="s">
        <v>84</v>
      </c>
      <c r="D1381" s="6" t="s">
        <v>149</v>
      </c>
      <c r="E1381" s="10" t="s">
        <v>1579</v>
      </c>
      <c r="F1381" s="6" t="s">
        <v>3818</v>
      </c>
      <c r="G1381" s="6" t="s">
        <v>104</v>
      </c>
      <c r="H1381" s="6" t="s">
        <v>6145</v>
      </c>
      <c r="I1381" s="6" t="s">
        <v>7740</v>
      </c>
      <c r="J1381" s="6" t="s">
        <v>9157</v>
      </c>
      <c r="K1381" s="6" t="s">
        <v>9714</v>
      </c>
      <c r="L1381" s="16" t="n">
        <v>39975</v>
      </c>
      <c r="M1381" s="16" t="n">
        <v>45972</v>
      </c>
      <c r="N1381" s="6" t="s">
        <v>104</v>
      </c>
      <c r="O1381" s="21" t="s">
        <v>104</v>
      </c>
      <c r="P1381" s="6" t="s">
        <v>104</v>
      </c>
      <c r="Q1381" s="6" t="s">
        <v>104</v>
      </c>
      <c r="R1381" s="6" t="s">
        <v>104</v>
      </c>
      <c r="S1381" s="6" t="s">
        <v>104</v>
      </c>
      <c r="T1381" s="21" t="s">
        <v>104</v>
      </c>
      <c r="U1381" s="6" t="s">
        <v>104</v>
      </c>
      <c r="V1381" s="6" t="s">
        <v>104</v>
      </c>
      <c r="W1381" s="6" t="s">
        <v>104</v>
      </c>
      <c r="X1381" s="6" t="s">
        <v>104</v>
      </c>
      <c r="Y1381" s="21" t="s">
        <v>104</v>
      </c>
      <c r="Z1381" s="6" t="s">
        <v>104</v>
      </c>
      <c r="AA1381" s="6" t="s">
        <v>104</v>
      </c>
      <c r="AB1381" s="6" t="s">
        <v>104</v>
      </c>
      <c r="AC1381" s="6" t="s">
        <v>9714</v>
      </c>
      <c r="AD1381" s="16" t="n">
        <v>39975</v>
      </c>
      <c r="AE1381" s="6" t="s">
        <v>11723</v>
      </c>
      <c r="AF1381" s="6" t="s">
        <v>104</v>
      </c>
      <c r="AG1381" s="6" t="s">
        <v>12912</v>
      </c>
      <c r="AH1381" s="6" t="s">
        <v>14415</v>
      </c>
      <c r="AI1381" s="6" t="s">
        <v>104</v>
      </c>
      <c r="AJ1381" s="6" t="s">
        <v>16247</v>
      </c>
      <c r="AK1381" s="6" t="s">
        <v>16683</v>
      </c>
      <c r="AL1381" s="6" t="s">
        <v>16931</v>
      </c>
      <c r="AM1381" s="6" t="s">
        <v>17920</v>
      </c>
      <c r="AN1381" s="6" t="s">
        <v>18461</v>
      </c>
      <c r="AO1381" s="6" t="s">
        <v>18763</v>
      </c>
      <c r="AP1381" s="6" t="s">
        <v>104</v>
      </c>
      <c r="AQ1381" s="6" t="s">
        <v>104</v>
      </c>
      <c r="AR1381" s="6" t="s">
        <v>104</v>
      </c>
      <c r="AS1381" s="6" t="s">
        <v>104</v>
      </c>
      <c r="AT1381" s="6" t="s">
        <v>104</v>
      </c>
      <c r="AU1381" s="6" t="s">
        <v>104</v>
      </c>
      <c r="AV1381" s="6" t="s">
        <v>104</v>
      </c>
      <c r="AW1381" s="6" t="s">
        <v>104</v>
      </c>
      <c r="AX1381" s="6" t="s">
        <v>21199</v>
      </c>
      <c r="AY1381" s="6" t="s">
        <v>22993</v>
      </c>
      <c r="AZ1381" s="6" t="s">
        <v>104</v>
      </c>
      <c r="BA1381" s="6" t="s">
        <v>104</v>
      </c>
      <c r="BB1381" s="6" t="s">
        <v>104</v>
      </c>
      <c r="BC1381" s="26"/>
      <c r="BD1381" s="26"/>
      <c r="BE1381" s="26" t="s">
        <v>24533</v>
      </c>
      <c r="BF1381" s="26"/>
      <c r="BG1381" s="26"/>
      <c r="BH1381" s="26"/>
      <c r="BI1381" s="26"/>
      <c r="BJ1381" s="26"/>
      <c r="BK1381" s="26"/>
      <c r="BL1381" s="26"/>
      <c r="BM1381" s="26"/>
      <c r="BN1381" s="26"/>
      <c r="BO1381" s="26"/>
      <c r="BP1381" s="16" t="n">
        <v>45737</v>
      </c>
      <c r="BQ1381" s="28" t="str">
        <f>HYPERLINK("https://organic.ams.usda.gov/Integrity/Certificate.aspx?cid=31&amp;nopid=3920897844")</f>
        <v>https://organic.ams.usda.gov/Integrity/Certificate.aspx?cid=31&amp;nopid=3920897844</v>
      </c>
    </row>
    <row r="1382">
      <c r="A1382" t="s">
        <v>3</v>
      </c>
      <c r="B1382" s="6" t="s">
        <v>11</v>
      </c>
      <c r="C1382" s="6" t="s">
        <v>77</v>
      </c>
      <c r="D1382" s="6" t="s">
        <v>142</v>
      </c>
      <c r="E1382" s="10" t="s">
        <v>1580</v>
      </c>
      <c r="F1382" s="6" t="s">
        <v>3819</v>
      </c>
      <c r="G1382" s="6" t="s">
        <v>104</v>
      </c>
      <c r="H1382" s="6" t="s">
        <v>6146</v>
      </c>
      <c r="I1382" s="6" t="s">
        <v>7741</v>
      </c>
      <c r="J1382" s="6" t="s">
        <v>9158</v>
      </c>
      <c r="K1382" s="6" t="s">
        <v>9714</v>
      </c>
      <c r="L1382" s="16" t="n">
        <v>43411</v>
      </c>
      <c r="M1382" s="16" t="n">
        <v>45902</v>
      </c>
      <c r="N1382" s="6" t="s">
        <v>104</v>
      </c>
      <c r="O1382" s="21" t="s">
        <v>104</v>
      </c>
      <c r="P1382" s="6" t="s">
        <v>104</v>
      </c>
      <c r="Q1382" s="6" t="s">
        <v>104</v>
      </c>
      <c r="R1382" s="6" t="s">
        <v>104</v>
      </c>
      <c r="S1382" s="6" t="s">
        <v>104</v>
      </c>
      <c r="T1382" s="21" t="s">
        <v>104</v>
      </c>
      <c r="U1382" s="6" t="s">
        <v>104</v>
      </c>
      <c r="V1382" s="6" t="s">
        <v>104</v>
      </c>
      <c r="W1382" s="6" t="s">
        <v>104</v>
      </c>
      <c r="X1382" s="6" t="s">
        <v>104</v>
      </c>
      <c r="Y1382" s="21" t="s">
        <v>104</v>
      </c>
      <c r="Z1382" s="6" t="s">
        <v>104</v>
      </c>
      <c r="AA1382" s="6" t="s">
        <v>104</v>
      </c>
      <c r="AB1382" s="6" t="s">
        <v>104</v>
      </c>
      <c r="AC1382" s="6" t="s">
        <v>9714</v>
      </c>
      <c r="AD1382" s="16" t="n">
        <v>43411</v>
      </c>
      <c r="AE1382" s="6" t="s">
        <v>11724</v>
      </c>
      <c r="AF1382" s="6" t="s">
        <v>104</v>
      </c>
      <c r="AG1382" s="6" t="s">
        <v>104</v>
      </c>
      <c r="AH1382" s="6" t="s">
        <v>14416</v>
      </c>
      <c r="AI1382" s="6" t="s">
        <v>104</v>
      </c>
      <c r="AJ1382" s="6" t="s">
        <v>104</v>
      </c>
      <c r="AK1382" s="6" t="s">
        <v>104</v>
      </c>
      <c r="AL1382" s="6" t="s">
        <v>15737</v>
      </c>
      <c r="AM1382" s="6" t="s">
        <v>17921</v>
      </c>
      <c r="AN1382" s="6" t="s">
        <v>104</v>
      </c>
      <c r="AO1382" s="6" t="s">
        <v>104</v>
      </c>
      <c r="AP1382" s="6" t="s">
        <v>104</v>
      </c>
      <c r="AQ1382" s="6" t="s">
        <v>104</v>
      </c>
      <c r="AR1382" s="6" t="s">
        <v>104</v>
      </c>
      <c r="AS1382" s="6" t="s">
        <v>104</v>
      </c>
      <c r="AT1382" s="6" t="s">
        <v>104</v>
      </c>
      <c r="AU1382" s="6" t="s">
        <v>104</v>
      </c>
      <c r="AV1382" s="6" t="s">
        <v>104</v>
      </c>
      <c r="AW1382" s="6" t="s">
        <v>104</v>
      </c>
      <c r="AX1382" s="6" t="s">
        <v>21200</v>
      </c>
      <c r="AY1382" s="6" t="s">
        <v>22994</v>
      </c>
      <c r="AZ1382" s="6" t="s">
        <v>104</v>
      </c>
      <c r="BA1382" s="6" t="s">
        <v>104</v>
      </c>
      <c r="BB1382" s="6" t="s">
        <v>104</v>
      </c>
      <c r="BC1382" s="26"/>
      <c r="BD1382" s="26"/>
      <c r="BE1382" s="26"/>
      <c r="BF1382" s="26"/>
      <c r="BG1382" s="26"/>
      <c r="BH1382" s="26"/>
      <c r="BI1382" s="26"/>
      <c r="BJ1382" s="26"/>
      <c r="BK1382" s="26"/>
      <c r="BL1382" s="26"/>
      <c r="BM1382" s="26"/>
      <c r="BN1382" s="26"/>
      <c r="BO1382" s="26"/>
      <c r="BP1382" s="16" t="n">
        <v>45484</v>
      </c>
      <c r="BQ1382" s="28" t="str">
        <f>HYPERLINK("https://organic.ams.usda.gov/Integrity/Certificate.aspx?cid=21&amp;nopid=1780861636")</f>
        <v>https://organic.ams.usda.gov/Integrity/Certificate.aspx?cid=21&amp;nopid=1780861636</v>
      </c>
    </row>
    <row r="1383">
      <c r="A1383" t="s">
        <v>3</v>
      </c>
      <c r="B1383" s="6" t="s">
        <v>11</v>
      </c>
      <c r="C1383" s="6" t="s">
        <v>77</v>
      </c>
      <c r="D1383" s="6" t="s">
        <v>142</v>
      </c>
      <c r="E1383" s="10" t="s">
        <v>1581</v>
      </c>
      <c r="F1383" s="6" t="s">
        <v>3820</v>
      </c>
      <c r="G1383" s="6" t="s">
        <v>104</v>
      </c>
      <c r="H1383" s="6" t="s">
        <v>6147</v>
      </c>
      <c r="I1383" s="6" t="s">
        <v>7742</v>
      </c>
      <c r="J1383" s="6" t="s">
        <v>9159</v>
      </c>
      <c r="K1383" s="6" t="s">
        <v>9714</v>
      </c>
      <c r="L1383" s="16" t="n">
        <v>45352</v>
      </c>
      <c r="M1383" s="16" t="n">
        <v>45679</v>
      </c>
      <c r="N1383" s="6" t="s">
        <v>104</v>
      </c>
      <c r="O1383" s="21" t="s">
        <v>104</v>
      </c>
      <c r="P1383" s="6" t="s">
        <v>104</v>
      </c>
      <c r="Q1383" s="6" t="s">
        <v>104</v>
      </c>
      <c r="R1383" s="6" t="s">
        <v>104</v>
      </c>
      <c r="S1383" s="6" t="s">
        <v>104</v>
      </c>
      <c r="T1383" s="21" t="s">
        <v>104</v>
      </c>
      <c r="U1383" s="6" t="s">
        <v>104</v>
      </c>
      <c r="V1383" s="6" t="s">
        <v>104</v>
      </c>
      <c r="W1383" s="6" t="s">
        <v>104</v>
      </c>
      <c r="X1383" s="6" t="s">
        <v>104</v>
      </c>
      <c r="Y1383" s="21" t="s">
        <v>104</v>
      </c>
      <c r="Z1383" s="6" t="s">
        <v>104</v>
      </c>
      <c r="AA1383" s="6" t="s">
        <v>104</v>
      </c>
      <c r="AB1383" s="6" t="s">
        <v>104</v>
      </c>
      <c r="AC1383" s="6" t="s">
        <v>9714</v>
      </c>
      <c r="AD1383" s="16" t="n">
        <v>45352</v>
      </c>
      <c r="AE1383" s="6" t="s">
        <v>11725</v>
      </c>
      <c r="AF1383" s="6" t="s">
        <v>104</v>
      </c>
      <c r="AG1383" s="6" t="s">
        <v>104</v>
      </c>
      <c r="AH1383" s="6" t="s">
        <v>14417</v>
      </c>
      <c r="AI1383" s="6" t="s">
        <v>104</v>
      </c>
      <c r="AJ1383" s="6" t="s">
        <v>16248</v>
      </c>
      <c r="AK1383" s="6" t="s">
        <v>16680</v>
      </c>
      <c r="AL1383" s="6" t="s">
        <v>16931</v>
      </c>
      <c r="AM1383" s="6" t="s">
        <v>17922</v>
      </c>
      <c r="AN1383" s="6" t="s">
        <v>104</v>
      </c>
      <c r="AO1383" s="6" t="s">
        <v>104</v>
      </c>
      <c r="AP1383" s="6" t="s">
        <v>14417</v>
      </c>
      <c r="AQ1383" s="6" t="s">
        <v>104</v>
      </c>
      <c r="AR1383" s="6" t="s">
        <v>16248</v>
      </c>
      <c r="AS1383" s="6" t="s">
        <v>16680</v>
      </c>
      <c r="AT1383" s="6" t="s">
        <v>16931</v>
      </c>
      <c r="AU1383" s="6" t="s">
        <v>17922</v>
      </c>
      <c r="AV1383" s="6" t="s">
        <v>104</v>
      </c>
      <c r="AW1383" s="6" t="s">
        <v>104</v>
      </c>
      <c r="AX1383" s="6" t="s">
        <v>21201</v>
      </c>
      <c r="AY1383" s="6" t="s">
        <v>22995</v>
      </c>
      <c r="AZ1383" s="6" t="s">
        <v>104</v>
      </c>
      <c r="BA1383" s="6" t="s">
        <v>104</v>
      </c>
      <c r="BB1383" s="24" t="n">
        <v>0</v>
      </c>
      <c r="BC1383" s="26"/>
      <c r="BD1383" s="26"/>
      <c r="BE1383" s="26"/>
      <c r="BF1383" s="26"/>
      <c r="BG1383" s="26"/>
      <c r="BH1383" s="26"/>
      <c r="BI1383" s="26"/>
      <c r="BJ1383" s="26"/>
      <c r="BK1383" s="26"/>
      <c r="BL1383" s="26"/>
      <c r="BM1383" s="26"/>
      <c r="BN1383" s="26"/>
      <c r="BO1383" s="26"/>
      <c r="BP1383" s="16" t="n">
        <v>45352</v>
      </c>
      <c r="BQ1383" s="28" t="str">
        <f>HYPERLINK("https://organic.ams.usda.gov/Integrity/Certificate.aspx?cid=21&amp;nopid=1780900660")</f>
        <v>https://organic.ams.usda.gov/Integrity/Certificate.aspx?cid=21&amp;nopid=1780900660</v>
      </c>
    </row>
    <row r="1384">
      <c r="A1384" t="s">
        <v>3</v>
      </c>
      <c r="B1384" s="6" t="s">
        <v>13</v>
      </c>
      <c r="C1384" s="6" t="s">
        <v>79</v>
      </c>
      <c r="D1384" s="6" t="s">
        <v>144</v>
      </c>
      <c r="E1384" s="10" t="s">
        <v>1582</v>
      </c>
      <c r="F1384" s="6" t="s">
        <v>3821</v>
      </c>
      <c r="G1384" s="6" t="s">
        <v>104</v>
      </c>
      <c r="H1384" s="6" t="s">
        <v>6148</v>
      </c>
      <c r="I1384" s="6" t="s">
        <v>7743</v>
      </c>
      <c r="J1384" s="6" t="s">
        <v>9160</v>
      </c>
      <c r="K1384" s="6" t="s">
        <v>9714</v>
      </c>
      <c r="L1384" s="16" t="n">
        <v>42941</v>
      </c>
      <c r="M1384" s="16" t="n">
        <v>45748</v>
      </c>
      <c r="N1384" s="6" t="s">
        <v>9714</v>
      </c>
      <c r="O1384" s="16" t="n">
        <v>42941</v>
      </c>
      <c r="P1384" s="6" t="s">
        <v>10111</v>
      </c>
      <c r="Q1384" s="6" t="s">
        <v>104</v>
      </c>
      <c r="R1384" s="6" t="s">
        <v>104</v>
      </c>
      <c r="S1384" s="6" t="s">
        <v>104</v>
      </c>
      <c r="T1384" s="21" t="s">
        <v>104</v>
      </c>
      <c r="U1384" s="6" t="s">
        <v>104</v>
      </c>
      <c r="V1384" s="6" t="s">
        <v>104</v>
      </c>
      <c r="W1384" s="6" t="s">
        <v>104</v>
      </c>
      <c r="X1384" s="6" t="s">
        <v>9714</v>
      </c>
      <c r="Y1384" s="16" t="n">
        <v>43410</v>
      </c>
      <c r="Z1384" s="6" t="s">
        <v>10524</v>
      </c>
      <c r="AA1384" s="6" t="s">
        <v>104</v>
      </c>
      <c r="AB1384" s="6" t="s">
        <v>104</v>
      </c>
      <c r="AC1384" s="6" t="s">
        <v>9714</v>
      </c>
      <c r="AD1384" s="16" t="n">
        <v>42941</v>
      </c>
      <c r="AE1384" s="6" t="s">
        <v>11726</v>
      </c>
      <c r="AF1384" s="6" t="s">
        <v>104</v>
      </c>
      <c r="AG1384" s="6" t="s">
        <v>104</v>
      </c>
      <c r="AH1384" s="6" t="s">
        <v>104</v>
      </c>
      <c r="AI1384" s="6" t="s">
        <v>104</v>
      </c>
      <c r="AJ1384" s="6" t="s">
        <v>104</v>
      </c>
      <c r="AK1384" s="6" t="s">
        <v>104</v>
      </c>
      <c r="AL1384" s="6" t="s">
        <v>104</v>
      </c>
      <c r="AM1384" s="6" t="s">
        <v>104</v>
      </c>
      <c r="AN1384" s="6" t="s">
        <v>104</v>
      </c>
      <c r="AO1384" s="6" t="s">
        <v>104</v>
      </c>
      <c r="AP1384" s="6" t="s">
        <v>19322</v>
      </c>
      <c r="AQ1384" s="6" t="s">
        <v>104</v>
      </c>
      <c r="AR1384" s="6" t="s">
        <v>19723</v>
      </c>
      <c r="AS1384" s="6" t="s">
        <v>16738</v>
      </c>
      <c r="AT1384" s="6" t="s">
        <v>16931</v>
      </c>
      <c r="AU1384" s="6" t="s">
        <v>19980</v>
      </c>
      <c r="AV1384" s="6" t="s">
        <v>18514</v>
      </c>
      <c r="AW1384" s="6" t="s">
        <v>18664</v>
      </c>
      <c r="AX1384" s="6" t="s">
        <v>21202</v>
      </c>
      <c r="AY1384" s="6" t="s">
        <v>22996</v>
      </c>
      <c r="AZ1384" s="6" t="s">
        <v>104</v>
      </c>
      <c r="BA1384" s="6" t="s">
        <v>104</v>
      </c>
      <c r="BB1384" s="24" t="n">
        <v>239</v>
      </c>
      <c r="BC1384" s="26"/>
      <c r="BD1384" s="26"/>
      <c r="BE1384" s="26"/>
      <c r="BF1384" s="26"/>
      <c r="BG1384" s="26"/>
      <c r="BH1384" s="26"/>
      <c r="BI1384" s="26"/>
      <c r="BJ1384" s="26"/>
      <c r="BK1384" s="26"/>
      <c r="BL1384" s="26"/>
      <c r="BM1384" s="26"/>
      <c r="BN1384" s="26"/>
      <c r="BO1384" s="26"/>
      <c r="BP1384" s="16" t="n">
        <v>45700</v>
      </c>
      <c r="BQ1384" s="28" t="str">
        <f>HYPERLINK("https://organic.ams.usda.gov/Integrity/Certificate.aspx?cid=62&amp;nopid=8150004745")</f>
        <v>https://organic.ams.usda.gov/Integrity/Certificate.aspx?cid=62&amp;nopid=8150004745</v>
      </c>
    </row>
    <row r="1385">
      <c r="A1385" t="s">
        <v>3</v>
      </c>
      <c r="B1385" s="6" t="s">
        <v>25</v>
      </c>
      <c r="C1385" s="6" t="s">
        <v>91</v>
      </c>
      <c r="D1385" s="6" t="s">
        <v>156</v>
      </c>
      <c r="E1385" s="10" t="s">
        <v>1583</v>
      </c>
      <c r="F1385" s="6" t="s">
        <v>3822</v>
      </c>
      <c r="G1385" s="6" t="s">
        <v>3822</v>
      </c>
      <c r="H1385" s="6" t="s">
        <v>6149</v>
      </c>
      <c r="I1385" s="6" t="s">
        <v>7744</v>
      </c>
      <c r="J1385" s="6" t="s">
        <v>9161</v>
      </c>
      <c r="K1385" s="6" t="s">
        <v>9714</v>
      </c>
      <c r="L1385" s="16" t="n">
        <v>45726</v>
      </c>
      <c r="M1385" s="16" t="n">
        <v>46048</v>
      </c>
      <c r="N1385" s="6" t="s">
        <v>104</v>
      </c>
      <c r="O1385" s="21" t="s">
        <v>104</v>
      </c>
      <c r="P1385" s="6" t="s">
        <v>104</v>
      </c>
      <c r="Q1385" s="6" t="s">
        <v>104</v>
      </c>
      <c r="R1385" s="6" t="s">
        <v>104</v>
      </c>
      <c r="S1385" s="6" t="s">
        <v>104</v>
      </c>
      <c r="T1385" s="21" t="s">
        <v>104</v>
      </c>
      <c r="U1385" s="6" t="s">
        <v>104</v>
      </c>
      <c r="V1385" s="6" t="s">
        <v>104</v>
      </c>
      <c r="W1385" s="6" t="s">
        <v>104</v>
      </c>
      <c r="X1385" s="6" t="s">
        <v>104</v>
      </c>
      <c r="Y1385" s="21" t="s">
        <v>104</v>
      </c>
      <c r="Z1385" s="6" t="s">
        <v>104</v>
      </c>
      <c r="AA1385" s="6" t="s">
        <v>104</v>
      </c>
      <c r="AB1385" s="6" t="s">
        <v>104</v>
      </c>
      <c r="AC1385" s="6" t="s">
        <v>9714</v>
      </c>
      <c r="AD1385" s="16" t="n">
        <v>45726</v>
      </c>
      <c r="AE1385" s="6" t="s">
        <v>11727</v>
      </c>
      <c r="AF1385" s="6" t="s">
        <v>104</v>
      </c>
      <c r="AG1385" s="6" t="s">
        <v>104</v>
      </c>
      <c r="AH1385" s="6" t="s">
        <v>14418</v>
      </c>
      <c r="AI1385" s="6" t="s">
        <v>104</v>
      </c>
      <c r="AJ1385" s="6" t="s">
        <v>16249</v>
      </c>
      <c r="AK1385" s="6" t="s">
        <v>16800</v>
      </c>
      <c r="AL1385" s="6" t="s">
        <v>16930</v>
      </c>
      <c r="AM1385" s="6" t="s">
        <v>17923</v>
      </c>
      <c r="AN1385" s="6" t="s">
        <v>104</v>
      </c>
      <c r="AO1385" s="6" t="s">
        <v>104</v>
      </c>
      <c r="AP1385" s="6" t="s">
        <v>14418</v>
      </c>
      <c r="AQ1385" s="6" t="s">
        <v>104</v>
      </c>
      <c r="AR1385" s="6" t="s">
        <v>16249</v>
      </c>
      <c r="AS1385" s="6" t="s">
        <v>16800</v>
      </c>
      <c r="AT1385" s="6" t="s">
        <v>16930</v>
      </c>
      <c r="AU1385" s="6" t="s">
        <v>17923</v>
      </c>
      <c r="AV1385" s="6" t="s">
        <v>104</v>
      </c>
      <c r="AW1385" s="6" t="s">
        <v>104</v>
      </c>
      <c r="AX1385" s="6" t="s">
        <v>21203</v>
      </c>
      <c r="AY1385" s="6" t="s">
        <v>22997</v>
      </c>
      <c r="AZ1385" s="6" t="s">
        <v>104</v>
      </c>
      <c r="BA1385" s="6" t="s">
        <v>104</v>
      </c>
      <c r="BB1385" s="6" t="s">
        <v>104</v>
      </c>
      <c r="BC1385" s="26"/>
      <c r="BD1385" s="26"/>
      <c r="BE1385" s="26"/>
      <c r="BF1385" s="26"/>
      <c r="BG1385" s="26"/>
      <c r="BH1385" s="26"/>
      <c r="BI1385" s="26"/>
      <c r="BJ1385" s="26"/>
      <c r="BK1385" s="26"/>
      <c r="BL1385" s="26"/>
      <c r="BM1385" s="26"/>
      <c r="BN1385" s="26"/>
      <c r="BO1385" s="26"/>
      <c r="BP1385" s="16" t="n">
        <v>45726</v>
      </c>
      <c r="BQ1385" s="28" t="str">
        <f>HYPERLINK("https://organic.ams.usda.gov/Integrity/Certificate.aspx?cid=66&amp;nopid=5500007434")</f>
        <v>https://organic.ams.usda.gov/Integrity/Certificate.aspx?cid=66&amp;nopid=5500007434</v>
      </c>
    </row>
    <row r="1386">
      <c r="A1386" t="s">
        <v>3</v>
      </c>
      <c r="B1386" s="6" t="s">
        <v>34</v>
      </c>
      <c r="C1386" s="6" t="s">
        <v>100</v>
      </c>
      <c r="D1386" s="6" t="s">
        <v>165</v>
      </c>
      <c r="E1386" s="10" t="s">
        <v>1584</v>
      </c>
      <c r="F1386" s="6" t="s">
        <v>3823</v>
      </c>
      <c r="G1386" s="6" t="s">
        <v>104</v>
      </c>
      <c r="H1386" s="6" t="s">
        <v>6150</v>
      </c>
      <c r="I1386" s="6" t="s">
        <v>7350</v>
      </c>
      <c r="J1386" s="6" t="s">
        <v>8284</v>
      </c>
      <c r="K1386" s="6" t="s">
        <v>9714</v>
      </c>
      <c r="L1386" s="16" t="n">
        <v>44698</v>
      </c>
      <c r="M1386" s="16" t="n">
        <v>45777</v>
      </c>
      <c r="N1386" s="6" t="s">
        <v>104</v>
      </c>
      <c r="O1386" s="21" t="s">
        <v>104</v>
      </c>
      <c r="P1386" s="6" t="s">
        <v>104</v>
      </c>
      <c r="Q1386" s="6" t="s">
        <v>104</v>
      </c>
      <c r="R1386" s="6" t="s">
        <v>104</v>
      </c>
      <c r="S1386" s="6" t="s">
        <v>104</v>
      </c>
      <c r="T1386" s="21" t="s">
        <v>104</v>
      </c>
      <c r="U1386" s="6" t="s">
        <v>104</v>
      </c>
      <c r="V1386" s="6" t="s">
        <v>104</v>
      </c>
      <c r="W1386" s="6" t="s">
        <v>104</v>
      </c>
      <c r="X1386" s="6" t="s">
        <v>104</v>
      </c>
      <c r="Y1386" s="21" t="s">
        <v>104</v>
      </c>
      <c r="Z1386" s="6" t="s">
        <v>104</v>
      </c>
      <c r="AA1386" s="6" t="s">
        <v>104</v>
      </c>
      <c r="AB1386" s="6" t="s">
        <v>104</v>
      </c>
      <c r="AC1386" s="6" t="s">
        <v>9714</v>
      </c>
      <c r="AD1386" s="16" t="n">
        <v>44698</v>
      </c>
      <c r="AE1386" s="6" t="s">
        <v>11728</v>
      </c>
      <c r="AF1386" s="6" t="s">
        <v>104</v>
      </c>
      <c r="AG1386" s="6" t="s">
        <v>12913</v>
      </c>
      <c r="AH1386" s="6" t="s">
        <v>14419</v>
      </c>
      <c r="AI1386" s="6" t="s">
        <v>104</v>
      </c>
      <c r="AJ1386" s="6" t="s">
        <v>15470</v>
      </c>
      <c r="AK1386" s="6" t="s">
        <v>16680</v>
      </c>
      <c r="AL1386" s="6" t="s">
        <v>16931</v>
      </c>
      <c r="AM1386" s="6" t="s">
        <v>17924</v>
      </c>
      <c r="AN1386" s="6" t="s">
        <v>18523</v>
      </c>
      <c r="AO1386" s="6" t="s">
        <v>18827</v>
      </c>
      <c r="AP1386" s="6" t="s">
        <v>19323</v>
      </c>
      <c r="AQ1386" s="6" t="s">
        <v>104</v>
      </c>
      <c r="AR1386" s="6" t="s">
        <v>16108</v>
      </c>
      <c r="AS1386" s="6" t="s">
        <v>16685</v>
      </c>
      <c r="AT1386" s="6" t="s">
        <v>16932</v>
      </c>
      <c r="AU1386" s="6" t="s">
        <v>17411</v>
      </c>
      <c r="AV1386" s="6" t="s">
        <v>104</v>
      </c>
      <c r="AW1386" s="6" t="s">
        <v>104</v>
      </c>
      <c r="AX1386" s="6" t="s">
        <v>20259</v>
      </c>
      <c r="AY1386" s="6" t="s">
        <v>104</v>
      </c>
      <c r="AZ1386" s="6" t="s">
        <v>24037</v>
      </c>
      <c r="BA1386" s="6" t="s">
        <v>104</v>
      </c>
      <c r="BB1386" s="6" t="s">
        <v>104</v>
      </c>
      <c r="BC1386" s="26"/>
      <c r="BD1386" s="26"/>
      <c r="BE1386" s="26"/>
      <c r="BF1386" s="26"/>
      <c r="BG1386" s="26"/>
      <c r="BH1386" s="26" t="s">
        <v>24533</v>
      </c>
      <c r="BI1386" s="26"/>
      <c r="BJ1386" s="26"/>
      <c r="BK1386" s="26"/>
      <c r="BL1386" s="26"/>
      <c r="BM1386" s="26"/>
      <c r="BN1386" s="26"/>
      <c r="BO1386" s="26"/>
      <c r="BP1386" s="16" t="n">
        <v>45737</v>
      </c>
      <c r="BQ1386" s="28" t="str">
        <f>HYPERLINK("https://organic.ams.usda.gov/Integrity/Certificate.aspx?cid=71&amp;nopid=5520690352")</f>
        <v>https://organic.ams.usda.gov/Integrity/Certificate.aspx?cid=71&amp;nopid=5520690352</v>
      </c>
    </row>
    <row r="1387">
      <c r="A1387" t="s">
        <v>3</v>
      </c>
      <c r="B1387" s="6" t="s">
        <v>14</v>
      </c>
      <c r="C1387" s="6" t="s">
        <v>80</v>
      </c>
      <c r="D1387" s="6" t="s">
        <v>145</v>
      </c>
      <c r="E1387" s="10" t="s">
        <v>1585</v>
      </c>
      <c r="F1387" s="6" t="s">
        <v>3824</v>
      </c>
      <c r="G1387" s="6" t="s">
        <v>104</v>
      </c>
      <c r="H1387" s="6" t="s">
        <v>6151</v>
      </c>
      <c r="I1387" s="6" t="s">
        <v>7350</v>
      </c>
      <c r="J1387" s="6" t="s">
        <v>8284</v>
      </c>
      <c r="K1387" s="6" t="s">
        <v>9714</v>
      </c>
      <c r="L1387" s="16" t="n">
        <v>44281</v>
      </c>
      <c r="M1387" s="16" t="n">
        <v>45630</v>
      </c>
      <c r="N1387" s="6" t="s">
        <v>104</v>
      </c>
      <c r="O1387" s="21" t="s">
        <v>104</v>
      </c>
      <c r="P1387" s="6" t="s">
        <v>104</v>
      </c>
      <c r="Q1387" s="6" t="s">
        <v>104</v>
      </c>
      <c r="R1387" s="6" t="s">
        <v>104</v>
      </c>
      <c r="S1387" s="6" t="s">
        <v>104</v>
      </c>
      <c r="T1387" s="21" t="s">
        <v>104</v>
      </c>
      <c r="U1387" s="6" t="s">
        <v>104</v>
      </c>
      <c r="V1387" s="6" t="s">
        <v>104</v>
      </c>
      <c r="W1387" s="6" t="s">
        <v>104</v>
      </c>
      <c r="X1387" s="6" t="s">
        <v>104</v>
      </c>
      <c r="Y1387" s="21" t="s">
        <v>104</v>
      </c>
      <c r="Z1387" s="6" t="s">
        <v>104</v>
      </c>
      <c r="AA1387" s="6" t="s">
        <v>104</v>
      </c>
      <c r="AB1387" s="6" t="s">
        <v>104</v>
      </c>
      <c r="AC1387" s="6" t="s">
        <v>9714</v>
      </c>
      <c r="AD1387" s="16" t="n">
        <v>44281</v>
      </c>
      <c r="AE1387" s="6" t="s">
        <v>11729</v>
      </c>
      <c r="AF1387" s="6" t="s">
        <v>104</v>
      </c>
      <c r="AG1387" s="6" t="s">
        <v>104</v>
      </c>
      <c r="AH1387" s="6" t="s">
        <v>14420</v>
      </c>
      <c r="AI1387" s="6" t="s">
        <v>104</v>
      </c>
      <c r="AJ1387" s="6" t="s">
        <v>16108</v>
      </c>
      <c r="AK1387" s="6" t="s">
        <v>16685</v>
      </c>
      <c r="AL1387" s="6" t="s">
        <v>16932</v>
      </c>
      <c r="AM1387" s="6" t="s">
        <v>17411</v>
      </c>
      <c r="AN1387" s="6" t="s">
        <v>104</v>
      </c>
      <c r="AO1387" s="6" t="s">
        <v>104</v>
      </c>
      <c r="AP1387" s="6" t="s">
        <v>104</v>
      </c>
      <c r="AQ1387" s="6" t="s">
        <v>104</v>
      </c>
      <c r="AR1387" s="6" t="s">
        <v>104</v>
      </c>
      <c r="AS1387" s="6" t="s">
        <v>104</v>
      </c>
      <c r="AT1387" s="6" t="s">
        <v>104</v>
      </c>
      <c r="AU1387" s="6" t="s">
        <v>104</v>
      </c>
      <c r="AV1387" s="6" t="s">
        <v>104</v>
      </c>
      <c r="AW1387" s="6" t="s">
        <v>104</v>
      </c>
      <c r="AX1387" s="6" t="s">
        <v>20612</v>
      </c>
      <c r="AY1387" s="6" t="s">
        <v>22263</v>
      </c>
      <c r="AZ1387" s="6" t="s">
        <v>104</v>
      </c>
      <c r="BA1387" s="6" t="s">
        <v>24413</v>
      </c>
      <c r="BB1387" s="6" t="s">
        <v>104</v>
      </c>
      <c r="BC1387" s="26"/>
      <c r="BD1387" s="26"/>
      <c r="BE1387" s="26"/>
      <c r="BF1387" s="26"/>
      <c r="BG1387" s="26"/>
      <c r="BH1387" s="26"/>
      <c r="BI1387" s="26"/>
      <c r="BJ1387" s="26"/>
      <c r="BK1387" s="26"/>
      <c r="BL1387" s="26"/>
      <c r="BM1387" s="26"/>
      <c r="BN1387" s="26"/>
      <c r="BO1387" s="26"/>
      <c r="BP1387" s="16" t="n">
        <v>45568</v>
      </c>
      <c r="BQ1387" s="28" t="str">
        <f>HYPERLINK("https://organic.ams.usda.gov/Integrity/Certificate.aspx?cid=89&amp;nopid=4920004213")</f>
        <v>https://organic.ams.usda.gov/Integrity/Certificate.aspx?cid=89&amp;nopid=4920004213</v>
      </c>
    </row>
    <row r="1388">
      <c r="A1388" t="s">
        <v>3</v>
      </c>
      <c r="B1388" s="6" t="s">
        <v>11</v>
      </c>
      <c r="C1388" s="6" t="s">
        <v>77</v>
      </c>
      <c r="D1388" s="6" t="s">
        <v>142</v>
      </c>
      <c r="E1388" s="10" t="s">
        <v>1586</v>
      </c>
      <c r="F1388" s="6" t="s">
        <v>3825</v>
      </c>
      <c r="G1388" s="6" t="s">
        <v>104</v>
      </c>
      <c r="H1388" s="6" t="s">
        <v>1586</v>
      </c>
      <c r="I1388" s="6" t="s">
        <v>7745</v>
      </c>
      <c r="J1388" s="6" t="s">
        <v>8623</v>
      </c>
      <c r="K1388" s="6" t="s">
        <v>9714</v>
      </c>
      <c r="L1388" s="16" t="n">
        <v>45139</v>
      </c>
      <c r="M1388" s="16" t="n">
        <v>45813</v>
      </c>
      <c r="N1388" s="6" t="s">
        <v>104</v>
      </c>
      <c r="O1388" s="21" t="s">
        <v>104</v>
      </c>
      <c r="P1388" s="6" t="s">
        <v>104</v>
      </c>
      <c r="Q1388" s="6" t="s">
        <v>104</v>
      </c>
      <c r="R1388" s="6" t="s">
        <v>104</v>
      </c>
      <c r="S1388" s="6" t="s">
        <v>104</v>
      </c>
      <c r="T1388" s="21" t="s">
        <v>104</v>
      </c>
      <c r="U1388" s="6" t="s">
        <v>104</v>
      </c>
      <c r="V1388" s="6" t="s">
        <v>104</v>
      </c>
      <c r="W1388" s="6" t="s">
        <v>104</v>
      </c>
      <c r="X1388" s="6" t="s">
        <v>104</v>
      </c>
      <c r="Y1388" s="21" t="s">
        <v>104</v>
      </c>
      <c r="Z1388" s="6" t="s">
        <v>104</v>
      </c>
      <c r="AA1388" s="6" t="s">
        <v>104</v>
      </c>
      <c r="AB1388" s="6" t="s">
        <v>104</v>
      </c>
      <c r="AC1388" s="6" t="s">
        <v>9714</v>
      </c>
      <c r="AD1388" s="16" t="n">
        <v>45139</v>
      </c>
      <c r="AE1388" s="6" t="s">
        <v>11730</v>
      </c>
      <c r="AF1388" s="6" t="s">
        <v>104</v>
      </c>
      <c r="AG1388" s="6" t="s">
        <v>12914</v>
      </c>
      <c r="AH1388" s="6" t="s">
        <v>14421</v>
      </c>
      <c r="AI1388" s="6" t="s">
        <v>104</v>
      </c>
      <c r="AJ1388" s="6" t="s">
        <v>15927</v>
      </c>
      <c r="AK1388" s="6" t="s">
        <v>15927</v>
      </c>
      <c r="AL1388" s="6" t="s">
        <v>16932</v>
      </c>
      <c r="AM1388" s="6" t="s">
        <v>17925</v>
      </c>
      <c r="AN1388" s="6" t="s">
        <v>104</v>
      </c>
      <c r="AO1388" s="6" t="s">
        <v>104</v>
      </c>
      <c r="AP1388" s="6" t="s">
        <v>14421</v>
      </c>
      <c r="AQ1388" s="6" t="s">
        <v>104</v>
      </c>
      <c r="AR1388" s="6" t="s">
        <v>15927</v>
      </c>
      <c r="AS1388" s="6" t="s">
        <v>15927</v>
      </c>
      <c r="AT1388" s="6" t="s">
        <v>16932</v>
      </c>
      <c r="AU1388" s="6" t="s">
        <v>17925</v>
      </c>
      <c r="AV1388" s="6" t="s">
        <v>104</v>
      </c>
      <c r="AW1388" s="6" t="s">
        <v>104</v>
      </c>
      <c r="AX1388" s="6" t="s">
        <v>21204</v>
      </c>
      <c r="AY1388" s="6" t="s">
        <v>22998</v>
      </c>
      <c r="AZ1388" s="6" t="s">
        <v>104</v>
      </c>
      <c r="BA1388" s="6" t="s">
        <v>104</v>
      </c>
      <c r="BB1388" s="6" t="s">
        <v>104</v>
      </c>
      <c r="BC1388" s="26"/>
      <c r="BD1388" s="26"/>
      <c r="BE1388" s="26"/>
      <c r="BF1388" s="26"/>
      <c r="BG1388" s="26"/>
      <c r="BH1388" s="26"/>
      <c r="BI1388" s="26"/>
      <c r="BJ1388" s="26"/>
      <c r="BK1388" s="26"/>
      <c r="BL1388" s="26"/>
      <c r="BM1388" s="26"/>
      <c r="BN1388" s="26" t="s">
        <v>24533</v>
      </c>
      <c r="BO1388" s="26"/>
      <c r="BP1388" s="16" t="n">
        <v>45502</v>
      </c>
      <c r="BQ1388" s="28" t="str">
        <f>HYPERLINK("https://organic.ams.usda.gov/Integrity/Certificate.aspx?cid=21&amp;nopid=1780895946")</f>
        <v>https://organic.ams.usda.gov/Integrity/Certificate.aspx?cid=21&amp;nopid=1780895946</v>
      </c>
    </row>
    <row r="1389">
      <c r="A1389" t="s">
        <v>3</v>
      </c>
      <c r="B1389" s="6" t="s">
        <v>45</v>
      </c>
      <c r="C1389" s="6" t="s">
        <v>111</v>
      </c>
      <c r="D1389" s="6" t="s">
        <v>175</v>
      </c>
      <c r="E1389" s="10" t="s">
        <v>1587</v>
      </c>
      <c r="F1389" s="6" t="s">
        <v>3826</v>
      </c>
      <c r="G1389" s="6" t="s">
        <v>104</v>
      </c>
      <c r="H1389" s="6" t="s">
        <v>6152</v>
      </c>
      <c r="I1389" s="6" t="s">
        <v>7215</v>
      </c>
      <c r="J1389" s="6" t="s">
        <v>9162</v>
      </c>
      <c r="K1389" s="6" t="s">
        <v>9714</v>
      </c>
      <c r="L1389" s="16" t="n">
        <v>43024</v>
      </c>
      <c r="M1389" s="16" t="n">
        <v>46082</v>
      </c>
      <c r="N1389" s="6" t="s">
        <v>104</v>
      </c>
      <c r="O1389" s="21" t="s">
        <v>104</v>
      </c>
      <c r="P1389" s="6" t="s">
        <v>104</v>
      </c>
      <c r="Q1389" s="6" t="s">
        <v>104</v>
      </c>
      <c r="R1389" s="6" t="s">
        <v>104</v>
      </c>
      <c r="S1389" s="6" t="s">
        <v>104</v>
      </c>
      <c r="T1389" s="21" t="s">
        <v>104</v>
      </c>
      <c r="U1389" s="6" t="s">
        <v>104</v>
      </c>
      <c r="V1389" s="6" t="s">
        <v>104</v>
      </c>
      <c r="W1389" s="6" t="s">
        <v>104</v>
      </c>
      <c r="X1389" s="6" t="s">
        <v>104</v>
      </c>
      <c r="Y1389" s="21" t="s">
        <v>104</v>
      </c>
      <c r="Z1389" s="6" t="s">
        <v>104</v>
      </c>
      <c r="AA1389" s="6" t="s">
        <v>104</v>
      </c>
      <c r="AB1389" s="6" t="s">
        <v>104</v>
      </c>
      <c r="AC1389" s="6" t="s">
        <v>9714</v>
      </c>
      <c r="AD1389" s="16" t="n">
        <v>43024</v>
      </c>
      <c r="AE1389" s="6" t="s">
        <v>11731</v>
      </c>
      <c r="AF1389" s="6" t="s">
        <v>104</v>
      </c>
      <c r="AG1389" s="6" t="s">
        <v>4667</v>
      </c>
      <c r="AH1389" s="6" t="s">
        <v>14422</v>
      </c>
      <c r="AI1389" s="6" t="s">
        <v>104</v>
      </c>
      <c r="AJ1389" s="6" t="s">
        <v>16250</v>
      </c>
      <c r="AK1389" s="6" t="s">
        <v>16382</v>
      </c>
      <c r="AL1389" s="6" t="s">
        <v>16931</v>
      </c>
      <c r="AM1389" s="6" t="s">
        <v>17926</v>
      </c>
      <c r="AN1389" s="6" t="s">
        <v>104</v>
      </c>
      <c r="AO1389" s="6" t="s">
        <v>104</v>
      </c>
      <c r="AP1389" s="6" t="s">
        <v>19324</v>
      </c>
      <c r="AQ1389" s="6" t="s">
        <v>104</v>
      </c>
      <c r="AR1389" s="6" t="s">
        <v>19724</v>
      </c>
      <c r="AS1389" s="6" t="s">
        <v>16382</v>
      </c>
      <c r="AT1389" s="6" t="s">
        <v>16931</v>
      </c>
      <c r="AU1389" s="6" t="s">
        <v>19981</v>
      </c>
      <c r="AV1389" s="6" t="s">
        <v>18456</v>
      </c>
      <c r="AW1389" s="6" t="s">
        <v>18723</v>
      </c>
      <c r="AX1389" s="6" t="s">
        <v>21205</v>
      </c>
      <c r="AY1389" s="6" t="s">
        <v>22999</v>
      </c>
      <c r="AZ1389" s="6" t="s">
        <v>24038</v>
      </c>
      <c r="BA1389" s="6" t="s">
        <v>104</v>
      </c>
      <c r="BB1389" s="6" t="s">
        <v>104</v>
      </c>
      <c r="BC1389" s="26"/>
      <c r="BD1389" s="26"/>
      <c r="BE1389" s="26" t="s">
        <v>24533</v>
      </c>
      <c r="BF1389" s="26"/>
      <c r="BG1389" s="26"/>
      <c r="BH1389" s="26"/>
      <c r="BI1389" s="26"/>
      <c r="BJ1389" s="26"/>
      <c r="BK1389" s="26"/>
      <c r="BL1389" s="26"/>
      <c r="BM1389" s="26"/>
      <c r="BN1389" s="26"/>
      <c r="BO1389" s="26"/>
      <c r="BP1389" s="16" t="n">
        <v>45739</v>
      </c>
      <c r="BQ1389" s="28" t="str">
        <f>HYPERLINK("https://organic.ams.usda.gov/Integrity/Certificate.aspx?cid=82&amp;nopid=2780003276")</f>
        <v>https://organic.ams.usda.gov/Integrity/Certificate.aspx?cid=82&amp;nopid=2780003276</v>
      </c>
    </row>
    <row r="1390">
      <c r="A1390" t="s">
        <v>3</v>
      </c>
      <c r="B1390" s="6" t="s">
        <v>11</v>
      </c>
      <c r="C1390" s="6" t="s">
        <v>77</v>
      </c>
      <c r="D1390" s="6" t="s">
        <v>142</v>
      </c>
      <c r="E1390" s="10" t="s">
        <v>1588</v>
      </c>
      <c r="F1390" s="6" t="s">
        <v>3827</v>
      </c>
      <c r="G1390" s="6" t="s">
        <v>104</v>
      </c>
      <c r="H1390" s="6" t="s">
        <v>1588</v>
      </c>
      <c r="I1390" s="6" t="s">
        <v>7746</v>
      </c>
      <c r="J1390" s="6" t="s">
        <v>8604</v>
      </c>
      <c r="K1390" s="6" t="s">
        <v>9714</v>
      </c>
      <c r="L1390" s="16" t="n">
        <v>44501</v>
      </c>
      <c r="M1390" s="16" t="n">
        <v>45935</v>
      </c>
      <c r="N1390" s="6" t="s">
        <v>104</v>
      </c>
      <c r="O1390" s="21" t="s">
        <v>104</v>
      </c>
      <c r="P1390" s="6" t="s">
        <v>104</v>
      </c>
      <c r="Q1390" s="6" t="s">
        <v>104</v>
      </c>
      <c r="R1390" s="6" t="s">
        <v>104</v>
      </c>
      <c r="S1390" s="6" t="s">
        <v>104</v>
      </c>
      <c r="T1390" s="21" t="s">
        <v>104</v>
      </c>
      <c r="U1390" s="6" t="s">
        <v>104</v>
      </c>
      <c r="V1390" s="6" t="s">
        <v>104</v>
      </c>
      <c r="W1390" s="6" t="s">
        <v>104</v>
      </c>
      <c r="X1390" s="6" t="s">
        <v>104</v>
      </c>
      <c r="Y1390" s="21" t="s">
        <v>104</v>
      </c>
      <c r="Z1390" s="6" t="s">
        <v>104</v>
      </c>
      <c r="AA1390" s="6" t="s">
        <v>104</v>
      </c>
      <c r="AB1390" s="6" t="s">
        <v>104</v>
      </c>
      <c r="AC1390" s="6" t="s">
        <v>9714</v>
      </c>
      <c r="AD1390" s="16" t="n">
        <v>44501</v>
      </c>
      <c r="AE1390" s="6" t="s">
        <v>11732</v>
      </c>
      <c r="AF1390" s="6" t="s">
        <v>104</v>
      </c>
      <c r="AG1390" s="6" t="s">
        <v>12915</v>
      </c>
      <c r="AH1390" s="6" t="s">
        <v>14423</v>
      </c>
      <c r="AI1390" s="6" t="s">
        <v>104</v>
      </c>
      <c r="AJ1390" s="6" t="s">
        <v>16251</v>
      </c>
      <c r="AK1390" s="6" t="s">
        <v>16685</v>
      </c>
      <c r="AL1390" s="6" t="s">
        <v>16932</v>
      </c>
      <c r="AM1390" s="6" t="s">
        <v>17927</v>
      </c>
      <c r="AN1390" s="6" t="s">
        <v>104</v>
      </c>
      <c r="AO1390" s="6" t="s">
        <v>104</v>
      </c>
      <c r="AP1390" s="6" t="s">
        <v>14423</v>
      </c>
      <c r="AQ1390" s="6" t="s">
        <v>104</v>
      </c>
      <c r="AR1390" s="6" t="s">
        <v>16251</v>
      </c>
      <c r="AS1390" s="6" t="s">
        <v>16685</v>
      </c>
      <c r="AT1390" s="6" t="s">
        <v>16932</v>
      </c>
      <c r="AU1390" s="6" t="s">
        <v>17927</v>
      </c>
      <c r="AV1390" s="6" t="s">
        <v>104</v>
      </c>
      <c r="AW1390" s="6" t="s">
        <v>104</v>
      </c>
      <c r="AX1390" s="6" t="s">
        <v>21206</v>
      </c>
      <c r="AY1390" s="6" t="s">
        <v>23000</v>
      </c>
      <c r="AZ1390" s="6" t="s">
        <v>104</v>
      </c>
      <c r="BA1390" s="6" t="s">
        <v>104</v>
      </c>
      <c r="BB1390" s="6" t="s">
        <v>104</v>
      </c>
      <c r="BC1390" s="26"/>
      <c r="BD1390" s="26"/>
      <c r="BE1390" s="26"/>
      <c r="BF1390" s="26"/>
      <c r="BG1390" s="26"/>
      <c r="BH1390" s="26"/>
      <c r="BI1390" s="26"/>
      <c r="BJ1390" s="26"/>
      <c r="BK1390" s="26"/>
      <c r="BL1390" s="26"/>
      <c r="BM1390" s="26"/>
      <c r="BN1390" s="26" t="s">
        <v>24533</v>
      </c>
      <c r="BO1390" s="26"/>
      <c r="BP1390" s="16" t="n">
        <v>45643</v>
      </c>
      <c r="BQ1390" s="28" t="str">
        <f>HYPERLINK("https://organic.ams.usda.gov/Integrity/Certificate.aspx?cid=21&amp;nopid=1780883443")</f>
        <v>https://organic.ams.usda.gov/Integrity/Certificate.aspx?cid=21&amp;nopid=1780883443</v>
      </c>
    </row>
    <row r="1391">
      <c r="A1391" t="s">
        <v>3</v>
      </c>
      <c r="B1391" s="6" t="s">
        <v>14</v>
      </c>
      <c r="C1391" s="6" t="s">
        <v>80</v>
      </c>
      <c r="D1391" s="6" t="s">
        <v>145</v>
      </c>
      <c r="E1391" s="10" t="s">
        <v>1589</v>
      </c>
      <c r="F1391" s="6" t="s">
        <v>3828</v>
      </c>
      <c r="G1391" s="6" t="s">
        <v>104</v>
      </c>
      <c r="H1391" s="6" t="s">
        <v>6153</v>
      </c>
      <c r="I1391" s="6" t="s">
        <v>7747</v>
      </c>
      <c r="J1391" s="6" t="s">
        <v>8284</v>
      </c>
      <c r="K1391" s="6" t="s">
        <v>9714</v>
      </c>
      <c r="L1391" s="16" t="n">
        <v>44512</v>
      </c>
      <c r="M1391" s="16" t="n">
        <v>45737</v>
      </c>
      <c r="N1391" s="6" t="s">
        <v>104</v>
      </c>
      <c r="O1391" s="21" t="s">
        <v>104</v>
      </c>
      <c r="P1391" s="6" t="s">
        <v>104</v>
      </c>
      <c r="Q1391" s="6" t="s">
        <v>104</v>
      </c>
      <c r="R1391" s="6" t="s">
        <v>104</v>
      </c>
      <c r="S1391" s="6" t="s">
        <v>104</v>
      </c>
      <c r="T1391" s="21" t="s">
        <v>104</v>
      </c>
      <c r="U1391" s="6" t="s">
        <v>104</v>
      </c>
      <c r="V1391" s="6" t="s">
        <v>104</v>
      </c>
      <c r="W1391" s="6" t="s">
        <v>104</v>
      </c>
      <c r="X1391" s="6" t="s">
        <v>104</v>
      </c>
      <c r="Y1391" s="21" t="s">
        <v>104</v>
      </c>
      <c r="Z1391" s="6" t="s">
        <v>104</v>
      </c>
      <c r="AA1391" s="6" t="s">
        <v>104</v>
      </c>
      <c r="AB1391" s="6" t="s">
        <v>104</v>
      </c>
      <c r="AC1391" s="6" t="s">
        <v>9714</v>
      </c>
      <c r="AD1391" s="16" t="n">
        <v>44512</v>
      </c>
      <c r="AE1391" s="6" t="s">
        <v>11733</v>
      </c>
      <c r="AF1391" s="6" t="s">
        <v>104</v>
      </c>
      <c r="AG1391" s="6" t="s">
        <v>104</v>
      </c>
      <c r="AH1391" s="6" t="s">
        <v>14424</v>
      </c>
      <c r="AI1391" s="6" t="s">
        <v>104</v>
      </c>
      <c r="AJ1391" s="6" t="s">
        <v>16108</v>
      </c>
      <c r="AK1391" s="6" t="s">
        <v>16685</v>
      </c>
      <c r="AL1391" s="6" t="s">
        <v>16932</v>
      </c>
      <c r="AM1391" s="6" t="s">
        <v>17928</v>
      </c>
      <c r="AN1391" s="6" t="s">
        <v>104</v>
      </c>
      <c r="AO1391" s="6" t="s">
        <v>104</v>
      </c>
      <c r="AP1391" s="6" t="s">
        <v>104</v>
      </c>
      <c r="AQ1391" s="6" t="s">
        <v>104</v>
      </c>
      <c r="AR1391" s="6" t="s">
        <v>104</v>
      </c>
      <c r="AS1391" s="6" t="s">
        <v>104</v>
      </c>
      <c r="AT1391" s="6" t="s">
        <v>104</v>
      </c>
      <c r="AU1391" s="6" t="s">
        <v>104</v>
      </c>
      <c r="AV1391" s="6" t="s">
        <v>104</v>
      </c>
      <c r="AW1391" s="6" t="s">
        <v>104</v>
      </c>
      <c r="AX1391" s="6" t="s">
        <v>21207</v>
      </c>
      <c r="AY1391" s="6" t="s">
        <v>23001</v>
      </c>
      <c r="AZ1391" s="6" t="s">
        <v>104</v>
      </c>
      <c r="BA1391" s="6" t="s">
        <v>104</v>
      </c>
      <c r="BB1391" s="6" t="s">
        <v>104</v>
      </c>
      <c r="BC1391" s="26"/>
      <c r="BD1391" s="26"/>
      <c r="BE1391" s="26"/>
      <c r="BF1391" s="26"/>
      <c r="BG1391" s="26"/>
      <c r="BH1391" s="26"/>
      <c r="BI1391" s="26"/>
      <c r="BJ1391" s="26"/>
      <c r="BK1391" s="26"/>
      <c r="BL1391" s="26"/>
      <c r="BM1391" s="26"/>
      <c r="BN1391" s="26"/>
      <c r="BO1391" s="26"/>
      <c r="BP1391" s="16" t="n">
        <v>45545</v>
      </c>
      <c r="BQ1391" s="28" t="str">
        <f>HYPERLINK("https://organic.ams.usda.gov/Integrity/Certificate.aspx?cid=89&amp;nopid=4920003174")</f>
        <v>https://organic.ams.usda.gov/Integrity/Certificate.aspx?cid=89&amp;nopid=4920003174</v>
      </c>
    </row>
    <row r="1392">
      <c r="A1392" t="s">
        <v>3</v>
      </c>
      <c r="B1392" s="6" t="s">
        <v>34</v>
      </c>
      <c r="C1392" s="6" t="s">
        <v>100</v>
      </c>
      <c r="D1392" s="6" t="s">
        <v>165</v>
      </c>
      <c r="E1392" s="10" t="s">
        <v>1590</v>
      </c>
      <c r="F1392" s="6" t="s">
        <v>3829</v>
      </c>
      <c r="G1392" s="6" t="s">
        <v>104</v>
      </c>
      <c r="H1392" s="6" t="s">
        <v>6154</v>
      </c>
      <c r="I1392" s="6" t="s">
        <v>7160</v>
      </c>
      <c r="J1392" s="6" t="s">
        <v>9163</v>
      </c>
      <c r="K1392" s="6" t="s">
        <v>9714</v>
      </c>
      <c r="L1392" s="16" t="n">
        <v>39547</v>
      </c>
      <c r="M1392" s="16" t="n">
        <v>45666</v>
      </c>
      <c r="N1392" s="6" t="s">
        <v>104</v>
      </c>
      <c r="O1392" s="21" t="s">
        <v>104</v>
      </c>
      <c r="P1392" s="6" t="s">
        <v>104</v>
      </c>
      <c r="Q1392" s="6" t="s">
        <v>104</v>
      </c>
      <c r="R1392" s="6" t="s">
        <v>104</v>
      </c>
      <c r="S1392" s="6" t="s">
        <v>104</v>
      </c>
      <c r="T1392" s="21" t="s">
        <v>104</v>
      </c>
      <c r="U1392" s="6" t="s">
        <v>104</v>
      </c>
      <c r="V1392" s="6" t="s">
        <v>104</v>
      </c>
      <c r="W1392" s="6" t="s">
        <v>104</v>
      </c>
      <c r="X1392" s="6" t="s">
        <v>104</v>
      </c>
      <c r="Y1392" s="21" t="s">
        <v>104</v>
      </c>
      <c r="Z1392" s="6" t="s">
        <v>104</v>
      </c>
      <c r="AA1392" s="6" t="s">
        <v>104</v>
      </c>
      <c r="AB1392" s="6" t="s">
        <v>104</v>
      </c>
      <c r="AC1392" s="6" t="s">
        <v>9714</v>
      </c>
      <c r="AD1392" s="16" t="n">
        <v>39547</v>
      </c>
      <c r="AE1392" s="6" t="s">
        <v>11734</v>
      </c>
      <c r="AF1392" s="6" t="s">
        <v>104</v>
      </c>
      <c r="AG1392" s="6" t="s">
        <v>12916</v>
      </c>
      <c r="AH1392" s="6" t="s">
        <v>14425</v>
      </c>
      <c r="AI1392" s="6" t="s">
        <v>104</v>
      </c>
      <c r="AJ1392" s="6" t="s">
        <v>16020</v>
      </c>
      <c r="AK1392" s="6" t="s">
        <v>16730</v>
      </c>
      <c r="AL1392" s="6" t="s">
        <v>16931</v>
      </c>
      <c r="AM1392" s="6" t="s">
        <v>17929</v>
      </c>
      <c r="AN1392" s="6" t="s">
        <v>18463</v>
      </c>
      <c r="AO1392" s="6" t="s">
        <v>18596</v>
      </c>
      <c r="AP1392" s="6" t="s">
        <v>19325</v>
      </c>
      <c r="AQ1392" s="6" t="s">
        <v>15260</v>
      </c>
      <c r="AR1392" s="6" t="s">
        <v>19725</v>
      </c>
      <c r="AS1392" s="6" t="s">
        <v>16686</v>
      </c>
      <c r="AT1392" s="6" t="s">
        <v>16931</v>
      </c>
      <c r="AU1392" s="6" t="s">
        <v>19982</v>
      </c>
      <c r="AV1392" s="6" t="s">
        <v>104</v>
      </c>
      <c r="AW1392" s="6" t="s">
        <v>104</v>
      </c>
      <c r="AX1392" s="6" t="s">
        <v>20259</v>
      </c>
      <c r="AY1392" s="6" t="s">
        <v>23002</v>
      </c>
      <c r="AZ1392" s="6" t="s">
        <v>104</v>
      </c>
      <c r="BA1392" s="6" t="s">
        <v>104</v>
      </c>
      <c r="BB1392" s="6" t="s">
        <v>104</v>
      </c>
      <c r="BC1392" s="26"/>
      <c r="BD1392" s="26"/>
      <c r="BE1392" s="26" t="s">
        <v>24533</v>
      </c>
      <c r="BF1392" s="26"/>
      <c r="BG1392" s="26"/>
      <c r="BH1392" s="26"/>
      <c r="BI1392" s="26"/>
      <c r="BJ1392" s="26"/>
      <c r="BK1392" s="26"/>
      <c r="BL1392" s="26"/>
      <c r="BM1392" s="26"/>
      <c r="BN1392" s="26"/>
      <c r="BO1392" s="26"/>
      <c r="BP1392" s="16" t="n">
        <v>45737</v>
      </c>
      <c r="BQ1392" s="28" t="str">
        <f>HYPERLINK("https://organic.ams.usda.gov/Integrity/Certificate.aspx?cid=71&amp;nopid=5520525096")</f>
        <v>https://organic.ams.usda.gov/Integrity/Certificate.aspx?cid=71&amp;nopid=5520525096</v>
      </c>
    </row>
    <row r="1393">
      <c r="A1393" t="s">
        <v>3</v>
      </c>
      <c r="B1393" s="6" t="s">
        <v>48</v>
      </c>
      <c r="C1393" s="6" t="s">
        <v>114</v>
      </c>
      <c r="D1393" s="6" t="s">
        <v>178</v>
      </c>
      <c r="E1393" s="10" t="s">
        <v>1591</v>
      </c>
      <c r="F1393" s="6" t="s">
        <v>3830</v>
      </c>
      <c r="G1393" s="6" t="s">
        <v>104</v>
      </c>
      <c r="H1393" s="6" t="s">
        <v>104</v>
      </c>
      <c r="I1393" s="6" t="s">
        <v>104</v>
      </c>
      <c r="J1393" s="6" t="s">
        <v>104</v>
      </c>
      <c r="K1393" s="6" t="s">
        <v>9714</v>
      </c>
      <c r="L1393" s="16" t="n">
        <v>43203</v>
      </c>
      <c r="M1393" s="18" t="s">
        <v>104</v>
      </c>
      <c r="N1393" s="6" t="s">
        <v>104</v>
      </c>
      <c r="O1393" s="21" t="s">
        <v>104</v>
      </c>
      <c r="P1393" s="6" t="s">
        <v>104</v>
      </c>
      <c r="Q1393" s="6" t="s">
        <v>104</v>
      </c>
      <c r="R1393" s="6" t="s">
        <v>104</v>
      </c>
      <c r="S1393" s="6" t="s">
        <v>104</v>
      </c>
      <c r="T1393" s="21" t="s">
        <v>104</v>
      </c>
      <c r="U1393" s="6" t="s">
        <v>104</v>
      </c>
      <c r="V1393" s="6" t="s">
        <v>104</v>
      </c>
      <c r="W1393" s="6" t="s">
        <v>104</v>
      </c>
      <c r="X1393" s="6" t="s">
        <v>104</v>
      </c>
      <c r="Y1393" s="21" t="s">
        <v>104</v>
      </c>
      <c r="Z1393" s="6" t="s">
        <v>104</v>
      </c>
      <c r="AA1393" s="6" t="s">
        <v>104</v>
      </c>
      <c r="AB1393" s="6" t="s">
        <v>104</v>
      </c>
      <c r="AC1393" s="6" t="s">
        <v>9714</v>
      </c>
      <c r="AD1393" s="16" t="n">
        <v>43203</v>
      </c>
      <c r="AE1393" s="6" t="s">
        <v>11735</v>
      </c>
      <c r="AF1393" s="6" t="s">
        <v>104</v>
      </c>
      <c r="AG1393" s="6" t="s">
        <v>104</v>
      </c>
      <c r="AH1393" s="6" t="s">
        <v>14426</v>
      </c>
      <c r="AI1393" s="6" t="s">
        <v>104</v>
      </c>
      <c r="AJ1393" s="6" t="s">
        <v>104</v>
      </c>
      <c r="AK1393" s="6" t="s">
        <v>104</v>
      </c>
      <c r="AL1393" s="6" t="s">
        <v>16933</v>
      </c>
      <c r="AM1393" s="6" t="s">
        <v>104</v>
      </c>
      <c r="AN1393" s="6" t="s">
        <v>104</v>
      </c>
      <c r="AO1393" s="6" t="s">
        <v>104</v>
      </c>
      <c r="AP1393" s="6" t="s">
        <v>104</v>
      </c>
      <c r="AQ1393" s="6" t="s">
        <v>104</v>
      </c>
      <c r="AR1393" s="6" t="s">
        <v>104</v>
      </c>
      <c r="AS1393" s="6" t="s">
        <v>104</v>
      </c>
      <c r="AT1393" s="6" t="s">
        <v>104</v>
      </c>
      <c r="AU1393" s="6" t="s">
        <v>104</v>
      </c>
      <c r="AV1393" s="6" t="s">
        <v>104</v>
      </c>
      <c r="AW1393" s="6" t="s">
        <v>104</v>
      </c>
      <c r="AX1393" s="6" t="s">
        <v>104</v>
      </c>
      <c r="AY1393" s="6" t="s">
        <v>104</v>
      </c>
      <c r="AZ1393" s="6" t="s">
        <v>104</v>
      </c>
      <c r="BA1393" s="6" t="s">
        <v>104</v>
      </c>
      <c r="BB1393" s="6" t="s">
        <v>104</v>
      </c>
      <c r="BC1393" s="26"/>
      <c r="BD1393" s="26"/>
      <c r="BE1393" s="26"/>
      <c r="BF1393" s="26"/>
      <c r="BG1393" s="26"/>
      <c r="BH1393" s="26"/>
      <c r="BI1393" s="26"/>
      <c r="BJ1393" s="26"/>
      <c r="BK1393" s="26"/>
      <c r="BL1393" s="26"/>
      <c r="BM1393" s="26"/>
      <c r="BN1393" s="26"/>
      <c r="BO1393" s="26"/>
      <c r="BP1393" s="16" t="n">
        <v>43462</v>
      </c>
      <c r="BQ1393" s="28" t="str">
        <f>HYPERLINK("https://organic.ams.usda.gov/Integrity/Certificate.aspx?cid=9&amp;nopid=1202783400")</f>
        <v>https://organic.ams.usda.gov/Integrity/Certificate.aspx?cid=9&amp;nopid=1202783400</v>
      </c>
    </row>
    <row r="1394">
      <c r="A1394" t="s">
        <v>3</v>
      </c>
      <c r="B1394" s="6" t="s">
        <v>11</v>
      </c>
      <c r="C1394" s="6" t="s">
        <v>77</v>
      </c>
      <c r="D1394" s="6" t="s">
        <v>142</v>
      </c>
      <c r="E1394" s="10" t="s">
        <v>1592</v>
      </c>
      <c r="F1394" s="6" t="s">
        <v>3831</v>
      </c>
      <c r="G1394" s="6" t="s">
        <v>104</v>
      </c>
      <c r="H1394" s="6" t="s">
        <v>1592</v>
      </c>
      <c r="I1394" s="6" t="s">
        <v>7748</v>
      </c>
      <c r="J1394" s="6" t="s">
        <v>9164</v>
      </c>
      <c r="K1394" s="6" t="s">
        <v>9714</v>
      </c>
      <c r="L1394" s="16" t="n">
        <v>44728</v>
      </c>
      <c r="M1394" s="16" t="n">
        <v>45789</v>
      </c>
      <c r="N1394" s="6" t="s">
        <v>104</v>
      </c>
      <c r="O1394" s="21" t="s">
        <v>104</v>
      </c>
      <c r="P1394" s="6" t="s">
        <v>104</v>
      </c>
      <c r="Q1394" s="6" t="s">
        <v>104</v>
      </c>
      <c r="R1394" s="6" t="s">
        <v>104</v>
      </c>
      <c r="S1394" s="6" t="s">
        <v>104</v>
      </c>
      <c r="T1394" s="21" t="s">
        <v>104</v>
      </c>
      <c r="U1394" s="6" t="s">
        <v>104</v>
      </c>
      <c r="V1394" s="6" t="s">
        <v>104</v>
      </c>
      <c r="W1394" s="6" t="s">
        <v>104</v>
      </c>
      <c r="X1394" s="6" t="s">
        <v>104</v>
      </c>
      <c r="Y1394" s="21" t="s">
        <v>104</v>
      </c>
      <c r="Z1394" s="6" t="s">
        <v>104</v>
      </c>
      <c r="AA1394" s="6" t="s">
        <v>104</v>
      </c>
      <c r="AB1394" s="6" t="s">
        <v>104</v>
      </c>
      <c r="AC1394" s="6" t="s">
        <v>9714</v>
      </c>
      <c r="AD1394" s="16" t="n">
        <v>44728</v>
      </c>
      <c r="AE1394" s="6" t="s">
        <v>11736</v>
      </c>
      <c r="AF1394" s="6" t="s">
        <v>104</v>
      </c>
      <c r="AG1394" s="6" t="s">
        <v>12917</v>
      </c>
      <c r="AH1394" s="6" t="s">
        <v>14427</v>
      </c>
      <c r="AI1394" s="6" t="s">
        <v>104</v>
      </c>
      <c r="AJ1394" s="6" t="s">
        <v>15959</v>
      </c>
      <c r="AK1394" s="6" t="s">
        <v>16699</v>
      </c>
      <c r="AL1394" s="6" t="s">
        <v>16932</v>
      </c>
      <c r="AM1394" s="6" t="s">
        <v>17597</v>
      </c>
      <c r="AN1394" s="6" t="s">
        <v>104</v>
      </c>
      <c r="AO1394" s="6" t="s">
        <v>104</v>
      </c>
      <c r="AP1394" s="6" t="s">
        <v>14427</v>
      </c>
      <c r="AQ1394" s="6" t="s">
        <v>104</v>
      </c>
      <c r="AR1394" s="6" t="s">
        <v>15959</v>
      </c>
      <c r="AS1394" s="6" t="s">
        <v>16699</v>
      </c>
      <c r="AT1394" s="6" t="s">
        <v>16932</v>
      </c>
      <c r="AU1394" s="6" t="s">
        <v>17597</v>
      </c>
      <c r="AV1394" s="6" t="s">
        <v>104</v>
      </c>
      <c r="AW1394" s="6" t="s">
        <v>104</v>
      </c>
      <c r="AX1394" s="6" t="s">
        <v>21208</v>
      </c>
      <c r="AY1394" s="6" t="s">
        <v>23003</v>
      </c>
      <c r="AZ1394" s="6" t="s">
        <v>104</v>
      </c>
      <c r="BA1394" s="6" t="s">
        <v>104</v>
      </c>
      <c r="BB1394" s="6" t="s">
        <v>104</v>
      </c>
      <c r="BC1394" s="26"/>
      <c r="BD1394" s="26"/>
      <c r="BE1394" s="26"/>
      <c r="BF1394" s="26"/>
      <c r="BG1394" s="26"/>
      <c r="BH1394" s="26"/>
      <c r="BI1394" s="26"/>
      <c r="BJ1394" s="26"/>
      <c r="BK1394" s="26"/>
      <c r="BL1394" s="26"/>
      <c r="BM1394" s="26"/>
      <c r="BN1394" s="26" t="s">
        <v>24533</v>
      </c>
      <c r="BO1394" s="26"/>
      <c r="BP1394" s="16" t="n">
        <v>45457</v>
      </c>
      <c r="BQ1394" s="28" t="str">
        <f>HYPERLINK("https://organic.ams.usda.gov/Integrity/Certificate.aspx?cid=21&amp;nopid=1780857113")</f>
        <v>https://organic.ams.usda.gov/Integrity/Certificate.aspx?cid=21&amp;nopid=1780857113</v>
      </c>
    </row>
    <row r="1395">
      <c r="A1395" t="s">
        <v>3</v>
      </c>
      <c r="B1395" s="6" t="s">
        <v>34</v>
      </c>
      <c r="C1395" s="6" t="s">
        <v>100</v>
      </c>
      <c r="D1395" s="6" t="s">
        <v>165</v>
      </c>
      <c r="E1395" s="10" t="s">
        <v>1593</v>
      </c>
      <c r="F1395" s="6" t="s">
        <v>3832</v>
      </c>
      <c r="G1395" s="6" t="s">
        <v>104</v>
      </c>
      <c r="H1395" s="6" t="s">
        <v>6155</v>
      </c>
      <c r="I1395" s="6" t="s">
        <v>7749</v>
      </c>
      <c r="J1395" s="6" t="s">
        <v>7750</v>
      </c>
      <c r="K1395" s="6" t="s">
        <v>9714</v>
      </c>
      <c r="L1395" s="16" t="n">
        <v>37433</v>
      </c>
      <c r="M1395" s="16" t="n">
        <v>45628</v>
      </c>
      <c r="N1395" s="6" t="s">
        <v>104</v>
      </c>
      <c r="O1395" s="21" t="s">
        <v>104</v>
      </c>
      <c r="P1395" s="6" t="s">
        <v>104</v>
      </c>
      <c r="Q1395" s="6" t="s">
        <v>104</v>
      </c>
      <c r="R1395" s="6" t="s">
        <v>104</v>
      </c>
      <c r="S1395" s="6" t="s">
        <v>104</v>
      </c>
      <c r="T1395" s="21" t="s">
        <v>104</v>
      </c>
      <c r="U1395" s="6" t="s">
        <v>104</v>
      </c>
      <c r="V1395" s="6" t="s">
        <v>104</v>
      </c>
      <c r="W1395" s="6" t="s">
        <v>104</v>
      </c>
      <c r="X1395" s="6" t="s">
        <v>104</v>
      </c>
      <c r="Y1395" s="21" t="s">
        <v>104</v>
      </c>
      <c r="Z1395" s="6" t="s">
        <v>104</v>
      </c>
      <c r="AA1395" s="6" t="s">
        <v>104</v>
      </c>
      <c r="AB1395" s="6" t="s">
        <v>104</v>
      </c>
      <c r="AC1395" s="6" t="s">
        <v>9714</v>
      </c>
      <c r="AD1395" s="16" t="n">
        <v>37433</v>
      </c>
      <c r="AE1395" s="6" t="s">
        <v>11737</v>
      </c>
      <c r="AF1395" s="6" t="s">
        <v>104</v>
      </c>
      <c r="AG1395" s="6" t="s">
        <v>12918</v>
      </c>
      <c r="AH1395" s="6" t="s">
        <v>14428</v>
      </c>
      <c r="AI1395" s="6" t="s">
        <v>104</v>
      </c>
      <c r="AJ1395" s="6" t="s">
        <v>16252</v>
      </c>
      <c r="AK1395" s="6" t="s">
        <v>16382</v>
      </c>
      <c r="AL1395" s="6" t="s">
        <v>16931</v>
      </c>
      <c r="AM1395" s="6" t="s">
        <v>17930</v>
      </c>
      <c r="AN1395" s="6" t="s">
        <v>18503</v>
      </c>
      <c r="AO1395" s="6" t="s">
        <v>18837</v>
      </c>
      <c r="AP1395" s="6" t="s">
        <v>19326</v>
      </c>
      <c r="AQ1395" s="6" t="s">
        <v>104</v>
      </c>
      <c r="AR1395" s="6" t="s">
        <v>15624</v>
      </c>
      <c r="AS1395" s="6" t="s">
        <v>16862</v>
      </c>
      <c r="AT1395" s="6" t="s">
        <v>16958</v>
      </c>
      <c r="AU1395" s="6" t="s">
        <v>19983</v>
      </c>
      <c r="AV1395" s="6" t="s">
        <v>104</v>
      </c>
      <c r="AW1395" s="6" t="s">
        <v>104</v>
      </c>
      <c r="AX1395" s="6" t="s">
        <v>21209</v>
      </c>
      <c r="AY1395" s="6" t="s">
        <v>23004</v>
      </c>
      <c r="AZ1395" s="6" t="s">
        <v>24039</v>
      </c>
      <c r="BA1395" s="6" t="s">
        <v>104</v>
      </c>
      <c r="BB1395" s="6" t="s">
        <v>104</v>
      </c>
      <c r="BC1395" s="26"/>
      <c r="BD1395" s="26"/>
      <c r="BE1395" s="26"/>
      <c r="BF1395" s="26"/>
      <c r="BG1395" s="26"/>
      <c r="BH1395" s="26"/>
      <c r="BI1395" s="26"/>
      <c r="BJ1395" s="26"/>
      <c r="BK1395" s="26"/>
      <c r="BL1395" s="26"/>
      <c r="BM1395" s="26"/>
      <c r="BN1395" s="26"/>
      <c r="BO1395" s="26"/>
      <c r="BP1395" s="16" t="n">
        <v>45737</v>
      </c>
      <c r="BQ1395" s="28" t="str">
        <f>HYPERLINK("https://organic.ams.usda.gov/Integrity/Certificate.aspx?cid=71&amp;nopid=5520030815")</f>
        <v>https://organic.ams.usda.gov/Integrity/Certificate.aspx?cid=71&amp;nopid=5520030815</v>
      </c>
    </row>
    <row r="1396">
      <c r="A1396" t="s">
        <v>3</v>
      </c>
      <c r="B1396" s="6" t="s">
        <v>34</v>
      </c>
      <c r="C1396" s="6" t="s">
        <v>100</v>
      </c>
      <c r="D1396" s="6" t="s">
        <v>165</v>
      </c>
      <c r="E1396" s="10" t="s">
        <v>1594</v>
      </c>
      <c r="F1396" s="6" t="s">
        <v>3832</v>
      </c>
      <c r="G1396" s="6" t="s">
        <v>104</v>
      </c>
      <c r="H1396" s="6" t="s">
        <v>6156</v>
      </c>
      <c r="I1396" s="6" t="s">
        <v>7749</v>
      </c>
      <c r="J1396" s="6" t="s">
        <v>7750</v>
      </c>
      <c r="K1396" s="6" t="s">
        <v>9714</v>
      </c>
      <c r="L1396" s="16" t="n">
        <v>39934</v>
      </c>
      <c r="M1396" s="16" t="n">
        <v>45693</v>
      </c>
      <c r="N1396" s="6" t="s">
        <v>104</v>
      </c>
      <c r="O1396" s="21" t="s">
        <v>104</v>
      </c>
      <c r="P1396" s="6" t="s">
        <v>104</v>
      </c>
      <c r="Q1396" s="6" t="s">
        <v>104</v>
      </c>
      <c r="R1396" s="6" t="s">
        <v>104</v>
      </c>
      <c r="S1396" s="6" t="s">
        <v>104</v>
      </c>
      <c r="T1396" s="21" t="s">
        <v>104</v>
      </c>
      <c r="U1396" s="6" t="s">
        <v>104</v>
      </c>
      <c r="V1396" s="6" t="s">
        <v>104</v>
      </c>
      <c r="W1396" s="6" t="s">
        <v>104</v>
      </c>
      <c r="X1396" s="6" t="s">
        <v>104</v>
      </c>
      <c r="Y1396" s="21" t="s">
        <v>104</v>
      </c>
      <c r="Z1396" s="6" t="s">
        <v>104</v>
      </c>
      <c r="AA1396" s="6" t="s">
        <v>104</v>
      </c>
      <c r="AB1396" s="6" t="s">
        <v>104</v>
      </c>
      <c r="AC1396" s="6" t="s">
        <v>9714</v>
      </c>
      <c r="AD1396" s="16" t="n">
        <v>39934</v>
      </c>
      <c r="AE1396" s="6" t="s">
        <v>11738</v>
      </c>
      <c r="AF1396" s="6" t="s">
        <v>104</v>
      </c>
      <c r="AG1396" s="6" t="s">
        <v>12919</v>
      </c>
      <c r="AH1396" s="6" t="s">
        <v>14429</v>
      </c>
      <c r="AI1396" s="6" t="s">
        <v>104</v>
      </c>
      <c r="AJ1396" s="6" t="s">
        <v>16253</v>
      </c>
      <c r="AK1396" s="6" t="s">
        <v>16714</v>
      </c>
      <c r="AL1396" s="6" t="s">
        <v>16931</v>
      </c>
      <c r="AM1396" s="6" t="s">
        <v>17931</v>
      </c>
      <c r="AN1396" s="6" t="s">
        <v>18495</v>
      </c>
      <c r="AO1396" s="6" t="s">
        <v>18619</v>
      </c>
      <c r="AP1396" s="6" t="s">
        <v>19326</v>
      </c>
      <c r="AQ1396" s="6" t="s">
        <v>104</v>
      </c>
      <c r="AR1396" s="6" t="s">
        <v>15624</v>
      </c>
      <c r="AS1396" s="6" t="s">
        <v>16862</v>
      </c>
      <c r="AT1396" s="6" t="s">
        <v>16958</v>
      </c>
      <c r="AU1396" s="6" t="s">
        <v>19983</v>
      </c>
      <c r="AV1396" s="6" t="s">
        <v>104</v>
      </c>
      <c r="AW1396" s="6" t="s">
        <v>104</v>
      </c>
      <c r="AX1396" s="6" t="s">
        <v>21209</v>
      </c>
      <c r="AY1396" s="6" t="s">
        <v>23004</v>
      </c>
      <c r="AZ1396" s="6" t="s">
        <v>24039</v>
      </c>
      <c r="BA1396" s="6" t="s">
        <v>104</v>
      </c>
      <c r="BB1396" s="6" t="s">
        <v>104</v>
      </c>
      <c r="BC1396" s="26"/>
      <c r="BD1396" s="26"/>
      <c r="BE1396" s="26"/>
      <c r="BF1396" s="26"/>
      <c r="BG1396" s="26"/>
      <c r="BH1396" s="26"/>
      <c r="BI1396" s="26"/>
      <c r="BJ1396" s="26"/>
      <c r="BK1396" s="26"/>
      <c r="BL1396" s="26"/>
      <c r="BM1396" s="26"/>
      <c r="BN1396" s="26"/>
      <c r="BO1396" s="26"/>
      <c r="BP1396" s="16" t="n">
        <v>45739</v>
      </c>
      <c r="BQ1396" s="28" t="str">
        <f>HYPERLINK("https://organic.ams.usda.gov/Integrity/Certificate.aspx?cid=71&amp;nopid=5520029688")</f>
        <v>https://organic.ams.usda.gov/Integrity/Certificate.aspx?cid=71&amp;nopid=5520029688</v>
      </c>
    </row>
    <row r="1397">
      <c r="A1397" t="s">
        <v>3</v>
      </c>
      <c r="B1397" s="6" t="s">
        <v>6</v>
      </c>
      <c r="C1397" s="6" t="s">
        <v>72</v>
      </c>
      <c r="D1397" s="6" t="s">
        <v>137</v>
      </c>
      <c r="E1397" s="10" t="s">
        <v>1595</v>
      </c>
      <c r="F1397" s="6" t="s">
        <v>3833</v>
      </c>
      <c r="G1397" s="6" t="s">
        <v>104</v>
      </c>
      <c r="H1397" s="6" t="s">
        <v>6157</v>
      </c>
      <c r="I1397" s="6" t="s">
        <v>7750</v>
      </c>
      <c r="J1397" s="6" t="s">
        <v>9165</v>
      </c>
      <c r="K1397" s="6" t="s">
        <v>9714</v>
      </c>
      <c r="L1397" s="16" t="n">
        <v>44324</v>
      </c>
      <c r="M1397" s="16" t="n">
        <v>45816</v>
      </c>
      <c r="N1397" s="6" t="s">
        <v>104</v>
      </c>
      <c r="O1397" s="21" t="s">
        <v>104</v>
      </c>
      <c r="P1397" s="6" t="s">
        <v>104</v>
      </c>
      <c r="Q1397" s="6" t="s">
        <v>104</v>
      </c>
      <c r="R1397" s="6" t="s">
        <v>104</v>
      </c>
      <c r="S1397" s="6" t="s">
        <v>104</v>
      </c>
      <c r="T1397" s="21" t="s">
        <v>104</v>
      </c>
      <c r="U1397" s="6" t="s">
        <v>104</v>
      </c>
      <c r="V1397" s="6" t="s">
        <v>104</v>
      </c>
      <c r="W1397" s="6" t="s">
        <v>104</v>
      </c>
      <c r="X1397" s="6" t="s">
        <v>104</v>
      </c>
      <c r="Y1397" s="21" t="s">
        <v>104</v>
      </c>
      <c r="Z1397" s="6" t="s">
        <v>104</v>
      </c>
      <c r="AA1397" s="6" t="s">
        <v>104</v>
      </c>
      <c r="AB1397" s="6" t="s">
        <v>104</v>
      </c>
      <c r="AC1397" s="6" t="s">
        <v>9714</v>
      </c>
      <c r="AD1397" s="16" t="n">
        <v>44324</v>
      </c>
      <c r="AE1397" s="6" t="s">
        <v>11739</v>
      </c>
      <c r="AF1397" s="6" t="s">
        <v>104</v>
      </c>
      <c r="AG1397" s="6" t="s">
        <v>12920</v>
      </c>
      <c r="AH1397" s="6" t="s">
        <v>14430</v>
      </c>
      <c r="AI1397" s="6" t="s">
        <v>104</v>
      </c>
      <c r="AJ1397" s="6" t="s">
        <v>15981</v>
      </c>
      <c r="AK1397" s="6" t="s">
        <v>16767</v>
      </c>
      <c r="AL1397" s="6" t="s">
        <v>16766</v>
      </c>
      <c r="AM1397" s="6" t="s">
        <v>17932</v>
      </c>
      <c r="AN1397" s="6" t="s">
        <v>104</v>
      </c>
      <c r="AO1397" s="6" t="s">
        <v>104</v>
      </c>
      <c r="AP1397" s="6" t="s">
        <v>104</v>
      </c>
      <c r="AQ1397" s="6" t="s">
        <v>104</v>
      </c>
      <c r="AR1397" s="6" t="s">
        <v>104</v>
      </c>
      <c r="AS1397" s="6" t="s">
        <v>104</v>
      </c>
      <c r="AT1397" s="6" t="s">
        <v>104</v>
      </c>
      <c r="AU1397" s="6" t="s">
        <v>104</v>
      </c>
      <c r="AV1397" s="6" t="s">
        <v>104</v>
      </c>
      <c r="AW1397" s="6" t="s">
        <v>104</v>
      </c>
      <c r="AX1397" s="6" t="s">
        <v>21210</v>
      </c>
      <c r="AY1397" s="6" t="s">
        <v>22537</v>
      </c>
      <c r="AZ1397" s="6" t="s">
        <v>104</v>
      </c>
      <c r="BA1397" s="6" t="s">
        <v>24258</v>
      </c>
      <c r="BB1397" s="6" t="s">
        <v>104</v>
      </c>
      <c r="BC1397" s="26"/>
      <c r="BD1397" s="26"/>
      <c r="BE1397" s="26"/>
      <c r="BF1397" s="26"/>
      <c r="BG1397" s="26"/>
      <c r="BH1397" s="26"/>
      <c r="BI1397" s="26"/>
      <c r="BJ1397" s="26"/>
      <c r="BK1397" s="26"/>
      <c r="BL1397" s="26"/>
      <c r="BM1397" s="26"/>
      <c r="BN1397" s="26"/>
      <c r="BO1397" s="26"/>
      <c r="BP1397" s="16" t="n">
        <v>45737</v>
      </c>
      <c r="BQ1397" s="28" t="str">
        <f>HYPERLINK("https://organic.ams.usda.gov/Integrity/Certificate.aspx?cid=32&amp;nopid=2230008470")</f>
        <v>https://organic.ams.usda.gov/Integrity/Certificate.aspx?cid=32&amp;nopid=2230008470</v>
      </c>
    </row>
    <row r="1398">
      <c r="A1398" t="s">
        <v>3</v>
      </c>
      <c r="B1398" s="6" t="s">
        <v>6</v>
      </c>
      <c r="C1398" s="6" t="s">
        <v>72</v>
      </c>
      <c r="D1398" s="6" t="s">
        <v>137</v>
      </c>
      <c r="E1398" s="10" t="s">
        <v>1596</v>
      </c>
      <c r="F1398" s="6" t="s">
        <v>3834</v>
      </c>
      <c r="G1398" s="6" t="s">
        <v>104</v>
      </c>
      <c r="H1398" s="6" t="s">
        <v>6158</v>
      </c>
      <c r="I1398" s="6" t="s">
        <v>7750</v>
      </c>
      <c r="J1398" s="6" t="s">
        <v>9166</v>
      </c>
      <c r="K1398" s="6" t="s">
        <v>9714</v>
      </c>
      <c r="L1398" s="16" t="n">
        <v>43284</v>
      </c>
      <c r="M1398" s="16" t="n">
        <v>45836</v>
      </c>
      <c r="N1398" s="6" t="s">
        <v>104</v>
      </c>
      <c r="O1398" s="21" t="s">
        <v>104</v>
      </c>
      <c r="P1398" s="6" t="s">
        <v>104</v>
      </c>
      <c r="Q1398" s="6" t="s">
        <v>104</v>
      </c>
      <c r="R1398" s="6" t="s">
        <v>104</v>
      </c>
      <c r="S1398" s="6" t="s">
        <v>104</v>
      </c>
      <c r="T1398" s="21" t="s">
        <v>104</v>
      </c>
      <c r="U1398" s="6" t="s">
        <v>104</v>
      </c>
      <c r="V1398" s="6" t="s">
        <v>104</v>
      </c>
      <c r="W1398" s="6" t="s">
        <v>104</v>
      </c>
      <c r="X1398" s="6" t="s">
        <v>104</v>
      </c>
      <c r="Y1398" s="21" t="s">
        <v>104</v>
      </c>
      <c r="Z1398" s="6" t="s">
        <v>104</v>
      </c>
      <c r="AA1398" s="6" t="s">
        <v>104</v>
      </c>
      <c r="AB1398" s="6" t="s">
        <v>104</v>
      </c>
      <c r="AC1398" s="6" t="s">
        <v>9714</v>
      </c>
      <c r="AD1398" s="16" t="n">
        <v>43284</v>
      </c>
      <c r="AE1398" s="6" t="s">
        <v>11740</v>
      </c>
      <c r="AF1398" s="6" t="s">
        <v>104</v>
      </c>
      <c r="AG1398" s="6" t="s">
        <v>12921</v>
      </c>
      <c r="AH1398" s="6" t="s">
        <v>13905</v>
      </c>
      <c r="AI1398" s="6" t="s">
        <v>104</v>
      </c>
      <c r="AJ1398" s="6" t="s">
        <v>15554</v>
      </c>
      <c r="AK1398" s="6" t="s">
        <v>15707</v>
      </c>
      <c r="AL1398" s="6" t="s">
        <v>16766</v>
      </c>
      <c r="AM1398" s="6" t="s">
        <v>104</v>
      </c>
      <c r="AN1398" s="6" t="s">
        <v>104</v>
      </c>
      <c r="AO1398" s="6" t="s">
        <v>104</v>
      </c>
      <c r="AP1398" s="6" t="s">
        <v>104</v>
      </c>
      <c r="AQ1398" s="6" t="s">
        <v>104</v>
      </c>
      <c r="AR1398" s="6" t="s">
        <v>104</v>
      </c>
      <c r="AS1398" s="6" t="s">
        <v>104</v>
      </c>
      <c r="AT1398" s="6" t="s">
        <v>104</v>
      </c>
      <c r="AU1398" s="6" t="s">
        <v>104</v>
      </c>
      <c r="AV1398" s="6" t="s">
        <v>104</v>
      </c>
      <c r="AW1398" s="6" t="s">
        <v>104</v>
      </c>
      <c r="AX1398" s="6" t="s">
        <v>104</v>
      </c>
      <c r="AY1398" s="6" t="s">
        <v>23005</v>
      </c>
      <c r="AZ1398" s="6" t="s">
        <v>104</v>
      </c>
      <c r="BA1398" s="6" t="s">
        <v>24305</v>
      </c>
      <c r="BB1398" s="6" t="s">
        <v>104</v>
      </c>
      <c r="BC1398" s="26"/>
      <c r="BD1398" s="26"/>
      <c r="BE1398" s="26"/>
      <c r="BF1398" s="26"/>
      <c r="BG1398" s="26"/>
      <c r="BH1398" s="26"/>
      <c r="BI1398" s="26"/>
      <c r="BJ1398" s="26"/>
      <c r="BK1398" s="26"/>
      <c r="BL1398" s="26"/>
      <c r="BM1398" s="26"/>
      <c r="BN1398" s="26"/>
      <c r="BO1398" s="26"/>
      <c r="BP1398" s="16" t="n">
        <v>45737</v>
      </c>
      <c r="BQ1398" s="28" t="str">
        <f>HYPERLINK("https://organic.ams.usda.gov/Integrity/Certificate.aspx?cid=32&amp;nopid=2230007034")</f>
        <v>https://organic.ams.usda.gov/Integrity/Certificate.aspx?cid=32&amp;nopid=2230007034</v>
      </c>
    </row>
    <row r="1399">
      <c r="A1399" t="s">
        <v>3</v>
      </c>
      <c r="B1399" s="6" t="s">
        <v>6</v>
      </c>
      <c r="C1399" s="6" t="s">
        <v>72</v>
      </c>
      <c r="D1399" s="6" t="s">
        <v>137</v>
      </c>
      <c r="E1399" s="10" t="s">
        <v>1597</v>
      </c>
      <c r="F1399" s="6" t="s">
        <v>3835</v>
      </c>
      <c r="G1399" s="6" t="s">
        <v>104</v>
      </c>
      <c r="H1399" s="6" t="s">
        <v>6159</v>
      </c>
      <c r="I1399" s="6" t="s">
        <v>7751</v>
      </c>
      <c r="J1399" s="6" t="s">
        <v>104</v>
      </c>
      <c r="K1399" s="6" t="s">
        <v>9714</v>
      </c>
      <c r="L1399" s="16" t="n">
        <v>44224</v>
      </c>
      <c r="M1399" s="16" t="n">
        <v>45805</v>
      </c>
      <c r="N1399" s="6" t="s">
        <v>104</v>
      </c>
      <c r="O1399" s="21" t="s">
        <v>104</v>
      </c>
      <c r="P1399" s="6" t="s">
        <v>104</v>
      </c>
      <c r="Q1399" s="6" t="s">
        <v>104</v>
      </c>
      <c r="R1399" s="6" t="s">
        <v>104</v>
      </c>
      <c r="S1399" s="6" t="s">
        <v>104</v>
      </c>
      <c r="T1399" s="21" t="s">
        <v>104</v>
      </c>
      <c r="U1399" s="6" t="s">
        <v>104</v>
      </c>
      <c r="V1399" s="6" t="s">
        <v>104</v>
      </c>
      <c r="W1399" s="6" t="s">
        <v>104</v>
      </c>
      <c r="X1399" s="6" t="s">
        <v>104</v>
      </c>
      <c r="Y1399" s="21" t="s">
        <v>104</v>
      </c>
      <c r="Z1399" s="6" t="s">
        <v>104</v>
      </c>
      <c r="AA1399" s="6" t="s">
        <v>104</v>
      </c>
      <c r="AB1399" s="6" t="s">
        <v>104</v>
      </c>
      <c r="AC1399" s="6" t="s">
        <v>9714</v>
      </c>
      <c r="AD1399" s="16" t="n">
        <v>44224</v>
      </c>
      <c r="AE1399" s="6" t="s">
        <v>11741</v>
      </c>
      <c r="AF1399" s="6" t="s">
        <v>104</v>
      </c>
      <c r="AG1399" s="6" t="s">
        <v>12922</v>
      </c>
      <c r="AH1399" s="6" t="s">
        <v>14431</v>
      </c>
      <c r="AI1399" s="6" t="s">
        <v>104</v>
      </c>
      <c r="AJ1399" s="6" t="s">
        <v>15981</v>
      </c>
      <c r="AK1399" s="6" t="s">
        <v>16767</v>
      </c>
      <c r="AL1399" s="6" t="s">
        <v>16766</v>
      </c>
      <c r="AM1399" s="6" t="s">
        <v>104</v>
      </c>
      <c r="AN1399" s="6" t="s">
        <v>104</v>
      </c>
      <c r="AO1399" s="6" t="s">
        <v>104</v>
      </c>
      <c r="AP1399" s="6" t="s">
        <v>104</v>
      </c>
      <c r="AQ1399" s="6" t="s">
        <v>104</v>
      </c>
      <c r="AR1399" s="6" t="s">
        <v>104</v>
      </c>
      <c r="AS1399" s="6" t="s">
        <v>104</v>
      </c>
      <c r="AT1399" s="6" t="s">
        <v>104</v>
      </c>
      <c r="AU1399" s="6" t="s">
        <v>104</v>
      </c>
      <c r="AV1399" s="6" t="s">
        <v>104</v>
      </c>
      <c r="AW1399" s="6" t="s">
        <v>104</v>
      </c>
      <c r="AX1399" s="6" t="s">
        <v>21211</v>
      </c>
      <c r="AY1399" s="6" t="s">
        <v>23006</v>
      </c>
      <c r="AZ1399" s="6" t="s">
        <v>104</v>
      </c>
      <c r="BA1399" s="6" t="s">
        <v>104</v>
      </c>
      <c r="BB1399" s="6" t="s">
        <v>104</v>
      </c>
      <c r="BC1399" s="26"/>
      <c r="BD1399" s="26"/>
      <c r="BE1399" s="26"/>
      <c r="BF1399" s="26"/>
      <c r="BG1399" s="26"/>
      <c r="BH1399" s="26"/>
      <c r="BI1399" s="26"/>
      <c r="BJ1399" s="26"/>
      <c r="BK1399" s="26"/>
      <c r="BL1399" s="26"/>
      <c r="BM1399" s="26"/>
      <c r="BN1399" s="26"/>
      <c r="BO1399" s="26"/>
      <c r="BP1399" s="16" t="n">
        <v>45737</v>
      </c>
      <c r="BQ1399" s="28" t="str">
        <f>HYPERLINK("https://organic.ams.usda.gov/Integrity/Certificate.aspx?cid=32&amp;nopid=2230008341")</f>
        <v>https://organic.ams.usda.gov/Integrity/Certificate.aspx?cid=32&amp;nopid=2230008341</v>
      </c>
    </row>
    <row r="1400">
      <c r="A1400" t="s">
        <v>3</v>
      </c>
      <c r="B1400" s="6" t="s">
        <v>6</v>
      </c>
      <c r="C1400" s="6" t="s">
        <v>72</v>
      </c>
      <c r="D1400" s="6" t="s">
        <v>137</v>
      </c>
      <c r="E1400" s="10" t="s">
        <v>1598</v>
      </c>
      <c r="F1400" s="6" t="s">
        <v>3836</v>
      </c>
      <c r="G1400" s="6" t="s">
        <v>104</v>
      </c>
      <c r="H1400" s="6" t="s">
        <v>6160</v>
      </c>
      <c r="I1400" s="6" t="s">
        <v>7225</v>
      </c>
      <c r="J1400" s="6" t="s">
        <v>9167</v>
      </c>
      <c r="K1400" s="6" t="s">
        <v>9714</v>
      </c>
      <c r="L1400" s="16" t="n">
        <v>45384</v>
      </c>
      <c r="M1400" s="16" t="n">
        <v>45723</v>
      </c>
      <c r="N1400" s="6" t="s">
        <v>104</v>
      </c>
      <c r="O1400" s="21" t="s">
        <v>104</v>
      </c>
      <c r="P1400" s="6" t="s">
        <v>104</v>
      </c>
      <c r="Q1400" s="6" t="s">
        <v>104</v>
      </c>
      <c r="R1400" s="6" t="s">
        <v>104</v>
      </c>
      <c r="S1400" s="6" t="s">
        <v>104</v>
      </c>
      <c r="T1400" s="21" t="s">
        <v>104</v>
      </c>
      <c r="U1400" s="6" t="s">
        <v>104</v>
      </c>
      <c r="V1400" s="6" t="s">
        <v>104</v>
      </c>
      <c r="W1400" s="6" t="s">
        <v>104</v>
      </c>
      <c r="X1400" s="6" t="s">
        <v>104</v>
      </c>
      <c r="Y1400" s="21" t="s">
        <v>104</v>
      </c>
      <c r="Z1400" s="6" t="s">
        <v>104</v>
      </c>
      <c r="AA1400" s="6" t="s">
        <v>104</v>
      </c>
      <c r="AB1400" s="6" t="s">
        <v>104</v>
      </c>
      <c r="AC1400" s="6" t="s">
        <v>9714</v>
      </c>
      <c r="AD1400" s="16" t="n">
        <v>45384</v>
      </c>
      <c r="AE1400" s="6" t="s">
        <v>11742</v>
      </c>
      <c r="AF1400" s="6" t="s">
        <v>104</v>
      </c>
      <c r="AG1400" s="6" t="s">
        <v>12923</v>
      </c>
      <c r="AH1400" s="6" t="s">
        <v>14432</v>
      </c>
      <c r="AI1400" s="6" t="s">
        <v>104</v>
      </c>
      <c r="AJ1400" s="6" t="s">
        <v>15542</v>
      </c>
      <c r="AK1400" s="6" t="s">
        <v>16687</v>
      </c>
      <c r="AL1400" s="6" t="s">
        <v>16931</v>
      </c>
      <c r="AM1400" s="6" t="s">
        <v>17488</v>
      </c>
      <c r="AN1400" s="6" t="s">
        <v>104</v>
      </c>
      <c r="AO1400" s="6" t="s">
        <v>104</v>
      </c>
      <c r="AP1400" s="6" t="s">
        <v>104</v>
      </c>
      <c r="AQ1400" s="6" t="s">
        <v>104</v>
      </c>
      <c r="AR1400" s="6" t="s">
        <v>104</v>
      </c>
      <c r="AS1400" s="6" t="s">
        <v>104</v>
      </c>
      <c r="AT1400" s="6" t="s">
        <v>104</v>
      </c>
      <c r="AU1400" s="6" t="s">
        <v>104</v>
      </c>
      <c r="AV1400" s="6" t="s">
        <v>104</v>
      </c>
      <c r="AW1400" s="6" t="s">
        <v>104</v>
      </c>
      <c r="AX1400" s="6" t="s">
        <v>21212</v>
      </c>
      <c r="AY1400" s="6" t="s">
        <v>23007</v>
      </c>
      <c r="AZ1400" s="6" t="s">
        <v>104</v>
      </c>
      <c r="BA1400" s="6" t="s">
        <v>104</v>
      </c>
      <c r="BB1400" s="6" t="s">
        <v>104</v>
      </c>
      <c r="BC1400" s="26"/>
      <c r="BD1400" s="26"/>
      <c r="BE1400" s="26"/>
      <c r="BF1400" s="26"/>
      <c r="BG1400" s="26"/>
      <c r="BH1400" s="26"/>
      <c r="BI1400" s="26"/>
      <c r="BJ1400" s="26"/>
      <c r="BK1400" s="26"/>
      <c r="BL1400" s="26"/>
      <c r="BM1400" s="26"/>
      <c r="BN1400" s="26"/>
      <c r="BO1400" s="26"/>
      <c r="BP1400" s="16" t="n">
        <v>45737</v>
      </c>
      <c r="BQ1400" s="28" t="str">
        <f>HYPERLINK("https://organic.ams.usda.gov/Integrity/Certificate.aspx?cid=32&amp;nopid=2230010907")</f>
        <v>https://organic.ams.usda.gov/Integrity/Certificate.aspx?cid=32&amp;nopid=2230010907</v>
      </c>
    </row>
    <row r="1401">
      <c r="A1401" t="s">
        <v>3</v>
      </c>
      <c r="B1401" s="6" t="s">
        <v>48</v>
      </c>
      <c r="C1401" s="6" t="s">
        <v>114</v>
      </c>
      <c r="D1401" s="6" t="s">
        <v>178</v>
      </c>
      <c r="E1401" s="10" t="s">
        <v>1599</v>
      </c>
      <c r="F1401" s="6" t="s">
        <v>3837</v>
      </c>
      <c r="G1401" s="6" t="s">
        <v>104</v>
      </c>
      <c r="H1401" s="6" t="s">
        <v>6161</v>
      </c>
      <c r="I1401" s="6" t="s">
        <v>104</v>
      </c>
      <c r="J1401" s="6" t="s">
        <v>104</v>
      </c>
      <c r="K1401" s="6" t="s">
        <v>9714</v>
      </c>
      <c r="L1401" s="16" t="n">
        <v>40063</v>
      </c>
      <c r="M1401" s="16" t="n">
        <v>45747</v>
      </c>
      <c r="N1401" s="6" t="s">
        <v>104</v>
      </c>
      <c r="O1401" s="21" t="s">
        <v>104</v>
      </c>
      <c r="P1401" s="6" t="s">
        <v>104</v>
      </c>
      <c r="Q1401" s="6" t="s">
        <v>104</v>
      </c>
      <c r="R1401" s="6" t="s">
        <v>104</v>
      </c>
      <c r="S1401" s="6" t="s">
        <v>104</v>
      </c>
      <c r="T1401" s="21" t="s">
        <v>104</v>
      </c>
      <c r="U1401" s="6" t="s">
        <v>104</v>
      </c>
      <c r="V1401" s="6" t="s">
        <v>104</v>
      </c>
      <c r="W1401" s="6" t="s">
        <v>104</v>
      </c>
      <c r="X1401" s="6" t="s">
        <v>104</v>
      </c>
      <c r="Y1401" s="21" t="s">
        <v>104</v>
      </c>
      <c r="Z1401" s="6" t="s">
        <v>104</v>
      </c>
      <c r="AA1401" s="6" t="s">
        <v>104</v>
      </c>
      <c r="AB1401" s="6" t="s">
        <v>104</v>
      </c>
      <c r="AC1401" s="6" t="s">
        <v>9714</v>
      </c>
      <c r="AD1401" s="16" t="n">
        <v>40063</v>
      </c>
      <c r="AE1401" s="6" t="s">
        <v>11743</v>
      </c>
      <c r="AF1401" s="6" t="s">
        <v>104</v>
      </c>
      <c r="AG1401" s="6" t="s">
        <v>104</v>
      </c>
      <c r="AH1401" s="6" t="s">
        <v>14433</v>
      </c>
      <c r="AI1401" s="6" t="s">
        <v>104</v>
      </c>
      <c r="AJ1401" s="6" t="s">
        <v>16254</v>
      </c>
      <c r="AK1401" s="6" t="s">
        <v>104</v>
      </c>
      <c r="AL1401" s="6" t="s">
        <v>16960</v>
      </c>
      <c r="AM1401" s="6" t="s">
        <v>17933</v>
      </c>
      <c r="AN1401" s="6" t="s">
        <v>104</v>
      </c>
      <c r="AO1401" s="6" t="s">
        <v>104</v>
      </c>
      <c r="AP1401" s="6" t="s">
        <v>19327</v>
      </c>
      <c r="AQ1401" s="6" t="s">
        <v>104</v>
      </c>
      <c r="AR1401" s="6" t="s">
        <v>19726</v>
      </c>
      <c r="AS1401" s="6" t="s">
        <v>104</v>
      </c>
      <c r="AT1401" s="6" t="s">
        <v>16960</v>
      </c>
      <c r="AU1401" s="6" t="s">
        <v>19984</v>
      </c>
      <c r="AV1401" s="6" t="s">
        <v>104</v>
      </c>
      <c r="AW1401" s="6" t="s">
        <v>104</v>
      </c>
      <c r="AX1401" s="6" t="s">
        <v>21213</v>
      </c>
      <c r="AY1401" s="6" t="s">
        <v>23008</v>
      </c>
      <c r="AZ1401" s="6" t="s">
        <v>104</v>
      </c>
      <c r="BA1401" s="6" t="s">
        <v>104</v>
      </c>
      <c r="BB1401" s="6" t="s">
        <v>104</v>
      </c>
      <c r="BC1401" s="26"/>
      <c r="BD1401" s="26"/>
      <c r="BE1401" s="26"/>
      <c r="BF1401" s="26"/>
      <c r="BG1401" s="26"/>
      <c r="BH1401" s="26"/>
      <c r="BI1401" s="26"/>
      <c r="BJ1401" s="26"/>
      <c r="BK1401" s="26"/>
      <c r="BL1401" s="26"/>
      <c r="BM1401" s="26"/>
      <c r="BN1401" s="26"/>
      <c r="BO1401" s="26"/>
      <c r="BP1401" s="16" t="n">
        <v>45702</v>
      </c>
      <c r="BQ1401" s="28" t="str">
        <f>HYPERLINK("https://organic.ams.usda.gov/Integrity/Certificate.aspx?cid=9&amp;nopid=1201764100")</f>
        <v>https://organic.ams.usda.gov/Integrity/Certificate.aspx?cid=9&amp;nopid=1201764100</v>
      </c>
    </row>
    <row r="1402">
      <c r="A1402" t="s">
        <v>3</v>
      </c>
      <c r="B1402" s="6" t="s">
        <v>31</v>
      </c>
      <c r="C1402" s="6" t="s">
        <v>97</v>
      </c>
      <c r="D1402" s="6" t="s">
        <v>162</v>
      </c>
      <c r="E1402" s="10" t="s">
        <v>1600</v>
      </c>
      <c r="F1402" s="6" t="s">
        <v>3838</v>
      </c>
      <c r="G1402" s="6" t="s">
        <v>104</v>
      </c>
      <c r="H1402" s="6" t="s">
        <v>6162</v>
      </c>
      <c r="I1402" s="6" t="s">
        <v>7752</v>
      </c>
      <c r="J1402" s="6" t="s">
        <v>9168</v>
      </c>
      <c r="K1402" s="6" t="s">
        <v>9714</v>
      </c>
      <c r="L1402" s="16" t="n">
        <v>45705</v>
      </c>
      <c r="M1402" s="16" t="n">
        <v>46070</v>
      </c>
      <c r="N1402" s="6" t="s">
        <v>9714</v>
      </c>
      <c r="O1402" s="16" t="n">
        <v>45705</v>
      </c>
      <c r="P1402" s="6" t="s">
        <v>10112</v>
      </c>
      <c r="Q1402" s="6" t="s">
        <v>104</v>
      </c>
      <c r="R1402" s="6" t="s">
        <v>10401</v>
      </c>
      <c r="S1402" s="6" t="s">
        <v>104</v>
      </c>
      <c r="T1402" s="21" t="s">
        <v>104</v>
      </c>
      <c r="U1402" s="6" t="s">
        <v>104</v>
      </c>
      <c r="V1402" s="6" t="s">
        <v>104</v>
      </c>
      <c r="W1402" s="6" t="s">
        <v>104</v>
      </c>
      <c r="X1402" s="6" t="s">
        <v>104</v>
      </c>
      <c r="Y1402" s="21" t="s">
        <v>104</v>
      </c>
      <c r="Z1402" s="6" t="s">
        <v>104</v>
      </c>
      <c r="AA1402" s="6" t="s">
        <v>104</v>
      </c>
      <c r="AB1402" s="6" t="s">
        <v>104</v>
      </c>
      <c r="AC1402" s="6" t="s">
        <v>104</v>
      </c>
      <c r="AD1402" s="21" t="s">
        <v>104</v>
      </c>
      <c r="AE1402" s="6" t="s">
        <v>104</v>
      </c>
      <c r="AF1402" s="6" t="s">
        <v>104</v>
      </c>
      <c r="AG1402" s="6" t="s">
        <v>104</v>
      </c>
      <c r="AH1402" s="6" t="s">
        <v>14434</v>
      </c>
      <c r="AI1402" s="6" t="s">
        <v>104</v>
      </c>
      <c r="AJ1402" s="6" t="s">
        <v>104</v>
      </c>
      <c r="AK1402" s="6" t="s">
        <v>104</v>
      </c>
      <c r="AL1402" s="6" t="s">
        <v>16932</v>
      </c>
      <c r="AM1402" s="6" t="s">
        <v>17692</v>
      </c>
      <c r="AN1402" s="6" t="s">
        <v>104</v>
      </c>
      <c r="AO1402" s="6" t="s">
        <v>104</v>
      </c>
      <c r="AP1402" s="6" t="s">
        <v>14434</v>
      </c>
      <c r="AQ1402" s="6" t="s">
        <v>104</v>
      </c>
      <c r="AR1402" s="6" t="s">
        <v>104</v>
      </c>
      <c r="AS1402" s="6" t="s">
        <v>104</v>
      </c>
      <c r="AT1402" s="6" t="s">
        <v>16932</v>
      </c>
      <c r="AU1402" s="6" t="s">
        <v>17692</v>
      </c>
      <c r="AV1402" s="6" t="s">
        <v>104</v>
      </c>
      <c r="AW1402" s="6" t="s">
        <v>104</v>
      </c>
      <c r="AX1402" s="6" t="s">
        <v>20944</v>
      </c>
      <c r="AY1402" s="6" t="s">
        <v>22725</v>
      </c>
      <c r="AZ1402" s="6" t="s">
        <v>104</v>
      </c>
      <c r="BA1402" s="6" t="s">
        <v>104</v>
      </c>
      <c r="BB1402" s="24" t="n">
        <v>7119</v>
      </c>
      <c r="BC1402" s="26"/>
      <c r="BD1402" s="26"/>
      <c r="BE1402" s="26"/>
      <c r="BF1402" s="26"/>
      <c r="BG1402" s="26"/>
      <c r="BH1402" s="26"/>
      <c r="BI1402" s="26"/>
      <c r="BJ1402" s="26"/>
      <c r="BK1402" s="26"/>
      <c r="BL1402" s="26"/>
      <c r="BM1402" s="26"/>
      <c r="BN1402" s="26"/>
      <c r="BO1402" s="26" t="s">
        <v>24533</v>
      </c>
      <c r="BP1402" s="16" t="n">
        <v>45707</v>
      </c>
      <c r="BQ1402" s="28" t="str">
        <f>HYPERLINK("https://organic.ams.usda.gov/Integrity/Certificate.aspx?cid=43&amp;nopid=3531203598")</f>
        <v>https://organic.ams.usda.gov/Integrity/Certificate.aspx?cid=43&amp;nopid=3531203598</v>
      </c>
    </row>
    <row r="1403">
      <c r="A1403" t="s">
        <v>3</v>
      </c>
      <c r="B1403" s="6" t="s">
        <v>54</v>
      </c>
      <c r="C1403" s="6" t="s">
        <v>120</v>
      </c>
      <c r="D1403" s="6" t="s">
        <v>184</v>
      </c>
      <c r="E1403" s="10" t="s">
        <v>1601</v>
      </c>
      <c r="F1403" s="6" t="s">
        <v>3839</v>
      </c>
      <c r="G1403" s="6" t="s">
        <v>104</v>
      </c>
      <c r="H1403" s="6" t="s">
        <v>6163</v>
      </c>
      <c r="I1403" s="6" t="s">
        <v>7386</v>
      </c>
      <c r="J1403" s="6" t="s">
        <v>8564</v>
      </c>
      <c r="K1403" s="6" t="s">
        <v>9714</v>
      </c>
      <c r="L1403" s="16" t="n">
        <v>42941</v>
      </c>
      <c r="M1403" s="16" t="n">
        <v>45717</v>
      </c>
      <c r="N1403" s="6" t="s">
        <v>9714</v>
      </c>
      <c r="O1403" s="16" t="n">
        <v>42941</v>
      </c>
      <c r="P1403" s="6" t="s">
        <v>10113</v>
      </c>
      <c r="Q1403" s="6" t="s">
        <v>104</v>
      </c>
      <c r="R1403" s="6" t="s">
        <v>104</v>
      </c>
      <c r="S1403" s="6" t="s">
        <v>104</v>
      </c>
      <c r="T1403" s="21" t="s">
        <v>104</v>
      </c>
      <c r="U1403" s="6" t="s">
        <v>104</v>
      </c>
      <c r="V1403" s="6" t="s">
        <v>104</v>
      </c>
      <c r="W1403" s="6" t="s">
        <v>104</v>
      </c>
      <c r="X1403" s="6" t="s">
        <v>104</v>
      </c>
      <c r="Y1403" s="21" t="s">
        <v>104</v>
      </c>
      <c r="Z1403" s="6" t="s">
        <v>104</v>
      </c>
      <c r="AA1403" s="6" t="s">
        <v>104</v>
      </c>
      <c r="AB1403" s="6" t="s">
        <v>104</v>
      </c>
      <c r="AC1403" s="6" t="s">
        <v>104</v>
      </c>
      <c r="AD1403" s="21" t="s">
        <v>104</v>
      </c>
      <c r="AE1403" s="6" t="s">
        <v>104</v>
      </c>
      <c r="AF1403" s="6" t="s">
        <v>104</v>
      </c>
      <c r="AG1403" s="6" t="s">
        <v>104</v>
      </c>
      <c r="AH1403" s="6" t="s">
        <v>14435</v>
      </c>
      <c r="AI1403" s="6" t="s">
        <v>104</v>
      </c>
      <c r="AJ1403" s="6" t="s">
        <v>15651</v>
      </c>
      <c r="AK1403" s="6" t="s">
        <v>16743</v>
      </c>
      <c r="AL1403" s="6" t="s">
        <v>16931</v>
      </c>
      <c r="AM1403" s="6" t="s">
        <v>17268</v>
      </c>
      <c r="AN1403" s="6" t="s">
        <v>18464</v>
      </c>
      <c r="AO1403" s="6" t="s">
        <v>18558</v>
      </c>
      <c r="AP1403" s="6" t="s">
        <v>19210</v>
      </c>
      <c r="AQ1403" s="6" t="s">
        <v>104</v>
      </c>
      <c r="AR1403" s="6" t="s">
        <v>15651</v>
      </c>
      <c r="AS1403" s="6" t="s">
        <v>16743</v>
      </c>
      <c r="AT1403" s="6" t="s">
        <v>16931</v>
      </c>
      <c r="AU1403" s="6" t="s">
        <v>17268</v>
      </c>
      <c r="AV1403" s="6" t="s">
        <v>104</v>
      </c>
      <c r="AW1403" s="6" t="s">
        <v>104</v>
      </c>
      <c r="AX1403" s="6" t="s">
        <v>20929</v>
      </c>
      <c r="AY1403" s="6" t="s">
        <v>22710</v>
      </c>
      <c r="AZ1403" s="6" t="s">
        <v>104</v>
      </c>
      <c r="BA1403" s="6" t="s">
        <v>24267</v>
      </c>
      <c r="BB1403" s="24" t="n">
        <v>3456</v>
      </c>
      <c r="BC1403" s="26"/>
      <c r="BD1403" s="26"/>
      <c r="BE1403" s="26"/>
      <c r="BF1403" s="26"/>
      <c r="BG1403" s="26"/>
      <c r="BH1403" s="26"/>
      <c r="BI1403" s="26"/>
      <c r="BJ1403" s="26"/>
      <c r="BK1403" s="26"/>
      <c r="BL1403" s="26"/>
      <c r="BM1403" s="26"/>
      <c r="BN1403" s="26"/>
      <c r="BO1403" s="26"/>
      <c r="BP1403" s="16" t="n">
        <v>45688</v>
      </c>
      <c r="BQ1403" s="28" t="str">
        <f>HYPERLINK("https://organic.ams.usda.gov/Integrity/Certificate.aspx?cid=60&amp;nopid=2580002144")</f>
        <v>https://organic.ams.usda.gov/Integrity/Certificate.aspx?cid=60&amp;nopid=2580002144</v>
      </c>
    </row>
    <row r="1404">
      <c r="A1404" t="s">
        <v>3</v>
      </c>
      <c r="B1404" s="6" t="s">
        <v>6</v>
      </c>
      <c r="C1404" s="6" t="s">
        <v>72</v>
      </c>
      <c r="D1404" s="6" t="s">
        <v>137</v>
      </c>
      <c r="E1404" s="10" t="s">
        <v>1602</v>
      </c>
      <c r="F1404" s="6" t="s">
        <v>3840</v>
      </c>
      <c r="G1404" s="6" t="s">
        <v>104</v>
      </c>
      <c r="H1404" s="6" t="s">
        <v>6164</v>
      </c>
      <c r="I1404" s="6" t="s">
        <v>7753</v>
      </c>
      <c r="J1404" s="6" t="s">
        <v>9169</v>
      </c>
      <c r="K1404" s="6" t="s">
        <v>9714</v>
      </c>
      <c r="L1404" s="16" t="n">
        <v>45187</v>
      </c>
      <c r="M1404" s="16" t="n">
        <v>45843</v>
      </c>
      <c r="N1404" s="6" t="s">
        <v>104</v>
      </c>
      <c r="O1404" s="21" t="s">
        <v>104</v>
      </c>
      <c r="P1404" s="6" t="s">
        <v>104</v>
      </c>
      <c r="Q1404" s="6" t="s">
        <v>104</v>
      </c>
      <c r="R1404" s="6" t="s">
        <v>104</v>
      </c>
      <c r="S1404" s="6" t="s">
        <v>104</v>
      </c>
      <c r="T1404" s="21" t="s">
        <v>104</v>
      </c>
      <c r="U1404" s="6" t="s">
        <v>104</v>
      </c>
      <c r="V1404" s="6" t="s">
        <v>104</v>
      </c>
      <c r="W1404" s="6" t="s">
        <v>104</v>
      </c>
      <c r="X1404" s="6" t="s">
        <v>104</v>
      </c>
      <c r="Y1404" s="21" t="s">
        <v>104</v>
      </c>
      <c r="Z1404" s="6" t="s">
        <v>104</v>
      </c>
      <c r="AA1404" s="6" t="s">
        <v>104</v>
      </c>
      <c r="AB1404" s="6" t="s">
        <v>104</v>
      </c>
      <c r="AC1404" s="6" t="s">
        <v>9714</v>
      </c>
      <c r="AD1404" s="16" t="n">
        <v>45187</v>
      </c>
      <c r="AE1404" s="6" t="s">
        <v>11744</v>
      </c>
      <c r="AF1404" s="6" t="s">
        <v>104</v>
      </c>
      <c r="AG1404" s="6" t="s">
        <v>12924</v>
      </c>
      <c r="AH1404" s="6" t="s">
        <v>14436</v>
      </c>
      <c r="AI1404" s="6" t="s">
        <v>104</v>
      </c>
      <c r="AJ1404" s="6" t="s">
        <v>16255</v>
      </c>
      <c r="AK1404" s="6" t="s">
        <v>16767</v>
      </c>
      <c r="AL1404" s="6" t="s">
        <v>16766</v>
      </c>
      <c r="AM1404" s="6" t="s">
        <v>104</v>
      </c>
      <c r="AN1404" s="6" t="s">
        <v>104</v>
      </c>
      <c r="AO1404" s="6" t="s">
        <v>104</v>
      </c>
      <c r="AP1404" s="6" t="s">
        <v>104</v>
      </c>
      <c r="AQ1404" s="6" t="s">
        <v>104</v>
      </c>
      <c r="AR1404" s="6" t="s">
        <v>104</v>
      </c>
      <c r="AS1404" s="6" t="s">
        <v>104</v>
      </c>
      <c r="AT1404" s="6" t="s">
        <v>104</v>
      </c>
      <c r="AU1404" s="6" t="s">
        <v>104</v>
      </c>
      <c r="AV1404" s="6" t="s">
        <v>104</v>
      </c>
      <c r="AW1404" s="6" t="s">
        <v>104</v>
      </c>
      <c r="AX1404" s="6" t="s">
        <v>104</v>
      </c>
      <c r="AY1404" s="6" t="s">
        <v>22289</v>
      </c>
      <c r="AZ1404" s="6" t="s">
        <v>104</v>
      </c>
      <c r="BA1404" s="6" t="s">
        <v>24258</v>
      </c>
      <c r="BB1404" s="6" t="s">
        <v>104</v>
      </c>
      <c r="BC1404" s="26"/>
      <c r="BD1404" s="26"/>
      <c r="BE1404" s="26"/>
      <c r="BF1404" s="26"/>
      <c r="BG1404" s="26"/>
      <c r="BH1404" s="26"/>
      <c r="BI1404" s="26"/>
      <c r="BJ1404" s="26"/>
      <c r="BK1404" s="26"/>
      <c r="BL1404" s="26"/>
      <c r="BM1404" s="26"/>
      <c r="BN1404" s="26"/>
      <c r="BO1404" s="26"/>
      <c r="BP1404" s="16" t="n">
        <v>45737</v>
      </c>
      <c r="BQ1404" s="28" t="str">
        <f>HYPERLINK("https://organic.ams.usda.gov/Integrity/Certificate.aspx?cid=32&amp;nopid=2230010742")</f>
        <v>https://organic.ams.usda.gov/Integrity/Certificate.aspx?cid=32&amp;nopid=2230010742</v>
      </c>
    </row>
    <row r="1405">
      <c r="A1405" t="s">
        <v>3</v>
      </c>
      <c r="B1405" s="6" t="s">
        <v>6</v>
      </c>
      <c r="C1405" s="6" t="s">
        <v>72</v>
      </c>
      <c r="D1405" s="6" t="s">
        <v>137</v>
      </c>
      <c r="E1405" s="10" t="s">
        <v>1603</v>
      </c>
      <c r="F1405" s="6" t="s">
        <v>3841</v>
      </c>
      <c r="G1405" s="6" t="s">
        <v>104</v>
      </c>
      <c r="H1405" s="6" t="s">
        <v>6165</v>
      </c>
      <c r="I1405" s="6" t="s">
        <v>7754</v>
      </c>
      <c r="J1405" s="6" t="s">
        <v>9170</v>
      </c>
      <c r="K1405" s="6" t="s">
        <v>9714</v>
      </c>
      <c r="L1405" s="16" t="n">
        <v>45429</v>
      </c>
      <c r="M1405" s="16" t="n">
        <v>45737</v>
      </c>
      <c r="N1405" s="6" t="s">
        <v>104</v>
      </c>
      <c r="O1405" s="21" t="s">
        <v>104</v>
      </c>
      <c r="P1405" s="6" t="s">
        <v>104</v>
      </c>
      <c r="Q1405" s="6" t="s">
        <v>104</v>
      </c>
      <c r="R1405" s="6" t="s">
        <v>104</v>
      </c>
      <c r="S1405" s="6" t="s">
        <v>104</v>
      </c>
      <c r="T1405" s="21" t="s">
        <v>104</v>
      </c>
      <c r="U1405" s="6" t="s">
        <v>104</v>
      </c>
      <c r="V1405" s="6" t="s">
        <v>104</v>
      </c>
      <c r="W1405" s="6" t="s">
        <v>104</v>
      </c>
      <c r="X1405" s="6" t="s">
        <v>104</v>
      </c>
      <c r="Y1405" s="21" t="s">
        <v>104</v>
      </c>
      <c r="Z1405" s="6" t="s">
        <v>104</v>
      </c>
      <c r="AA1405" s="6" t="s">
        <v>104</v>
      </c>
      <c r="AB1405" s="6" t="s">
        <v>104</v>
      </c>
      <c r="AC1405" s="6" t="s">
        <v>9714</v>
      </c>
      <c r="AD1405" s="16" t="n">
        <v>45429</v>
      </c>
      <c r="AE1405" s="6" t="s">
        <v>11745</v>
      </c>
      <c r="AF1405" s="6" t="s">
        <v>104</v>
      </c>
      <c r="AG1405" s="6" t="s">
        <v>104</v>
      </c>
      <c r="AH1405" s="6" t="s">
        <v>14437</v>
      </c>
      <c r="AI1405" s="6" t="s">
        <v>104</v>
      </c>
      <c r="AJ1405" s="6" t="s">
        <v>15527</v>
      </c>
      <c r="AK1405" s="6" t="s">
        <v>16741</v>
      </c>
      <c r="AL1405" s="6" t="s">
        <v>16766</v>
      </c>
      <c r="AM1405" s="6" t="s">
        <v>104</v>
      </c>
      <c r="AN1405" s="6" t="s">
        <v>104</v>
      </c>
      <c r="AO1405" s="6" t="s">
        <v>104</v>
      </c>
      <c r="AP1405" s="6" t="s">
        <v>104</v>
      </c>
      <c r="AQ1405" s="6" t="s">
        <v>104</v>
      </c>
      <c r="AR1405" s="6" t="s">
        <v>104</v>
      </c>
      <c r="AS1405" s="6" t="s">
        <v>104</v>
      </c>
      <c r="AT1405" s="6" t="s">
        <v>104</v>
      </c>
      <c r="AU1405" s="6" t="s">
        <v>104</v>
      </c>
      <c r="AV1405" s="6" t="s">
        <v>104</v>
      </c>
      <c r="AW1405" s="6" t="s">
        <v>104</v>
      </c>
      <c r="AX1405" s="6" t="s">
        <v>104</v>
      </c>
      <c r="AY1405" s="6" t="s">
        <v>23009</v>
      </c>
      <c r="AZ1405" s="6" t="s">
        <v>104</v>
      </c>
      <c r="BA1405" s="6" t="s">
        <v>24258</v>
      </c>
      <c r="BB1405" s="6" t="s">
        <v>104</v>
      </c>
      <c r="BC1405" s="26"/>
      <c r="BD1405" s="26"/>
      <c r="BE1405" s="26"/>
      <c r="BF1405" s="26"/>
      <c r="BG1405" s="26"/>
      <c r="BH1405" s="26"/>
      <c r="BI1405" s="26"/>
      <c r="BJ1405" s="26"/>
      <c r="BK1405" s="26"/>
      <c r="BL1405" s="26"/>
      <c r="BM1405" s="26"/>
      <c r="BN1405" s="26"/>
      <c r="BO1405" s="26"/>
      <c r="BP1405" s="16" t="n">
        <v>45737</v>
      </c>
      <c r="BQ1405" s="28" t="str">
        <f>HYPERLINK("https://organic.ams.usda.gov/Integrity/Certificate.aspx?cid=32&amp;nopid=2230011287")</f>
        <v>https://organic.ams.usda.gov/Integrity/Certificate.aspx?cid=32&amp;nopid=2230011287</v>
      </c>
    </row>
    <row r="1406">
      <c r="A1406" t="s">
        <v>3</v>
      </c>
      <c r="B1406" s="6" t="s">
        <v>41</v>
      </c>
      <c r="C1406" s="6" t="s">
        <v>107</v>
      </c>
      <c r="D1406" s="6" t="s">
        <v>171</v>
      </c>
      <c r="E1406" s="10" t="s">
        <v>1604</v>
      </c>
      <c r="F1406" s="6" t="s">
        <v>3842</v>
      </c>
      <c r="G1406" s="6" t="s">
        <v>104</v>
      </c>
      <c r="H1406" s="6" t="s">
        <v>6166</v>
      </c>
      <c r="I1406" s="6" t="s">
        <v>6990</v>
      </c>
      <c r="J1406" s="6" t="s">
        <v>8205</v>
      </c>
      <c r="K1406" s="6" t="s">
        <v>9714</v>
      </c>
      <c r="L1406" s="16" t="n">
        <v>42999</v>
      </c>
      <c r="M1406" s="16" t="n">
        <v>45901</v>
      </c>
      <c r="N1406" s="6" t="s">
        <v>104</v>
      </c>
      <c r="O1406" s="21" t="s">
        <v>104</v>
      </c>
      <c r="P1406" s="6" t="s">
        <v>104</v>
      </c>
      <c r="Q1406" s="6" t="s">
        <v>104</v>
      </c>
      <c r="R1406" s="6" t="s">
        <v>104</v>
      </c>
      <c r="S1406" s="6" t="s">
        <v>104</v>
      </c>
      <c r="T1406" s="21" t="s">
        <v>104</v>
      </c>
      <c r="U1406" s="6" t="s">
        <v>104</v>
      </c>
      <c r="V1406" s="6" t="s">
        <v>104</v>
      </c>
      <c r="W1406" s="6" t="s">
        <v>104</v>
      </c>
      <c r="X1406" s="6" t="s">
        <v>104</v>
      </c>
      <c r="Y1406" s="21" t="s">
        <v>104</v>
      </c>
      <c r="Z1406" s="6" t="s">
        <v>104</v>
      </c>
      <c r="AA1406" s="6" t="s">
        <v>104</v>
      </c>
      <c r="AB1406" s="6" t="s">
        <v>104</v>
      </c>
      <c r="AC1406" s="6" t="s">
        <v>9714</v>
      </c>
      <c r="AD1406" s="16" t="n">
        <v>42999</v>
      </c>
      <c r="AE1406" s="6" t="s">
        <v>11746</v>
      </c>
      <c r="AF1406" s="6" t="s">
        <v>104</v>
      </c>
      <c r="AG1406" s="6" t="s">
        <v>104</v>
      </c>
      <c r="AH1406" s="6" t="s">
        <v>14438</v>
      </c>
      <c r="AI1406" s="6" t="s">
        <v>104</v>
      </c>
      <c r="AJ1406" s="6" t="s">
        <v>16256</v>
      </c>
      <c r="AK1406" s="6" t="s">
        <v>16706</v>
      </c>
      <c r="AL1406" s="6" t="s">
        <v>16931</v>
      </c>
      <c r="AM1406" s="6" t="s">
        <v>17934</v>
      </c>
      <c r="AN1406" s="6" t="s">
        <v>18512</v>
      </c>
      <c r="AO1406" s="6" t="s">
        <v>18829</v>
      </c>
      <c r="AP1406" s="6" t="s">
        <v>19328</v>
      </c>
      <c r="AQ1406" s="6" t="s">
        <v>104</v>
      </c>
      <c r="AR1406" s="6" t="s">
        <v>19596</v>
      </c>
      <c r="AS1406" s="6" t="s">
        <v>16706</v>
      </c>
      <c r="AT1406" s="6" t="s">
        <v>16931</v>
      </c>
      <c r="AU1406" s="6" t="s">
        <v>19813</v>
      </c>
      <c r="AV1406" s="6" t="s">
        <v>104</v>
      </c>
      <c r="AW1406" s="6" t="s">
        <v>104</v>
      </c>
      <c r="AX1406" s="6" t="s">
        <v>21214</v>
      </c>
      <c r="AY1406" s="6" t="s">
        <v>21931</v>
      </c>
      <c r="AZ1406" s="6" t="s">
        <v>104</v>
      </c>
      <c r="BA1406" s="6" t="s">
        <v>104</v>
      </c>
      <c r="BB1406" s="6" t="s">
        <v>104</v>
      </c>
      <c r="BC1406" s="26" t="s">
        <v>24533</v>
      </c>
      <c r="BD1406" s="26"/>
      <c r="BE1406" s="26"/>
      <c r="BF1406" s="26"/>
      <c r="BG1406" s="26" t="s">
        <v>24533</v>
      </c>
      <c r="BH1406" s="26"/>
      <c r="BI1406" s="26"/>
      <c r="BJ1406" s="26"/>
      <c r="BK1406" s="26"/>
      <c r="BL1406" s="26"/>
      <c r="BM1406" s="26"/>
      <c r="BN1406" s="26" t="s">
        <v>24533</v>
      </c>
      <c r="BO1406" s="26"/>
      <c r="BP1406" s="16" t="n">
        <v>45737</v>
      </c>
      <c r="BQ1406" s="28" t="str">
        <f>HYPERLINK("https://organic.ams.usda.gov/Integrity/Certificate.aspx?cid=58&amp;nopid=1600003022")</f>
        <v>https://organic.ams.usda.gov/Integrity/Certificate.aspx?cid=58&amp;nopid=1600003022</v>
      </c>
    </row>
    <row r="1407">
      <c r="A1407" t="s">
        <v>3</v>
      </c>
      <c r="B1407" s="6" t="s">
        <v>17</v>
      </c>
      <c r="C1407" s="6" t="s">
        <v>83</v>
      </c>
      <c r="D1407" s="6" t="s">
        <v>148</v>
      </c>
      <c r="E1407" s="10" t="s">
        <v>1605</v>
      </c>
      <c r="F1407" s="6" t="s">
        <v>3843</v>
      </c>
      <c r="G1407" s="6" t="s">
        <v>4806</v>
      </c>
      <c r="H1407" s="6" t="s">
        <v>6167</v>
      </c>
      <c r="I1407" s="6" t="s">
        <v>104</v>
      </c>
      <c r="J1407" s="6" t="s">
        <v>104</v>
      </c>
      <c r="K1407" s="6" t="s">
        <v>9714</v>
      </c>
      <c r="L1407" s="16" t="n">
        <v>42028</v>
      </c>
      <c r="M1407" s="16" t="n">
        <v>45627</v>
      </c>
      <c r="N1407" s="6" t="s">
        <v>104</v>
      </c>
      <c r="O1407" s="21" t="s">
        <v>104</v>
      </c>
      <c r="P1407" s="6" t="s">
        <v>104</v>
      </c>
      <c r="Q1407" s="6" t="s">
        <v>104</v>
      </c>
      <c r="R1407" s="6" t="s">
        <v>104</v>
      </c>
      <c r="S1407" s="6" t="s">
        <v>104</v>
      </c>
      <c r="T1407" s="21" t="s">
        <v>104</v>
      </c>
      <c r="U1407" s="6" t="s">
        <v>104</v>
      </c>
      <c r="V1407" s="6" t="s">
        <v>104</v>
      </c>
      <c r="W1407" s="6" t="s">
        <v>104</v>
      </c>
      <c r="X1407" s="6" t="s">
        <v>104</v>
      </c>
      <c r="Y1407" s="21" t="s">
        <v>104</v>
      </c>
      <c r="Z1407" s="6" t="s">
        <v>104</v>
      </c>
      <c r="AA1407" s="6" t="s">
        <v>104</v>
      </c>
      <c r="AB1407" s="6" t="s">
        <v>104</v>
      </c>
      <c r="AC1407" s="6" t="s">
        <v>9714</v>
      </c>
      <c r="AD1407" s="16" t="n">
        <v>42028</v>
      </c>
      <c r="AE1407" s="6" t="s">
        <v>11747</v>
      </c>
      <c r="AF1407" s="6" t="s">
        <v>104</v>
      </c>
      <c r="AG1407" s="6" t="s">
        <v>104</v>
      </c>
      <c r="AH1407" s="6" t="s">
        <v>14439</v>
      </c>
      <c r="AI1407" s="6" t="s">
        <v>104</v>
      </c>
      <c r="AJ1407" s="6" t="s">
        <v>15663</v>
      </c>
      <c r="AK1407" s="6" t="s">
        <v>16680</v>
      </c>
      <c r="AL1407" s="6" t="s">
        <v>16931</v>
      </c>
      <c r="AM1407" s="6" t="s">
        <v>17280</v>
      </c>
      <c r="AN1407" s="6" t="s">
        <v>18468</v>
      </c>
      <c r="AO1407" s="6" t="s">
        <v>18708</v>
      </c>
      <c r="AP1407" s="6" t="s">
        <v>14439</v>
      </c>
      <c r="AQ1407" s="6" t="s">
        <v>104</v>
      </c>
      <c r="AR1407" s="6" t="s">
        <v>15663</v>
      </c>
      <c r="AS1407" s="6" t="s">
        <v>16680</v>
      </c>
      <c r="AT1407" s="6" t="s">
        <v>16931</v>
      </c>
      <c r="AU1407" s="6" t="s">
        <v>17280</v>
      </c>
      <c r="AV1407" s="6" t="s">
        <v>104</v>
      </c>
      <c r="AW1407" s="6" t="s">
        <v>104</v>
      </c>
      <c r="AX1407" s="6" t="s">
        <v>21215</v>
      </c>
      <c r="AY1407" s="6" t="s">
        <v>104</v>
      </c>
      <c r="AZ1407" s="6" t="s">
        <v>104</v>
      </c>
      <c r="BA1407" s="6" t="s">
        <v>104</v>
      </c>
      <c r="BB1407" s="24" t="n">
        <v>0</v>
      </c>
      <c r="BC1407" s="26"/>
      <c r="BD1407" s="26"/>
      <c r="BE1407" s="26"/>
      <c r="BF1407" s="26"/>
      <c r="BG1407" s="26"/>
      <c r="BH1407" s="26"/>
      <c r="BI1407" s="26"/>
      <c r="BJ1407" s="26"/>
      <c r="BK1407" s="26"/>
      <c r="BL1407" s="26"/>
      <c r="BM1407" s="26"/>
      <c r="BN1407" s="26"/>
      <c r="BO1407" s="26"/>
      <c r="BP1407" s="16" t="n">
        <v>45723</v>
      </c>
      <c r="BQ1407" s="28" t="str">
        <f>HYPERLINK("https://organic.ams.usda.gov/Integrity/Certificate.aspx?cid=51&amp;nopid=8240001241")</f>
        <v>https://organic.ams.usda.gov/Integrity/Certificate.aspx?cid=51&amp;nopid=8240001241</v>
      </c>
    </row>
    <row r="1408">
      <c r="A1408" t="s">
        <v>3</v>
      </c>
      <c r="B1408" s="6" t="s">
        <v>15</v>
      </c>
      <c r="C1408" s="6" t="s">
        <v>81</v>
      </c>
      <c r="D1408" s="6" t="s">
        <v>146</v>
      </c>
      <c r="E1408" s="10" t="s">
        <v>1606</v>
      </c>
      <c r="F1408" s="6" t="s">
        <v>3844</v>
      </c>
      <c r="G1408" s="6" t="s">
        <v>104</v>
      </c>
      <c r="H1408" s="6" t="s">
        <v>6168</v>
      </c>
      <c r="I1408" s="6" t="s">
        <v>104</v>
      </c>
      <c r="J1408" s="6" t="s">
        <v>104</v>
      </c>
      <c r="K1408" s="6" t="s">
        <v>9714</v>
      </c>
      <c r="L1408" s="16" t="n">
        <v>43657</v>
      </c>
      <c r="M1408" s="16" t="n">
        <v>45748</v>
      </c>
      <c r="N1408" s="6" t="s">
        <v>104</v>
      </c>
      <c r="O1408" s="21" t="s">
        <v>104</v>
      </c>
      <c r="P1408" s="6" t="s">
        <v>104</v>
      </c>
      <c r="Q1408" s="6" t="s">
        <v>104</v>
      </c>
      <c r="R1408" s="6" t="s">
        <v>104</v>
      </c>
      <c r="S1408" s="6" t="s">
        <v>104</v>
      </c>
      <c r="T1408" s="21" t="s">
        <v>104</v>
      </c>
      <c r="U1408" s="6" t="s">
        <v>104</v>
      </c>
      <c r="V1408" s="6" t="s">
        <v>104</v>
      </c>
      <c r="W1408" s="6" t="s">
        <v>104</v>
      </c>
      <c r="X1408" s="6" t="s">
        <v>104</v>
      </c>
      <c r="Y1408" s="21" t="s">
        <v>104</v>
      </c>
      <c r="Z1408" s="6" t="s">
        <v>104</v>
      </c>
      <c r="AA1408" s="6" t="s">
        <v>104</v>
      </c>
      <c r="AB1408" s="6" t="s">
        <v>104</v>
      </c>
      <c r="AC1408" s="6" t="s">
        <v>9714</v>
      </c>
      <c r="AD1408" s="16" t="n">
        <v>43657</v>
      </c>
      <c r="AE1408" s="6" t="s">
        <v>11748</v>
      </c>
      <c r="AF1408" s="6" t="s">
        <v>104</v>
      </c>
      <c r="AG1408" s="6" t="s">
        <v>12925</v>
      </c>
      <c r="AH1408" s="6" t="s">
        <v>14440</v>
      </c>
      <c r="AI1408" s="6" t="s">
        <v>104</v>
      </c>
      <c r="AJ1408" s="6" t="s">
        <v>16257</v>
      </c>
      <c r="AK1408" s="6" t="s">
        <v>16684</v>
      </c>
      <c r="AL1408" s="6" t="s">
        <v>16931</v>
      </c>
      <c r="AM1408" s="6" t="s">
        <v>17935</v>
      </c>
      <c r="AN1408" s="6" t="s">
        <v>18544</v>
      </c>
      <c r="AO1408" s="6" t="s">
        <v>18838</v>
      </c>
      <c r="AP1408" s="6" t="s">
        <v>19329</v>
      </c>
      <c r="AQ1408" s="6" t="s">
        <v>104</v>
      </c>
      <c r="AR1408" s="6" t="s">
        <v>16257</v>
      </c>
      <c r="AS1408" s="6" t="s">
        <v>16684</v>
      </c>
      <c r="AT1408" s="6" t="s">
        <v>16931</v>
      </c>
      <c r="AU1408" s="6" t="s">
        <v>17935</v>
      </c>
      <c r="AV1408" s="6" t="s">
        <v>104</v>
      </c>
      <c r="AW1408" s="6" t="s">
        <v>104</v>
      </c>
      <c r="AX1408" s="6" t="s">
        <v>21216</v>
      </c>
      <c r="AY1408" s="6" t="s">
        <v>23010</v>
      </c>
      <c r="AZ1408" s="6" t="s">
        <v>104</v>
      </c>
      <c r="BA1408" s="6" t="s">
        <v>24441</v>
      </c>
      <c r="BB1408" s="6" t="s">
        <v>104</v>
      </c>
      <c r="BC1408" s="26"/>
      <c r="BD1408" s="26"/>
      <c r="BE1408" s="26"/>
      <c r="BF1408" s="26"/>
      <c r="BG1408" s="26"/>
      <c r="BH1408" s="26"/>
      <c r="BI1408" s="26"/>
      <c r="BJ1408" s="26"/>
      <c r="BK1408" s="26"/>
      <c r="BL1408" s="26"/>
      <c r="BM1408" s="26"/>
      <c r="BN1408" s="26"/>
      <c r="BO1408" s="26"/>
      <c r="BP1408" s="16" t="n">
        <v>45738</v>
      </c>
      <c r="BQ1408" s="28" t="str">
        <f>HYPERLINK("https://organic.ams.usda.gov/Integrity/Certificate.aspx?cid=52&amp;nopid=8431901618")</f>
        <v>https://organic.ams.usda.gov/Integrity/Certificate.aspx?cid=52&amp;nopid=8431901618</v>
      </c>
    </row>
    <row r="1409">
      <c r="A1409" t="s">
        <v>3</v>
      </c>
      <c r="B1409" s="6" t="s">
        <v>60</v>
      </c>
      <c r="C1409" s="6" t="s">
        <v>126</v>
      </c>
      <c r="D1409" s="6" t="s">
        <v>190</v>
      </c>
      <c r="E1409" s="10" t="s">
        <v>1607</v>
      </c>
      <c r="F1409" s="6" t="s">
        <v>3845</v>
      </c>
      <c r="G1409" s="6" t="s">
        <v>104</v>
      </c>
      <c r="H1409" s="6" t="s">
        <v>6169</v>
      </c>
      <c r="I1409" s="6" t="s">
        <v>7755</v>
      </c>
      <c r="J1409" s="6" t="s">
        <v>9171</v>
      </c>
      <c r="K1409" s="6" t="s">
        <v>9714</v>
      </c>
      <c r="L1409" s="16" t="n">
        <v>45347</v>
      </c>
      <c r="M1409" s="16" t="n">
        <v>46067</v>
      </c>
      <c r="N1409" s="6" t="s">
        <v>104</v>
      </c>
      <c r="O1409" s="21" t="s">
        <v>104</v>
      </c>
      <c r="P1409" s="6" t="s">
        <v>104</v>
      </c>
      <c r="Q1409" s="6" t="s">
        <v>104</v>
      </c>
      <c r="R1409" s="6" t="s">
        <v>104</v>
      </c>
      <c r="S1409" s="6" t="s">
        <v>104</v>
      </c>
      <c r="T1409" s="21" t="s">
        <v>104</v>
      </c>
      <c r="U1409" s="6" t="s">
        <v>104</v>
      </c>
      <c r="V1409" s="6" t="s">
        <v>104</v>
      </c>
      <c r="W1409" s="6" t="s">
        <v>104</v>
      </c>
      <c r="X1409" s="6" t="s">
        <v>104</v>
      </c>
      <c r="Y1409" s="21" t="s">
        <v>104</v>
      </c>
      <c r="Z1409" s="6" t="s">
        <v>104</v>
      </c>
      <c r="AA1409" s="6" t="s">
        <v>104</v>
      </c>
      <c r="AB1409" s="6" t="s">
        <v>104</v>
      </c>
      <c r="AC1409" s="6" t="s">
        <v>9714</v>
      </c>
      <c r="AD1409" s="16" t="n">
        <v>45347</v>
      </c>
      <c r="AE1409" s="6" t="s">
        <v>11749</v>
      </c>
      <c r="AF1409" s="6" t="s">
        <v>104</v>
      </c>
      <c r="AG1409" s="6" t="s">
        <v>12926</v>
      </c>
      <c r="AH1409" s="6" t="s">
        <v>14441</v>
      </c>
      <c r="AI1409" s="6" t="s">
        <v>15306</v>
      </c>
      <c r="AJ1409" s="6" t="s">
        <v>16258</v>
      </c>
      <c r="AK1409" s="6" t="s">
        <v>16370</v>
      </c>
      <c r="AL1409" s="6" t="s">
        <v>16931</v>
      </c>
      <c r="AM1409" s="6" t="s">
        <v>17936</v>
      </c>
      <c r="AN1409" s="6" t="s">
        <v>104</v>
      </c>
      <c r="AO1409" s="6" t="s">
        <v>104</v>
      </c>
      <c r="AP1409" s="6" t="s">
        <v>19330</v>
      </c>
      <c r="AQ1409" s="6" t="s">
        <v>19569</v>
      </c>
      <c r="AR1409" s="6" t="s">
        <v>19727</v>
      </c>
      <c r="AS1409" s="6" t="s">
        <v>15697</v>
      </c>
      <c r="AT1409" s="6" t="s">
        <v>16931</v>
      </c>
      <c r="AU1409" s="6" t="s">
        <v>19985</v>
      </c>
      <c r="AV1409" s="6" t="s">
        <v>104</v>
      </c>
      <c r="AW1409" s="6" t="s">
        <v>104</v>
      </c>
      <c r="AX1409" s="6" t="s">
        <v>21217</v>
      </c>
      <c r="AY1409" s="6" t="s">
        <v>23011</v>
      </c>
      <c r="AZ1409" s="6" t="s">
        <v>104</v>
      </c>
      <c r="BA1409" s="6" t="s">
        <v>104</v>
      </c>
      <c r="BB1409" s="6" t="s">
        <v>104</v>
      </c>
      <c r="BC1409" s="26" t="s">
        <v>24533</v>
      </c>
      <c r="BD1409" s="26"/>
      <c r="BE1409" s="26"/>
      <c r="BF1409" s="26"/>
      <c r="BG1409" s="26" t="s">
        <v>24533</v>
      </c>
      <c r="BH1409" s="26" t="s">
        <v>24533</v>
      </c>
      <c r="BI1409" s="26"/>
      <c r="BJ1409" s="26"/>
      <c r="BK1409" s="26"/>
      <c r="BL1409" s="26"/>
      <c r="BM1409" s="26"/>
      <c r="BN1409" s="26"/>
      <c r="BO1409" s="26"/>
      <c r="BP1409" s="16" t="n">
        <v>45709</v>
      </c>
      <c r="BQ1409" s="28" t="str">
        <f>HYPERLINK("https://organic.ams.usda.gov/Integrity/Certificate.aspx?cid=4&amp;nopid=6240225241")</f>
        <v>https://organic.ams.usda.gov/Integrity/Certificate.aspx?cid=4&amp;nopid=6240225241</v>
      </c>
    </row>
    <row r="1410">
      <c r="A1410" t="s">
        <v>3</v>
      </c>
      <c r="B1410" s="6" t="s">
        <v>34</v>
      </c>
      <c r="C1410" s="6" t="s">
        <v>100</v>
      </c>
      <c r="D1410" s="6" t="s">
        <v>165</v>
      </c>
      <c r="E1410" s="10" t="s">
        <v>1608</v>
      </c>
      <c r="F1410" s="6" t="s">
        <v>3846</v>
      </c>
      <c r="G1410" s="6" t="s">
        <v>104</v>
      </c>
      <c r="H1410" s="6" t="s">
        <v>6170</v>
      </c>
      <c r="I1410" s="6" t="s">
        <v>7756</v>
      </c>
      <c r="J1410" s="6" t="s">
        <v>8300</v>
      </c>
      <c r="K1410" s="6" t="s">
        <v>9714</v>
      </c>
      <c r="L1410" s="16" t="n">
        <v>37375</v>
      </c>
      <c r="M1410" s="16" t="n">
        <v>45735</v>
      </c>
      <c r="N1410" s="6" t="s">
        <v>104</v>
      </c>
      <c r="O1410" s="21" t="s">
        <v>104</v>
      </c>
      <c r="P1410" s="6" t="s">
        <v>104</v>
      </c>
      <c r="Q1410" s="6" t="s">
        <v>104</v>
      </c>
      <c r="R1410" s="6" t="s">
        <v>104</v>
      </c>
      <c r="S1410" s="6" t="s">
        <v>104</v>
      </c>
      <c r="T1410" s="21" t="s">
        <v>104</v>
      </c>
      <c r="U1410" s="6" t="s">
        <v>104</v>
      </c>
      <c r="V1410" s="6" t="s">
        <v>104</v>
      </c>
      <c r="W1410" s="6" t="s">
        <v>104</v>
      </c>
      <c r="X1410" s="6" t="s">
        <v>104</v>
      </c>
      <c r="Y1410" s="21" t="s">
        <v>104</v>
      </c>
      <c r="Z1410" s="6" t="s">
        <v>104</v>
      </c>
      <c r="AA1410" s="6" t="s">
        <v>104</v>
      </c>
      <c r="AB1410" s="6" t="s">
        <v>104</v>
      </c>
      <c r="AC1410" s="6" t="s">
        <v>9714</v>
      </c>
      <c r="AD1410" s="16" t="n">
        <v>37375</v>
      </c>
      <c r="AE1410" s="6" t="s">
        <v>11750</v>
      </c>
      <c r="AF1410" s="6" t="s">
        <v>104</v>
      </c>
      <c r="AG1410" s="6" t="s">
        <v>12927</v>
      </c>
      <c r="AH1410" s="6" t="s">
        <v>14442</v>
      </c>
      <c r="AI1410" s="6" t="s">
        <v>104</v>
      </c>
      <c r="AJ1410" s="6" t="s">
        <v>16259</v>
      </c>
      <c r="AK1410" s="6" t="s">
        <v>16751</v>
      </c>
      <c r="AL1410" s="6" t="s">
        <v>16931</v>
      </c>
      <c r="AM1410" s="6" t="s">
        <v>17937</v>
      </c>
      <c r="AN1410" s="6" t="s">
        <v>18456</v>
      </c>
      <c r="AO1410" s="6" t="s">
        <v>18637</v>
      </c>
      <c r="AP1410" s="6" t="s">
        <v>14442</v>
      </c>
      <c r="AQ1410" s="6" t="s">
        <v>104</v>
      </c>
      <c r="AR1410" s="6" t="s">
        <v>16259</v>
      </c>
      <c r="AS1410" s="6" t="s">
        <v>16751</v>
      </c>
      <c r="AT1410" s="6" t="s">
        <v>16931</v>
      </c>
      <c r="AU1410" s="6" t="s">
        <v>17937</v>
      </c>
      <c r="AV1410" s="6" t="s">
        <v>104</v>
      </c>
      <c r="AW1410" s="6" t="s">
        <v>104</v>
      </c>
      <c r="AX1410" s="6" t="s">
        <v>20259</v>
      </c>
      <c r="AY1410" s="6" t="s">
        <v>23012</v>
      </c>
      <c r="AZ1410" s="6" t="s">
        <v>104</v>
      </c>
      <c r="BA1410" s="6" t="s">
        <v>104</v>
      </c>
      <c r="BB1410" s="6" t="s">
        <v>104</v>
      </c>
      <c r="BC1410" s="26"/>
      <c r="BD1410" s="26"/>
      <c r="BE1410" s="26" t="s">
        <v>24533</v>
      </c>
      <c r="BF1410" s="26"/>
      <c r="BG1410" s="26"/>
      <c r="BH1410" s="26"/>
      <c r="BI1410" s="26"/>
      <c r="BJ1410" s="26"/>
      <c r="BK1410" s="26"/>
      <c r="BL1410" s="26"/>
      <c r="BM1410" s="26"/>
      <c r="BN1410" s="26"/>
      <c r="BO1410" s="26"/>
      <c r="BP1410" s="16" t="n">
        <v>45737</v>
      </c>
      <c r="BQ1410" s="28" t="str">
        <f>HYPERLINK("https://organic.ams.usda.gov/Integrity/Certificate.aspx?cid=71&amp;nopid=5520030566")</f>
        <v>https://organic.ams.usda.gov/Integrity/Certificate.aspx?cid=71&amp;nopid=5520030566</v>
      </c>
    </row>
    <row r="1411">
      <c r="A1411" t="s">
        <v>3</v>
      </c>
      <c r="B1411" s="6" t="s">
        <v>34</v>
      </c>
      <c r="C1411" s="6" t="s">
        <v>100</v>
      </c>
      <c r="D1411" s="6" t="s">
        <v>165</v>
      </c>
      <c r="E1411" s="10" t="s">
        <v>1609</v>
      </c>
      <c r="F1411" s="6" t="s">
        <v>3847</v>
      </c>
      <c r="G1411" s="6" t="s">
        <v>104</v>
      </c>
      <c r="H1411" s="6" t="s">
        <v>6171</v>
      </c>
      <c r="I1411" s="6" t="s">
        <v>7757</v>
      </c>
      <c r="J1411" s="6" t="s">
        <v>9172</v>
      </c>
      <c r="K1411" s="6" t="s">
        <v>9714</v>
      </c>
      <c r="L1411" s="16" t="n">
        <v>43886</v>
      </c>
      <c r="M1411" s="16" t="n">
        <v>45953</v>
      </c>
      <c r="N1411" s="6" t="s">
        <v>104</v>
      </c>
      <c r="O1411" s="21" t="s">
        <v>104</v>
      </c>
      <c r="P1411" s="6" t="s">
        <v>104</v>
      </c>
      <c r="Q1411" s="6" t="s">
        <v>104</v>
      </c>
      <c r="R1411" s="6" t="s">
        <v>104</v>
      </c>
      <c r="S1411" s="6" t="s">
        <v>104</v>
      </c>
      <c r="T1411" s="21" t="s">
        <v>104</v>
      </c>
      <c r="U1411" s="6" t="s">
        <v>104</v>
      </c>
      <c r="V1411" s="6" t="s">
        <v>104</v>
      </c>
      <c r="W1411" s="6" t="s">
        <v>104</v>
      </c>
      <c r="X1411" s="6" t="s">
        <v>104</v>
      </c>
      <c r="Y1411" s="21" t="s">
        <v>104</v>
      </c>
      <c r="Z1411" s="6" t="s">
        <v>104</v>
      </c>
      <c r="AA1411" s="6" t="s">
        <v>104</v>
      </c>
      <c r="AB1411" s="6" t="s">
        <v>104</v>
      </c>
      <c r="AC1411" s="6" t="s">
        <v>9714</v>
      </c>
      <c r="AD1411" s="16" t="n">
        <v>43886</v>
      </c>
      <c r="AE1411" s="6" t="s">
        <v>11751</v>
      </c>
      <c r="AF1411" s="6" t="s">
        <v>104</v>
      </c>
      <c r="AG1411" s="6" t="s">
        <v>12928</v>
      </c>
      <c r="AH1411" s="6" t="s">
        <v>14443</v>
      </c>
      <c r="AI1411" s="6" t="s">
        <v>104</v>
      </c>
      <c r="AJ1411" s="6" t="s">
        <v>16260</v>
      </c>
      <c r="AK1411" s="6" t="s">
        <v>16687</v>
      </c>
      <c r="AL1411" s="6" t="s">
        <v>16931</v>
      </c>
      <c r="AM1411" s="6" t="s">
        <v>17938</v>
      </c>
      <c r="AN1411" s="6" t="s">
        <v>18507</v>
      </c>
      <c r="AO1411" s="6" t="s">
        <v>18733</v>
      </c>
      <c r="AP1411" s="6" t="s">
        <v>14443</v>
      </c>
      <c r="AQ1411" s="6" t="s">
        <v>104</v>
      </c>
      <c r="AR1411" s="6" t="s">
        <v>16260</v>
      </c>
      <c r="AS1411" s="6" t="s">
        <v>16687</v>
      </c>
      <c r="AT1411" s="6" t="s">
        <v>16931</v>
      </c>
      <c r="AU1411" s="6" t="s">
        <v>17938</v>
      </c>
      <c r="AV1411" s="6" t="s">
        <v>104</v>
      </c>
      <c r="AW1411" s="6" t="s">
        <v>104</v>
      </c>
      <c r="AX1411" s="6" t="s">
        <v>21218</v>
      </c>
      <c r="AY1411" s="6" t="s">
        <v>23013</v>
      </c>
      <c r="AZ1411" s="6" t="s">
        <v>104</v>
      </c>
      <c r="BA1411" s="6" t="s">
        <v>104</v>
      </c>
      <c r="BB1411" s="6" t="s">
        <v>104</v>
      </c>
      <c r="BC1411" s="26"/>
      <c r="BD1411" s="26"/>
      <c r="BE1411" s="26"/>
      <c r="BF1411" s="26"/>
      <c r="BG1411" s="26" t="s">
        <v>24533</v>
      </c>
      <c r="BH1411" s="26"/>
      <c r="BI1411" s="26"/>
      <c r="BJ1411" s="26"/>
      <c r="BK1411" s="26"/>
      <c r="BL1411" s="26" t="s">
        <v>24533</v>
      </c>
      <c r="BM1411" s="26"/>
      <c r="BN1411" s="26"/>
      <c r="BO1411" s="26"/>
      <c r="BP1411" s="16" t="n">
        <v>45737</v>
      </c>
      <c r="BQ1411" s="28" t="str">
        <f>HYPERLINK("https://organic.ams.usda.gov/Integrity/Certificate.aspx?cid=71&amp;nopid=5520245789")</f>
        <v>https://organic.ams.usda.gov/Integrity/Certificate.aspx?cid=71&amp;nopid=5520245789</v>
      </c>
    </row>
    <row r="1412">
      <c r="A1412" t="s">
        <v>3</v>
      </c>
      <c r="B1412" s="6" t="s">
        <v>44</v>
      </c>
      <c r="C1412" s="6" t="s">
        <v>110</v>
      </c>
      <c r="D1412" s="6" t="s">
        <v>174</v>
      </c>
      <c r="E1412" s="10" t="s">
        <v>1610</v>
      </c>
      <c r="F1412" s="6" t="s">
        <v>3848</v>
      </c>
      <c r="G1412" s="6" t="s">
        <v>104</v>
      </c>
      <c r="H1412" s="6" t="s">
        <v>6172</v>
      </c>
      <c r="I1412" s="6" t="s">
        <v>7332</v>
      </c>
      <c r="J1412" s="6" t="s">
        <v>9173</v>
      </c>
      <c r="K1412" s="6" t="s">
        <v>9714</v>
      </c>
      <c r="L1412" s="16" t="n">
        <v>37967</v>
      </c>
      <c r="M1412" s="16" t="n">
        <v>45672</v>
      </c>
      <c r="N1412" s="6" t="s">
        <v>104</v>
      </c>
      <c r="O1412" s="21" t="s">
        <v>104</v>
      </c>
      <c r="P1412" s="6" t="s">
        <v>104</v>
      </c>
      <c r="Q1412" s="6" t="s">
        <v>104</v>
      </c>
      <c r="R1412" s="6" t="s">
        <v>104</v>
      </c>
      <c r="S1412" s="6" t="s">
        <v>104</v>
      </c>
      <c r="T1412" s="21" t="s">
        <v>104</v>
      </c>
      <c r="U1412" s="6" t="s">
        <v>104</v>
      </c>
      <c r="V1412" s="6" t="s">
        <v>104</v>
      </c>
      <c r="W1412" s="6" t="s">
        <v>104</v>
      </c>
      <c r="X1412" s="6" t="s">
        <v>104</v>
      </c>
      <c r="Y1412" s="21" t="s">
        <v>104</v>
      </c>
      <c r="Z1412" s="6" t="s">
        <v>104</v>
      </c>
      <c r="AA1412" s="6" t="s">
        <v>104</v>
      </c>
      <c r="AB1412" s="6" t="s">
        <v>104</v>
      </c>
      <c r="AC1412" s="6" t="s">
        <v>9714</v>
      </c>
      <c r="AD1412" s="16" t="n">
        <v>37967</v>
      </c>
      <c r="AE1412" s="6" t="s">
        <v>11752</v>
      </c>
      <c r="AF1412" s="6" t="s">
        <v>104</v>
      </c>
      <c r="AG1412" s="6" t="s">
        <v>104</v>
      </c>
      <c r="AH1412" s="6" t="s">
        <v>14444</v>
      </c>
      <c r="AI1412" s="6" t="s">
        <v>104</v>
      </c>
      <c r="AJ1412" s="6" t="s">
        <v>15842</v>
      </c>
      <c r="AK1412" s="6" t="s">
        <v>15697</v>
      </c>
      <c r="AL1412" s="6" t="s">
        <v>16931</v>
      </c>
      <c r="AM1412" s="6" t="s">
        <v>17939</v>
      </c>
      <c r="AN1412" s="6" t="s">
        <v>18456</v>
      </c>
      <c r="AO1412" s="6" t="s">
        <v>18839</v>
      </c>
      <c r="AP1412" s="6" t="s">
        <v>14444</v>
      </c>
      <c r="AQ1412" s="6" t="s">
        <v>104</v>
      </c>
      <c r="AR1412" s="6" t="s">
        <v>15842</v>
      </c>
      <c r="AS1412" s="6" t="s">
        <v>15697</v>
      </c>
      <c r="AT1412" s="6" t="s">
        <v>16931</v>
      </c>
      <c r="AU1412" s="6" t="s">
        <v>17939</v>
      </c>
      <c r="AV1412" s="6" t="s">
        <v>104</v>
      </c>
      <c r="AW1412" s="6" t="s">
        <v>104</v>
      </c>
      <c r="AX1412" s="6" t="s">
        <v>21219</v>
      </c>
      <c r="AY1412" s="6" t="s">
        <v>23014</v>
      </c>
      <c r="AZ1412" s="6" t="s">
        <v>24040</v>
      </c>
      <c r="BA1412" s="6" t="s">
        <v>104</v>
      </c>
      <c r="BB1412" s="24" t="n">
        <v>0</v>
      </c>
      <c r="BC1412" s="26"/>
      <c r="BD1412" s="26"/>
      <c r="BE1412" s="26"/>
      <c r="BF1412" s="26"/>
      <c r="BG1412" s="26"/>
      <c r="BH1412" s="26"/>
      <c r="BI1412" s="26"/>
      <c r="BJ1412" s="26"/>
      <c r="BK1412" s="26"/>
      <c r="BL1412" s="26" t="s">
        <v>24533</v>
      </c>
      <c r="BM1412" s="26"/>
      <c r="BN1412" s="26"/>
      <c r="BO1412" s="26"/>
      <c r="BP1412" s="16" t="n">
        <v>45735</v>
      </c>
      <c r="BQ1412" s="28" t="str">
        <f>HYPERLINK("https://organic.ams.usda.gov/Integrity/Certificate.aspx?cid=57&amp;nopid=3250200249")</f>
        <v>https://organic.ams.usda.gov/Integrity/Certificate.aspx?cid=57&amp;nopid=3250200249</v>
      </c>
    </row>
    <row r="1413">
      <c r="A1413" t="s">
        <v>3</v>
      </c>
      <c r="B1413" s="6" t="s">
        <v>13</v>
      </c>
      <c r="C1413" s="6" t="s">
        <v>79</v>
      </c>
      <c r="D1413" s="6" t="s">
        <v>144</v>
      </c>
      <c r="E1413" s="10" t="s">
        <v>1611</v>
      </c>
      <c r="F1413" s="6" t="s">
        <v>3849</v>
      </c>
      <c r="G1413" s="6" t="s">
        <v>104</v>
      </c>
      <c r="H1413" s="6" t="s">
        <v>6173</v>
      </c>
      <c r="I1413" s="6" t="s">
        <v>7248</v>
      </c>
      <c r="J1413" s="6" t="s">
        <v>9174</v>
      </c>
      <c r="K1413" s="6" t="s">
        <v>9714</v>
      </c>
      <c r="L1413" s="16" t="n">
        <v>40133</v>
      </c>
      <c r="M1413" s="16" t="n">
        <v>46023</v>
      </c>
      <c r="N1413" s="6" t="s">
        <v>104</v>
      </c>
      <c r="O1413" s="21" t="s">
        <v>104</v>
      </c>
      <c r="P1413" s="6" t="s">
        <v>104</v>
      </c>
      <c r="Q1413" s="6" t="s">
        <v>104</v>
      </c>
      <c r="R1413" s="6" t="s">
        <v>104</v>
      </c>
      <c r="S1413" s="6" t="s">
        <v>104</v>
      </c>
      <c r="T1413" s="21" t="s">
        <v>104</v>
      </c>
      <c r="U1413" s="6" t="s">
        <v>104</v>
      </c>
      <c r="V1413" s="6" t="s">
        <v>104</v>
      </c>
      <c r="W1413" s="6" t="s">
        <v>104</v>
      </c>
      <c r="X1413" s="6" t="s">
        <v>104</v>
      </c>
      <c r="Y1413" s="21" t="s">
        <v>104</v>
      </c>
      <c r="Z1413" s="6" t="s">
        <v>104</v>
      </c>
      <c r="AA1413" s="6" t="s">
        <v>104</v>
      </c>
      <c r="AB1413" s="6" t="s">
        <v>104</v>
      </c>
      <c r="AC1413" s="6" t="s">
        <v>9714</v>
      </c>
      <c r="AD1413" s="16" t="n">
        <v>40133</v>
      </c>
      <c r="AE1413" s="6" t="s">
        <v>11753</v>
      </c>
      <c r="AF1413" s="6" t="s">
        <v>104</v>
      </c>
      <c r="AG1413" s="6" t="s">
        <v>104</v>
      </c>
      <c r="AH1413" s="6" t="s">
        <v>104</v>
      </c>
      <c r="AI1413" s="6" t="s">
        <v>104</v>
      </c>
      <c r="AJ1413" s="6" t="s">
        <v>104</v>
      </c>
      <c r="AK1413" s="6" t="s">
        <v>104</v>
      </c>
      <c r="AL1413" s="6" t="s">
        <v>104</v>
      </c>
      <c r="AM1413" s="6" t="s">
        <v>104</v>
      </c>
      <c r="AN1413" s="6" t="s">
        <v>104</v>
      </c>
      <c r="AO1413" s="6" t="s">
        <v>104</v>
      </c>
      <c r="AP1413" s="6" t="s">
        <v>19331</v>
      </c>
      <c r="AQ1413" s="6" t="s">
        <v>104</v>
      </c>
      <c r="AR1413" s="6" t="s">
        <v>15856</v>
      </c>
      <c r="AS1413" s="6" t="s">
        <v>16687</v>
      </c>
      <c r="AT1413" s="6" t="s">
        <v>16931</v>
      </c>
      <c r="AU1413" s="6" t="s">
        <v>17486</v>
      </c>
      <c r="AV1413" s="6" t="s">
        <v>18465</v>
      </c>
      <c r="AW1413" s="6" t="s">
        <v>18572</v>
      </c>
      <c r="AX1413" s="6" t="s">
        <v>21220</v>
      </c>
      <c r="AY1413" s="6" t="s">
        <v>23015</v>
      </c>
      <c r="AZ1413" s="6" t="s">
        <v>24041</v>
      </c>
      <c r="BA1413" s="6" t="s">
        <v>104</v>
      </c>
      <c r="BB1413" s="6" t="s">
        <v>104</v>
      </c>
      <c r="BC1413" s="26"/>
      <c r="BD1413" s="26"/>
      <c r="BE1413" s="26"/>
      <c r="BF1413" s="26"/>
      <c r="BG1413" s="26"/>
      <c r="BH1413" s="26"/>
      <c r="BI1413" s="26"/>
      <c r="BJ1413" s="26"/>
      <c r="BK1413" s="26"/>
      <c r="BL1413" s="26"/>
      <c r="BM1413" s="26"/>
      <c r="BN1413" s="26"/>
      <c r="BO1413" s="26"/>
      <c r="BP1413" s="16" t="n">
        <v>45665</v>
      </c>
      <c r="BQ1413" s="28" t="str">
        <f>HYPERLINK("https://organic.ams.usda.gov/Integrity/Certificate.aspx?cid=62&amp;nopid=8150001580")</f>
        <v>https://organic.ams.usda.gov/Integrity/Certificate.aspx?cid=62&amp;nopid=8150001580</v>
      </c>
    </row>
    <row r="1414">
      <c r="A1414" t="s">
        <v>3</v>
      </c>
      <c r="B1414" s="6" t="s">
        <v>13</v>
      </c>
      <c r="C1414" s="6" t="s">
        <v>79</v>
      </c>
      <c r="D1414" s="6" t="s">
        <v>144</v>
      </c>
      <c r="E1414" s="10" t="s">
        <v>1612</v>
      </c>
      <c r="F1414" s="6" t="s">
        <v>3850</v>
      </c>
      <c r="G1414" s="6" t="s">
        <v>104</v>
      </c>
      <c r="H1414" s="6" t="s">
        <v>6174</v>
      </c>
      <c r="I1414" s="6" t="s">
        <v>7758</v>
      </c>
      <c r="J1414" s="6" t="s">
        <v>9175</v>
      </c>
      <c r="K1414" s="6" t="s">
        <v>9714</v>
      </c>
      <c r="L1414" s="16" t="n">
        <v>37375</v>
      </c>
      <c r="M1414" s="16" t="n">
        <v>46023</v>
      </c>
      <c r="N1414" s="6" t="s">
        <v>104</v>
      </c>
      <c r="O1414" s="21" t="s">
        <v>104</v>
      </c>
      <c r="P1414" s="6" t="s">
        <v>104</v>
      </c>
      <c r="Q1414" s="6" t="s">
        <v>104</v>
      </c>
      <c r="R1414" s="6" t="s">
        <v>104</v>
      </c>
      <c r="S1414" s="6" t="s">
        <v>104</v>
      </c>
      <c r="T1414" s="21" t="s">
        <v>104</v>
      </c>
      <c r="U1414" s="6" t="s">
        <v>104</v>
      </c>
      <c r="V1414" s="6" t="s">
        <v>104</v>
      </c>
      <c r="W1414" s="6" t="s">
        <v>104</v>
      </c>
      <c r="X1414" s="6" t="s">
        <v>104</v>
      </c>
      <c r="Y1414" s="21" t="s">
        <v>104</v>
      </c>
      <c r="Z1414" s="6" t="s">
        <v>104</v>
      </c>
      <c r="AA1414" s="6" t="s">
        <v>104</v>
      </c>
      <c r="AB1414" s="6" t="s">
        <v>104</v>
      </c>
      <c r="AC1414" s="6" t="s">
        <v>9714</v>
      </c>
      <c r="AD1414" s="16" t="n">
        <v>37375</v>
      </c>
      <c r="AE1414" s="6" t="s">
        <v>11754</v>
      </c>
      <c r="AF1414" s="6" t="s">
        <v>104</v>
      </c>
      <c r="AG1414" s="6" t="s">
        <v>104</v>
      </c>
      <c r="AH1414" s="6" t="s">
        <v>104</v>
      </c>
      <c r="AI1414" s="6" t="s">
        <v>104</v>
      </c>
      <c r="AJ1414" s="6" t="s">
        <v>104</v>
      </c>
      <c r="AK1414" s="6" t="s">
        <v>104</v>
      </c>
      <c r="AL1414" s="6" t="s">
        <v>104</v>
      </c>
      <c r="AM1414" s="6" t="s">
        <v>104</v>
      </c>
      <c r="AN1414" s="6" t="s">
        <v>104</v>
      </c>
      <c r="AO1414" s="6" t="s">
        <v>104</v>
      </c>
      <c r="AP1414" s="6" t="s">
        <v>19332</v>
      </c>
      <c r="AQ1414" s="6" t="s">
        <v>104</v>
      </c>
      <c r="AR1414" s="6" t="s">
        <v>15415</v>
      </c>
      <c r="AS1414" s="6" t="s">
        <v>16705</v>
      </c>
      <c r="AT1414" s="6" t="s">
        <v>16931</v>
      </c>
      <c r="AU1414" s="6" t="s">
        <v>17987</v>
      </c>
      <c r="AV1414" s="6" t="s">
        <v>17550</v>
      </c>
      <c r="AW1414" s="6" t="s">
        <v>18702</v>
      </c>
      <c r="AX1414" s="6" t="s">
        <v>21221</v>
      </c>
      <c r="AY1414" s="6" t="s">
        <v>23016</v>
      </c>
      <c r="AZ1414" s="6" t="s">
        <v>24042</v>
      </c>
      <c r="BA1414" s="6" t="s">
        <v>104</v>
      </c>
      <c r="BB1414" s="6" t="s">
        <v>104</v>
      </c>
      <c r="BC1414" s="26"/>
      <c r="BD1414" s="26"/>
      <c r="BE1414" s="26"/>
      <c r="BF1414" s="26"/>
      <c r="BG1414" s="26"/>
      <c r="BH1414" s="26"/>
      <c r="BI1414" s="26"/>
      <c r="BJ1414" s="26" t="s">
        <v>24533</v>
      </c>
      <c r="BK1414" s="26"/>
      <c r="BL1414" s="26"/>
      <c r="BM1414" s="26"/>
      <c r="BN1414" s="26"/>
      <c r="BO1414" s="26"/>
      <c r="BP1414" s="16" t="n">
        <v>45714</v>
      </c>
      <c r="BQ1414" s="28" t="str">
        <f>HYPERLINK("https://organic.ams.usda.gov/Integrity/Certificate.aspx?cid=62&amp;nopid=8150000258")</f>
        <v>https://organic.ams.usda.gov/Integrity/Certificate.aspx?cid=62&amp;nopid=8150000258</v>
      </c>
    </row>
    <row r="1415">
      <c r="A1415" t="s">
        <v>3</v>
      </c>
      <c r="B1415" s="6" t="s">
        <v>22</v>
      </c>
      <c r="C1415" s="6" t="s">
        <v>88</v>
      </c>
      <c r="D1415" s="6" t="s">
        <v>153</v>
      </c>
      <c r="E1415" s="10" t="s">
        <v>1613</v>
      </c>
      <c r="F1415" s="6" t="s">
        <v>3851</v>
      </c>
      <c r="G1415" s="6" t="s">
        <v>104</v>
      </c>
      <c r="H1415" s="6" t="s">
        <v>6175</v>
      </c>
      <c r="I1415" s="6" t="s">
        <v>7759</v>
      </c>
      <c r="J1415" s="6" t="s">
        <v>7808</v>
      </c>
      <c r="K1415" s="6" t="s">
        <v>9714</v>
      </c>
      <c r="L1415" s="16" t="n">
        <v>44852</v>
      </c>
      <c r="M1415" s="16" t="n">
        <v>45839</v>
      </c>
      <c r="N1415" s="6" t="s">
        <v>9714</v>
      </c>
      <c r="O1415" s="16" t="n">
        <v>44852</v>
      </c>
      <c r="P1415" s="6" t="s">
        <v>10114</v>
      </c>
      <c r="Q1415" s="6" t="s">
        <v>104</v>
      </c>
      <c r="R1415" s="6" t="s">
        <v>10402</v>
      </c>
      <c r="S1415" s="6" t="s">
        <v>104</v>
      </c>
      <c r="T1415" s="21" t="s">
        <v>104</v>
      </c>
      <c r="U1415" s="6" t="s">
        <v>104</v>
      </c>
      <c r="V1415" s="6" t="s">
        <v>104</v>
      </c>
      <c r="W1415" s="6" t="s">
        <v>104</v>
      </c>
      <c r="X1415" s="6" t="s">
        <v>104</v>
      </c>
      <c r="Y1415" s="21" t="s">
        <v>104</v>
      </c>
      <c r="Z1415" s="6" t="s">
        <v>104</v>
      </c>
      <c r="AA1415" s="6" t="s">
        <v>104</v>
      </c>
      <c r="AB1415" s="6" t="s">
        <v>104</v>
      </c>
      <c r="AC1415" s="6" t="s">
        <v>9714</v>
      </c>
      <c r="AD1415" s="16" t="n">
        <v>44852</v>
      </c>
      <c r="AE1415" s="6" t="s">
        <v>11755</v>
      </c>
      <c r="AF1415" s="6" t="s">
        <v>104</v>
      </c>
      <c r="AG1415" s="6" t="s">
        <v>10402</v>
      </c>
      <c r="AH1415" s="6" t="s">
        <v>14445</v>
      </c>
      <c r="AI1415" s="6" t="s">
        <v>104</v>
      </c>
      <c r="AJ1415" s="6" t="s">
        <v>15804</v>
      </c>
      <c r="AK1415" s="6" t="s">
        <v>16370</v>
      </c>
      <c r="AL1415" s="6" t="s">
        <v>16931</v>
      </c>
      <c r="AM1415" s="6" t="s">
        <v>17940</v>
      </c>
      <c r="AN1415" s="6" t="s">
        <v>18534</v>
      </c>
      <c r="AO1415" s="6" t="s">
        <v>18840</v>
      </c>
      <c r="AP1415" s="6" t="s">
        <v>14445</v>
      </c>
      <c r="AQ1415" s="6" t="s">
        <v>104</v>
      </c>
      <c r="AR1415" s="6" t="s">
        <v>15804</v>
      </c>
      <c r="AS1415" s="6" t="s">
        <v>16370</v>
      </c>
      <c r="AT1415" s="6" t="s">
        <v>16931</v>
      </c>
      <c r="AU1415" s="6" t="s">
        <v>17940</v>
      </c>
      <c r="AV1415" s="6" t="s">
        <v>104</v>
      </c>
      <c r="AW1415" s="6" t="s">
        <v>104</v>
      </c>
      <c r="AX1415" s="6" t="s">
        <v>21222</v>
      </c>
      <c r="AY1415" s="6" t="s">
        <v>23017</v>
      </c>
      <c r="AZ1415" s="6" t="s">
        <v>104</v>
      </c>
      <c r="BA1415" s="6" t="s">
        <v>24442</v>
      </c>
      <c r="BB1415" s="24" t="n">
        <v>0</v>
      </c>
      <c r="BC1415" s="26"/>
      <c r="BD1415" s="26"/>
      <c r="BE1415" s="26"/>
      <c r="BF1415" s="26"/>
      <c r="BG1415" s="26" t="s">
        <v>24533</v>
      </c>
      <c r="BH1415" s="26"/>
      <c r="BI1415" s="26"/>
      <c r="BJ1415" s="26"/>
      <c r="BK1415" s="26"/>
      <c r="BL1415" s="26"/>
      <c r="BM1415" s="26"/>
      <c r="BN1415" s="26"/>
      <c r="BO1415" s="26"/>
      <c r="BP1415" s="16" t="n">
        <v>45737</v>
      </c>
      <c r="BQ1415" s="28" t="str">
        <f>HYPERLINK("https://organic.ams.usda.gov/Integrity/Certificate.aspx?cid=72&amp;nopid=5870106419")</f>
        <v>https://organic.ams.usda.gov/Integrity/Certificate.aspx?cid=72&amp;nopid=5870106419</v>
      </c>
    </row>
    <row r="1416">
      <c r="A1416" t="s">
        <v>3</v>
      </c>
      <c r="B1416" s="6" t="s">
        <v>42</v>
      </c>
      <c r="C1416" s="6" t="s">
        <v>108</v>
      </c>
      <c r="D1416" s="6" t="s">
        <v>172</v>
      </c>
      <c r="E1416" s="10" t="s">
        <v>1614</v>
      </c>
      <c r="F1416" s="6" t="s">
        <v>3852</v>
      </c>
      <c r="G1416" s="6" t="s">
        <v>104</v>
      </c>
      <c r="H1416" s="6" t="s">
        <v>6176</v>
      </c>
      <c r="I1416" s="6" t="s">
        <v>7760</v>
      </c>
      <c r="J1416" s="6" t="s">
        <v>7750</v>
      </c>
      <c r="K1416" s="6" t="s">
        <v>9714</v>
      </c>
      <c r="L1416" s="16" t="n">
        <v>45720</v>
      </c>
      <c r="M1416" s="16" t="n">
        <v>46085</v>
      </c>
      <c r="N1416" s="6" t="s">
        <v>104</v>
      </c>
      <c r="O1416" s="21" t="s">
        <v>104</v>
      </c>
      <c r="P1416" s="6" t="s">
        <v>104</v>
      </c>
      <c r="Q1416" s="6" t="s">
        <v>104</v>
      </c>
      <c r="R1416" s="6" t="s">
        <v>104</v>
      </c>
      <c r="S1416" s="6" t="s">
        <v>104</v>
      </c>
      <c r="T1416" s="21" t="s">
        <v>104</v>
      </c>
      <c r="U1416" s="6" t="s">
        <v>104</v>
      </c>
      <c r="V1416" s="6" t="s">
        <v>104</v>
      </c>
      <c r="W1416" s="6" t="s">
        <v>104</v>
      </c>
      <c r="X1416" s="6" t="s">
        <v>104</v>
      </c>
      <c r="Y1416" s="21" t="s">
        <v>104</v>
      </c>
      <c r="Z1416" s="6" t="s">
        <v>104</v>
      </c>
      <c r="AA1416" s="6" t="s">
        <v>104</v>
      </c>
      <c r="AB1416" s="6" t="s">
        <v>104</v>
      </c>
      <c r="AC1416" s="6" t="s">
        <v>9714</v>
      </c>
      <c r="AD1416" s="16" t="n">
        <v>45720</v>
      </c>
      <c r="AE1416" s="6" t="s">
        <v>11756</v>
      </c>
      <c r="AF1416" s="6" t="s">
        <v>104</v>
      </c>
      <c r="AG1416" s="6" t="s">
        <v>6176</v>
      </c>
      <c r="AH1416" s="6" t="s">
        <v>14446</v>
      </c>
      <c r="AI1416" s="6" t="s">
        <v>104</v>
      </c>
      <c r="AJ1416" s="6" t="s">
        <v>16261</v>
      </c>
      <c r="AK1416" s="6" t="s">
        <v>16687</v>
      </c>
      <c r="AL1416" s="6" t="s">
        <v>16931</v>
      </c>
      <c r="AM1416" s="6" t="s">
        <v>17488</v>
      </c>
      <c r="AN1416" s="6" t="s">
        <v>104</v>
      </c>
      <c r="AO1416" s="6" t="s">
        <v>104</v>
      </c>
      <c r="AP1416" s="6" t="s">
        <v>14446</v>
      </c>
      <c r="AQ1416" s="6" t="s">
        <v>104</v>
      </c>
      <c r="AR1416" s="6" t="s">
        <v>16261</v>
      </c>
      <c r="AS1416" s="6" t="s">
        <v>16687</v>
      </c>
      <c r="AT1416" s="6" t="s">
        <v>16931</v>
      </c>
      <c r="AU1416" s="6" t="s">
        <v>17488</v>
      </c>
      <c r="AV1416" s="6" t="s">
        <v>104</v>
      </c>
      <c r="AW1416" s="6" t="s">
        <v>104</v>
      </c>
      <c r="AX1416" s="6" t="s">
        <v>21223</v>
      </c>
      <c r="AY1416" s="6" t="s">
        <v>23018</v>
      </c>
      <c r="AZ1416" s="6" t="s">
        <v>104</v>
      </c>
      <c r="BA1416" s="6" t="s">
        <v>104</v>
      </c>
      <c r="BB1416" s="6" t="s">
        <v>104</v>
      </c>
      <c r="BC1416" s="26"/>
      <c r="BD1416" s="26"/>
      <c r="BE1416" s="26"/>
      <c r="BF1416" s="26"/>
      <c r="BG1416" s="26" t="s">
        <v>24533</v>
      </c>
      <c r="BH1416" s="26"/>
      <c r="BI1416" s="26"/>
      <c r="BJ1416" s="26"/>
      <c r="BK1416" s="26"/>
      <c r="BL1416" s="26"/>
      <c r="BM1416" s="26"/>
      <c r="BN1416" s="26" t="s">
        <v>24533</v>
      </c>
      <c r="BO1416" s="26"/>
      <c r="BP1416" s="16" t="n">
        <v>45720</v>
      </c>
      <c r="BQ1416" s="28" t="str">
        <f>HYPERLINK("https://organic.ams.usda.gov/Integrity/Certificate.aspx?cid=69&amp;nopid=1560014200")</f>
        <v>https://organic.ams.usda.gov/Integrity/Certificate.aspx?cid=69&amp;nopid=1560014200</v>
      </c>
    </row>
    <row r="1417">
      <c r="A1417" t="s">
        <v>3</v>
      </c>
      <c r="B1417" s="6" t="s">
        <v>21</v>
      </c>
      <c r="C1417" s="6" t="s">
        <v>87</v>
      </c>
      <c r="D1417" s="6" t="s">
        <v>152</v>
      </c>
      <c r="E1417" s="10" t="s">
        <v>1615</v>
      </c>
      <c r="F1417" s="6" t="s">
        <v>3853</v>
      </c>
      <c r="G1417" s="6" t="s">
        <v>104</v>
      </c>
      <c r="H1417" s="6" t="s">
        <v>6177</v>
      </c>
      <c r="I1417" s="6" t="s">
        <v>7630</v>
      </c>
      <c r="J1417" s="6" t="s">
        <v>9176</v>
      </c>
      <c r="K1417" s="6" t="s">
        <v>9714</v>
      </c>
      <c r="L1417" s="16" t="n">
        <v>38944</v>
      </c>
      <c r="M1417" s="16" t="n">
        <v>46023</v>
      </c>
      <c r="N1417" s="6" t="s">
        <v>104</v>
      </c>
      <c r="O1417" s="21" t="s">
        <v>104</v>
      </c>
      <c r="P1417" s="6" t="s">
        <v>104</v>
      </c>
      <c r="Q1417" s="6" t="s">
        <v>104</v>
      </c>
      <c r="R1417" s="6" t="s">
        <v>104</v>
      </c>
      <c r="S1417" s="6" t="s">
        <v>104</v>
      </c>
      <c r="T1417" s="21" t="s">
        <v>104</v>
      </c>
      <c r="U1417" s="6" t="s">
        <v>104</v>
      </c>
      <c r="V1417" s="6" t="s">
        <v>104</v>
      </c>
      <c r="W1417" s="6" t="s">
        <v>104</v>
      </c>
      <c r="X1417" s="6" t="s">
        <v>104</v>
      </c>
      <c r="Y1417" s="21" t="s">
        <v>104</v>
      </c>
      <c r="Z1417" s="6" t="s">
        <v>104</v>
      </c>
      <c r="AA1417" s="6" t="s">
        <v>104</v>
      </c>
      <c r="AB1417" s="6" t="s">
        <v>104</v>
      </c>
      <c r="AC1417" s="6" t="s">
        <v>9714</v>
      </c>
      <c r="AD1417" s="16" t="n">
        <v>38944</v>
      </c>
      <c r="AE1417" s="6" t="s">
        <v>11757</v>
      </c>
      <c r="AF1417" s="6" t="s">
        <v>104</v>
      </c>
      <c r="AG1417" s="6" t="s">
        <v>104</v>
      </c>
      <c r="AH1417" s="6" t="s">
        <v>14447</v>
      </c>
      <c r="AI1417" s="6" t="s">
        <v>104</v>
      </c>
      <c r="AJ1417" s="6" t="s">
        <v>16262</v>
      </c>
      <c r="AK1417" s="6" t="s">
        <v>16680</v>
      </c>
      <c r="AL1417" s="6" t="s">
        <v>16931</v>
      </c>
      <c r="AM1417" s="6" t="s">
        <v>17941</v>
      </c>
      <c r="AN1417" s="6" t="s">
        <v>18486</v>
      </c>
      <c r="AO1417" s="6" t="s">
        <v>18644</v>
      </c>
      <c r="AP1417" s="6" t="s">
        <v>14447</v>
      </c>
      <c r="AQ1417" s="6" t="s">
        <v>104</v>
      </c>
      <c r="AR1417" s="6" t="s">
        <v>16262</v>
      </c>
      <c r="AS1417" s="6" t="s">
        <v>16680</v>
      </c>
      <c r="AT1417" s="6" t="s">
        <v>16931</v>
      </c>
      <c r="AU1417" s="6" t="s">
        <v>17941</v>
      </c>
      <c r="AV1417" s="6" t="s">
        <v>104</v>
      </c>
      <c r="AW1417" s="6" t="s">
        <v>104</v>
      </c>
      <c r="AX1417" s="6" t="s">
        <v>21224</v>
      </c>
      <c r="AY1417" s="6" t="s">
        <v>23019</v>
      </c>
      <c r="AZ1417" s="6" t="s">
        <v>24043</v>
      </c>
      <c r="BA1417" s="6" t="s">
        <v>24443</v>
      </c>
      <c r="BB1417" s="6" t="s">
        <v>104</v>
      </c>
      <c r="BC1417" s="26"/>
      <c r="BD1417" s="26"/>
      <c r="BE1417" s="26"/>
      <c r="BF1417" s="26"/>
      <c r="BG1417" s="26"/>
      <c r="BH1417" s="26"/>
      <c r="BI1417" s="26"/>
      <c r="BJ1417" s="26"/>
      <c r="BK1417" s="26"/>
      <c r="BL1417" s="26"/>
      <c r="BM1417" s="26"/>
      <c r="BN1417" s="26"/>
      <c r="BO1417" s="26"/>
      <c r="BP1417" s="16" t="n">
        <v>45667</v>
      </c>
      <c r="BQ1417" s="28" t="str">
        <f>HYPERLINK("https://organic.ams.usda.gov/Integrity/Certificate.aspx?cid=15&amp;nopid=5561002359")</f>
        <v>https://organic.ams.usda.gov/Integrity/Certificate.aspx?cid=15&amp;nopid=5561002359</v>
      </c>
    </row>
    <row r="1418">
      <c r="A1418" t="s">
        <v>3</v>
      </c>
      <c r="B1418" s="6" t="s">
        <v>12</v>
      </c>
      <c r="C1418" s="6" t="s">
        <v>78</v>
      </c>
      <c r="D1418" s="6" t="s">
        <v>143</v>
      </c>
      <c r="E1418" s="10" t="s">
        <v>1616</v>
      </c>
      <c r="F1418" s="6" t="s">
        <v>3854</v>
      </c>
      <c r="G1418" s="6" t="s">
        <v>104</v>
      </c>
      <c r="H1418" s="6" t="s">
        <v>104</v>
      </c>
      <c r="I1418" s="6" t="s">
        <v>7761</v>
      </c>
      <c r="J1418" s="6" t="s">
        <v>9177</v>
      </c>
      <c r="K1418" s="6" t="s">
        <v>9714</v>
      </c>
      <c r="L1418" s="16" t="n">
        <v>44659</v>
      </c>
      <c r="M1418" s="16" t="n">
        <v>45901</v>
      </c>
      <c r="N1418" s="6" t="s">
        <v>104</v>
      </c>
      <c r="O1418" s="21" t="s">
        <v>104</v>
      </c>
      <c r="P1418" s="6" t="s">
        <v>104</v>
      </c>
      <c r="Q1418" s="6" t="s">
        <v>104</v>
      </c>
      <c r="R1418" s="6" t="s">
        <v>104</v>
      </c>
      <c r="S1418" s="6" t="s">
        <v>104</v>
      </c>
      <c r="T1418" s="21" t="s">
        <v>104</v>
      </c>
      <c r="U1418" s="6" t="s">
        <v>104</v>
      </c>
      <c r="V1418" s="6" t="s">
        <v>104</v>
      </c>
      <c r="W1418" s="6" t="s">
        <v>104</v>
      </c>
      <c r="X1418" s="6" t="s">
        <v>104</v>
      </c>
      <c r="Y1418" s="21" t="s">
        <v>104</v>
      </c>
      <c r="Z1418" s="6" t="s">
        <v>104</v>
      </c>
      <c r="AA1418" s="6" t="s">
        <v>104</v>
      </c>
      <c r="AB1418" s="6" t="s">
        <v>104</v>
      </c>
      <c r="AC1418" s="6" t="s">
        <v>9714</v>
      </c>
      <c r="AD1418" s="16" t="n">
        <v>44659</v>
      </c>
      <c r="AE1418" s="6" t="s">
        <v>11758</v>
      </c>
      <c r="AF1418" s="6" t="s">
        <v>104</v>
      </c>
      <c r="AG1418" s="6" t="s">
        <v>12929</v>
      </c>
      <c r="AH1418" s="6" t="s">
        <v>14448</v>
      </c>
      <c r="AI1418" s="6" t="s">
        <v>104</v>
      </c>
      <c r="AJ1418" s="6" t="s">
        <v>15531</v>
      </c>
      <c r="AK1418" s="6" t="s">
        <v>16687</v>
      </c>
      <c r="AL1418" s="6" t="s">
        <v>16931</v>
      </c>
      <c r="AM1418" s="6" t="s">
        <v>17148</v>
      </c>
      <c r="AN1418" s="6" t="s">
        <v>18484</v>
      </c>
      <c r="AO1418" s="6" t="s">
        <v>18597</v>
      </c>
      <c r="AP1418" s="6" t="s">
        <v>14448</v>
      </c>
      <c r="AQ1418" s="6" t="s">
        <v>104</v>
      </c>
      <c r="AR1418" s="6" t="s">
        <v>15531</v>
      </c>
      <c r="AS1418" s="6" t="s">
        <v>16687</v>
      </c>
      <c r="AT1418" s="6" t="s">
        <v>16931</v>
      </c>
      <c r="AU1418" s="6" t="s">
        <v>17148</v>
      </c>
      <c r="AV1418" s="6" t="s">
        <v>104</v>
      </c>
      <c r="AW1418" s="6" t="s">
        <v>104</v>
      </c>
      <c r="AX1418" s="6" t="s">
        <v>104</v>
      </c>
      <c r="AY1418" s="6" t="s">
        <v>23020</v>
      </c>
      <c r="AZ1418" s="6" t="s">
        <v>104</v>
      </c>
      <c r="BA1418" s="6" t="s">
        <v>104</v>
      </c>
      <c r="BB1418" s="6" t="s">
        <v>104</v>
      </c>
      <c r="BC1418" s="26"/>
      <c r="BD1418" s="26"/>
      <c r="BE1418" s="26"/>
      <c r="BF1418" s="26"/>
      <c r="BG1418" s="26"/>
      <c r="BH1418" s="26"/>
      <c r="BI1418" s="26"/>
      <c r="BJ1418" s="26"/>
      <c r="BK1418" s="26"/>
      <c r="BL1418" s="26"/>
      <c r="BM1418" s="26"/>
      <c r="BN1418" s="26"/>
      <c r="BO1418" s="26"/>
      <c r="BP1418" s="16" t="n">
        <v>45628</v>
      </c>
      <c r="BQ1418" s="28" t="str">
        <f>HYPERLINK("https://organic.ams.usda.gov/Integrity/Certificate.aspx?cid=1&amp;nopid=9092207002")</f>
        <v>https://organic.ams.usda.gov/Integrity/Certificate.aspx?cid=1&amp;nopid=9092207002</v>
      </c>
    </row>
    <row r="1419">
      <c r="A1419" t="s">
        <v>3</v>
      </c>
      <c r="B1419" s="6" t="s">
        <v>9</v>
      </c>
      <c r="C1419" s="6" t="s">
        <v>75</v>
      </c>
      <c r="D1419" s="6" t="s">
        <v>140</v>
      </c>
      <c r="E1419" s="10" t="s">
        <v>1617</v>
      </c>
      <c r="F1419" s="6" t="s">
        <v>3855</v>
      </c>
      <c r="G1419" s="6" t="s">
        <v>104</v>
      </c>
      <c r="H1419" s="6" t="s">
        <v>6178</v>
      </c>
      <c r="I1419" s="6" t="s">
        <v>7156</v>
      </c>
      <c r="J1419" s="6" t="s">
        <v>9178</v>
      </c>
      <c r="K1419" s="6" t="s">
        <v>9714</v>
      </c>
      <c r="L1419" s="16" t="n">
        <v>41324</v>
      </c>
      <c r="M1419" s="16" t="n">
        <v>45707</v>
      </c>
      <c r="N1419" s="6" t="s">
        <v>104</v>
      </c>
      <c r="O1419" s="21" t="s">
        <v>104</v>
      </c>
      <c r="P1419" s="6" t="s">
        <v>104</v>
      </c>
      <c r="Q1419" s="6" t="s">
        <v>104</v>
      </c>
      <c r="R1419" s="6" t="s">
        <v>104</v>
      </c>
      <c r="S1419" s="6" t="s">
        <v>104</v>
      </c>
      <c r="T1419" s="21" t="s">
        <v>104</v>
      </c>
      <c r="U1419" s="6" t="s">
        <v>104</v>
      </c>
      <c r="V1419" s="6" t="s">
        <v>104</v>
      </c>
      <c r="W1419" s="6" t="s">
        <v>104</v>
      </c>
      <c r="X1419" s="6" t="s">
        <v>104</v>
      </c>
      <c r="Y1419" s="21" t="s">
        <v>104</v>
      </c>
      <c r="Z1419" s="6" t="s">
        <v>104</v>
      </c>
      <c r="AA1419" s="6" t="s">
        <v>104</v>
      </c>
      <c r="AB1419" s="6" t="s">
        <v>104</v>
      </c>
      <c r="AC1419" s="6" t="s">
        <v>9714</v>
      </c>
      <c r="AD1419" s="16" t="n">
        <v>41324</v>
      </c>
      <c r="AE1419" s="6" t="s">
        <v>11759</v>
      </c>
      <c r="AF1419" s="6" t="s">
        <v>104</v>
      </c>
      <c r="AG1419" s="6" t="s">
        <v>104</v>
      </c>
      <c r="AH1419" s="6" t="s">
        <v>104</v>
      </c>
      <c r="AI1419" s="6" t="s">
        <v>104</v>
      </c>
      <c r="AJ1419" s="6" t="s">
        <v>104</v>
      </c>
      <c r="AK1419" s="6" t="s">
        <v>104</v>
      </c>
      <c r="AL1419" s="6" t="s">
        <v>104</v>
      </c>
      <c r="AM1419" s="6" t="s">
        <v>104</v>
      </c>
      <c r="AN1419" s="6" t="s">
        <v>104</v>
      </c>
      <c r="AO1419" s="6" t="s">
        <v>104</v>
      </c>
      <c r="AP1419" s="6" t="s">
        <v>19333</v>
      </c>
      <c r="AQ1419" s="6" t="s">
        <v>104</v>
      </c>
      <c r="AR1419" s="6" t="s">
        <v>19606</v>
      </c>
      <c r="AS1419" s="6" t="s">
        <v>16687</v>
      </c>
      <c r="AT1419" s="6" t="s">
        <v>16931</v>
      </c>
      <c r="AU1419" s="6" t="s">
        <v>19827</v>
      </c>
      <c r="AV1419" s="6" t="s">
        <v>18487</v>
      </c>
      <c r="AW1419" s="6" t="s">
        <v>18601</v>
      </c>
      <c r="AX1419" s="6" t="s">
        <v>21225</v>
      </c>
      <c r="AY1419" s="6" t="s">
        <v>23021</v>
      </c>
      <c r="AZ1419" s="6" t="s">
        <v>104</v>
      </c>
      <c r="BA1419" s="6" t="s">
        <v>104</v>
      </c>
      <c r="BB1419" s="6" t="s">
        <v>104</v>
      </c>
      <c r="BC1419" s="26"/>
      <c r="BD1419" s="26"/>
      <c r="BE1419" s="26"/>
      <c r="BF1419" s="26"/>
      <c r="BG1419" s="26"/>
      <c r="BH1419" s="26"/>
      <c r="BI1419" s="26"/>
      <c r="BJ1419" s="26"/>
      <c r="BK1419" s="26"/>
      <c r="BL1419" s="26"/>
      <c r="BM1419" s="26"/>
      <c r="BN1419" s="26"/>
      <c r="BO1419" s="26"/>
      <c r="BP1419" s="16" t="n">
        <v>45489</v>
      </c>
      <c r="BQ1419" s="28" t="str">
        <f>HYPERLINK("https://organic.ams.usda.gov/Integrity/Certificate.aspx?cid=63&amp;nopid=6220005942")</f>
        <v>https://organic.ams.usda.gov/Integrity/Certificate.aspx?cid=63&amp;nopid=6220005942</v>
      </c>
    </row>
    <row r="1420">
      <c r="A1420" t="s">
        <v>3</v>
      </c>
      <c r="B1420" s="6" t="s">
        <v>21</v>
      </c>
      <c r="C1420" s="6" t="s">
        <v>87</v>
      </c>
      <c r="D1420" s="6" t="s">
        <v>152</v>
      </c>
      <c r="E1420" s="10" t="s">
        <v>1618</v>
      </c>
      <c r="F1420" s="6" t="s">
        <v>3856</v>
      </c>
      <c r="G1420" s="6" t="s">
        <v>104</v>
      </c>
      <c r="H1420" s="6" t="s">
        <v>6179</v>
      </c>
      <c r="I1420" s="6" t="s">
        <v>7151</v>
      </c>
      <c r="J1420" s="6" t="s">
        <v>9179</v>
      </c>
      <c r="K1420" s="6" t="s">
        <v>9714</v>
      </c>
      <c r="L1420" s="16" t="n">
        <v>45419</v>
      </c>
      <c r="M1420" s="16" t="n">
        <v>46023</v>
      </c>
      <c r="N1420" s="6" t="s">
        <v>104</v>
      </c>
      <c r="O1420" s="21" t="s">
        <v>104</v>
      </c>
      <c r="P1420" s="6" t="s">
        <v>104</v>
      </c>
      <c r="Q1420" s="6" t="s">
        <v>104</v>
      </c>
      <c r="R1420" s="6" t="s">
        <v>104</v>
      </c>
      <c r="S1420" s="6" t="s">
        <v>104</v>
      </c>
      <c r="T1420" s="21" t="s">
        <v>104</v>
      </c>
      <c r="U1420" s="6" t="s">
        <v>104</v>
      </c>
      <c r="V1420" s="6" t="s">
        <v>104</v>
      </c>
      <c r="W1420" s="6" t="s">
        <v>104</v>
      </c>
      <c r="X1420" s="6" t="s">
        <v>104</v>
      </c>
      <c r="Y1420" s="21" t="s">
        <v>104</v>
      </c>
      <c r="Z1420" s="6" t="s">
        <v>104</v>
      </c>
      <c r="AA1420" s="6" t="s">
        <v>104</v>
      </c>
      <c r="AB1420" s="6" t="s">
        <v>104</v>
      </c>
      <c r="AC1420" s="6" t="s">
        <v>9714</v>
      </c>
      <c r="AD1420" s="16" t="n">
        <v>45419</v>
      </c>
      <c r="AE1420" s="6" t="s">
        <v>11760</v>
      </c>
      <c r="AF1420" s="6" t="s">
        <v>104</v>
      </c>
      <c r="AG1420" s="6" t="s">
        <v>104</v>
      </c>
      <c r="AH1420" s="6" t="s">
        <v>14449</v>
      </c>
      <c r="AI1420" s="6" t="s">
        <v>104</v>
      </c>
      <c r="AJ1420" s="6" t="s">
        <v>15474</v>
      </c>
      <c r="AK1420" s="6" t="s">
        <v>16687</v>
      </c>
      <c r="AL1420" s="6" t="s">
        <v>16931</v>
      </c>
      <c r="AM1420" s="6" t="s">
        <v>17919</v>
      </c>
      <c r="AN1420" s="6" t="s">
        <v>104</v>
      </c>
      <c r="AO1420" s="6" t="s">
        <v>104</v>
      </c>
      <c r="AP1420" s="6" t="s">
        <v>19334</v>
      </c>
      <c r="AQ1420" s="6" t="s">
        <v>104</v>
      </c>
      <c r="AR1420" s="6" t="s">
        <v>16095</v>
      </c>
      <c r="AS1420" s="6" t="s">
        <v>16687</v>
      </c>
      <c r="AT1420" s="6" t="s">
        <v>16931</v>
      </c>
      <c r="AU1420" s="6" t="s">
        <v>19986</v>
      </c>
      <c r="AV1420" s="6" t="s">
        <v>104</v>
      </c>
      <c r="AW1420" s="6" t="s">
        <v>104</v>
      </c>
      <c r="AX1420" s="6" t="s">
        <v>21226</v>
      </c>
      <c r="AY1420" s="6" t="s">
        <v>23022</v>
      </c>
      <c r="AZ1420" s="6" t="s">
        <v>24044</v>
      </c>
      <c r="BA1420" s="6" t="s">
        <v>24444</v>
      </c>
      <c r="BB1420" s="6" t="s">
        <v>104</v>
      </c>
      <c r="BC1420" s="26"/>
      <c r="BD1420" s="26"/>
      <c r="BE1420" s="26"/>
      <c r="BF1420" s="26"/>
      <c r="BG1420" s="26"/>
      <c r="BH1420" s="26"/>
      <c r="BI1420" s="26"/>
      <c r="BJ1420" s="26"/>
      <c r="BK1420" s="26"/>
      <c r="BL1420" s="26"/>
      <c r="BM1420" s="26"/>
      <c r="BN1420" s="26"/>
      <c r="BO1420" s="26"/>
      <c r="BP1420" s="16" t="n">
        <v>45720</v>
      </c>
      <c r="BQ1420" s="28" t="str">
        <f>HYPERLINK("https://organic.ams.usda.gov/Integrity/Certificate.aspx?cid=15&amp;nopid=5561008077")</f>
        <v>https://organic.ams.usda.gov/Integrity/Certificate.aspx?cid=15&amp;nopid=5561008077</v>
      </c>
    </row>
    <row r="1421">
      <c r="A1421" t="s">
        <v>3</v>
      </c>
      <c r="B1421" s="6" t="s">
        <v>15</v>
      </c>
      <c r="C1421" s="6" t="s">
        <v>81</v>
      </c>
      <c r="D1421" s="6" t="s">
        <v>146</v>
      </c>
      <c r="E1421" s="10" t="s">
        <v>1619</v>
      </c>
      <c r="F1421" s="6" t="s">
        <v>3857</v>
      </c>
      <c r="G1421" s="6" t="s">
        <v>104</v>
      </c>
      <c r="H1421" s="6" t="s">
        <v>6180</v>
      </c>
      <c r="I1421" s="6" t="s">
        <v>104</v>
      </c>
      <c r="J1421" s="6" t="s">
        <v>104</v>
      </c>
      <c r="K1421" s="6" t="s">
        <v>9714</v>
      </c>
      <c r="L1421" s="16" t="n">
        <v>44944</v>
      </c>
      <c r="M1421" s="16" t="n">
        <v>46113</v>
      </c>
      <c r="N1421" s="6" t="s">
        <v>104</v>
      </c>
      <c r="O1421" s="21" t="s">
        <v>104</v>
      </c>
      <c r="P1421" s="6" t="s">
        <v>104</v>
      </c>
      <c r="Q1421" s="6" t="s">
        <v>104</v>
      </c>
      <c r="R1421" s="6" t="s">
        <v>104</v>
      </c>
      <c r="S1421" s="6" t="s">
        <v>104</v>
      </c>
      <c r="T1421" s="21" t="s">
        <v>104</v>
      </c>
      <c r="U1421" s="6" t="s">
        <v>104</v>
      </c>
      <c r="V1421" s="6" t="s">
        <v>104</v>
      </c>
      <c r="W1421" s="6" t="s">
        <v>104</v>
      </c>
      <c r="X1421" s="6" t="s">
        <v>104</v>
      </c>
      <c r="Y1421" s="21" t="s">
        <v>104</v>
      </c>
      <c r="Z1421" s="6" t="s">
        <v>104</v>
      </c>
      <c r="AA1421" s="6" t="s">
        <v>104</v>
      </c>
      <c r="AB1421" s="6" t="s">
        <v>104</v>
      </c>
      <c r="AC1421" s="6" t="s">
        <v>9714</v>
      </c>
      <c r="AD1421" s="16" t="n">
        <v>44944</v>
      </c>
      <c r="AE1421" s="6" t="s">
        <v>11761</v>
      </c>
      <c r="AF1421" s="6" t="s">
        <v>104</v>
      </c>
      <c r="AG1421" s="6" t="s">
        <v>12930</v>
      </c>
      <c r="AH1421" s="6" t="s">
        <v>14450</v>
      </c>
      <c r="AI1421" s="6" t="s">
        <v>104</v>
      </c>
      <c r="AJ1421" s="6" t="s">
        <v>16263</v>
      </c>
      <c r="AK1421" s="6" t="s">
        <v>16681</v>
      </c>
      <c r="AL1421" s="6" t="s">
        <v>16931</v>
      </c>
      <c r="AM1421" s="6" t="s">
        <v>17942</v>
      </c>
      <c r="AN1421" s="6" t="s">
        <v>18458</v>
      </c>
      <c r="AO1421" s="6" t="s">
        <v>18841</v>
      </c>
      <c r="AP1421" s="6" t="s">
        <v>19335</v>
      </c>
      <c r="AQ1421" s="6" t="s">
        <v>104</v>
      </c>
      <c r="AR1421" s="6" t="s">
        <v>16263</v>
      </c>
      <c r="AS1421" s="6" t="s">
        <v>16681</v>
      </c>
      <c r="AT1421" s="6" t="s">
        <v>16931</v>
      </c>
      <c r="AU1421" s="6" t="s">
        <v>17942</v>
      </c>
      <c r="AV1421" s="6" t="s">
        <v>104</v>
      </c>
      <c r="AW1421" s="6" t="s">
        <v>104</v>
      </c>
      <c r="AX1421" s="6" t="s">
        <v>21227</v>
      </c>
      <c r="AY1421" s="6" t="s">
        <v>23023</v>
      </c>
      <c r="AZ1421" s="6" t="s">
        <v>24045</v>
      </c>
      <c r="BA1421" s="6" t="s">
        <v>24441</v>
      </c>
      <c r="BB1421" s="6" t="s">
        <v>104</v>
      </c>
      <c r="BC1421" s="26"/>
      <c r="BD1421" s="26"/>
      <c r="BE1421" s="26"/>
      <c r="BF1421" s="26"/>
      <c r="BG1421" s="26"/>
      <c r="BH1421" s="26"/>
      <c r="BI1421" s="26"/>
      <c r="BJ1421" s="26"/>
      <c r="BK1421" s="26"/>
      <c r="BL1421" s="26"/>
      <c r="BM1421" s="26"/>
      <c r="BN1421" s="26"/>
      <c r="BO1421" s="26"/>
      <c r="BP1421" s="16" t="n">
        <v>45738</v>
      </c>
      <c r="BQ1421" s="28" t="str">
        <f>HYPERLINK("https://organic.ams.usda.gov/Integrity/Certificate.aspx?cid=52&amp;nopid=8432202102")</f>
        <v>https://organic.ams.usda.gov/Integrity/Certificate.aspx?cid=52&amp;nopid=8432202102</v>
      </c>
    </row>
    <row r="1422">
      <c r="A1422" t="s">
        <v>3</v>
      </c>
      <c r="B1422" s="6" t="s">
        <v>11</v>
      </c>
      <c r="C1422" s="6" t="s">
        <v>77</v>
      </c>
      <c r="D1422" s="6" t="s">
        <v>142</v>
      </c>
      <c r="E1422" s="10" t="s">
        <v>1620</v>
      </c>
      <c r="F1422" s="6" t="s">
        <v>3858</v>
      </c>
      <c r="G1422" s="6" t="s">
        <v>104</v>
      </c>
      <c r="H1422" s="6" t="s">
        <v>6181</v>
      </c>
      <c r="I1422" s="6" t="s">
        <v>7762</v>
      </c>
      <c r="J1422" s="6" t="s">
        <v>9180</v>
      </c>
      <c r="K1422" s="6" t="s">
        <v>9714</v>
      </c>
      <c r="L1422" s="16" t="n">
        <v>45467</v>
      </c>
      <c r="M1422" s="16" t="n">
        <v>45765</v>
      </c>
      <c r="N1422" s="6" t="s">
        <v>104</v>
      </c>
      <c r="O1422" s="21" t="s">
        <v>104</v>
      </c>
      <c r="P1422" s="6" t="s">
        <v>104</v>
      </c>
      <c r="Q1422" s="6" t="s">
        <v>104</v>
      </c>
      <c r="R1422" s="6" t="s">
        <v>104</v>
      </c>
      <c r="S1422" s="6" t="s">
        <v>104</v>
      </c>
      <c r="T1422" s="21" t="s">
        <v>104</v>
      </c>
      <c r="U1422" s="6" t="s">
        <v>104</v>
      </c>
      <c r="V1422" s="6" t="s">
        <v>104</v>
      </c>
      <c r="W1422" s="6" t="s">
        <v>104</v>
      </c>
      <c r="X1422" s="6" t="s">
        <v>104</v>
      </c>
      <c r="Y1422" s="21" t="s">
        <v>104</v>
      </c>
      <c r="Z1422" s="6" t="s">
        <v>104</v>
      </c>
      <c r="AA1422" s="6" t="s">
        <v>104</v>
      </c>
      <c r="AB1422" s="6" t="s">
        <v>104</v>
      </c>
      <c r="AC1422" s="6" t="s">
        <v>9714</v>
      </c>
      <c r="AD1422" s="16" t="n">
        <v>45467</v>
      </c>
      <c r="AE1422" s="6" t="s">
        <v>11762</v>
      </c>
      <c r="AF1422" s="6" t="s">
        <v>104</v>
      </c>
      <c r="AG1422" s="6" t="s">
        <v>104</v>
      </c>
      <c r="AH1422" s="6" t="s">
        <v>14451</v>
      </c>
      <c r="AI1422" s="6" t="s">
        <v>104</v>
      </c>
      <c r="AJ1422" s="6" t="s">
        <v>16264</v>
      </c>
      <c r="AK1422" s="6" t="s">
        <v>16615</v>
      </c>
      <c r="AL1422" s="6" t="s">
        <v>15513</v>
      </c>
      <c r="AM1422" s="6" t="s">
        <v>17943</v>
      </c>
      <c r="AN1422" s="6" t="s">
        <v>104</v>
      </c>
      <c r="AO1422" s="6" t="s">
        <v>104</v>
      </c>
      <c r="AP1422" s="6" t="s">
        <v>14451</v>
      </c>
      <c r="AQ1422" s="6" t="s">
        <v>104</v>
      </c>
      <c r="AR1422" s="6" t="s">
        <v>16264</v>
      </c>
      <c r="AS1422" s="6" t="s">
        <v>16615</v>
      </c>
      <c r="AT1422" s="6" t="s">
        <v>15513</v>
      </c>
      <c r="AU1422" s="6" t="s">
        <v>17943</v>
      </c>
      <c r="AV1422" s="6" t="s">
        <v>104</v>
      </c>
      <c r="AW1422" s="6" t="s">
        <v>104</v>
      </c>
      <c r="AX1422" s="6" t="s">
        <v>21228</v>
      </c>
      <c r="AY1422" s="6" t="s">
        <v>23024</v>
      </c>
      <c r="AZ1422" s="6" t="s">
        <v>104</v>
      </c>
      <c r="BA1422" s="6" t="s">
        <v>104</v>
      </c>
      <c r="BB1422" s="6" t="s">
        <v>104</v>
      </c>
      <c r="BC1422" s="26"/>
      <c r="BD1422" s="26"/>
      <c r="BE1422" s="26"/>
      <c r="BF1422" s="26"/>
      <c r="BG1422" s="26"/>
      <c r="BH1422" s="26"/>
      <c r="BI1422" s="26"/>
      <c r="BJ1422" s="26"/>
      <c r="BK1422" s="26"/>
      <c r="BL1422" s="26"/>
      <c r="BM1422" s="26"/>
      <c r="BN1422" s="26"/>
      <c r="BO1422" s="26"/>
      <c r="BP1422" s="16" t="n">
        <v>45481</v>
      </c>
      <c r="BQ1422" s="28" t="str">
        <f>HYPERLINK("https://organic.ams.usda.gov/Integrity/Certificate.aspx?cid=21&amp;nopid=1780848769")</f>
        <v>https://organic.ams.usda.gov/Integrity/Certificate.aspx?cid=21&amp;nopid=1780848769</v>
      </c>
    </row>
    <row r="1423">
      <c r="A1423" t="s">
        <v>3</v>
      </c>
      <c r="B1423" s="6" t="s">
        <v>11</v>
      </c>
      <c r="C1423" s="6" t="s">
        <v>77</v>
      </c>
      <c r="D1423" s="6" t="s">
        <v>142</v>
      </c>
      <c r="E1423" s="10" t="s">
        <v>1621</v>
      </c>
      <c r="F1423" s="6" t="s">
        <v>3859</v>
      </c>
      <c r="G1423" s="6" t="s">
        <v>104</v>
      </c>
      <c r="H1423" s="6" t="s">
        <v>6182</v>
      </c>
      <c r="I1423" s="6" t="s">
        <v>7763</v>
      </c>
      <c r="J1423" s="6" t="s">
        <v>9181</v>
      </c>
      <c r="K1423" s="6" t="s">
        <v>9714</v>
      </c>
      <c r="L1423" s="16" t="n">
        <v>45324</v>
      </c>
      <c r="M1423" s="16" t="n">
        <v>45641</v>
      </c>
      <c r="N1423" s="6" t="s">
        <v>9714</v>
      </c>
      <c r="O1423" s="16" t="n">
        <v>45324</v>
      </c>
      <c r="P1423" s="6" t="s">
        <v>10115</v>
      </c>
      <c r="Q1423" s="6" t="s">
        <v>104</v>
      </c>
      <c r="R1423" s="6" t="s">
        <v>104</v>
      </c>
      <c r="S1423" s="6" t="s">
        <v>104</v>
      </c>
      <c r="T1423" s="21" t="s">
        <v>104</v>
      </c>
      <c r="U1423" s="6" t="s">
        <v>104</v>
      </c>
      <c r="V1423" s="6" t="s">
        <v>104</v>
      </c>
      <c r="W1423" s="6" t="s">
        <v>104</v>
      </c>
      <c r="X1423" s="6" t="s">
        <v>104</v>
      </c>
      <c r="Y1423" s="21" t="s">
        <v>104</v>
      </c>
      <c r="Z1423" s="6" t="s">
        <v>104</v>
      </c>
      <c r="AA1423" s="6" t="s">
        <v>104</v>
      </c>
      <c r="AB1423" s="6" t="s">
        <v>104</v>
      </c>
      <c r="AC1423" s="6" t="s">
        <v>9714</v>
      </c>
      <c r="AD1423" s="16" t="n">
        <v>45324</v>
      </c>
      <c r="AE1423" s="6" t="s">
        <v>11763</v>
      </c>
      <c r="AF1423" s="6" t="s">
        <v>104</v>
      </c>
      <c r="AG1423" s="6" t="s">
        <v>104</v>
      </c>
      <c r="AH1423" s="6" t="s">
        <v>14452</v>
      </c>
      <c r="AI1423" s="6" t="s">
        <v>104</v>
      </c>
      <c r="AJ1423" s="6" t="s">
        <v>16265</v>
      </c>
      <c r="AK1423" s="6" t="s">
        <v>16869</v>
      </c>
      <c r="AL1423" s="6" t="s">
        <v>15513</v>
      </c>
      <c r="AM1423" s="6" t="s">
        <v>17944</v>
      </c>
      <c r="AN1423" s="6" t="s">
        <v>104</v>
      </c>
      <c r="AO1423" s="6" t="s">
        <v>104</v>
      </c>
      <c r="AP1423" s="6" t="s">
        <v>14452</v>
      </c>
      <c r="AQ1423" s="6" t="s">
        <v>104</v>
      </c>
      <c r="AR1423" s="6" t="s">
        <v>16265</v>
      </c>
      <c r="AS1423" s="6" t="s">
        <v>16869</v>
      </c>
      <c r="AT1423" s="6" t="s">
        <v>15513</v>
      </c>
      <c r="AU1423" s="6" t="s">
        <v>17944</v>
      </c>
      <c r="AV1423" s="6" t="s">
        <v>104</v>
      </c>
      <c r="AW1423" s="6" t="s">
        <v>104</v>
      </c>
      <c r="AX1423" s="6" t="s">
        <v>21229</v>
      </c>
      <c r="AY1423" s="6" t="s">
        <v>23025</v>
      </c>
      <c r="AZ1423" s="6" t="s">
        <v>104</v>
      </c>
      <c r="BA1423" s="6" t="s">
        <v>104</v>
      </c>
      <c r="BB1423" s="24" t="n">
        <v>719</v>
      </c>
      <c r="BC1423" s="26"/>
      <c r="BD1423" s="26"/>
      <c r="BE1423" s="26"/>
      <c r="BF1423" s="26"/>
      <c r="BG1423" s="26"/>
      <c r="BH1423" s="26"/>
      <c r="BI1423" s="26"/>
      <c r="BJ1423" s="26"/>
      <c r="BK1423" s="26"/>
      <c r="BL1423" s="26"/>
      <c r="BM1423" s="26"/>
      <c r="BN1423" s="26"/>
      <c r="BO1423" s="26" t="s">
        <v>24533</v>
      </c>
      <c r="BP1423" s="16" t="n">
        <v>45478</v>
      </c>
      <c r="BQ1423" s="28" t="str">
        <f>HYPERLINK("https://organic.ams.usda.gov/Integrity/Certificate.aspx?cid=21&amp;nopid=1780899612")</f>
        <v>https://organic.ams.usda.gov/Integrity/Certificate.aspx?cid=21&amp;nopid=1780899612</v>
      </c>
    </row>
    <row r="1424">
      <c r="A1424" t="s">
        <v>3</v>
      </c>
      <c r="B1424" s="6" t="s">
        <v>25</v>
      </c>
      <c r="C1424" s="6" t="s">
        <v>91</v>
      </c>
      <c r="D1424" s="6" t="s">
        <v>156</v>
      </c>
      <c r="E1424" s="10" t="s">
        <v>1622</v>
      </c>
      <c r="F1424" s="6" t="s">
        <v>3860</v>
      </c>
      <c r="G1424" s="6" t="s">
        <v>104</v>
      </c>
      <c r="H1424" s="6" t="s">
        <v>5323</v>
      </c>
      <c r="I1424" s="6" t="s">
        <v>7764</v>
      </c>
      <c r="J1424" s="6" t="s">
        <v>9182</v>
      </c>
      <c r="K1424" s="6" t="s">
        <v>9714</v>
      </c>
      <c r="L1424" s="16" t="n">
        <v>44032</v>
      </c>
      <c r="M1424" s="16" t="n">
        <v>45814</v>
      </c>
      <c r="N1424" s="6" t="s">
        <v>104</v>
      </c>
      <c r="O1424" s="21" t="s">
        <v>104</v>
      </c>
      <c r="P1424" s="6" t="s">
        <v>104</v>
      </c>
      <c r="Q1424" s="6" t="s">
        <v>104</v>
      </c>
      <c r="R1424" s="6" t="s">
        <v>104</v>
      </c>
      <c r="S1424" s="6" t="s">
        <v>104</v>
      </c>
      <c r="T1424" s="21" t="s">
        <v>104</v>
      </c>
      <c r="U1424" s="6" t="s">
        <v>104</v>
      </c>
      <c r="V1424" s="6" t="s">
        <v>104</v>
      </c>
      <c r="W1424" s="6" t="s">
        <v>104</v>
      </c>
      <c r="X1424" s="6" t="s">
        <v>104</v>
      </c>
      <c r="Y1424" s="21" t="s">
        <v>104</v>
      </c>
      <c r="Z1424" s="6" t="s">
        <v>104</v>
      </c>
      <c r="AA1424" s="6" t="s">
        <v>104</v>
      </c>
      <c r="AB1424" s="6" t="s">
        <v>104</v>
      </c>
      <c r="AC1424" s="6" t="s">
        <v>9714</v>
      </c>
      <c r="AD1424" s="16" t="n">
        <v>44032</v>
      </c>
      <c r="AE1424" s="6" t="s">
        <v>11764</v>
      </c>
      <c r="AF1424" s="6" t="s">
        <v>104</v>
      </c>
      <c r="AG1424" s="6" t="s">
        <v>104</v>
      </c>
      <c r="AH1424" s="6" t="s">
        <v>14453</v>
      </c>
      <c r="AI1424" s="6" t="s">
        <v>104</v>
      </c>
      <c r="AJ1424" s="6" t="s">
        <v>15802</v>
      </c>
      <c r="AK1424" s="6" t="s">
        <v>16370</v>
      </c>
      <c r="AL1424" s="6" t="s">
        <v>16931</v>
      </c>
      <c r="AM1424" s="6" t="s">
        <v>17945</v>
      </c>
      <c r="AN1424" s="6" t="s">
        <v>104</v>
      </c>
      <c r="AO1424" s="6" t="s">
        <v>104</v>
      </c>
      <c r="AP1424" s="6" t="s">
        <v>19336</v>
      </c>
      <c r="AQ1424" s="6" t="s">
        <v>104</v>
      </c>
      <c r="AR1424" s="6" t="s">
        <v>15802</v>
      </c>
      <c r="AS1424" s="6" t="s">
        <v>16370</v>
      </c>
      <c r="AT1424" s="6" t="s">
        <v>16931</v>
      </c>
      <c r="AU1424" s="6" t="s">
        <v>19825</v>
      </c>
      <c r="AV1424" s="6" t="s">
        <v>104</v>
      </c>
      <c r="AW1424" s="6" t="s">
        <v>104</v>
      </c>
      <c r="AX1424" s="6" t="s">
        <v>21230</v>
      </c>
      <c r="AY1424" s="6" t="s">
        <v>23026</v>
      </c>
      <c r="AZ1424" s="6" t="s">
        <v>104</v>
      </c>
      <c r="BA1424" s="6" t="s">
        <v>24264</v>
      </c>
      <c r="BB1424" s="6" t="s">
        <v>104</v>
      </c>
      <c r="BC1424" s="26"/>
      <c r="BD1424" s="26"/>
      <c r="BE1424" s="26"/>
      <c r="BF1424" s="26"/>
      <c r="BG1424" s="26"/>
      <c r="BH1424" s="26" t="s">
        <v>24533</v>
      </c>
      <c r="BI1424" s="26"/>
      <c r="BJ1424" s="26"/>
      <c r="BK1424" s="26"/>
      <c r="BL1424" s="26"/>
      <c r="BM1424" s="26"/>
      <c r="BN1424" s="26"/>
      <c r="BO1424" s="26"/>
      <c r="BP1424" s="16" t="n">
        <v>45519</v>
      </c>
      <c r="BQ1424" s="28" t="str">
        <f>HYPERLINK("https://organic.ams.usda.gov/Integrity/Certificate.aspx?cid=66&amp;nopid=5500006341")</f>
        <v>https://organic.ams.usda.gov/Integrity/Certificate.aspx?cid=66&amp;nopid=5500006341</v>
      </c>
    </row>
    <row r="1425">
      <c r="A1425" t="s">
        <v>3</v>
      </c>
      <c r="B1425" s="6" t="s">
        <v>59</v>
      </c>
      <c r="C1425" s="6" t="s">
        <v>125</v>
      </c>
      <c r="D1425" s="6" t="s">
        <v>189</v>
      </c>
      <c r="E1425" s="10" t="s">
        <v>1623</v>
      </c>
      <c r="F1425" s="6" t="s">
        <v>3861</v>
      </c>
      <c r="G1425" s="6" t="s">
        <v>104</v>
      </c>
      <c r="H1425" s="6" t="s">
        <v>6183</v>
      </c>
      <c r="I1425" s="6" t="s">
        <v>7687</v>
      </c>
      <c r="J1425" s="6" t="s">
        <v>9183</v>
      </c>
      <c r="K1425" s="6" t="s">
        <v>9714</v>
      </c>
      <c r="L1425" s="16" t="n">
        <v>37503</v>
      </c>
      <c r="M1425" s="16" t="n">
        <v>45748</v>
      </c>
      <c r="N1425" s="6" t="s">
        <v>9714</v>
      </c>
      <c r="O1425" s="16" t="n">
        <v>37503</v>
      </c>
      <c r="P1425" s="6" t="s">
        <v>10116</v>
      </c>
      <c r="Q1425" s="6" t="s">
        <v>104</v>
      </c>
      <c r="R1425" s="6" t="s">
        <v>10403</v>
      </c>
      <c r="S1425" s="6" t="s">
        <v>9714</v>
      </c>
      <c r="T1425" s="16" t="n">
        <v>37503</v>
      </c>
      <c r="U1425" s="6" t="s">
        <v>10495</v>
      </c>
      <c r="V1425" s="6" t="s">
        <v>104</v>
      </c>
      <c r="W1425" s="6" t="s">
        <v>10403</v>
      </c>
      <c r="X1425" s="6" t="s">
        <v>9714</v>
      </c>
      <c r="Y1425" s="16" t="n">
        <v>45593</v>
      </c>
      <c r="Z1425" s="6" t="s">
        <v>10525</v>
      </c>
      <c r="AA1425" s="6" t="s">
        <v>104</v>
      </c>
      <c r="AB1425" s="6" t="s">
        <v>10403</v>
      </c>
      <c r="AC1425" s="6" t="s">
        <v>9714</v>
      </c>
      <c r="AD1425" s="16" t="n">
        <v>37503</v>
      </c>
      <c r="AE1425" s="6" t="s">
        <v>11765</v>
      </c>
      <c r="AF1425" s="6" t="s">
        <v>104</v>
      </c>
      <c r="AG1425" s="6" t="s">
        <v>10403</v>
      </c>
      <c r="AH1425" s="6" t="s">
        <v>14454</v>
      </c>
      <c r="AI1425" s="6" t="s">
        <v>104</v>
      </c>
      <c r="AJ1425" s="6" t="s">
        <v>16266</v>
      </c>
      <c r="AK1425" s="6" t="s">
        <v>16337</v>
      </c>
      <c r="AL1425" s="6" t="s">
        <v>16931</v>
      </c>
      <c r="AM1425" s="6" t="s">
        <v>17946</v>
      </c>
      <c r="AN1425" s="6" t="s">
        <v>18468</v>
      </c>
      <c r="AO1425" s="6" t="s">
        <v>18722</v>
      </c>
      <c r="AP1425" s="6" t="s">
        <v>19337</v>
      </c>
      <c r="AQ1425" s="6" t="s">
        <v>104</v>
      </c>
      <c r="AR1425" s="6" t="s">
        <v>19728</v>
      </c>
      <c r="AS1425" s="6" t="s">
        <v>16337</v>
      </c>
      <c r="AT1425" s="6" t="s">
        <v>16931</v>
      </c>
      <c r="AU1425" s="6" t="s">
        <v>19987</v>
      </c>
      <c r="AV1425" s="6" t="s">
        <v>104</v>
      </c>
      <c r="AW1425" s="6" t="s">
        <v>104</v>
      </c>
      <c r="AX1425" s="6" t="s">
        <v>21231</v>
      </c>
      <c r="AY1425" s="6" t="s">
        <v>23027</v>
      </c>
      <c r="AZ1425" s="6" t="s">
        <v>24046</v>
      </c>
      <c r="BA1425" s="6" t="s">
        <v>104</v>
      </c>
      <c r="BB1425" s="24" t="n">
        <v>159</v>
      </c>
      <c r="BC1425" s="26"/>
      <c r="BD1425" s="26"/>
      <c r="BE1425" s="26"/>
      <c r="BF1425" s="26"/>
      <c r="BG1425" s="26"/>
      <c r="BH1425" s="26"/>
      <c r="BI1425" s="26"/>
      <c r="BJ1425" s="26"/>
      <c r="BK1425" s="26"/>
      <c r="BL1425" s="26"/>
      <c r="BM1425" s="26"/>
      <c r="BN1425" s="26"/>
      <c r="BO1425" s="26"/>
      <c r="BP1425" s="16" t="n">
        <v>45593</v>
      </c>
      <c r="BQ1425" s="28" t="str">
        <f>HYPERLINK("https://organic.ams.usda.gov/Integrity/Certificate.aspx?cid=42&amp;nopid=6780000030")</f>
        <v>https://organic.ams.usda.gov/Integrity/Certificate.aspx?cid=42&amp;nopid=6780000030</v>
      </c>
    </row>
    <row r="1426">
      <c r="A1426" t="s">
        <v>3</v>
      </c>
      <c r="B1426" s="6" t="s">
        <v>41</v>
      </c>
      <c r="C1426" s="6" t="s">
        <v>107</v>
      </c>
      <c r="D1426" s="6" t="s">
        <v>171</v>
      </c>
      <c r="E1426" s="10" t="s">
        <v>1624</v>
      </c>
      <c r="F1426" s="6" t="s">
        <v>3862</v>
      </c>
      <c r="G1426" s="6" t="s">
        <v>4807</v>
      </c>
      <c r="H1426" s="6" t="s">
        <v>6184</v>
      </c>
      <c r="I1426" s="6" t="s">
        <v>7052</v>
      </c>
      <c r="J1426" s="6" t="s">
        <v>9184</v>
      </c>
      <c r="K1426" s="6" t="s">
        <v>9714</v>
      </c>
      <c r="L1426" s="16" t="n">
        <v>42822</v>
      </c>
      <c r="M1426" s="16" t="n">
        <v>45792</v>
      </c>
      <c r="N1426" s="6" t="s">
        <v>9714</v>
      </c>
      <c r="O1426" s="16" t="n">
        <v>42822</v>
      </c>
      <c r="P1426" s="6" t="s">
        <v>10117</v>
      </c>
      <c r="Q1426" s="6" t="s">
        <v>104</v>
      </c>
      <c r="R1426" s="6" t="s">
        <v>104</v>
      </c>
      <c r="S1426" s="6" t="s">
        <v>104</v>
      </c>
      <c r="T1426" s="21" t="s">
        <v>104</v>
      </c>
      <c r="U1426" s="6" t="s">
        <v>104</v>
      </c>
      <c r="V1426" s="6" t="s">
        <v>104</v>
      </c>
      <c r="W1426" s="6" t="s">
        <v>104</v>
      </c>
      <c r="X1426" s="6" t="s">
        <v>104</v>
      </c>
      <c r="Y1426" s="21" t="s">
        <v>104</v>
      </c>
      <c r="Z1426" s="6" t="s">
        <v>104</v>
      </c>
      <c r="AA1426" s="6" t="s">
        <v>104</v>
      </c>
      <c r="AB1426" s="6" t="s">
        <v>104</v>
      </c>
      <c r="AC1426" s="6" t="s">
        <v>9714</v>
      </c>
      <c r="AD1426" s="16" t="n">
        <v>42822</v>
      </c>
      <c r="AE1426" s="6" t="s">
        <v>11766</v>
      </c>
      <c r="AF1426" s="6" t="s">
        <v>104</v>
      </c>
      <c r="AG1426" s="6" t="s">
        <v>104</v>
      </c>
      <c r="AH1426" s="6" t="s">
        <v>14455</v>
      </c>
      <c r="AI1426" s="6" t="s">
        <v>104</v>
      </c>
      <c r="AJ1426" s="6" t="s">
        <v>16267</v>
      </c>
      <c r="AK1426" s="6" t="s">
        <v>16706</v>
      </c>
      <c r="AL1426" s="6" t="s">
        <v>16931</v>
      </c>
      <c r="AM1426" s="6" t="s">
        <v>17947</v>
      </c>
      <c r="AN1426" s="6" t="s">
        <v>18529</v>
      </c>
      <c r="AO1426" s="6" t="s">
        <v>18776</v>
      </c>
      <c r="AP1426" s="6" t="s">
        <v>14455</v>
      </c>
      <c r="AQ1426" s="6" t="s">
        <v>104</v>
      </c>
      <c r="AR1426" s="6" t="s">
        <v>16267</v>
      </c>
      <c r="AS1426" s="6" t="s">
        <v>16706</v>
      </c>
      <c r="AT1426" s="6" t="s">
        <v>16931</v>
      </c>
      <c r="AU1426" s="6" t="s">
        <v>17947</v>
      </c>
      <c r="AV1426" s="6" t="s">
        <v>104</v>
      </c>
      <c r="AW1426" s="6" t="s">
        <v>104</v>
      </c>
      <c r="AX1426" s="6" t="s">
        <v>21232</v>
      </c>
      <c r="AY1426" s="6" t="s">
        <v>23028</v>
      </c>
      <c r="AZ1426" s="6" t="s">
        <v>104</v>
      </c>
      <c r="BA1426" s="6" t="s">
        <v>104</v>
      </c>
      <c r="BB1426" s="24" t="n">
        <v>27</v>
      </c>
      <c r="BC1426" s="26"/>
      <c r="BD1426" s="26"/>
      <c r="BE1426" s="26"/>
      <c r="BF1426" s="26"/>
      <c r="BG1426" s="26"/>
      <c r="BH1426" s="26"/>
      <c r="BI1426" s="26"/>
      <c r="BJ1426" s="26"/>
      <c r="BK1426" s="26"/>
      <c r="BL1426" s="26"/>
      <c r="BM1426" s="26"/>
      <c r="BN1426" s="26"/>
      <c r="BO1426" s="26"/>
      <c r="BP1426" s="16" t="n">
        <v>45737</v>
      </c>
      <c r="BQ1426" s="28" t="str">
        <f>HYPERLINK("https://organic.ams.usda.gov/Integrity/Certificate.aspx?cid=58&amp;nopid=1600002831")</f>
        <v>https://organic.ams.usda.gov/Integrity/Certificate.aspx?cid=58&amp;nopid=1600002831</v>
      </c>
    </row>
    <row r="1427">
      <c r="A1427" t="s">
        <v>3</v>
      </c>
      <c r="B1427" s="6" t="s">
        <v>11</v>
      </c>
      <c r="C1427" s="6" t="s">
        <v>77</v>
      </c>
      <c r="D1427" s="6" t="s">
        <v>142</v>
      </c>
      <c r="E1427" s="10" t="s">
        <v>1625</v>
      </c>
      <c r="F1427" s="6" t="s">
        <v>3863</v>
      </c>
      <c r="G1427" s="6" t="s">
        <v>104</v>
      </c>
      <c r="H1427" s="6" t="s">
        <v>104</v>
      </c>
      <c r="I1427" s="6" t="s">
        <v>7765</v>
      </c>
      <c r="J1427" s="6" t="s">
        <v>9185</v>
      </c>
      <c r="K1427" s="6" t="s">
        <v>9714</v>
      </c>
      <c r="L1427" s="16" t="n">
        <v>39532</v>
      </c>
      <c r="M1427" s="16" t="n">
        <v>45677</v>
      </c>
      <c r="N1427" s="6" t="s">
        <v>9714</v>
      </c>
      <c r="O1427" s="16" t="n">
        <v>39532</v>
      </c>
      <c r="P1427" s="6" t="s">
        <v>10118</v>
      </c>
      <c r="Q1427" s="6" t="s">
        <v>104</v>
      </c>
      <c r="R1427" s="6" t="s">
        <v>104</v>
      </c>
      <c r="S1427" s="6" t="s">
        <v>104</v>
      </c>
      <c r="T1427" s="21" t="s">
        <v>104</v>
      </c>
      <c r="U1427" s="6" t="s">
        <v>104</v>
      </c>
      <c r="V1427" s="6" t="s">
        <v>104</v>
      </c>
      <c r="W1427" s="6" t="s">
        <v>104</v>
      </c>
      <c r="X1427" s="6" t="s">
        <v>104</v>
      </c>
      <c r="Y1427" s="21" t="s">
        <v>104</v>
      </c>
      <c r="Z1427" s="6" t="s">
        <v>104</v>
      </c>
      <c r="AA1427" s="6" t="s">
        <v>104</v>
      </c>
      <c r="AB1427" s="6" t="s">
        <v>104</v>
      </c>
      <c r="AC1427" s="6" t="s">
        <v>9714</v>
      </c>
      <c r="AD1427" s="16" t="n">
        <v>39532</v>
      </c>
      <c r="AE1427" s="6" t="s">
        <v>11767</v>
      </c>
      <c r="AF1427" s="6" t="s">
        <v>104</v>
      </c>
      <c r="AG1427" s="6" t="s">
        <v>104</v>
      </c>
      <c r="AH1427" s="6" t="s">
        <v>14456</v>
      </c>
      <c r="AI1427" s="6" t="s">
        <v>104</v>
      </c>
      <c r="AJ1427" s="6" t="s">
        <v>104</v>
      </c>
      <c r="AK1427" s="6" t="s">
        <v>104</v>
      </c>
      <c r="AL1427" s="6" t="s">
        <v>16961</v>
      </c>
      <c r="AM1427" s="6" t="s">
        <v>104</v>
      </c>
      <c r="AN1427" s="6" t="s">
        <v>104</v>
      </c>
      <c r="AO1427" s="6" t="s">
        <v>104</v>
      </c>
      <c r="AP1427" s="6" t="s">
        <v>14456</v>
      </c>
      <c r="AQ1427" s="6" t="s">
        <v>104</v>
      </c>
      <c r="AR1427" s="6" t="s">
        <v>104</v>
      </c>
      <c r="AS1427" s="6" t="s">
        <v>104</v>
      </c>
      <c r="AT1427" s="6" t="s">
        <v>16961</v>
      </c>
      <c r="AU1427" s="6" t="s">
        <v>104</v>
      </c>
      <c r="AV1427" s="6" t="s">
        <v>104</v>
      </c>
      <c r="AW1427" s="6" t="s">
        <v>104</v>
      </c>
      <c r="AX1427" s="6" t="s">
        <v>21233</v>
      </c>
      <c r="AY1427" s="6" t="s">
        <v>23029</v>
      </c>
      <c r="AZ1427" s="6" t="s">
        <v>104</v>
      </c>
      <c r="BA1427" s="6" t="s">
        <v>104</v>
      </c>
      <c r="BB1427" s="24" t="n">
        <v>352</v>
      </c>
      <c r="BC1427" s="26"/>
      <c r="BD1427" s="26"/>
      <c r="BE1427" s="26"/>
      <c r="BF1427" s="26"/>
      <c r="BG1427" s="26"/>
      <c r="BH1427" s="26"/>
      <c r="BI1427" s="26"/>
      <c r="BJ1427" s="26"/>
      <c r="BK1427" s="26"/>
      <c r="BL1427" s="26"/>
      <c r="BM1427" s="26"/>
      <c r="BN1427" s="26"/>
      <c r="BO1427" s="26" t="s">
        <v>24533</v>
      </c>
      <c r="BP1427" s="16" t="n">
        <v>45574</v>
      </c>
      <c r="BQ1427" s="28" t="str">
        <f>HYPERLINK("https://organic.ams.usda.gov/Integrity/Certificate.aspx?cid=21&amp;nopid=1780809465")</f>
        <v>https://organic.ams.usda.gov/Integrity/Certificate.aspx?cid=21&amp;nopid=1780809465</v>
      </c>
    </row>
    <row r="1428">
      <c r="A1428" t="s">
        <v>3</v>
      </c>
      <c r="B1428" s="6" t="s">
        <v>31</v>
      </c>
      <c r="C1428" s="6" t="s">
        <v>97</v>
      </c>
      <c r="D1428" s="6" t="s">
        <v>162</v>
      </c>
      <c r="E1428" s="10" t="s">
        <v>1626</v>
      </c>
      <c r="F1428" s="6" t="s">
        <v>3864</v>
      </c>
      <c r="G1428" s="6" t="s">
        <v>104</v>
      </c>
      <c r="H1428" s="6" t="s">
        <v>6185</v>
      </c>
      <c r="I1428" s="6" t="s">
        <v>7766</v>
      </c>
      <c r="J1428" s="6" t="s">
        <v>8284</v>
      </c>
      <c r="K1428" s="6" t="s">
        <v>9714</v>
      </c>
      <c r="L1428" s="16" t="n">
        <v>44762</v>
      </c>
      <c r="M1428" s="16" t="n">
        <v>45858</v>
      </c>
      <c r="N1428" s="6" t="s">
        <v>104</v>
      </c>
      <c r="O1428" s="21" t="s">
        <v>104</v>
      </c>
      <c r="P1428" s="6" t="s">
        <v>104</v>
      </c>
      <c r="Q1428" s="6" t="s">
        <v>104</v>
      </c>
      <c r="R1428" s="6" t="s">
        <v>104</v>
      </c>
      <c r="S1428" s="6" t="s">
        <v>104</v>
      </c>
      <c r="T1428" s="21" t="s">
        <v>104</v>
      </c>
      <c r="U1428" s="6" t="s">
        <v>104</v>
      </c>
      <c r="V1428" s="6" t="s">
        <v>104</v>
      </c>
      <c r="W1428" s="6" t="s">
        <v>104</v>
      </c>
      <c r="X1428" s="6" t="s">
        <v>104</v>
      </c>
      <c r="Y1428" s="21" t="s">
        <v>104</v>
      </c>
      <c r="Z1428" s="6" t="s">
        <v>104</v>
      </c>
      <c r="AA1428" s="6" t="s">
        <v>104</v>
      </c>
      <c r="AB1428" s="6" t="s">
        <v>104</v>
      </c>
      <c r="AC1428" s="6" t="s">
        <v>9714</v>
      </c>
      <c r="AD1428" s="16" t="n">
        <v>44762</v>
      </c>
      <c r="AE1428" s="6" t="s">
        <v>11768</v>
      </c>
      <c r="AF1428" s="6" t="s">
        <v>104</v>
      </c>
      <c r="AG1428" s="6" t="s">
        <v>12931</v>
      </c>
      <c r="AH1428" s="6" t="s">
        <v>14457</v>
      </c>
      <c r="AI1428" s="6" t="s">
        <v>104</v>
      </c>
      <c r="AJ1428" s="6" t="s">
        <v>16268</v>
      </c>
      <c r="AK1428" s="6" t="s">
        <v>16697</v>
      </c>
      <c r="AL1428" s="6" t="s">
        <v>16932</v>
      </c>
      <c r="AM1428" s="6" t="s">
        <v>17948</v>
      </c>
      <c r="AN1428" s="6" t="s">
        <v>104</v>
      </c>
      <c r="AO1428" s="6" t="s">
        <v>104</v>
      </c>
      <c r="AP1428" s="6" t="s">
        <v>14457</v>
      </c>
      <c r="AQ1428" s="6" t="s">
        <v>104</v>
      </c>
      <c r="AR1428" s="6" t="s">
        <v>16268</v>
      </c>
      <c r="AS1428" s="6" t="s">
        <v>16697</v>
      </c>
      <c r="AT1428" s="6" t="s">
        <v>16932</v>
      </c>
      <c r="AU1428" s="6" t="s">
        <v>17948</v>
      </c>
      <c r="AV1428" s="6" t="s">
        <v>104</v>
      </c>
      <c r="AW1428" s="6" t="s">
        <v>104</v>
      </c>
      <c r="AX1428" s="6" t="s">
        <v>21234</v>
      </c>
      <c r="AY1428" s="6" t="s">
        <v>23030</v>
      </c>
      <c r="AZ1428" s="6" t="s">
        <v>104</v>
      </c>
      <c r="BA1428" s="6" t="s">
        <v>104</v>
      </c>
      <c r="BB1428" s="6" t="s">
        <v>104</v>
      </c>
      <c r="BC1428" s="26"/>
      <c r="BD1428" s="26"/>
      <c r="BE1428" s="26"/>
      <c r="BF1428" s="26"/>
      <c r="BG1428" s="26"/>
      <c r="BH1428" s="26"/>
      <c r="BI1428" s="26"/>
      <c r="BJ1428" s="26"/>
      <c r="BK1428" s="26"/>
      <c r="BL1428" s="26"/>
      <c r="BM1428" s="26"/>
      <c r="BN1428" s="26"/>
      <c r="BO1428" s="26"/>
      <c r="BP1428" s="16" t="n">
        <v>45499</v>
      </c>
      <c r="BQ1428" s="28" t="str">
        <f>HYPERLINK("https://organic.ams.usda.gov/Integrity/Certificate.aspx?cid=43&amp;nopid=3532022485")</f>
        <v>https://organic.ams.usda.gov/Integrity/Certificate.aspx?cid=43&amp;nopid=3532022485</v>
      </c>
    </row>
    <row r="1429">
      <c r="A1429" t="s">
        <v>3</v>
      </c>
      <c r="B1429" s="6" t="s">
        <v>6</v>
      </c>
      <c r="C1429" s="6" t="s">
        <v>72</v>
      </c>
      <c r="D1429" s="6" t="s">
        <v>137</v>
      </c>
      <c r="E1429" s="10" t="s">
        <v>1627</v>
      </c>
      <c r="F1429" s="6" t="s">
        <v>3865</v>
      </c>
      <c r="G1429" s="6" t="s">
        <v>104</v>
      </c>
      <c r="H1429" s="6" t="s">
        <v>6186</v>
      </c>
      <c r="I1429" s="6" t="s">
        <v>7206</v>
      </c>
      <c r="J1429" s="6" t="s">
        <v>7587</v>
      </c>
      <c r="K1429" s="6" t="s">
        <v>9714</v>
      </c>
      <c r="L1429" s="16" t="n">
        <v>44658</v>
      </c>
      <c r="M1429" s="16" t="n">
        <v>45729</v>
      </c>
      <c r="N1429" s="6" t="s">
        <v>104</v>
      </c>
      <c r="O1429" s="21" t="s">
        <v>104</v>
      </c>
      <c r="P1429" s="6" t="s">
        <v>104</v>
      </c>
      <c r="Q1429" s="6" t="s">
        <v>104</v>
      </c>
      <c r="R1429" s="6" t="s">
        <v>104</v>
      </c>
      <c r="S1429" s="6" t="s">
        <v>104</v>
      </c>
      <c r="T1429" s="21" t="s">
        <v>104</v>
      </c>
      <c r="U1429" s="6" t="s">
        <v>104</v>
      </c>
      <c r="V1429" s="6" t="s">
        <v>104</v>
      </c>
      <c r="W1429" s="6" t="s">
        <v>104</v>
      </c>
      <c r="X1429" s="6" t="s">
        <v>104</v>
      </c>
      <c r="Y1429" s="21" t="s">
        <v>104</v>
      </c>
      <c r="Z1429" s="6" t="s">
        <v>104</v>
      </c>
      <c r="AA1429" s="6" t="s">
        <v>104</v>
      </c>
      <c r="AB1429" s="6" t="s">
        <v>104</v>
      </c>
      <c r="AC1429" s="6" t="s">
        <v>9714</v>
      </c>
      <c r="AD1429" s="16" t="n">
        <v>44658</v>
      </c>
      <c r="AE1429" s="6" t="s">
        <v>11769</v>
      </c>
      <c r="AF1429" s="6" t="s">
        <v>104</v>
      </c>
      <c r="AG1429" s="6" t="s">
        <v>12932</v>
      </c>
      <c r="AH1429" s="6" t="s">
        <v>14458</v>
      </c>
      <c r="AI1429" s="6" t="s">
        <v>104</v>
      </c>
      <c r="AJ1429" s="6" t="s">
        <v>16269</v>
      </c>
      <c r="AK1429" s="6" t="s">
        <v>16870</v>
      </c>
      <c r="AL1429" s="6" t="s">
        <v>16766</v>
      </c>
      <c r="AM1429" s="6" t="s">
        <v>104</v>
      </c>
      <c r="AN1429" s="6" t="s">
        <v>104</v>
      </c>
      <c r="AO1429" s="6" t="s">
        <v>104</v>
      </c>
      <c r="AP1429" s="6" t="s">
        <v>104</v>
      </c>
      <c r="AQ1429" s="6" t="s">
        <v>104</v>
      </c>
      <c r="AR1429" s="6" t="s">
        <v>104</v>
      </c>
      <c r="AS1429" s="6" t="s">
        <v>104</v>
      </c>
      <c r="AT1429" s="6" t="s">
        <v>104</v>
      </c>
      <c r="AU1429" s="6" t="s">
        <v>104</v>
      </c>
      <c r="AV1429" s="6" t="s">
        <v>104</v>
      </c>
      <c r="AW1429" s="6" t="s">
        <v>104</v>
      </c>
      <c r="AX1429" s="6" t="s">
        <v>104</v>
      </c>
      <c r="AY1429" s="6" t="s">
        <v>23031</v>
      </c>
      <c r="AZ1429" s="6" t="s">
        <v>104</v>
      </c>
      <c r="BA1429" s="6" t="s">
        <v>24258</v>
      </c>
      <c r="BB1429" s="6" t="s">
        <v>104</v>
      </c>
      <c r="BC1429" s="26"/>
      <c r="BD1429" s="26"/>
      <c r="BE1429" s="26"/>
      <c r="BF1429" s="26"/>
      <c r="BG1429" s="26"/>
      <c r="BH1429" s="26"/>
      <c r="BI1429" s="26"/>
      <c r="BJ1429" s="26"/>
      <c r="BK1429" s="26"/>
      <c r="BL1429" s="26"/>
      <c r="BM1429" s="26"/>
      <c r="BN1429" s="26"/>
      <c r="BO1429" s="26"/>
      <c r="BP1429" s="16" t="n">
        <v>45737</v>
      </c>
      <c r="BQ1429" s="28" t="str">
        <f>HYPERLINK("https://organic.ams.usda.gov/Integrity/Certificate.aspx?cid=32&amp;nopid=2230009237")</f>
        <v>https://organic.ams.usda.gov/Integrity/Certificate.aspx?cid=32&amp;nopid=2230009237</v>
      </c>
    </row>
    <row r="1430">
      <c r="A1430" t="s">
        <v>3</v>
      </c>
      <c r="B1430" s="6" t="s">
        <v>12</v>
      </c>
      <c r="C1430" s="6" t="s">
        <v>78</v>
      </c>
      <c r="D1430" s="6" t="s">
        <v>143</v>
      </c>
      <c r="E1430" s="10" t="s">
        <v>1628</v>
      </c>
      <c r="F1430" s="6" t="s">
        <v>3866</v>
      </c>
      <c r="G1430" s="6" t="s">
        <v>104</v>
      </c>
      <c r="H1430" s="6" t="s">
        <v>104</v>
      </c>
      <c r="I1430" s="6" t="s">
        <v>7767</v>
      </c>
      <c r="J1430" s="6" t="s">
        <v>9186</v>
      </c>
      <c r="K1430" s="6" t="s">
        <v>9714</v>
      </c>
      <c r="L1430" s="16" t="n">
        <v>45050</v>
      </c>
      <c r="M1430" s="16" t="n">
        <v>45746</v>
      </c>
      <c r="N1430" s="6" t="s">
        <v>104</v>
      </c>
      <c r="O1430" s="21" t="s">
        <v>104</v>
      </c>
      <c r="P1430" s="6" t="s">
        <v>104</v>
      </c>
      <c r="Q1430" s="6" t="s">
        <v>104</v>
      </c>
      <c r="R1430" s="6" t="s">
        <v>104</v>
      </c>
      <c r="S1430" s="6" t="s">
        <v>104</v>
      </c>
      <c r="T1430" s="21" t="s">
        <v>104</v>
      </c>
      <c r="U1430" s="6" t="s">
        <v>104</v>
      </c>
      <c r="V1430" s="6" t="s">
        <v>104</v>
      </c>
      <c r="W1430" s="6" t="s">
        <v>104</v>
      </c>
      <c r="X1430" s="6" t="s">
        <v>104</v>
      </c>
      <c r="Y1430" s="21" t="s">
        <v>104</v>
      </c>
      <c r="Z1430" s="6" t="s">
        <v>104</v>
      </c>
      <c r="AA1430" s="6" t="s">
        <v>104</v>
      </c>
      <c r="AB1430" s="6" t="s">
        <v>104</v>
      </c>
      <c r="AC1430" s="6" t="s">
        <v>9714</v>
      </c>
      <c r="AD1430" s="16" t="n">
        <v>45050</v>
      </c>
      <c r="AE1430" s="6" t="s">
        <v>11770</v>
      </c>
      <c r="AF1430" s="6" t="s">
        <v>104</v>
      </c>
      <c r="AG1430" s="6" t="s">
        <v>12933</v>
      </c>
      <c r="AH1430" s="6" t="s">
        <v>14459</v>
      </c>
      <c r="AI1430" s="6" t="s">
        <v>104</v>
      </c>
      <c r="AJ1430" s="6" t="s">
        <v>15728</v>
      </c>
      <c r="AK1430" s="6" t="s">
        <v>16743</v>
      </c>
      <c r="AL1430" s="6" t="s">
        <v>16931</v>
      </c>
      <c r="AM1430" s="6" t="s">
        <v>17350</v>
      </c>
      <c r="AN1430" s="6" t="s">
        <v>18468</v>
      </c>
      <c r="AO1430" s="6" t="s">
        <v>18680</v>
      </c>
      <c r="AP1430" s="6" t="s">
        <v>19338</v>
      </c>
      <c r="AQ1430" s="6" t="s">
        <v>104</v>
      </c>
      <c r="AR1430" s="6" t="s">
        <v>15728</v>
      </c>
      <c r="AS1430" s="6" t="s">
        <v>16743</v>
      </c>
      <c r="AT1430" s="6" t="s">
        <v>16931</v>
      </c>
      <c r="AU1430" s="6" t="s">
        <v>17350</v>
      </c>
      <c r="AV1430" s="6" t="s">
        <v>104</v>
      </c>
      <c r="AW1430" s="6" t="s">
        <v>104</v>
      </c>
      <c r="AX1430" s="6" t="s">
        <v>104</v>
      </c>
      <c r="AY1430" s="6" t="s">
        <v>23032</v>
      </c>
      <c r="AZ1430" s="6" t="s">
        <v>104</v>
      </c>
      <c r="BA1430" s="6" t="s">
        <v>104</v>
      </c>
      <c r="BB1430" s="6" t="s">
        <v>104</v>
      </c>
      <c r="BC1430" s="26"/>
      <c r="BD1430" s="26"/>
      <c r="BE1430" s="26"/>
      <c r="BF1430" s="26"/>
      <c r="BG1430" s="26"/>
      <c r="BH1430" s="26"/>
      <c r="BI1430" s="26"/>
      <c r="BJ1430" s="26"/>
      <c r="BK1430" s="26"/>
      <c r="BL1430" s="26"/>
      <c r="BM1430" s="26"/>
      <c r="BN1430" s="26"/>
      <c r="BO1430" s="26"/>
      <c r="BP1430" s="16" t="n">
        <v>45616</v>
      </c>
      <c r="BQ1430" s="28" t="str">
        <f>HYPERLINK("https://organic.ams.usda.gov/Integrity/Certificate.aspx?cid=1&amp;nopid=9092309001")</f>
        <v>https://organic.ams.usda.gov/Integrity/Certificate.aspx?cid=1&amp;nopid=9092309001</v>
      </c>
    </row>
    <row r="1431">
      <c r="A1431" t="s">
        <v>3</v>
      </c>
      <c r="B1431" s="6" t="s">
        <v>21</v>
      </c>
      <c r="C1431" s="6" t="s">
        <v>87</v>
      </c>
      <c r="D1431" s="6" t="s">
        <v>152</v>
      </c>
      <c r="E1431" s="10" t="s">
        <v>1629</v>
      </c>
      <c r="F1431" s="6" t="s">
        <v>3867</v>
      </c>
      <c r="G1431" s="6" t="s">
        <v>104</v>
      </c>
      <c r="H1431" s="6" t="s">
        <v>6187</v>
      </c>
      <c r="I1431" s="6" t="s">
        <v>7768</v>
      </c>
      <c r="J1431" s="6" t="s">
        <v>104</v>
      </c>
      <c r="K1431" s="6" t="s">
        <v>9714</v>
      </c>
      <c r="L1431" s="16" t="n">
        <v>41052</v>
      </c>
      <c r="M1431" s="16" t="n">
        <v>46023</v>
      </c>
      <c r="N1431" s="6" t="s">
        <v>104</v>
      </c>
      <c r="O1431" s="21" t="s">
        <v>104</v>
      </c>
      <c r="P1431" s="6" t="s">
        <v>104</v>
      </c>
      <c r="Q1431" s="6" t="s">
        <v>104</v>
      </c>
      <c r="R1431" s="6" t="s">
        <v>104</v>
      </c>
      <c r="S1431" s="6" t="s">
        <v>104</v>
      </c>
      <c r="T1431" s="21" t="s">
        <v>104</v>
      </c>
      <c r="U1431" s="6" t="s">
        <v>104</v>
      </c>
      <c r="V1431" s="6" t="s">
        <v>104</v>
      </c>
      <c r="W1431" s="6" t="s">
        <v>104</v>
      </c>
      <c r="X1431" s="6" t="s">
        <v>104</v>
      </c>
      <c r="Y1431" s="21" t="s">
        <v>104</v>
      </c>
      <c r="Z1431" s="6" t="s">
        <v>104</v>
      </c>
      <c r="AA1431" s="6" t="s">
        <v>104</v>
      </c>
      <c r="AB1431" s="6" t="s">
        <v>104</v>
      </c>
      <c r="AC1431" s="6" t="s">
        <v>9714</v>
      </c>
      <c r="AD1431" s="16" t="n">
        <v>41052</v>
      </c>
      <c r="AE1431" s="6" t="s">
        <v>11771</v>
      </c>
      <c r="AF1431" s="6" t="s">
        <v>104</v>
      </c>
      <c r="AG1431" s="6" t="s">
        <v>104</v>
      </c>
      <c r="AH1431" s="6" t="s">
        <v>14460</v>
      </c>
      <c r="AI1431" s="6" t="s">
        <v>104</v>
      </c>
      <c r="AJ1431" s="6" t="s">
        <v>15580</v>
      </c>
      <c r="AK1431" s="6" t="s">
        <v>16687</v>
      </c>
      <c r="AL1431" s="6" t="s">
        <v>16931</v>
      </c>
      <c r="AM1431" s="6" t="s">
        <v>17949</v>
      </c>
      <c r="AN1431" s="6" t="s">
        <v>18533</v>
      </c>
      <c r="AO1431" s="6" t="s">
        <v>18842</v>
      </c>
      <c r="AP1431" s="6" t="s">
        <v>14460</v>
      </c>
      <c r="AQ1431" s="6" t="s">
        <v>104</v>
      </c>
      <c r="AR1431" s="6" t="s">
        <v>15580</v>
      </c>
      <c r="AS1431" s="6" t="s">
        <v>16687</v>
      </c>
      <c r="AT1431" s="6" t="s">
        <v>16931</v>
      </c>
      <c r="AU1431" s="6" t="s">
        <v>17949</v>
      </c>
      <c r="AV1431" s="6" t="s">
        <v>104</v>
      </c>
      <c r="AW1431" s="6" t="s">
        <v>104</v>
      </c>
      <c r="AX1431" s="6" t="s">
        <v>21235</v>
      </c>
      <c r="AY1431" s="6" t="s">
        <v>23033</v>
      </c>
      <c r="AZ1431" s="6" t="s">
        <v>104</v>
      </c>
      <c r="BA1431" s="6" t="s">
        <v>24445</v>
      </c>
      <c r="BB1431" s="6" t="s">
        <v>104</v>
      </c>
      <c r="BC1431" s="26"/>
      <c r="BD1431" s="26"/>
      <c r="BE1431" s="26"/>
      <c r="BF1431" s="26"/>
      <c r="BG1431" s="26"/>
      <c r="BH1431" s="26"/>
      <c r="BI1431" s="26"/>
      <c r="BJ1431" s="26"/>
      <c r="BK1431" s="26"/>
      <c r="BL1431" s="26"/>
      <c r="BM1431" s="26"/>
      <c r="BN1431" s="26"/>
      <c r="BO1431" s="26"/>
      <c r="BP1431" s="16" t="n">
        <v>45667</v>
      </c>
      <c r="BQ1431" s="28" t="str">
        <f>HYPERLINK("https://organic.ams.usda.gov/Integrity/Certificate.aspx?cid=15&amp;nopid=5561001744")</f>
        <v>https://organic.ams.usda.gov/Integrity/Certificate.aspx?cid=15&amp;nopid=5561001744</v>
      </c>
    </row>
    <row r="1432">
      <c r="A1432" t="s">
        <v>3</v>
      </c>
      <c r="B1432" s="6" t="s">
        <v>28</v>
      </c>
      <c r="C1432" s="6" t="s">
        <v>94</v>
      </c>
      <c r="D1432" s="6" t="s">
        <v>159</v>
      </c>
      <c r="E1432" s="10" t="s">
        <v>1630</v>
      </c>
      <c r="F1432" s="6" t="s">
        <v>3868</v>
      </c>
      <c r="G1432" s="6" t="s">
        <v>104</v>
      </c>
      <c r="H1432" s="6" t="s">
        <v>6188</v>
      </c>
      <c r="I1432" s="6" t="s">
        <v>7769</v>
      </c>
      <c r="J1432" s="6" t="s">
        <v>7441</v>
      </c>
      <c r="K1432" s="6" t="s">
        <v>9714</v>
      </c>
      <c r="L1432" s="16" t="n">
        <v>44641</v>
      </c>
      <c r="M1432" s="16" t="n">
        <v>45748</v>
      </c>
      <c r="N1432" s="6" t="s">
        <v>104</v>
      </c>
      <c r="O1432" s="21" t="s">
        <v>104</v>
      </c>
      <c r="P1432" s="6" t="s">
        <v>104</v>
      </c>
      <c r="Q1432" s="6" t="s">
        <v>104</v>
      </c>
      <c r="R1432" s="6" t="s">
        <v>104</v>
      </c>
      <c r="S1432" s="6" t="s">
        <v>104</v>
      </c>
      <c r="T1432" s="21" t="s">
        <v>104</v>
      </c>
      <c r="U1432" s="6" t="s">
        <v>104</v>
      </c>
      <c r="V1432" s="6" t="s">
        <v>104</v>
      </c>
      <c r="W1432" s="6" t="s">
        <v>104</v>
      </c>
      <c r="X1432" s="6" t="s">
        <v>104</v>
      </c>
      <c r="Y1432" s="21" t="s">
        <v>104</v>
      </c>
      <c r="Z1432" s="6" t="s">
        <v>104</v>
      </c>
      <c r="AA1432" s="6" t="s">
        <v>104</v>
      </c>
      <c r="AB1432" s="6" t="s">
        <v>104</v>
      </c>
      <c r="AC1432" s="6" t="s">
        <v>9714</v>
      </c>
      <c r="AD1432" s="16" t="n">
        <v>44641</v>
      </c>
      <c r="AE1432" s="6" t="s">
        <v>11772</v>
      </c>
      <c r="AF1432" s="6" t="s">
        <v>104</v>
      </c>
      <c r="AG1432" s="6" t="s">
        <v>12934</v>
      </c>
      <c r="AH1432" s="6" t="s">
        <v>14461</v>
      </c>
      <c r="AI1432" s="6" t="s">
        <v>104</v>
      </c>
      <c r="AJ1432" s="6" t="s">
        <v>16270</v>
      </c>
      <c r="AK1432" s="6" t="s">
        <v>104</v>
      </c>
      <c r="AL1432" s="6" t="s">
        <v>16932</v>
      </c>
      <c r="AM1432" s="6" t="s">
        <v>17696</v>
      </c>
      <c r="AN1432" s="6" t="s">
        <v>104</v>
      </c>
      <c r="AO1432" s="6" t="s">
        <v>104</v>
      </c>
      <c r="AP1432" s="6" t="s">
        <v>104</v>
      </c>
      <c r="AQ1432" s="6" t="s">
        <v>104</v>
      </c>
      <c r="AR1432" s="6" t="s">
        <v>104</v>
      </c>
      <c r="AS1432" s="6" t="s">
        <v>104</v>
      </c>
      <c r="AT1432" s="6" t="s">
        <v>104</v>
      </c>
      <c r="AU1432" s="6" t="s">
        <v>104</v>
      </c>
      <c r="AV1432" s="6" t="s">
        <v>104</v>
      </c>
      <c r="AW1432" s="6" t="s">
        <v>104</v>
      </c>
      <c r="AX1432" s="6" t="s">
        <v>20738</v>
      </c>
      <c r="AY1432" s="6" t="s">
        <v>22508</v>
      </c>
      <c r="AZ1432" s="6" t="s">
        <v>104</v>
      </c>
      <c r="BA1432" s="6" t="s">
        <v>104</v>
      </c>
      <c r="BB1432" s="6" t="s">
        <v>104</v>
      </c>
      <c r="BC1432" s="26"/>
      <c r="BD1432" s="26"/>
      <c r="BE1432" s="26"/>
      <c r="BF1432" s="26"/>
      <c r="BG1432" s="26"/>
      <c r="BH1432" s="26"/>
      <c r="BI1432" s="26"/>
      <c r="BJ1432" s="26"/>
      <c r="BK1432" s="26"/>
      <c r="BL1432" s="26"/>
      <c r="BM1432" s="26"/>
      <c r="BN1432" s="26"/>
      <c r="BO1432" s="26"/>
      <c r="BP1432" s="16" t="n">
        <v>45686</v>
      </c>
      <c r="BQ1432" s="28" t="str">
        <f>HYPERLINK("https://organic.ams.usda.gov/Integrity/Certificate.aspx?cid=11&amp;nopid=4797114700")</f>
        <v>https://organic.ams.usda.gov/Integrity/Certificate.aspx?cid=11&amp;nopid=4797114700</v>
      </c>
    </row>
    <row r="1433">
      <c r="A1433" t="s">
        <v>3</v>
      </c>
      <c r="B1433" s="6" t="s">
        <v>17</v>
      </c>
      <c r="C1433" s="6" t="s">
        <v>83</v>
      </c>
      <c r="D1433" s="6" t="s">
        <v>148</v>
      </c>
      <c r="E1433" s="10" t="s">
        <v>1631</v>
      </c>
      <c r="F1433" s="6" t="s">
        <v>3869</v>
      </c>
      <c r="G1433" s="6" t="s">
        <v>104</v>
      </c>
      <c r="H1433" s="6" t="s">
        <v>6189</v>
      </c>
      <c r="I1433" s="6" t="s">
        <v>7739</v>
      </c>
      <c r="J1433" s="6" t="s">
        <v>7095</v>
      </c>
      <c r="K1433" s="6" t="s">
        <v>9714</v>
      </c>
      <c r="L1433" s="16" t="n">
        <v>45511</v>
      </c>
      <c r="M1433" s="16" t="n">
        <v>45778</v>
      </c>
      <c r="N1433" s="6" t="s">
        <v>104</v>
      </c>
      <c r="O1433" s="21" t="s">
        <v>104</v>
      </c>
      <c r="P1433" s="6" t="s">
        <v>104</v>
      </c>
      <c r="Q1433" s="6" t="s">
        <v>104</v>
      </c>
      <c r="R1433" s="6" t="s">
        <v>104</v>
      </c>
      <c r="S1433" s="6" t="s">
        <v>104</v>
      </c>
      <c r="T1433" s="21" t="s">
        <v>104</v>
      </c>
      <c r="U1433" s="6" t="s">
        <v>104</v>
      </c>
      <c r="V1433" s="6" t="s">
        <v>104</v>
      </c>
      <c r="W1433" s="6" t="s">
        <v>104</v>
      </c>
      <c r="X1433" s="6" t="s">
        <v>104</v>
      </c>
      <c r="Y1433" s="21" t="s">
        <v>104</v>
      </c>
      <c r="Z1433" s="6" t="s">
        <v>104</v>
      </c>
      <c r="AA1433" s="6" t="s">
        <v>104</v>
      </c>
      <c r="AB1433" s="6" t="s">
        <v>104</v>
      </c>
      <c r="AC1433" s="6" t="s">
        <v>9714</v>
      </c>
      <c r="AD1433" s="16" t="n">
        <v>45511</v>
      </c>
      <c r="AE1433" s="6" t="s">
        <v>11773</v>
      </c>
      <c r="AF1433" s="6" t="s">
        <v>104</v>
      </c>
      <c r="AG1433" s="6" t="s">
        <v>104</v>
      </c>
      <c r="AH1433" s="6" t="s">
        <v>14462</v>
      </c>
      <c r="AI1433" s="6" t="s">
        <v>15307</v>
      </c>
      <c r="AJ1433" s="6" t="s">
        <v>16222</v>
      </c>
      <c r="AK1433" s="6" t="s">
        <v>16791</v>
      </c>
      <c r="AL1433" s="6" t="s">
        <v>16931</v>
      </c>
      <c r="AM1433" s="6" t="s">
        <v>17889</v>
      </c>
      <c r="AN1433" s="6" t="s">
        <v>104</v>
      </c>
      <c r="AO1433" s="6" t="s">
        <v>104</v>
      </c>
      <c r="AP1433" s="6" t="s">
        <v>14462</v>
      </c>
      <c r="AQ1433" s="6" t="s">
        <v>15307</v>
      </c>
      <c r="AR1433" s="6" t="s">
        <v>16222</v>
      </c>
      <c r="AS1433" s="6" t="s">
        <v>16791</v>
      </c>
      <c r="AT1433" s="6" t="s">
        <v>16931</v>
      </c>
      <c r="AU1433" s="6" t="s">
        <v>17889</v>
      </c>
      <c r="AV1433" s="6" t="s">
        <v>104</v>
      </c>
      <c r="AW1433" s="6" t="s">
        <v>104</v>
      </c>
      <c r="AX1433" s="6" t="s">
        <v>21236</v>
      </c>
      <c r="AY1433" s="6" t="s">
        <v>23034</v>
      </c>
      <c r="AZ1433" s="6" t="s">
        <v>104</v>
      </c>
      <c r="BA1433" s="6" t="s">
        <v>104</v>
      </c>
      <c r="BB1433" s="24" t="n">
        <v>0</v>
      </c>
      <c r="BC1433" s="26" t="s">
        <v>24533</v>
      </c>
      <c r="BD1433" s="26"/>
      <c r="BE1433" s="26"/>
      <c r="BF1433" s="26"/>
      <c r="BG1433" s="26"/>
      <c r="BH1433" s="26" t="s">
        <v>24533</v>
      </c>
      <c r="BI1433" s="26"/>
      <c r="BJ1433" s="26"/>
      <c r="BK1433" s="26"/>
      <c r="BL1433" s="26"/>
      <c r="BM1433" s="26"/>
      <c r="BN1433" s="26"/>
      <c r="BO1433" s="26"/>
      <c r="BP1433" s="16" t="n">
        <v>45726</v>
      </c>
      <c r="BQ1433" s="28" t="str">
        <f>HYPERLINK("https://organic.ams.usda.gov/Integrity/Certificate.aspx?cid=51&amp;nopid=8241000078")</f>
        <v>https://organic.ams.usda.gov/Integrity/Certificate.aspx?cid=51&amp;nopid=8241000078</v>
      </c>
    </row>
    <row r="1434">
      <c r="A1434" t="s">
        <v>3</v>
      </c>
      <c r="B1434" s="6" t="s">
        <v>20</v>
      </c>
      <c r="C1434" s="6" t="s">
        <v>86</v>
      </c>
      <c r="D1434" s="6" t="s">
        <v>151</v>
      </c>
      <c r="E1434" s="10" t="s">
        <v>1632</v>
      </c>
      <c r="F1434" s="6" t="s">
        <v>3870</v>
      </c>
      <c r="G1434" s="6" t="s">
        <v>104</v>
      </c>
      <c r="H1434" s="6" t="s">
        <v>6190</v>
      </c>
      <c r="I1434" s="6" t="s">
        <v>104</v>
      </c>
      <c r="J1434" s="6" t="s">
        <v>104</v>
      </c>
      <c r="K1434" s="6" t="s">
        <v>9714</v>
      </c>
      <c r="L1434" s="16" t="n">
        <v>43198</v>
      </c>
      <c r="M1434" s="16" t="n">
        <v>45747</v>
      </c>
      <c r="N1434" s="6" t="s">
        <v>9714</v>
      </c>
      <c r="O1434" s="16" t="n">
        <v>43198</v>
      </c>
      <c r="P1434" s="6" t="s">
        <v>10119</v>
      </c>
      <c r="Q1434" s="6" t="s">
        <v>104</v>
      </c>
      <c r="R1434" s="6" t="s">
        <v>10404</v>
      </c>
      <c r="S1434" s="6" t="s">
        <v>104</v>
      </c>
      <c r="T1434" s="21" t="s">
        <v>104</v>
      </c>
      <c r="U1434" s="6" t="s">
        <v>104</v>
      </c>
      <c r="V1434" s="6" t="s">
        <v>104</v>
      </c>
      <c r="W1434" s="6" t="s">
        <v>104</v>
      </c>
      <c r="X1434" s="6" t="s">
        <v>104</v>
      </c>
      <c r="Y1434" s="21" t="s">
        <v>104</v>
      </c>
      <c r="Z1434" s="6" t="s">
        <v>104</v>
      </c>
      <c r="AA1434" s="6" t="s">
        <v>104</v>
      </c>
      <c r="AB1434" s="6" t="s">
        <v>104</v>
      </c>
      <c r="AC1434" s="6" t="s">
        <v>9714</v>
      </c>
      <c r="AD1434" s="16" t="n">
        <v>43198</v>
      </c>
      <c r="AE1434" s="6" t="s">
        <v>11774</v>
      </c>
      <c r="AF1434" s="6" t="s">
        <v>104</v>
      </c>
      <c r="AG1434" s="6" t="s">
        <v>10404</v>
      </c>
      <c r="AH1434" s="6" t="s">
        <v>14463</v>
      </c>
      <c r="AI1434" s="6" t="s">
        <v>104</v>
      </c>
      <c r="AJ1434" s="6" t="s">
        <v>16271</v>
      </c>
      <c r="AK1434" s="6" t="s">
        <v>16871</v>
      </c>
      <c r="AL1434" s="6" t="s">
        <v>15513</v>
      </c>
      <c r="AM1434" s="6" t="s">
        <v>17129</v>
      </c>
      <c r="AN1434" s="6" t="s">
        <v>104</v>
      </c>
      <c r="AO1434" s="6" t="s">
        <v>104</v>
      </c>
      <c r="AP1434" s="6" t="s">
        <v>14463</v>
      </c>
      <c r="AQ1434" s="6" t="s">
        <v>104</v>
      </c>
      <c r="AR1434" s="6" t="s">
        <v>16271</v>
      </c>
      <c r="AS1434" s="6" t="s">
        <v>16871</v>
      </c>
      <c r="AT1434" s="6" t="s">
        <v>15513</v>
      </c>
      <c r="AU1434" s="6" t="s">
        <v>17129</v>
      </c>
      <c r="AV1434" s="6" t="s">
        <v>104</v>
      </c>
      <c r="AW1434" s="6" t="s">
        <v>104</v>
      </c>
      <c r="AX1434" s="6" t="s">
        <v>104</v>
      </c>
      <c r="AY1434" s="6" t="s">
        <v>23035</v>
      </c>
      <c r="AZ1434" s="6" t="s">
        <v>104</v>
      </c>
      <c r="BA1434" s="6" t="s">
        <v>104</v>
      </c>
      <c r="BB1434" s="24" t="n">
        <v>821</v>
      </c>
      <c r="BC1434" s="26"/>
      <c r="BD1434" s="26"/>
      <c r="BE1434" s="26"/>
      <c r="BF1434" s="26"/>
      <c r="BG1434" s="26"/>
      <c r="BH1434" s="26"/>
      <c r="BI1434" s="26"/>
      <c r="BJ1434" s="26"/>
      <c r="BK1434" s="26"/>
      <c r="BL1434" s="26"/>
      <c r="BM1434" s="26"/>
      <c r="BN1434" s="26"/>
      <c r="BO1434" s="26"/>
      <c r="BP1434" s="16" t="n">
        <v>45370</v>
      </c>
      <c r="BQ1434" s="28" t="str">
        <f>HYPERLINK("https://organic.ams.usda.gov/Integrity/Certificate.aspx?cid=17&amp;nopid=4087185825")</f>
        <v>https://organic.ams.usda.gov/Integrity/Certificate.aspx?cid=17&amp;nopid=4087185825</v>
      </c>
    </row>
    <row r="1435">
      <c r="A1435" t="s">
        <v>3</v>
      </c>
      <c r="B1435" s="6" t="s">
        <v>20</v>
      </c>
      <c r="C1435" s="6" t="s">
        <v>86</v>
      </c>
      <c r="D1435" s="6" t="s">
        <v>151</v>
      </c>
      <c r="E1435" s="10" t="s">
        <v>1633</v>
      </c>
      <c r="F1435" s="6" t="s">
        <v>3871</v>
      </c>
      <c r="G1435" s="6" t="s">
        <v>104</v>
      </c>
      <c r="H1435" s="6" t="s">
        <v>6191</v>
      </c>
      <c r="I1435" s="6" t="s">
        <v>7770</v>
      </c>
      <c r="J1435" s="6" t="s">
        <v>9187</v>
      </c>
      <c r="K1435" s="6" t="s">
        <v>9714</v>
      </c>
      <c r="L1435" s="16" t="n">
        <v>44701</v>
      </c>
      <c r="M1435" s="16" t="n">
        <v>45777</v>
      </c>
      <c r="N1435" s="6" t="s">
        <v>104</v>
      </c>
      <c r="O1435" s="21" t="s">
        <v>104</v>
      </c>
      <c r="P1435" s="6" t="s">
        <v>104</v>
      </c>
      <c r="Q1435" s="6" t="s">
        <v>104</v>
      </c>
      <c r="R1435" s="6" t="s">
        <v>104</v>
      </c>
      <c r="S1435" s="6" t="s">
        <v>104</v>
      </c>
      <c r="T1435" s="21" t="s">
        <v>104</v>
      </c>
      <c r="U1435" s="6" t="s">
        <v>104</v>
      </c>
      <c r="V1435" s="6" t="s">
        <v>104</v>
      </c>
      <c r="W1435" s="6" t="s">
        <v>104</v>
      </c>
      <c r="X1435" s="6" t="s">
        <v>104</v>
      </c>
      <c r="Y1435" s="21" t="s">
        <v>104</v>
      </c>
      <c r="Z1435" s="6" t="s">
        <v>104</v>
      </c>
      <c r="AA1435" s="6" t="s">
        <v>104</v>
      </c>
      <c r="AB1435" s="6" t="s">
        <v>104</v>
      </c>
      <c r="AC1435" s="6" t="s">
        <v>9714</v>
      </c>
      <c r="AD1435" s="16" t="n">
        <v>44701</v>
      </c>
      <c r="AE1435" s="6" t="s">
        <v>11775</v>
      </c>
      <c r="AF1435" s="6" t="s">
        <v>104</v>
      </c>
      <c r="AG1435" s="6" t="s">
        <v>12935</v>
      </c>
      <c r="AH1435" s="6" t="s">
        <v>14464</v>
      </c>
      <c r="AI1435" s="6" t="s">
        <v>104</v>
      </c>
      <c r="AJ1435" s="6" t="s">
        <v>16265</v>
      </c>
      <c r="AK1435" s="6" t="s">
        <v>16097</v>
      </c>
      <c r="AL1435" s="6" t="s">
        <v>15513</v>
      </c>
      <c r="AM1435" s="6" t="s">
        <v>17071</v>
      </c>
      <c r="AN1435" s="6" t="s">
        <v>104</v>
      </c>
      <c r="AO1435" s="6" t="s">
        <v>104</v>
      </c>
      <c r="AP1435" s="6" t="s">
        <v>104</v>
      </c>
      <c r="AQ1435" s="6" t="s">
        <v>104</v>
      </c>
      <c r="AR1435" s="6" t="s">
        <v>104</v>
      </c>
      <c r="AS1435" s="6" t="s">
        <v>104</v>
      </c>
      <c r="AT1435" s="6" t="s">
        <v>104</v>
      </c>
      <c r="AU1435" s="6" t="s">
        <v>104</v>
      </c>
      <c r="AV1435" s="6" t="s">
        <v>104</v>
      </c>
      <c r="AW1435" s="6" t="s">
        <v>104</v>
      </c>
      <c r="AX1435" s="6" t="s">
        <v>21237</v>
      </c>
      <c r="AY1435" s="6" t="s">
        <v>23036</v>
      </c>
      <c r="AZ1435" s="6" t="s">
        <v>24047</v>
      </c>
      <c r="BA1435" s="6" t="s">
        <v>104</v>
      </c>
      <c r="BB1435" s="6" t="s">
        <v>104</v>
      </c>
      <c r="BC1435" s="26"/>
      <c r="BD1435" s="26"/>
      <c r="BE1435" s="26"/>
      <c r="BF1435" s="26"/>
      <c r="BG1435" s="26"/>
      <c r="BH1435" s="26"/>
      <c r="BI1435" s="26"/>
      <c r="BJ1435" s="26"/>
      <c r="BK1435" s="26"/>
      <c r="BL1435" s="26"/>
      <c r="BM1435" s="26"/>
      <c r="BN1435" s="26"/>
      <c r="BO1435" s="26"/>
      <c r="BP1435" s="16" t="n">
        <v>45505</v>
      </c>
      <c r="BQ1435" s="28" t="str">
        <f>HYPERLINK("https://organic.ams.usda.gov/Integrity/Certificate.aspx?cid=17&amp;nopid=4083913049")</f>
        <v>https://organic.ams.usda.gov/Integrity/Certificate.aspx?cid=17&amp;nopid=4083913049</v>
      </c>
    </row>
    <row r="1436">
      <c r="A1436" t="s">
        <v>3</v>
      </c>
      <c r="B1436" s="6" t="s">
        <v>41</v>
      </c>
      <c r="C1436" s="6" t="s">
        <v>107</v>
      </c>
      <c r="D1436" s="6" t="s">
        <v>171</v>
      </c>
      <c r="E1436" s="10" t="s">
        <v>1634</v>
      </c>
      <c r="F1436" s="6" t="s">
        <v>3872</v>
      </c>
      <c r="G1436" s="6" t="s">
        <v>104</v>
      </c>
      <c r="H1436" s="6" t="s">
        <v>6192</v>
      </c>
      <c r="I1436" s="6" t="s">
        <v>7771</v>
      </c>
      <c r="J1436" s="6" t="s">
        <v>9188</v>
      </c>
      <c r="K1436" s="6" t="s">
        <v>9714</v>
      </c>
      <c r="L1436" s="16" t="n">
        <v>40857</v>
      </c>
      <c r="M1436" s="16" t="n">
        <v>45901</v>
      </c>
      <c r="N1436" s="6" t="s">
        <v>104</v>
      </c>
      <c r="O1436" s="21" t="s">
        <v>104</v>
      </c>
      <c r="P1436" s="6" t="s">
        <v>104</v>
      </c>
      <c r="Q1436" s="6" t="s">
        <v>104</v>
      </c>
      <c r="R1436" s="6" t="s">
        <v>104</v>
      </c>
      <c r="S1436" s="6" t="s">
        <v>104</v>
      </c>
      <c r="T1436" s="21" t="s">
        <v>104</v>
      </c>
      <c r="U1436" s="6" t="s">
        <v>104</v>
      </c>
      <c r="V1436" s="6" t="s">
        <v>104</v>
      </c>
      <c r="W1436" s="6" t="s">
        <v>104</v>
      </c>
      <c r="X1436" s="6" t="s">
        <v>104</v>
      </c>
      <c r="Y1436" s="21" t="s">
        <v>104</v>
      </c>
      <c r="Z1436" s="6" t="s">
        <v>104</v>
      </c>
      <c r="AA1436" s="6" t="s">
        <v>104</v>
      </c>
      <c r="AB1436" s="6" t="s">
        <v>104</v>
      </c>
      <c r="AC1436" s="6" t="s">
        <v>9714</v>
      </c>
      <c r="AD1436" s="16" t="n">
        <v>40857</v>
      </c>
      <c r="AE1436" s="6" t="s">
        <v>11776</v>
      </c>
      <c r="AF1436" s="6" t="s">
        <v>104</v>
      </c>
      <c r="AG1436" s="6" t="s">
        <v>104</v>
      </c>
      <c r="AH1436" s="6" t="s">
        <v>14465</v>
      </c>
      <c r="AI1436" s="6" t="s">
        <v>104</v>
      </c>
      <c r="AJ1436" s="6" t="s">
        <v>15583</v>
      </c>
      <c r="AK1436" s="6" t="s">
        <v>16706</v>
      </c>
      <c r="AL1436" s="6" t="s">
        <v>16931</v>
      </c>
      <c r="AM1436" s="6" t="s">
        <v>17950</v>
      </c>
      <c r="AN1436" s="6" t="s">
        <v>18518</v>
      </c>
      <c r="AO1436" s="6" t="s">
        <v>18843</v>
      </c>
      <c r="AP1436" s="6" t="s">
        <v>14465</v>
      </c>
      <c r="AQ1436" s="6" t="s">
        <v>104</v>
      </c>
      <c r="AR1436" s="6" t="s">
        <v>15583</v>
      </c>
      <c r="AS1436" s="6" t="s">
        <v>16706</v>
      </c>
      <c r="AT1436" s="6" t="s">
        <v>16931</v>
      </c>
      <c r="AU1436" s="6" t="s">
        <v>17950</v>
      </c>
      <c r="AV1436" s="6" t="s">
        <v>104</v>
      </c>
      <c r="AW1436" s="6" t="s">
        <v>104</v>
      </c>
      <c r="AX1436" s="6" t="s">
        <v>21238</v>
      </c>
      <c r="AY1436" s="6" t="s">
        <v>23037</v>
      </c>
      <c r="AZ1436" s="6" t="s">
        <v>104</v>
      </c>
      <c r="BA1436" s="6" t="s">
        <v>104</v>
      </c>
      <c r="BB1436" s="6" t="s">
        <v>104</v>
      </c>
      <c r="BC1436" s="26"/>
      <c r="BD1436" s="26"/>
      <c r="BE1436" s="26"/>
      <c r="BF1436" s="26"/>
      <c r="BG1436" s="26"/>
      <c r="BH1436" s="26"/>
      <c r="BI1436" s="26"/>
      <c r="BJ1436" s="26"/>
      <c r="BK1436" s="26"/>
      <c r="BL1436" s="26"/>
      <c r="BM1436" s="26"/>
      <c r="BN1436" s="26"/>
      <c r="BO1436" s="26"/>
      <c r="BP1436" s="16" t="n">
        <v>45737</v>
      </c>
      <c r="BQ1436" s="28" t="str">
        <f>HYPERLINK("https://organic.ams.usda.gov/Integrity/Certificate.aspx?cid=58&amp;nopid=1600001939")</f>
        <v>https://organic.ams.usda.gov/Integrity/Certificate.aspx?cid=58&amp;nopid=1600001939</v>
      </c>
    </row>
    <row r="1437">
      <c r="A1437" t="s">
        <v>3</v>
      </c>
      <c r="B1437" s="6" t="s">
        <v>21</v>
      </c>
      <c r="C1437" s="6" t="s">
        <v>87</v>
      </c>
      <c r="D1437" s="6" t="s">
        <v>152</v>
      </c>
      <c r="E1437" s="10" t="s">
        <v>1635</v>
      </c>
      <c r="F1437" s="6" t="s">
        <v>3873</v>
      </c>
      <c r="G1437" s="6" t="s">
        <v>104</v>
      </c>
      <c r="H1437" s="6" t="s">
        <v>6193</v>
      </c>
      <c r="I1437" s="6" t="s">
        <v>7383</v>
      </c>
      <c r="J1437" s="6" t="s">
        <v>9189</v>
      </c>
      <c r="K1437" s="6" t="s">
        <v>9714</v>
      </c>
      <c r="L1437" s="16" t="n">
        <v>45370</v>
      </c>
      <c r="M1437" s="16" t="n">
        <v>46023</v>
      </c>
      <c r="N1437" s="6" t="s">
        <v>104</v>
      </c>
      <c r="O1437" s="21" t="s">
        <v>104</v>
      </c>
      <c r="P1437" s="6" t="s">
        <v>104</v>
      </c>
      <c r="Q1437" s="6" t="s">
        <v>104</v>
      </c>
      <c r="R1437" s="6" t="s">
        <v>104</v>
      </c>
      <c r="S1437" s="6" t="s">
        <v>104</v>
      </c>
      <c r="T1437" s="21" t="s">
        <v>104</v>
      </c>
      <c r="U1437" s="6" t="s">
        <v>104</v>
      </c>
      <c r="V1437" s="6" t="s">
        <v>104</v>
      </c>
      <c r="W1437" s="6" t="s">
        <v>104</v>
      </c>
      <c r="X1437" s="6" t="s">
        <v>104</v>
      </c>
      <c r="Y1437" s="21" t="s">
        <v>104</v>
      </c>
      <c r="Z1437" s="6" t="s">
        <v>104</v>
      </c>
      <c r="AA1437" s="6" t="s">
        <v>104</v>
      </c>
      <c r="AB1437" s="6" t="s">
        <v>104</v>
      </c>
      <c r="AC1437" s="6" t="s">
        <v>9714</v>
      </c>
      <c r="AD1437" s="16" t="n">
        <v>45370</v>
      </c>
      <c r="AE1437" s="6" t="s">
        <v>11777</v>
      </c>
      <c r="AF1437" s="6" t="s">
        <v>104</v>
      </c>
      <c r="AG1437" s="6" t="s">
        <v>104</v>
      </c>
      <c r="AH1437" s="6" t="s">
        <v>14466</v>
      </c>
      <c r="AI1437" s="6" t="s">
        <v>15308</v>
      </c>
      <c r="AJ1437" s="6" t="s">
        <v>16272</v>
      </c>
      <c r="AK1437" s="6" t="s">
        <v>16683</v>
      </c>
      <c r="AL1437" s="6" t="s">
        <v>16931</v>
      </c>
      <c r="AM1437" s="6" t="s">
        <v>17951</v>
      </c>
      <c r="AN1437" s="6" t="s">
        <v>104</v>
      </c>
      <c r="AO1437" s="6" t="s">
        <v>104</v>
      </c>
      <c r="AP1437" s="6" t="s">
        <v>14466</v>
      </c>
      <c r="AQ1437" s="6" t="s">
        <v>15308</v>
      </c>
      <c r="AR1437" s="6" t="s">
        <v>16272</v>
      </c>
      <c r="AS1437" s="6" t="s">
        <v>16683</v>
      </c>
      <c r="AT1437" s="6" t="s">
        <v>16931</v>
      </c>
      <c r="AU1437" s="6" t="s">
        <v>17951</v>
      </c>
      <c r="AV1437" s="6" t="s">
        <v>104</v>
      </c>
      <c r="AW1437" s="6" t="s">
        <v>104</v>
      </c>
      <c r="AX1437" s="6" t="s">
        <v>21239</v>
      </c>
      <c r="AY1437" s="6" t="s">
        <v>23038</v>
      </c>
      <c r="AZ1437" s="6" t="s">
        <v>24048</v>
      </c>
      <c r="BA1437" s="6" t="s">
        <v>24446</v>
      </c>
      <c r="BB1437" s="6" t="s">
        <v>104</v>
      </c>
      <c r="BC1437" s="26"/>
      <c r="BD1437" s="26"/>
      <c r="BE1437" s="26"/>
      <c r="BF1437" s="26"/>
      <c r="BG1437" s="26"/>
      <c r="BH1437" s="26"/>
      <c r="BI1437" s="26"/>
      <c r="BJ1437" s="26"/>
      <c r="BK1437" s="26"/>
      <c r="BL1437" s="26"/>
      <c r="BM1437" s="26"/>
      <c r="BN1437" s="26"/>
      <c r="BO1437" s="26"/>
      <c r="BP1437" s="16" t="n">
        <v>45667</v>
      </c>
      <c r="BQ1437" s="28" t="str">
        <f>HYPERLINK("https://organic.ams.usda.gov/Integrity/Certificate.aspx?cid=15&amp;nopid=5561008199")</f>
        <v>https://organic.ams.usda.gov/Integrity/Certificate.aspx?cid=15&amp;nopid=5561008199</v>
      </c>
    </row>
    <row r="1438">
      <c r="A1438" t="s">
        <v>3</v>
      </c>
      <c r="B1438" s="6" t="s">
        <v>15</v>
      </c>
      <c r="C1438" s="6" t="s">
        <v>81</v>
      </c>
      <c r="D1438" s="6" t="s">
        <v>146</v>
      </c>
      <c r="E1438" s="10" t="s">
        <v>1636</v>
      </c>
      <c r="F1438" s="6" t="s">
        <v>3874</v>
      </c>
      <c r="G1438" s="6" t="s">
        <v>104</v>
      </c>
      <c r="H1438" s="6" t="s">
        <v>6194</v>
      </c>
      <c r="I1438" s="6" t="s">
        <v>104</v>
      </c>
      <c r="J1438" s="6" t="s">
        <v>104</v>
      </c>
      <c r="K1438" s="6" t="s">
        <v>9714</v>
      </c>
      <c r="L1438" s="16" t="n">
        <v>42024</v>
      </c>
      <c r="M1438" s="16" t="n">
        <v>46113</v>
      </c>
      <c r="N1438" s="6" t="s">
        <v>104</v>
      </c>
      <c r="O1438" s="21" t="s">
        <v>104</v>
      </c>
      <c r="P1438" s="6" t="s">
        <v>104</v>
      </c>
      <c r="Q1438" s="6" t="s">
        <v>104</v>
      </c>
      <c r="R1438" s="6" t="s">
        <v>104</v>
      </c>
      <c r="S1438" s="6" t="s">
        <v>104</v>
      </c>
      <c r="T1438" s="21" t="s">
        <v>104</v>
      </c>
      <c r="U1438" s="6" t="s">
        <v>104</v>
      </c>
      <c r="V1438" s="6" t="s">
        <v>104</v>
      </c>
      <c r="W1438" s="6" t="s">
        <v>104</v>
      </c>
      <c r="X1438" s="6" t="s">
        <v>104</v>
      </c>
      <c r="Y1438" s="21" t="s">
        <v>104</v>
      </c>
      <c r="Z1438" s="6" t="s">
        <v>104</v>
      </c>
      <c r="AA1438" s="6" t="s">
        <v>104</v>
      </c>
      <c r="AB1438" s="6" t="s">
        <v>104</v>
      </c>
      <c r="AC1438" s="6" t="s">
        <v>9714</v>
      </c>
      <c r="AD1438" s="16" t="n">
        <v>42024</v>
      </c>
      <c r="AE1438" s="6" t="s">
        <v>11778</v>
      </c>
      <c r="AF1438" s="6" t="s">
        <v>104</v>
      </c>
      <c r="AG1438" s="6" t="s">
        <v>12936</v>
      </c>
      <c r="AH1438" s="6" t="s">
        <v>14467</v>
      </c>
      <c r="AI1438" s="6" t="s">
        <v>104</v>
      </c>
      <c r="AJ1438" s="6" t="s">
        <v>16273</v>
      </c>
      <c r="AK1438" s="6" t="s">
        <v>16720</v>
      </c>
      <c r="AL1438" s="6" t="s">
        <v>16931</v>
      </c>
      <c r="AM1438" s="6" t="s">
        <v>17952</v>
      </c>
      <c r="AN1438" s="6" t="s">
        <v>18479</v>
      </c>
      <c r="AO1438" s="6" t="s">
        <v>18825</v>
      </c>
      <c r="AP1438" s="6" t="s">
        <v>104</v>
      </c>
      <c r="AQ1438" s="6" t="s">
        <v>104</v>
      </c>
      <c r="AR1438" s="6" t="s">
        <v>104</v>
      </c>
      <c r="AS1438" s="6" t="s">
        <v>104</v>
      </c>
      <c r="AT1438" s="6" t="s">
        <v>104</v>
      </c>
      <c r="AU1438" s="6" t="s">
        <v>104</v>
      </c>
      <c r="AV1438" s="6" t="s">
        <v>104</v>
      </c>
      <c r="AW1438" s="6" t="s">
        <v>104</v>
      </c>
      <c r="AX1438" s="6" t="s">
        <v>21240</v>
      </c>
      <c r="AY1438" s="6" t="s">
        <v>23039</v>
      </c>
      <c r="AZ1438" s="6" t="s">
        <v>24049</v>
      </c>
      <c r="BA1438" s="6" t="s">
        <v>104</v>
      </c>
      <c r="BB1438" s="6" t="s">
        <v>104</v>
      </c>
      <c r="BC1438" s="26"/>
      <c r="BD1438" s="26"/>
      <c r="BE1438" s="26"/>
      <c r="BF1438" s="26"/>
      <c r="BG1438" s="26"/>
      <c r="BH1438" s="26"/>
      <c r="BI1438" s="26"/>
      <c r="BJ1438" s="26"/>
      <c r="BK1438" s="26"/>
      <c r="BL1438" s="26"/>
      <c r="BM1438" s="26"/>
      <c r="BN1438" s="26"/>
      <c r="BO1438" s="26"/>
      <c r="BP1438" s="16" t="n">
        <v>45738</v>
      </c>
      <c r="BQ1438" s="28" t="str">
        <f>HYPERLINK("https://organic.ams.usda.gov/Integrity/Certificate.aspx?cid=52&amp;nopid=8431400916")</f>
        <v>https://organic.ams.usda.gov/Integrity/Certificate.aspx?cid=52&amp;nopid=8431400916</v>
      </c>
    </row>
    <row r="1439">
      <c r="A1439" t="s">
        <v>3</v>
      </c>
      <c r="B1439" s="6" t="s">
        <v>47</v>
      </c>
      <c r="C1439" s="6" t="s">
        <v>113</v>
      </c>
      <c r="D1439" s="6" t="s">
        <v>177</v>
      </c>
      <c r="E1439" s="10" t="s">
        <v>1637</v>
      </c>
      <c r="F1439" s="6" t="s">
        <v>3875</v>
      </c>
      <c r="G1439" s="6" t="s">
        <v>104</v>
      </c>
      <c r="H1439" s="6" t="s">
        <v>6195</v>
      </c>
      <c r="I1439" s="6" t="s">
        <v>7138</v>
      </c>
      <c r="J1439" s="6" t="s">
        <v>9190</v>
      </c>
      <c r="K1439" s="6" t="s">
        <v>9714</v>
      </c>
      <c r="L1439" s="16" t="n">
        <v>44231</v>
      </c>
      <c r="M1439" s="16" t="n">
        <v>45777</v>
      </c>
      <c r="N1439" s="6" t="s">
        <v>9714</v>
      </c>
      <c r="O1439" s="16" t="n">
        <v>44231</v>
      </c>
      <c r="P1439" s="6" t="s">
        <v>9763</v>
      </c>
      <c r="Q1439" s="6" t="s">
        <v>104</v>
      </c>
      <c r="R1439" s="6" t="s">
        <v>10405</v>
      </c>
      <c r="S1439" s="6" t="s">
        <v>104</v>
      </c>
      <c r="T1439" s="21" t="s">
        <v>104</v>
      </c>
      <c r="U1439" s="6" t="s">
        <v>104</v>
      </c>
      <c r="V1439" s="6" t="s">
        <v>104</v>
      </c>
      <c r="W1439" s="6" t="s">
        <v>104</v>
      </c>
      <c r="X1439" s="6" t="s">
        <v>104</v>
      </c>
      <c r="Y1439" s="21" t="s">
        <v>104</v>
      </c>
      <c r="Z1439" s="6" t="s">
        <v>104</v>
      </c>
      <c r="AA1439" s="6" t="s">
        <v>104</v>
      </c>
      <c r="AB1439" s="6" t="s">
        <v>104</v>
      </c>
      <c r="AC1439" s="6" t="s">
        <v>9714</v>
      </c>
      <c r="AD1439" s="16" t="n">
        <v>44231</v>
      </c>
      <c r="AE1439" s="6" t="s">
        <v>11779</v>
      </c>
      <c r="AF1439" s="6" t="s">
        <v>104</v>
      </c>
      <c r="AG1439" s="6" t="s">
        <v>10405</v>
      </c>
      <c r="AH1439" s="6" t="s">
        <v>14468</v>
      </c>
      <c r="AI1439" s="6" t="s">
        <v>104</v>
      </c>
      <c r="AJ1439" s="6" t="s">
        <v>15415</v>
      </c>
      <c r="AK1439" s="6" t="s">
        <v>16734</v>
      </c>
      <c r="AL1439" s="6" t="s">
        <v>16931</v>
      </c>
      <c r="AM1439" s="6" t="s">
        <v>17953</v>
      </c>
      <c r="AN1439" s="6" t="s">
        <v>18500</v>
      </c>
      <c r="AO1439" s="6" t="s">
        <v>18668</v>
      </c>
      <c r="AP1439" s="6" t="s">
        <v>14468</v>
      </c>
      <c r="AQ1439" s="6" t="s">
        <v>104</v>
      </c>
      <c r="AR1439" s="6" t="s">
        <v>15415</v>
      </c>
      <c r="AS1439" s="6" t="s">
        <v>16734</v>
      </c>
      <c r="AT1439" s="6" t="s">
        <v>16931</v>
      </c>
      <c r="AU1439" s="6" t="s">
        <v>17953</v>
      </c>
      <c r="AV1439" s="6" t="s">
        <v>104</v>
      </c>
      <c r="AW1439" s="6" t="s">
        <v>104</v>
      </c>
      <c r="AX1439" s="6" t="s">
        <v>21241</v>
      </c>
      <c r="AY1439" s="6" t="s">
        <v>23040</v>
      </c>
      <c r="AZ1439" s="6" t="s">
        <v>24050</v>
      </c>
      <c r="BA1439" s="6" t="s">
        <v>104</v>
      </c>
      <c r="BB1439" s="24" t="n">
        <v>1</v>
      </c>
      <c r="BC1439" s="26"/>
      <c r="BD1439" s="26"/>
      <c r="BE1439" s="26"/>
      <c r="BF1439" s="26"/>
      <c r="BG1439" s="26"/>
      <c r="BH1439" s="26"/>
      <c r="BI1439" s="26"/>
      <c r="BJ1439" s="26"/>
      <c r="BK1439" s="26"/>
      <c r="BL1439" s="26"/>
      <c r="BM1439" s="26"/>
      <c r="BN1439" s="26"/>
      <c r="BO1439" s="26"/>
      <c r="BP1439" s="16" t="n">
        <v>45695</v>
      </c>
      <c r="BQ1439" s="28" t="str">
        <f>HYPERLINK("https://organic.ams.usda.gov/Integrity/Certificate.aspx?cid=47&amp;nopid=7142076053")</f>
        <v>https://organic.ams.usda.gov/Integrity/Certificate.aspx?cid=47&amp;nopid=7142076053</v>
      </c>
    </row>
    <row r="1440">
      <c r="A1440" t="s">
        <v>3</v>
      </c>
      <c r="B1440" s="6" t="s">
        <v>34</v>
      </c>
      <c r="C1440" s="6" t="s">
        <v>100</v>
      </c>
      <c r="D1440" s="6" t="s">
        <v>165</v>
      </c>
      <c r="E1440" s="10" t="s">
        <v>1638</v>
      </c>
      <c r="F1440" s="6" t="s">
        <v>3876</v>
      </c>
      <c r="G1440" s="6" t="s">
        <v>104</v>
      </c>
      <c r="H1440" s="6" t="s">
        <v>6196</v>
      </c>
      <c r="I1440" s="6" t="s">
        <v>7540</v>
      </c>
      <c r="J1440" s="6" t="s">
        <v>8425</v>
      </c>
      <c r="K1440" s="6" t="s">
        <v>9714</v>
      </c>
      <c r="L1440" s="16" t="n">
        <v>43886</v>
      </c>
      <c r="M1440" s="16" t="n">
        <v>45750</v>
      </c>
      <c r="N1440" s="6" t="s">
        <v>104</v>
      </c>
      <c r="O1440" s="21" t="s">
        <v>104</v>
      </c>
      <c r="P1440" s="6" t="s">
        <v>104</v>
      </c>
      <c r="Q1440" s="6" t="s">
        <v>104</v>
      </c>
      <c r="R1440" s="6" t="s">
        <v>104</v>
      </c>
      <c r="S1440" s="6" t="s">
        <v>104</v>
      </c>
      <c r="T1440" s="21" t="s">
        <v>104</v>
      </c>
      <c r="U1440" s="6" t="s">
        <v>104</v>
      </c>
      <c r="V1440" s="6" t="s">
        <v>104</v>
      </c>
      <c r="W1440" s="6" t="s">
        <v>104</v>
      </c>
      <c r="X1440" s="6" t="s">
        <v>104</v>
      </c>
      <c r="Y1440" s="21" t="s">
        <v>104</v>
      </c>
      <c r="Z1440" s="6" t="s">
        <v>104</v>
      </c>
      <c r="AA1440" s="6" t="s">
        <v>104</v>
      </c>
      <c r="AB1440" s="6" t="s">
        <v>104</v>
      </c>
      <c r="AC1440" s="6" t="s">
        <v>9714</v>
      </c>
      <c r="AD1440" s="16" t="n">
        <v>43886</v>
      </c>
      <c r="AE1440" s="6" t="s">
        <v>11780</v>
      </c>
      <c r="AF1440" s="6" t="s">
        <v>104</v>
      </c>
      <c r="AG1440" s="6" t="s">
        <v>12937</v>
      </c>
      <c r="AH1440" s="6" t="s">
        <v>14469</v>
      </c>
      <c r="AI1440" s="6" t="s">
        <v>104</v>
      </c>
      <c r="AJ1440" s="6" t="s">
        <v>16274</v>
      </c>
      <c r="AK1440" s="6" t="s">
        <v>15697</v>
      </c>
      <c r="AL1440" s="6" t="s">
        <v>16931</v>
      </c>
      <c r="AM1440" s="6" t="s">
        <v>17954</v>
      </c>
      <c r="AN1440" s="6" t="s">
        <v>18504</v>
      </c>
      <c r="AO1440" s="6" t="s">
        <v>18646</v>
      </c>
      <c r="AP1440" s="6" t="s">
        <v>14469</v>
      </c>
      <c r="AQ1440" s="6" t="s">
        <v>104</v>
      </c>
      <c r="AR1440" s="6" t="s">
        <v>16274</v>
      </c>
      <c r="AS1440" s="6" t="s">
        <v>15697</v>
      </c>
      <c r="AT1440" s="6" t="s">
        <v>16931</v>
      </c>
      <c r="AU1440" s="6" t="s">
        <v>17954</v>
      </c>
      <c r="AV1440" s="6" t="s">
        <v>104</v>
      </c>
      <c r="AW1440" s="6" t="s">
        <v>104</v>
      </c>
      <c r="AX1440" s="6" t="s">
        <v>21242</v>
      </c>
      <c r="AY1440" s="6" t="s">
        <v>23041</v>
      </c>
      <c r="AZ1440" s="6" t="s">
        <v>104</v>
      </c>
      <c r="BA1440" s="6" t="s">
        <v>104</v>
      </c>
      <c r="BB1440" s="6" t="s">
        <v>104</v>
      </c>
      <c r="BC1440" s="26"/>
      <c r="BD1440" s="26"/>
      <c r="BE1440" s="26"/>
      <c r="BF1440" s="26"/>
      <c r="BG1440" s="26"/>
      <c r="BH1440" s="26"/>
      <c r="BI1440" s="26"/>
      <c r="BJ1440" s="26"/>
      <c r="BK1440" s="26"/>
      <c r="BL1440" s="26"/>
      <c r="BM1440" s="26"/>
      <c r="BN1440" s="26"/>
      <c r="BO1440" s="26"/>
      <c r="BP1440" s="16" t="n">
        <v>45739</v>
      </c>
      <c r="BQ1440" s="28" t="str">
        <f>HYPERLINK("https://organic.ams.usda.gov/Integrity/Certificate.aspx?cid=71&amp;nopid=5520029611")</f>
        <v>https://organic.ams.usda.gov/Integrity/Certificate.aspx?cid=71&amp;nopid=5520029611</v>
      </c>
    </row>
    <row r="1441">
      <c r="A1441" t="s">
        <v>3</v>
      </c>
      <c r="B1441" s="6" t="s">
        <v>6</v>
      </c>
      <c r="C1441" s="6" t="s">
        <v>72</v>
      </c>
      <c r="D1441" s="6" t="s">
        <v>137</v>
      </c>
      <c r="E1441" s="10" t="s">
        <v>1639</v>
      </c>
      <c r="F1441" s="6" t="s">
        <v>3877</v>
      </c>
      <c r="G1441" s="6" t="s">
        <v>104</v>
      </c>
      <c r="H1441" s="6" t="s">
        <v>6197</v>
      </c>
      <c r="I1441" s="6" t="s">
        <v>7206</v>
      </c>
      <c r="J1441" s="6" t="s">
        <v>7288</v>
      </c>
      <c r="K1441" s="6" t="s">
        <v>9714</v>
      </c>
      <c r="L1441" s="16" t="n">
        <v>45082</v>
      </c>
      <c r="M1441" s="16" t="n">
        <v>45325</v>
      </c>
      <c r="N1441" s="6" t="s">
        <v>104</v>
      </c>
      <c r="O1441" s="21" t="s">
        <v>104</v>
      </c>
      <c r="P1441" s="6" t="s">
        <v>104</v>
      </c>
      <c r="Q1441" s="6" t="s">
        <v>104</v>
      </c>
      <c r="R1441" s="6" t="s">
        <v>104</v>
      </c>
      <c r="S1441" s="6" t="s">
        <v>104</v>
      </c>
      <c r="T1441" s="21" t="s">
        <v>104</v>
      </c>
      <c r="U1441" s="6" t="s">
        <v>104</v>
      </c>
      <c r="V1441" s="6" t="s">
        <v>104</v>
      </c>
      <c r="W1441" s="6" t="s">
        <v>104</v>
      </c>
      <c r="X1441" s="6" t="s">
        <v>104</v>
      </c>
      <c r="Y1441" s="21" t="s">
        <v>104</v>
      </c>
      <c r="Z1441" s="6" t="s">
        <v>104</v>
      </c>
      <c r="AA1441" s="6" t="s">
        <v>104</v>
      </c>
      <c r="AB1441" s="6" t="s">
        <v>104</v>
      </c>
      <c r="AC1441" s="6" t="s">
        <v>9714</v>
      </c>
      <c r="AD1441" s="16" t="n">
        <v>45082</v>
      </c>
      <c r="AE1441" s="6" t="s">
        <v>11781</v>
      </c>
      <c r="AF1441" s="6" t="s">
        <v>104</v>
      </c>
      <c r="AG1441" s="6" t="s">
        <v>12938</v>
      </c>
      <c r="AH1441" s="6" t="s">
        <v>14470</v>
      </c>
      <c r="AI1441" s="6" t="s">
        <v>104</v>
      </c>
      <c r="AJ1441" s="6" t="s">
        <v>15711</v>
      </c>
      <c r="AK1441" s="6" t="s">
        <v>15707</v>
      </c>
      <c r="AL1441" s="6" t="s">
        <v>16766</v>
      </c>
      <c r="AM1441" s="6" t="s">
        <v>17108</v>
      </c>
      <c r="AN1441" s="6" t="s">
        <v>104</v>
      </c>
      <c r="AO1441" s="6" t="s">
        <v>104</v>
      </c>
      <c r="AP1441" s="6" t="s">
        <v>104</v>
      </c>
      <c r="AQ1441" s="6" t="s">
        <v>104</v>
      </c>
      <c r="AR1441" s="6" t="s">
        <v>104</v>
      </c>
      <c r="AS1441" s="6" t="s">
        <v>104</v>
      </c>
      <c r="AT1441" s="6" t="s">
        <v>104</v>
      </c>
      <c r="AU1441" s="6" t="s">
        <v>104</v>
      </c>
      <c r="AV1441" s="6" t="s">
        <v>104</v>
      </c>
      <c r="AW1441" s="6" t="s">
        <v>104</v>
      </c>
      <c r="AX1441" s="6" t="s">
        <v>20513</v>
      </c>
      <c r="AY1441" s="6" t="s">
        <v>22277</v>
      </c>
      <c r="AZ1441" s="6" t="s">
        <v>104</v>
      </c>
      <c r="BA1441" s="6" t="s">
        <v>24258</v>
      </c>
      <c r="BB1441" s="6" t="s">
        <v>104</v>
      </c>
      <c r="BC1441" s="26"/>
      <c r="BD1441" s="26"/>
      <c r="BE1441" s="26"/>
      <c r="BF1441" s="26"/>
      <c r="BG1441" s="26"/>
      <c r="BH1441" s="26"/>
      <c r="BI1441" s="26"/>
      <c r="BJ1441" s="26"/>
      <c r="BK1441" s="26"/>
      <c r="BL1441" s="26"/>
      <c r="BM1441" s="26"/>
      <c r="BN1441" s="26"/>
      <c r="BO1441" s="26"/>
      <c r="BP1441" s="16" t="n">
        <v>45737</v>
      </c>
      <c r="BQ1441" s="28" t="str">
        <f>HYPERLINK("https://organic.ams.usda.gov/Integrity/Certificate.aspx?cid=32&amp;nopid=2230010160")</f>
        <v>https://organic.ams.usda.gov/Integrity/Certificate.aspx?cid=32&amp;nopid=2230010160</v>
      </c>
    </row>
    <row r="1442">
      <c r="A1442" t="s">
        <v>3</v>
      </c>
      <c r="B1442" s="6" t="s">
        <v>45</v>
      </c>
      <c r="C1442" s="6" t="s">
        <v>111</v>
      </c>
      <c r="D1442" s="6" t="s">
        <v>175</v>
      </c>
      <c r="E1442" s="10" t="s">
        <v>1640</v>
      </c>
      <c r="F1442" s="6" t="s">
        <v>3878</v>
      </c>
      <c r="G1442" s="6" t="s">
        <v>104</v>
      </c>
      <c r="H1442" s="6" t="s">
        <v>6198</v>
      </c>
      <c r="I1442" s="6" t="s">
        <v>6920</v>
      </c>
      <c r="J1442" s="6" t="s">
        <v>9191</v>
      </c>
      <c r="K1442" s="6" t="s">
        <v>9714</v>
      </c>
      <c r="L1442" s="16" t="n">
        <v>43278</v>
      </c>
      <c r="M1442" s="16" t="n">
        <v>46082</v>
      </c>
      <c r="N1442" s="6" t="s">
        <v>104</v>
      </c>
      <c r="O1442" s="21" t="s">
        <v>104</v>
      </c>
      <c r="P1442" s="6" t="s">
        <v>104</v>
      </c>
      <c r="Q1442" s="6" t="s">
        <v>104</v>
      </c>
      <c r="R1442" s="6" t="s">
        <v>104</v>
      </c>
      <c r="S1442" s="6" t="s">
        <v>104</v>
      </c>
      <c r="T1442" s="21" t="s">
        <v>104</v>
      </c>
      <c r="U1442" s="6" t="s">
        <v>104</v>
      </c>
      <c r="V1442" s="6" t="s">
        <v>104</v>
      </c>
      <c r="W1442" s="6" t="s">
        <v>104</v>
      </c>
      <c r="X1442" s="6" t="s">
        <v>104</v>
      </c>
      <c r="Y1442" s="21" t="s">
        <v>104</v>
      </c>
      <c r="Z1442" s="6" t="s">
        <v>104</v>
      </c>
      <c r="AA1442" s="6" t="s">
        <v>104</v>
      </c>
      <c r="AB1442" s="6" t="s">
        <v>104</v>
      </c>
      <c r="AC1442" s="6" t="s">
        <v>9714</v>
      </c>
      <c r="AD1442" s="16" t="n">
        <v>43278</v>
      </c>
      <c r="AE1442" s="6" t="s">
        <v>11782</v>
      </c>
      <c r="AF1442" s="6" t="s">
        <v>104</v>
      </c>
      <c r="AG1442" s="6" t="s">
        <v>4667</v>
      </c>
      <c r="AH1442" s="6" t="s">
        <v>14471</v>
      </c>
      <c r="AI1442" s="6" t="s">
        <v>104</v>
      </c>
      <c r="AJ1442" s="6" t="s">
        <v>16275</v>
      </c>
      <c r="AK1442" s="6" t="s">
        <v>16382</v>
      </c>
      <c r="AL1442" s="6" t="s">
        <v>16931</v>
      </c>
      <c r="AM1442" s="6" t="s">
        <v>17955</v>
      </c>
      <c r="AN1442" s="6" t="s">
        <v>104</v>
      </c>
      <c r="AO1442" s="6" t="s">
        <v>104</v>
      </c>
      <c r="AP1442" s="6" t="s">
        <v>19339</v>
      </c>
      <c r="AQ1442" s="6" t="s">
        <v>104</v>
      </c>
      <c r="AR1442" s="6" t="s">
        <v>16275</v>
      </c>
      <c r="AS1442" s="6" t="s">
        <v>16382</v>
      </c>
      <c r="AT1442" s="6" t="s">
        <v>16931</v>
      </c>
      <c r="AU1442" s="6" t="s">
        <v>17955</v>
      </c>
      <c r="AV1442" s="6" t="s">
        <v>18460</v>
      </c>
      <c r="AW1442" s="6" t="s">
        <v>20092</v>
      </c>
      <c r="AX1442" s="6" t="s">
        <v>21243</v>
      </c>
      <c r="AY1442" s="6" t="s">
        <v>23042</v>
      </c>
      <c r="AZ1442" s="6" t="s">
        <v>24051</v>
      </c>
      <c r="BA1442" s="6" t="s">
        <v>104</v>
      </c>
      <c r="BB1442" s="6" t="s">
        <v>104</v>
      </c>
      <c r="BC1442" s="26"/>
      <c r="BD1442" s="26"/>
      <c r="BE1442" s="26"/>
      <c r="BF1442" s="26"/>
      <c r="BG1442" s="26"/>
      <c r="BH1442" s="26"/>
      <c r="BI1442" s="26"/>
      <c r="BJ1442" s="26"/>
      <c r="BK1442" s="26"/>
      <c r="BL1442" s="26"/>
      <c r="BM1442" s="26"/>
      <c r="BN1442" s="26" t="s">
        <v>24533</v>
      </c>
      <c r="BO1442" s="26"/>
      <c r="BP1442" s="16" t="n">
        <v>45739</v>
      </c>
      <c r="BQ1442" s="28" t="str">
        <f>HYPERLINK("https://organic.ams.usda.gov/Integrity/Certificate.aspx?cid=82&amp;nopid=2780003433")</f>
        <v>https://organic.ams.usda.gov/Integrity/Certificate.aspx?cid=82&amp;nopid=2780003433</v>
      </c>
    </row>
    <row r="1443">
      <c r="A1443" t="s">
        <v>3</v>
      </c>
      <c r="B1443" s="6" t="s">
        <v>45</v>
      </c>
      <c r="C1443" s="6" t="s">
        <v>111</v>
      </c>
      <c r="D1443" s="6" t="s">
        <v>175</v>
      </c>
      <c r="E1443" s="10" t="s">
        <v>1641</v>
      </c>
      <c r="F1443" s="6" t="s">
        <v>3879</v>
      </c>
      <c r="G1443" s="6" t="s">
        <v>104</v>
      </c>
      <c r="H1443" s="6" t="s">
        <v>6199</v>
      </c>
      <c r="I1443" s="6" t="s">
        <v>7772</v>
      </c>
      <c r="J1443" s="6" t="s">
        <v>8216</v>
      </c>
      <c r="K1443" s="6" t="s">
        <v>9714</v>
      </c>
      <c r="L1443" s="16" t="n">
        <v>42978</v>
      </c>
      <c r="M1443" s="16" t="n">
        <v>46082</v>
      </c>
      <c r="N1443" s="6" t="s">
        <v>104</v>
      </c>
      <c r="O1443" s="21" t="s">
        <v>104</v>
      </c>
      <c r="P1443" s="6" t="s">
        <v>104</v>
      </c>
      <c r="Q1443" s="6" t="s">
        <v>104</v>
      </c>
      <c r="R1443" s="6" t="s">
        <v>104</v>
      </c>
      <c r="S1443" s="6" t="s">
        <v>104</v>
      </c>
      <c r="T1443" s="21" t="s">
        <v>104</v>
      </c>
      <c r="U1443" s="6" t="s">
        <v>104</v>
      </c>
      <c r="V1443" s="6" t="s">
        <v>104</v>
      </c>
      <c r="W1443" s="6" t="s">
        <v>104</v>
      </c>
      <c r="X1443" s="6" t="s">
        <v>104</v>
      </c>
      <c r="Y1443" s="21" t="s">
        <v>104</v>
      </c>
      <c r="Z1443" s="6" t="s">
        <v>104</v>
      </c>
      <c r="AA1443" s="6" t="s">
        <v>104</v>
      </c>
      <c r="AB1443" s="6" t="s">
        <v>104</v>
      </c>
      <c r="AC1443" s="6" t="s">
        <v>9714</v>
      </c>
      <c r="AD1443" s="16" t="n">
        <v>42978</v>
      </c>
      <c r="AE1443" s="6" t="s">
        <v>11783</v>
      </c>
      <c r="AF1443" s="6" t="s">
        <v>104</v>
      </c>
      <c r="AG1443" s="6" t="s">
        <v>4667</v>
      </c>
      <c r="AH1443" s="6" t="s">
        <v>14472</v>
      </c>
      <c r="AI1443" s="6" t="s">
        <v>104</v>
      </c>
      <c r="AJ1443" s="6" t="s">
        <v>15782</v>
      </c>
      <c r="AK1443" s="6" t="s">
        <v>16382</v>
      </c>
      <c r="AL1443" s="6" t="s">
        <v>16931</v>
      </c>
      <c r="AM1443" s="6" t="s">
        <v>17956</v>
      </c>
      <c r="AN1443" s="6" t="s">
        <v>104</v>
      </c>
      <c r="AO1443" s="6" t="s">
        <v>104</v>
      </c>
      <c r="AP1443" s="6" t="s">
        <v>14472</v>
      </c>
      <c r="AQ1443" s="6" t="s">
        <v>104</v>
      </c>
      <c r="AR1443" s="6" t="s">
        <v>15782</v>
      </c>
      <c r="AS1443" s="6" t="s">
        <v>16382</v>
      </c>
      <c r="AT1443" s="6" t="s">
        <v>16931</v>
      </c>
      <c r="AU1443" s="6" t="s">
        <v>17956</v>
      </c>
      <c r="AV1443" s="6" t="s">
        <v>18538</v>
      </c>
      <c r="AW1443" s="6" t="s">
        <v>18890</v>
      </c>
      <c r="AX1443" s="6" t="s">
        <v>21244</v>
      </c>
      <c r="AY1443" s="6" t="s">
        <v>23043</v>
      </c>
      <c r="AZ1443" s="6" t="s">
        <v>104</v>
      </c>
      <c r="BA1443" s="6" t="s">
        <v>104</v>
      </c>
      <c r="BB1443" s="6" t="s">
        <v>104</v>
      </c>
      <c r="BC1443" s="26"/>
      <c r="BD1443" s="26"/>
      <c r="BE1443" s="26"/>
      <c r="BF1443" s="26"/>
      <c r="BG1443" s="26"/>
      <c r="BH1443" s="26"/>
      <c r="BI1443" s="26"/>
      <c r="BJ1443" s="26"/>
      <c r="BK1443" s="26"/>
      <c r="BL1443" s="26"/>
      <c r="BM1443" s="26"/>
      <c r="BN1443" s="26"/>
      <c r="BO1443" s="26"/>
      <c r="BP1443" s="16" t="n">
        <v>45739</v>
      </c>
      <c r="BQ1443" s="28" t="str">
        <f>HYPERLINK("https://organic.ams.usda.gov/Integrity/Certificate.aspx?cid=82&amp;nopid=2780003347")</f>
        <v>https://organic.ams.usda.gov/Integrity/Certificate.aspx?cid=82&amp;nopid=2780003347</v>
      </c>
    </row>
    <row r="1444">
      <c r="A1444" t="s">
        <v>3</v>
      </c>
      <c r="B1444" s="6" t="s">
        <v>45</v>
      </c>
      <c r="C1444" s="6" t="s">
        <v>111</v>
      </c>
      <c r="D1444" s="6" t="s">
        <v>175</v>
      </c>
      <c r="E1444" s="10" t="s">
        <v>1642</v>
      </c>
      <c r="F1444" s="6" t="s">
        <v>3880</v>
      </c>
      <c r="G1444" s="6" t="s">
        <v>104</v>
      </c>
      <c r="H1444" s="6" t="s">
        <v>6200</v>
      </c>
      <c r="I1444" s="6" t="s">
        <v>7209</v>
      </c>
      <c r="J1444" s="6" t="s">
        <v>9192</v>
      </c>
      <c r="K1444" s="6" t="s">
        <v>9714</v>
      </c>
      <c r="L1444" s="16" t="n">
        <v>41338</v>
      </c>
      <c r="M1444" s="16" t="n">
        <v>46082</v>
      </c>
      <c r="N1444" s="6" t="s">
        <v>104</v>
      </c>
      <c r="O1444" s="21" t="s">
        <v>104</v>
      </c>
      <c r="P1444" s="6" t="s">
        <v>104</v>
      </c>
      <c r="Q1444" s="6" t="s">
        <v>104</v>
      </c>
      <c r="R1444" s="6" t="s">
        <v>104</v>
      </c>
      <c r="S1444" s="6" t="s">
        <v>104</v>
      </c>
      <c r="T1444" s="21" t="s">
        <v>104</v>
      </c>
      <c r="U1444" s="6" t="s">
        <v>104</v>
      </c>
      <c r="V1444" s="6" t="s">
        <v>104</v>
      </c>
      <c r="W1444" s="6" t="s">
        <v>104</v>
      </c>
      <c r="X1444" s="6" t="s">
        <v>104</v>
      </c>
      <c r="Y1444" s="21" t="s">
        <v>104</v>
      </c>
      <c r="Z1444" s="6" t="s">
        <v>104</v>
      </c>
      <c r="AA1444" s="6" t="s">
        <v>104</v>
      </c>
      <c r="AB1444" s="6" t="s">
        <v>104</v>
      </c>
      <c r="AC1444" s="6" t="s">
        <v>9714</v>
      </c>
      <c r="AD1444" s="16" t="n">
        <v>41338</v>
      </c>
      <c r="AE1444" s="6" t="s">
        <v>11784</v>
      </c>
      <c r="AF1444" s="6" t="s">
        <v>104</v>
      </c>
      <c r="AG1444" s="6" t="s">
        <v>4667</v>
      </c>
      <c r="AH1444" s="6" t="s">
        <v>14473</v>
      </c>
      <c r="AI1444" s="6" t="s">
        <v>104</v>
      </c>
      <c r="AJ1444" s="6" t="s">
        <v>15782</v>
      </c>
      <c r="AK1444" s="6" t="s">
        <v>16382</v>
      </c>
      <c r="AL1444" s="6" t="s">
        <v>16931</v>
      </c>
      <c r="AM1444" s="6" t="s">
        <v>17956</v>
      </c>
      <c r="AN1444" s="6" t="s">
        <v>104</v>
      </c>
      <c r="AO1444" s="6" t="s">
        <v>104</v>
      </c>
      <c r="AP1444" s="6" t="s">
        <v>19340</v>
      </c>
      <c r="AQ1444" s="6" t="s">
        <v>104</v>
      </c>
      <c r="AR1444" s="6" t="s">
        <v>15782</v>
      </c>
      <c r="AS1444" s="6" t="s">
        <v>16382</v>
      </c>
      <c r="AT1444" s="6" t="s">
        <v>16931</v>
      </c>
      <c r="AU1444" s="6" t="s">
        <v>17956</v>
      </c>
      <c r="AV1444" s="6" t="s">
        <v>18538</v>
      </c>
      <c r="AW1444" s="6" t="s">
        <v>18890</v>
      </c>
      <c r="AX1444" s="6" t="s">
        <v>21245</v>
      </c>
      <c r="AY1444" s="6" t="s">
        <v>23044</v>
      </c>
      <c r="AZ1444" s="6" t="s">
        <v>24052</v>
      </c>
      <c r="BA1444" s="6" t="s">
        <v>104</v>
      </c>
      <c r="BB1444" s="6" t="s">
        <v>104</v>
      </c>
      <c r="BC1444" s="26"/>
      <c r="BD1444" s="26"/>
      <c r="BE1444" s="26" t="s">
        <v>24533</v>
      </c>
      <c r="BF1444" s="26"/>
      <c r="BG1444" s="26"/>
      <c r="BH1444" s="26"/>
      <c r="BI1444" s="26"/>
      <c r="BJ1444" s="26"/>
      <c r="BK1444" s="26"/>
      <c r="BL1444" s="26"/>
      <c r="BM1444" s="26"/>
      <c r="BN1444" s="26"/>
      <c r="BO1444" s="26"/>
      <c r="BP1444" s="16" t="n">
        <v>45739</v>
      </c>
      <c r="BQ1444" s="28" t="str">
        <f>HYPERLINK("https://organic.ams.usda.gov/Integrity/Certificate.aspx?cid=82&amp;nopid=2780002741")</f>
        <v>https://organic.ams.usda.gov/Integrity/Certificate.aspx?cid=82&amp;nopid=2780002741</v>
      </c>
    </row>
    <row r="1445">
      <c r="A1445" t="s">
        <v>3</v>
      </c>
      <c r="B1445" s="6" t="s">
        <v>36</v>
      </c>
      <c r="C1445" s="6" t="s">
        <v>102</v>
      </c>
      <c r="D1445" s="6" t="s">
        <v>167</v>
      </c>
      <c r="E1445" s="10" t="s">
        <v>1643</v>
      </c>
      <c r="F1445" s="6" t="s">
        <v>3881</v>
      </c>
      <c r="G1445" s="6" t="s">
        <v>104</v>
      </c>
      <c r="H1445" s="6" t="s">
        <v>6201</v>
      </c>
      <c r="I1445" s="6" t="s">
        <v>7630</v>
      </c>
      <c r="J1445" s="6" t="s">
        <v>9193</v>
      </c>
      <c r="K1445" s="6" t="s">
        <v>9714</v>
      </c>
      <c r="L1445" s="16" t="n">
        <v>44561</v>
      </c>
      <c r="M1445" s="16" t="n">
        <v>45808</v>
      </c>
      <c r="N1445" s="6" t="s">
        <v>104</v>
      </c>
      <c r="O1445" s="21" t="s">
        <v>104</v>
      </c>
      <c r="P1445" s="6" t="s">
        <v>104</v>
      </c>
      <c r="Q1445" s="6" t="s">
        <v>104</v>
      </c>
      <c r="R1445" s="6" t="s">
        <v>104</v>
      </c>
      <c r="S1445" s="6" t="s">
        <v>104</v>
      </c>
      <c r="T1445" s="21" t="s">
        <v>104</v>
      </c>
      <c r="U1445" s="6" t="s">
        <v>104</v>
      </c>
      <c r="V1445" s="6" t="s">
        <v>104</v>
      </c>
      <c r="W1445" s="6" t="s">
        <v>104</v>
      </c>
      <c r="X1445" s="6" t="s">
        <v>104</v>
      </c>
      <c r="Y1445" s="21" t="s">
        <v>104</v>
      </c>
      <c r="Z1445" s="6" t="s">
        <v>104</v>
      </c>
      <c r="AA1445" s="6" t="s">
        <v>104</v>
      </c>
      <c r="AB1445" s="6" t="s">
        <v>104</v>
      </c>
      <c r="AC1445" s="6" t="s">
        <v>9714</v>
      </c>
      <c r="AD1445" s="16" t="n">
        <v>44561</v>
      </c>
      <c r="AE1445" s="6" t="s">
        <v>11785</v>
      </c>
      <c r="AF1445" s="6" t="s">
        <v>104</v>
      </c>
      <c r="AG1445" s="6" t="s">
        <v>104</v>
      </c>
      <c r="AH1445" s="6" t="s">
        <v>104</v>
      </c>
      <c r="AI1445" s="6" t="s">
        <v>104</v>
      </c>
      <c r="AJ1445" s="6" t="s">
        <v>104</v>
      </c>
      <c r="AK1445" s="6" t="s">
        <v>104</v>
      </c>
      <c r="AL1445" s="6" t="s">
        <v>104</v>
      </c>
      <c r="AM1445" s="6" t="s">
        <v>104</v>
      </c>
      <c r="AN1445" s="6" t="s">
        <v>104</v>
      </c>
      <c r="AO1445" s="6" t="s">
        <v>104</v>
      </c>
      <c r="AP1445" s="6" t="s">
        <v>19341</v>
      </c>
      <c r="AQ1445" s="6" t="s">
        <v>104</v>
      </c>
      <c r="AR1445" s="6" t="s">
        <v>19729</v>
      </c>
      <c r="AS1445" s="6" t="s">
        <v>16705</v>
      </c>
      <c r="AT1445" s="6" t="s">
        <v>16931</v>
      </c>
      <c r="AU1445" s="6" t="s">
        <v>19988</v>
      </c>
      <c r="AV1445" s="6" t="s">
        <v>18464</v>
      </c>
      <c r="AW1445" s="6" t="s">
        <v>18756</v>
      </c>
      <c r="AX1445" s="6" t="s">
        <v>104</v>
      </c>
      <c r="AY1445" s="6" t="s">
        <v>23045</v>
      </c>
      <c r="AZ1445" s="6" t="s">
        <v>104</v>
      </c>
      <c r="BA1445" s="6" t="s">
        <v>104</v>
      </c>
      <c r="BB1445" s="6" t="s">
        <v>104</v>
      </c>
      <c r="BC1445" s="26" t="s">
        <v>24533</v>
      </c>
      <c r="BD1445" s="26"/>
      <c r="BE1445" s="26"/>
      <c r="BF1445" s="26"/>
      <c r="BG1445" s="26" t="s">
        <v>24533</v>
      </c>
      <c r="BH1445" s="26"/>
      <c r="BI1445" s="26"/>
      <c r="BJ1445" s="26"/>
      <c r="BK1445" s="26"/>
      <c r="BL1445" s="26"/>
      <c r="BM1445" s="26"/>
      <c r="BN1445" s="26"/>
      <c r="BO1445" s="26"/>
      <c r="BP1445" s="16" t="n">
        <v>45729</v>
      </c>
      <c r="BQ1445" s="28" t="str">
        <f>HYPERLINK("https://organic.ams.usda.gov/Integrity/Certificate.aspx?cid=61&amp;nopid=7270001700")</f>
        <v>https://organic.ams.usda.gov/Integrity/Certificate.aspx?cid=61&amp;nopid=7270001700</v>
      </c>
    </row>
    <row r="1446">
      <c r="A1446" t="s">
        <v>3</v>
      </c>
      <c r="B1446" s="6" t="s">
        <v>34</v>
      </c>
      <c r="C1446" s="6" t="s">
        <v>100</v>
      </c>
      <c r="D1446" s="6" t="s">
        <v>165</v>
      </c>
      <c r="E1446" s="10" t="s">
        <v>1644</v>
      </c>
      <c r="F1446" s="6" t="s">
        <v>3882</v>
      </c>
      <c r="G1446" s="6" t="s">
        <v>104</v>
      </c>
      <c r="H1446" s="6" t="s">
        <v>6202</v>
      </c>
      <c r="I1446" s="6" t="s">
        <v>7773</v>
      </c>
      <c r="J1446" s="6" t="s">
        <v>9194</v>
      </c>
      <c r="K1446" s="6" t="s">
        <v>9714</v>
      </c>
      <c r="L1446" s="16" t="n">
        <v>41999</v>
      </c>
      <c r="M1446" s="16" t="n">
        <v>45868</v>
      </c>
      <c r="N1446" s="6" t="s">
        <v>104</v>
      </c>
      <c r="O1446" s="21" t="s">
        <v>104</v>
      </c>
      <c r="P1446" s="6" t="s">
        <v>104</v>
      </c>
      <c r="Q1446" s="6" t="s">
        <v>104</v>
      </c>
      <c r="R1446" s="6" t="s">
        <v>104</v>
      </c>
      <c r="S1446" s="6" t="s">
        <v>104</v>
      </c>
      <c r="T1446" s="21" t="s">
        <v>104</v>
      </c>
      <c r="U1446" s="6" t="s">
        <v>104</v>
      </c>
      <c r="V1446" s="6" t="s">
        <v>104</v>
      </c>
      <c r="W1446" s="6" t="s">
        <v>104</v>
      </c>
      <c r="X1446" s="6" t="s">
        <v>104</v>
      </c>
      <c r="Y1446" s="21" t="s">
        <v>104</v>
      </c>
      <c r="Z1446" s="6" t="s">
        <v>104</v>
      </c>
      <c r="AA1446" s="6" t="s">
        <v>104</v>
      </c>
      <c r="AB1446" s="6" t="s">
        <v>104</v>
      </c>
      <c r="AC1446" s="6" t="s">
        <v>9714</v>
      </c>
      <c r="AD1446" s="16" t="n">
        <v>41999</v>
      </c>
      <c r="AE1446" s="6" t="s">
        <v>11786</v>
      </c>
      <c r="AF1446" s="6" t="s">
        <v>104</v>
      </c>
      <c r="AG1446" s="6" t="s">
        <v>12939</v>
      </c>
      <c r="AH1446" s="6" t="s">
        <v>14474</v>
      </c>
      <c r="AI1446" s="6" t="s">
        <v>104</v>
      </c>
      <c r="AJ1446" s="6" t="s">
        <v>15893</v>
      </c>
      <c r="AK1446" s="6" t="s">
        <v>16256</v>
      </c>
      <c r="AL1446" s="6" t="s">
        <v>16931</v>
      </c>
      <c r="AM1446" s="6" t="s">
        <v>17957</v>
      </c>
      <c r="AN1446" s="6" t="s">
        <v>18468</v>
      </c>
      <c r="AO1446" s="6" t="s">
        <v>18736</v>
      </c>
      <c r="AP1446" s="6" t="s">
        <v>19342</v>
      </c>
      <c r="AQ1446" s="6" t="s">
        <v>104</v>
      </c>
      <c r="AR1446" s="6" t="s">
        <v>16276</v>
      </c>
      <c r="AS1446" s="6" t="s">
        <v>16710</v>
      </c>
      <c r="AT1446" s="6" t="s">
        <v>16931</v>
      </c>
      <c r="AU1446" s="6" t="s">
        <v>17958</v>
      </c>
      <c r="AV1446" s="6" t="s">
        <v>104</v>
      </c>
      <c r="AW1446" s="6" t="s">
        <v>104</v>
      </c>
      <c r="AX1446" s="6" t="s">
        <v>21246</v>
      </c>
      <c r="AY1446" s="6" t="s">
        <v>23046</v>
      </c>
      <c r="AZ1446" s="6" t="s">
        <v>24053</v>
      </c>
      <c r="BA1446" s="6" t="s">
        <v>104</v>
      </c>
      <c r="BB1446" s="6" t="s">
        <v>104</v>
      </c>
      <c r="BC1446" s="26"/>
      <c r="BD1446" s="26"/>
      <c r="BE1446" s="26" t="s">
        <v>24533</v>
      </c>
      <c r="BF1446" s="26"/>
      <c r="BG1446" s="26" t="s">
        <v>24533</v>
      </c>
      <c r="BH1446" s="26"/>
      <c r="BI1446" s="26"/>
      <c r="BJ1446" s="26"/>
      <c r="BK1446" s="26"/>
      <c r="BL1446" s="26"/>
      <c r="BM1446" s="26"/>
      <c r="BN1446" s="26"/>
      <c r="BO1446" s="26"/>
      <c r="BP1446" s="16" t="n">
        <v>45737</v>
      </c>
      <c r="BQ1446" s="28" t="str">
        <f>HYPERLINK("https://organic.ams.usda.gov/Integrity/Certificate.aspx?cid=71&amp;nopid=5520227569")</f>
        <v>https://organic.ams.usda.gov/Integrity/Certificate.aspx?cid=71&amp;nopid=5520227569</v>
      </c>
    </row>
    <row r="1447">
      <c r="A1447" t="s">
        <v>3</v>
      </c>
      <c r="B1447" s="6" t="s">
        <v>34</v>
      </c>
      <c r="C1447" s="6" t="s">
        <v>100</v>
      </c>
      <c r="D1447" s="6" t="s">
        <v>165</v>
      </c>
      <c r="E1447" s="10" t="s">
        <v>1645</v>
      </c>
      <c r="F1447" s="6" t="s">
        <v>3883</v>
      </c>
      <c r="G1447" s="6" t="s">
        <v>104</v>
      </c>
      <c r="H1447" s="6" t="s">
        <v>6203</v>
      </c>
      <c r="I1447" s="6" t="s">
        <v>7773</v>
      </c>
      <c r="J1447" s="6" t="s">
        <v>9194</v>
      </c>
      <c r="K1447" s="6" t="s">
        <v>9714</v>
      </c>
      <c r="L1447" s="16" t="n">
        <v>37375</v>
      </c>
      <c r="M1447" s="16" t="n">
        <v>45663</v>
      </c>
      <c r="N1447" s="6" t="s">
        <v>104</v>
      </c>
      <c r="O1447" s="21" t="s">
        <v>104</v>
      </c>
      <c r="P1447" s="6" t="s">
        <v>104</v>
      </c>
      <c r="Q1447" s="6" t="s">
        <v>104</v>
      </c>
      <c r="R1447" s="6" t="s">
        <v>104</v>
      </c>
      <c r="S1447" s="6" t="s">
        <v>104</v>
      </c>
      <c r="T1447" s="21" t="s">
        <v>104</v>
      </c>
      <c r="U1447" s="6" t="s">
        <v>104</v>
      </c>
      <c r="V1447" s="6" t="s">
        <v>104</v>
      </c>
      <c r="W1447" s="6" t="s">
        <v>104</v>
      </c>
      <c r="X1447" s="6" t="s">
        <v>104</v>
      </c>
      <c r="Y1447" s="21" t="s">
        <v>104</v>
      </c>
      <c r="Z1447" s="6" t="s">
        <v>104</v>
      </c>
      <c r="AA1447" s="6" t="s">
        <v>104</v>
      </c>
      <c r="AB1447" s="6" t="s">
        <v>104</v>
      </c>
      <c r="AC1447" s="6" t="s">
        <v>9714</v>
      </c>
      <c r="AD1447" s="16" t="n">
        <v>37375</v>
      </c>
      <c r="AE1447" s="6" t="s">
        <v>11787</v>
      </c>
      <c r="AF1447" s="6" t="s">
        <v>104</v>
      </c>
      <c r="AG1447" s="6" t="s">
        <v>12940</v>
      </c>
      <c r="AH1447" s="6" t="s">
        <v>14475</v>
      </c>
      <c r="AI1447" s="6" t="s">
        <v>104</v>
      </c>
      <c r="AJ1447" s="6" t="s">
        <v>16276</v>
      </c>
      <c r="AK1447" s="6" t="s">
        <v>16710</v>
      </c>
      <c r="AL1447" s="6" t="s">
        <v>16931</v>
      </c>
      <c r="AM1447" s="6" t="s">
        <v>17958</v>
      </c>
      <c r="AN1447" s="6" t="s">
        <v>18479</v>
      </c>
      <c r="AO1447" s="6" t="s">
        <v>18607</v>
      </c>
      <c r="AP1447" s="6" t="s">
        <v>19342</v>
      </c>
      <c r="AQ1447" s="6" t="s">
        <v>104</v>
      </c>
      <c r="AR1447" s="6" t="s">
        <v>16276</v>
      </c>
      <c r="AS1447" s="6" t="s">
        <v>16710</v>
      </c>
      <c r="AT1447" s="6" t="s">
        <v>16931</v>
      </c>
      <c r="AU1447" s="6" t="s">
        <v>17958</v>
      </c>
      <c r="AV1447" s="6" t="s">
        <v>104</v>
      </c>
      <c r="AW1447" s="6" t="s">
        <v>104</v>
      </c>
      <c r="AX1447" s="6" t="s">
        <v>21246</v>
      </c>
      <c r="AY1447" s="6" t="s">
        <v>23046</v>
      </c>
      <c r="AZ1447" s="6" t="s">
        <v>24053</v>
      </c>
      <c r="BA1447" s="6" t="s">
        <v>104</v>
      </c>
      <c r="BB1447" s="6" t="s">
        <v>104</v>
      </c>
      <c r="BC1447" s="26"/>
      <c r="BD1447" s="26"/>
      <c r="BE1447" s="26" t="s">
        <v>24533</v>
      </c>
      <c r="BF1447" s="26"/>
      <c r="BG1447" s="26"/>
      <c r="BH1447" s="26"/>
      <c r="BI1447" s="26"/>
      <c r="BJ1447" s="26"/>
      <c r="BK1447" s="26"/>
      <c r="BL1447" s="26"/>
      <c r="BM1447" s="26"/>
      <c r="BN1447" s="26"/>
      <c r="BO1447" s="26"/>
      <c r="BP1447" s="16" t="n">
        <v>45737</v>
      </c>
      <c r="BQ1447" s="28" t="str">
        <f>HYPERLINK("https://organic.ams.usda.gov/Integrity/Certificate.aspx?cid=71&amp;nopid=5520031562")</f>
        <v>https://organic.ams.usda.gov/Integrity/Certificate.aspx?cid=71&amp;nopid=5520031562</v>
      </c>
    </row>
    <row r="1448">
      <c r="A1448" t="s">
        <v>3</v>
      </c>
      <c r="B1448" s="6" t="s">
        <v>29</v>
      </c>
      <c r="C1448" s="6" t="s">
        <v>95</v>
      </c>
      <c r="D1448" s="6" t="s">
        <v>160</v>
      </c>
      <c r="E1448" s="10" t="s">
        <v>1646</v>
      </c>
      <c r="F1448" s="6" t="s">
        <v>3884</v>
      </c>
      <c r="G1448" s="6" t="s">
        <v>104</v>
      </c>
      <c r="H1448" s="6" t="s">
        <v>6204</v>
      </c>
      <c r="I1448" s="6" t="s">
        <v>104</v>
      </c>
      <c r="J1448" s="6" t="s">
        <v>9195</v>
      </c>
      <c r="K1448" s="6" t="s">
        <v>9714</v>
      </c>
      <c r="L1448" s="16" t="n">
        <v>45002</v>
      </c>
      <c r="M1448" s="16" t="n">
        <v>45962</v>
      </c>
      <c r="N1448" s="6" t="s">
        <v>104</v>
      </c>
      <c r="O1448" s="21" t="s">
        <v>104</v>
      </c>
      <c r="P1448" s="6" t="s">
        <v>104</v>
      </c>
      <c r="Q1448" s="6" t="s">
        <v>104</v>
      </c>
      <c r="R1448" s="6" t="s">
        <v>104</v>
      </c>
      <c r="S1448" s="6" t="s">
        <v>104</v>
      </c>
      <c r="T1448" s="21" t="s">
        <v>104</v>
      </c>
      <c r="U1448" s="6" t="s">
        <v>104</v>
      </c>
      <c r="V1448" s="6" t="s">
        <v>104</v>
      </c>
      <c r="W1448" s="6" t="s">
        <v>104</v>
      </c>
      <c r="X1448" s="6" t="s">
        <v>104</v>
      </c>
      <c r="Y1448" s="21" t="s">
        <v>104</v>
      </c>
      <c r="Z1448" s="6" t="s">
        <v>104</v>
      </c>
      <c r="AA1448" s="6" t="s">
        <v>104</v>
      </c>
      <c r="AB1448" s="6" t="s">
        <v>104</v>
      </c>
      <c r="AC1448" s="6" t="s">
        <v>9714</v>
      </c>
      <c r="AD1448" s="16" t="n">
        <v>45002</v>
      </c>
      <c r="AE1448" s="6" t="s">
        <v>11788</v>
      </c>
      <c r="AF1448" s="6" t="s">
        <v>104</v>
      </c>
      <c r="AG1448" s="6" t="s">
        <v>104</v>
      </c>
      <c r="AH1448" s="6" t="s">
        <v>14476</v>
      </c>
      <c r="AI1448" s="6" t="s">
        <v>104</v>
      </c>
      <c r="AJ1448" s="6" t="s">
        <v>104</v>
      </c>
      <c r="AK1448" s="6" t="s">
        <v>16682</v>
      </c>
      <c r="AL1448" s="6" t="s">
        <v>16932</v>
      </c>
      <c r="AM1448" s="6" t="s">
        <v>17492</v>
      </c>
      <c r="AN1448" s="6" t="s">
        <v>104</v>
      </c>
      <c r="AO1448" s="6" t="s">
        <v>104</v>
      </c>
      <c r="AP1448" s="6" t="s">
        <v>104</v>
      </c>
      <c r="AQ1448" s="6" t="s">
        <v>104</v>
      </c>
      <c r="AR1448" s="6" t="s">
        <v>104</v>
      </c>
      <c r="AS1448" s="6" t="s">
        <v>104</v>
      </c>
      <c r="AT1448" s="6" t="s">
        <v>104</v>
      </c>
      <c r="AU1448" s="6" t="s">
        <v>104</v>
      </c>
      <c r="AV1448" s="6" t="s">
        <v>104</v>
      </c>
      <c r="AW1448" s="6" t="s">
        <v>104</v>
      </c>
      <c r="AX1448" s="6" t="s">
        <v>21247</v>
      </c>
      <c r="AY1448" s="6" t="s">
        <v>23047</v>
      </c>
      <c r="AZ1448" s="6" t="s">
        <v>104</v>
      </c>
      <c r="BA1448" s="6" t="s">
        <v>104</v>
      </c>
      <c r="BB1448" s="24" t="n">
        <v>0</v>
      </c>
      <c r="BC1448" s="26"/>
      <c r="BD1448" s="26"/>
      <c r="BE1448" s="26"/>
      <c r="BF1448" s="26"/>
      <c r="BG1448" s="26"/>
      <c r="BH1448" s="26"/>
      <c r="BI1448" s="26"/>
      <c r="BJ1448" s="26"/>
      <c r="BK1448" s="26"/>
      <c r="BL1448" s="26"/>
      <c r="BM1448" s="26"/>
      <c r="BN1448" s="26"/>
      <c r="BO1448" s="26"/>
      <c r="BP1448" s="16" t="n">
        <v>45738</v>
      </c>
      <c r="BQ1448" s="28" t="str">
        <f>HYPERLINK("https://organic.ams.usda.gov/Integrity/Certificate.aspx?cid=24&amp;nopid=7880274317")</f>
        <v>https://organic.ams.usda.gov/Integrity/Certificate.aspx?cid=24&amp;nopid=7880274317</v>
      </c>
    </row>
    <row r="1449">
      <c r="A1449" t="s">
        <v>3</v>
      </c>
      <c r="B1449" s="6" t="s">
        <v>21</v>
      </c>
      <c r="C1449" s="6" t="s">
        <v>87</v>
      </c>
      <c r="D1449" s="6" t="s">
        <v>152</v>
      </c>
      <c r="E1449" s="10" t="s">
        <v>1647</v>
      </c>
      <c r="F1449" s="6" t="s">
        <v>3885</v>
      </c>
      <c r="G1449" s="6" t="s">
        <v>104</v>
      </c>
      <c r="H1449" s="6" t="s">
        <v>6205</v>
      </c>
      <c r="I1449" s="6" t="s">
        <v>7068</v>
      </c>
      <c r="J1449" s="6" t="s">
        <v>9196</v>
      </c>
      <c r="K1449" s="6" t="s">
        <v>9714</v>
      </c>
      <c r="L1449" s="16" t="n">
        <v>41859</v>
      </c>
      <c r="M1449" s="16" t="n">
        <v>46023</v>
      </c>
      <c r="N1449" s="6" t="s">
        <v>104</v>
      </c>
      <c r="O1449" s="21" t="s">
        <v>104</v>
      </c>
      <c r="P1449" s="6" t="s">
        <v>104</v>
      </c>
      <c r="Q1449" s="6" t="s">
        <v>104</v>
      </c>
      <c r="R1449" s="6" t="s">
        <v>104</v>
      </c>
      <c r="S1449" s="6" t="s">
        <v>104</v>
      </c>
      <c r="T1449" s="21" t="s">
        <v>104</v>
      </c>
      <c r="U1449" s="6" t="s">
        <v>104</v>
      </c>
      <c r="V1449" s="6" t="s">
        <v>104</v>
      </c>
      <c r="W1449" s="6" t="s">
        <v>104</v>
      </c>
      <c r="X1449" s="6" t="s">
        <v>104</v>
      </c>
      <c r="Y1449" s="21" t="s">
        <v>104</v>
      </c>
      <c r="Z1449" s="6" t="s">
        <v>104</v>
      </c>
      <c r="AA1449" s="6" t="s">
        <v>104</v>
      </c>
      <c r="AB1449" s="6" t="s">
        <v>104</v>
      </c>
      <c r="AC1449" s="6" t="s">
        <v>9714</v>
      </c>
      <c r="AD1449" s="16" t="n">
        <v>41859</v>
      </c>
      <c r="AE1449" s="6" t="s">
        <v>11789</v>
      </c>
      <c r="AF1449" s="6" t="s">
        <v>104</v>
      </c>
      <c r="AG1449" s="6" t="s">
        <v>104</v>
      </c>
      <c r="AH1449" s="6" t="s">
        <v>14477</v>
      </c>
      <c r="AI1449" s="6" t="s">
        <v>104</v>
      </c>
      <c r="AJ1449" s="6" t="s">
        <v>16277</v>
      </c>
      <c r="AK1449" s="6" t="s">
        <v>16704</v>
      </c>
      <c r="AL1449" s="6" t="s">
        <v>16931</v>
      </c>
      <c r="AM1449" s="6" t="s">
        <v>17959</v>
      </c>
      <c r="AN1449" s="6" t="s">
        <v>18545</v>
      </c>
      <c r="AO1449" s="6" t="s">
        <v>18844</v>
      </c>
      <c r="AP1449" s="6" t="s">
        <v>19343</v>
      </c>
      <c r="AQ1449" s="6" t="s">
        <v>104</v>
      </c>
      <c r="AR1449" s="6" t="s">
        <v>16277</v>
      </c>
      <c r="AS1449" s="6" t="s">
        <v>16704</v>
      </c>
      <c r="AT1449" s="6" t="s">
        <v>16931</v>
      </c>
      <c r="AU1449" s="6" t="s">
        <v>17959</v>
      </c>
      <c r="AV1449" s="6" t="s">
        <v>104</v>
      </c>
      <c r="AW1449" s="6" t="s">
        <v>104</v>
      </c>
      <c r="AX1449" s="6" t="s">
        <v>21248</v>
      </c>
      <c r="AY1449" s="6" t="s">
        <v>23048</v>
      </c>
      <c r="AZ1449" s="6" t="s">
        <v>24054</v>
      </c>
      <c r="BA1449" s="6" t="s">
        <v>24447</v>
      </c>
      <c r="BB1449" s="6" t="s">
        <v>104</v>
      </c>
      <c r="BC1449" s="26"/>
      <c r="BD1449" s="26"/>
      <c r="BE1449" s="26"/>
      <c r="BF1449" s="26"/>
      <c r="BG1449" s="26"/>
      <c r="BH1449" s="26"/>
      <c r="BI1449" s="26"/>
      <c r="BJ1449" s="26"/>
      <c r="BK1449" s="26"/>
      <c r="BL1449" s="26"/>
      <c r="BM1449" s="26"/>
      <c r="BN1449" s="26"/>
      <c r="BO1449" s="26"/>
      <c r="BP1449" s="16" t="n">
        <v>45667</v>
      </c>
      <c r="BQ1449" s="28" t="str">
        <f>HYPERLINK("https://organic.ams.usda.gov/Integrity/Certificate.aspx?cid=15&amp;nopid=5561001928")</f>
        <v>https://organic.ams.usda.gov/Integrity/Certificate.aspx?cid=15&amp;nopid=5561001928</v>
      </c>
    </row>
    <row r="1450">
      <c r="A1450" t="s">
        <v>3</v>
      </c>
      <c r="B1450" s="6" t="s">
        <v>13</v>
      </c>
      <c r="C1450" s="6" t="s">
        <v>79</v>
      </c>
      <c r="D1450" s="6" t="s">
        <v>144</v>
      </c>
      <c r="E1450" s="10" t="s">
        <v>1648</v>
      </c>
      <c r="F1450" s="6" t="s">
        <v>3886</v>
      </c>
      <c r="G1450" s="6" t="s">
        <v>104</v>
      </c>
      <c r="H1450" s="6" t="s">
        <v>6206</v>
      </c>
      <c r="I1450" s="6" t="s">
        <v>7774</v>
      </c>
      <c r="J1450" s="6" t="s">
        <v>9197</v>
      </c>
      <c r="K1450" s="6" t="s">
        <v>9714</v>
      </c>
      <c r="L1450" s="16" t="n">
        <v>42781</v>
      </c>
      <c r="M1450" s="16" t="n">
        <v>46023</v>
      </c>
      <c r="N1450" s="6" t="s">
        <v>104</v>
      </c>
      <c r="O1450" s="21" t="s">
        <v>104</v>
      </c>
      <c r="P1450" s="6" t="s">
        <v>104</v>
      </c>
      <c r="Q1450" s="6" t="s">
        <v>104</v>
      </c>
      <c r="R1450" s="6" t="s">
        <v>104</v>
      </c>
      <c r="S1450" s="6" t="s">
        <v>104</v>
      </c>
      <c r="T1450" s="21" t="s">
        <v>104</v>
      </c>
      <c r="U1450" s="6" t="s">
        <v>104</v>
      </c>
      <c r="V1450" s="6" t="s">
        <v>104</v>
      </c>
      <c r="W1450" s="6" t="s">
        <v>104</v>
      </c>
      <c r="X1450" s="6" t="s">
        <v>104</v>
      </c>
      <c r="Y1450" s="21" t="s">
        <v>104</v>
      </c>
      <c r="Z1450" s="6" t="s">
        <v>104</v>
      </c>
      <c r="AA1450" s="6" t="s">
        <v>104</v>
      </c>
      <c r="AB1450" s="6" t="s">
        <v>104</v>
      </c>
      <c r="AC1450" s="6" t="s">
        <v>9714</v>
      </c>
      <c r="AD1450" s="16" t="n">
        <v>42781</v>
      </c>
      <c r="AE1450" s="6" t="s">
        <v>11790</v>
      </c>
      <c r="AF1450" s="6" t="s">
        <v>104</v>
      </c>
      <c r="AG1450" s="6" t="s">
        <v>104</v>
      </c>
      <c r="AH1450" s="6" t="s">
        <v>104</v>
      </c>
      <c r="AI1450" s="6" t="s">
        <v>104</v>
      </c>
      <c r="AJ1450" s="6" t="s">
        <v>104</v>
      </c>
      <c r="AK1450" s="6" t="s">
        <v>104</v>
      </c>
      <c r="AL1450" s="6" t="s">
        <v>104</v>
      </c>
      <c r="AM1450" s="6" t="s">
        <v>104</v>
      </c>
      <c r="AN1450" s="6" t="s">
        <v>104</v>
      </c>
      <c r="AO1450" s="6" t="s">
        <v>104</v>
      </c>
      <c r="AP1450" s="6" t="s">
        <v>19344</v>
      </c>
      <c r="AQ1450" s="6" t="s">
        <v>104</v>
      </c>
      <c r="AR1450" s="6" t="s">
        <v>19730</v>
      </c>
      <c r="AS1450" s="6" t="s">
        <v>16745</v>
      </c>
      <c r="AT1450" s="6" t="s">
        <v>16931</v>
      </c>
      <c r="AU1450" s="6" t="s">
        <v>19989</v>
      </c>
      <c r="AV1450" s="6" t="s">
        <v>18492</v>
      </c>
      <c r="AW1450" s="6" t="s">
        <v>20100</v>
      </c>
      <c r="AX1450" s="6" t="s">
        <v>21249</v>
      </c>
      <c r="AY1450" s="6" t="s">
        <v>23049</v>
      </c>
      <c r="AZ1450" s="6" t="s">
        <v>104</v>
      </c>
      <c r="BA1450" s="6" t="s">
        <v>104</v>
      </c>
      <c r="BB1450" s="6" t="s">
        <v>104</v>
      </c>
      <c r="BC1450" s="26" t="s">
        <v>24533</v>
      </c>
      <c r="BD1450" s="26"/>
      <c r="BE1450" s="26" t="s">
        <v>24533</v>
      </c>
      <c r="BF1450" s="26"/>
      <c r="BG1450" s="26"/>
      <c r="BH1450" s="26"/>
      <c r="BI1450" s="26"/>
      <c r="BJ1450" s="26"/>
      <c r="BK1450" s="26"/>
      <c r="BL1450" s="26"/>
      <c r="BM1450" s="26"/>
      <c r="BN1450" s="26"/>
      <c r="BO1450" s="26"/>
      <c r="BP1450" s="16" t="n">
        <v>45734</v>
      </c>
      <c r="BQ1450" s="28" t="str">
        <f>HYPERLINK("https://organic.ams.usda.gov/Integrity/Certificate.aspx?cid=62&amp;nopid=8150003954")</f>
        <v>https://organic.ams.usda.gov/Integrity/Certificate.aspx?cid=62&amp;nopid=8150003954</v>
      </c>
    </row>
    <row r="1451">
      <c r="A1451" t="s">
        <v>3</v>
      </c>
      <c r="B1451" s="6" t="s">
        <v>21</v>
      </c>
      <c r="C1451" s="6" t="s">
        <v>87</v>
      </c>
      <c r="D1451" s="6" t="s">
        <v>152</v>
      </c>
      <c r="E1451" s="10" t="s">
        <v>1649</v>
      </c>
      <c r="F1451" s="6" t="s">
        <v>3887</v>
      </c>
      <c r="G1451" s="6" t="s">
        <v>4808</v>
      </c>
      <c r="H1451" s="6" t="s">
        <v>6207</v>
      </c>
      <c r="I1451" s="6" t="s">
        <v>7775</v>
      </c>
      <c r="J1451" s="6" t="s">
        <v>9198</v>
      </c>
      <c r="K1451" s="6" t="s">
        <v>9714</v>
      </c>
      <c r="L1451" s="16" t="n">
        <v>38819</v>
      </c>
      <c r="M1451" s="16" t="n">
        <v>46023</v>
      </c>
      <c r="N1451" s="6" t="s">
        <v>104</v>
      </c>
      <c r="O1451" s="21" t="s">
        <v>104</v>
      </c>
      <c r="P1451" s="6" t="s">
        <v>104</v>
      </c>
      <c r="Q1451" s="6" t="s">
        <v>104</v>
      </c>
      <c r="R1451" s="6" t="s">
        <v>104</v>
      </c>
      <c r="S1451" s="6" t="s">
        <v>104</v>
      </c>
      <c r="T1451" s="21" t="s">
        <v>104</v>
      </c>
      <c r="U1451" s="6" t="s">
        <v>104</v>
      </c>
      <c r="V1451" s="6" t="s">
        <v>104</v>
      </c>
      <c r="W1451" s="6" t="s">
        <v>104</v>
      </c>
      <c r="X1451" s="6" t="s">
        <v>104</v>
      </c>
      <c r="Y1451" s="21" t="s">
        <v>104</v>
      </c>
      <c r="Z1451" s="6" t="s">
        <v>104</v>
      </c>
      <c r="AA1451" s="6" t="s">
        <v>104</v>
      </c>
      <c r="AB1451" s="6" t="s">
        <v>104</v>
      </c>
      <c r="AC1451" s="6" t="s">
        <v>9714</v>
      </c>
      <c r="AD1451" s="16" t="n">
        <v>38819</v>
      </c>
      <c r="AE1451" s="6" t="s">
        <v>11791</v>
      </c>
      <c r="AF1451" s="6" t="s">
        <v>104</v>
      </c>
      <c r="AG1451" s="6" t="s">
        <v>104</v>
      </c>
      <c r="AH1451" s="6" t="s">
        <v>14478</v>
      </c>
      <c r="AI1451" s="6" t="s">
        <v>104</v>
      </c>
      <c r="AJ1451" s="6" t="s">
        <v>16278</v>
      </c>
      <c r="AK1451" s="6" t="s">
        <v>16678</v>
      </c>
      <c r="AL1451" s="6" t="s">
        <v>16931</v>
      </c>
      <c r="AM1451" s="6" t="s">
        <v>17960</v>
      </c>
      <c r="AN1451" s="6" t="s">
        <v>18465</v>
      </c>
      <c r="AO1451" s="6" t="s">
        <v>18845</v>
      </c>
      <c r="AP1451" s="6" t="s">
        <v>14478</v>
      </c>
      <c r="AQ1451" s="6" t="s">
        <v>104</v>
      </c>
      <c r="AR1451" s="6" t="s">
        <v>16278</v>
      </c>
      <c r="AS1451" s="6" t="s">
        <v>16678</v>
      </c>
      <c r="AT1451" s="6" t="s">
        <v>16931</v>
      </c>
      <c r="AU1451" s="6" t="s">
        <v>17960</v>
      </c>
      <c r="AV1451" s="6" t="s">
        <v>104</v>
      </c>
      <c r="AW1451" s="6" t="s">
        <v>104</v>
      </c>
      <c r="AX1451" s="6" t="s">
        <v>21250</v>
      </c>
      <c r="AY1451" s="6" t="s">
        <v>23050</v>
      </c>
      <c r="AZ1451" s="6" t="s">
        <v>24055</v>
      </c>
      <c r="BA1451" s="6" t="s">
        <v>24448</v>
      </c>
      <c r="BB1451" s="6" t="s">
        <v>104</v>
      </c>
      <c r="BC1451" s="26"/>
      <c r="BD1451" s="26"/>
      <c r="BE1451" s="26"/>
      <c r="BF1451" s="26"/>
      <c r="BG1451" s="26"/>
      <c r="BH1451" s="26"/>
      <c r="BI1451" s="26"/>
      <c r="BJ1451" s="26"/>
      <c r="BK1451" s="26"/>
      <c r="BL1451" s="26"/>
      <c r="BM1451" s="26"/>
      <c r="BN1451" s="26"/>
      <c r="BO1451" s="26"/>
      <c r="BP1451" s="16" t="n">
        <v>45730</v>
      </c>
      <c r="BQ1451" s="28" t="str">
        <f>HYPERLINK("https://organic.ams.usda.gov/Integrity/Certificate.aspx?cid=15&amp;nopid=5561002342")</f>
        <v>https://organic.ams.usda.gov/Integrity/Certificate.aspx?cid=15&amp;nopid=5561002342</v>
      </c>
    </row>
    <row r="1452">
      <c r="A1452" t="s">
        <v>3</v>
      </c>
      <c r="B1452" s="6" t="s">
        <v>13</v>
      </c>
      <c r="C1452" s="6" t="s">
        <v>79</v>
      </c>
      <c r="D1452" s="6" t="s">
        <v>144</v>
      </c>
      <c r="E1452" s="10" t="s">
        <v>1650</v>
      </c>
      <c r="F1452" s="6" t="s">
        <v>3888</v>
      </c>
      <c r="G1452" s="6" t="s">
        <v>104</v>
      </c>
      <c r="H1452" s="6" t="s">
        <v>6208</v>
      </c>
      <c r="I1452" s="6" t="s">
        <v>7329</v>
      </c>
      <c r="J1452" s="6" t="s">
        <v>7449</v>
      </c>
      <c r="K1452" s="6" t="s">
        <v>9714</v>
      </c>
      <c r="L1452" s="16" t="n">
        <v>44862</v>
      </c>
      <c r="M1452" s="16" t="n">
        <v>46023</v>
      </c>
      <c r="N1452" s="6" t="s">
        <v>104</v>
      </c>
      <c r="O1452" s="21" t="s">
        <v>104</v>
      </c>
      <c r="P1452" s="6" t="s">
        <v>104</v>
      </c>
      <c r="Q1452" s="6" t="s">
        <v>104</v>
      </c>
      <c r="R1452" s="6" t="s">
        <v>104</v>
      </c>
      <c r="S1452" s="6" t="s">
        <v>104</v>
      </c>
      <c r="T1452" s="21" t="s">
        <v>104</v>
      </c>
      <c r="U1452" s="6" t="s">
        <v>104</v>
      </c>
      <c r="V1452" s="6" t="s">
        <v>104</v>
      </c>
      <c r="W1452" s="6" t="s">
        <v>104</v>
      </c>
      <c r="X1452" s="6" t="s">
        <v>104</v>
      </c>
      <c r="Y1452" s="21" t="s">
        <v>104</v>
      </c>
      <c r="Z1452" s="6" t="s">
        <v>104</v>
      </c>
      <c r="AA1452" s="6" t="s">
        <v>104</v>
      </c>
      <c r="AB1452" s="6" t="s">
        <v>104</v>
      </c>
      <c r="AC1452" s="6" t="s">
        <v>9714</v>
      </c>
      <c r="AD1452" s="16" t="n">
        <v>44862</v>
      </c>
      <c r="AE1452" s="6" t="s">
        <v>11792</v>
      </c>
      <c r="AF1452" s="6" t="s">
        <v>104</v>
      </c>
      <c r="AG1452" s="6" t="s">
        <v>104</v>
      </c>
      <c r="AH1452" s="6" t="s">
        <v>104</v>
      </c>
      <c r="AI1452" s="6" t="s">
        <v>104</v>
      </c>
      <c r="AJ1452" s="6" t="s">
        <v>104</v>
      </c>
      <c r="AK1452" s="6" t="s">
        <v>104</v>
      </c>
      <c r="AL1452" s="6" t="s">
        <v>104</v>
      </c>
      <c r="AM1452" s="6" t="s">
        <v>104</v>
      </c>
      <c r="AN1452" s="6" t="s">
        <v>104</v>
      </c>
      <c r="AO1452" s="6" t="s">
        <v>104</v>
      </c>
      <c r="AP1452" s="6" t="s">
        <v>19345</v>
      </c>
      <c r="AQ1452" s="6" t="s">
        <v>104</v>
      </c>
      <c r="AR1452" s="6" t="s">
        <v>19731</v>
      </c>
      <c r="AS1452" s="6" t="s">
        <v>16745</v>
      </c>
      <c r="AT1452" s="6" t="s">
        <v>16931</v>
      </c>
      <c r="AU1452" s="6" t="s">
        <v>19990</v>
      </c>
      <c r="AV1452" s="6" t="s">
        <v>18459</v>
      </c>
      <c r="AW1452" s="6" t="s">
        <v>18616</v>
      </c>
      <c r="AX1452" s="6" t="s">
        <v>21251</v>
      </c>
      <c r="AY1452" s="6" t="s">
        <v>23051</v>
      </c>
      <c r="AZ1452" s="6" t="s">
        <v>104</v>
      </c>
      <c r="BA1452" s="6" t="s">
        <v>104</v>
      </c>
      <c r="BB1452" s="6" t="s">
        <v>104</v>
      </c>
      <c r="BC1452" s="26"/>
      <c r="BD1452" s="26"/>
      <c r="BE1452" s="26"/>
      <c r="BF1452" s="26"/>
      <c r="BG1452" s="26"/>
      <c r="BH1452" s="26"/>
      <c r="BI1452" s="26"/>
      <c r="BJ1452" s="26"/>
      <c r="BK1452" s="26"/>
      <c r="BL1452" s="26"/>
      <c r="BM1452" s="26"/>
      <c r="BN1452" s="26"/>
      <c r="BO1452" s="26"/>
      <c r="BP1452" s="16" t="n">
        <v>45733</v>
      </c>
      <c r="BQ1452" s="28" t="str">
        <f>HYPERLINK("https://organic.ams.usda.gov/Integrity/Certificate.aspx?cid=62&amp;nopid=8150021139")</f>
        <v>https://organic.ams.usda.gov/Integrity/Certificate.aspx?cid=62&amp;nopid=8150021139</v>
      </c>
    </row>
    <row r="1453">
      <c r="A1453" t="s">
        <v>3</v>
      </c>
      <c r="B1453" s="6" t="s">
        <v>21</v>
      </c>
      <c r="C1453" s="6" t="s">
        <v>87</v>
      </c>
      <c r="D1453" s="6" t="s">
        <v>152</v>
      </c>
      <c r="E1453" s="10" t="s">
        <v>1651</v>
      </c>
      <c r="F1453" s="6" t="s">
        <v>3889</v>
      </c>
      <c r="G1453" s="6" t="s">
        <v>104</v>
      </c>
      <c r="H1453" s="6" t="s">
        <v>6209</v>
      </c>
      <c r="I1453" s="6" t="s">
        <v>7339</v>
      </c>
      <c r="J1453" s="6" t="s">
        <v>9199</v>
      </c>
      <c r="K1453" s="6" t="s">
        <v>9714</v>
      </c>
      <c r="L1453" s="16" t="n">
        <v>43844</v>
      </c>
      <c r="M1453" s="16" t="n">
        <v>46023</v>
      </c>
      <c r="N1453" s="6" t="s">
        <v>104</v>
      </c>
      <c r="O1453" s="21" t="s">
        <v>104</v>
      </c>
      <c r="P1453" s="6" t="s">
        <v>104</v>
      </c>
      <c r="Q1453" s="6" t="s">
        <v>104</v>
      </c>
      <c r="R1453" s="6" t="s">
        <v>104</v>
      </c>
      <c r="S1453" s="6" t="s">
        <v>104</v>
      </c>
      <c r="T1453" s="21" t="s">
        <v>104</v>
      </c>
      <c r="U1453" s="6" t="s">
        <v>104</v>
      </c>
      <c r="V1453" s="6" t="s">
        <v>104</v>
      </c>
      <c r="W1453" s="6" t="s">
        <v>104</v>
      </c>
      <c r="X1453" s="6" t="s">
        <v>104</v>
      </c>
      <c r="Y1453" s="21" t="s">
        <v>104</v>
      </c>
      <c r="Z1453" s="6" t="s">
        <v>104</v>
      </c>
      <c r="AA1453" s="6" t="s">
        <v>104</v>
      </c>
      <c r="AB1453" s="6" t="s">
        <v>104</v>
      </c>
      <c r="AC1453" s="6" t="s">
        <v>9714</v>
      </c>
      <c r="AD1453" s="16" t="n">
        <v>43844</v>
      </c>
      <c r="AE1453" s="6" t="s">
        <v>11793</v>
      </c>
      <c r="AF1453" s="6" t="s">
        <v>104</v>
      </c>
      <c r="AG1453" s="6" t="s">
        <v>104</v>
      </c>
      <c r="AH1453" s="6" t="s">
        <v>14479</v>
      </c>
      <c r="AI1453" s="6" t="s">
        <v>104</v>
      </c>
      <c r="AJ1453" s="6" t="s">
        <v>16279</v>
      </c>
      <c r="AK1453" s="6" t="s">
        <v>16680</v>
      </c>
      <c r="AL1453" s="6" t="s">
        <v>16931</v>
      </c>
      <c r="AM1453" s="6" t="s">
        <v>17961</v>
      </c>
      <c r="AN1453" s="6" t="s">
        <v>18468</v>
      </c>
      <c r="AO1453" s="6" t="s">
        <v>18708</v>
      </c>
      <c r="AP1453" s="6" t="s">
        <v>14479</v>
      </c>
      <c r="AQ1453" s="6" t="s">
        <v>104</v>
      </c>
      <c r="AR1453" s="6" t="s">
        <v>16279</v>
      </c>
      <c r="AS1453" s="6" t="s">
        <v>16680</v>
      </c>
      <c r="AT1453" s="6" t="s">
        <v>16931</v>
      </c>
      <c r="AU1453" s="6" t="s">
        <v>17961</v>
      </c>
      <c r="AV1453" s="6" t="s">
        <v>104</v>
      </c>
      <c r="AW1453" s="6" t="s">
        <v>104</v>
      </c>
      <c r="AX1453" s="6" t="s">
        <v>21252</v>
      </c>
      <c r="AY1453" s="6" t="s">
        <v>23052</v>
      </c>
      <c r="AZ1453" s="6" t="s">
        <v>24056</v>
      </c>
      <c r="BA1453" s="6" t="s">
        <v>24263</v>
      </c>
      <c r="BB1453" s="6" t="s">
        <v>104</v>
      </c>
      <c r="BC1453" s="26"/>
      <c r="BD1453" s="26"/>
      <c r="BE1453" s="26"/>
      <c r="BF1453" s="26"/>
      <c r="BG1453" s="26" t="s">
        <v>24533</v>
      </c>
      <c r="BH1453" s="26"/>
      <c r="BI1453" s="26"/>
      <c r="BJ1453" s="26"/>
      <c r="BK1453" s="26"/>
      <c r="BL1453" s="26"/>
      <c r="BM1453" s="26"/>
      <c r="BN1453" s="26"/>
      <c r="BO1453" s="26"/>
      <c r="BP1453" s="16" t="n">
        <v>45737</v>
      </c>
      <c r="BQ1453" s="28" t="str">
        <f>HYPERLINK("https://organic.ams.usda.gov/Integrity/Certificate.aspx?cid=15&amp;nopid=5561006325")</f>
        <v>https://organic.ams.usda.gov/Integrity/Certificate.aspx?cid=15&amp;nopid=5561006325</v>
      </c>
    </row>
    <row r="1454">
      <c r="A1454" t="s">
        <v>3</v>
      </c>
      <c r="B1454" s="6" t="s">
        <v>6</v>
      </c>
      <c r="C1454" s="6" t="s">
        <v>72</v>
      </c>
      <c r="D1454" s="6" t="s">
        <v>137</v>
      </c>
      <c r="E1454" s="10" t="s">
        <v>1652</v>
      </c>
      <c r="F1454" s="6" t="s">
        <v>3890</v>
      </c>
      <c r="G1454" s="6" t="s">
        <v>104</v>
      </c>
      <c r="H1454" s="6" t="s">
        <v>6210</v>
      </c>
      <c r="I1454" s="6" t="s">
        <v>7445</v>
      </c>
      <c r="J1454" s="6" t="s">
        <v>9200</v>
      </c>
      <c r="K1454" s="6" t="s">
        <v>9714</v>
      </c>
      <c r="L1454" s="16" t="n">
        <v>43591</v>
      </c>
      <c r="M1454" s="16" t="n">
        <v>45940</v>
      </c>
      <c r="N1454" s="6" t="s">
        <v>104</v>
      </c>
      <c r="O1454" s="21" t="s">
        <v>104</v>
      </c>
      <c r="P1454" s="6" t="s">
        <v>104</v>
      </c>
      <c r="Q1454" s="6" t="s">
        <v>104</v>
      </c>
      <c r="R1454" s="6" t="s">
        <v>104</v>
      </c>
      <c r="S1454" s="6" t="s">
        <v>104</v>
      </c>
      <c r="T1454" s="21" t="s">
        <v>104</v>
      </c>
      <c r="U1454" s="6" t="s">
        <v>104</v>
      </c>
      <c r="V1454" s="6" t="s">
        <v>104</v>
      </c>
      <c r="W1454" s="6" t="s">
        <v>104</v>
      </c>
      <c r="X1454" s="6" t="s">
        <v>104</v>
      </c>
      <c r="Y1454" s="21" t="s">
        <v>104</v>
      </c>
      <c r="Z1454" s="6" t="s">
        <v>104</v>
      </c>
      <c r="AA1454" s="6" t="s">
        <v>104</v>
      </c>
      <c r="AB1454" s="6" t="s">
        <v>104</v>
      </c>
      <c r="AC1454" s="6" t="s">
        <v>9714</v>
      </c>
      <c r="AD1454" s="16" t="n">
        <v>43591</v>
      </c>
      <c r="AE1454" s="6" t="s">
        <v>11794</v>
      </c>
      <c r="AF1454" s="6" t="s">
        <v>104</v>
      </c>
      <c r="AG1454" s="6" t="s">
        <v>12941</v>
      </c>
      <c r="AH1454" s="6" t="s">
        <v>14480</v>
      </c>
      <c r="AI1454" s="6" t="s">
        <v>104</v>
      </c>
      <c r="AJ1454" s="6" t="s">
        <v>16280</v>
      </c>
      <c r="AK1454" s="6" t="s">
        <v>16776</v>
      </c>
      <c r="AL1454" s="6" t="s">
        <v>16766</v>
      </c>
      <c r="AM1454" s="6" t="s">
        <v>104</v>
      </c>
      <c r="AN1454" s="6" t="s">
        <v>104</v>
      </c>
      <c r="AO1454" s="6" t="s">
        <v>104</v>
      </c>
      <c r="AP1454" s="6" t="s">
        <v>104</v>
      </c>
      <c r="AQ1454" s="6" t="s">
        <v>104</v>
      </c>
      <c r="AR1454" s="6" t="s">
        <v>104</v>
      </c>
      <c r="AS1454" s="6" t="s">
        <v>104</v>
      </c>
      <c r="AT1454" s="6" t="s">
        <v>104</v>
      </c>
      <c r="AU1454" s="6" t="s">
        <v>104</v>
      </c>
      <c r="AV1454" s="6" t="s">
        <v>104</v>
      </c>
      <c r="AW1454" s="6" t="s">
        <v>104</v>
      </c>
      <c r="AX1454" s="6" t="s">
        <v>21253</v>
      </c>
      <c r="AY1454" s="6" t="s">
        <v>23053</v>
      </c>
      <c r="AZ1454" s="6" t="s">
        <v>104</v>
      </c>
      <c r="BA1454" s="6" t="s">
        <v>24305</v>
      </c>
      <c r="BB1454" s="6" t="s">
        <v>104</v>
      </c>
      <c r="BC1454" s="26"/>
      <c r="BD1454" s="26"/>
      <c r="BE1454" s="26"/>
      <c r="BF1454" s="26"/>
      <c r="BG1454" s="26"/>
      <c r="BH1454" s="26"/>
      <c r="BI1454" s="26"/>
      <c r="BJ1454" s="26"/>
      <c r="BK1454" s="26"/>
      <c r="BL1454" s="26"/>
      <c r="BM1454" s="26"/>
      <c r="BN1454" s="26"/>
      <c r="BO1454" s="26"/>
      <c r="BP1454" s="16" t="n">
        <v>45737</v>
      </c>
      <c r="BQ1454" s="28" t="str">
        <f>HYPERLINK("https://organic.ams.usda.gov/Integrity/Certificate.aspx?cid=32&amp;nopid=2230006603")</f>
        <v>https://organic.ams.usda.gov/Integrity/Certificate.aspx?cid=32&amp;nopid=2230006603</v>
      </c>
    </row>
    <row r="1455">
      <c r="A1455" t="s">
        <v>3</v>
      </c>
      <c r="B1455" s="6" t="s">
        <v>34</v>
      </c>
      <c r="C1455" s="6" t="s">
        <v>100</v>
      </c>
      <c r="D1455" s="6" t="s">
        <v>165</v>
      </c>
      <c r="E1455" s="10" t="s">
        <v>1653</v>
      </c>
      <c r="F1455" s="6" t="s">
        <v>3891</v>
      </c>
      <c r="G1455" s="6" t="s">
        <v>104</v>
      </c>
      <c r="H1455" s="6" t="s">
        <v>6211</v>
      </c>
      <c r="I1455" s="6" t="s">
        <v>7622</v>
      </c>
      <c r="J1455" s="6" t="s">
        <v>9201</v>
      </c>
      <c r="K1455" s="6" t="s">
        <v>9714</v>
      </c>
      <c r="L1455" s="16" t="n">
        <v>45369</v>
      </c>
      <c r="M1455" s="16" t="n">
        <v>45904</v>
      </c>
      <c r="N1455" s="6" t="s">
        <v>104</v>
      </c>
      <c r="O1455" s="21" t="s">
        <v>104</v>
      </c>
      <c r="P1455" s="6" t="s">
        <v>104</v>
      </c>
      <c r="Q1455" s="6" t="s">
        <v>104</v>
      </c>
      <c r="R1455" s="6" t="s">
        <v>104</v>
      </c>
      <c r="S1455" s="6" t="s">
        <v>104</v>
      </c>
      <c r="T1455" s="21" t="s">
        <v>104</v>
      </c>
      <c r="U1455" s="6" t="s">
        <v>104</v>
      </c>
      <c r="V1455" s="6" t="s">
        <v>104</v>
      </c>
      <c r="W1455" s="6" t="s">
        <v>104</v>
      </c>
      <c r="X1455" s="6" t="s">
        <v>104</v>
      </c>
      <c r="Y1455" s="21" t="s">
        <v>104</v>
      </c>
      <c r="Z1455" s="6" t="s">
        <v>104</v>
      </c>
      <c r="AA1455" s="6" t="s">
        <v>104</v>
      </c>
      <c r="AB1455" s="6" t="s">
        <v>104</v>
      </c>
      <c r="AC1455" s="6" t="s">
        <v>9714</v>
      </c>
      <c r="AD1455" s="16" t="n">
        <v>45369</v>
      </c>
      <c r="AE1455" s="6" t="s">
        <v>11795</v>
      </c>
      <c r="AF1455" s="6" t="s">
        <v>104</v>
      </c>
      <c r="AG1455" s="6" t="s">
        <v>12942</v>
      </c>
      <c r="AH1455" s="6" t="s">
        <v>14481</v>
      </c>
      <c r="AI1455" s="6" t="s">
        <v>104</v>
      </c>
      <c r="AJ1455" s="6" t="s">
        <v>16281</v>
      </c>
      <c r="AK1455" s="6" t="s">
        <v>16872</v>
      </c>
      <c r="AL1455" s="6" t="s">
        <v>16958</v>
      </c>
      <c r="AM1455" s="6" t="s">
        <v>17962</v>
      </c>
      <c r="AN1455" s="6" t="s">
        <v>104</v>
      </c>
      <c r="AO1455" s="6" t="s">
        <v>104</v>
      </c>
      <c r="AP1455" s="6" t="s">
        <v>14481</v>
      </c>
      <c r="AQ1455" s="6" t="s">
        <v>104</v>
      </c>
      <c r="AR1455" s="6" t="s">
        <v>16281</v>
      </c>
      <c r="AS1455" s="6" t="s">
        <v>16872</v>
      </c>
      <c r="AT1455" s="6" t="s">
        <v>16958</v>
      </c>
      <c r="AU1455" s="6" t="s">
        <v>17962</v>
      </c>
      <c r="AV1455" s="6" t="s">
        <v>104</v>
      </c>
      <c r="AW1455" s="6" t="s">
        <v>104</v>
      </c>
      <c r="AX1455" s="6" t="s">
        <v>21254</v>
      </c>
      <c r="AY1455" s="6" t="s">
        <v>23054</v>
      </c>
      <c r="AZ1455" s="6" t="s">
        <v>24057</v>
      </c>
      <c r="BA1455" s="6" t="s">
        <v>104</v>
      </c>
      <c r="BB1455" s="6" t="s">
        <v>104</v>
      </c>
      <c r="BC1455" s="26"/>
      <c r="BD1455" s="26"/>
      <c r="BE1455" s="26"/>
      <c r="BF1455" s="26"/>
      <c r="BG1455" s="26"/>
      <c r="BH1455" s="26"/>
      <c r="BI1455" s="26"/>
      <c r="BJ1455" s="26"/>
      <c r="BK1455" s="26"/>
      <c r="BL1455" s="26"/>
      <c r="BM1455" s="26"/>
      <c r="BN1455" s="26"/>
      <c r="BO1455" s="26"/>
      <c r="BP1455" s="16" t="n">
        <v>45739</v>
      </c>
      <c r="BQ1455" s="28" t="str">
        <f>HYPERLINK("https://organic.ams.usda.gov/Integrity/Certificate.aspx?cid=71&amp;nopid=5520029762")</f>
        <v>https://organic.ams.usda.gov/Integrity/Certificate.aspx?cid=71&amp;nopid=5520029762</v>
      </c>
    </row>
    <row r="1456">
      <c r="A1456" t="s">
        <v>3</v>
      </c>
      <c r="B1456" s="6" t="s">
        <v>29</v>
      </c>
      <c r="C1456" s="6" t="s">
        <v>95</v>
      </c>
      <c r="D1456" s="6" t="s">
        <v>160</v>
      </c>
      <c r="E1456" s="10" t="s">
        <v>1654</v>
      </c>
      <c r="F1456" s="6" t="s">
        <v>3892</v>
      </c>
      <c r="G1456" s="6" t="s">
        <v>104</v>
      </c>
      <c r="H1456" s="6" t="s">
        <v>6212</v>
      </c>
      <c r="I1456" s="6" t="s">
        <v>104</v>
      </c>
      <c r="J1456" s="6" t="s">
        <v>9202</v>
      </c>
      <c r="K1456" s="6" t="s">
        <v>9714</v>
      </c>
      <c r="L1456" s="16" t="n">
        <v>45229</v>
      </c>
      <c r="M1456" s="16" t="n">
        <v>46054</v>
      </c>
      <c r="N1456" s="6" t="s">
        <v>104</v>
      </c>
      <c r="O1456" s="21" t="s">
        <v>104</v>
      </c>
      <c r="P1456" s="6" t="s">
        <v>104</v>
      </c>
      <c r="Q1456" s="6" t="s">
        <v>104</v>
      </c>
      <c r="R1456" s="6" t="s">
        <v>104</v>
      </c>
      <c r="S1456" s="6" t="s">
        <v>104</v>
      </c>
      <c r="T1456" s="21" t="s">
        <v>104</v>
      </c>
      <c r="U1456" s="6" t="s">
        <v>104</v>
      </c>
      <c r="V1456" s="6" t="s">
        <v>104</v>
      </c>
      <c r="W1456" s="6" t="s">
        <v>104</v>
      </c>
      <c r="X1456" s="6" t="s">
        <v>104</v>
      </c>
      <c r="Y1456" s="21" t="s">
        <v>104</v>
      </c>
      <c r="Z1456" s="6" t="s">
        <v>104</v>
      </c>
      <c r="AA1456" s="6" t="s">
        <v>104</v>
      </c>
      <c r="AB1456" s="6" t="s">
        <v>104</v>
      </c>
      <c r="AC1456" s="6" t="s">
        <v>9714</v>
      </c>
      <c r="AD1456" s="16" t="n">
        <v>45229</v>
      </c>
      <c r="AE1456" s="6" t="s">
        <v>11796</v>
      </c>
      <c r="AF1456" s="6" t="s">
        <v>104</v>
      </c>
      <c r="AG1456" s="6" t="s">
        <v>104</v>
      </c>
      <c r="AH1456" s="6" t="s">
        <v>14482</v>
      </c>
      <c r="AI1456" s="6" t="s">
        <v>104</v>
      </c>
      <c r="AJ1456" s="6" t="s">
        <v>15780</v>
      </c>
      <c r="AK1456" s="6" t="s">
        <v>16370</v>
      </c>
      <c r="AL1456" s="6" t="s">
        <v>16931</v>
      </c>
      <c r="AM1456" s="6" t="s">
        <v>17963</v>
      </c>
      <c r="AN1456" s="6" t="s">
        <v>104</v>
      </c>
      <c r="AO1456" s="6" t="s">
        <v>104</v>
      </c>
      <c r="AP1456" s="6" t="s">
        <v>104</v>
      </c>
      <c r="AQ1456" s="6" t="s">
        <v>104</v>
      </c>
      <c r="AR1456" s="6" t="s">
        <v>104</v>
      </c>
      <c r="AS1456" s="6" t="s">
        <v>104</v>
      </c>
      <c r="AT1456" s="6" t="s">
        <v>104</v>
      </c>
      <c r="AU1456" s="6" t="s">
        <v>104</v>
      </c>
      <c r="AV1456" s="6" t="s">
        <v>104</v>
      </c>
      <c r="AW1456" s="6" t="s">
        <v>104</v>
      </c>
      <c r="AX1456" s="6" t="s">
        <v>21255</v>
      </c>
      <c r="AY1456" s="6" t="s">
        <v>23055</v>
      </c>
      <c r="AZ1456" s="6" t="s">
        <v>104</v>
      </c>
      <c r="BA1456" s="6" t="s">
        <v>104</v>
      </c>
      <c r="BB1456" s="24" t="n">
        <v>0</v>
      </c>
      <c r="BC1456" s="26"/>
      <c r="BD1456" s="26"/>
      <c r="BE1456" s="26"/>
      <c r="BF1456" s="26"/>
      <c r="BG1456" s="26" t="s">
        <v>24533</v>
      </c>
      <c r="BH1456" s="26"/>
      <c r="BI1456" s="26"/>
      <c r="BJ1456" s="26"/>
      <c r="BK1456" s="26"/>
      <c r="BL1456" s="26"/>
      <c r="BM1456" s="26"/>
      <c r="BN1456" s="26"/>
      <c r="BO1456" s="26"/>
      <c r="BP1456" s="16" t="n">
        <v>45691</v>
      </c>
      <c r="BQ1456" s="28" t="str">
        <f>HYPERLINK("https://organic.ams.usda.gov/Integrity/Certificate.aspx?cid=24&amp;nopid=7880280511")</f>
        <v>https://organic.ams.usda.gov/Integrity/Certificate.aspx?cid=24&amp;nopid=7880280511</v>
      </c>
    </row>
    <row r="1457">
      <c r="A1457" t="s">
        <v>3</v>
      </c>
      <c r="B1457" s="6" t="s">
        <v>29</v>
      </c>
      <c r="C1457" s="6" t="s">
        <v>95</v>
      </c>
      <c r="D1457" s="6" t="s">
        <v>160</v>
      </c>
      <c r="E1457" s="10" t="s">
        <v>1655</v>
      </c>
      <c r="F1457" s="6" t="s">
        <v>3893</v>
      </c>
      <c r="G1457" s="6" t="s">
        <v>104</v>
      </c>
      <c r="H1457" s="6" t="s">
        <v>6213</v>
      </c>
      <c r="I1457" s="6" t="s">
        <v>104</v>
      </c>
      <c r="J1457" s="6" t="s">
        <v>9203</v>
      </c>
      <c r="K1457" s="6" t="s">
        <v>9714</v>
      </c>
      <c r="L1457" s="16" t="n">
        <v>45503</v>
      </c>
      <c r="M1457" s="16" t="n">
        <v>45778</v>
      </c>
      <c r="N1457" s="6" t="s">
        <v>104</v>
      </c>
      <c r="O1457" s="21" t="s">
        <v>104</v>
      </c>
      <c r="P1457" s="6" t="s">
        <v>104</v>
      </c>
      <c r="Q1457" s="6" t="s">
        <v>104</v>
      </c>
      <c r="R1457" s="6" t="s">
        <v>104</v>
      </c>
      <c r="S1457" s="6" t="s">
        <v>104</v>
      </c>
      <c r="T1457" s="21" t="s">
        <v>104</v>
      </c>
      <c r="U1457" s="6" t="s">
        <v>104</v>
      </c>
      <c r="V1457" s="6" t="s">
        <v>104</v>
      </c>
      <c r="W1457" s="6" t="s">
        <v>104</v>
      </c>
      <c r="X1457" s="6" t="s">
        <v>104</v>
      </c>
      <c r="Y1457" s="21" t="s">
        <v>104</v>
      </c>
      <c r="Z1457" s="6" t="s">
        <v>104</v>
      </c>
      <c r="AA1457" s="6" t="s">
        <v>104</v>
      </c>
      <c r="AB1457" s="6" t="s">
        <v>104</v>
      </c>
      <c r="AC1457" s="6" t="s">
        <v>9714</v>
      </c>
      <c r="AD1457" s="16" t="n">
        <v>45503</v>
      </c>
      <c r="AE1457" s="6" t="s">
        <v>11797</v>
      </c>
      <c r="AF1457" s="6" t="s">
        <v>104</v>
      </c>
      <c r="AG1457" s="6" t="s">
        <v>104</v>
      </c>
      <c r="AH1457" s="6" t="s">
        <v>14483</v>
      </c>
      <c r="AI1457" s="6" t="s">
        <v>104</v>
      </c>
      <c r="AJ1457" s="6" t="s">
        <v>104</v>
      </c>
      <c r="AK1457" s="6" t="s">
        <v>16713</v>
      </c>
      <c r="AL1457" s="6" t="s">
        <v>16932</v>
      </c>
      <c r="AM1457" s="6" t="s">
        <v>17964</v>
      </c>
      <c r="AN1457" s="6" t="s">
        <v>104</v>
      </c>
      <c r="AO1457" s="6" t="s">
        <v>104</v>
      </c>
      <c r="AP1457" s="6" t="s">
        <v>104</v>
      </c>
      <c r="AQ1457" s="6" t="s">
        <v>104</v>
      </c>
      <c r="AR1457" s="6" t="s">
        <v>104</v>
      </c>
      <c r="AS1457" s="6" t="s">
        <v>104</v>
      </c>
      <c r="AT1457" s="6" t="s">
        <v>104</v>
      </c>
      <c r="AU1457" s="6" t="s">
        <v>104</v>
      </c>
      <c r="AV1457" s="6" t="s">
        <v>104</v>
      </c>
      <c r="AW1457" s="6" t="s">
        <v>104</v>
      </c>
      <c r="AX1457" s="6" t="s">
        <v>21256</v>
      </c>
      <c r="AY1457" s="6" t="s">
        <v>23056</v>
      </c>
      <c r="AZ1457" s="6" t="s">
        <v>104</v>
      </c>
      <c r="BA1457" s="6" t="s">
        <v>104</v>
      </c>
      <c r="BB1457" s="24" t="n">
        <v>0</v>
      </c>
      <c r="BC1457" s="26"/>
      <c r="BD1457" s="26"/>
      <c r="BE1457" s="26"/>
      <c r="BF1457" s="26"/>
      <c r="BG1457" s="26"/>
      <c r="BH1457" s="26"/>
      <c r="BI1457" s="26"/>
      <c r="BJ1457" s="26"/>
      <c r="BK1457" s="26"/>
      <c r="BL1457" s="26"/>
      <c r="BM1457" s="26"/>
      <c r="BN1457" s="26"/>
      <c r="BO1457" s="26"/>
      <c r="BP1457" s="16" t="n">
        <v>45633</v>
      </c>
      <c r="BQ1457" s="28" t="str">
        <f>HYPERLINK("https://organic.ams.usda.gov/Integrity/Certificate.aspx?cid=24&amp;nopid=7880294724")</f>
        <v>https://organic.ams.usda.gov/Integrity/Certificate.aspx?cid=24&amp;nopid=7880294724</v>
      </c>
    </row>
    <row r="1458">
      <c r="A1458" t="s">
        <v>3</v>
      </c>
      <c r="B1458" s="6" t="s">
        <v>17</v>
      </c>
      <c r="C1458" s="6" t="s">
        <v>83</v>
      </c>
      <c r="D1458" s="6" t="s">
        <v>148</v>
      </c>
      <c r="E1458" s="10" t="s">
        <v>1656</v>
      </c>
      <c r="F1458" s="6" t="s">
        <v>3894</v>
      </c>
      <c r="G1458" s="6" t="s">
        <v>104</v>
      </c>
      <c r="H1458" s="6" t="s">
        <v>6214</v>
      </c>
      <c r="I1458" s="6" t="s">
        <v>7776</v>
      </c>
      <c r="J1458" s="6" t="s">
        <v>9204</v>
      </c>
      <c r="K1458" s="6" t="s">
        <v>9714</v>
      </c>
      <c r="L1458" s="16" t="n">
        <v>45552</v>
      </c>
      <c r="M1458" s="16" t="n">
        <v>45748</v>
      </c>
      <c r="N1458" s="6" t="s">
        <v>104</v>
      </c>
      <c r="O1458" s="21" t="s">
        <v>104</v>
      </c>
      <c r="P1458" s="6" t="s">
        <v>104</v>
      </c>
      <c r="Q1458" s="6" t="s">
        <v>104</v>
      </c>
      <c r="R1458" s="6" t="s">
        <v>104</v>
      </c>
      <c r="S1458" s="6" t="s">
        <v>104</v>
      </c>
      <c r="T1458" s="21" t="s">
        <v>104</v>
      </c>
      <c r="U1458" s="6" t="s">
        <v>104</v>
      </c>
      <c r="V1458" s="6" t="s">
        <v>104</v>
      </c>
      <c r="W1458" s="6" t="s">
        <v>104</v>
      </c>
      <c r="X1458" s="6" t="s">
        <v>104</v>
      </c>
      <c r="Y1458" s="21" t="s">
        <v>104</v>
      </c>
      <c r="Z1458" s="6" t="s">
        <v>104</v>
      </c>
      <c r="AA1458" s="6" t="s">
        <v>104</v>
      </c>
      <c r="AB1458" s="6" t="s">
        <v>104</v>
      </c>
      <c r="AC1458" s="6" t="s">
        <v>9714</v>
      </c>
      <c r="AD1458" s="16" t="n">
        <v>45552</v>
      </c>
      <c r="AE1458" s="6" t="s">
        <v>11798</v>
      </c>
      <c r="AF1458" s="6" t="s">
        <v>104</v>
      </c>
      <c r="AG1458" s="6" t="s">
        <v>104</v>
      </c>
      <c r="AH1458" s="6" t="s">
        <v>14484</v>
      </c>
      <c r="AI1458" s="6" t="s">
        <v>104</v>
      </c>
      <c r="AJ1458" s="6" t="s">
        <v>16282</v>
      </c>
      <c r="AK1458" s="6" t="s">
        <v>16680</v>
      </c>
      <c r="AL1458" s="6" t="s">
        <v>16931</v>
      </c>
      <c r="AM1458" s="6" t="s">
        <v>17965</v>
      </c>
      <c r="AN1458" s="6" t="s">
        <v>104</v>
      </c>
      <c r="AO1458" s="6" t="s">
        <v>104</v>
      </c>
      <c r="AP1458" s="6" t="s">
        <v>14484</v>
      </c>
      <c r="AQ1458" s="6" t="s">
        <v>104</v>
      </c>
      <c r="AR1458" s="6" t="s">
        <v>16282</v>
      </c>
      <c r="AS1458" s="6" t="s">
        <v>16680</v>
      </c>
      <c r="AT1458" s="6" t="s">
        <v>16931</v>
      </c>
      <c r="AU1458" s="6" t="s">
        <v>17965</v>
      </c>
      <c r="AV1458" s="6" t="s">
        <v>104</v>
      </c>
      <c r="AW1458" s="6" t="s">
        <v>104</v>
      </c>
      <c r="AX1458" s="6" t="s">
        <v>21257</v>
      </c>
      <c r="AY1458" s="6" t="s">
        <v>23057</v>
      </c>
      <c r="AZ1458" s="6" t="s">
        <v>104</v>
      </c>
      <c r="BA1458" s="6" t="s">
        <v>104</v>
      </c>
      <c r="BB1458" s="24" t="n">
        <v>0</v>
      </c>
      <c r="BC1458" s="26"/>
      <c r="BD1458" s="26"/>
      <c r="BE1458" s="26"/>
      <c r="BF1458" s="26"/>
      <c r="BG1458" s="26"/>
      <c r="BH1458" s="26" t="s">
        <v>24533</v>
      </c>
      <c r="BI1458" s="26"/>
      <c r="BJ1458" s="26"/>
      <c r="BK1458" s="26"/>
      <c r="BL1458" s="26"/>
      <c r="BM1458" s="26"/>
      <c r="BN1458" s="26"/>
      <c r="BO1458" s="26"/>
      <c r="BP1458" s="16" t="n">
        <v>45664</v>
      </c>
      <c r="BQ1458" s="28" t="str">
        <f>HYPERLINK("https://organic.ams.usda.gov/Integrity/Certificate.aspx?cid=51&amp;nopid=8241000125")</f>
        <v>https://organic.ams.usda.gov/Integrity/Certificate.aspx?cid=51&amp;nopid=8241000125</v>
      </c>
    </row>
    <row r="1459">
      <c r="A1459" t="s">
        <v>3</v>
      </c>
      <c r="B1459" s="6" t="s">
        <v>19</v>
      </c>
      <c r="C1459" s="6" t="s">
        <v>85</v>
      </c>
      <c r="D1459" s="6" t="s">
        <v>150</v>
      </c>
      <c r="E1459" s="10" t="s">
        <v>1657</v>
      </c>
      <c r="F1459" s="6" t="s">
        <v>3895</v>
      </c>
      <c r="G1459" s="6" t="s">
        <v>104</v>
      </c>
      <c r="H1459" s="6" t="s">
        <v>6215</v>
      </c>
      <c r="I1459" s="6" t="s">
        <v>7138</v>
      </c>
      <c r="J1459" s="6" t="s">
        <v>9205</v>
      </c>
      <c r="K1459" s="6" t="s">
        <v>9714</v>
      </c>
      <c r="L1459" s="16" t="n">
        <v>45691</v>
      </c>
      <c r="M1459" s="16" t="n">
        <v>45717</v>
      </c>
      <c r="N1459" s="6" t="s">
        <v>104</v>
      </c>
      <c r="O1459" s="21" t="s">
        <v>104</v>
      </c>
      <c r="P1459" s="6" t="s">
        <v>104</v>
      </c>
      <c r="Q1459" s="6" t="s">
        <v>104</v>
      </c>
      <c r="R1459" s="6" t="s">
        <v>104</v>
      </c>
      <c r="S1459" s="6" t="s">
        <v>104</v>
      </c>
      <c r="T1459" s="21" t="s">
        <v>104</v>
      </c>
      <c r="U1459" s="6" t="s">
        <v>104</v>
      </c>
      <c r="V1459" s="6" t="s">
        <v>104</v>
      </c>
      <c r="W1459" s="6" t="s">
        <v>104</v>
      </c>
      <c r="X1459" s="6" t="s">
        <v>104</v>
      </c>
      <c r="Y1459" s="21" t="s">
        <v>104</v>
      </c>
      <c r="Z1459" s="6" t="s">
        <v>104</v>
      </c>
      <c r="AA1459" s="6" t="s">
        <v>104</v>
      </c>
      <c r="AB1459" s="6" t="s">
        <v>104</v>
      </c>
      <c r="AC1459" s="6" t="s">
        <v>9714</v>
      </c>
      <c r="AD1459" s="16" t="n">
        <v>45691</v>
      </c>
      <c r="AE1459" s="6" t="s">
        <v>11799</v>
      </c>
      <c r="AF1459" s="6" t="s">
        <v>104</v>
      </c>
      <c r="AG1459" s="6" t="s">
        <v>104</v>
      </c>
      <c r="AH1459" s="6" t="s">
        <v>14485</v>
      </c>
      <c r="AI1459" s="6" t="s">
        <v>104</v>
      </c>
      <c r="AJ1459" s="6" t="s">
        <v>16283</v>
      </c>
      <c r="AK1459" s="6" t="s">
        <v>16680</v>
      </c>
      <c r="AL1459" s="6" t="s">
        <v>16931</v>
      </c>
      <c r="AM1459" s="6" t="s">
        <v>17966</v>
      </c>
      <c r="AN1459" s="6" t="s">
        <v>104</v>
      </c>
      <c r="AO1459" s="6" t="s">
        <v>104</v>
      </c>
      <c r="AP1459" s="6" t="s">
        <v>14485</v>
      </c>
      <c r="AQ1459" s="6" t="s">
        <v>104</v>
      </c>
      <c r="AR1459" s="6" t="s">
        <v>16283</v>
      </c>
      <c r="AS1459" s="6" t="s">
        <v>16680</v>
      </c>
      <c r="AT1459" s="6" t="s">
        <v>16931</v>
      </c>
      <c r="AU1459" s="6" t="s">
        <v>17966</v>
      </c>
      <c r="AV1459" s="6" t="s">
        <v>104</v>
      </c>
      <c r="AW1459" s="6" t="s">
        <v>104</v>
      </c>
      <c r="AX1459" s="6" t="s">
        <v>21258</v>
      </c>
      <c r="AY1459" s="6" t="s">
        <v>23058</v>
      </c>
      <c r="AZ1459" s="6" t="s">
        <v>24058</v>
      </c>
      <c r="BA1459" s="6" t="s">
        <v>104</v>
      </c>
      <c r="BB1459" s="6" t="s">
        <v>104</v>
      </c>
      <c r="BC1459" s="26"/>
      <c r="BD1459" s="26"/>
      <c r="BE1459" s="26"/>
      <c r="BF1459" s="26"/>
      <c r="BG1459" s="26"/>
      <c r="BH1459" s="26"/>
      <c r="BI1459" s="26"/>
      <c r="BJ1459" s="26"/>
      <c r="BK1459" s="26"/>
      <c r="BL1459" s="26"/>
      <c r="BM1459" s="26"/>
      <c r="BN1459" s="26"/>
      <c r="BO1459" s="26"/>
      <c r="BP1459" s="16" t="n">
        <v>45691</v>
      </c>
      <c r="BQ1459" s="28" t="str">
        <f>HYPERLINK("https://organic.ams.usda.gov/Integrity/Certificate.aspx?cid=68&amp;nopid=8210009057")</f>
        <v>https://organic.ams.usda.gov/Integrity/Certificate.aspx?cid=68&amp;nopid=8210009057</v>
      </c>
    </row>
    <row r="1460">
      <c r="A1460" t="s">
        <v>3</v>
      </c>
      <c r="B1460" s="6" t="s">
        <v>22</v>
      </c>
      <c r="C1460" s="6" t="s">
        <v>88</v>
      </c>
      <c r="D1460" s="6" t="s">
        <v>153</v>
      </c>
      <c r="E1460" s="10" t="s">
        <v>1658</v>
      </c>
      <c r="F1460" s="6" t="s">
        <v>3896</v>
      </c>
      <c r="G1460" s="6" t="s">
        <v>104</v>
      </c>
      <c r="H1460" s="6" t="s">
        <v>6216</v>
      </c>
      <c r="I1460" s="6" t="s">
        <v>7636</v>
      </c>
      <c r="J1460" s="6" t="s">
        <v>9206</v>
      </c>
      <c r="K1460" s="6" t="s">
        <v>9714</v>
      </c>
      <c r="L1460" s="16" t="n">
        <v>45555</v>
      </c>
      <c r="M1460" s="16" t="n">
        <v>45748</v>
      </c>
      <c r="N1460" s="6" t="s">
        <v>104</v>
      </c>
      <c r="O1460" s="21" t="s">
        <v>104</v>
      </c>
      <c r="P1460" s="6" t="s">
        <v>104</v>
      </c>
      <c r="Q1460" s="6" t="s">
        <v>104</v>
      </c>
      <c r="R1460" s="6" t="s">
        <v>104</v>
      </c>
      <c r="S1460" s="6" t="s">
        <v>104</v>
      </c>
      <c r="T1460" s="21" t="s">
        <v>104</v>
      </c>
      <c r="U1460" s="6" t="s">
        <v>104</v>
      </c>
      <c r="V1460" s="6" t="s">
        <v>104</v>
      </c>
      <c r="W1460" s="6" t="s">
        <v>104</v>
      </c>
      <c r="X1460" s="6" t="s">
        <v>104</v>
      </c>
      <c r="Y1460" s="21" t="s">
        <v>104</v>
      </c>
      <c r="Z1460" s="6" t="s">
        <v>104</v>
      </c>
      <c r="AA1460" s="6" t="s">
        <v>104</v>
      </c>
      <c r="AB1460" s="6" t="s">
        <v>104</v>
      </c>
      <c r="AC1460" s="6" t="s">
        <v>9714</v>
      </c>
      <c r="AD1460" s="16" t="n">
        <v>45555</v>
      </c>
      <c r="AE1460" s="6" t="s">
        <v>11800</v>
      </c>
      <c r="AF1460" s="6" t="s">
        <v>104</v>
      </c>
      <c r="AG1460" s="6" t="s">
        <v>12943</v>
      </c>
      <c r="AH1460" s="6" t="s">
        <v>14486</v>
      </c>
      <c r="AI1460" s="6" t="s">
        <v>15309</v>
      </c>
      <c r="AJ1460" s="6" t="s">
        <v>15802</v>
      </c>
      <c r="AK1460" s="6" t="s">
        <v>16370</v>
      </c>
      <c r="AL1460" s="6" t="s">
        <v>16931</v>
      </c>
      <c r="AM1460" s="6" t="s">
        <v>17967</v>
      </c>
      <c r="AN1460" s="6" t="s">
        <v>104</v>
      </c>
      <c r="AO1460" s="6" t="s">
        <v>104</v>
      </c>
      <c r="AP1460" s="6" t="s">
        <v>14486</v>
      </c>
      <c r="AQ1460" s="6" t="s">
        <v>15309</v>
      </c>
      <c r="AR1460" s="6" t="s">
        <v>15802</v>
      </c>
      <c r="AS1460" s="6" t="s">
        <v>16370</v>
      </c>
      <c r="AT1460" s="6" t="s">
        <v>16931</v>
      </c>
      <c r="AU1460" s="6" t="s">
        <v>17967</v>
      </c>
      <c r="AV1460" s="6" t="s">
        <v>104</v>
      </c>
      <c r="AW1460" s="6" t="s">
        <v>104</v>
      </c>
      <c r="AX1460" s="6" t="s">
        <v>21259</v>
      </c>
      <c r="AY1460" s="6" t="s">
        <v>23059</v>
      </c>
      <c r="AZ1460" s="6" t="s">
        <v>24059</v>
      </c>
      <c r="BA1460" s="6" t="s">
        <v>104</v>
      </c>
      <c r="BB1460" s="6" t="s">
        <v>104</v>
      </c>
      <c r="BC1460" s="26"/>
      <c r="BD1460" s="26"/>
      <c r="BE1460" s="26"/>
      <c r="BF1460" s="26"/>
      <c r="BG1460" s="26" t="s">
        <v>24533</v>
      </c>
      <c r="BH1460" s="26" t="s">
        <v>24533</v>
      </c>
      <c r="BI1460" s="26"/>
      <c r="BJ1460" s="26"/>
      <c r="BK1460" s="26"/>
      <c r="BL1460" s="26"/>
      <c r="BM1460" s="26"/>
      <c r="BN1460" s="26"/>
      <c r="BO1460" s="26"/>
      <c r="BP1460" s="16" t="n">
        <v>45695</v>
      </c>
      <c r="BQ1460" s="28" t="str">
        <f>HYPERLINK("https://organic.ams.usda.gov/Integrity/Certificate.aspx?cid=72&amp;nopid=5870107219")</f>
        <v>https://organic.ams.usda.gov/Integrity/Certificate.aspx?cid=72&amp;nopid=5870107219</v>
      </c>
    </row>
    <row r="1461">
      <c r="A1461" t="s">
        <v>3</v>
      </c>
      <c r="B1461" s="6" t="s">
        <v>28</v>
      </c>
      <c r="C1461" s="6" t="s">
        <v>94</v>
      </c>
      <c r="D1461" s="6" t="s">
        <v>159</v>
      </c>
      <c r="E1461" s="10" t="s">
        <v>1659</v>
      </c>
      <c r="F1461" s="6" t="s">
        <v>3897</v>
      </c>
      <c r="G1461" s="6" t="s">
        <v>104</v>
      </c>
      <c r="H1461" s="6" t="s">
        <v>6217</v>
      </c>
      <c r="I1461" s="6" t="s">
        <v>7777</v>
      </c>
      <c r="J1461" s="6" t="s">
        <v>9207</v>
      </c>
      <c r="K1461" s="6" t="s">
        <v>9714</v>
      </c>
      <c r="L1461" s="16" t="n">
        <v>42177</v>
      </c>
      <c r="M1461" s="16" t="n">
        <v>45748</v>
      </c>
      <c r="N1461" s="6" t="s">
        <v>9714</v>
      </c>
      <c r="O1461" s="16" t="n">
        <v>42177</v>
      </c>
      <c r="P1461" s="6" t="s">
        <v>10120</v>
      </c>
      <c r="Q1461" s="6" t="s">
        <v>104</v>
      </c>
      <c r="R1461" s="6" t="s">
        <v>10406</v>
      </c>
      <c r="S1461" s="6" t="s">
        <v>104</v>
      </c>
      <c r="T1461" s="21" t="s">
        <v>104</v>
      </c>
      <c r="U1461" s="6" t="s">
        <v>104</v>
      </c>
      <c r="V1461" s="6" t="s">
        <v>104</v>
      </c>
      <c r="W1461" s="6" t="s">
        <v>104</v>
      </c>
      <c r="X1461" s="6" t="s">
        <v>104</v>
      </c>
      <c r="Y1461" s="21" t="s">
        <v>104</v>
      </c>
      <c r="Z1461" s="6" t="s">
        <v>104</v>
      </c>
      <c r="AA1461" s="6" t="s">
        <v>104</v>
      </c>
      <c r="AB1461" s="6" t="s">
        <v>104</v>
      </c>
      <c r="AC1461" s="6" t="s">
        <v>9714</v>
      </c>
      <c r="AD1461" s="16" t="n">
        <v>42177</v>
      </c>
      <c r="AE1461" s="6" t="s">
        <v>11801</v>
      </c>
      <c r="AF1461" s="6" t="s">
        <v>104</v>
      </c>
      <c r="AG1461" s="6" t="s">
        <v>10406</v>
      </c>
      <c r="AH1461" s="6" t="s">
        <v>14487</v>
      </c>
      <c r="AI1461" s="6" t="s">
        <v>104</v>
      </c>
      <c r="AJ1461" s="6" t="s">
        <v>16284</v>
      </c>
      <c r="AK1461" s="6" t="s">
        <v>104</v>
      </c>
      <c r="AL1461" s="6" t="s">
        <v>16898</v>
      </c>
      <c r="AM1461" s="6" t="s">
        <v>104</v>
      </c>
      <c r="AN1461" s="6" t="s">
        <v>104</v>
      </c>
      <c r="AO1461" s="6" t="s">
        <v>104</v>
      </c>
      <c r="AP1461" s="6" t="s">
        <v>104</v>
      </c>
      <c r="AQ1461" s="6" t="s">
        <v>104</v>
      </c>
      <c r="AR1461" s="6" t="s">
        <v>104</v>
      </c>
      <c r="AS1461" s="6" t="s">
        <v>104</v>
      </c>
      <c r="AT1461" s="6" t="s">
        <v>104</v>
      </c>
      <c r="AU1461" s="6" t="s">
        <v>104</v>
      </c>
      <c r="AV1461" s="6" t="s">
        <v>104</v>
      </c>
      <c r="AW1461" s="6" t="s">
        <v>104</v>
      </c>
      <c r="AX1461" s="6" t="s">
        <v>21260</v>
      </c>
      <c r="AY1461" s="6" t="s">
        <v>23060</v>
      </c>
      <c r="AZ1461" s="6" t="s">
        <v>24060</v>
      </c>
      <c r="BA1461" s="6" t="s">
        <v>24449</v>
      </c>
      <c r="BB1461" s="24" t="n">
        <v>314</v>
      </c>
      <c r="BC1461" s="26"/>
      <c r="BD1461" s="26"/>
      <c r="BE1461" s="26"/>
      <c r="BF1461" s="26"/>
      <c r="BG1461" s="26"/>
      <c r="BH1461" s="26"/>
      <c r="BI1461" s="26"/>
      <c r="BJ1461" s="26"/>
      <c r="BK1461" s="26"/>
      <c r="BL1461" s="26"/>
      <c r="BM1461" s="26"/>
      <c r="BN1461" s="26"/>
      <c r="BO1461" s="26"/>
      <c r="BP1461" s="16" t="n">
        <v>45632</v>
      </c>
      <c r="BQ1461" s="28" t="str">
        <f>HYPERLINK("https://organic.ams.usda.gov/Integrity/Certificate.aspx?cid=11&amp;nopid=4799076000")</f>
        <v>https://organic.ams.usda.gov/Integrity/Certificate.aspx?cid=11&amp;nopid=4799076000</v>
      </c>
    </row>
    <row r="1462">
      <c r="A1462" t="s">
        <v>3</v>
      </c>
      <c r="B1462" s="6" t="s">
        <v>9</v>
      </c>
      <c r="C1462" s="6" t="s">
        <v>75</v>
      </c>
      <c r="D1462" s="6" t="s">
        <v>140</v>
      </c>
      <c r="E1462" s="10" t="s">
        <v>1660</v>
      </c>
      <c r="F1462" s="6" t="s">
        <v>3898</v>
      </c>
      <c r="G1462" s="6" t="s">
        <v>104</v>
      </c>
      <c r="H1462" s="6" t="s">
        <v>6218</v>
      </c>
      <c r="I1462" s="6" t="s">
        <v>6933</v>
      </c>
      <c r="J1462" s="6" t="s">
        <v>9208</v>
      </c>
      <c r="K1462" s="6" t="s">
        <v>9714</v>
      </c>
      <c r="L1462" s="16" t="n">
        <v>44222</v>
      </c>
      <c r="M1462" s="16" t="n">
        <v>45683</v>
      </c>
      <c r="N1462" s="6" t="s">
        <v>104</v>
      </c>
      <c r="O1462" s="21" t="s">
        <v>104</v>
      </c>
      <c r="P1462" s="6" t="s">
        <v>104</v>
      </c>
      <c r="Q1462" s="6" t="s">
        <v>104</v>
      </c>
      <c r="R1462" s="6" t="s">
        <v>104</v>
      </c>
      <c r="S1462" s="6" t="s">
        <v>104</v>
      </c>
      <c r="T1462" s="21" t="s">
        <v>104</v>
      </c>
      <c r="U1462" s="6" t="s">
        <v>104</v>
      </c>
      <c r="V1462" s="6" t="s">
        <v>104</v>
      </c>
      <c r="W1462" s="6" t="s">
        <v>104</v>
      </c>
      <c r="X1462" s="6" t="s">
        <v>104</v>
      </c>
      <c r="Y1462" s="21" t="s">
        <v>104</v>
      </c>
      <c r="Z1462" s="6" t="s">
        <v>104</v>
      </c>
      <c r="AA1462" s="6" t="s">
        <v>104</v>
      </c>
      <c r="AB1462" s="6" t="s">
        <v>104</v>
      </c>
      <c r="AC1462" s="6" t="s">
        <v>9714</v>
      </c>
      <c r="AD1462" s="16" t="n">
        <v>44222</v>
      </c>
      <c r="AE1462" s="6" t="s">
        <v>11802</v>
      </c>
      <c r="AF1462" s="6" t="s">
        <v>104</v>
      </c>
      <c r="AG1462" s="6" t="s">
        <v>12944</v>
      </c>
      <c r="AH1462" s="6" t="s">
        <v>104</v>
      </c>
      <c r="AI1462" s="6" t="s">
        <v>104</v>
      </c>
      <c r="AJ1462" s="6" t="s">
        <v>104</v>
      </c>
      <c r="AK1462" s="6" t="s">
        <v>104</v>
      </c>
      <c r="AL1462" s="6" t="s">
        <v>104</v>
      </c>
      <c r="AM1462" s="6" t="s">
        <v>104</v>
      </c>
      <c r="AN1462" s="6" t="s">
        <v>104</v>
      </c>
      <c r="AO1462" s="6" t="s">
        <v>104</v>
      </c>
      <c r="AP1462" s="6" t="s">
        <v>19346</v>
      </c>
      <c r="AQ1462" s="6" t="s">
        <v>104</v>
      </c>
      <c r="AR1462" s="6" t="s">
        <v>19732</v>
      </c>
      <c r="AS1462" s="6" t="s">
        <v>16687</v>
      </c>
      <c r="AT1462" s="6" t="s">
        <v>16931</v>
      </c>
      <c r="AU1462" s="6" t="s">
        <v>19991</v>
      </c>
      <c r="AV1462" s="6" t="s">
        <v>18457</v>
      </c>
      <c r="AW1462" s="6" t="s">
        <v>20101</v>
      </c>
      <c r="AX1462" s="6" t="s">
        <v>21261</v>
      </c>
      <c r="AY1462" s="6" t="s">
        <v>23061</v>
      </c>
      <c r="AZ1462" s="6" t="s">
        <v>104</v>
      </c>
      <c r="BA1462" s="6" t="s">
        <v>104</v>
      </c>
      <c r="BB1462" s="6" t="s">
        <v>104</v>
      </c>
      <c r="BC1462" s="26"/>
      <c r="BD1462" s="26"/>
      <c r="BE1462" s="26"/>
      <c r="BF1462" s="26"/>
      <c r="BG1462" s="26"/>
      <c r="BH1462" s="26"/>
      <c r="BI1462" s="26"/>
      <c r="BJ1462" s="26"/>
      <c r="BK1462" s="26"/>
      <c r="BL1462" s="26"/>
      <c r="BM1462" s="26"/>
      <c r="BN1462" s="26"/>
      <c r="BO1462" s="26"/>
      <c r="BP1462" s="16" t="n">
        <v>45469</v>
      </c>
      <c r="BQ1462" s="28" t="str">
        <f>HYPERLINK("https://organic.ams.usda.gov/Integrity/Certificate.aspx?cid=63&amp;nopid=6220008126")</f>
        <v>https://organic.ams.usda.gov/Integrity/Certificate.aspx?cid=63&amp;nopid=6220008126</v>
      </c>
    </row>
    <row r="1463">
      <c r="A1463" t="s">
        <v>3</v>
      </c>
      <c r="B1463" s="6" t="s">
        <v>20</v>
      </c>
      <c r="C1463" s="6" t="s">
        <v>86</v>
      </c>
      <c r="D1463" s="6" t="s">
        <v>151</v>
      </c>
      <c r="E1463" s="10" t="s">
        <v>1661</v>
      </c>
      <c r="F1463" s="6" t="s">
        <v>3899</v>
      </c>
      <c r="G1463" s="6" t="s">
        <v>104</v>
      </c>
      <c r="H1463" s="6" t="s">
        <v>6219</v>
      </c>
      <c r="I1463" s="6" t="s">
        <v>7778</v>
      </c>
      <c r="J1463" s="6" t="s">
        <v>9209</v>
      </c>
      <c r="K1463" s="6" t="s">
        <v>9714</v>
      </c>
      <c r="L1463" s="16" t="n">
        <v>45042</v>
      </c>
      <c r="M1463" s="16" t="n">
        <v>45747</v>
      </c>
      <c r="N1463" s="6" t="s">
        <v>104</v>
      </c>
      <c r="O1463" s="21" t="s">
        <v>104</v>
      </c>
      <c r="P1463" s="6" t="s">
        <v>104</v>
      </c>
      <c r="Q1463" s="6" t="s">
        <v>104</v>
      </c>
      <c r="R1463" s="6" t="s">
        <v>104</v>
      </c>
      <c r="S1463" s="6" t="s">
        <v>104</v>
      </c>
      <c r="T1463" s="21" t="s">
        <v>104</v>
      </c>
      <c r="U1463" s="6" t="s">
        <v>104</v>
      </c>
      <c r="V1463" s="6" t="s">
        <v>104</v>
      </c>
      <c r="W1463" s="6" t="s">
        <v>104</v>
      </c>
      <c r="X1463" s="6" t="s">
        <v>104</v>
      </c>
      <c r="Y1463" s="21" t="s">
        <v>104</v>
      </c>
      <c r="Z1463" s="6" t="s">
        <v>104</v>
      </c>
      <c r="AA1463" s="6" t="s">
        <v>104</v>
      </c>
      <c r="AB1463" s="6" t="s">
        <v>104</v>
      </c>
      <c r="AC1463" s="6" t="s">
        <v>9714</v>
      </c>
      <c r="AD1463" s="16" t="n">
        <v>45042</v>
      </c>
      <c r="AE1463" s="6" t="s">
        <v>11803</v>
      </c>
      <c r="AF1463" s="6" t="s">
        <v>104</v>
      </c>
      <c r="AG1463" s="6" t="s">
        <v>12945</v>
      </c>
      <c r="AH1463" s="6" t="s">
        <v>14488</v>
      </c>
      <c r="AI1463" s="6" t="s">
        <v>104</v>
      </c>
      <c r="AJ1463" s="6" t="s">
        <v>16097</v>
      </c>
      <c r="AK1463" s="6" t="s">
        <v>104</v>
      </c>
      <c r="AL1463" s="6" t="s">
        <v>15513</v>
      </c>
      <c r="AM1463" s="6" t="s">
        <v>17071</v>
      </c>
      <c r="AN1463" s="6" t="s">
        <v>104</v>
      </c>
      <c r="AO1463" s="6" t="s">
        <v>104</v>
      </c>
      <c r="AP1463" s="6" t="s">
        <v>104</v>
      </c>
      <c r="AQ1463" s="6" t="s">
        <v>104</v>
      </c>
      <c r="AR1463" s="6" t="s">
        <v>104</v>
      </c>
      <c r="AS1463" s="6" t="s">
        <v>104</v>
      </c>
      <c r="AT1463" s="6" t="s">
        <v>104</v>
      </c>
      <c r="AU1463" s="6" t="s">
        <v>104</v>
      </c>
      <c r="AV1463" s="6" t="s">
        <v>104</v>
      </c>
      <c r="AW1463" s="6" t="s">
        <v>104</v>
      </c>
      <c r="AX1463" s="6" t="s">
        <v>21262</v>
      </c>
      <c r="AY1463" s="6" t="s">
        <v>23062</v>
      </c>
      <c r="AZ1463" s="6" t="s">
        <v>24061</v>
      </c>
      <c r="BA1463" s="6" t="s">
        <v>104</v>
      </c>
      <c r="BB1463" s="6" t="s">
        <v>104</v>
      </c>
      <c r="BC1463" s="26"/>
      <c r="BD1463" s="26"/>
      <c r="BE1463" s="26"/>
      <c r="BF1463" s="26"/>
      <c r="BG1463" s="26"/>
      <c r="BH1463" s="26"/>
      <c r="BI1463" s="26"/>
      <c r="BJ1463" s="26"/>
      <c r="BK1463" s="26"/>
      <c r="BL1463" s="26"/>
      <c r="BM1463" s="26"/>
      <c r="BN1463" s="26"/>
      <c r="BO1463" s="26"/>
      <c r="BP1463" s="16" t="n">
        <v>45499</v>
      </c>
      <c r="BQ1463" s="28" t="str">
        <f>HYPERLINK("https://organic.ams.usda.gov/Integrity/Certificate.aspx?cid=17&amp;nopid=4080205129")</f>
        <v>https://organic.ams.usda.gov/Integrity/Certificate.aspx?cid=17&amp;nopid=4080205129</v>
      </c>
    </row>
    <row r="1464">
      <c r="A1464" t="s">
        <v>3</v>
      </c>
      <c r="B1464" s="6" t="s">
        <v>58</v>
      </c>
      <c r="C1464" s="6" t="s">
        <v>124</v>
      </c>
      <c r="D1464" s="6" t="s">
        <v>188</v>
      </c>
      <c r="E1464" s="10" t="s">
        <v>1662</v>
      </c>
      <c r="F1464" s="6" t="s">
        <v>3900</v>
      </c>
      <c r="G1464" s="6" t="s">
        <v>104</v>
      </c>
      <c r="H1464" s="6" t="s">
        <v>6220</v>
      </c>
      <c r="I1464" s="6" t="s">
        <v>7779</v>
      </c>
      <c r="J1464" s="6" t="s">
        <v>9210</v>
      </c>
      <c r="K1464" s="6" t="s">
        <v>9714</v>
      </c>
      <c r="L1464" s="16" t="n">
        <v>42517</v>
      </c>
      <c r="M1464" s="16" t="n">
        <v>46002</v>
      </c>
      <c r="N1464" s="6" t="s">
        <v>104</v>
      </c>
      <c r="O1464" s="21" t="s">
        <v>104</v>
      </c>
      <c r="P1464" s="6" t="s">
        <v>104</v>
      </c>
      <c r="Q1464" s="6" t="s">
        <v>104</v>
      </c>
      <c r="R1464" s="6" t="s">
        <v>104</v>
      </c>
      <c r="S1464" s="6" t="s">
        <v>104</v>
      </c>
      <c r="T1464" s="21" t="s">
        <v>104</v>
      </c>
      <c r="U1464" s="6" t="s">
        <v>104</v>
      </c>
      <c r="V1464" s="6" t="s">
        <v>104</v>
      </c>
      <c r="W1464" s="6" t="s">
        <v>104</v>
      </c>
      <c r="X1464" s="6" t="s">
        <v>104</v>
      </c>
      <c r="Y1464" s="21" t="s">
        <v>104</v>
      </c>
      <c r="Z1464" s="6" t="s">
        <v>104</v>
      </c>
      <c r="AA1464" s="6" t="s">
        <v>104</v>
      </c>
      <c r="AB1464" s="6" t="s">
        <v>104</v>
      </c>
      <c r="AC1464" s="6" t="s">
        <v>9714</v>
      </c>
      <c r="AD1464" s="16" t="n">
        <v>42517</v>
      </c>
      <c r="AE1464" s="6" t="s">
        <v>11804</v>
      </c>
      <c r="AF1464" s="6" t="s">
        <v>104</v>
      </c>
      <c r="AG1464" s="6" t="s">
        <v>12946</v>
      </c>
      <c r="AH1464" s="6" t="s">
        <v>14489</v>
      </c>
      <c r="AI1464" s="6" t="s">
        <v>15310</v>
      </c>
      <c r="AJ1464" s="6" t="s">
        <v>16285</v>
      </c>
      <c r="AK1464" s="6" t="s">
        <v>104</v>
      </c>
      <c r="AL1464" s="6" t="s">
        <v>16943</v>
      </c>
      <c r="AM1464" s="6" t="s">
        <v>17968</v>
      </c>
      <c r="AN1464" s="6" t="s">
        <v>104</v>
      </c>
      <c r="AO1464" s="6" t="s">
        <v>104</v>
      </c>
      <c r="AP1464" s="6" t="s">
        <v>14489</v>
      </c>
      <c r="AQ1464" s="6" t="s">
        <v>15310</v>
      </c>
      <c r="AR1464" s="6" t="s">
        <v>16285</v>
      </c>
      <c r="AS1464" s="6" t="s">
        <v>104</v>
      </c>
      <c r="AT1464" s="6" t="s">
        <v>16943</v>
      </c>
      <c r="AU1464" s="6" t="s">
        <v>17968</v>
      </c>
      <c r="AV1464" s="6" t="s">
        <v>104</v>
      </c>
      <c r="AW1464" s="6" t="s">
        <v>104</v>
      </c>
      <c r="AX1464" s="6" t="s">
        <v>21263</v>
      </c>
      <c r="AY1464" s="6" t="s">
        <v>23063</v>
      </c>
      <c r="AZ1464" s="6" t="s">
        <v>104</v>
      </c>
      <c r="BA1464" s="6" t="s">
        <v>104</v>
      </c>
      <c r="BB1464" s="6" t="s">
        <v>104</v>
      </c>
      <c r="BC1464" s="26"/>
      <c r="BD1464" s="26"/>
      <c r="BE1464" s="26"/>
      <c r="BF1464" s="26"/>
      <c r="BG1464" s="26"/>
      <c r="BH1464" s="26"/>
      <c r="BI1464" s="26"/>
      <c r="BJ1464" s="26"/>
      <c r="BK1464" s="26"/>
      <c r="BL1464" s="26"/>
      <c r="BM1464" s="26"/>
      <c r="BN1464" s="26"/>
      <c r="BO1464" s="26"/>
      <c r="BP1464" s="16" t="n">
        <v>45639</v>
      </c>
      <c r="BQ1464" s="28" t="str">
        <f>HYPERLINK("https://organic.ams.usda.gov/Integrity/Certificate.aspx?cid=16&amp;nopid=7281690703")</f>
        <v>https://organic.ams.usda.gov/Integrity/Certificate.aspx?cid=16&amp;nopid=7281690703</v>
      </c>
    </row>
    <row r="1465">
      <c r="A1465" t="s">
        <v>3</v>
      </c>
      <c r="B1465" s="6" t="s">
        <v>6</v>
      </c>
      <c r="C1465" s="6" t="s">
        <v>72</v>
      </c>
      <c r="D1465" s="6" t="s">
        <v>137</v>
      </c>
      <c r="E1465" s="10" t="s">
        <v>1663</v>
      </c>
      <c r="F1465" s="6" t="s">
        <v>3901</v>
      </c>
      <c r="G1465" s="6" t="s">
        <v>104</v>
      </c>
      <c r="H1465" s="6" t="s">
        <v>6221</v>
      </c>
      <c r="I1465" s="6" t="s">
        <v>7780</v>
      </c>
      <c r="J1465" s="6" t="s">
        <v>9211</v>
      </c>
      <c r="K1465" s="6" t="s">
        <v>9714</v>
      </c>
      <c r="L1465" s="16" t="n">
        <v>45686</v>
      </c>
      <c r="M1465" s="16" t="n">
        <v>45959</v>
      </c>
      <c r="N1465" s="6" t="s">
        <v>104</v>
      </c>
      <c r="O1465" s="21" t="s">
        <v>104</v>
      </c>
      <c r="P1465" s="6" t="s">
        <v>104</v>
      </c>
      <c r="Q1465" s="6" t="s">
        <v>104</v>
      </c>
      <c r="R1465" s="6" t="s">
        <v>104</v>
      </c>
      <c r="S1465" s="6" t="s">
        <v>104</v>
      </c>
      <c r="T1465" s="21" t="s">
        <v>104</v>
      </c>
      <c r="U1465" s="6" t="s">
        <v>104</v>
      </c>
      <c r="V1465" s="6" t="s">
        <v>104</v>
      </c>
      <c r="W1465" s="6" t="s">
        <v>104</v>
      </c>
      <c r="X1465" s="6" t="s">
        <v>104</v>
      </c>
      <c r="Y1465" s="21" t="s">
        <v>104</v>
      </c>
      <c r="Z1465" s="6" t="s">
        <v>104</v>
      </c>
      <c r="AA1465" s="6" t="s">
        <v>104</v>
      </c>
      <c r="AB1465" s="6" t="s">
        <v>104</v>
      </c>
      <c r="AC1465" s="6" t="s">
        <v>9714</v>
      </c>
      <c r="AD1465" s="16" t="n">
        <v>45686</v>
      </c>
      <c r="AE1465" s="6" t="s">
        <v>11805</v>
      </c>
      <c r="AF1465" s="6" t="s">
        <v>104</v>
      </c>
      <c r="AG1465" s="6" t="s">
        <v>12947</v>
      </c>
      <c r="AH1465" s="6" t="s">
        <v>14490</v>
      </c>
      <c r="AI1465" s="6" t="s">
        <v>104</v>
      </c>
      <c r="AJ1465" s="6" t="s">
        <v>15542</v>
      </c>
      <c r="AK1465" s="6" t="s">
        <v>16687</v>
      </c>
      <c r="AL1465" s="6" t="s">
        <v>16931</v>
      </c>
      <c r="AM1465" s="6" t="s">
        <v>17969</v>
      </c>
      <c r="AN1465" s="6" t="s">
        <v>104</v>
      </c>
      <c r="AO1465" s="6" t="s">
        <v>104</v>
      </c>
      <c r="AP1465" s="6" t="s">
        <v>104</v>
      </c>
      <c r="AQ1465" s="6" t="s">
        <v>104</v>
      </c>
      <c r="AR1465" s="6" t="s">
        <v>104</v>
      </c>
      <c r="AS1465" s="6" t="s">
        <v>104</v>
      </c>
      <c r="AT1465" s="6" t="s">
        <v>104</v>
      </c>
      <c r="AU1465" s="6" t="s">
        <v>104</v>
      </c>
      <c r="AV1465" s="6" t="s">
        <v>104</v>
      </c>
      <c r="AW1465" s="6" t="s">
        <v>104</v>
      </c>
      <c r="AX1465" s="6" t="s">
        <v>21264</v>
      </c>
      <c r="AY1465" s="6" t="s">
        <v>23064</v>
      </c>
      <c r="AZ1465" s="6" t="s">
        <v>104</v>
      </c>
      <c r="BA1465" s="6" t="s">
        <v>104</v>
      </c>
      <c r="BB1465" s="6" t="s">
        <v>104</v>
      </c>
      <c r="BC1465" s="26"/>
      <c r="BD1465" s="26"/>
      <c r="BE1465" s="26"/>
      <c r="BF1465" s="26"/>
      <c r="BG1465" s="26"/>
      <c r="BH1465" s="26"/>
      <c r="BI1465" s="26"/>
      <c r="BJ1465" s="26"/>
      <c r="BK1465" s="26"/>
      <c r="BL1465" s="26"/>
      <c r="BM1465" s="26"/>
      <c r="BN1465" s="26"/>
      <c r="BO1465" s="26"/>
      <c r="BP1465" s="16" t="n">
        <v>45737</v>
      </c>
      <c r="BQ1465" s="28" t="str">
        <f>HYPERLINK("https://organic.ams.usda.gov/Integrity/Certificate.aspx?cid=32&amp;nopid=2230011587")</f>
        <v>https://organic.ams.usda.gov/Integrity/Certificate.aspx?cid=32&amp;nopid=2230011587</v>
      </c>
    </row>
    <row r="1466">
      <c r="A1466" t="s">
        <v>3</v>
      </c>
      <c r="B1466" s="6" t="s">
        <v>18</v>
      </c>
      <c r="C1466" s="6" t="s">
        <v>84</v>
      </c>
      <c r="D1466" s="6" t="s">
        <v>149</v>
      </c>
      <c r="E1466" s="10" t="s">
        <v>1664</v>
      </c>
      <c r="F1466" s="6" t="s">
        <v>3902</v>
      </c>
      <c r="G1466" s="6" t="s">
        <v>104</v>
      </c>
      <c r="H1466" s="6" t="s">
        <v>6222</v>
      </c>
      <c r="I1466" s="6" t="s">
        <v>7781</v>
      </c>
      <c r="J1466" s="6" t="s">
        <v>9212</v>
      </c>
      <c r="K1466" s="6" t="s">
        <v>9714</v>
      </c>
      <c r="L1466" s="16" t="n">
        <v>45516</v>
      </c>
      <c r="M1466" s="16" t="n">
        <v>45870</v>
      </c>
      <c r="N1466" s="6" t="s">
        <v>9714</v>
      </c>
      <c r="O1466" s="16" t="n">
        <v>45516</v>
      </c>
      <c r="P1466" s="6" t="s">
        <v>10121</v>
      </c>
      <c r="Q1466" s="6" t="s">
        <v>104</v>
      </c>
      <c r="R1466" s="6" t="s">
        <v>10407</v>
      </c>
      <c r="S1466" s="6" t="s">
        <v>104</v>
      </c>
      <c r="T1466" s="21" t="s">
        <v>104</v>
      </c>
      <c r="U1466" s="6" t="s">
        <v>104</v>
      </c>
      <c r="V1466" s="6" t="s">
        <v>104</v>
      </c>
      <c r="W1466" s="6" t="s">
        <v>104</v>
      </c>
      <c r="X1466" s="6" t="s">
        <v>104</v>
      </c>
      <c r="Y1466" s="21" t="s">
        <v>104</v>
      </c>
      <c r="Z1466" s="6" t="s">
        <v>104</v>
      </c>
      <c r="AA1466" s="6" t="s">
        <v>104</v>
      </c>
      <c r="AB1466" s="6" t="s">
        <v>104</v>
      </c>
      <c r="AC1466" s="6" t="s">
        <v>9714</v>
      </c>
      <c r="AD1466" s="16" t="n">
        <v>45516</v>
      </c>
      <c r="AE1466" s="6" t="s">
        <v>11806</v>
      </c>
      <c r="AF1466" s="6" t="s">
        <v>104</v>
      </c>
      <c r="AG1466" s="6" t="s">
        <v>12948</v>
      </c>
      <c r="AH1466" s="6" t="s">
        <v>14491</v>
      </c>
      <c r="AI1466" s="6" t="s">
        <v>104</v>
      </c>
      <c r="AJ1466" s="6" t="s">
        <v>16095</v>
      </c>
      <c r="AK1466" s="6" t="s">
        <v>16706</v>
      </c>
      <c r="AL1466" s="6" t="s">
        <v>16931</v>
      </c>
      <c r="AM1466" s="6" t="s">
        <v>17750</v>
      </c>
      <c r="AN1466" s="6" t="s">
        <v>104</v>
      </c>
      <c r="AO1466" s="6" t="s">
        <v>104</v>
      </c>
      <c r="AP1466" s="6" t="s">
        <v>104</v>
      </c>
      <c r="AQ1466" s="6" t="s">
        <v>104</v>
      </c>
      <c r="AR1466" s="6" t="s">
        <v>104</v>
      </c>
      <c r="AS1466" s="6" t="s">
        <v>104</v>
      </c>
      <c r="AT1466" s="6" t="s">
        <v>104</v>
      </c>
      <c r="AU1466" s="6" t="s">
        <v>104</v>
      </c>
      <c r="AV1466" s="6" t="s">
        <v>104</v>
      </c>
      <c r="AW1466" s="6" t="s">
        <v>104</v>
      </c>
      <c r="AX1466" s="6" t="s">
        <v>21265</v>
      </c>
      <c r="AY1466" s="6" t="s">
        <v>23065</v>
      </c>
      <c r="AZ1466" s="6" t="s">
        <v>104</v>
      </c>
      <c r="BA1466" s="6" t="s">
        <v>104</v>
      </c>
      <c r="BB1466" s="24" t="n">
        <v>21</v>
      </c>
      <c r="BC1466" s="26"/>
      <c r="BD1466" s="26"/>
      <c r="BE1466" s="26"/>
      <c r="BF1466" s="26"/>
      <c r="BG1466" s="26"/>
      <c r="BH1466" s="26"/>
      <c r="BI1466" s="26"/>
      <c r="BJ1466" s="26"/>
      <c r="BK1466" s="26"/>
      <c r="BL1466" s="26"/>
      <c r="BM1466" s="26"/>
      <c r="BN1466" s="26"/>
      <c r="BO1466" s="26"/>
      <c r="BP1466" s="16" t="n">
        <v>45737</v>
      </c>
      <c r="BQ1466" s="28" t="str">
        <f>HYPERLINK("https://organic.ams.usda.gov/Integrity/Certificate.aspx?cid=31&amp;nopid=3928972431")</f>
        <v>https://organic.ams.usda.gov/Integrity/Certificate.aspx?cid=31&amp;nopid=3928972431</v>
      </c>
    </row>
    <row r="1467">
      <c r="A1467" t="s">
        <v>3</v>
      </c>
      <c r="B1467" s="6" t="s">
        <v>29</v>
      </c>
      <c r="C1467" s="6" t="s">
        <v>95</v>
      </c>
      <c r="D1467" s="6" t="s">
        <v>160</v>
      </c>
      <c r="E1467" s="10" t="s">
        <v>1665</v>
      </c>
      <c r="F1467" s="6" t="s">
        <v>3903</v>
      </c>
      <c r="G1467" s="6" t="s">
        <v>104</v>
      </c>
      <c r="H1467" s="6" t="s">
        <v>6223</v>
      </c>
      <c r="I1467" s="6" t="s">
        <v>104</v>
      </c>
      <c r="J1467" s="6" t="s">
        <v>9213</v>
      </c>
      <c r="K1467" s="6" t="s">
        <v>9714</v>
      </c>
      <c r="L1467" s="16" t="n">
        <v>41074</v>
      </c>
      <c r="M1467" s="16" t="n">
        <v>45870</v>
      </c>
      <c r="N1467" s="6" t="s">
        <v>104</v>
      </c>
      <c r="O1467" s="21" t="s">
        <v>104</v>
      </c>
      <c r="P1467" s="6" t="s">
        <v>104</v>
      </c>
      <c r="Q1467" s="6" t="s">
        <v>104</v>
      </c>
      <c r="R1467" s="6" t="s">
        <v>104</v>
      </c>
      <c r="S1467" s="6" t="s">
        <v>104</v>
      </c>
      <c r="T1467" s="21" t="s">
        <v>104</v>
      </c>
      <c r="U1467" s="6" t="s">
        <v>104</v>
      </c>
      <c r="V1467" s="6" t="s">
        <v>104</v>
      </c>
      <c r="W1467" s="6" t="s">
        <v>104</v>
      </c>
      <c r="X1467" s="6" t="s">
        <v>104</v>
      </c>
      <c r="Y1467" s="21" t="s">
        <v>104</v>
      </c>
      <c r="Z1467" s="6" t="s">
        <v>104</v>
      </c>
      <c r="AA1467" s="6" t="s">
        <v>104</v>
      </c>
      <c r="AB1467" s="6" t="s">
        <v>104</v>
      </c>
      <c r="AC1467" s="6" t="s">
        <v>9714</v>
      </c>
      <c r="AD1467" s="16" t="n">
        <v>41074</v>
      </c>
      <c r="AE1467" s="6" t="s">
        <v>11807</v>
      </c>
      <c r="AF1467" s="6" t="s">
        <v>104</v>
      </c>
      <c r="AG1467" s="6" t="s">
        <v>104</v>
      </c>
      <c r="AH1467" s="6" t="s">
        <v>14492</v>
      </c>
      <c r="AI1467" s="6" t="s">
        <v>15311</v>
      </c>
      <c r="AJ1467" s="6" t="s">
        <v>16286</v>
      </c>
      <c r="AK1467" s="6" t="s">
        <v>16873</v>
      </c>
      <c r="AL1467" s="6" t="s">
        <v>16948</v>
      </c>
      <c r="AM1467" s="6" t="s">
        <v>17970</v>
      </c>
      <c r="AN1467" s="6" t="s">
        <v>104</v>
      </c>
      <c r="AO1467" s="6" t="s">
        <v>104</v>
      </c>
      <c r="AP1467" s="6" t="s">
        <v>104</v>
      </c>
      <c r="AQ1467" s="6" t="s">
        <v>104</v>
      </c>
      <c r="AR1467" s="6" t="s">
        <v>104</v>
      </c>
      <c r="AS1467" s="6" t="s">
        <v>104</v>
      </c>
      <c r="AT1467" s="6" t="s">
        <v>104</v>
      </c>
      <c r="AU1467" s="6" t="s">
        <v>104</v>
      </c>
      <c r="AV1467" s="6" t="s">
        <v>104</v>
      </c>
      <c r="AW1467" s="6" t="s">
        <v>104</v>
      </c>
      <c r="AX1467" s="6" t="s">
        <v>21266</v>
      </c>
      <c r="AY1467" s="6" t="s">
        <v>23066</v>
      </c>
      <c r="AZ1467" s="6" t="s">
        <v>104</v>
      </c>
      <c r="BA1467" s="6" t="s">
        <v>104</v>
      </c>
      <c r="BB1467" s="24" t="n">
        <v>0</v>
      </c>
      <c r="BC1467" s="26"/>
      <c r="BD1467" s="26"/>
      <c r="BE1467" s="26"/>
      <c r="BF1467" s="26"/>
      <c r="BG1467" s="26"/>
      <c r="BH1467" s="26"/>
      <c r="BI1467" s="26"/>
      <c r="BJ1467" s="26"/>
      <c r="BK1467" s="26"/>
      <c r="BL1467" s="26"/>
      <c r="BM1467" s="26"/>
      <c r="BN1467" s="26"/>
      <c r="BO1467" s="26"/>
      <c r="BP1467" s="16" t="n">
        <v>45561</v>
      </c>
      <c r="BQ1467" s="28" t="str">
        <f>HYPERLINK("https://organic.ams.usda.gov/Integrity/Certificate.aspx?cid=24&amp;nopid=7881277160")</f>
        <v>https://organic.ams.usda.gov/Integrity/Certificate.aspx?cid=24&amp;nopid=7881277160</v>
      </c>
    </row>
    <row r="1468">
      <c r="A1468" t="s">
        <v>3</v>
      </c>
      <c r="B1468" s="6" t="s">
        <v>17</v>
      </c>
      <c r="C1468" s="6" t="s">
        <v>83</v>
      </c>
      <c r="D1468" s="6" t="s">
        <v>148</v>
      </c>
      <c r="E1468" s="10" t="s">
        <v>1666</v>
      </c>
      <c r="F1468" s="6" t="s">
        <v>3904</v>
      </c>
      <c r="G1468" s="6" t="s">
        <v>104</v>
      </c>
      <c r="H1468" s="6" t="s">
        <v>6224</v>
      </c>
      <c r="I1468" s="6" t="s">
        <v>7782</v>
      </c>
      <c r="J1468" s="6" t="s">
        <v>9214</v>
      </c>
      <c r="K1468" s="6" t="s">
        <v>9714</v>
      </c>
      <c r="L1468" s="16" t="n">
        <v>45715</v>
      </c>
      <c r="M1468" s="16" t="n">
        <v>45901</v>
      </c>
      <c r="N1468" s="6" t="s">
        <v>104</v>
      </c>
      <c r="O1468" s="21" t="s">
        <v>104</v>
      </c>
      <c r="P1468" s="6" t="s">
        <v>104</v>
      </c>
      <c r="Q1468" s="6" t="s">
        <v>104</v>
      </c>
      <c r="R1468" s="6" t="s">
        <v>104</v>
      </c>
      <c r="S1468" s="6" t="s">
        <v>104</v>
      </c>
      <c r="T1468" s="21" t="s">
        <v>104</v>
      </c>
      <c r="U1468" s="6" t="s">
        <v>104</v>
      </c>
      <c r="V1468" s="6" t="s">
        <v>104</v>
      </c>
      <c r="W1468" s="6" t="s">
        <v>104</v>
      </c>
      <c r="X1468" s="6" t="s">
        <v>104</v>
      </c>
      <c r="Y1468" s="21" t="s">
        <v>104</v>
      </c>
      <c r="Z1468" s="6" t="s">
        <v>104</v>
      </c>
      <c r="AA1468" s="6" t="s">
        <v>104</v>
      </c>
      <c r="AB1468" s="6" t="s">
        <v>104</v>
      </c>
      <c r="AC1468" s="6" t="s">
        <v>9714</v>
      </c>
      <c r="AD1468" s="16" t="n">
        <v>45715</v>
      </c>
      <c r="AE1468" s="6" t="s">
        <v>11808</v>
      </c>
      <c r="AF1468" s="6" t="s">
        <v>104</v>
      </c>
      <c r="AG1468" s="6" t="s">
        <v>104</v>
      </c>
      <c r="AH1468" s="6" t="s">
        <v>14493</v>
      </c>
      <c r="AI1468" s="6" t="s">
        <v>104</v>
      </c>
      <c r="AJ1468" s="6" t="s">
        <v>16160</v>
      </c>
      <c r="AK1468" s="6" t="s">
        <v>15697</v>
      </c>
      <c r="AL1468" s="6" t="s">
        <v>16931</v>
      </c>
      <c r="AM1468" s="6" t="s">
        <v>17971</v>
      </c>
      <c r="AN1468" s="6" t="s">
        <v>104</v>
      </c>
      <c r="AO1468" s="6" t="s">
        <v>104</v>
      </c>
      <c r="AP1468" s="6" t="s">
        <v>14493</v>
      </c>
      <c r="AQ1468" s="6" t="s">
        <v>104</v>
      </c>
      <c r="AR1468" s="6" t="s">
        <v>16160</v>
      </c>
      <c r="AS1468" s="6" t="s">
        <v>15697</v>
      </c>
      <c r="AT1468" s="6" t="s">
        <v>16931</v>
      </c>
      <c r="AU1468" s="6" t="s">
        <v>17971</v>
      </c>
      <c r="AV1468" s="6" t="s">
        <v>104</v>
      </c>
      <c r="AW1468" s="6" t="s">
        <v>104</v>
      </c>
      <c r="AX1468" s="6" t="s">
        <v>21267</v>
      </c>
      <c r="AY1468" s="6" t="s">
        <v>23067</v>
      </c>
      <c r="AZ1468" s="6" t="s">
        <v>104</v>
      </c>
      <c r="BA1468" s="6" t="s">
        <v>104</v>
      </c>
      <c r="BB1468" s="24" t="n">
        <v>0</v>
      </c>
      <c r="BC1468" s="26"/>
      <c r="BD1468" s="26"/>
      <c r="BE1468" s="26"/>
      <c r="BF1468" s="26"/>
      <c r="BG1468" s="26"/>
      <c r="BH1468" s="26"/>
      <c r="BI1468" s="26"/>
      <c r="BJ1468" s="26"/>
      <c r="BK1468" s="26"/>
      <c r="BL1468" s="26"/>
      <c r="BM1468" s="26"/>
      <c r="BN1468" s="26"/>
      <c r="BO1468" s="26"/>
      <c r="BP1468" s="16" t="n">
        <v>45715</v>
      </c>
      <c r="BQ1468" s="28" t="str">
        <f>HYPERLINK("https://organic.ams.usda.gov/Integrity/Certificate.aspx?cid=51&amp;nopid=8241000242")</f>
        <v>https://organic.ams.usda.gov/Integrity/Certificate.aspx?cid=51&amp;nopid=8241000242</v>
      </c>
    </row>
    <row r="1469">
      <c r="A1469" t="s">
        <v>3</v>
      </c>
      <c r="B1469" s="6" t="s">
        <v>7</v>
      </c>
      <c r="C1469" s="6" t="s">
        <v>73</v>
      </c>
      <c r="D1469" s="6" t="s">
        <v>138</v>
      </c>
      <c r="E1469" s="10" t="s">
        <v>1667</v>
      </c>
      <c r="F1469" s="6" t="s">
        <v>3905</v>
      </c>
      <c r="G1469" s="6" t="s">
        <v>104</v>
      </c>
      <c r="H1469" s="6" t="s">
        <v>6225</v>
      </c>
      <c r="I1469" s="6" t="s">
        <v>7783</v>
      </c>
      <c r="J1469" s="6" t="s">
        <v>9215</v>
      </c>
      <c r="K1469" s="6" t="s">
        <v>9714</v>
      </c>
      <c r="L1469" s="16" t="n">
        <v>37561</v>
      </c>
      <c r="M1469" s="16" t="n">
        <v>45717</v>
      </c>
      <c r="N1469" s="6" t="s">
        <v>9714</v>
      </c>
      <c r="O1469" s="16" t="n">
        <v>37561</v>
      </c>
      <c r="P1469" s="6" t="s">
        <v>10122</v>
      </c>
      <c r="Q1469" s="6" t="s">
        <v>104</v>
      </c>
      <c r="R1469" s="6" t="s">
        <v>104</v>
      </c>
      <c r="S1469" s="6" t="s">
        <v>104</v>
      </c>
      <c r="T1469" s="21" t="s">
        <v>104</v>
      </c>
      <c r="U1469" s="6" t="s">
        <v>104</v>
      </c>
      <c r="V1469" s="6" t="s">
        <v>104</v>
      </c>
      <c r="W1469" s="6" t="s">
        <v>104</v>
      </c>
      <c r="X1469" s="6" t="s">
        <v>104</v>
      </c>
      <c r="Y1469" s="21" t="s">
        <v>104</v>
      </c>
      <c r="Z1469" s="6" t="s">
        <v>104</v>
      </c>
      <c r="AA1469" s="6" t="s">
        <v>104</v>
      </c>
      <c r="AB1469" s="6" t="s">
        <v>104</v>
      </c>
      <c r="AC1469" s="6" t="s">
        <v>104</v>
      </c>
      <c r="AD1469" s="21" t="s">
        <v>104</v>
      </c>
      <c r="AE1469" s="6" t="s">
        <v>104</v>
      </c>
      <c r="AF1469" s="6" t="s">
        <v>104</v>
      </c>
      <c r="AG1469" s="6" t="s">
        <v>104</v>
      </c>
      <c r="AH1469" s="6" t="s">
        <v>14494</v>
      </c>
      <c r="AI1469" s="6" t="s">
        <v>104</v>
      </c>
      <c r="AJ1469" s="6" t="s">
        <v>16287</v>
      </c>
      <c r="AK1469" s="6" t="s">
        <v>16678</v>
      </c>
      <c r="AL1469" s="6" t="s">
        <v>16931</v>
      </c>
      <c r="AM1469" s="6" t="s">
        <v>17972</v>
      </c>
      <c r="AN1469" s="6" t="s">
        <v>5640</v>
      </c>
      <c r="AO1469" s="6" t="s">
        <v>18846</v>
      </c>
      <c r="AP1469" s="6" t="s">
        <v>19347</v>
      </c>
      <c r="AQ1469" s="6" t="s">
        <v>104</v>
      </c>
      <c r="AR1469" s="6" t="s">
        <v>16287</v>
      </c>
      <c r="AS1469" s="6" t="s">
        <v>16678</v>
      </c>
      <c r="AT1469" s="6" t="s">
        <v>16931</v>
      </c>
      <c r="AU1469" s="6" t="s">
        <v>17972</v>
      </c>
      <c r="AV1469" s="6" t="s">
        <v>104</v>
      </c>
      <c r="AW1469" s="6" t="s">
        <v>104</v>
      </c>
      <c r="AX1469" s="6" t="s">
        <v>21268</v>
      </c>
      <c r="AY1469" s="6" t="s">
        <v>23068</v>
      </c>
      <c r="AZ1469" s="6" t="s">
        <v>104</v>
      </c>
      <c r="BA1469" s="6" t="s">
        <v>104</v>
      </c>
      <c r="BB1469" s="24" t="n">
        <v>1720</v>
      </c>
      <c r="BC1469" s="26"/>
      <c r="BD1469" s="26"/>
      <c r="BE1469" s="26"/>
      <c r="BF1469" s="26"/>
      <c r="BG1469" s="26"/>
      <c r="BH1469" s="26"/>
      <c r="BI1469" s="26"/>
      <c r="BJ1469" s="26"/>
      <c r="BK1469" s="26"/>
      <c r="BL1469" s="26"/>
      <c r="BM1469" s="26"/>
      <c r="BN1469" s="26"/>
      <c r="BO1469" s="26"/>
      <c r="BP1469" s="16" t="n">
        <v>45692</v>
      </c>
      <c r="BQ1469" s="28" t="str">
        <f>HYPERLINK("https://organic.ams.usda.gov/Integrity/Certificate.aspx?cid=33&amp;nopid=2170002097")</f>
        <v>https://organic.ams.usda.gov/Integrity/Certificate.aspx?cid=33&amp;nopid=2170002097</v>
      </c>
    </row>
    <row r="1470">
      <c r="A1470" t="s">
        <v>3</v>
      </c>
      <c r="B1470" s="6" t="s">
        <v>11</v>
      </c>
      <c r="C1470" s="6" t="s">
        <v>77</v>
      </c>
      <c r="D1470" s="6" t="s">
        <v>142</v>
      </c>
      <c r="E1470" s="10" t="s">
        <v>1668</v>
      </c>
      <c r="F1470" s="6" t="s">
        <v>3906</v>
      </c>
      <c r="G1470" s="6" t="s">
        <v>104</v>
      </c>
      <c r="H1470" s="6" t="s">
        <v>6226</v>
      </c>
      <c r="I1470" s="6" t="s">
        <v>7784</v>
      </c>
      <c r="J1470" s="6" t="s">
        <v>9216</v>
      </c>
      <c r="K1470" s="6" t="s">
        <v>9714</v>
      </c>
      <c r="L1470" s="16" t="n">
        <v>45063</v>
      </c>
      <c r="M1470" s="16" t="n">
        <v>45574</v>
      </c>
      <c r="N1470" s="6" t="s">
        <v>104</v>
      </c>
      <c r="O1470" s="21" t="s">
        <v>104</v>
      </c>
      <c r="P1470" s="6" t="s">
        <v>104</v>
      </c>
      <c r="Q1470" s="6" t="s">
        <v>104</v>
      </c>
      <c r="R1470" s="6" t="s">
        <v>104</v>
      </c>
      <c r="S1470" s="6" t="s">
        <v>104</v>
      </c>
      <c r="T1470" s="21" t="s">
        <v>104</v>
      </c>
      <c r="U1470" s="6" t="s">
        <v>104</v>
      </c>
      <c r="V1470" s="6" t="s">
        <v>104</v>
      </c>
      <c r="W1470" s="6" t="s">
        <v>104</v>
      </c>
      <c r="X1470" s="6" t="s">
        <v>104</v>
      </c>
      <c r="Y1470" s="21" t="s">
        <v>104</v>
      </c>
      <c r="Z1470" s="6" t="s">
        <v>104</v>
      </c>
      <c r="AA1470" s="6" t="s">
        <v>104</v>
      </c>
      <c r="AB1470" s="6" t="s">
        <v>104</v>
      </c>
      <c r="AC1470" s="6" t="s">
        <v>9714</v>
      </c>
      <c r="AD1470" s="16" t="n">
        <v>45063</v>
      </c>
      <c r="AE1470" s="6" t="s">
        <v>11809</v>
      </c>
      <c r="AF1470" s="6" t="s">
        <v>104</v>
      </c>
      <c r="AG1470" s="6" t="s">
        <v>104</v>
      </c>
      <c r="AH1470" s="6" t="s">
        <v>14495</v>
      </c>
      <c r="AI1470" s="6" t="s">
        <v>104</v>
      </c>
      <c r="AJ1470" s="6" t="s">
        <v>15737</v>
      </c>
      <c r="AK1470" s="6" t="s">
        <v>104</v>
      </c>
      <c r="AL1470" s="6" t="s">
        <v>15737</v>
      </c>
      <c r="AM1470" s="6" t="s">
        <v>104</v>
      </c>
      <c r="AN1470" s="6" t="s">
        <v>104</v>
      </c>
      <c r="AO1470" s="6" t="s">
        <v>104</v>
      </c>
      <c r="AP1470" s="6" t="s">
        <v>14495</v>
      </c>
      <c r="AQ1470" s="6" t="s">
        <v>104</v>
      </c>
      <c r="AR1470" s="6" t="s">
        <v>15737</v>
      </c>
      <c r="AS1470" s="6" t="s">
        <v>104</v>
      </c>
      <c r="AT1470" s="6" t="s">
        <v>15737</v>
      </c>
      <c r="AU1470" s="6" t="s">
        <v>104</v>
      </c>
      <c r="AV1470" s="6" t="s">
        <v>104</v>
      </c>
      <c r="AW1470" s="6" t="s">
        <v>104</v>
      </c>
      <c r="AX1470" s="6" t="s">
        <v>104</v>
      </c>
      <c r="AY1470" s="6" t="s">
        <v>23069</v>
      </c>
      <c r="AZ1470" s="6" t="s">
        <v>104</v>
      </c>
      <c r="BA1470" s="6" t="s">
        <v>104</v>
      </c>
      <c r="BB1470" s="6" t="s">
        <v>104</v>
      </c>
      <c r="BC1470" s="26"/>
      <c r="BD1470" s="26"/>
      <c r="BE1470" s="26"/>
      <c r="BF1470" s="26"/>
      <c r="BG1470" s="26"/>
      <c r="BH1470" s="26"/>
      <c r="BI1470" s="26"/>
      <c r="BJ1470" s="26"/>
      <c r="BK1470" s="26"/>
      <c r="BL1470" s="26"/>
      <c r="BM1470" s="26"/>
      <c r="BN1470" s="26"/>
      <c r="BO1470" s="26"/>
      <c r="BP1470" s="16" t="n">
        <v>45435</v>
      </c>
      <c r="BQ1470" s="28" t="str">
        <f>HYPERLINK("https://organic.ams.usda.gov/Integrity/Certificate.aspx?cid=21&amp;nopid=1780890863")</f>
        <v>https://organic.ams.usda.gov/Integrity/Certificate.aspx?cid=21&amp;nopid=1780890863</v>
      </c>
    </row>
    <row r="1471">
      <c r="A1471" t="s">
        <v>3</v>
      </c>
      <c r="B1471" s="6" t="s">
        <v>34</v>
      </c>
      <c r="C1471" s="6" t="s">
        <v>100</v>
      </c>
      <c r="D1471" s="6" t="s">
        <v>165</v>
      </c>
      <c r="E1471" s="10" t="s">
        <v>1669</v>
      </c>
      <c r="F1471" s="6" t="s">
        <v>3907</v>
      </c>
      <c r="G1471" s="6" t="s">
        <v>104</v>
      </c>
      <c r="H1471" s="6" t="s">
        <v>6227</v>
      </c>
      <c r="I1471" s="6" t="s">
        <v>7785</v>
      </c>
      <c r="J1471" s="6" t="s">
        <v>9217</v>
      </c>
      <c r="K1471" s="6" t="s">
        <v>9714</v>
      </c>
      <c r="L1471" s="16" t="n">
        <v>39203</v>
      </c>
      <c r="M1471" s="16" t="n">
        <v>45671</v>
      </c>
      <c r="N1471" s="6" t="s">
        <v>104</v>
      </c>
      <c r="O1471" s="21" t="s">
        <v>104</v>
      </c>
      <c r="P1471" s="6" t="s">
        <v>104</v>
      </c>
      <c r="Q1471" s="6" t="s">
        <v>104</v>
      </c>
      <c r="R1471" s="6" t="s">
        <v>104</v>
      </c>
      <c r="S1471" s="6" t="s">
        <v>104</v>
      </c>
      <c r="T1471" s="21" t="s">
        <v>104</v>
      </c>
      <c r="U1471" s="6" t="s">
        <v>104</v>
      </c>
      <c r="V1471" s="6" t="s">
        <v>104</v>
      </c>
      <c r="W1471" s="6" t="s">
        <v>104</v>
      </c>
      <c r="X1471" s="6" t="s">
        <v>104</v>
      </c>
      <c r="Y1471" s="21" t="s">
        <v>104</v>
      </c>
      <c r="Z1471" s="6" t="s">
        <v>104</v>
      </c>
      <c r="AA1471" s="6" t="s">
        <v>104</v>
      </c>
      <c r="AB1471" s="6" t="s">
        <v>104</v>
      </c>
      <c r="AC1471" s="6" t="s">
        <v>9714</v>
      </c>
      <c r="AD1471" s="16" t="n">
        <v>39203</v>
      </c>
      <c r="AE1471" s="6" t="s">
        <v>11810</v>
      </c>
      <c r="AF1471" s="6" t="s">
        <v>104</v>
      </c>
      <c r="AG1471" s="6" t="s">
        <v>12949</v>
      </c>
      <c r="AH1471" s="6" t="s">
        <v>14496</v>
      </c>
      <c r="AI1471" s="6" t="s">
        <v>104</v>
      </c>
      <c r="AJ1471" s="6" t="s">
        <v>16288</v>
      </c>
      <c r="AK1471" s="6" t="s">
        <v>16714</v>
      </c>
      <c r="AL1471" s="6" t="s">
        <v>16931</v>
      </c>
      <c r="AM1471" s="6" t="s">
        <v>17973</v>
      </c>
      <c r="AN1471" s="6" t="s">
        <v>18517</v>
      </c>
      <c r="AO1471" s="6" t="s">
        <v>18847</v>
      </c>
      <c r="AP1471" s="6" t="s">
        <v>14496</v>
      </c>
      <c r="AQ1471" s="6" t="s">
        <v>104</v>
      </c>
      <c r="AR1471" s="6" t="s">
        <v>16288</v>
      </c>
      <c r="AS1471" s="6" t="s">
        <v>16714</v>
      </c>
      <c r="AT1471" s="6" t="s">
        <v>16931</v>
      </c>
      <c r="AU1471" s="6" t="s">
        <v>17973</v>
      </c>
      <c r="AV1471" s="6" t="s">
        <v>104</v>
      </c>
      <c r="AW1471" s="6" t="s">
        <v>104</v>
      </c>
      <c r="AX1471" s="6" t="s">
        <v>21269</v>
      </c>
      <c r="AY1471" s="6" t="s">
        <v>23070</v>
      </c>
      <c r="AZ1471" s="6" t="s">
        <v>104</v>
      </c>
      <c r="BA1471" s="6" t="s">
        <v>104</v>
      </c>
      <c r="BB1471" s="6" t="s">
        <v>104</v>
      </c>
      <c r="BC1471" s="26"/>
      <c r="BD1471" s="26"/>
      <c r="BE1471" s="26"/>
      <c r="BF1471" s="26"/>
      <c r="BG1471" s="26" t="s">
        <v>24533</v>
      </c>
      <c r="BH1471" s="26"/>
      <c r="BI1471" s="26"/>
      <c r="BJ1471" s="26"/>
      <c r="BK1471" s="26"/>
      <c r="BL1471" s="26"/>
      <c r="BM1471" s="26"/>
      <c r="BN1471" s="26"/>
      <c r="BO1471" s="26"/>
      <c r="BP1471" s="16" t="n">
        <v>45739</v>
      </c>
      <c r="BQ1471" s="28" t="str">
        <f>HYPERLINK("https://organic.ams.usda.gov/Integrity/Certificate.aspx?cid=71&amp;nopid=5520030054")</f>
        <v>https://organic.ams.usda.gov/Integrity/Certificate.aspx?cid=71&amp;nopid=5520030054</v>
      </c>
    </row>
    <row r="1472">
      <c r="A1472" t="s">
        <v>3</v>
      </c>
      <c r="B1472" s="6" t="s">
        <v>12</v>
      </c>
      <c r="C1472" s="6" t="s">
        <v>78</v>
      </c>
      <c r="D1472" s="6" t="s">
        <v>143</v>
      </c>
      <c r="E1472" s="10" t="s">
        <v>1670</v>
      </c>
      <c r="F1472" s="6" t="s">
        <v>3908</v>
      </c>
      <c r="G1472" s="6" t="s">
        <v>104</v>
      </c>
      <c r="H1472" s="6" t="s">
        <v>104</v>
      </c>
      <c r="I1472" s="6" t="s">
        <v>7003</v>
      </c>
      <c r="J1472" s="6" t="s">
        <v>9218</v>
      </c>
      <c r="K1472" s="6" t="s">
        <v>9714</v>
      </c>
      <c r="L1472" s="16" t="n">
        <v>44488</v>
      </c>
      <c r="M1472" s="16" t="n">
        <v>45901</v>
      </c>
      <c r="N1472" s="6" t="s">
        <v>104</v>
      </c>
      <c r="O1472" s="21" t="s">
        <v>104</v>
      </c>
      <c r="P1472" s="6" t="s">
        <v>104</v>
      </c>
      <c r="Q1472" s="6" t="s">
        <v>104</v>
      </c>
      <c r="R1472" s="6" t="s">
        <v>104</v>
      </c>
      <c r="S1472" s="6" t="s">
        <v>104</v>
      </c>
      <c r="T1472" s="21" t="s">
        <v>104</v>
      </c>
      <c r="U1472" s="6" t="s">
        <v>104</v>
      </c>
      <c r="V1472" s="6" t="s">
        <v>104</v>
      </c>
      <c r="W1472" s="6" t="s">
        <v>104</v>
      </c>
      <c r="X1472" s="6" t="s">
        <v>104</v>
      </c>
      <c r="Y1472" s="21" t="s">
        <v>104</v>
      </c>
      <c r="Z1472" s="6" t="s">
        <v>104</v>
      </c>
      <c r="AA1472" s="6" t="s">
        <v>104</v>
      </c>
      <c r="AB1472" s="6" t="s">
        <v>104</v>
      </c>
      <c r="AC1472" s="6" t="s">
        <v>9714</v>
      </c>
      <c r="AD1472" s="16" t="n">
        <v>44488</v>
      </c>
      <c r="AE1472" s="6" t="s">
        <v>11811</v>
      </c>
      <c r="AF1472" s="6" t="s">
        <v>104</v>
      </c>
      <c r="AG1472" s="6" t="s">
        <v>104</v>
      </c>
      <c r="AH1472" s="6" t="s">
        <v>14497</v>
      </c>
      <c r="AI1472" s="6" t="s">
        <v>104</v>
      </c>
      <c r="AJ1472" s="6" t="s">
        <v>16289</v>
      </c>
      <c r="AK1472" s="6" t="s">
        <v>16743</v>
      </c>
      <c r="AL1472" s="6" t="s">
        <v>16931</v>
      </c>
      <c r="AM1472" s="6" t="s">
        <v>17974</v>
      </c>
      <c r="AN1472" s="6" t="s">
        <v>18546</v>
      </c>
      <c r="AO1472" s="6" t="s">
        <v>18848</v>
      </c>
      <c r="AP1472" s="6" t="s">
        <v>19348</v>
      </c>
      <c r="AQ1472" s="6" t="s">
        <v>104</v>
      </c>
      <c r="AR1472" s="6" t="s">
        <v>19733</v>
      </c>
      <c r="AS1472" s="6" t="s">
        <v>16704</v>
      </c>
      <c r="AT1472" s="6" t="s">
        <v>16931</v>
      </c>
      <c r="AU1472" s="6" t="s">
        <v>19992</v>
      </c>
      <c r="AV1472" s="6" t="s">
        <v>104</v>
      </c>
      <c r="AW1472" s="6" t="s">
        <v>104</v>
      </c>
      <c r="AX1472" s="6" t="s">
        <v>104</v>
      </c>
      <c r="AY1472" s="6" t="s">
        <v>23071</v>
      </c>
      <c r="AZ1472" s="6" t="s">
        <v>104</v>
      </c>
      <c r="BA1472" s="6" t="s">
        <v>104</v>
      </c>
      <c r="BB1472" s="6" t="s">
        <v>104</v>
      </c>
      <c r="BC1472" s="26"/>
      <c r="BD1472" s="26"/>
      <c r="BE1472" s="26"/>
      <c r="BF1472" s="26"/>
      <c r="BG1472" s="26"/>
      <c r="BH1472" s="26"/>
      <c r="BI1472" s="26"/>
      <c r="BJ1472" s="26"/>
      <c r="BK1472" s="26"/>
      <c r="BL1472" s="26"/>
      <c r="BM1472" s="26"/>
      <c r="BN1472" s="26"/>
      <c r="BO1472" s="26"/>
      <c r="BP1472" s="16" t="n">
        <v>45628</v>
      </c>
      <c r="BQ1472" s="28" t="str">
        <f>HYPERLINK("https://organic.ams.usda.gov/Integrity/Certificate.aspx?cid=1&amp;nopid=9092124203")</f>
        <v>https://organic.ams.usda.gov/Integrity/Certificate.aspx?cid=1&amp;nopid=9092124203</v>
      </c>
    </row>
    <row r="1473">
      <c r="A1473" t="s">
        <v>3</v>
      </c>
      <c r="B1473" s="6" t="s">
        <v>53</v>
      </c>
      <c r="C1473" s="6" t="s">
        <v>119</v>
      </c>
      <c r="D1473" s="6" t="s">
        <v>183</v>
      </c>
      <c r="E1473" s="10" t="s">
        <v>1671</v>
      </c>
      <c r="F1473" s="6" t="s">
        <v>3909</v>
      </c>
      <c r="G1473" s="6" t="s">
        <v>104</v>
      </c>
      <c r="H1473" s="6" t="s">
        <v>104</v>
      </c>
      <c r="I1473" s="6" t="s">
        <v>7786</v>
      </c>
      <c r="J1473" s="6" t="s">
        <v>9219</v>
      </c>
      <c r="K1473" s="6" t="s">
        <v>9714</v>
      </c>
      <c r="L1473" s="16" t="n">
        <v>45517</v>
      </c>
      <c r="M1473" s="16" t="n">
        <v>45882</v>
      </c>
      <c r="N1473" s="6" t="s">
        <v>104</v>
      </c>
      <c r="O1473" s="21" t="s">
        <v>104</v>
      </c>
      <c r="P1473" s="6" t="s">
        <v>104</v>
      </c>
      <c r="Q1473" s="6" t="s">
        <v>104</v>
      </c>
      <c r="R1473" s="6" t="s">
        <v>104</v>
      </c>
      <c r="S1473" s="6" t="s">
        <v>104</v>
      </c>
      <c r="T1473" s="21" t="s">
        <v>104</v>
      </c>
      <c r="U1473" s="6" t="s">
        <v>104</v>
      </c>
      <c r="V1473" s="6" t="s">
        <v>104</v>
      </c>
      <c r="W1473" s="6" t="s">
        <v>104</v>
      </c>
      <c r="X1473" s="6" t="s">
        <v>104</v>
      </c>
      <c r="Y1473" s="21" t="s">
        <v>104</v>
      </c>
      <c r="Z1473" s="6" t="s">
        <v>104</v>
      </c>
      <c r="AA1473" s="6" t="s">
        <v>104</v>
      </c>
      <c r="AB1473" s="6" t="s">
        <v>104</v>
      </c>
      <c r="AC1473" s="6" t="s">
        <v>9714</v>
      </c>
      <c r="AD1473" s="16" t="n">
        <v>45517</v>
      </c>
      <c r="AE1473" s="6" t="s">
        <v>11812</v>
      </c>
      <c r="AF1473" s="6" t="s">
        <v>104</v>
      </c>
      <c r="AG1473" s="6" t="s">
        <v>104</v>
      </c>
      <c r="AH1473" s="6" t="s">
        <v>14498</v>
      </c>
      <c r="AI1473" s="6" t="s">
        <v>104</v>
      </c>
      <c r="AJ1473" s="6" t="s">
        <v>15697</v>
      </c>
      <c r="AK1473" s="6" t="s">
        <v>15697</v>
      </c>
      <c r="AL1473" s="6" t="s">
        <v>16931</v>
      </c>
      <c r="AM1473" s="6" t="s">
        <v>17975</v>
      </c>
      <c r="AN1473" s="6" t="s">
        <v>104</v>
      </c>
      <c r="AO1473" s="6" t="s">
        <v>104</v>
      </c>
      <c r="AP1473" s="6" t="s">
        <v>104</v>
      </c>
      <c r="AQ1473" s="6" t="s">
        <v>104</v>
      </c>
      <c r="AR1473" s="6" t="s">
        <v>104</v>
      </c>
      <c r="AS1473" s="6" t="s">
        <v>104</v>
      </c>
      <c r="AT1473" s="6" t="s">
        <v>104</v>
      </c>
      <c r="AU1473" s="6" t="s">
        <v>104</v>
      </c>
      <c r="AV1473" s="6" t="s">
        <v>104</v>
      </c>
      <c r="AW1473" s="6" t="s">
        <v>104</v>
      </c>
      <c r="AX1473" s="6" t="s">
        <v>104</v>
      </c>
      <c r="AY1473" s="6" t="s">
        <v>23072</v>
      </c>
      <c r="AZ1473" s="6" t="s">
        <v>24062</v>
      </c>
      <c r="BA1473" s="6" t="s">
        <v>104</v>
      </c>
      <c r="BB1473" s="6" t="s">
        <v>104</v>
      </c>
      <c r="BC1473" s="26"/>
      <c r="BD1473" s="26"/>
      <c r="BE1473" s="26"/>
      <c r="BF1473" s="26"/>
      <c r="BG1473" s="26"/>
      <c r="BH1473" s="26"/>
      <c r="BI1473" s="26"/>
      <c r="BJ1473" s="26"/>
      <c r="BK1473" s="26"/>
      <c r="BL1473" s="26"/>
      <c r="BM1473" s="26"/>
      <c r="BN1473" s="26"/>
      <c r="BO1473" s="26"/>
      <c r="BP1473" s="16" t="n">
        <v>45638</v>
      </c>
      <c r="BQ1473" s="28" t="str">
        <f>HYPERLINK("https://organic.ams.usda.gov/Integrity/Certificate.aspx?cid=74&amp;nopid=5350000341")</f>
        <v>https://organic.ams.usda.gov/Integrity/Certificate.aspx?cid=74&amp;nopid=5350000341</v>
      </c>
    </row>
    <row r="1474">
      <c r="A1474" t="s">
        <v>3</v>
      </c>
      <c r="B1474" s="6" t="s">
        <v>55</v>
      </c>
      <c r="C1474" s="6" t="s">
        <v>121</v>
      </c>
      <c r="D1474" s="6" t="s">
        <v>185</v>
      </c>
      <c r="E1474" s="10" t="s">
        <v>1672</v>
      </c>
      <c r="F1474" s="6" t="s">
        <v>3910</v>
      </c>
      <c r="G1474" s="6" t="s">
        <v>4809</v>
      </c>
      <c r="H1474" s="6" t="s">
        <v>6228</v>
      </c>
      <c r="I1474" s="6" t="s">
        <v>7787</v>
      </c>
      <c r="J1474" s="6" t="s">
        <v>9220</v>
      </c>
      <c r="K1474" s="6" t="s">
        <v>9714</v>
      </c>
      <c r="L1474" s="16" t="n">
        <v>43727</v>
      </c>
      <c r="M1474" s="16" t="n">
        <v>45492</v>
      </c>
      <c r="N1474" s="6" t="s">
        <v>104</v>
      </c>
      <c r="O1474" s="21" t="s">
        <v>104</v>
      </c>
      <c r="P1474" s="6" t="s">
        <v>104</v>
      </c>
      <c r="Q1474" s="6" t="s">
        <v>104</v>
      </c>
      <c r="R1474" s="6" t="s">
        <v>104</v>
      </c>
      <c r="S1474" s="6" t="s">
        <v>104</v>
      </c>
      <c r="T1474" s="21" t="s">
        <v>104</v>
      </c>
      <c r="U1474" s="6" t="s">
        <v>104</v>
      </c>
      <c r="V1474" s="6" t="s">
        <v>104</v>
      </c>
      <c r="W1474" s="6" t="s">
        <v>104</v>
      </c>
      <c r="X1474" s="6" t="s">
        <v>104</v>
      </c>
      <c r="Y1474" s="21" t="s">
        <v>104</v>
      </c>
      <c r="Z1474" s="6" t="s">
        <v>104</v>
      </c>
      <c r="AA1474" s="6" t="s">
        <v>104</v>
      </c>
      <c r="AB1474" s="6" t="s">
        <v>104</v>
      </c>
      <c r="AC1474" s="6" t="s">
        <v>9714</v>
      </c>
      <c r="AD1474" s="16" t="n">
        <v>43727</v>
      </c>
      <c r="AE1474" s="6" t="s">
        <v>11813</v>
      </c>
      <c r="AF1474" s="6" t="s">
        <v>104</v>
      </c>
      <c r="AG1474" s="6" t="s">
        <v>104</v>
      </c>
      <c r="AH1474" s="6" t="s">
        <v>14499</v>
      </c>
      <c r="AI1474" s="6" t="s">
        <v>15312</v>
      </c>
      <c r="AJ1474" s="6" t="s">
        <v>15481</v>
      </c>
      <c r="AK1474" s="6" t="s">
        <v>16382</v>
      </c>
      <c r="AL1474" s="6" t="s">
        <v>16931</v>
      </c>
      <c r="AM1474" s="6" t="s">
        <v>17976</v>
      </c>
      <c r="AN1474" s="6" t="s">
        <v>18503</v>
      </c>
      <c r="AO1474" s="6" t="s">
        <v>18837</v>
      </c>
      <c r="AP1474" s="6" t="s">
        <v>14499</v>
      </c>
      <c r="AQ1474" s="6" t="s">
        <v>15312</v>
      </c>
      <c r="AR1474" s="6" t="s">
        <v>15481</v>
      </c>
      <c r="AS1474" s="6" t="s">
        <v>16382</v>
      </c>
      <c r="AT1474" s="6" t="s">
        <v>16931</v>
      </c>
      <c r="AU1474" s="6" t="s">
        <v>17976</v>
      </c>
      <c r="AV1474" s="6" t="s">
        <v>104</v>
      </c>
      <c r="AW1474" s="6" t="s">
        <v>104</v>
      </c>
      <c r="AX1474" s="6" t="s">
        <v>21270</v>
      </c>
      <c r="AY1474" s="6" t="s">
        <v>23073</v>
      </c>
      <c r="AZ1474" s="6" t="s">
        <v>24063</v>
      </c>
      <c r="BA1474" s="6" t="s">
        <v>104</v>
      </c>
      <c r="BB1474" s="6" t="s">
        <v>104</v>
      </c>
      <c r="BC1474" s="26"/>
      <c r="BD1474" s="26"/>
      <c r="BE1474" s="26" t="s">
        <v>24533</v>
      </c>
      <c r="BF1474" s="26"/>
      <c r="BG1474" s="26"/>
      <c r="BH1474" s="26"/>
      <c r="BI1474" s="26"/>
      <c r="BJ1474" s="26"/>
      <c r="BK1474" s="26"/>
      <c r="BL1474" s="26" t="s">
        <v>24533</v>
      </c>
      <c r="BM1474" s="26"/>
      <c r="BN1474" s="26"/>
      <c r="BO1474" s="26"/>
      <c r="BP1474" s="16" t="n">
        <v>45404</v>
      </c>
      <c r="BQ1474" s="28" t="str">
        <f>HYPERLINK("https://organic.ams.usda.gov/Integrity/Certificate.aspx?cid=70&amp;nopid=6435550000")</f>
        <v>https://organic.ams.usda.gov/Integrity/Certificate.aspx?cid=70&amp;nopid=6435550000</v>
      </c>
    </row>
    <row r="1475">
      <c r="A1475" t="s">
        <v>3</v>
      </c>
      <c r="B1475" s="6" t="s">
        <v>47</v>
      </c>
      <c r="C1475" s="6" t="s">
        <v>113</v>
      </c>
      <c r="D1475" s="6" t="s">
        <v>177</v>
      </c>
      <c r="E1475" s="10" t="s">
        <v>1673</v>
      </c>
      <c r="F1475" s="6" t="s">
        <v>3911</v>
      </c>
      <c r="G1475" s="6" t="s">
        <v>104</v>
      </c>
      <c r="H1475" s="6" t="s">
        <v>6229</v>
      </c>
      <c r="I1475" s="6" t="s">
        <v>6933</v>
      </c>
      <c r="J1475" s="6" t="s">
        <v>9221</v>
      </c>
      <c r="K1475" s="6" t="s">
        <v>9714</v>
      </c>
      <c r="L1475" s="16" t="n">
        <v>39197</v>
      </c>
      <c r="M1475" s="16" t="n">
        <v>45762</v>
      </c>
      <c r="N1475" s="6" t="s">
        <v>9714</v>
      </c>
      <c r="O1475" s="16" t="n">
        <v>39197</v>
      </c>
      <c r="P1475" s="6" t="s">
        <v>10123</v>
      </c>
      <c r="Q1475" s="6" t="s">
        <v>104</v>
      </c>
      <c r="R1475" s="6" t="s">
        <v>10408</v>
      </c>
      <c r="S1475" s="6" t="s">
        <v>9714</v>
      </c>
      <c r="T1475" s="16" t="n">
        <v>39197</v>
      </c>
      <c r="U1475" s="6" t="s">
        <v>10496</v>
      </c>
      <c r="V1475" s="6" t="s">
        <v>104</v>
      </c>
      <c r="W1475" s="6" t="s">
        <v>10408</v>
      </c>
      <c r="X1475" s="6" t="s">
        <v>104</v>
      </c>
      <c r="Y1475" s="21" t="s">
        <v>104</v>
      </c>
      <c r="Z1475" s="6" t="s">
        <v>104</v>
      </c>
      <c r="AA1475" s="6" t="s">
        <v>104</v>
      </c>
      <c r="AB1475" s="6" t="s">
        <v>104</v>
      </c>
      <c r="AC1475" s="6" t="s">
        <v>104</v>
      </c>
      <c r="AD1475" s="21" t="s">
        <v>104</v>
      </c>
      <c r="AE1475" s="6" t="s">
        <v>104</v>
      </c>
      <c r="AF1475" s="6" t="s">
        <v>104</v>
      </c>
      <c r="AG1475" s="6" t="s">
        <v>104</v>
      </c>
      <c r="AH1475" s="6" t="s">
        <v>14500</v>
      </c>
      <c r="AI1475" s="6" t="s">
        <v>104</v>
      </c>
      <c r="AJ1475" s="6" t="s">
        <v>16290</v>
      </c>
      <c r="AK1475" s="6" t="s">
        <v>16734</v>
      </c>
      <c r="AL1475" s="6" t="s">
        <v>16931</v>
      </c>
      <c r="AM1475" s="6" t="s">
        <v>17977</v>
      </c>
      <c r="AN1475" s="6" t="s">
        <v>18472</v>
      </c>
      <c r="AO1475" s="6" t="s">
        <v>18600</v>
      </c>
      <c r="AP1475" s="6" t="s">
        <v>14500</v>
      </c>
      <c r="AQ1475" s="6" t="s">
        <v>104</v>
      </c>
      <c r="AR1475" s="6" t="s">
        <v>16290</v>
      </c>
      <c r="AS1475" s="6" t="s">
        <v>16734</v>
      </c>
      <c r="AT1475" s="6" t="s">
        <v>16931</v>
      </c>
      <c r="AU1475" s="6" t="s">
        <v>17977</v>
      </c>
      <c r="AV1475" s="6" t="s">
        <v>104</v>
      </c>
      <c r="AW1475" s="6" t="s">
        <v>104</v>
      </c>
      <c r="AX1475" s="6" t="s">
        <v>21271</v>
      </c>
      <c r="AY1475" s="6" t="s">
        <v>23074</v>
      </c>
      <c r="AZ1475" s="6" t="s">
        <v>104</v>
      </c>
      <c r="BA1475" s="6" t="s">
        <v>104</v>
      </c>
      <c r="BB1475" s="24" t="n">
        <v>134</v>
      </c>
      <c r="BC1475" s="26"/>
      <c r="BD1475" s="26"/>
      <c r="BE1475" s="26"/>
      <c r="BF1475" s="26"/>
      <c r="BG1475" s="26"/>
      <c r="BH1475" s="26"/>
      <c r="BI1475" s="26"/>
      <c r="BJ1475" s="26"/>
      <c r="BK1475" s="26"/>
      <c r="BL1475" s="26"/>
      <c r="BM1475" s="26"/>
      <c r="BN1475" s="26"/>
      <c r="BO1475" s="26"/>
      <c r="BP1475" s="16" t="n">
        <v>45694</v>
      </c>
      <c r="BQ1475" s="28" t="str">
        <f>HYPERLINK("https://organic.ams.usda.gov/Integrity/Certificate.aspx?cid=47&amp;nopid=7142073318")</f>
        <v>https://organic.ams.usda.gov/Integrity/Certificate.aspx?cid=47&amp;nopid=7142073318</v>
      </c>
    </row>
    <row r="1476">
      <c r="A1476" t="s">
        <v>3</v>
      </c>
      <c r="B1476" s="6" t="s">
        <v>21</v>
      </c>
      <c r="C1476" s="6" t="s">
        <v>87</v>
      </c>
      <c r="D1476" s="6" t="s">
        <v>152</v>
      </c>
      <c r="E1476" s="10" t="s">
        <v>1674</v>
      </c>
      <c r="F1476" s="6" t="s">
        <v>3912</v>
      </c>
      <c r="G1476" s="6" t="s">
        <v>104</v>
      </c>
      <c r="H1476" s="6" t="s">
        <v>6230</v>
      </c>
      <c r="I1476" s="6" t="s">
        <v>6962</v>
      </c>
      <c r="J1476" s="6" t="s">
        <v>9222</v>
      </c>
      <c r="K1476" s="6" t="s">
        <v>9714</v>
      </c>
      <c r="L1476" s="16" t="n">
        <v>45371</v>
      </c>
      <c r="M1476" s="16" t="n">
        <v>46023</v>
      </c>
      <c r="N1476" s="6" t="s">
        <v>104</v>
      </c>
      <c r="O1476" s="21" t="s">
        <v>104</v>
      </c>
      <c r="P1476" s="6" t="s">
        <v>104</v>
      </c>
      <c r="Q1476" s="6" t="s">
        <v>104</v>
      </c>
      <c r="R1476" s="6" t="s">
        <v>104</v>
      </c>
      <c r="S1476" s="6" t="s">
        <v>104</v>
      </c>
      <c r="T1476" s="21" t="s">
        <v>104</v>
      </c>
      <c r="U1476" s="6" t="s">
        <v>104</v>
      </c>
      <c r="V1476" s="6" t="s">
        <v>104</v>
      </c>
      <c r="W1476" s="6" t="s">
        <v>104</v>
      </c>
      <c r="X1476" s="6" t="s">
        <v>104</v>
      </c>
      <c r="Y1476" s="21" t="s">
        <v>104</v>
      </c>
      <c r="Z1476" s="6" t="s">
        <v>104</v>
      </c>
      <c r="AA1476" s="6" t="s">
        <v>104</v>
      </c>
      <c r="AB1476" s="6" t="s">
        <v>104</v>
      </c>
      <c r="AC1476" s="6" t="s">
        <v>9714</v>
      </c>
      <c r="AD1476" s="16" t="n">
        <v>45371</v>
      </c>
      <c r="AE1476" s="6" t="s">
        <v>11814</v>
      </c>
      <c r="AF1476" s="6" t="s">
        <v>104</v>
      </c>
      <c r="AG1476" s="6" t="s">
        <v>104</v>
      </c>
      <c r="AH1476" s="6" t="s">
        <v>14501</v>
      </c>
      <c r="AI1476" s="6" t="s">
        <v>15230</v>
      </c>
      <c r="AJ1476" s="6" t="s">
        <v>16142</v>
      </c>
      <c r="AK1476" s="6" t="s">
        <v>16687</v>
      </c>
      <c r="AL1476" s="6" t="s">
        <v>16931</v>
      </c>
      <c r="AM1476" s="6" t="s">
        <v>17978</v>
      </c>
      <c r="AN1476" s="6" t="s">
        <v>104</v>
      </c>
      <c r="AO1476" s="6" t="s">
        <v>104</v>
      </c>
      <c r="AP1476" s="6" t="s">
        <v>19349</v>
      </c>
      <c r="AQ1476" s="6" t="s">
        <v>19570</v>
      </c>
      <c r="AR1476" s="6" t="s">
        <v>16142</v>
      </c>
      <c r="AS1476" s="6" t="s">
        <v>16687</v>
      </c>
      <c r="AT1476" s="6" t="s">
        <v>16931</v>
      </c>
      <c r="AU1476" s="6" t="s">
        <v>17978</v>
      </c>
      <c r="AV1476" s="6" t="s">
        <v>104</v>
      </c>
      <c r="AW1476" s="6" t="s">
        <v>104</v>
      </c>
      <c r="AX1476" s="6" t="s">
        <v>21272</v>
      </c>
      <c r="AY1476" s="6" t="s">
        <v>23075</v>
      </c>
      <c r="AZ1476" s="6" t="s">
        <v>24064</v>
      </c>
      <c r="BA1476" s="6" t="s">
        <v>24263</v>
      </c>
      <c r="BB1476" s="6" t="s">
        <v>104</v>
      </c>
      <c r="BC1476" s="26"/>
      <c r="BD1476" s="26"/>
      <c r="BE1476" s="26"/>
      <c r="BF1476" s="26"/>
      <c r="BG1476" s="26"/>
      <c r="BH1476" s="26"/>
      <c r="BI1476" s="26"/>
      <c r="BJ1476" s="26"/>
      <c r="BK1476" s="26"/>
      <c r="BL1476" s="26"/>
      <c r="BM1476" s="26"/>
      <c r="BN1476" s="26"/>
      <c r="BO1476" s="26"/>
      <c r="BP1476" s="16" t="n">
        <v>45728</v>
      </c>
      <c r="BQ1476" s="28" t="str">
        <f>HYPERLINK("https://organic.ams.usda.gov/Integrity/Certificate.aspx?cid=15&amp;nopid=5561007878")</f>
        <v>https://organic.ams.usda.gov/Integrity/Certificate.aspx?cid=15&amp;nopid=5561007878</v>
      </c>
    </row>
    <row r="1477">
      <c r="A1477" t="s">
        <v>3</v>
      </c>
      <c r="B1477" s="6" t="s">
        <v>12</v>
      </c>
      <c r="C1477" s="6" t="s">
        <v>78</v>
      </c>
      <c r="D1477" s="6" t="s">
        <v>143</v>
      </c>
      <c r="E1477" s="10" t="s">
        <v>1675</v>
      </c>
      <c r="F1477" s="6" t="s">
        <v>3913</v>
      </c>
      <c r="G1477" s="6" t="s">
        <v>104</v>
      </c>
      <c r="H1477" s="6" t="s">
        <v>104</v>
      </c>
      <c r="I1477" s="6" t="s">
        <v>7705</v>
      </c>
      <c r="J1477" s="6" t="s">
        <v>9129</v>
      </c>
      <c r="K1477" s="6" t="s">
        <v>9714</v>
      </c>
      <c r="L1477" s="16" t="n">
        <v>44477</v>
      </c>
      <c r="M1477" s="16" t="n">
        <v>45807</v>
      </c>
      <c r="N1477" s="6" t="s">
        <v>104</v>
      </c>
      <c r="O1477" s="21" t="s">
        <v>104</v>
      </c>
      <c r="P1477" s="6" t="s">
        <v>104</v>
      </c>
      <c r="Q1477" s="6" t="s">
        <v>104</v>
      </c>
      <c r="R1477" s="6" t="s">
        <v>104</v>
      </c>
      <c r="S1477" s="6" t="s">
        <v>104</v>
      </c>
      <c r="T1477" s="21" t="s">
        <v>104</v>
      </c>
      <c r="U1477" s="6" t="s">
        <v>104</v>
      </c>
      <c r="V1477" s="6" t="s">
        <v>104</v>
      </c>
      <c r="W1477" s="6" t="s">
        <v>104</v>
      </c>
      <c r="X1477" s="6" t="s">
        <v>104</v>
      </c>
      <c r="Y1477" s="21" t="s">
        <v>104</v>
      </c>
      <c r="Z1477" s="6" t="s">
        <v>104</v>
      </c>
      <c r="AA1477" s="6" t="s">
        <v>104</v>
      </c>
      <c r="AB1477" s="6" t="s">
        <v>104</v>
      </c>
      <c r="AC1477" s="6" t="s">
        <v>9714</v>
      </c>
      <c r="AD1477" s="16" t="n">
        <v>44477</v>
      </c>
      <c r="AE1477" s="6" t="s">
        <v>11815</v>
      </c>
      <c r="AF1477" s="6" t="s">
        <v>104</v>
      </c>
      <c r="AG1477" s="6" t="s">
        <v>12950</v>
      </c>
      <c r="AH1477" s="6" t="s">
        <v>14502</v>
      </c>
      <c r="AI1477" s="6" t="s">
        <v>104</v>
      </c>
      <c r="AJ1477" s="6" t="s">
        <v>16291</v>
      </c>
      <c r="AK1477" s="6" t="s">
        <v>16680</v>
      </c>
      <c r="AL1477" s="6" t="s">
        <v>16931</v>
      </c>
      <c r="AM1477" s="6" t="s">
        <v>17979</v>
      </c>
      <c r="AN1477" s="6" t="s">
        <v>18466</v>
      </c>
      <c r="AO1477" s="6" t="s">
        <v>18832</v>
      </c>
      <c r="AP1477" s="6" t="s">
        <v>14502</v>
      </c>
      <c r="AQ1477" s="6" t="s">
        <v>104</v>
      </c>
      <c r="AR1477" s="6" t="s">
        <v>16291</v>
      </c>
      <c r="AS1477" s="6" t="s">
        <v>16680</v>
      </c>
      <c r="AT1477" s="6" t="s">
        <v>16931</v>
      </c>
      <c r="AU1477" s="6" t="s">
        <v>17979</v>
      </c>
      <c r="AV1477" s="6" t="s">
        <v>104</v>
      </c>
      <c r="AW1477" s="6" t="s">
        <v>104</v>
      </c>
      <c r="AX1477" s="6" t="s">
        <v>104</v>
      </c>
      <c r="AY1477" s="6" t="s">
        <v>23076</v>
      </c>
      <c r="AZ1477" s="6" t="s">
        <v>104</v>
      </c>
      <c r="BA1477" s="6" t="s">
        <v>104</v>
      </c>
      <c r="BB1477" s="6" t="s">
        <v>104</v>
      </c>
      <c r="BC1477" s="26"/>
      <c r="BD1477" s="26"/>
      <c r="BE1477" s="26"/>
      <c r="BF1477" s="26"/>
      <c r="BG1477" s="26"/>
      <c r="BH1477" s="26"/>
      <c r="BI1477" s="26"/>
      <c r="BJ1477" s="26"/>
      <c r="BK1477" s="26"/>
      <c r="BL1477" s="26"/>
      <c r="BM1477" s="26"/>
      <c r="BN1477" s="26"/>
      <c r="BO1477" s="26"/>
      <c r="BP1477" s="16" t="n">
        <v>45628</v>
      </c>
      <c r="BQ1477" s="28" t="str">
        <f>HYPERLINK("https://organic.ams.usda.gov/Integrity/Certificate.aspx?cid=1&amp;nopid=9091415001")</f>
        <v>https://organic.ams.usda.gov/Integrity/Certificate.aspx?cid=1&amp;nopid=9091415001</v>
      </c>
    </row>
    <row r="1478">
      <c r="A1478" t="s">
        <v>3</v>
      </c>
      <c r="B1478" s="6" t="s">
        <v>54</v>
      </c>
      <c r="C1478" s="6" t="s">
        <v>120</v>
      </c>
      <c r="D1478" s="6" t="s">
        <v>184</v>
      </c>
      <c r="E1478" s="10" t="s">
        <v>1676</v>
      </c>
      <c r="F1478" s="6" t="s">
        <v>3914</v>
      </c>
      <c r="G1478" s="6" t="s">
        <v>104</v>
      </c>
      <c r="H1478" s="6" t="s">
        <v>6231</v>
      </c>
      <c r="I1478" s="6" t="s">
        <v>7071</v>
      </c>
      <c r="J1478" s="6" t="s">
        <v>9223</v>
      </c>
      <c r="K1478" s="6" t="s">
        <v>9714</v>
      </c>
      <c r="L1478" s="16" t="n">
        <v>44399</v>
      </c>
      <c r="M1478" s="16" t="n">
        <v>45717</v>
      </c>
      <c r="N1478" s="6" t="s">
        <v>9714</v>
      </c>
      <c r="O1478" s="16" t="n">
        <v>44399</v>
      </c>
      <c r="P1478" s="6" t="s">
        <v>10124</v>
      </c>
      <c r="Q1478" s="6" t="s">
        <v>104</v>
      </c>
      <c r="R1478" s="6" t="s">
        <v>104</v>
      </c>
      <c r="S1478" s="6" t="s">
        <v>104</v>
      </c>
      <c r="T1478" s="21" t="s">
        <v>104</v>
      </c>
      <c r="U1478" s="6" t="s">
        <v>104</v>
      </c>
      <c r="V1478" s="6" t="s">
        <v>104</v>
      </c>
      <c r="W1478" s="6" t="s">
        <v>104</v>
      </c>
      <c r="X1478" s="6" t="s">
        <v>104</v>
      </c>
      <c r="Y1478" s="21" t="s">
        <v>104</v>
      </c>
      <c r="Z1478" s="6" t="s">
        <v>104</v>
      </c>
      <c r="AA1478" s="6" t="s">
        <v>104</v>
      </c>
      <c r="AB1478" s="6" t="s">
        <v>104</v>
      </c>
      <c r="AC1478" s="6" t="s">
        <v>104</v>
      </c>
      <c r="AD1478" s="21" t="s">
        <v>104</v>
      </c>
      <c r="AE1478" s="6" t="s">
        <v>104</v>
      </c>
      <c r="AF1478" s="6" t="s">
        <v>104</v>
      </c>
      <c r="AG1478" s="6" t="s">
        <v>104</v>
      </c>
      <c r="AH1478" s="6" t="s">
        <v>14503</v>
      </c>
      <c r="AI1478" s="6" t="s">
        <v>104</v>
      </c>
      <c r="AJ1478" s="6" t="s">
        <v>16292</v>
      </c>
      <c r="AK1478" s="6" t="s">
        <v>16743</v>
      </c>
      <c r="AL1478" s="6" t="s">
        <v>16931</v>
      </c>
      <c r="AM1478" s="6" t="s">
        <v>17980</v>
      </c>
      <c r="AN1478" s="6" t="s">
        <v>18461</v>
      </c>
      <c r="AO1478" s="6" t="s">
        <v>18849</v>
      </c>
      <c r="AP1478" s="6" t="s">
        <v>104</v>
      </c>
      <c r="AQ1478" s="6" t="s">
        <v>104</v>
      </c>
      <c r="AR1478" s="6" t="s">
        <v>104</v>
      </c>
      <c r="AS1478" s="6" t="s">
        <v>104</v>
      </c>
      <c r="AT1478" s="6" t="s">
        <v>104</v>
      </c>
      <c r="AU1478" s="6" t="s">
        <v>104</v>
      </c>
      <c r="AV1478" s="6" t="s">
        <v>104</v>
      </c>
      <c r="AW1478" s="6" t="s">
        <v>104</v>
      </c>
      <c r="AX1478" s="6" t="s">
        <v>21273</v>
      </c>
      <c r="AY1478" s="6" t="s">
        <v>23077</v>
      </c>
      <c r="AZ1478" s="6" t="s">
        <v>104</v>
      </c>
      <c r="BA1478" s="6" t="s">
        <v>24323</v>
      </c>
      <c r="BB1478" s="24" t="n">
        <v>660</v>
      </c>
      <c r="BC1478" s="26"/>
      <c r="BD1478" s="26"/>
      <c r="BE1478" s="26"/>
      <c r="BF1478" s="26"/>
      <c r="BG1478" s="26"/>
      <c r="BH1478" s="26"/>
      <c r="BI1478" s="26"/>
      <c r="BJ1478" s="26"/>
      <c r="BK1478" s="26"/>
      <c r="BL1478" s="26"/>
      <c r="BM1478" s="26"/>
      <c r="BN1478" s="26"/>
      <c r="BO1478" s="26"/>
      <c r="BP1478" s="16" t="n">
        <v>45573</v>
      </c>
      <c r="BQ1478" s="28" t="str">
        <f>HYPERLINK("https://organic.ams.usda.gov/Integrity/Certificate.aspx?cid=60&amp;nopid=2580004144")</f>
        <v>https://organic.ams.usda.gov/Integrity/Certificate.aspx?cid=60&amp;nopid=2580004144</v>
      </c>
    </row>
    <row r="1479">
      <c r="A1479" t="s">
        <v>3</v>
      </c>
      <c r="B1479" s="6" t="s">
        <v>13</v>
      </c>
      <c r="C1479" s="6" t="s">
        <v>79</v>
      </c>
      <c r="D1479" s="6" t="s">
        <v>144</v>
      </c>
      <c r="E1479" s="10" t="s">
        <v>1677</v>
      </c>
      <c r="F1479" s="6" t="s">
        <v>3915</v>
      </c>
      <c r="G1479" s="6" t="s">
        <v>104</v>
      </c>
      <c r="H1479" s="6" t="s">
        <v>6232</v>
      </c>
      <c r="I1479" s="6" t="s">
        <v>7190</v>
      </c>
      <c r="J1479" s="6" t="s">
        <v>8781</v>
      </c>
      <c r="K1479" s="6" t="s">
        <v>9714</v>
      </c>
      <c r="L1479" s="16" t="n">
        <v>40235</v>
      </c>
      <c r="M1479" s="16" t="n">
        <v>46023</v>
      </c>
      <c r="N1479" s="6" t="s">
        <v>9714</v>
      </c>
      <c r="O1479" s="16" t="n">
        <v>40235</v>
      </c>
      <c r="P1479" s="6" t="s">
        <v>10125</v>
      </c>
      <c r="Q1479" s="6" t="s">
        <v>104</v>
      </c>
      <c r="R1479" s="6" t="s">
        <v>104</v>
      </c>
      <c r="S1479" s="6" t="s">
        <v>9714</v>
      </c>
      <c r="T1479" s="16" t="n">
        <v>40235</v>
      </c>
      <c r="U1479" s="6" t="s">
        <v>10497</v>
      </c>
      <c r="V1479" s="6" t="s">
        <v>104</v>
      </c>
      <c r="W1479" s="6" t="s">
        <v>104</v>
      </c>
      <c r="X1479" s="6" t="s">
        <v>104</v>
      </c>
      <c r="Y1479" s="21" t="s">
        <v>104</v>
      </c>
      <c r="Z1479" s="6" t="s">
        <v>104</v>
      </c>
      <c r="AA1479" s="6" t="s">
        <v>104</v>
      </c>
      <c r="AB1479" s="6" t="s">
        <v>104</v>
      </c>
      <c r="AC1479" s="6" t="s">
        <v>104</v>
      </c>
      <c r="AD1479" s="21" t="s">
        <v>104</v>
      </c>
      <c r="AE1479" s="6" t="s">
        <v>104</v>
      </c>
      <c r="AF1479" s="6" t="s">
        <v>104</v>
      </c>
      <c r="AG1479" s="6" t="s">
        <v>104</v>
      </c>
      <c r="AH1479" s="6" t="s">
        <v>104</v>
      </c>
      <c r="AI1479" s="6" t="s">
        <v>104</v>
      </c>
      <c r="AJ1479" s="6" t="s">
        <v>104</v>
      </c>
      <c r="AK1479" s="6" t="s">
        <v>104</v>
      </c>
      <c r="AL1479" s="6" t="s">
        <v>104</v>
      </c>
      <c r="AM1479" s="6" t="s">
        <v>104</v>
      </c>
      <c r="AN1479" s="6" t="s">
        <v>104</v>
      </c>
      <c r="AO1479" s="6" t="s">
        <v>104</v>
      </c>
      <c r="AP1479" s="6" t="s">
        <v>19350</v>
      </c>
      <c r="AQ1479" s="6" t="s">
        <v>104</v>
      </c>
      <c r="AR1479" s="6" t="s">
        <v>19734</v>
      </c>
      <c r="AS1479" s="6" t="s">
        <v>16683</v>
      </c>
      <c r="AT1479" s="6" t="s">
        <v>16931</v>
      </c>
      <c r="AU1479" s="6" t="s">
        <v>19993</v>
      </c>
      <c r="AV1479" s="6" t="s">
        <v>18459</v>
      </c>
      <c r="AW1479" s="6" t="s">
        <v>20091</v>
      </c>
      <c r="AX1479" s="6" t="s">
        <v>21274</v>
      </c>
      <c r="AY1479" s="6" t="s">
        <v>23078</v>
      </c>
      <c r="AZ1479" s="6" t="s">
        <v>104</v>
      </c>
      <c r="BA1479" s="6" t="s">
        <v>104</v>
      </c>
      <c r="BB1479" s="24" t="n">
        <v>301</v>
      </c>
      <c r="BC1479" s="26"/>
      <c r="BD1479" s="26"/>
      <c r="BE1479" s="26"/>
      <c r="BF1479" s="26" t="s">
        <v>24533</v>
      </c>
      <c r="BG1479" s="26"/>
      <c r="BH1479" s="26"/>
      <c r="BI1479" s="26"/>
      <c r="BJ1479" s="26"/>
      <c r="BK1479" s="26"/>
      <c r="BL1479" s="26"/>
      <c r="BM1479" s="26"/>
      <c r="BN1479" s="26"/>
      <c r="BO1479" s="26"/>
      <c r="BP1479" s="16" t="n">
        <v>45653</v>
      </c>
      <c r="BQ1479" s="28" t="str">
        <f>HYPERLINK("")</f>
      </c>
    </row>
    <row r="1480">
      <c r="A1480" t="s">
        <v>3</v>
      </c>
      <c r="B1480" s="6" t="s">
        <v>11</v>
      </c>
      <c r="C1480" s="6" t="s">
        <v>77</v>
      </c>
      <c r="D1480" s="6" t="s">
        <v>142</v>
      </c>
      <c r="E1480" s="10" t="s">
        <v>1678</v>
      </c>
      <c r="F1480" s="6" t="s">
        <v>3916</v>
      </c>
      <c r="G1480" s="6" t="s">
        <v>104</v>
      </c>
      <c r="H1480" s="6" t="s">
        <v>6233</v>
      </c>
      <c r="I1480" s="6" t="s">
        <v>7788</v>
      </c>
      <c r="J1480" s="6" t="s">
        <v>9224</v>
      </c>
      <c r="K1480" s="6" t="s">
        <v>9714</v>
      </c>
      <c r="L1480" s="16" t="n">
        <v>44327</v>
      </c>
      <c r="M1480" s="16" t="n">
        <v>45789</v>
      </c>
      <c r="N1480" s="6" t="s">
        <v>104</v>
      </c>
      <c r="O1480" s="21" t="s">
        <v>104</v>
      </c>
      <c r="P1480" s="6" t="s">
        <v>104</v>
      </c>
      <c r="Q1480" s="6" t="s">
        <v>104</v>
      </c>
      <c r="R1480" s="6" t="s">
        <v>104</v>
      </c>
      <c r="S1480" s="6" t="s">
        <v>104</v>
      </c>
      <c r="T1480" s="21" t="s">
        <v>104</v>
      </c>
      <c r="U1480" s="6" t="s">
        <v>104</v>
      </c>
      <c r="V1480" s="6" t="s">
        <v>104</v>
      </c>
      <c r="W1480" s="6" t="s">
        <v>104</v>
      </c>
      <c r="X1480" s="6" t="s">
        <v>104</v>
      </c>
      <c r="Y1480" s="21" t="s">
        <v>104</v>
      </c>
      <c r="Z1480" s="6" t="s">
        <v>104</v>
      </c>
      <c r="AA1480" s="6" t="s">
        <v>104</v>
      </c>
      <c r="AB1480" s="6" t="s">
        <v>104</v>
      </c>
      <c r="AC1480" s="6" t="s">
        <v>9714</v>
      </c>
      <c r="AD1480" s="16" t="n">
        <v>44327</v>
      </c>
      <c r="AE1480" s="6" t="s">
        <v>11276</v>
      </c>
      <c r="AF1480" s="6" t="s">
        <v>104</v>
      </c>
      <c r="AG1480" s="6" t="s">
        <v>104</v>
      </c>
      <c r="AH1480" s="6" t="s">
        <v>14504</v>
      </c>
      <c r="AI1480" s="6" t="s">
        <v>104</v>
      </c>
      <c r="AJ1480" s="6" t="s">
        <v>16293</v>
      </c>
      <c r="AK1480" s="6" t="s">
        <v>16874</v>
      </c>
      <c r="AL1480" s="6" t="s">
        <v>16969</v>
      </c>
      <c r="AM1480" s="6" t="s">
        <v>17981</v>
      </c>
      <c r="AN1480" s="6" t="s">
        <v>104</v>
      </c>
      <c r="AO1480" s="6" t="s">
        <v>104</v>
      </c>
      <c r="AP1480" s="6" t="s">
        <v>104</v>
      </c>
      <c r="AQ1480" s="6" t="s">
        <v>104</v>
      </c>
      <c r="AR1480" s="6" t="s">
        <v>104</v>
      </c>
      <c r="AS1480" s="6" t="s">
        <v>104</v>
      </c>
      <c r="AT1480" s="6" t="s">
        <v>104</v>
      </c>
      <c r="AU1480" s="6" t="s">
        <v>104</v>
      </c>
      <c r="AV1480" s="6" t="s">
        <v>104</v>
      </c>
      <c r="AW1480" s="6" t="s">
        <v>104</v>
      </c>
      <c r="AX1480" s="6" t="s">
        <v>104</v>
      </c>
      <c r="AY1480" s="6" t="s">
        <v>23079</v>
      </c>
      <c r="AZ1480" s="6" t="s">
        <v>104</v>
      </c>
      <c r="BA1480" s="6" t="s">
        <v>104</v>
      </c>
      <c r="BB1480" s="6" t="s">
        <v>104</v>
      </c>
      <c r="BC1480" s="26"/>
      <c r="BD1480" s="26"/>
      <c r="BE1480" s="26"/>
      <c r="BF1480" s="26"/>
      <c r="BG1480" s="26"/>
      <c r="BH1480" s="26"/>
      <c r="BI1480" s="26"/>
      <c r="BJ1480" s="26"/>
      <c r="BK1480" s="26"/>
      <c r="BL1480" s="26"/>
      <c r="BM1480" s="26"/>
      <c r="BN1480" s="26"/>
      <c r="BO1480" s="26"/>
      <c r="BP1480" s="16" t="n">
        <v>45429</v>
      </c>
      <c r="BQ1480" s="28" t="str">
        <f>HYPERLINK("https://organic.ams.usda.gov/Integrity/Certificate.aspx?cid=21&amp;nopid=1780880251")</f>
        <v>https://organic.ams.usda.gov/Integrity/Certificate.aspx?cid=21&amp;nopid=1780880251</v>
      </c>
    </row>
    <row r="1481">
      <c r="A1481" t="s">
        <v>3</v>
      </c>
      <c r="B1481" s="6" t="s">
        <v>20</v>
      </c>
      <c r="C1481" s="6" t="s">
        <v>86</v>
      </c>
      <c r="D1481" s="6" t="s">
        <v>151</v>
      </c>
      <c r="E1481" s="10" t="s">
        <v>1679</v>
      </c>
      <c r="F1481" s="6" t="s">
        <v>3917</v>
      </c>
      <c r="G1481" s="6" t="s">
        <v>104</v>
      </c>
      <c r="H1481" s="6" t="s">
        <v>6234</v>
      </c>
      <c r="I1481" s="6" t="s">
        <v>7789</v>
      </c>
      <c r="J1481" s="6" t="s">
        <v>9225</v>
      </c>
      <c r="K1481" s="6" t="s">
        <v>9714</v>
      </c>
      <c r="L1481" s="16" t="n">
        <v>44651</v>
      </c>
      <c r="M1481" s="16" t="n">
        <v>45747</v>
      </c>
      <c r="N1481" s="6" t="s">
        <v>9714</v>
      </c>
      <c r="O1481" s="16" t="n">
        <v>44651</v>
      </c>
      <c r="P1481" s="6" t="s">
        <v>10126</v>
      </c>
      <c r="Q1481" s="6" t="s">
        <v>104</v>
      </c>
      <c r="R1481" s="6" t="s">
        <v>10409</v>
      </c>
      <c r="S1481" s="6" t="s">
        <v>104</v>
      </c>
      <c r="T1481" s="21" t="s">
        <v>104</v>
      </c>
      <c r="U1481" s="6" t="s">
        <v>104</v>
      </c>
      <c r="V1481" s="6" t="s">
        <v>104</v>
      </c>
      <c r="W1481" s="6" t="s">
        <v>104</v>
      </c>
      <c r="X1481" s="6" t="s">
        <v>104</v>
      </c>
      <c r="Y1481" s="21" t="s">
        <v>104</v>
      </c>
      <c r="Z1481" s="6" t="s">
        <v>104</v>
      </c>
      <c r="AA1481" s="6" t="s">
        <v>104</v>
      </c>
      <c r="AB1481" s="6" t="s">
        <v>104</v>
      </c>
      <c r="AC1481" s="6" t="s">
        <v>9714</v>
      </c>
      <c r="AD1481" s="16" t="n">
        <v>44651</v>
      </c>
      <c r="AE1481" s="6" t="s">
        <v>11816</v>
      </c>
      <c r="AF1481" s="6" t="s">
        <v>104</v>
      </c>
      <c r="AG1481" s="6" t="s">
        <v>10409</v>
      </c>
      <c r="AH1481" s="6" t="s">
        <v>14505</v>
      </c>
      <c r="AI1481" s="6" t="s">
        <v>104</v>
      </c>
      <c r="AJ1481" s="6" t="s">
        <v>15441</v>
      </c>
      <c r="AK1481" s="6" t="s">
        <v>16097</v>
      </c>
      <c r="AL1481" s="6" t="s">
        <v>15513</v>
      </c>
      <c r="AM1481" s="6" t="s">
        <v>17071</v>
      </c>
      <c r="AN1481" s="6" t="s">
        <v>104</v>
      </c>
      <c r="AO1481" s="6" t="s">
        <v>104</v>
      </c>
      <c r="AP1481" s="6" t="s">
        <v>104</v>
      </c>
      <c r="AQ1481" s="6" t="s">
        <v>104</v>
      </c>
      <c r="AR1481" s="6" t="s">
        <v>104</v>
      </c>
      <c r="AS1481" s="6" t="s">
        <v>104</v>
      </c>
      <c r="AT1481" s="6" t="s">
        <v>104</v>
      </c>
      <c r="AU1481" s="6" t="s">
        <v>104</v>
      </c>
      <c r="AV1481" s="6" t="s">
        <v>104</v>
      </c>
      <c r="AW1481" s="6" t="s">
        <v>104</v>
      </c>
      <c r="AX1481" s="6" t="s">
        <v>21275</v>
      </c>
      <c r="AY1481" s="6" t="s">
        <v>23062</v>
      </c>
      <c r="AZ1481" s="6" t="s">
        <v>104</v>
      </c>
      <c r="BA1481" s="6" t="s">
        <v>104</v>
      </c>
      <c r="BB1481" s="24" t="n">
        <v>3446</v>
      </c>
      <c r="BC1481" s="26"/>
      <c r="BD1481" s="26"/>
      <c r="BE1481" s="26"/>
      <c r="BF1481" s="26"/>
      <c r="BG1481" s="26"/>
      <c r="BH1481" s="26"/>
      <c r="BI1481" s="26"/>
      <c r="BJ1481" s="26"/>
      <c r="BK1481" s="26"/>
      <c r="BL1481" s="26"/>
      <c r="BM1481" s="26"/>
      <c r="BN1481" s="26"/>
      <c r="BO1481" s="26" t="s">
        <v>24533</v>
      </c>
      <c r="BP1481" s="16" t="n">
        <v>45499</v>
      </c>
      <c r="BQ1481" s="28" t="str">
        <f>HYPERLINK("https://organic.ams.usda.gov/Integrity/Certificate.aspx?cid=17&amp;nopid=4081044824")</f>
        <v>https://organic.ams.usda.gov/Integrity/Certificate.aspx?cid=17&amp;nopid=4081044824</v>
      </c>
    </row>
    <row r="1482">
      <c r="A1482" t="s">
        <v>3</v>
      </c>
      <c r="B1482" s="6" t="s">
        <v>45</v>
      </c>
      <c r="C1482" s="6" t="s">
        <v>111</v>
      </c>
      <c r="D1482" s="6" t="s">
        <v>175</v>
      </c>
      <c r="E1482" s="10" t="s">
        <v>1680</v>
      </c>
      <c r="F1482" s="6" t="s">
        <v>3918</v>
      </c>
      <c r="G1482" s="6" t="s">
        <v>104</v>
      </c>
      <c r="H1482" s="6" t="s">
        <v>6235</v>
      </c>
      <c r="I1482" s="6" t="s">
        <v>7013</v>
      </c>
      <c r="J1482" s="6" t="s">
        <v>9226</v>
      </c>
      <c r="K1482" s="6" t="s">
        <v>9714</v>
      </c>
      <c r="L1482" s="16" t="n">
        <v>42688</v>
      </c>
      <c r="M1482" s="16" t="n">
        <v>46082</v>
      </c>
      <c r="N1482" s="6" t="s">
        <v>104</v>
      </c>
      <c r="O1482" s="21" t="s">
        <v>104</v>
      </c>
      <c r="P1482" s="6" t="s">
        <v>104</v>
      </c>
      <c r="Q1482" s="6" t="s">
        <v>104</v>
      </c>
      <c r="R1482" s="6" t="s">
        <v>104</v>
      </c>
      <c r="S1482" s="6" t="s">
        <v>104</v>
      </c>
      <c r="T1482" s="21" t="s">
        <v>104</v>
      </c>
      <c r="U1482" s="6" t="s">
        <v>104</v>
      </c>
      <c r="V1482" s="6" t="s">
        <v>104</v>
      </c>
      <c r="W1482" s="6" t="s">
        <v>104</v>
      </c>
      <c r="X1482" s="6" t="s">
        <v>104</v>
      </c>
      <c r="Y1482" s="21" t="s">
        <v>104</v>
      </c>
      <c r="Z1482" s="6" t="s">
        <v>104</v>
      </c>
      <c r="AA1482" s="6" t="s">
        <v>104</v>
      </c>
      <c r="AB1482" s="6" t="s">
        <v>104</v>
      </c>
      <c r="AC1482" s="6" t="s">
        <v>9714</v>
      </c>
      <c r="AD1482" s="16" t="n">
        <v>42688</v>
      </c>
      <c r="AE1482" s="6" t="s">
        <v>11817</v>
      </c>
      <c r="AF1482" s="6" t="s">
        <v>104</v>
      </c>
      <c r="AG1482" s="6" t="s">
        <v>4667</v>
      </c>
      <c r="AH1482" s="6" t="s">
        <v>14506</v>
      </c>
      <c r="AI1482" s="6" t="s">
        <v>104</v>
      </c>
      <c r="AJ1482" s="6" t="s">
        <v>15481</v>
      </c>
      <c r="AK1482" s="6" t="s">
        <v>16382</v>
      </c>
      <c r="AL1482" s="6" t="s">
        <v>16931</v>
      </c>
      <c r="AM1482" s="6" t="s">
        <v>17976</v>
      </c>
      <c r="AN1482" s="6" t="s">
        <v>104</v>
      </c>
      <c r="AO1482" s="6" t="s">
        <v>104</v>
      </c>
      <c r="AP1482" s="6" t="s">
        <v>14506</v>
      </c>
      <c r="AQ1482" s="6" t="s">
        <v>104</v>
      </c>
      <c r="AR1482" s="6" t="s">
        <v>15481</v>
      </c>
      <c r="AS1482" s="6" t="s">
        <v>16382</v>
      </c>
      <c r="AT1482" s="6" t="s">
        <v>16931</v>
      </c>
      <c r="AU1482" s="6" t="s">
        <v>17976</v>
      </c>
      <c r="AV1482" s="6" t="s">
        <v>18503</v>
      </c>
      <c r="AW1482" s="6" t="s">
        <v>18837</v>
      </c>
      <c r="AX1482" s="6" t="s">
        <v>21276</v>
      </c>
      <c r="AY1482" s="6" t="s">
        <v>23080</v>
      </c>
      <c r="AZ1482" s="6" t="s">
        <v>24065</v>
      </c>
      <c r="BA1482" s="6" t="s">
        <v>104</v>
      </c>
      <c r="BB1482" s="6" t="s">
        <v>104</v>
      </c>
      <c r="BC1482" s="26"/>
      <c r="BD1482" s="26"/>
      <c r="BE1482" s="26" t="s">
        <v>24533</v>
      </c>
      <c r="BF1482" s="26"/>
      <c r="BG1482" s="26"/>
      <c r="BH1482" s="26"/>
      <c r="BI1482" s="26"/>
      <c r="BJ1482" s="26"/>
      <c r="BK1482" s="26"/>
      <c r="BL1482" s="26"/>
      <c r="BM1482" s="26"/>
      <c r="BN1482" s="26"/>
      <c r="BO1482" s="26"/>
      <c r="BP1482" s="16" t="n">
        <v>45739</v>
      </c>
      <c r="BQ1482" s="28" t="str">
        <f>HYPERLINK("https://organic.ams.usda.gov/Integrity/Certificate.aspx?cid=82&amp;nopid=2780003198")</f>
        <v>https://organic.ams.usda.gov/Integrity/Certificate.aspx?cid=82&amp;nopid=2780003198</v>
      </c>
    </row>
    <row r="1483">
      <c r="A1483" t="s">
        <v>3</v>
      </c>
      <c r="B1483" s="6" t="s">
        <v>18</v>
      </c>
      <c r="C1483" s="6" t="s">
        <v>84</v>
      </c>
      <c r="D1483" s="6" t="s">
        <v>149</v>
      </c>
      <c r="E1483" s="10" t="s">
        <v>1681</v>
      </c>
      <c r="F1483" s="6" t="s">
        <v>3919</v>
      </c>
      <c r="G1483" s="6" t="s">
        <v>104</v>
      </c>
      <c r="H1483" s="6" t="s">
        <v>6236</v>
      </c>
      <c r="I1483" s="6" t="s">
        <v>7790</v>
      </c>
      <c r="J1483" s="6" t="s">
        <v>9227</v>
      </c>
      <c r="K1483" s="6" t="s">
        <v>9714</v>
      </c>
      <c r="L1483" s="16" t="n">
        <v>38079</v>
      </c>
      <c r="M1483" s="16" t="n">
        <v>46006</v>
      </c>
      <c r="N1483" s="6" t="s">
        <v>104</v>
      </c>
      <c r="O1483" s="21" t="s">
        <v>104</v>
      </c>
      <c r="P1483" s="6" t="s">
        <v>104</v>
      </c>
      <c r="Q1483" s="6" t="s">
        <v>104</v>
      </c>
      <c r="R1483" s="6" t="s">
        <v>104</v>
      </c>
      <c r="S1483" s="6" t="s">
        <v>104</v>
      </c>
      <c r="T1483" s="21" t="s">
        <v>104</v>
      </c>
      <c r="U1483" s="6" t="s">
        <v>104</v>
      </c>
      <c r="V1483" s="6" t="s">
        <v>104</v>
      </c>
      <c r="W1483" s="6" t="s">
        <v>104</v>
      </c>
      <c r="X1483" s="6" t="s">
        <v>104</v>
      </c>
      <c r="Y1483" s="21" t="s">
        <v>104</v>
      </c>
      <c r="Z1483" s="6" t="s">
        <v>104</v>
      </c>
      <c r="AA1483" s="6" t="s">
        <v>104</v>
      </c>
      <c r="AB1483" s="6" t="s">
        <v>104</v>
      </c>
      <c r="AC1483" s="6" t="s">
        <v>9714</v>
      </c>
      <c r="AD1483" s="16" t="n">
        <v>38079</v>
      </c>
      <c r="AE1483" s="6" t="s">
        <v>11818</v>
      </c>
      <c r="AF1483" s="6" t="s">
        <v>104</v>
      </c>
      <c r="AG1483" s="6" t="s">
        <v>12951</v>
      </c>
      <c r="AH1483" s="6" t="s">
        <v>14507</v>
      </c>
      <c r="AI1483" s="6" t="s">
        <v>104</v>
      </c>
      <c r="AJ1483" s="6" t="s">
        <v>8765</v>
      </c>
      <c r="AK1483" s="6" t="s">
        <v>16738</v>
      </c>
      <c r="AL1483" s="6" t="s">
        <v>16931</v>
      </c>
      <c r="AM1483" s="6" t="s">
        <v>17982</v>
      </c>
      <c r="AN1483" s="6" t="s">
        <v>18485</v>
      </c>
      <c r="AO1483" s="6" t="s">
        <v>18755</v>
      </c>
      <c r="AP1483" s="6" t="s">
        <v>104</v>
      </c>
      <c r="AQ1483" s="6" t="s">
        <v>104</v>
      </c>
      <c r="AR1483" s="6" t="s">
        <v>104</v>
      </c>
      <c r="AS1483" s="6" t="s">
        <v>104</v>
      </c>
      <c r="AT1483" s="6" t="s">
        <v>104</v>
      </c>
      <c r="AU1483" s="6" t="s">
        <v>104</v>
      </c>
      <c r="AV1483" s="6" t="s">
        <v>104</v>
      </c>
      <c r="AW1483" s="6" t="s">
        <v>104</v>
      </c>
      <c r="AX1483" s="6" t="s">
        <v>21277</v>
      </c>
      <c r="AY1483" s="6" t="s">
        <v>23081</v>
      </c>
      <c r="AZ1483" s="6" t="s">
        <v>104</v>
      </c>
      <c r="BA1483" s="6" t="s">
        <v>24450</v>
      </c>
      <c r="BB1483" s="6" t="s">
        <v>104</v>
      </c>
      <c r="BC1483" s="26"/>
      <c r="BD1483" s="26"/>
      <c r="BE1483" s="26"/>
      <c r="BF1483" s="26"/>
      <c r="BG1483" s="26"/>
      <c r="BH1483" s="26"/>
      <c r="BI1483" s="26"/>
      <c r="BJ1483" s="26"/>
      <c r="BK1483" s="26"/>
      <c r="BL1483" s="26"/>
      <c r="BM1483" s="26"/>
      <c r="BN1483" s="26"/>
      <c r="BO1483" s="26"/>
      <c r="BP1483" s="16" t="n">
        <v>45737</v>
      </c>
      <c r="BQ1483" s="28" t="str">
        <f>HYPERLINK("https://organic.ams.usda.gov/Integrity/Certificate.aspx?cid=31&amp;nopid=3920897327")</f>
        <v>https://organic.ams.usda.gov/Integrity/Certificate.aspx?cid=31&amp;nopid=3920897327</v>
      </c>
    </row>
    <row r="1484">
      <c r="A1484" t="s">
        <v>3</v>
      </c>
      <c r="B1484" s="6" t="s">
        <v>49</v>
      </c>
      <c r="C1484" s="6" t="s">
        <v>115</v>
      </c>
      <c r="D1484" s="6" t="s">
        <v>179</v>
      </c>
      <c r="E1484" s="10" t="s">
        <v>1682</v>
      </c>
      <c r="F1484" s="6" t="s">
        <v>3920</v>
      </c>
      <c r="G1484" s="6" t="s">
        <v>104</v>
      </c>
      <c r="H1484" s="6" t="s">
        <v>6237</v>
      </c>
      <c r="I1484" s="6" t="s">
        <v>104</v>
      </c>
      <c r="J1484" s="6" t="s">
        <v>9228</v>
      </c>
      <c r="K1484" s="6" t="s">
        <v>9714</v>
      </c>
      <c r="L1484" s="16" t="n">
        <v>44816</v>
      </c>
      <c r="M1484" s="16" t="n">
        <v>45833</v>
      </c>
      <c r="N1484" s="6" t="s">
        <v>104</v>
      </c>
      <c r="O1484" s="21" t="s">
        <v>104</v>
      </c>
      <c r="P1484" s="6" t="s">
        <v>104</v>
      </c>
      <c r="Q1484" s="6" t="s">
        <v>104</v>
      </c>
      <c r="R1484" s="6" t="s">
        <v>104</v>
      </c>
      <c r="S1484" s="6" t="s">
        <v>104</v>
      </c>
      <c r="T1484" s="21" t="s">
        <v>104</v>
      </c>
      <c r="U1484" s="6" t="s">
        <v>104</v>
      </c>
      <c r="V1484" s="6" t="s">
        <v>104</v>
      </c>
      <c r="W1484" s="6" t="s">
        <v>104</v>
      </c>
      <c r="X1484" s="6" t="s">
        <v>104</v>
      </c>
      <c r="Y1484" s="21" t="s">
        <v>104</v>
      </c>
      <c r="Z1484" s="6" t="s">
        <v>104</v>
      </c>
      <c r="AA1484" s="6" t="s">
        <v>104</v>
      </c>
      <c r="AB1484" s="6" t="s">
        <v>104</v>
      </c>
      <c r="AC1484" s="6" t="s">
        <v>9714</v>
      </c>
      <c r="AD1484" s="16" t="n">
        <v>44816</v>
      </c>
      <c r="AE1484" s="6" t="s">
        <v>11819</v>
      </c>
      <c r="AF1484" s="6" t="s">
        <v>104</v>
      </c>
      <c r="AG1484" s="6" t="s">
        <v>12952</v>
      </c>
      <c r="AH1484" s="6" t="s">
        <v>14508</v>
      </c>
      <c r="AI1484" s="6" t="s">
        <v>104</v>
      </c>
      <c r="AJ1484" s="6" t="s">
        <v>16294</v>
      </c>
      <c r="AK1484" s="6" t="s">
        <v>104</v>
      </c>
      <c r="AL1484" s="6" t="s">
        <v>16957</v>
      </c>
      <c r="AM1484" s="6" t="s">
        <v>17983</v>
      </c>
      <c r="AN1484" s="6" t="s">
        <v>104</v>
      </c>
      <c r="AO1484" s="6" t="s">
        <v>104</v>
      </c>
      <c r="AP1484" s="6" t="s">
        <v>104</v>
      </c>
      <c r="AQ1484" s="6" t="s">
        <v>104</v>
      </c>
      <c r="AR1484" s="6" t="s">
        <v>104</v>
      </c>
      <c r="AS1484" s="6" t="s">
        <v>104</v>
      </c>
      <c r="AT1484" s="6" t="s">
        <v>104</v>
      </c>
      <c r="AU1484" s="6" t="s">
        <v>104</v>
      </c>
      <c r="AV1484" s="6" t="s">
        <v>104</v>
      </c>
      <c r="AW1484" s="6" t="s">
        <v>104</v>
      </c>
      <c r="AX1484" s="6" t="s">
        <v>21278</v>
      </c>
      <c r="AY1484" s="6" t="s">
        <v>23082</v>
      </c>
      <c r="AZ1484" s="6" t="s">
        <v>104</v>
      </c>
      <c r="BA1484" s="6" t="s">
        <v>104</v>
      </c>
      <c r="BB1484" s="24" t="n">
        <v>0</v>
      </c>
      <c r="BC1484" s="26"/>
      <c r="BD1484" s="26"/>
      <c r="BE1484" s="26"/>
      <c r="BF1484" s="26"/>
      <c r="BG1484" s="26"/>
      <c r="BH1484" s="26"/>
      <c r="BI1484" s="26"/>
      <c r="BJ1484" s="26"/>
      <c r="BK1484" s="26"/>
      <c r="BL1484" s="26"/>
      <c r="BM1484" s="26"/>
      <c r="BN1484" s="26"/>
      <c r="BO1484" s="26"/>
      <c r="BP1484" s="16" t="n">
        <v>45588</v>
      </c>
      <c r="BQ1484" s="28" t="str">
        <f>HYPERLINK("https://organic.ams.usda.gov/Integrity/Certificate.aspx?cid=12&amp;nopid=8699694178")</f>
        <v>https://organic.ams.usda.gov/Integrity/Certificate.aspx?cid=12&amp;nopid=8699694178</v>
      </c>
    </row>
    <row r="1485">
      <c r="A1485" t="s">
        <v>3</v>
      </c>
      <c r="B1485" s="6" t="s">
        <v>11</v>
      </c>
      <c r="C1485" s="6" t="s">
        <v>77</v>
      </c>
      <c r="D1485" s="6" t="s">
        <v>142</v>
      </c>
      <c r="E1485" s="10" t="s">
        <v>1683</v>
      </c>
      <c r="F1485" s="6" t="s">
        <v>3921</v>
      </c>
      <c r="G1485" s="6" t="s">
        <v>104</v>
      </c>
      <c r="H1485" s="6" t="s">
        <v>6238</v>
      </c>
      <c r="I1485" s="6" t="s">
        <v>7791</v>
      </c>
      <c r="J1485" s="6" t="s">
        <v>7974</v>
      </c>
      <c r="K1485" s="6" t="s">
        <v>9714</v>
      </c>
      <c r="L1485" s="16" t="n">
        <v>44382</v>
      </c>
      <c r="M1485" s="16" t="n">
        <v>45677</v>
      </c>
      <c r="N1485" s="6" t="s">
        <v>9714</v>
      </c>
      <c r="O1485" s="16" t="n">
        <v>44382</v>
      </c>
      <c r="P1485" s="6" t="s">
        <v>10127</v>
      </c>
      <c r="Q1485" s="6" t="s">
        <v>104</v>
      </c>
      <c r="R1485" s="6" t="s">
        <v>104</v>
      </c>
      <c r="S1485" s="6" t="s">
        <v>104</v>
      </c>
      <c r="T1485" s="21" t="s">
        <v>104</v>
      </c>
      <c r="U1485" s="6" t="s">
        <v>104</v>
      </c>
      <c r="V1485" s="6" t="s">
        <v>104</v>
      </c>
      <c r="W1485" s="6" t="s">
        <v>104</v>
      </c>
      <c r="X1485" s="6" t="s">
        <v>104</v>
      </c>
      <c r="Y1485" s="21" t="s">
        <v>104</v>
      </c>
      <c r="Z1485" s="6" t="s">
        <v>104</v>
      </c>
      <c r="AA1485" s="6" t="s">
        <v>104</v>
      </c>
      <c r="AB1485" s="6" t="s">
        <v>104</v>
      </c>
      <c r="AC1485" s="6" t="s">
        <v>9714</v>
      </c>
      <c r="AD1485" s="16" t="n">
        <v>44382</v>
      </c>
      <c r="AE1485" s="6" t="s">
        <v>11820</v>
      </c>
      <c r="AF1485" s="6" t="s">
        <v>104</v>
      </c>
      <c r="AG1485" s="6" t="s">
        <v>104</v>
      </c>
      <c r="AH1485" s="6" t="s">
        <v>14509</v>
      </c>
      <c r="AI1485" s="6" t="s">
        <v>104</v>
      </c>
      <c r="AJ1485" s="6" t="s">
        <v>104</v>
      </c>
      <c r="AK1485" s="6" t="s">
        <v>104</v>
      </c>
      <c r="AL1485" s="6" t="s">
        <v>16940</v>
      </c>
      <c r="AM1485" s="6" t="s">
        <v>104</v>
      </c>
      <c r="AN1485" s="6" t="s">
        <v>104</v>
      </c>
      <c r="AO1485" s="6" t="s">
        <v>104</v>
      </c>
      <c r="AP1485" s="6" t="s">
        <v>104</v>
      </c>
      <c r="AQ1485" s="6" t="s">
        <v>104</v>
      </c>
      <c r="AR1485" s="6" t="s">
        <v>104</v>
      </c>
      <c r="AS1485" s="6" t="s">
        <v>104</v>
      </c>
      <c r="AT1485" s="6" t="s">
        <v>104</v>
      </c>
      <c r="AU1485" s="6" t="s">
        <v>104</v>
      </c>
      <c r="AV1485" s="6" t="s">
        <v>104</v>
      </c>
      <c r="AW1485" s="6" t="s">
        <v>104</v>
      </c>
      <c r="AX1485" s="6" t="s">
        <v>21279</v>
      </c>
      <c r="AY1485" s="6" t="s">
        <v>23083</v>
      </c>
      <c r="AZ1485" s="6" t="s">
        <v>104</v>
      </c>
      <c r="BA1485" s="6" t="s">
        <v>104</v>
      </c>
      <c r="BB1485" s="24" t="n">
        <v>416</v>
      </c>
      <c r="BC1485" s="26"/>
      <c r="BD1485" s="26"/>
      <c r="BE1485" s="26"/>
      <c r="BF1485" s="26"/>
      <c r="BG1485" s="26"/>
      <c r="BH1485" s="26"/>
      <c r="BI1485" s="26"/>
      <c r="BJ1485" s="26"/>
      <c r="BK1485" s="26"/>
      <c r="BL1485" s="26"/>
      <c r="BM1485" s="26"/>
      <c r="BN1485" s="26"/>
      <c r="BO1485" s="26"/>
      <c r="BP1485" s="16" t="n">
        <v>45472</v>
      </c>
      <c r="BQ1485" s="28" t="str">
        <f>HYPERLINK("https://organic.ams.usda.gov/Integrity/Certificate.aspx?cid=21&amp;nopid=1780843037")</f>
        <v>https://organic.ams.usda.gov/Integrity/Certificate.aspx?cid=21&amp;nopid=1780843037</v>
      </c>
    </row>
    <row r="1486">
      <c r="A1486" t="s">
        <v>3</v>
      </c>
      <c r="B1486" s="6" t="s">
        <v>20</v>
      </c>
      <c r="C1486" s="6" t="s">
        <v>86</v>
      </c>
      <c r="D1486" s="6" t="s">
        <v>151</v>
      </c>
      <c r="E1486" s="10" t="s">
        <v>1684</v>
      </c>
      <c r="F1486" s="6" t="s">
        <v>3922</v>
      </c>
      <c r="G1486" s="6" t="s">
        <v>104</v>
      </c>
      <c r="H1486" s="6" t="s">
        <v>6239</v>
      </c>
      <c r="I1486" s="6" t="s">
        <v>7166</v>
      </c>
      <c r="J1486" s="6" t="s">
        <v>7206</v>
      </c>
      <c r="K1486" s="6" t="s">
        <v>9714</v>
      </c>
      <c r="L1486" s="16" t="n">
        <v>45714</v>
      </c>
      <c r="M1486" s="16" t="n">
        <v>46081</v>
      </c>
      <c r="N1486" s="6" t="s">
        <v>104</v>
      </c>
      <c r="O1486" s="21" t="s">
        <v>104</v>
      </c>
      <c r="P1486" s="6" t="s">
        <v>104</v>
      </c>
      <c r="Q1486" s="6" t="s">
        <v>104</v>
      </c>
      <c r="R1486" s="6" t="s">
        <v>104</v>
      </c>
      <c r="S1486" s="6" t="s">
        <v>104</v>
      </c>
      <c r="T1486" s="21" t="s">
        <v>104</v>
      </c>
      <c r="U1486" s="6" t="s">
        <v>104</v>
      </c>
      <c r="V1486" s="6" t="s">
        <v>104</v>
      </c>
      <c r="W1486" s="6" t="s">
        <v>104</v>
      </c>
      <c r="X1486" s="6" t="s">
        <v>104</v>
      </c>
      <c r="Y1486" s="21" t="s">
        <v>104</v>
      </c>
      <c r="Z1486" s="6" t="s">
        <v>104</v>
      </c>
      <c r="AA1486" s="6" t="s">
        <v>104</v>
      </c>
      <c r="AB1486" s="6" t="s">
        <v>104</v>
      </c>
      <c r="AC1486" s="6" t="s">
        <v>9714</v>
      </c>
      <c r="AD1486" s="16" t="n">
        <v>45714</v>
      </c>
      <c r="AE1486" s="6" t="s">
        <v>11821</v>
      </c>
      <c r="AF1486" s="6" t="s">
        <v>104</v>
      </c>
      <c r="AG1486" s="6" t="s">
        <v>12953</v>
      </c>
      <c r="AH1486" s="6" t="s">
        <v>14510</v>
      </c>
      <c r="AI1486" s="6" t="s">
        <v>104</v>
      </c>
      <c r="AJ1486" s="6" t="s">
        <v>7191</v>
      </c>
      <c r="AK1486" s="6" t="s">
        <v>104</v>
      </c>
      <c r="AL1486" s="6" t="s">
        <v>16978</v>
      </c>
      <c r="AM1486" s="6" t="s">
        <v>17984</v>
      </c>
      <c r="AN1486" s="6" t="s">
        <v>104</v>
      </c>
      <c r="AO1486" s="6" t="s">
        <v>104</v>
      </c>
      <c r="AP1486" s="6" t="s">
        <v>104</v>
      </c>
      <c r="AQ1486" s="6" t="s">
        <v>104</v>
      </c>
      <c r="AR1486" s="6" t="s">
        <v>104</v>
      </c>
      <c r="AS1486" s="6" t="s">
        <v>104</v>
      </c>
      <c r="AT1486" s="6" t="s">
        <v>104</v>
      </c>
      <c r="AU1486" s="6" t="s">
        <v>104</v>
      </c>
      <c r="AV1486" s="6" t="s">
        <v>104</v>
      </c>
      <c r="AW1486" s="6" t="s">
        <v>104</v>
      </c>
      <c r="AX1486" s="6" t="s">
        <v>21280</v>
      </c>
      <c r="AY1486" s="6" t="s">
        <v>23084</v>
      </c>
      <c r="AZ1486" s="6" t="s">
        <v>104</v>
      </c>
      <c r="BA1486" s="6" t="s">
        <v>24451</v>
      </c>
      <c r="BB1486" s="6" t="s">
        <v>104</v>
      </c>
      <c r="BC1486" s="26"/>
      <c r="BD1486" s="26"/>
      <c r="BE1486" s="26"/>
      <c r="BF1486" s="26"/>
      <c r="BG1486" s="26"/>
      <c r="BH1486" s="26"/>
      <c r="BI1486" s="26"/>
      <c r="BJ1486" s="26"/>
      <c r="BK1486" s="26"/>
      <c r="BL1486" s="26"/>
      <c r="BM1486" s="26"/>
      <c r="BN1486" s="26"/>
      <c r="BO1486" s="26"/>
      <c r="BP1486" s="16" t="n">
        <v>45715</v>
      </c>
      <c r="BQ1486" s="28" t="str">
        <f>HYPERLINK("https://organic.ams.usda.gov/Integrity/Certificate.aspx?cid=17&amp;nopid=4080208719")</f>
        <v>https://organic.ams.usda.gov/Integrity/Certificate.aspx?cid=17&amp;nopid=4080208719</v>
      </c>
    </row>
    <row r="1487">
      <c r="A1487" t="s">
        <v>3</v>
      </c>
      <c r="B1487" s="6" t="s">
        <v>11</v>
      </c>
      <c r="C1487" s="6" t="s">
        <v>77</v>
      </c>
      <c r="D1487" s="6" t="s">
        <v>142</v>
      </c>
      <c r="E1487" s="10" t="s">
        <v>1685</v>
      </c>
      <c r="F1487" s="6" t="s">
        <v>3923</v>
      </c>
      <c r="G1487" s="6" t="s">
        <v>104</v>
      </c>
      <c r="H1487" s="6" t="s">
        <v>1685</v>
      </c>
      <c r="I1487" s="6" t="s">
        <v>7792</v>
      </c>
      <c r="J1487" s="6" t="s">
        <v>8709</v>
      </c>
      <c r="K1487" s="6" t="s">
        <v>9714</v>
      </c>
      <c r="L1487" s="16" t="n">
        <v>44568</v>
      </c>
      <c r="M1487" s="16" t="n">
        <v>46006</v>
      </c>
      <c r="N1487" s="6" t="s">
        <v>104</v>
      </c>
      <c r="O1487" s="21" t="s">
        <v>104</v>
      </c>
      <c r="P1487" s="6" t="s">
        <v>104</v>
      </c>
      <c r="Q1487" s="6" t="s">
        <v>104</v>
      </c>
      <c r="R1487" s="6" t="s">
        <v>104</v>
      </c>
      <c r="S1487" s="6" t="s">
        <v>104</v>
      </c>
      <c r="T1487" s="21" t="s">
        <v>104</v>
      </c>
      <c r="U1487" s="6" t="s">
        <v>104</v>
      </c>
      <c r="V1487" s="6" t="s">
        <v>104</v>
      </c>
      <c r="W1487" s="6" t="s">
        <v>104</v>
      </c>
      <c r="X1487" s="6" t="s">
        <v>104</v>
      </c>
      <c r="Y1487" s="21" t="s">
        <v>104</v>
      </c>
      <c r="Z1487" s="6" t="s">
        <v>104</v>
      </c>
      <c r="AA1487" s="6" t="s">
        <v>104</v>
      </c>
      <c r="AB1487" s="6" t="s">
        <v>104</v>
      </c>
      <c r="AC1487" s="6" t="s">
        <v>9714</v>
      </c>
      <c r="AD1487" s="16" t="n">
        <v>44599</v>
      </c>
      <c r="AE1487" s="6" t="s">
        <v>11822</v>
      </c>
      <c r="AF1487" s="6" t="s">
        <v>104</v>
      </c>
      <c r="AG1487" s="6" t="s">
        <v>12954</v>
      </c>
      <c r="AH1487" s="6" t="s">
        <v>14511</v>
      </c>
      <c r="AI1487" s="6" t="s">
        <v>104</v>
      </c>
      <c r="AJ1487" s="6" t="s">
        <v>16295</v>
      </c>
      <c r="AK1487" s="6" t="s">
        <v>16001</v>
      </c>
      <c r="AL1487" s="6" t="s">
        <v>16932</v>
      </c>
      <c r="AM1487" s="6" t="s">
        <v>17638</v>
      </c>
      <c r="AN1487" s="6" t="s">
        <v>104</v>
      </c>
      <c r="AO1487" s="6" t="s">
        <v>104</v>
      </c>
      <c r="AP1487" s="6" t="s">
        <v>14511</v>
      </c>
      <c r="AQ1487" s="6" t="s">
        <v>104</v>
      </c>
      <c r="AR1487" s="6" t="s">
        <v>16295</v>
      </c>
      <c r="AS1487" s="6" t="s">
        <v>16001</v>
      </c>
      <c r="AT1487" s="6" t="s">
        <v>16932</v>
      </c>
      <c r="AU1487" s="6" t="s">
        <v>17638</v>
      </c>
      <c r="AV1487" s="6" t="s">
        <v>104</v>
      </c>
      <c r="AW1487" s="6" t="s">
        <v>104</v>
      </c>
      <c r="AX1487" s="6" t="s">
        <v>21281</v>
      </c>
      <c r="AY1487" s="6" t="s">
        <v>23085</v>
      </c>
      <c r="AZ1487" s="6" t="s">
        <v>104</v>
      </c>
      <c r="BA1487" s="6" t="s">
        <v>104</v>
      </c>
      <c r="BB1487" s="6" t="s">
        <v>104</v>
      </c>
      <c r="BC1487" s="26"/>
      <c r="BD1487" s="26"/>
      <c r="BE1487" s="26"/>
      <c r="BF1487" s="26"/>
      <c r="BG1487" s="26"/>
      <c r="BH1487" s="26"/>
      <c r="BI1487" s="26"/>
      <c r="BJ1487" s="26"/>
      <c r="BK1487" s="26"/>
      <c r="BL1487" s="26"/>
      <c r="BM1487" s="26"/>
      <c r="BN1487" s="26" t="s">
        <v>24533</v>
      </c>
      <c r="BO1487" s="26"/>
      <c r="BP1487" s="16" t="n">
        <v>45729</v>
      </c>
      <c r="BQ1487" s="28" t="str">
        <f>HYPERLINK("https://organic.ams.usda.gov/Integrity/Certificate.aspx?cid=21&amp;nopid=1780801983")</f>
        <v>https://organic.ams.usda.gov/Integrity/Certificate.aspx?cid=21&amp;nopid=1780801983</v>
      </c>
    </row>
    <row r="1488">
      <c r="A1488" t="s">
        <v>3</v>
      </c>
      <c r="B1488" s="6" t="s">
        <v>49</v>
      </c>
      <c r="C1488" s="6" t="s">
        <v>115</v>
      </c>
      <c r="D1488" s="6" t="s">
        <v>179</v>
      </c>
      <c r="E1488" s="10" t="s">
        <v>1686</v>
      </c>
      <c r="F1488" s="6" t="s">
        <v>3924</v>
      </c>
      <c r="G1488" s="6" t="s">
        <v>104</v>
      </c>
      <c r="H1488" s="6" t="s">
        <v>6240</v>
      </c>
      <c r="I1488" s="6" t="s">
        <v>104</v>
      </c>
      <c r="J1488" s="6" t="s">
        <v>104</v>
      </c>
      <c r="K1488" s="6" t="s">
        <v>9714</v>
      </c>
      <c r="L1488" s="16" t="n">
        <v>44922</v>
      </c>
      <c r="M1488" s="16" t="n">
        <v>45828</v>
      </c>
      <c r="N1488" s="6" t="s">
        <v>104</v>
      </c>
      <c r="O1488" s="21" t="s">
        <v>104</v>
      </c>
      <c r="P1488" s="6" t="s">
        <v>104</v>
      </c>
      <c r="Q1488" s="6" t="s">
        <v>104</v>
      </c>
      <c r="R1488" s="6" t="s">
        <v>104</v>
      </c>
      <c r="S1488" s="6" t="s">
        <v>104</v>
      </c>
      <c r="T1488" s="21" t="s">
        <v>104</v>
      </c>
      <c r="U1488" s="6" t="s">
        <v>104</v>
      </c>
      <c r="V1488" s="6" t="s">
        <v>104</v>
      </c>
      <c r="W1488" s="6" t="s">
        <v>104</v>
      </c>
      <c r="X1488" s="6" t="s">
        <v>104</v>
      </c>
      <c r="Y1488" s="21" t="s">
        <v>104</v>
      </c>
      <c r="Z1488" s="6" t="s">
        <v>104</v>
      </c>
      <c r="AA1488" s="6" t="s">
        <v>104</v>
      </c>
      <c r="AB1488" s="6" t="s">
        <v>104</v>
      </c>
      <c r="AC1488" s="6" t="s">
        <v>9714</v>
      </c>
      <c r="AD1488" s="16" t="n">
        <v>44922</v>
      </c>
      <c r="AE1488" s="6" t="s">
        <v>11823</v>
      </c>
      <c r="AF1488" s="6" t="s">
        <v>104</v>
      </c>
      <c r="AG1488" s="6" t="s">
        <v>12955</v>
      </c>
      <c r="AH1488" s="6" t="s">
        <v>14512</v>
      </c>
      <c r="AI1488" s="6" t="s">
        <v>104</v>
      </c>
      <c r="AJ1488" s="6" t="s">
        <v>16296</v>
      </c>
      <c r="AK1488" s="6" t="s">
        <v>104</v>
      </c>
      <c r="AL1488" s="6" t="s">
        <v>16932</v>
      </c>
      <c r="AM1488" s="6" t="s">
        <v>17985</v>
      </c>
      <c r="AN1488" s="6" t="s">
        <v>104</v>
      </c>
      <c r="AO1488" s="6" t="s">
        <v>104</v>
      </c>
      <c r="AP1488" s="6" t="s">
        <v>104</v>
      </c>
      <c r="AQ1488" s="6" t="s">
        <v>104</v>
      </c>
      <c r="AR1488" s="6" t="s">
        <v>104</v>
      </c>
      <c r="AS1488" s="6" t="s">
        <v>104</v>
      </c>
      <c r="AT1488" s="6" t="s">
        <v>104</v>
      </c>
      <c r="AU1488" s="6" t="s">
        <v>104</v>
      </c>
      <c r="AV1488" s="6" t="s">
        <v>104</v>
      </c>
      <c r="AW1488" s="6" t="s">
        <v>104</v>
      </c>
      <c r="AX1488" s="6" t="s">
        <v>104</v>
      </c>
      <c r="AY1488" s="6" t="s">
        <v>22654</v>
      </c>
      <c r="AZ1488" s="6" t="s">
        <v>104</v>
      </c>
      <c r="BA1488" s="6" t="s">
        <v>104</v>
      </c>
      <c r="BB1488" s="24" t="n">
        <v>0</v>
      </c>
      <c r="BC1488" s="26"/>
      <c r="BD1488" s="26"/>
      <c r="BE1488" s="26"/>
      <c r="BF1488" s="26"/>
      <c r="BG1488" s="26"/>
      <c r="BH1488" s="26"/>
      <c r="BI1488" s="26"/>
      <c r="BJ1488" s="26"/>
      <c r="BK1488" s="26"/>
      <c r="BL1488" s="26"/>
      <c r="BM1488" s="26"/>
      <c r="BN1488" s="26"/>
      <c r="BO1488" s="26"/>
      <c r="BP1488" s="16" t="n">
        <v>45607</v>
      </c>
      <c r="BQ1488" s="28" t="str">
        <f>HYPERLINK("https://organic.ams.usda.gov/Integrity/Certificate.aspx?cid=12&amp;nopid=8699694303")</f>
        <v>https://organic.ams.usda.gov/Integrity/Certificate.aspx?cid=12&amp;nopid=8699694303</v>
      </c>
    </row>
    <row r="1489">
      <c r="A1489" t="s">
        <v>3</v>
      </c>
      <c r="B1489" s="6" t="s">
        <v>25</v>
      </c>
      <c r="C1489" s="6" t="s">
        <v>91</v>
      </c>
      <c r="D1489" s="6" t="s">
        <v>156</v>
      </c>
      <c r="E1489" s="10" t="s">
        <v>1687</v>
      </c>
      <c r="F1489" s="6" t="s">
        <v>3925</v>
      </c>
      <c r="G1489" s="6" t="s">
        <v>104</v>
      </c>
      <c r="H1489" s="6" t="s">
        <v>6241</v>
      </c>
      <c r="I1489" s="6" t="s">
        <v>7051</v>
      </c>
      <c r="J1489" s="6" t="s">
        <v>8262</v>
      </c>
      <c r="K1489" s="6" t="s">
        <v>9714</v>
      </c>
      <c r="L1489" s="16" t="n">
        <v>40765</v>
      </c>
      <c r="M1489" s="16" t="n">
        <v>45784</v>
      </c>
      <c r="N1489" s="6" t="s">
        <v>104</v>
      </c>
      <c r="O1489" s="21" t="s">
        <v>104</v>
      </c>
      <c r="P1489" s="6" t="s">
        <v>104</v>
      </c>
      <c r="Q1489" s="6" t="s">
        <v>104</v>
      </c>
      <c r="R1489" s="6" t="s">
        <v>104</v>
      </c>
      <c r="S1489" s="6" t="s">
        <v>104</v>
      </c>
      <c r="T1489" s="21" t="s">
        <v>104</v>
      </c>
      <c r="U1489" s="6" t="s">
        <v>104</v>
      </c>
      <c r="V1489" s="6" t="s">
        <v>104</v>
      </c>
      <c r="W1489" s="6" t="s">
        <v>104</v>
      </c>
      <c r="X1489" s="6" t="s">
        <v>104</v>
      </c>
      <c r="Y1489" s="21" t="s">
        <v>104</v>
      </c>
      <c r="Z1489" s="6" t="s">
        <v>104</v>
      </c>
      <c r="AA1489" s="6" t="s">
        <v>104</v>
      </c>
      <c r="AB1489" s="6" t="s">
        <v>104</v>
      </c>
      <c r="AC1489" s="6" t="s">
        <v>9714</v>
      </c>
      <c r="AD1489" s="16" t="n">
        <v>40765</v>
      </c>
      <c r="AE1489" s="6" t="s">
        <v>11824</v>
      </c>
      <c r="AF1489" s="6" t="s">
        <v>104</v>
      </c>
      <c r="AG1489" s="6" t="s">
        <v>104</v>
      </c>
      <c r="AH1489" s="6" t="s">
        <v>14513</v>
      </c>
      <c r="AI1489" s="6" t="s">
        <v>104</v>
      </c>
      <c r="AJ1489" s="6" t="s">
        <v>15611</v>
      </c>
      <c r="AK1489" s="6" t="s">
        <v>16758</v>
      </c>
      <c r="AL1489" s="6" t="s">
        <v>16935</v>
      </c>
      <c r="AM1489" s="6" t="s">
        <v>17231</v>
      </c>
      <c r="AN1489" s="6" t="s">
        <v>104</v>
      </c>
      <c r="AO1489" s="6" t="s">
        <v>104</v>
      </c>
      <c r="AP1489" s="6" t="s">
        <v>19351</v>
      </c>
      <c r="AQ1489" s="6" t="s">
        <v>104</v>
      </c>
      <c r="AR1489" s="6" t="s">
        <v>15897</v>
      </c>
      <c r="AS1489" s="6" t="s">
        <v>15897</v>
      </c>
      <c r="AT1489" s="6" t="s">
        <v>16935</v>
      </c>
      <c r="AU1489" s="6" t="s">
        <v>17531</v>
      </c>
      <c r="AV1489" s="6" t="s">
        <v>104</v>
      </c>
      <c r="AW1489" s="6" t="s">
        <v>104</v>
      </c>
      <c r="AX1489" s="6" t="s">
        <v>21282</v>
      </c>
      <c r="AY1489" s="6" t="s">
        <v>23086</v>
      </c>
      <c r="AZ1489" s="6" t="s">
        <v>104</v>
      </c>
      <c r="BA1489" s="6" t="s">
        <v>24264</v>
      </c>
      <c r="BB1489" s="6" t="s">
        <v>104</v>
      </c>
      <c r="BC1489" s="26"/>
      <c r="BD1489" s="26"/>
      <c r="BE1489" s="26"/>
      <c r="BF1489" s="26"/>
      <c r="BG1489" s="26"/>
      <c r="BH1489" s="26"/>
      <c r="BI1489" s="26"/>
      <c r="BJ1489" s="26"/>
      <c r="BK1489" s="26"/>
      <c r="BL1489" s="26"/>
      <c r="BM1489" s="26"/>
      <c r="BN1489" s="26"/>
      <c r="BO1489" s="26"/>
      <c r="BP1489" s="16" t="n">
        <v>45667</v>
      </c>
      <c r="BQ1489" s="28" t="str">
        <f>HYPERLINK("https://organic.ams.usda.gov/Integrity/Certificate.aspx?cid=66&amp;nopid=5500004391")</f>
        <v>https://organic.ams.usda.gov/Integrity/Certificate.aspx?cid=66&amp;nopid=5500004391</v>
      </c>
    </row>
    <row r="1490">
      <c r="A1490" t="s">
        <v>3</v>
      </c>
      <c r="B1490" s="6" t="s">
        <v>25</v>
      </c>
      <c r="C1490" s="6" t="s">
        <v>91</v>
      </c>
      <c r="D1490" s="6" t="s">
        <v>156</v>
      </c>
      <c r="E1490" s="10" t="s">
        <v>1688</v>
      </c>
      <c r="F1490" s="6" t="s">
        <v>3925</v>
      </c>
      <c r="G1490" s="6" t="s">
        <v>104</v>
      </c>
      <c r="H1490" s="6" t="s">
        <v>6242</v>
      </c>
      <c r="I1490" s="6" t="s">
        <v>7051</v>
      </c>
      <c r="J1490" s="6" t="s">
        <v>8262</v>
      </c>
      <c r="K1490" s="6" t="s">
        <v>9714</v>
      </c>
      <c r="L1490" s="16" t="n">
        <v>43277</v>
      </c>
      <c r="M1490" s="16" t="n">
        <v>45765</v>
      </c>
      <c r="N1490" s="6" t="s">
        <v>104</v>
      </c>
      <c r="O1490" s="21" t="s">
        <v>104</v>
      </c>
      <c r="P1490" s="6" t="s">
        <v>104</v>
      </c>
      <c r="Q1490" s="6" t="s">
        <v>104</v>
      </c>
      <c r="R1490" s="6" t="s">
        <v>104</v>
      </c>
      <c r="S1490" s="6" t="s">
        <v>104</v>
      </c>
      <c r="T1490" s="21" t="s">
        <v>104</v>
      </c>
      <c r="U1490" s="6" t="s">
        <v>104</v>
      </c>
      <c r="V1490" s="6" t="s">
        <v>104</v>
      </c>
      <c r="W1490" s="6" t="s">
        <v>104</v>
      </c>
      <c r="X1490" s="6" t="s">
        <v>104</v>
      </c>
      <c r="Y1490" s="21" t="s">
        <v>104</v>
      </c>
      <c r="Z1490" s="6" t="s">
        <v>104</v>
      </c>
      <c r="AA1490" s="6" t="s">
        <v>104</v>
      </c>
      <c r="AB1490" s="6" t="s">
        <v>104</v>
      </c>
      <c r="AC1490" s="6" t="s">
        <v>9714</v>
      </c>
      <c r="AD1490" s="16" t="n">
        <v>43277</v>
      </c>
      <c r="AE1490" s="6" t="s">
        <v>11825</v>
      </c>
      <c r="AF1490" s="6" t="s">
        <v>104</v>
      </c>
      <c r="AG1490" s="6" t="s">
        <v>104</v>
      </c>
      <c r="AH1490" s="6" t="s">
        <v>14514</v>
      </c>
      <c r="AI1490" s="6" t="s">
        <v>104</v>
      </c>
      <c r="AJ1490" s="6" t="s">
        <v>15611</v>
      </c>
      <c r="AK1490" s="6" t="s">
        <v>16758</v>
      </c>
      <c r="AL1490" s="6" t="s">
        <v>16935</v>
      </c>
      <c r="AM1490" s="6" t="s">
        <v>17231</v>
      </c>
      <c r="AN1490" s="6" t="s">
        <v>104</v>
      </c>
      <c r="AO1490" s="6" t="s">
        <v>104</v>
      </c>
      <c r="AP1490" s="6" t="s">
        <v>19352</v>
      </c>
      <c r="AQ1490" s="6" t="s">
        <v>104</v>
      </c>
      <c r="AR1490" s="6" t="s">
        <v>15897</v>
      </c>
      <c r="AS1490" s="6" t="s">
        <v>104</v>
      </c>
      <c r="AT1490" s="6" t="s">
        <v>16935</v>
      </c>
      <c r="AU1490" s="6" t="s">
        <v>19994</v>
      </c>
      <c r="AV1490" s="6" t="s">
        <v>104</v>
      </c>
      <c r="AW1490" s="6" t="s">
        <v>104</v>
      </c>
      <c r="AX1490" s="6" t="s">
        <v>21282</v>
      </c>
      <c r="AY1490" s="6" t="s">
        <v>23086</v>
      </c>
      <c r="AZ1490" s="6" t="s">
        <v>104</v>
      </c>
      <c r="BA1490" s="6" t="s">
        <v>24264</v>
      </c>
      <c r="BB1490" s="6" t="s">
        <v>104</v>
      </c>
      <c r="BC1490" s="26"/>
      <c r="BD1490" s="26"/>
      <c r="BE1490" s="26"/>
      <c r="BF1490" s="26"/>
      <c r="BG1490" s="26"/>
      <c r="BH1490" s="26"/>
      <c r="BI1490" s="26"/>
      <c r="BJ1490" s="26"/>
      <c r="BK1490" s="26"/>
      <c r="BL1490" s="26"/>
      <c r="BM1490" s="26"/>
      <c r="BN1490" s="26"/>
      <c r="BO1490" s="26"/>
      <c r="BP1490" s="16" t="n">
        <v>45551</v>
      </c>
      <c r="BQ1490" s="28" t="str">
        <f>HYPERLINK("https://organic.ams.usda.gov/Integrity/Certificate.aspx?cid=66&amp;nopid=5500005702")</f>
        <v>https://organic.ams.usda.gov/Integrity/Certificate.aspx?cid=66&amp;nopid=5500005702</v>
      </c>
    </row>
    <row r="1491">
      <c r="A1491" t="s">
        <v>3</v>
      </c>
      <c r="B1491" s="6" t="s">
        <v>21</v>
      </c>
      <c r="C1491" s="6" t="s">
        <v>87</v>
      </c>
      <c r="D1491" s="6" t="s">
        <v>152</v>
      </c>
      <c r="E1491" s="10" t="s">
        <v>1689</v>
      </c>
      <c r="F1491" s="6" t="s">
        <v>3926</v>
      </c>
      <c r="G1491" s="6" t="s">
        <v>4810</v>
      </c>
      <c r="H1491" s="6" t="s">
        <v>6243</v>
      </c>
      <c r="I1491" s="6" t="s">
        <v>7793</v>
      </c>
      <c r="J1491" s="6" t="s">
        <v>7717</v>
      </c>
      <c r="K1491" s="6" t="s">
        <v>9714</v>
      </c>
      <c r="L1491" s="16" t="n">
        <v>37550</v>
      </c>
      <c r="M1491" s="16" t="n">
        <v>46023</v>
      </c>
      <c r="N1491" s="6" t="s">
        <v>9714</v>
      </c>
      <c r="O1491" s="16" t="n">
        <v>37550</v>
      </c>
      <c r="P1491" s="6" t="s">
        <v>10128</v>
      </c>
      <c r="Q1491" s="6" t="s">
        <v>104</v>
      </c>
      <c r="R1491" s="6" t="s">
        <v>104</v>
      </c>
      <c r="S1491" s="6" t="s">
        <v>104</v>
      </c>
      <c r="T1491" s="21" t="s">
        <v>104</v>
      </c>
      <c r="U1491" s="6" t="s">
        <v>104</v>
      </c>
      <c r="V1491" s="6" t="s">
        <v>104</v>
      </c>
      <c r="W1491" s="6" t="s">
        <v>104</v>
      </c>
      <c r="X1491" s="6" t="s">
        <v>104</v>
      </c>
      <c r="Y1491" s="21" t="s">
        <v>104</v>
      </c>
      <c r="Z1491" s="6" t="s">
        <v>104</v>
      </c>
      <c r="AA1491" s="6" t="s">
        <v>104</v>
      </c>
      <c r="AB1491" s="6" t="s">
        <v>104</v>
      </c>
      <c r="AC1491" s="6" t="s">
        <v>9714</v>
      </c>
      <c r="AD1491" s="16" t="n">
        <v>39800</v>
      </c>
      <c r="AE1491" s="6" t="s">
        <v>11826</v>
      </c>
      <c r="AF1491" s="6" t="s">
        <v>104</v>
      </c>
      <c r="AG1491" s="6" t="s">
        <v>104</v>
      </c>
      <c r="AH1491" s="6" t="s">
        <v>14515</v>
      </c>
      <c r="AI1491" s="6" t="s">
        <v>104</v>
      </c>
      <c r="AJ1491" s="6" t="s">
        <v>16297</v>
      </c>
      <c r="AK1491" s="6" t="s">
        <v>16687</v>
      </c>
      <c r="AL1491" s="6" t="s">
        <v>16931</v>
      </c>
      <c r="AM1491" s="6" t="s">
        <v>17986</v>
      </c>
      <c r="AN1491" s="6" t="s">
        <v>18523</v>
      </c>
      <c r="AO1491" s="6" t="s">
        <v>18707</v>
      </c>
      <c r="AP1491" s="6" t="s">
        <v>14515</v>
      </c>
      <c r="AQ1491" s="6" t="s">
        <v>104</v>
      </c>
      <c r="AR1491" s="6" t="s">
        <v>16297</v>
      </c>
      <c r="AS1491" s="6" t="s">
        <v>16687</v>
      </c>
      <c r="AT1491" s="6" t="s">
        <v>16931</v>
      </c>
      <c r="AU1491" s="6" t="s">
        <v>17986</v>
      </c>
      <c r="AV1491" s="6" t="s">
        <v>104</v>
      </c>
      <c r="AW1491" s="6" t="s">
        <v>104</v>
      </c>
      <c r="AX1491" s="6" t="s">
        <v>21283</v>
      </c>
      <c r="AY1491" s="6" t="s">
        <v>23087</v>
      </c>
      <c r="AZ1491" s="6" t="s">
        <v>24066</v>
      </c>
      <c r="BA1491" s="6" t="s">
        <v>24452</v>
      </c>
      <c r="BB1491" s="24" t="n">
        <v>102</v>
      </c>
      <c r="BC1491" s="26"/>
      <c r="BD1491" s="26"/>
      <c r="BE1491" s="26"/>
      <c r="BF1491" s="26"/>
      <c r="BG1491" s="26"/>
      <c r="BH1491" s="26"/>
      <c r="BI1491" s="26"/>
      <c r="BJ1491" s="26"/>
      <c r="BK1491" s="26"/>
      <c r="BL1491" s="26"/>
      <c r="BM1491" s="26"/>
      <c r="BN1491" s="26"/>
      <c r="BO1491" s="26"/>
      <c r="BP1491" s="16" t="n">
        <v>45667</v>
      </c>
      <c r="BQ1491" s="28" t="str">
        <f>HYPERLINK("https://organic.ams.usda.gov/Integrity/Certificate.aspx?cid=15&amp;nopid=5561000971")</f>
        <v>https://organic.ams.usda.gov/Integrity/Certificate.aspx?cid=15&amp;nopid=5561000971</v>
      </c>
    </row>
    <row r="1492">
      <c r="A1492" t="s">
        <v>3</v>
      </c>
      <c r="B1492" s="6" t="s">
        <v>34</v>
      </c>
      <c r="C1492" s="6" t="s">
        <v>100</v>
      </c>
      <c r="D1492" s="6" t="s">
        <v>165</v>
      </c>
      <c r="E1492" s="10" t="s">
        <v>1690</v>
      </c>
      <c r="F1492" s="6" t="s">
        <v>3927</v>
      </c>
      <c r="G1492" s="6" t="s">
        <v>104</v>
      </c>
      <c r="H1492" s="6" t="s">
        <v>6244</v>
      </c>
      <c r="I1492" s="6" t="s">
        <v>7794</v>
      </c>
      <c r="J1492" s="6" t="s">
        <v>9229</v>
      </c>
      <c r="K1492" s="6" t="s">
        <v>9714</v>
      </c>
      <c r="L1492" s="16" t="n">
        <v>37375</v>
      </c>
      <c r="M1492" s="16" t="n">
        <v>45917</v>
      </c>
      <c r="N1492" s="6" t="s">
        <v>104</v>
      </c>
      <c r="O1492" s="21" t="s">
        <v>104</v>
      </c>
      <c r="P1492" s="6" t="s">
        <v>104</v>
      </c>
      <c r="Q1492" s="6" t="s">
        <v>104</v>
      </c>
      <c r="R1492" s="6" t="s">
        <v>104</v>
      </c>
      <c r="S1492" s="6" t="s">
        <v>104</v>
      </c>
      <c r="T1492" s="21" t="s">
        <v>104</v>
      </c>
      <c r="U1492" s="6" t="s">
        <v>104</v>
      </c>
      <c r="V1492" s="6" t="s">
        <v>104</v>
      </c>
      <c r="W1492" s="6" t="s">
        <v>104</v>
      </c>
      <c r="X1492" s="6" t="s">
        <v>104</v>
      </c>
      <c r="Y1492" s="21" t="s">
        <v>104</v>
      </c>
      <c r="Z1492" s="6" t="s">
        <v>104</v>
      </c>
      <c r="AA1492" s="6" t="s">
        <v>104</v>
      </c>
      <c r="AB1492" s="6" t="s">
        <v>104</v>
      </c>
      <c r="AC1492" s="6" t="s">
        <v>9714</v>
      </c>
      <c r="AD1492" s="16" t="n">
        <v>37375</v>
      </c>
      <c r="AE1492" s="6" t="s">
        <v>11827</v>
      </c>
      <c r="AF1492" s="6" t="s">
        <v>104</v>
      </c>
      <c r="AG1492" s="6" t="s">
        <v>12956</v>
      </c>
      <c r="AH1492" s="6" t="s">
        <v>14516</v>
      </c>
      <c r="AI1492" s="6" t="s">
        <v>15313</v>
      </c>
      <c r="AJ1492" s="6" t="s">
        <v>15415</v>
      </c>
      <c r="AK1492" s="6" t="s">
        <v>16705</v>
      </c>
      <c r="AL1492" s="6" t="s">
        <v>16931</v>
      </c>
      <c r="AM1492" s="6" t="s">
        <v>17987</v>
      </c>
      <c r="AN1492" s="6" t="s">
        <v>17550</v>
      </c>
      <c r="AO1492" s="6" t="s">
        <v>18702</v>
      </c>
      <c r="AP1492" s="6" t="s">
        <v>19353</v>
      </c>
      <c r="AQ1492" s="6" t="s">
        <v>15313</v>
      </c>
      <c r="AR1492" s="6" t="s">
        <v>15415</v>
      </c>
      <c r="AS1492" s="6" t="s">
        <v>16705</v>
      </c>
      <c r="AT1492" s="6" t="s">
        <v>16931</v>
      </c>
      <c r="AU1492" s="6" t="s">
        <v>17987</v>
      </c>
      <c r="AV1492" s="6" t="s">
        <v>104</v>
      </c>
      <c r="AW1492" s="6" t="s">
        <v>104</v>
      </c>
      <c r="AX1492" s="6" t="s">
        <v>21284</v>
      </c>
      <c r="AY1492" s="6" t="s">
        <v>23088</v>
      </c>
      <c r="AZ1492" s="6" t="s">
        <v>24067</v>
      </c>
      <c r="BA1492" s="6" t="s">
        <v>104</v>
      </c>
      <c r="BB1492" s="6" t="s">
        <v>104</v>
      </c>
      <c r="BC1492" s="26"/>
      <c r="BD1492" s="26"/>
      <c r="BE1492" s="26"/>
      <c r="BF1492" s="26"/>
      <c r="BG1492" s="26"/>
      <c r="BH1492" s="26" t="s">
        <v>24533</v>
      </c>
      <c r="BI1492" s="26"/>
      <c r="BJ1492" s="26"/>
      <c r="BK1492" s="26"/>
      <c r="BL1492" s="26"/>
      <c r="BM1492" s="26"/>
      <c r="BN1492" s="26"/>
      <c r="BO1492" s="26"/>
      <c r="BP1492" s="16" t="n">
        <v>45737</v>
      </c>
      <c r="BQ1492" s="28" t="str">
        <f>HYPERLINK("https://organic.ams.usda.gov/Integrity/Certificate.aspx?cid=71&amp;nopid=5520030570")</f>
        <v>https://organic.ams.usda.gov/Integrity/Certificate.aspx?cid=71&amp;nopid=5520030570</v>
      </c>
    </row>
    <row r="1493">
      <c r="A1493" t="s">
        <v>3</v>
      </c>
      <c r="B1493" s="6" t="s">
        <v>54</v>
      </c>
      <c r="C1493" s="6" t="s">
        <v>120</v>
      </c>
      <c r="D1493" s="6" t="s">
        <v>184</v>
      </c>
      <c r="E1493" s="10" t="s">
        <v>1691</v>
      </c>
      <c r="F1493" s="6" t="s">
        <v>3928</v>
      </c>
      <c r="G1493" s="6" t="s">
        <v>104</v>
      </c>
      <c r="H1493" s="6" t="s">
        <v>6245</v>
      </c>
      <c r="I1493" s="6" t="s">
        <v>7080</v>
      </c>
      <c r="J1493" s="6" t="s">
        <v>8279</v>
      </c>
      <c r="K1493" s="6" t="s">
        <v>9714</v>
      </c>
      <c r="L1493" s="16" t="n">
        <v>41906</v>
      </c>
      <c r="M1493" s="16" t="n">
        <v>45809</v>
      </c>
      <c r="N1493" s="6" t="s">
        <v>104</v>
      </c>
      <c r="O1493" s="21" t="s">
        <v>104</v>
      </c>
      <c r="P1493" s="6" t="s">
        <v>104</v>
      </c>
      <c r="Q1493" s="6" t="s">
        <v>104</v>
      </c>
      <c r="R1493" s="6" t="s">
        <v>104</v>
      </c>
      <c r="S1493" s="6" t="s">
        <v>104</v>
      </c>
      <c r="T1493" s="21" t="s">
        <v>104</v>
      </c>
      <c r="U1493" s="6" t="s">
        <v>104</v>
      </c>
      <c r="V1493" s="6" t="s">
        <v>104</v>
      </c>
      <c r="W1493" s="6" t="s">
        <v>104</v>
      </c>
      <c r="X1493" s="6" t="s">
        <v>104</v>
      </c>
      <c r="Y1493" s="21" t="s">
        <v>104</v>
      </c>
      <c r="Z1493" s="6" t="s">
        <v>104</v>
      </c>
      <c r="AA1493" s="6" t="s">
        <v>104</v>
      </c>
      <c r="AB1493" s="6" t="s">
        <v>104</v>
      </c>
      <c r="AC1493" s="6" t="s">
        <v>9714</v>
      </c>
      <c r="AD1493" s="16" t="n">
        <v>41906</v>
      </c>
      <c r="AE1493" s="6" t="s">
        <v>11828</v>
      </c>
      <c r="AF1493" s="6" t="s">
        <v>104</v>
      </c>
      <c r="AG1493" s="6" t="s">
        <v>104</v>
      </c>
      <c r="AH1493" s="6" t="s">
        <v>14517</v>
      </c>
      <c r="AI1493" s="6" t="s">
        <v>104</v>
      </c>
      <c r="AJ1493" s="6" t="s">
        <v>16298</v>
      </c>
      <c r="AK1493" s="6" t="s">
        <v>16743</v>
      </c>
      <c r="AL1493" s="6" t="s">
        <v>16931</v>
      </c>
      <c r="AM1493" s="6" t="s">
        <v>17988</v>
      </c>
      <c r="AN1493" s="6" t="s">
        <v>18521</v>
      </c>
      <c r="AO1493" s="6" t="s">
        <v>18850</v>
      </c>
      <c r="AP1493" s="6" t="s">
        <v>104</v>
      </c>
      <c r="AQ1493" s="6" t="s">
        <v>104</v>
      </c>
      <c r="AR1493" s="6" t="s">
        <v>104</v>
      </c>
      <c r="AS1493" s="6" t="s">
        <v>104</v>
      </c>
      <c r="AT1493" s="6" t="s">
        <v>104</v>
      </c>
      <c r="AU1493" s="6" t="s">
        <v>104</v>
      </c>
      <c r="AV1493" s="6" t="s">
        <v>104</v>
      </c>
      <c r="AW1493" s="6" t="s">
        <v>104</v>
      </c>
      <c r="AX1493" s="6" t="s">
        <v>21285</v>
      </c>
      <c r="AY1493" s="6" t="s">
        <v>23089</v>
      </c>
      <c r="AZ1493" s="6" t="s">
        <v>104</v>
      </c>
      <c r="BA1493" s="6" t="s">
        <v>24272</v>
      </c>
      <c r="BB1493" s="6" t="s">
        <v>104</v>
      </c>
      <c r="BC1493" s="26" t="s">
        <v>24533</v>
      </c>
      <c r="BD1493" s="26"/>
      <c r="BE1493" s="26"/>
      <c r="BF1493" s="26"/>
      <c r="BG1493" s="26"/>
      <c r="BH1493" s="26"/>
      <c r="BI1493" s="26"/>
      <c r="BJ1493" s="26"/>
      <c r="BK1493" s="26"/>
      <c r="BL1493" s="26"/>
      <c r="BM1493" s="26"/>
      <c r="BN1493" s="26"/>
      <c r="BO1493" s="26"/>
      <c r="BP1493" s="16" t="n">
        <v>45615</v>
      </c>
      <c r="BQ1493" s="28" t="str">
        <f>HYPERLINK("https://organic.ams.usda.gov/Integrity/Certificate.aspx?cid=60&amp;nopid=2580001505")</f>
        <v>https://organic.ams.usda.gov/Integrity/Certificate.aspx?cid=60&amp;nopid=2580001505</v>
      </c>
    </row>
    <row r="1494">
      <c r="A1494" t="s">
        <v>3</v>
      </c>
      <c r="B1494" s="6" t="s">
        <v>21</v>
      </c>
      <c r="C1494" s="6" t="s">
        <v>87</v>
      </c>
      <c r="D1494" s="6" t="s">
        <v>152</v>
      </c>
      <c r="E1494" s="10" t="s">
        <v>1692</v>
      </c>
      <c r="F1494" s="6" t="s">
        <v>3929</v>
      </c>
      <c r="G1494" s="6" t="s">
        <v>104</v>
      </c>
      <c r="H1494" s="6" t="s">
        <v>6246</v>
      </c>
      <c r="I1494" s="6" t="s">
        <v>7630</v>
      </c>
      <c r="J1494" s="6" t="s">
        <v>9230</v>
      </c>
      <c r="K1494" s="6" t="s">
        <v>9714</v>
      </c>
      <c r="L1494" s="16" t="n">
        <v>45512</v>
      </c>
      <c r="M1494" s="16" t="n">
        <v>46023</v>
      </c>
      <c r="N1494" s="6" t="s">
        <v>104</v>
      </c>
      <c r="O1494" s="21" t="s">
        <v>104</v>
      </c>
      <c r="P1494" s="6" t="s">
        <v>104</v>
      </c>
      <c r="Q1494" s="6" t="s">
        <v>104</v>
      </c>
      <c r="R1494" s="6" t="s">
        <v>104</v>
      </c>
      <c r="S1494" s="6" t="s">
        <v>104</v>
      </c>
      <c r="T1494" s="21" t="s">
        <v>104</v>
      </c>
      <c r="U1494" s="6" t="s">
        <v>104</v>
      </c>
      <c r="V1494" s="6" t="s">
        <v>104</v>
      </c>
      <c r="W1494" s="6" t="s">
        <v>104</v>
      </c>
      <c r="X1494" s="6" t="s">
        <v>104</v>
      </c>
      <c r="Y1494" s="21" t="s">
        <v>104</v>
      </c>
      <c r="Z1494" s="6" t="s">
        <v>104</v>
      </c>
      <c r="AA1494" s="6" t="s">
        <v>104</v>
      </c>
      <c r="AB1494" s="6" t="s">
        <v>104</v>
      </c>
      <c r="AC1494" s="6" t="s">
        <v>9714</v>
      </c>
      <c r="AD1494" s="16" t="n">
        <v>45512</v>
      </c>
      <c r="AE1494" s="6" t="s">
        <v>11829</v>
      </c>
      <c r="AF1494" s="6" t="s">
        <v>104</v>
      </c>
      <c r="AG1494" s="6" t="s">
        <v>104</v>
      </c>
      <c r="AH1494" s="6" t="s">
        <v>14518</v>
      </c>
      <c r="AI1494" s="6" t="s">
        <v>15258</v>
      </c>
      <c r="AJ1494" s="6" t="s">
        <v>16299</v>
      </c>
      <c r="AK1494" s="6" t="s">
        <v>16337</v>
      </c>
      <c r="AL1494" s="6" t="s">
        <v>16931</v>
      </c>
      <c r="AM1494" s="6" t="s">
        <v>17989</v>
      </c>
      <c r="AN1494" s="6" t="s">
        <v>104</v>
      </c>
      <c r="AO1494" s="6" t="s">
        <v>104</v>
      </c>
      <c r="AP1494" s="6" t="s">
        <v>19354</v>
      </c>
      <c r="AQ1494" s="6" t="s">
        <v>104</v>
      </c>
      <c r="AR1494" s="6" t="s">
        <v>19735</v>
      </c>
      <c r="AS1494" s="6" t="s">
        <v>16337</v>
      </c>
      <c r="AT1494" s="6" t="s">
        <v>16931</v>
      </c>
      <c r="AU1494" s="6" t="s">
        <v>19995</v>
      </c>
      <c r="AV1494" s="6" t="s">
        <v>104</v>
      </c>
      <c r="AW1494" s="6" t="s">
        <v>104</v>
      </c>
      <c r="AX1494" s="6" t="s">
        <v>21286</v>
      </c>
      <c r="AY1494" s="6" t="s">
        <v>23090</v>
      </c>
      <c r="AZ1494" s="6" t="s">
        <v>24068</v>
      </c>
      <c r="BA1494" s="6" t="s">
        <v>104</v>
      </c>
      <c r="BB1494" s="6" t="s">
        <v>104</v>
      </c>
      <c r="BC1494" s="26"/>
      <c r="BD1494" s="26"/>
      <c r="BE1494" s="26"/>
      <c r="BF1494" s="26"/>
      <c r="BG1494" s="26"/>
      <c r="BH1494" s="26"/>
      <c r="BI1494" s="26"/>
      <c r="BJ1494" s="26"/>
      <c r="BK1494" s="26"/>
      <c r="BL1494" s="26"/>
      <c r="BM1494" s="26"/>
      <c r="BN1494" s="26"/>
      <c r="BO1494" s="26"/>
      <c r="BP1494" s="16" t="n">
        <v>45667</v>
      </c>
      <c r="BQ1494" s="28" t="str">
        <f>HYPERLINK("https://organic.ams.usda.gov/Integrity/Certificate.aspx?cid=15&amp;nopid=5561008507")</f>
        <v>https://organic.ams.usda.gov/Integrity/Certificate.aspx?cid=15&amp;nopid=5561008507</v>
      </c>
    </row>
    <row r="1495">
      <c r="A1495" t="s">
        <v>3</v>
      </c>
      <c r="B1495" s="6" t="s">
        <v>21</v>
      </c>
      <c r="C1495" s="6" t="s">
        <v>87</v>
      </c>
      <c r="D1495" s="6" t="s">
        <v>152</v>
      </c>
      <c r="E1495" s="10" t="s">
        <v>1693</v>
      </c>
      <c r="F1495" s="6" t="s">
        <v>3930</v>
      </c>
      <c r="G1495" s="6" t="s">
        <v>104</v>
      </c>
      <c r="H1495" s="6" t="s">
        <v>6247</v>
      </c>
      <c r="I1495" s="6" t="s">
        <v>7605</v>
      </c>
      <c r="J1495" s="6" t="s">
        <v>9231</v>
      </c>
      <c r="K1495" s="6" t="s">
        <v>9714</v>
      </c>
      <c r="L1495" s="16" t="n">
        <v>41016</v>
      </c>
      <c r="M1495" s="16" t="n">
        <v>46023</v>
      </c>
      <c r="N1495" s="6" t="s">
        <v>104</v>
      </c>
      <c r="O1495" s="21" t="s">
        <v>104</v>
      </c>
      <c r="P1495" s="6" t="s">
        <v>104</v>
      </c>
      <c r="Q1495" s="6" t="s">
        <v>104</v>
      </c>
      <c r="R1495" s="6" t="s">
        <v>104</v>
      </c>
      <c r="S1495" s="6" t="s">
        <v>104</v>
      </c>
      <c r="T1495" s="21" t="s">
        <v>104</v>
      </c>
      <c r="U1495" s="6" t="s">
        <v>104</v>
      </c>
      <c r="V1495" s="6" t="s">
        <v>104</v>
      </c>
      <c r="W1495" s="6" t="s">
        <v>104</v>
      </c>
      <c r="X1495" s="6" t="s">
        <v>104</v>
      </c>
      <c r="Y1495" s="21" t="s">
        <v>104</v>
      </c>
      <c r="Z1495" s="6" t="s">
        <v>104</v>
      </c>
      <c r="AA1495" s="6" t="s">
        <v>104</v>
      </c>
      <c r="AB1495" s="6" t="s">
        <v>104</v>
      </c>
      <c r="AC1495" s="6" t="s">
        <v>9714</v>
      </c>
      <c r="AD1495" s="16" t="n">
        <v>41016</v>
      </c>
      <c r="AE1495" s="6" t="s">
        <v>11830</v>
      </c>
      <c r="AF1495" s="6" t="s">
        <v>104</v>
      </c>
      <c r="AG1495" s="6" t="s">
        <v>104</v>
      </c>
      <c r="AH1495" s="6" t="s">
        <v>14519</v>
      </c>
      <c r="AI1495" s="6" t="s">
        <v>104</v>
      </c>
      <c r="AJ1495" s="6" t="s">
        <v>16300</v>
      </c>
      <c r="AK1495" s="6" t="s">
        <v>16684</v>
      </c>
      <c r="AL1495" s="6" t="s">
        <v>16931</v>
      </c>
      <c r="AM1495" s="6" t="s">
        <v>17990</v>
      </c>
      <c r="AN1495" s="6" t="s">
        <v>18532</v>
      </c>
      <c r="AO1495" s="6" t="s">
        <v>18759</v>
      </c>
      <c r="AP1495" s="6" t="s">
        <v>14519</v>
      </c>
      <c r="AQ1495" s="6" t="s">
        <v>104</v>
      </c>
      <c r="AR1495" s="6" t="s">
        <v>16300</v>
      </c>
      <c r="AS1495" s="6" t="s">
        <v>16684</v>
      </c>
      <c r="AT1495" s="6" t="s">
        <v>16931</v>
      </c>
      <c r="AU1495" s="6" t="s">
        <v>17990</v>
      </c>
      <c r="AV1495" s="6" t="s">
        <v>104</v>
      </c>
      <c r="AW1495" s="6" t="s">
        <v>104</v>
      </c>
      <c r="AX1495" s="6" t="s">
        <v>21287</v>
      </c>
      <c r="AY1495" s="6" t="s">
        <v>23091</v>
      </c>
      <c r="AZ1495" s="6" t="s">
        <v>24069</v>
      </c>
      <c r="BA1495" s="6" t="s">
        <v>24453</v>
      </c>
      <c r="BB1495" s="6" t="s">
        <v>104</v>
      </c>
      <c r="BC1495" s="26"/>
      <c r="BD1495" s="26"/>
      <c r="BE1495" s="26"/>
      <c r="BF1495" s="26"/>
      <c r="BG1495" s="26"/>
      <c r="BH1495" s="26"/>
      <c r="BI1495" s="26"/>
      <c r="BJ1495" s="26"/>
      <c r="BK1495" s="26"/>
      <c r="BL1495" s="26"/>
      <c r="BM1495" s="26"/>
      <c r="BN1495" s="26"/>
      <c r="BO1495" s="26"/>
      <c r="BP1495" s="16" t="n">
        <v>45667</v>
      </c>
      <c r="BQ1495" s="28" t="str">
        <f>HYPERLINK("https://organic.ams.usda.gov/Integrity/Certificate.aspx?cid=15&amp;nopid=5561001724")</f>
        <v>https://organic.ams.usda.gov/Integrity/Certificate.aspx?cid=15&amp;nopid=5561001724</v>
      </c>
    </row>
    <row r="1496">
      <c r="A1496" t="s">
        <v>3</v>
      </c>
      <c r="B1496" s="6" t="s">
        <v>17</v>
      </c>
      <c r="C1496" s="6" t="s">
        <v>83</v>
      </c>
      <c r="D1496" s="6" t="s">
        <v>148</v>
      </c>
      <c r="E1496" s="10" t="s">
        <v>1694</v>
      </c>
      <c r="F1496" s="6" t="s">
        <v>3931</v>
      </c>
      <c r="G1496" s="6" t="s">
        <v>104</v>
      </c>
      <c r="H1496" s="6" t="s">
        <v>6248</v>
      </c>
      <c r="I1496" s="6" t="s">
        <v>7795</v>
      </c>
      <c r="J1496" s="6" t="s">
        <v>9232</v>
      </c>
      <c r="K1496" s="6" t="s">
        <v>9714</v>
      </c>
      <c r="L1496" s="16" t="n">
        <v>45513</v>
      </c>
      <c r="M1496" s="16" t="n">
        <v>45778</v>
      </c>
      <c r="N1496" s="6" t="s">
        <v>104</v>
      </c>
      <c r="O1496" s="21" t="s">
        <v>104</v>
      </c>
      <c r="P1496" s="6" t="s">
        <v>104</v>
      </c>
      <c r="Q1496" s="6" t="s">
        <v>104</v>
      </c>
      <c r="R1496" s="6" t="s">
        <v>104</v>
      </c>
      <c r="S1496" s="6" t="s">
        <v>104</v>
      </c>
      <c r="T1496" s="21" t="s">
        <v>104</v>
      </c>
      <c r="U1496" s="6" t="s">
        <v>104</v>
      </c>
      <c r="V1496" s="6" t="s">
        <v>104</v>
      </c>
      <c r="W1496" s="6" t="s">
        <v>104</v>
      </c>
      <c r="X1496" s="6" t="s">
        <v>104</v>
      </c>
      <c r="Y1496" s="21" t="s">
        <v>104</v>
      </c>
      <c r="Z1496" s="6" t="s">
        <v>104</v>
      </c>
      <c r="AA1496" s="6" t="s">
        <v>104</v>
      </c>
      <c r="AB1496" s="6" t="s">
        <v>104</v>
      </c>
      <c r="AC1496" s="6" t="s">
        <v>9714</v>
      </c>
      <c r="AD1496" s="16" t="n">
        <v>45513</v>
      </c>
      <c r="AE1496" s="6" t="s">
        <v>11831</v>
      </c>
      <c r="AF1496" s="6" t="s">
        <v>104</v>
      </c>
      <c r="AG1496" s="6" t="s">
        <v>104</v>
      </c>
      <c r="AH1496" s="6" t="s">
        <v>14520</v>
      </c>
      <c r="AI1496" s="6" t="s">
        <v>15314</v>
      </c>
      <c r="AJ1496" s="6" t="s">
        <v>16301</v>
      </c>
      <c r="AK1496" s="6" t="s">
        <v>16684</v>
      </c>
      <c r="AL1496" s="6" t="s">
        <v>16931</v>
      </c>
      <c r="AM1496" s="6" t="s">
        <v>17991</v>
      </c>
      <c r="AN1496" s="6" t="s">
        <v>104</v>
      </c>
      <c r="AO1496" s="6" t="s">
        <v>104</v>
      </c>
      <c r="AP1496" s="6" t="s">
        <v>14520</v>
      </c>
      <c r="AQ1496" s="6" t="s">
        <v>15314</v>
      </c>
      <c r="AR1496" s="6" t="s">
        <v>16301</v>
      </c>
      <c r="AS1496" s="6" t="s">
        <v>16684</v>
      </c>
      <c r="AT1496" s="6" t="s">
        <v>16931</v>
      </c>
      <c r="AU1496" s="6" t="s">
        <v>17991</v>
      </c>
      <c r="AV1496" s="6" t="s">
        <v>104</v>
      </c>
      <c r="AW1496" s="6" t="s">
        <v>104</v>
      </c>
      <c r="AX1496" s="6" t="s">
        <v>21288</v>
      </c>
      <c r="AY1496" s="6" t="s">
        <v>23092</v>
      </c>
      <c r="AZ1496" s="6" t="s">
        <v>104</v>
      </c>
      <c r="BA1496" s="6" t="s">
        <v>104</v>
      </c>
      <c r="BB1496" s="24" t="n">
        <v>0</v>
      </c>
      <c r="BC1496" s="26"/>
      <c r="BD1496" s="26"/>
      <c r="BE1496" s="26"/>
      <c r="BF1496" s="26"/>
      <c r="BG1496" s="26"/>
      <c r="BH1496" s="26"/>
      <c r="BI1496" s="26"/>
      <c r="BJ1496" s="26"/>
      <c r="BK1496" s="26"/>
      <c r="BL1496" s="26"/>
      <c r="BM1496" s="26"/>
      <c r="BN1496" s="26"/>
      <c r="BO1496" s="26"/>
      <c r="BP1496" s="16" t="n">
        <v>45664</v>
      </c>
      <c r="BQ1496" s="28" t="str">
        <f>HYPERLINK("https://organic.ams.usda.gov/Integrity/Certificate.aspx?cid=51&amp;nopid=8241000119")</f>
        <v>https://organic.ams.usda.gov/Integrity/Certificate.aspx?cid=51&amp;nopid=8241000119</v>
      </c>
    </row>
    <row r="1497">
      <c r="A1497" t="s">
        <v>3</v>
      </c>
      <c r="B1497" s="6" t="s">
        <v>11</v>
      </c>
      <c r="C1497" s="6" t="s">
        <v>77</v>
      </c>
      <c r="D1497" s="6" t="s">
        <v>142</v>
      </c>
      <c r="E1497" s="10" t="s">
        <v>1695</v>
      </c>
      <c r="F1497" s="6" t="s">
        <v>3932</v>
      </c>
      <c r="G1497" s="6" t="s">
        <v>104</v>
      </c>
      <c r="H1497" s="6" t="s">
        <v>1695</v>
      </c>
      <c r="I1497" s="6" t="s">
        <v>7796</v>
      </c>
      <c r="J1497" s="6" t="s">
        <v>9233</v>
      </c>
      <c r="K1497" s="6" t="s">
        <v>9714</v>
      </c>
      <c r="L1497" s="16" t="n">
        <v>45323</v>
      </c>
      <c r="M1497" s="16" t="n">
        <v>45995</v>
      </c>
      <c r="N1497" s="6" t="s">
        <v>104</v>
      </c>
      <c r="O1497" s="21" t="s">
        <v>104</v>
      </c>
      <c r="P1497" s="6" t="s">
        <v>104</v>
      </c>
      <c r="Q1497" s="6" t="s">
        <v>104</v>
      </c>
      <c r="R1497" s="6" t="s">
        <v>104</v>
      </c>
      <c r="S1497" s="6" t="s">
        <v>104</v>
      </c>
      <c r="T1497" s="21" t="s">
        <v>104</v>
      </c>
      <c r="U1497" s="6" t="s">
        <v>104</v>
      </c>
      <c r="V1497" s="6" t="s">
        <v>104</v>
      </c>
      <c r="W1497" s="6" t="s">
        <v>104</v>
      </c>
      <c r="X1497" s="6" t="s">
        <v>104</v>
      </c>
      <c r="Y1497" s="21" t="s">
        <v>104</v>
      </c>
      <c r="Z1497" s="6" t="s">
        <v>104</v>
      </c>
      <c r="AA1497" s="6" t="s">
        <v>104</v>
      </c>
      <c r="AB1497" s="6" t="s">
        <v>104</v>
      </c>
      <c r="AC1497" s="6" t="s">
        <v>9714</v>
      </c>
      <c r="AD1497" s="16" t="n">
        <v>45293</v>
      </c>
      <c r="AE1497" s="6" t="s">
        <v>11832</v>
      </c>
      <c r="AF1497" s="6" t="s">
        <v>104</v>
      </c>
      <c r="AG1497" s="6" t="s">
        <v>12957</v>
      </c>
      <c r="AH1497" s="6" t="s">
        <v>14521</v>
      </c>
      <c r="AI1497" s="6" t="s">
        <v>104</v>
      </c>
      <c r="AJ1497" s="6" t="s">
        <v>15398</v>
      </c>
      <c r="AK1497" s="6" t="s">
        <v>16699</v>
      </c>
      <c r="AL1497" s="6" t="s">
        <v>16932</v>
      </c>
      <c r="AM1497" s="6" t="s">
        <v>17719</v>
      </c>
      <c r="AN1497" s="6" t="s">
        <v>104</v>
      </c>
      <c r="AO1497" s="6" t="s">
        <v>104</v>
      </c>
      <c r="AP1497" s="6" t="s">
        <v>19355</v>
      </c>
      <c r="AQ1497" s="6" t="s">
        <v>104</v>
      </c>
      <c r="AR1497" s="6" t="s">
        <v>15398</v>
      </c>
      <c r="AS1497" s="6" t="s">
        <v>16699</v>
      </c>
      <c r="AT1497" s="6" t="s">
        <v>16932</v>
      </c>
      <c r="AU1497" s="6" t="s">
        <v>17719</v>
      </c>
      <c r="AV1497" s="6" t="s">
        <v>104</v>
      </c>
      <c r="AW1497" s="6" t="s">
        <v>104</v>
      </c>
      <c r="AX1497" s="6" t="s">
        <v>21289</v>
      </c>
      <c r="AY1497" s="6" t="s">
        <v>23093</v>
      </c>
      <c r="AZ1497" s="6" t="s">
        <v>104</v>
      </c>
      <c r="BA1497" s="6" t="s">
        <v>104</v>
      </c>
      <c r="BB1497" s="6" t="s">
        <v>104</v>
      </c>
      <c r="BC1497" s="26"/>
      <c r="BD1497" s="26"/>
      <c r="BE1497" s="26"/>
      <c r="BF1497" s="26"/>
      <c r="BG1497" s="26"/>
      <c r="BH1497" s="26"/>
      <c r="BI1497" s="26"/>
      <c r="BJ1497" s="26"/>
      <c r="BK1497" s="26"/>
      <c r="BL1497" s="26"/>
      <c r="BM1497" s="26"/>
      <c r="BN1497" s="26" t="s">
        <v>24533</v>
      </c>
      <c r="BO1497" s="26"/>
      <c r="BP1497" s="16" t="n">
        <v>45709</v>
      </c>
      <c r="BQ1497" s="28" t="str">
        <f>HYPERLINK("https://organic.ams.usda.gov/Integrity/Certificate.aspx?cid=21&amp;nopid=1780899675")</f>
        <v>https://organic.ams.usda.gov/Integrity/Certificate.aspx?cid=21&amp;nopid=1780899675</v>
      </c>
    </row>
    <row r="1498">
      <c r="A1498" t="s">
        <v>3</v>
      </c>
      <c r="B1498" s="6" t="s">
        <v>25</v>
      </c>
      <c r="C1498" s="6" t="s">
        <v>91</v>
      </c>
      <c r="D1498" s="6" t="s">
        <v>156</v>
      </c>
      <c r="E1498" s="10" t="s">
        <v>1696</v>
      </c>
      <c r="F1498" s="6" t="s">
        <v>3933</v>
      </c>
      <c r="G1498" s="6" t="s">
        <v>104</v>
      </c>
      <c r="H1498" s="6" t="s">
        <v>6249</v>
      </c>
      <c r="I1498" s="6" t="s">
        <v>6939</v>
      </c>
      <c r="J1498" s="6" t="s">
        <v>8151</v>
      </c>
      <c r="K1498" s="6" t="s">
        <v>9714</v>
      </c>
      <c r="L1498" s="16" t="n">
        <v>41799</v>
      </c>
      <c r="M1498" s="16" t="n">
        <v>45710</v>
      </c>
      <c r="N1498" s="6" t="s">
        <v>104</v>
      </c>
      <c r="O1498" s="21" t="s">
        <v>104</v>
      </c>
      <c r="P1498" s="6" t="s">
        <v>104</v>
      </c>
      <c r="Q1498" s="6" t="s">
        <v>104</v>
      </c>
      <c r="R1498" s="6" t="s">
        <v>104</v>
      </c>
      <c r="S1498" s="6" t="s">
        <v>104</v>
      </c>
      <c r="T1498" s="21" t="s">
        <v>104</v>
      </c>
      <c r="U1498" s="6" t="s">
        <v>104</v>
      </c>
      <c r="V1498" s="6" t="s">
        <v>104</v>
      </c>
      <c r="W1498" s="6" t="s">
        <v>104</v>
      </c>
      <c r="X1498" s="6" t="s">
        <v>104</v>
      </c>
      <c r="Y1498" s="21" t="s">
        <v>104</v>
      </c>
      <c r="Z1498" s="6" t="s">
        <v>104</v>
      </c>
      <c r="AA1498" s="6" t="s">
        <v>104</v>
      </c>
      <c r="AB1498" s="6" t="s">
        <v>104</v>
      </c>
      <c r="AC1498" s="6" t="s">
        <v>9714</v>
      </c>
      <c r="AD1498" s="16" t="n">
        <v>41799</v>
      </c>
      <c r="AE1498" s="6" t="s">
        <v>11833</v>
      </c>
      <c r="AF1498" s="6" t="s">
        <v>104</v>
      </c>
      <c r="AG1498" s="6" t="s">
        <v>104</v>
      </c>
      <c r="AH1498" s="6" t="s">
        <v>14522</v>
      </c>
      <c r="AI1498" s="6" t="s">
        <v>104</v>
      </c>
      <c r="AJ1498" s="6" t="s">
        <v>15897</v>
      </c>
      <c r="AK1498" s="6" t="s">
        <v>104</v>
      </c>
      <c r="AL1498" s="6" t="s">
        <v>16935</v>
      </c>
      <c r="AM1498" s="6" t="s">
        <v>17992</v>
      </c>
      <c r="AN1498" s="6" t="s">
        <v>104</v>
      </c>
      <c r="AO1498" s="6" t="s">
        <v>104</v>
      </c>
      <c r="AP1498" s="6" t="s">
        <v>19356</v>
      </c>
      <c r="AQ1498" s="6" t="s">
        <v>104</v>
      </c>
      <c r="AR1498" s="6" t="s">
        <v>15897</v>
      </c>
      <c r="AS1498" s="6" t="s">
        <v>104</v>
      </c>
      <c r="AT1498" s="6" t="s">
        <v>16935</v>
      </c>
      <c r="AU1498" s="6" t="s">
        <v>17992</v>
      </c>
      <c r="AV1498" s="6" t="s">
        <v>104</v>
      </c>
      <c r="AW1498" s="6" t="s">
        <v>104</v>
      </c>
      <c r="AX1498" s="6" t="s">
        <v>20137</v>
      </c>
      <c r="AY1498" s="6" t="s">
        <v>21875</v>
      </c>
      <c r="AZ1498" s="6" t="s">
        <v>104</v>
      </c>
      <c r="BA1498" s="6" t="s">
        <v>24264</v>
      </c>
      <c r="BB1498" s="6" t="s">
        <v>104</v>
      </c>
      <c r="BC1498" s="26"/>
      <c r="BD1498" s="26"/>
      <c r="BE1498" s="26"/>
      <c r="BF1498" s="26"/>
      <c r="BG1498" s="26"/>
      <c r="BH1498" s="26" t="s">
        <v>24533</v>
      </c>
      <c r="BI1498" s="26"/>
      <c r="BJ1498" s="26"/>
      <c r="BK1498" s="26"/>
      <c r="BL1498" s="26"/>
      <c r="BM1498" s="26"/>
      <c r="BN1498" s="26"/>
      <c r="BO1498" s="26"/>
      <c r="BP1498" s="16" t="n">
        <v>45516</v>
      </c>
      <c r="BQ1498" s="28" t="str">
        <f>HYPERLINK("https://organic.ams.usda.gov/Integrity/Certificate.aspx?cid=66&amp;nopid=5500004520")</f>
        <v>https://organic.ams.usda.gov/Integrity/Certificate.aspx?cid=66&amp;nopid=5500004520</v>
      </c>
    </row>
    <row r="1499">
      <c r="A1499" t="s">
        <v>3</v>
      </c>
      <c r="B1499" s="6" t="s">
        <v>14</v>
      </c>
      <c r="C1499" s="6" t="s">
        <v>80</v>
      </c>
      <c r="D1499" s="6" t="s">
        <v>145</v>
      </c>
      <c r="E1499" s="10" t="s">
        <v>1697</v>
      </c>
      <c r="F1499" s="6" t="s">
        <v>3934</v>
      </c>
      <c r="G1499" s="6" t="s">
        <v>104</v>
      </c>
      <c r="H1499" s="6" t="s">
        <v>6250</v>
      </c>
      <c r="I1499" s="6" t="s">
        <v>7797</v>
      </c>
      <c r="J1499" s="6" t="s">
        <v>7797</v>
      </c>
      <c r="K1499" s="6" t="s">
        <v>9714</v>
      </c>
      <c r="L1499" s="16" t="n">
        <v>44487</v>
      </c>
      <c r="M1499" s="16" t="n">
        <v>45831</v>
      </c>
      <c r="N1499" s="6" t="s">
        <v>104</v>
      </c>
      <c r="O1499" s="21" t="s">
        <v>104</v>
      </c>
      <c r="P1499" s="6" t="s">
        <v>104</v>
      </c>
      <c r="Q1499" s="6" t="s">
        <v>104</v>
      </c>
      <c r="R1499" s="6" t="s">
        <v>104</v>
      </c>
      <c r="S1499" s="6" t="s">
        <v>104</v>
      </c>
      <c r="T1499" s="21" t="s">
        <v>104</v>
      </c>
      <c r="U1499" s="6" t="s">
        <v>104</v>
      </c>
      <c r="V1499" s="6" t="s">
        <v>104</v>
      </c>
      <c r="W1499" s="6" t="s">
        <v>104</v>
      </c>
      <c r="X1499" s="6" t="s">
        <v>104</v>
      </c>
      <c r="Y1499" s="21" t="s">
        <v>104</v>
      </c>
      <c r="Z1499" s="6" t="s">
        <v>104</v>
      </c>
      <c r="AA1499" s="6" t="s">
        <v>104</v>
      </c>
      <c r="AB1499" s="6" t="s">
        <v>104</v>
      </c>
      <c r="AC1499" s="6" t="s">
        <v>9714</v>
      </c>
      <c r="AD1499" s="16" t="n">
        <v>44487</v>
      </c>
      <c r="AE1499" s="6" t="s">
        <v>11834</v>
      </c>
      <c r="AF1499" s="6" t="s">
        <v>104</v>
      </c>
      <c r="AG1499" s="6" t="s">
        <v>104</v>
      </c>
      <c r="AH1499" s="6" t="s">
        <v>14523</v>
      </c>
      <c r="AI1499" s="6" t="s">
        <v>104</v>
      </c>
      <c r="AJ1499" s="6" t="s">
        <v>16302</v>
      </c>
      <c r="AK1499" s="6" t="s">
        <v>16270</v>
      </c>
      <c r="AL1499" s="6" t="s">
        <v>16932</v>
      </c>
      <c r="AM1499" s="6" t="s">
        <v>17993</v>
      </c>
      <c r="AN1499" s="6" t="s">
        <v>104</v>
      </c>
      <c r="AO1499" s="6" t="s">
        <v>104</v>
      </c>
      <c r="AP1499" s="6" t="s">
        <v>104</v>
      </c>
      <c r="AQ1499" s="6" t="s">
        <v>104</v>
      </c>
      <c r="AR1499" s="6" t="s">
        <v>104</v>
      </c>
      <c r="AS1499" s="6" t="s">
        <v>104</v>
      </c>
      <c r="AT1499" s="6" t="s">
        <v>104</v>
      </c>
      <c r="AU1499" s="6" t="s">
        <v>104</v>
      </c>
      <c r="AV1499" s="6" t="s">
        <v>104</v>
      </c>
      <c r="AW1499" s="6" t="s">
        <v>104</v>
      </c>
      <c r="AX1499" s="6" t="s">
        <v>21290</v>
      </c>
      <c r="AY1499" s="6" t="s">
        <v>23094</v>
      </c>
      <c r="AZ1499" s="6" t="s">
        <v>24070</v>
      </c>
      <c r="BA1499" s="6" t="s">
        <v>24267</v>
      </c>
      <c r="BB1499" s="6" t="s">
        <v>104</v>
      </c>
      <c r="BC1499" s="26"/>
      <c r="BD1499" s="26"/>
      <c r="BE1499" s="26"/>
      <c r="BF1499" s="26"/>
      <c r="BG1499" s="26"/>
      <c r="BH1499" s="26"/>
      <c r="BI1499" s="26"/>
      <c r="BJ1499" s="26"/>
      <c r="BK1499" s="26"/>
      <c r="BL1499" s="26"/>
      <c r="BM1499" s="26"/>
      <c r="BN1499" s="26"/>
      <c r="BO1499" s="26"/>
      <c r="BP1499" s="16" t="n">
        <v>45656</v>
      </c>
      <c r="BQ1499" s="28" t="str">
        <f>HYPERLINK("https://organic.ams.usda.gov/Integrity/Certificate.aspx?cid=89&amp;nopid=4920002333")</f>
        <v>https://organic.ams.usda.gov/Integrity/Certificate.aspx?cid=89&amp;nopid=4920002333</v>
      </c>
    </row>
    <row r="1500">
      <c r="A1500" t="s">
        <v>3</v>
      </c>
      <c r="B1500" s="6" t="s">
        <v>20</v>
      </c>
      <c r="C1500" s="6" t="s">
        <v>86</v>
      </c>
      <c r="D1500" s="6" t="s">
        <v>151</v>
      </c>
      <c r="E1500" s="10" t="s">
        <v>1698</v>
      </c>
      <c r="F1500" s="6" t="s">
        <v>3935</v>
      </c>
      <c r="G1500" s="6" t="s">
        <v>104</v>
      </c>
      <c r="H1500" s="6" t="s">
        <v>6251</v>
      </c>
      <c r="I1500" s="6" t="s">
        <v>7798</v>
      </c>
      <c r="J1500" s="6" t="s">
        <v>7753</v>
      </c>
      <c r="K1500" s="6" t="s">
        <v>9714</v>
      </c>
      <c r="L1500" s="16" t="n">
        <v>45645</v>
      </c>
      <c r="M1500" s="16" t="n">
        <v>45961</v>
      </c>
      <c r="N1500" s="6" t="s">
        <v>104</v>
      </c>
      <c r="O1500" s="21" t="s">
        <v>104</v>
      </c>
      <c r="P1500" s="6" t="s">
        <v>104</v>
      </c>
      <c r="Q1500" s="6" t="s">
        <v>104</v>
      </c>
      <c r="R1500" s="6" t="s">
        <v>104</v>
      </c>
      <c r="S1500" s="6" t="s">
        <v>104</v>
      </c>
      <c r="T1500" s="21" t="s">
        <v>104</v>
      </c>
      <c r="U1500" s="6" t="s">
        <v>104</v>
      </c>
      <c r="V1500" s="6" t="s">
        <v>104</v>
      </c>
      <c r="W1500" s="6" t="s">
        <v>104</v>
      </c>
      <c r="X1500" s="6" t="s">
        <v>104</v>
      </c>
      <c r="Y1500" s="21" t="s">
        <v>104</v>
      </c>
      <c r="Z1500" s="6" t="s">
        <v>104</v>
      </c>
      <c r="AA1500" s="6" t="s">
        <v>104</v>
      </c>
      <c r="AB1500" s="6" t="s">
        <v>104</v>
      </c>
      <c r="AC1500" s="6" t="s">
        <v>9714</v>
      </c>
      <c r="AD1500" s="16" t="n">
        <v>45645</v>
      </c>
      <c r="AE1500" s="6" t="s">
        <v>11835</v>
      </c>
      <c r="AF1500" s="6" t="s">
        <v>104</v>
      </c>
      <c r="AG1500" s="6" t="s">
        <v>12958</v>
      </c>
      <c r="AH1500" s="6" t="s">
        <v>14524</v>
      </c>
      <c r="AI1500" s="6" t="s">
        <v>104</v>
      </c>
      <c r="AJ1500" s="6" t="s">
        <v>16303</v>
      </c>
      <c r="AK1500" s="6" t="s">
        <v>16776</v>
      </c>
      <c r="AL1500" s="6" t="s">
        <v>16766</v>
      </c>
      <c r="AM1500" s="6" t="s">
        <v>17994</v>
      </c>
      <c r="AN1500" s="6" t="s">
        <v>104</v>
      </c>
      <c r="AO1500" s="6" t="s">
        <v>104</v>
      </c>
      <c r="AP1500" s="6" t="s">
        <v>104</v>
      </c>
      <c r="AQ1500" s="6" t="s">
        <v>104</v>
      </c>
      <c r="AR1500" s="6" t="s">
        <v>104</v>
      </c>
      <c r="AS1500" s="6" t="s">
        <v>104</v>
      </c>
      <c r="AT1500" s="6" t="s">
        <v>104</v>
      </c>
      <c r="AU1500" s="6" t="s">
        <v>104</v>
      </c>
      <c r="AV1500" s="6" t="s">
        <v>104</v>
      </c>
      <c r="AW1500" s="6" t="s">
        <v>104</v>
      </c>
      <c r="AX1500" s="6" t="s">
        <v>21291</v>
      </c>
      <c r="AY1500" s="6" t="s">
        <v>23095</v>
      </c>
      <c r="AZ1500" s="6" t="s">
        <v>24071</v>
      </c>
      <c r="BA1500" s="6" t="s">
        <v>24454</v>
      </c>
      <c r="BB1500" s="6" t="s">
        <v>104</v>
      </c>
      <c r="BC1500" s="26"/>
      <c r="BD1500" s="26"/>
      <c r="BE1500" s="26"/>
      <c r="BF1500" s="26"/>
      <c r="BG1500" s="26"/>
      <c r="BH1500" s="26"/>
      <c r="BI1500" s="26"/>
      <c r="BJ1500" s="26"/>
      <c r="BK1500" s="26"/>
      <c r="BL1500" s="26"/>
      <c r="BM1500" s="26"/>
      <c r="BN1500" s="26"/>
      <c r="BO1500" s="26"/>
      <c r="BP1500" s="16" t="n">
        <v>45646</v>
      </c>
      <c r="BQ1500" s="28" t="str">
        <f>HYPERLINK("https://organic.ams.usda.gov/Integrity/Certificate.aspx?cid=17&amp;nopid=4080200738")</f>
        <v>https://organic.ams.usda.gov/Integrity/Certificate.aspx?cid=17&amp;nopid=4080200738</v>
      </c>
    </row>
    <row r="1501">
      <c r="A1501" t="s">
        <v>3</v>
      </c>
      <c r="B1501" s="6" t="s">
        <v>20</v>
      </c>
      <c r="C1501" s="6" t="s">
        <v>86</v>
      </c>
      <c r="D1501" s="6" t="s">
        <v>151</v>
      </c>
      <c r="E1501" s="10" t="s">
        <v>1699</v>
      </c>
      <c r="F1501" s="6" t="s">
        <v>3936</v>
      </c>
      <c r="G1501" s="6" t="s">
        <v>104</v>
      </c>
      <c r="H1501" s="6" t="s">
        <v>6252</v>
      </c>
      <c r="I1501" s="6" t="s">
        <v>7799</v>
      </c>
      <c r="J1501" s="6" t="s">
        <v>8228</v>
      </c>
      <c r="K1501" s="6" t="s">
        <v>9714</v>
      </c>
      <c r="L1501" s="16" t="n">
        <v>45170</v>
      </c>
      <c r="M1501" s="16" t="n">
        <v>45838</v>
      </c>
      <c r="N1501" s="6" t="s">
        <v>9714</v>
      </c>
      <c r="O1501" s="16" t="n">
        <v>45170</v>
      </c>
      <c r="P1501" s="6" t="s">
        <v>10129</v>
      </c>
      <c r="Q1501" s="6" t="s">
        <v>104</v>
      </c>
      <c r="R1501" s="6" t="s">
        <v>10410</v>
      </c>
      <c r="S1501" s="6" t="s">
        <v>104</v>
      </c>
      <c r="T1501" s="21" t="s">
        <v>104</v>
      </c>
      <c r="U1501" s="6" t="s">
        <v>104</v>
      </c>
      <c r="V1501" s="6" t="s">
        <v>104</v>
      </c>
      <c r="W1501" s="6" t="s">
        <v>104</v>
      </c>
      <c r="X1501" s="6" t="s">
        <v>104</v>
      </c>
      <c r="Y1501" s="21" t="s">
        <v>104</v>
      </c>
      <c r="Z1501" s="6" t="s">
        <v>104</v>
      </c>
      <c r="AA1501" s="6" t="s">
        <v>104</v>
      </c>
      <c r="AB1501" s="6" t="s">
        <v>104</v>
      </c>
      <c r="AC1501" s="6" t="s">
        <v>9714</v>
      </c>
      <c r="AD1501" s="16" t="n">
        <v>45170</v>
      </c>
      <c r="AE1501" s="6" t="s">
        <v>11836</v>
      </c>
      <c r="AF1501" s="6" t="s">
        <v>104</v>
      </c>
      <c r="AG1501" s="6" t="s">
        <v>10410</v>
      </c>
      <c r="AH1501" s="6" t="s">
        <v>14525</v>
      </c>
      <c r="AI1501" s="6" t="s">
        <v>104</v>
      </c>
      <c r="AJ1501" s="6" t="s">
        <v>16304</v>
      </c>
      <c r="AK1501" s="6" t="s">
        <v>16875</v>
      </c>
      <c r="AL1501" s="6" t="s">
        <v>16946</v>
      </c>
      <c r="AM1501" s="6" t="s">
        <v>17995</v>
      </c>
      <c r="AN1501" s="6" t="s">
        <v>104</v>
      </c>
      <c r="AO1501" s="6" t="s">
        <v>104</v>
      </c>
      <c r="AP1501" s="6" t="s">
        <v>104</v>
      </c>
      <c r="AQ1501" s="6" t="s">
        <v>104</v>
      </c>
      <c r="AR1501" s="6" t="s">
        <v>104</v>
      </c>
      <c r="AS1501" s="6" t="s">
        <v>104</v>
      </c>
      <c r="AT1501" s="6" t="s">
        <v>104</v>
      </c>
      <c r="AU1501" s="6" t="s">
        <v>104</v>
      </c>
      <c r="AV1501" s="6" t="s">
        <v>104</v>
      </c>
      <c r="AW1501" s="6" t="s">
        <v>104</v>
      </c>
      <c r="AX1501" s="6" t="s">
        <v>21292</v>
      </c>
      <c r="AY1501" s="6" t="s">
        <v>23096</v>
      </c>
      <c r="AZ1501" s="6" t="s">
        <v>104</v>
      </c>
      <c r="BA1501" s="6" t="s">
        <v>104</v>
      </c>
      <c r="BB1501" s="24" t="n">
        <v>4</v>
      </c>
      <c r="BC1501" s="26"/>
      <c r="BD1501" s="26"/>
      <c r="BE1501" s="26"/>
      <c r="BF1501" s="26"/>
      <c r="BG1501" s="26"/>
      <c r="BH1501" s="26"/>
      <c r="BI1501" s="26"/>
      <c r="BJ1501" s="26"/>
      <c r="BK1501" s="26"/>
      <c r="BL1501" s="26"/>
      <c r="BM1501" s="26"/>
      <c r="BN1501" s="26"/>
      <c r="BO1501" s="26"/>
      <c r="BP1501" s="16" t="n">
        <v>45583</v>
      </c>
      <c r="BQ1501" s="28" t="str">
        <f>HYPERLINK("https://organic.ams.usda.gov/Integrity/Certificate.aspx?cid=17&amp;nopid=4080206689")</f>
        <v>https://organic.ams.usda.gov/Integrity/Certificate.aspx?cid=17&amp;nopid=4080206689</v>
      </c>
    </row>
    <row r="1502">
      <c r="A1502" t="s">
        <v>3</v>
      </c>
      <c r="B1502" s="6" t="s">
        <v>14</v>
      </c>
      <c r="C1502" s="6" t="s">
        <v>80</v>
      </c>
      <c r="D1502" s="6" t="s">
        <v>145</v>
      </c>
      <c r="E1502" s="10" t="s">
        <v>1700</v>
      </c>
      <c r="F1502" s="6" t="s">
        <v>3937</v>
      </c>
      <c r="G1502" s="6" t="s">
        <v>104</v>
      </c>
      <c r="H1502" s="6" t="s">
        <v>6253</v>
      </c>
      <c r="I1502" s="6" t="s">
        <v>7800</v>
      </c>
      <c r="J1502" s="6" t="s">
        <v>9234</v>
      </c>
      <c r="K1502" s="6" t="s">
        <v>9714</v>
      </c>
      <c r="L1502" s="16" t="n">
        <v>45239</v>
      </c>
      <c r="M1502" s="16" t="n">
        <v>45898</v>
      </c>
      <c r="N1502" s="6" t="s">
        <v>104</v>
      </c>
      <c r="O1502" s="21" t="s">
        <v>104</v>
      </c>
      <c r="P1502" s="6" t="s">
        <v>104</v>
      </c>
      <c r="Q1502" s="6" t="s">
        <v>104</v>
      </c>
      <c r="R1502" s="6" t="s">
        <v>104</v>
      </c>
      <c r="S1502" s="6" t="s">
        <v>104</v>
      </c>
      <c r="T1502" s="21" t="s">
        <v>104</v>
      </c>
      <c r="U1502" s="6" t="s">
        <v>104</v>
      </c>
      <c r="V1502" s="6" t="s">
        <v>104</v>
      </c>
      <c r="W1502" s="6" t="s">
        <v>104</v>
      </c>
      <c r="X1502" s="6" t="s">
        <v>104</v>
      </c>
      <c r="Y1502" s="21" t="s">
        <v>104</v>
      </c>
      <c r="Z1502" s="6" t="s">
        <v>104</v>
      </c>
      <c r="AA1502" s="6" t="s">
        <v>104</v>
      </c>
      <c r="AB1502" s="6" t="s">
        <v>104</v>
      </c>
      <c r="AC1502" s="6" t="s">
        <v>9714</v>
      </c>
      <c r="AD1502" s="16" t="n">
        <v>45239</v>
      </c>
      <c r="AE1502" s="6" t="s">
        <v>11837</v>
      </c>
      <c r="AF1502" s="6" t="s">
        <v>104</v>
      </c>
      <c r="AG1502" s="6" t="s">
        <v>104</v>
      </c>
      <c r="AH1502" s="6" t="s">
        <v>14526</v>
      </c>
      <c r="AI1502" s="6" t="s">
        <v>104</v>
      </c>
      <c r="AJ1502" s="6" t="s">
        <v>16305</v>
      </c>
      <c r="AK1502" s="6" t="s">
        <v>16682</v>
      </c>
      <c r="AL1502" s="6" t="s">
        <v>16932</v>
      </c>
      <c r="AM1502" s="6" t="s">
        <v>17996</v>
      </c>
      <c r="AN1502" s="6" t="s">
        <v>104</v>
      </c>
      <c r="AO1502" s="6" t="s">
        <v>104</v>
      </c>
      <c r="AP1502" s="6" t="s">
        <v>104</v>
      </c>
      <c r="AQ1502" s="6" t="s">
        <v>104</v>
      </c>
      <c r="AR1502" s="6" t="s">
        <v>104</v>
      </c>
      <c r="AS1502" s="6" t="s">
        <v>104</v>
      </c>
      <c r="AT1502" s="6" t="s">
        <v>104</v>
      </c>
      <c r="AU1502" s="6" t="s">
        <v>104</v>
      </c>
      <c r="AV1502" s="6" t="s">
        <v>104</v>
      </c>
      <c r="AW1502" s="6" t="s">
        <v>104</v>
      </c>
      <c r="AX1502" s="6" t="s">
        <v>104</v>
      </c>
      <c r="AY1502" s="6" t="s">
        <v>23097</v>
      </c>
      <c r="AZ1502" s="6" t="s">
        <v>104</v>
      </c>
      <c r="BA1502" s="6" t="s">
        <v>104</v>
      </c>
      <c r="BB1502" s="6" t="s">
        <v>104</v>
      </c>
      <c r="BC1502" s="26"/>
      <c r="BD1502" s="26"/>
      <c r="BE1502" s="26"/>
      <c r="BF1502" s="26"/>
      <c r="BG1502" s="26"/>
      <c r="BH1502" s="26"/>
      <c r="BI1502" s="26"/>
      <c r="BJ1502" s="26"/>
      <c r="BK1502" s="26"/>
      <c r="BL1502" s="26"/>
      <c r="BM1502" s="26"/>
      <c r="BN1502" s="26"/>
      <c r="BO1502" s="26"/>
      <c r="BP1502" s="16" t="n">
        <v>45649</v>
      </c>
      <c r="BQ1502" s="28" t="str">
        <f>HYPERLINK("https://organic.ams.usda.gov/Integrity/Certificate.aspx?cid=89&amp;nopid=4920006590")</f>
        <v>https://organic.ams.usda.gov/Integrity/Certificate.aspx?cid=89&amp;nopid=4920006590</v>
      </c>
    </row>
    <row r="1503">
      <c r="A1503" t="s">
        <v>3</v>
      </c>
      <c r="B1503" s="6" t="s">
        <v>20</v>
      </c>
      <c r="C1503" s="6" t="s">
        <v>86</v>
      </c>
      <c r="D1503" s="6" t="s">
        <v>151</v>
      </c>
      <c r="E1503" s="10" t="s">
        <v>1701</v>
      </c>
      <c r="F1503" s="6" t="s">
        <v>3938</v>
      </c>
      <c r="G1503" s="6" t="s">
        <v>104</v>
      </c>
      <c r="H1503" s="6" t="s">
        <v>6254</v>
      </c>
      <c r="I1503" s="6" t="s">
        <v>7801</v>
      </c>
      <c r="J1503" s="6" t="s">
        <v>9235</v>
      </c>
      <c r="K1503" s="6" t="s">
        <v>9714</v>
      </c>
      <c r="L1503" s="16" t="n">
        <v>43867</v>
      </c>
      <c r="M1503" s="16" t="n">
        <v>45688</v>
      </c>
      <c r="N1503" s="6" t="s">
        <v>104</v>
      </c>
      <c r="O1503" s="21" t="s">
        <v>104</v>
      </c>
      <c r="P1503" s="6" t="s">
        <v>104</v>
      </c>
      <c r="Q1503" s="6" t="s">
        <v>104</v>
      </c>
      <c r="R1503" s="6" t="s">
        <v>104</v>
      </c>
      <c r="S1503" s="6" t="s">
        <v>104</v>
      </c>
      <c r="T1503" s="21" t="s">
        <v>104</v>
      </c>
      <c r="U1503" s="6" t="s">
        <v>104</v>
      </c>
      <c r="V1503" s="6" t="s">
        <v>104</v>
      </c>
      <c r="W1503" s="6" t="s">
        <v>104</v>
      </c>
      <c r="X1503" s="6" t="s">
        <v>104</v>
      </c>
      <c r="Y1503" s="21" t="s">
        <v>104</v>
      </c>
      <c r="Z1503" s="6" t="s">
        <v>104</v>
      </c>
      <c r="AA1503" s="6" t="s">
        <v>104</v>
      </c>
      <c r="AB1503" s="6" t="s">
        <v>104</v>
      </c>
      <c r="AC1503" s="6" t="s">
        <v>9714</v>
      </c>
      <c r="AD1503" s="16" t="n">
        <v>43867</v>
      </c>
      <c r="AE1503" s="6" t="s">
        <v>11838</v>
      </c>
      <c r="AF1503" s="6" t="s">
        <v>104</v>
      </c>
      <c r="AG1503" s="6" t="s">
        <v>12959</v>
      </c>
      <c r="AH1503" s="6" t="s">
        <v>14527</v>
      </c>
      <c r="AI1503" s="6" t="s">
        <v>104</v>
      </c>
      <c r="AJ1503" s="6" t="s">
        <v>16306</v>
      </c>
      <c r="AK1503" s="6" t="s">
        <v>16539</v>
      </c>
      <c r="AL1503" s="6" t="s">
        <v>16898</v>
      </c>
      <c r="AM1503" s="6" t="s">
        <v>17997</v>
      </c>
      <c r="AN1503" s="6" t="s">
        <v>104</v>
      </c>
      <c r="AO1503" s="6" t="s">
        <v>104</v>
      </c>
      <c r="AP1503" s="6" t="s">
        <v>104</v>
      </c>
      <c r="AQ1503" s="6" t="s">
        <v>104</v>
      </c>
      <c r="AR1503" s="6" t="s">
        <v>104</v>
      </c>
      <c r="AS1503" s="6" t="s">
        <v>104</v>
      </c>
      <c r="AT1503" s="6" t="s">
        <v>104</v>
      </c>
      <c r="AU1503" s="6" t="s">
        <v>104</v>
      </c>
      <c r="AV1503" s="6" t="s">
        <v>104</v>
      </c>
      <c r="AW1503" s="6" t="s">
        <v>104</v>
      </c>
      <c r="AX1503" s="6" t="s">
        <v>21293</v>
      </c>
      <c r="AY1503" s="6" t="s">
        <v>23098</v>
      </c>
      <c r="AZ1503" s="6" t="s">
        <v>104</v>
      </c>
      <c r="BA1503" s="6" t="s">
        <v>104</v>
      </c>
      <c r="BB1503" s="6" t="s">
        <v>104</v>
      </c>
      <c r="BC1503" s="26"/>
      <c r="BD1503" s="26"/>
      <c r="BE1503" s="26"/>
      <c r="BF1503" s="26"/>
      <c r="BG1503" s="26"/>
      <c r="BH1503" s="26"/>
      <c r="BI1503" s="26"/>
      <c r="BJ1503" s="26"/>
      <c r="BK1503" s="26"/>
      <c r="BL1503" s="26"/>
      <c r="BM1503" s="26"/>
      <c r="BN1503" s="26"/>
      <c r="BO1503" s="26"/>
      <c r="BP1503" s="16" t="n">
        <v>45398</v>
      </c>
      <c r="BQ1503" s="28" t="str">
        <f>HYPERLINK("https://organic.ams.usda.gov/Integrity/Certificate.aspx?cid=17&amp;nopid=4087185998")</f>
        <v>https://organic.ams.usda.gov/Integrity/Certificate.aspx?cid=17&amp;nopid=4087185998</v>
      </c>
    </row>
    <row r="1504">
      <c r="A1504" t="s">
        <v>3</v>
      </c>
      <c r="B1504" s="6" t="s">
        <v>29</v>
      </c>
      <c r="C1504" s="6" t="s">
        <v>95</v>
      </c>
      <c r="D1504" s="6" t="s">
        <v>160</v>
      </c>
      <c r="E1504" s="10" t="s">
        <v>1702</v>
      </c>
      <c r="F1504" s="6" t="s">
        <v>3939</v>
      </c>
      <c r="G1504" s="6" t="s">
        <v>104</v>
      </c>
      <c r="H1504" s="6" t="s">
        <v>6255</v>
      </c>
      <c r="I1504" s="6" t="s">
        <v>104</v>
      </c>
      <c r="J1504" s="6" t="s">
        <v>9236</v>
      </c>
      <c r="K1504" s="6" t="s">
        <v>9714</v>
      </c>
      <c r="L1504" s="16" t="n">
        <v>42027</v>
      </c>
      <c r="M1504" s="16" t="n">
        <v>45870</v>
      </c>
      <c r="N1504" s="6" t="s">
        <v>104</v>
      </c>
      <c r="O1504" s="21" t="s">
        <v>104</v>
      </c>
      <c r="P1504" s="6" t="s">
        <v>104</v>
      </c>
      <c r="Q1504" s="6" t="s">
        <v>104</v>
      </c>
      <c r="R1504" s="6" t="s">
        <v>104</v>
      </c>
      <c r="S1504" s="6" t="s">
        <v>104</v>
      </c>
      <c r="T1504" s="21" t="s">
        <v>104</v>
      </c>
      <c r="U1504" s="6" t="s">
        <v>104</v>
      </c>
      <c r="V1504" s="6" t="s">
        <v>104</v>
      </c>
      <c r="W1504" s="6" t="s">
        <v>104</v>
      </c>
      <c r="X1504" s="6" t="s">
        <v>104</v>
      </c>
      <c r="Y1504" s="21" t="s">
        <v>104</v>
      </c>
      <c r="Z1504" s="6" t="s">
        <v>104</v>
      </c>
      <c r="AA1504" s="6" t="s">
        <v>104</v>
      </c>
      <c r="AB1504" s="6" t="s">
        <v>104</v>
      </c>
      <c r="AC1504" s="6" t="s">
        <v>9714</v>
      </c>
      <c r="AD1504" s="16" t="n">
        <v>42027</v>
      </c>
      <c r="AE1504" s="6" t="s">
        <v>11839</v>
      </c>
      <c r="AF1504" s="6" t="s">
        <v>104</v>
      </c>
      <c r="AG1504" s="6" t="s">
        <v>104</v>
      </c>
      <c r="AH1504" s="6" t="s">
        <v>14528</v>
      </c>
      <c r="AI1504" s="6" t="s">
        <v>104</v>
      </c>
      <c r="AJ1504" s="6" t="s">
        <v>16307</v>
      </c>
      <c r="AK1504" s="6" t="s">
        <v>16753</v>
      </c>
      <c r="AL1504" s="6" t="s">
        <v>16956</v>
      </c>
      <c r="AM1504" s="6" t="s">
        <v>17998</v>
      </c>
      <c r="AN1504" s="6" t="s">
        <v>104</v>
      </c>
      <c r="AO1504" s="6" t="s">
        <v>104</v>
      </c>
      <c r="AP1504" s="6" t="s">
        <v>104</v>
      </c>
      <c r="AQ1504" s="6" t="s">
        <v>104</v>
      </c>
      <c r="AR1504" s="6" t="s">
        <v>104</v>
      </c>
      <c r="AS1504" s="6" t="s">
        <v>104</v>
      </c>
      <c r="AT1504" s="6" t="s">
        <v>104</v>
      </c>
      <c r="AU1504" s="6" t="s">
        <v>104</v>
      </c>
      <c r="AV1504" s="6" t="s">
        <v>104</v>
      </c>
      <c r="AW1504" s="6" t="s">
        <v>104</v>
      </c>
      <c r="AX1504" s="6" t="s">
        <v>21294</v>
      </c>
      <c r="AY1504" s="6" t="s">
        <v>23099</v>
      </c>
      <c r="AZ1504" s="6" t="s">
        <v>104</v>
      </c>
      <c r="BA1504" s="6" t="s">
        <v>104</v>
      </c>
      <c r="BB1504" s="24" t="n">
        <v>0</v>
      </c>
      <c r="BC1504" s="26"/>
      <c r="BD1504" s="26"/>
      <c r="BE1504" s="26"/>
      <c r="BF1504" s="26"/>
      <c r="BG1504" s="26"/>
      <c r="BH1504" s="26"/>
      <c r="BI1504" s="26"/>
      <c r="BJ1504" s="26"/>
      <c r="BK1504" s="26"/>
      <c r="BL1504" s="26"/>
      <c r="BM1504" s="26"/>
      <c r="BN1504" s="26"/>
      <c r="BO1504" s="26"/>
      <c r="BP1504" s="16" t="n">
        <v>45626</v>
      </c>
      <c r="BQ1504" s="28" t="str">
        <f>HYPERLINK("https://organic.ams.usda.gov/Integrity/Certificate.aspx?cid=24&amp;nopid=7881228100")</f>
        <v>https://organic.ams.usda.gov/Integrity/Certificate.aspx?cid=24&amp;nopid=7881228100</v>
      </c>
    </row>
    <row r="1505">
      <c r="A1505" t="s">
        <v>3</v>
      </c>
      <c r="B1505" s="6" t="s">
        <v>17</v>
      </c>
      <c r="C1505" s="6" t="s">
        <v>83</v>
      </c>
      <c r="D1505" s="6" t="s">
        <v>148</v>
      </c>
      <c r="E1505" s="10" t="s">
        <v>1703</v>
      </c>
      <c r="F1505" s="6" t="s">
        <v>3940</v>
      </c>
      <c r="G1505" s="6" t="s">
        <v>4811</v>
      </c>
      <c r="H1505" s="6" t="s">
        <v>6256</v>
      </c>
      <c r="I1505" s="6" t="s">
        <v>7802</v>
      </c>
      <c r="J1505" s="6" t="s">
        <v>9237</v>
      </c>
      <c r="K1505" s="6" t="s">
        <v>9714</v>
      </c>
      <c r="L1505" s="16" t="n">
        <v>45595</v>
      </c>
      <c r="M1505" s="16" t="n">
        <v>45809</v>
      </c>
      <c r="N1505" s="6" t="s">
        <v>104</v>
      </c>
      <c r="O1505" s="21" t="s">
        <v>104</v>
      </c>
      <c r="P1505" s="6" t="s">
        <v>104</v>
      </c>
      <c r="Q1505" s="6" t="s">
        <v>104</v>
      </c>
      <c r="R1505" s="6" t="s">
        <v>104</v>
      </c>
      <c r="S1505" s="6" t="s">
        <v>104</v>
      </c>
      <c r="T1505" s="21" t="s">
        <v>104</v>
      </c>
      <c r="U1505" s="6" t="s">
        <v>104</v>
      </c>
      <c r="V1505" s="6" t="s">
        <v>104</v>
      </c>
      <c r="W1505" s="6" t="s">
        <v>104</v>
      </c>
      <c r="X1505" s="6" t="s">
        <v>104</v>
      </c>
      <c r="Y1505" s="21" t="s">
        <v>104</v>
      </c>
      <c r="Z1505" s="6" t="s">
        <v>104</v>
      </c>
      <c r="AA1505" s="6" t="s">
        <v>104</v>
      </c>
      <c r="AB1505" s="6" t="s">
        <v>104</v>
      </c>
      <c r="AC1505" s="6" t="s">
        <v>9714</v>
      </c>
      <c r="AD1505" s="16" t="n">
        <v>45595</v>
      </c>
      <c r="AE1505" s="6" t="s">
        <v>11840</v>
      </c>
      <c r="AF1505" s="6" t="s">
        <v>104</v>
      </c>
      <c r="AG1505" s="6" t="s">
        <v>104</v>
      </c>
      <c r="AH1505" s="6" t="s">
        <v>14529</v>
      </c>
      <c r="AI1505" s="6" t="s">
        <v>104</v>
      </c>
      <c r="AJ1505" s="6" t="s">
        <v>15701</v>
      </c>
      <c r="AK1505" s="6" t="s">
        <v>15697</v>
      </c>
      <c r="AL1505" s="6" t="s">
        <v>16931</v>
      </c>
      <c r="AM1505" s="6" t="s">
        <v>17999</v>
      </c>
      <c r="AN1505" s="6" t="s">
        <v>104</v>
      </c>
      <c r="AO1505" s="6" t="s">
        <v>104</v>
      </c>
      <c r="AP1505" s="6" t="s">
        <v>19357</v>
      </c>
      <c r="AQ1505" s="6" t="s">
        <v>19571</v>
      </c>
      <c r="AR1505" s="6" t="s">
        <v>15697</v>
      </c>
      <c r="AS1505" s="6" t="s">
        <v>15697</v>
      </c>
      <c r="AT1505" s="6" t="s">
        <v>16931</v>
      </c>
      <c r="AU1505" s="6" t="s">
        <v>19996</v>
      </c>
      <c r="AV1505" s="6" t="s">
        <v>104</v>
      </c>
      <c r="AW1505" s="6" t="s">
        <v>104</v>
      </c>
      <c r="AX1505" s="6" t="s">
        <v>21295</v>
      </c>
      <c r="AY1505" s="6" t="s">
        <v>23100</v>
      </c>
      <c r="AZ1505" s="6" t="s">
        <v>104</v>
      </c>
      <c r="BA1505" s="6" t="s">
        <v>104</v>
      </c>
      <c r="BB1505" s="24" t="n">
        <v>0</v>
      </c>
      <c r="BC1505" s="26"/>
      <c r="BD1505" s="26"/>
      <c r="BE1505" s="26"/>
      <c r="BF1505" s="26"/>
      <c r="BG1505" s="26"/>
      <c r="BH1505" s="26" t="s">
        <v>24533</v>
      </c>
      <c r="BI1505" s="26"/>
      <c r="BJ1505" s="26"/>
      <c r="BK1505" s="26"/>
      <c r="BL1505" s="26"/>
      <c r="BM1505" s="26"/>
      <c r="BN1505" s="26"/>
      <c r="BO1505" s="26"/>
      <c r="BP1505" s="16" t="n">
        <v>45722</v>
      </c>
      <c r="BQ1505" s="28" t="str">
        <f>HYPERLINK("https://organic.ams.usda.gov/Integrity/Certificate.aspx?cid=51&amp;nopid=8241000168")</f>
        <v>https://organic.ams.usda.gov/Integrity/Certificate.aspx?cid=51&amp;nopid=8241000168</v>
      </c>
    </row>
    <row r="1506">
      <c r="A1506" t="s">
        <v>3</v>
      </c>
      <c r="B1506" s="6" t="s">
        <v>21</v>
      </c>
      <c r="C1506" s="6" t="s">
        <v>87</v>
      </c>
      <c r="D1506" s="6" t="s">
        <v>152</v>
      </c>
      <c r="E1506" s="10" t="s">
        <v>1704</v>
      </c>
      <c r="F1506" s="6" t="s">
        <v>3941</v>
      </c>
      <c r="G1506" s="6" t="s">
        <v>4812</v>
      </c>
      <c r="H1506" s="6" t="s">
        <v>6257</v>
      </c>
      <c r="I1506" s="6" t="s">
        <v>7740</v>
      </c>
      <c r="J1506" s="6" t="s">
        <v>9238</v>
      </c>
      <c r="K1506" s="6" t="s">
        <v>9714</v>
      </c>
      <c r="L1506" s="16" t="n">
        <v>35138</v>
      </c>
      <c r="M1506" s="16" t="n">
        <v>46023</v>
      </c>
      <c r="N1506" s="6" t="s">
        <v>104</v>
      </c>
      <c r="O1506" s="21" t="s">
        <v>104</v>
      </c>
      <c r="P1506" s="6" t="s">
        <v>104</v>
      </c>
      <c r="Q1506" s="6" t="s">
        <v>104</v>
      </c>
      <c r="R1506" s="6" t="s">
        <v>104</v>
      </c>
      <c r="S1506" s="6" t="s">
        <v>104</v>
      </c>
      <c r="T1506" s="21" t="s">
        <v>104</v>
      </c>
      <c r="U1506" s="6" t="s">
        <v>104</v>
      </c>
      <c r="V1506" s="6" t="s">
        <v>104</v>
      </c>
      <c r="W1506" s="6" t="s">
        <v>104</v>
      </c>
      <c r="X1506" s="6" t="s">
        <v>104</v>
      </c>
      <c r="Y1506" s="21" t="s">
        <v>104</v>
      </c>
      <c r="Z1506" s="6" t="s">
        <v>104</v>
      </c>
      <c r="AA1506" s="6" t="s">
        <v>104</v>
      </c>
      <c r="AB1506" s="6" t="s">
        <v>104</v>
      </c>
      <c r="AC1506" s="6" t="s">
        <v>9714</v>
      </c>
      <c r="AD1506" s="16" t="n">
        <v>35138</v>
      </c>
      <c r="AE1506" s="6" t="s">
        <v>11841</v>
      </c>
      <c r="AF1506" s="6" t="s">
        <v>104</v>
      </c>
      <c r="AG1506" s="6" t="s">
        <v>104</v>
      </c>
      <c r="AH1506" s="6" t="s">
        <v>14530</v>
      </c>
      <c r="AI1506" s="6" t="s">
        <v>15315</v>
      </c>
      <c r="AJ1506" s="6" t="s">
        <v>16308</v>
      </c>
      <c r="AK1506" s="6" t="s">
        <v>16687</v>
      </c>
      <c r="AL1506" s="6" t="s">
        <v>16931</v>
      </c>
      <c r="AM1506" s="6" t="s">
        <v>18000</v>
      </c>
      <c r="AN1506" s="6" t="s">
        <v>18463</v>
      </c>
      <c r="AO1506" s="6" t="s">
        <v>18809</v>
      </c>
      <c r="AP1506" s="6" t="s">
        <v>14530</v>
      </c>
      <c r="AQ1506" s="6" t="s">
        <v>15315</v>
      </c>
      <c r="AR1506" s="6" t="s">
        <v>16308</v>
      </c>
      <c r="AS1506" s="6" t="s">
        <v>16687</v>
      </c>
      <c r="AT1506" s="6" t="s">
        <v>16931</v>
      </c>
      <c r="AU1506" s="6" t="s">
        <v>18000</v>
      </c>
      <c r="AV1506" s="6" t="s">
        <v>104</v>
      </c>
      <c r="AW1506" s="6" t="s">
        <v>104</v>
      </c>
      <c r="AX1506" s="6" t="s">
        <v>21296</v>
      </c>
      <c r="AY1506" s="6" t="s">
        <v>23101</v>
      </c>
      <c r="AZ1506" s="6" t="s">
        <v>24072</v>
      </c>
      <c r="BA1506" s="6" t="s">
        <v>24455</v>
      </c>
      <c r="BB1506" s="6" t="s">
        <v>104</v>
      </c>
      <c r="BC1506" s="26" t="s">
        <v>24533</v>
      </c>
      <c r="BD1506" s="26"/>
      <c r="BE1506" s="26"/>
      <c r="BF1506" s="26"/>
      <c r="BG1506" s="26"/>
      <c r="BH1506" s="26"/>
      <c r="BI1506" s="26"/>
      <c r="BJ1506" s="26"/>
      <c r="BK1506" s="26"/>
      <c r="BL1506" s="26"/>
      <c r="BM1506" s="26"/>
      <c r="BN1506" s="26"/>
      <c r="BO1506" s="26"/>
      <c r="BP1506" s="16" t="n">
        <v>45673</v>
      </c>
      <c r="BQ1506" s="28" t="str">
        <f>HYPERLINK("https://organic.ams.usda.gov/Integrity/Certificate.aspx?cid=15&amp;nopid=5561001650")</f>
        <v>https://organic.ams.usda.gov/Integrity/Certificate.aspx?cid=15&amp;nopid=5561001650</v>
      </c>
    </row>
    <row r="1507">
      <c r="A1507" t="s">
        <v>3</v>
      </c>
      <c r="B1507" s="6" t="s">
        <v>20</v>
      </c>
      <c r="C1507" s="6" t="s">
        <v>86</v>
      </c>
      <c r="D1507" s="6" t="s">
        <v>151</v>
      </c>
      <c r="E1507" s="10" t="s">
        <v>1705</v>
      </c>
      <c r="F1507" s="6" t="s">
        <v>3942</v>
      </c>
      <c r="G1507" s="6" t="s">
        <v>104</v>
      </c>
      <c r="H1507" s="6" t="s">
        <v>6258</v>
      </c>
      <c r="I1507" s="6" t="s">
        <v>7803</v>
      </c>
      <c r="J1507" s="6" t="s">
        <v>9239</v>
      </c>
      <c r="K1507" s="6" t="s">
        <v>9714</v>
      </c>
      <c r="L1507" s="16" t="n">
        <v>44075</v>
      </c>
      <c r="M1507" s="16" t="n">
        <v>45838</v>
      </c>
      <c r="N1507" s="6" t="s">
        <v>104</v>
      </c>
      <c r="O1507" s="21" t="s">
        <v>104</v>
      </c>
      <c r="P1507" s="6" t="s">
        <v>104</v>
      </c>
      <c r="Q1507" s="6" t="s">
        <v>104</v>
      </c>
      <c r="R1507" s="6" t="s">
        <v>104</v>
      </c>
      <c r="S1507" s="6" t="s">
        <v>104</v>
      </c>
      <c r="T1507" s="21" t="s">
        <v>104</v>
      </c>
      <c r="U1507" s="6" t="s">
        <v>104</v>
      </c>
      <c r="V1507" s="6" t="s">
        <v>104</v>
      </c>
      <c r="W1507" s="6" t="s">
        <v>104</v>
      </c>
      <c r="X1507" s="6" t="s">
        <v>104</v>
      </c>
      <c r="Y1507" s="21" t="s">
        <v>104</v>
      </c>
      <c r="Z1507" s="6" t="s">
        <v>104</v>
      </c>
      <c r="AA1507" s="6" t="s">
        <v>104</v>
      </c>
      <c r="AB1507" s="6" t="s">
        <v>104</v>
      </c>
      <c r="AC1507" s="6" t="s">
        <v>9714</v>
      </c>
      <c r="AD1507" s="16" t="n">
        <v>44075</v>
      </c>
      <c r="AE1507" s="6" t="s">
        <v>11842</v>
      </c>
      <c r="AF1507" s="6" t="s">
        <v>104</v>
      </c>
      <c r="AG1507" s="6" t="s">
        <v>12960</v>
      </c>
      <c r="AH1507" s="6" t="s">
        <v>14531</v>
      </c>
      <c r="AI1507" s="6" t="s">
        <v>104</v>
      </c>
      <c r="AJ1507" s="6" t="s">
        <v>16309</v>
      </c>
      <c r="AK1507" s="6" t="s">
        <v>16737</v>
      </c>
      <c r="AL1507" s="6" t="s">
        <v>16898</v>
      </c>
      <c r="AM1507" s="6" t="s">
        <v>18001</v>
      </c>
      <c r="AN1507" s="6" t="s">
        <v>104</v>
      </c>
      <c r="AO1507" s="6" t="s">
        <v>104</v>
      </c>
      <c r="AP1507" s="6" t="s">
        <v>104</v>
      </c>
      <c r="AQ1507" s="6" t="s">
        <v>104</v>
      </c>
      <c r="AR1507" s="6" t="s">
        <v>104</v>
      </c>
      <c r="AS1507" s="6" t="s">
        <v>104</v>
      </c>
      <c r="AT1507" s="6" t="s">
        <v>104</v>
      </c>
      <c r="AU1507" s="6" t="s">
        <v>104</v>
      </c>
      <c r="AV1507" s="6" t="s">
        <v>104</v>
      </c>
      <c r="AW1507" s="6" t="s">
        <v>104</v>
      </c>
      <c r="AX1507" s="6" t="s">
        <v>21297</v>
      </c>
      <c r="AY1507" s="6" t="s">
        <v>23102</v>
      </c>
      <c r="AZ1507" s="6" t="s">
        <v>24073</v>
      </c>
      <c r="BA1507" s="6" t="s">
        <v>104</v>
      </c>
      <c r="BB1507" s="6" t="s">
        <v>104</v>
      </c>
      <c r="BC1507" s="26"/>
      <c r="BD1507" s="26"/>
      <c r="BE1507" s="26"/>
      <c r="BF1507" s="26"/>
      <c r="BG1507" s="26"/>
      <c r="BH1507" s="26"/>
      <c r="BI1507" s="26"/>
      <c r="BJ1507" s="26"/>
      <c r="BK1507" s="26"/>
      <c r="BL1507" s="26"/>
      <c r="BM1507" s="26"/>
      <c r="BN1507" s="26"/>
      <c r="BO1507" s="26" t="s">
        <v>24533</v>
      </c>
      <c r="BP1507" s="16" t="n">
        <v>45523</v>
      </c>
      <c r="BQ1507" s="28" t="str">
        <f>HYPERLINK("https://organic.ams.usda.gov/Integrity/Certificate.aspx?cid=17&amp;nopid=4085404087")</f>
        <v>https://organic.ams.usda.gov/Integrity/Certificate.aspx?cid=17&amp;nopid=4085404087</v>
      </c>
    </row>
    <row r="1508">
      <c r="A1508" t="s">
        <v>3</v>
      </c>
      <c r="B1508" s="6" t="s">
        <v>20</v>
      </c>
      <c r="C1508" s="6" t="s">
        <v>86</v>
      </c>
      <c r="D1508" s="6" t="s">
        <v>151</v>
      </c>
      <c r="E1508" s="10" t="s">
        <v>1706</v>
      </c>
      <c r="F1508" s="6" t="s">
        <v>3943</v>
      </c>
      <c r="G1508" s="6" t="s">
        <v>104</v>
      </c>
      <c r="H1508" s="6" t="s">
        <v>6259</v>
      </c>
      <c r="I1508" s="6" t="s">
        <v>7804</v>
      </c>
      <c r="J1508" s="6" t="s">
        <v>9240</v>
      </c>
      <c r="K1508" s="6" t="s">
        <v>9714</v>
      </c>
      <c r="L1508" s="16" t="n">
        <v>43137</v>
      </c>
      <c r="M1508" s="16" t="n">
        <v>45747</v>
      </c>
      <c r="N1508" s="6" t="s">
        <v>9714</v>
      </c>
      <c r="O1508" s="16" t="n">
        <v>43137</v>
      </c>
      <c r="P1508" s="6" t="s">
        <v>10130</v>
      </c>
      <c r="Q1508" s="6" t="s">
        <v>104</v>
      </c>
      <c r="R1508" s="6" t="s">
        <v>10411</v>
      </c>
      <c r="S1508" s="6" t="s">
        <v>104</v>
      </c>
      <c r="T1508" s="21" t="s">
        <v>104</v>
      </c>
      <c r="U1508" s="6" t="s">
        <v>104</v>
      </c>
      <c r="V1508" s="6" t="s">
        <v>104</v>
      </c>
      <c r="W1508" s="6" t="s">
        <v>104</v>
      </c>
      <c r="X1508" s="6" t="s">
        <v>104</v>
      </c>
      <c r="Y1508" s="21" t="s">
        <v>104</v>
      </c>
      <c r="Z1508" s="6" t="s">
        <v>104</v>
      </c>
      <c r="AA1508" s="6" t="s">
        <v>104</v>
      </c>
      <c r="AB1508" s="6" t="s">
        <v>104</v>
      </c>
      <c r="AC1508" s="6" t="s">
        <v>9714</v>
      </c>
      <c r="AD1508" s="16" t="n">
        <v>43137</v>
      </c>
      <c r="AE1508" s="6" t="s">
        <v>11843</v>
      </c>
      <c r="AF1508" s="6" t="s">
        <v>104</v>
      </c>
      <c r="AG1508" s="6" t="s">
        <v>10411</v>
      </c>
      <c r="AH1508" s="6" t="s">
        <v>14532</v>
      </c>
      <c r="AI1508" s="6" t="s">
        <v>104</v>
      </c>
      <c r="AJ1508" s="6" t="s">
        <v>15461</v>
      </c>
      <c r="AK1508" s="6" t="s">
        <v>104</v>
      </c>
      <c r="AL1508" s="6" t="s">
        <v>16703</v>
      </c>
      <c r="AM1508" s="6" t="s">
        <v>104</v>
      </c>
      <c r="AN1508" s="6" t="s">
        <v>104</v>
      </c>
      <c r="AO1508" s="6" t="s">
        <v>104</v>
      </c>
      <c r="AP1508" s="6" t="s">
        <v>104</v>
      </c>
      <c r="AQ1508" s="6" t="s">
        <v>104</v>
      </c>
      <c r="AR1508" s="6" t="s">
        <v>104</v>
      </c>
      <c r="AS1508" s="6" t="s">
        <v>104</v>
      </c>
      <c r="AT1508" s="6" t="s">
        <v>104</v>
      </c>
      <c r="AU1508" s="6" t="s">
        <v>104</v>
      </c>
      <c r="AV1508" s="6" t="s">
        <v>104</v>
      </c>
      <c r="AW1508" s="6" t="s">
        <v>104</v>
      </c>
      <c r="AX1508" s="6" t="s">
        <v>21298</v>
      </c>
      <c r="AY1508" s="6" t="s">
        <v>23103</v>
      </c>
      <c r="AZ1508" s="6" t="s">
        <v>104</v>
      </c>
      <c r="BA1508" s="6" t="s">
        <v>104</v>
      </c>
      <c r="BB1508" s="24" t="n">
        <v>1153</v>
      </c>
      <c r="BC1508" s="26"/>
      <c r="BD1508" s="26"/>
      <c r="BE1508" s="26"/>
      <c r="BF1508" s="26"/>
      <c r="BG1508" s="26"/>
      <c r="BH1508" s="26"/>
      <c r="BI1508" s="26"/>
      <c r="BJ1508" s="26"/>
      <c r="BK1508" s="26"/>
      <c r="BL1508" s="26"/>
      <c r="BM1508" s="26"/>
      <c r="BN1508" s="26"/>
      <c r="BO1508" s="26"/>
      <c r="BP1508" s="16" t="n">
        <v>45499</v>
      </c>
      <c r="BQ1508" s="28" t="str">
        <f>HYPERLINK("https://organic.ams.usda.gov/Integrity/Certificate.aspx?cid=17&amp;nopid=4087185263")</f>
        <v>https://organic.ams.usda.gov/Integrity/Certificate.aspx?cid=17&amp;nopid=4087185263</v>
      </c>
    </row>
    <row r="1509">
      <c r="A1509" t="s">
        <v>3</v>
      </c>
      <c r="B1509" s="6" t="s">
        <v>12</v>
      </c>
      <c r="C1509" s="6" t="s">
        <v>78</v>
      </c>
      <c r="D1509" s="6" t="s">
        <v>143</v>
      </c>
      <c r="E1509" s="10" t="s">
        <v>1707</v>
      </c>
      <c r="F1509" s="6" t="s">
        <v>3944</v>
      </c>
      <c r="G1509" s="6" t="s">
        <v>104</v>
      </c>
      <c r="H1509" s="6" t="s">
        <v>104</v>
      </c>
      <c r="I1509" s="6" t="s">
        <v>6933</v>
      </c>
      <c r="J1509" s="6" t="s">
        <v>9241</v>
      </c>
      <c r="K1509" s="6" t="s">
        <v>9714</v>
      </c>
      <c r="L1509" s="16" t="n">
        <v>45632</v>
      </c>
      <c r="M1509" s="16" t="n">
        <v>45901</v>
      </c>
      <c r="N1509" s="6" t="s">
        <v>104</v>
      </c>
      <c r="O1509" s="21" t="s">
        <v>104</v>
      </c>
      <c r="P1509" s="6" t="s">
        <v>104</v>
      </c>
      <c r="Q1509" s="6" t="s">
        <v>104</v>
      </c>
      <c r="R1509" s="6" t="s">
        <v>104</v>
      </c>
      <c r="S1509" s="6" t="s">
        <v>104</v>
      </c>
      <c r="T1509" s="21" t="s">
        <v>104</v>
      </c>
      <c r="U1509" s="6" t="s">
        <v>104</v>
      </c>
      <c r="V1509" s="6" t="s">
        <v>104</v>
      </c>
      <c r="W1509" s="6" t="s">
        <v>104</v>
      </c>
      <c r="X1509" s="6" t="s">
        <v>104</v>
      </c>
      <c r="Y1509" s="21" t="s">
        <v>104</v>
      </c>
      <c r="Z1509" s="6" t="s">
        <v>104</v>
      </c>
      <c r="AA1509" s="6" t="s">
        <v>104</v>
      </c>
      <c r="AB1509" s="6" t="s">
        <v>104</v>
      </c>
      <c r="AC1509" s="6" t="s">
        <v>9714</v>
      </c>
      <c r="AD1509" s="16" t="n">
        <v>45632</v>
      </c>
      <c r="AE1509" s="6" t="s">
        <v>11844</v>
      </c>
      <c r="AF1509" s="6" t="s">
        <v>104</v>
      </c>
      <c r="AG1509" s="6" t="s">
        <v>12961</v>
      </c>
      <c r="AH1509" s="6" t="s">
        <v>14533</v>
      </c>
      <c r="AI1509" s="6" t="s">
        <v>104</v>
      </c>
      <c r="AJ1509" s="6" t="s">
        <v>16310</v>
      </c>
      <c r="AK1509" s="6" t="s">
        <v>16680</v>
      </c>
      <c r="AL1509" s="6" t="s">
        <v>16931</v>
      </c>
      <c r="AM1509" s="6" t="s">
        <v>18002</v>
      </c>
      <c r="AN1509" s="6" t="s">
        <v>104</v>
      </c>
      <c r="AO1509" s="6" t="s">
        <v>104</v>
      </c>
      <c r="AP1509" s="6" t="s">
        <v>14533</v>
      </c>
      <c r="AQ1509" s="6" t="s">
        <v>104</v>
      </c>
      <c r="AR1509" s="6" t="s">
        <v>16310</v>
      </c>
      <c r="AS1509" s="6" t="s">
        <v>16680</v>
      </c>
      <c r="AT1509" s="6" t="s">
        <v>16931</v>
      </c>
      <c r="AU1509" s="6" t="s">
        <v>18002</v>
      </c>
      <c r="AV1509" s="6" t="s">
        <v>104</v>
      </c>
      <c r="AW1509" s="6" t="s">
        <v>104</v>
      </c>
      <c r="AX1509" s="6" t="s">
        <v>104</v>
      </c>
      <c r="AY1509" s="6" t="s">
        <v>23104</v>
      </c>
      <c r="AZ1509" s="6" t="s">
        <v>104</v>
      </c>
      <c r="BA1509" s="6" t="s">
        <v>104</v>
      </c>
      <c r="BB1509" s="6" t="s">
        <v>104</v>
      </c>
      <c r="BC1509" s="26"/>
      <c r="BD1509" s="26"/>
      <c r="BE1509" s="26"/>
      <c r="BF1509" s="26"/>
      <c r="BG1509" s="26"/>
      <c r="BH1509" s="26"/>
      <c r="BI1509" s="26"/>
      <c r="BJ1509" s="26"/>
      <c r="BK1509" s="26"/>
      <c r="BL1509" s="26"/>
      <c r="BM1509" s="26"/>
      <c r="BN1509" s="26"/>
      <c r="BO1509" s="26"/>
      <c r="BP1509" s="16" t="n">
        <v>45632</v>
      </c>
      <c r="BQ1509" s="28" t="str">
        <f>HYPERLINK("https://organic.ams.usda.gov/Integrity/Certificate.aspx?cid=1&amp;nopid=9092431301")</f>
        <v>https://organic.ams.usda.gov/Integrity/Certificate.aspx?cid=1&amp;nopid=9092431301</v>
      </c>
    </row>
    <row r="1510">
      <c r="A1510" t="s">
        <v>3</v>
      </c>
      <c r="B1510" s="6" t="s">
        <v>21</v>
      </c>
      <c r="C1510" s="6" t="s">
        <v>87</v>
      </c>
      <c r="D1510" s="6" t="s">
        <v>152</v>
      </c>
      <c r="E1510" s="10" t="s">
        <v>1708</v>
      </c>
      <c r="F1510" s="6" t="s">
        <v>3945</v>
      </c>
      <c r="G1510" s="6" t="s">
        <v>104</v>
      </c>
      <c r="H1510" s="6" t="s">
        <v>6260</v>
      </c>
      <c r="I1510" s="6" t="s">
        <v>7805</v>
      </c>
      <c r="J1510" s="6" t="s">
        <v>9242</v>
      </c>
      <c r="K1510" s="6" t="s">
        <v>9714</v>
      </c>
      <c r="L1510" s="16" t="n">
        <v>45128</v>
      </c>
      <c r="M1510" s="16" t="n">
        <v>46023</v>
      </c>
      <c r="N1510" s="6" t="s">
        <v>104</v>
      </c>
      <c r="O1510" s="21" t="s">
        <v>104</v>
      </c>
      <c r="P1510" s="6" t="s">
        <v>104</v>
      </c>
      <c r="Q1510" s="6" t="s">
        <v>104</v>
      </c>
      <c r="R1510" s="6" t="s">
        <v>104</v>
      </c>
      <c r="S1510" s="6" t="s">
        <v>104</v>
      </c>
      <c r="T1510" s="21" t="s">
        <v>104</v>
      </c>
      <c r="U1510" s="6" t="s">
        <v>104</v>
      </c>
      <c r="V1510" s="6" t="s">
        <v>104</v>
      </c>
      <c r="W1510" s="6" t="s">
        <v>104</v>
      </c>
      <c r="X1510" s="6" t="s">
        <v>104</v>
      </c>
      <c r="Y1510" s="21" t="s">
        <v>104</v>
      </c>
      <c r="Z1510" s="6" t="s">
        <v>104</v>
      </c>
      <c r="AA1510" s="6" t="s">
        <v>104</v>
      </c>
      <c r="AB1510" s="6" t="s">
        <v>104</v>
      </c>
      <c r="AC1510" s="6" t="s">
        <v>9714</v>
      </c>
      <c r="AD1510" s="16" t="n">
        <v>45128</v>
      </c>
      <c r="AE1510" s="6" t="s">
        <v>11845</v>
      </c>
      <c r="AF1510" s="6" t="s">
        <v>104</v>
      </c>
      <c r="AG1510" s="6" t="s">
        <v>104</v>
      </c>
      <c r="AH1510" s="6" t="s">
        <v>14534</v>
      </c>
      <c r="AI1510" s="6" t="s">
        <v>104</v>
      </c>
      <c r="AJ1510" s="6" t="s">
        <v>15928</v>
      </c>
      <c r="AK1510" s="6" t="s">
        <v>16687</v>
      </c>
      <c r="AL1510" s="6" t="s">
        <v>16931</v>
      </c>
      <c r="AM1510" s="6" t="s">
        <v>17292</v>
      </c>
      <c r="AN1510" s="6" t="s">
        <v>18487</v>
      </c>
      <c r="AO1510" s="6" t="s">
        <v>18601</v>
      </c>
      <c r="AP1510" s="6" t="s">
        <v>14534</v>
      </c>
      <c r="AQ1510" s="6" t="s">
        <v>104</v>
      </c>
      <c r="AR1510" s="6" t="s">
        <v>15928</v>
      </c>
      <c r="AS1510" s="6" t="s">
        <v>16687</v>
      </c>
      <c r="AT1510" s="6" t="s">
        <v>16931</v>
      </c>
      <c r="AU1510" s="6" t="s">
        <v>17292</v>
      </c>
      <c r="AV1510" s="6" t="s">
        <v>104</v>
      </c>
      <c r="AW1510" s="6" t="s">
        <v>104</v>
      </c>
      <c r="AX1510" s="6" t="s">
        <v>21299</v>
      </c>
      <c r="AY1510" s="6" t="s">
        <v>23105</v>
      </c>
      <c r="AZ1510" s="6" t="s">
        <v>24074</v>
      </c>
      <c r="BA1510" s="6" t="s">
        <v>104</v>
      </c>
      <c r="BB1510" s="6" t="s">
        <v>104</v>
      </c>
      <c r="BC1510" s="26"/>
      <c r="BD1510" s="26"/>
      <c r="BE1510" s="26"/>
      <c r="BF1510" s="26"/>
      <c r="BG1510" s="26"/>
      <c r="BH1510" s="26"/>
      <c r="BI1510" s="26"/>
      <c r="BJ1510" s="26"/>
      <c r="BK1510" s="26"/>
      <c r="BL1510" s="26"/>
      <c r="BM1510" s="26"/>
      <c r="BN1510" s="26"/>
      <c r="BO1510" s="26"/>
      <c r="BP1510" s="16" t="n">
        <v>45667</v>
      </c>
      <c r="BQ1510" s="28" t="str">
        <f>HYPERLINK("https://organic.ams.usda.gov/Integrity/Certificate.aspx?cid=15&amp;nopid=5561007736")</f>
        <v>https://organic.ams.usda.gov/Integrity/Certificate.aspx?cid=15&amp;nopid=5561007736</v>
      </c>
    </row>
    <row r="1511">
      <c r="A1511" t="s">
        <v>3</v>
      </c>
      <c r="B1511" s="6" t="s">
        <v>41</v>
      </c>
      <c r="C1511" s="6" t="s">
        <v>107</v>
      </c>
      <c r="D1511" s="6" t="s">
        <v>171</v>
      </c>
      <c r="E1511" s="10" t="s">
        <v>1709</v>
      </c>
      <c r="F1511" s="6" t="s">
        <v>3946</v>
      </c>
      <c r="G1511" s="6" t="s">
        <v>4813</v>
      </c>
      <c r="H1511" s="6" t="s">
        <v>6261</v>
      </c>
      <c r="I1511" s="6" t="s">
        <v>7727</v>
      </c>
      <c r="J1511" s="6" t="s">
        <v>8561</v>
      </c>
      <c r="K1511" s="6" t="s">
        <v>9714</v>
      </c>
      <c r="L1511" s="16" t="n">
        <v>40414</v>
      </c>
      <c r="M1511" s="16" t="n">
        <v>45792</v>
      </c>
      <c r="N1511" s="6" t="s">
        <v>9714</v>
      </c>
      <c r="O1511" s="16" t="n">
        <v>40414</v>
      </c>
      <c r="P1511" s="6" t="s">
        <v>10131</v>
      </c>
      <c r="Q1511" s="6" t="s">
        <v>104</v>
      </c>
      <c r="R1511" s="6" t="s">
        <v>104</v>
      </c>
      <c r="S1511" s="6" t="s">
        <v>104</v>
      </c>
      <c r="T1511" s="21" t="s">
        <v>104</v>
      </c>
      <c r="U1511" s="6" t="s">
        <v>104</v>
      </c>
      <c r="V1511" s="6" t="s">
        <v>104</v>
      </c>
      <c r="W1511" s="6" t="s">
        <v>104</v>
      </c>
      <c r="X1511" s="6" t="s">
        <v>104</v>
      </c>
      <c r="Y1511" s="21" t="s">
        <v>104</v>
      </c>
      <c r="Z1511" s="6" t="s">
        <v>104</v>
      </c>
      <c r="AA1511" s="6" t="s">
        <v>104</v>
      </c>
      <c r="AB1511" s="6" t="s">
        <v>104</v>
      </c>
      <c r="AC1511" s="6" t="s">
        <v>9714</v>
      </c>
      <c r="AD1511" s="16" t="n">
        <v>40414</v>
      </c>
      <c r="AE1511" s="6" t="s">
        <v>11846</v>
      </c>
      <c r="AF1511" s="6" t="s">
        <v>104</v>
      </c>
      <c r="AG1511" s="6" t="s">
        <v>104</v>
      </c>
      <c r="AH1511" s="6" t="s">
        <v>14535</v>
      </c>
      <c r="AI1511" s="6" t="s">
        <v>104</v>
      </c>
      <c r="AJ1511" s="6" t="s">
        <v>16311</v>
      </c>
      <c r="AK1511" s="6" t="s">
        <v>16706</v>
      </c>
      <c r="AL1511" s="6" t="s">
        <v>16931</v>
      </c>
      <c r="AM1511" s="6" t="s">
        <v>18003</v>
      </c>
      <c r="AN1511" s="6" t="s">
        <v>18468</v>
      </c>
      <c r="AO1511" s="6" t="s">
        <v>18752</v>
      </c>
      <c r="AP1511" s="6" t="s">
        <v>14535</v>
      </c>
      <c r="AQ1511" s="6" t="s">
        <v>104</v>
      </c>
      <c r="AR1511" s="6" t="s">
        <v>16311</v>
      </c>
      <c r="AS1511" s="6" t="s">
        <v>16706</v>
      </c>
      <c r="AT1511" s="6" t="s">
        <v>16931</v>
      </c>
      <c r="AU1511" s="6" t="s">
        <v>18003</v>
      </c>
      <c r="AV1511" s="6" t="s">
        <v>104</v>
      </c>
      <c r="AW1511" s="6" t="s">
        <v>104</v>
      </c>
      <c r="AX1511" s="6" t="s">
        <v>21300</v>
      </c>
      <c r="AY1511" s="6" t="s">
        <v>104</v>
      </c>
      <c r="AZ1511" s="6" t="s">
        <v>104</v>
      </c>
      <c r="BA1511" s="6" t="s">
        <v>104</v>
      </c>
      <c r="BB1511" s="24" t="n">
        <v>789</v>
      </c>
      <c r="BC1511" s="26"/>
      <c r="BD1511" s="26"/>
      <c r="BE1511" s="26"/>
      <c r="BF1511" s="26"/>
      <c r="BG1511" s="26"/>
      <c r="BH1511" s="26"/>
      <c r="BI1511" s="26"/>
      <c r="BJ1511" s="26"/>
      <c r="BK1511" s="26"/>
      <c r="BL1511" s="26"/>
      <c r="BM1511" s="26"/>
      <c r="BN1511" s="26"/>
      <c r="BO1511" s="26"/>
      <c r="BP1511" s="16" t="n">
        <v>45737</v>
      </c>
      <c r="BQ1511" s="28" t="str">
        <f>HYPERLINK("https://organic.ams.usda.gov/Integrity/Certificate.aspx?cid=58&amp;nopid=1600001792")</f>
        <v>https://organic.ams.usda.gov/Integrity/Certificate.aspx?cid=58&amp;nopid=1600001792</v>
      </c>
    </row>
    <row r="1512">
      <c r="A1512" t="s">
        <v>3</v>
      </c>
      <c r="B1512" s="6" t="s">
        <v>21</v>
      </c>
      <c r="C1512" s="6" t="s">
        <v>87</v>
      </c>
      <c r="D1512" s="6" t="s">
        <v>152</v>
      </c>
      <c r="E1512" s="10" t="s">
        <v>1710</v>
      </c>
      <c r="F1512" s="6" t="s">
        <v>3947</v>
      </c>
      <c r="G1512" s="6" t="s">
        <v>104</v>
      </c>
      <c r="H1512" s="6" t="s">
        <v>6262</v>
      </c>
      <c r="I1512" s="6" t="s">
        <v>7013</v>
      </c>
      <c r="J1512" s="6" t="s">
        <v>9243</v>
      </c>
      <c r="K1512" s="6" t="s">
        <v>9714</v>
      </c>
      <c r="L1512" s="16" t="n">
        <v>44698</v>
      </c>
      <c r="M1512" s="16" t="n">
        <v>46023</v>
      </c>
      <c r="N1512" s="6" t="s">
        <v>104</v>
      </c>
      <c r="O1512" s="21" t="s">
        <v>104</v>
      </c>
      <c r="P1512" s="6" t="s">
        <v>104</v>
      </c>
      <c r="Q1512" s="6" t="s">
        <v>104</v>
      </c>
      <c r="R1512" s="6" t="s">
        <v>104</v>
      </c>
      <c r="S1512" s="6" t="s">
        <v>104</v>
      </c>
      <c r="T1512" s="21" t="s">
        <v>104</v>
      </c>
      <c r="U1512" s="6" t="s">
        <v>104</v>
      </c>
      <c r="V1512" s="6" t="s">
        <v>104</v>
      </c>
      <c r="W1512" s="6" t="s">
        <v>104</v>
      </c>
      <c r="X1512" s="6" t="s">
        <v>104</v>
      </c>
      <c r="Y1512" s="21" t="s">
        <v>104</v>
      </c>
      <c r="Z1512" s="6" t="s">
        <v>104</v>
      </c>
      <c r="AA1512" s="6" t="s">
        <v>104</v>
      </c>
      <c r="AB1512" s="6" t="s">
        <v>104</v>
      </c>
      <c r="AC1512" s="6" t="s">
        <v>9714</v>
      </c>
      <c r="AD1512" s="16" t="n">
        <v>44698</v>
      </c>
      <c r="AE1512" s="6" t="s">
        <v>11847</v>
      </c>
      <c r="AF1512" s="6" t="s">
        <v>104</v>
      </c>
      <c r="AG1512" s="6" t="s">
        <v>104</v>
      </c>
      <c r="AH1512" s="6" t="s">
        <v>14536</v>
      </c>
      <c r="AI1512" s="6" t="s">
        <v>15316</v>
      </c>
      <c r="AJ1512" s="6" t="s">
        <v>15378</v>
      </c>
      <c r="AK1512" s="6" t="s">
        <v>16687</v>
      </c>
      <c r="AL1512" s="6" t="s">
        <v>16931</v>
      </c>
      <c r="AM1512" s="6" t="s">
        <v>17456</v>
      </c>
      <c r="AN1512" s="6" t="s">
        <v>5771</v>
      </c>
      <c r="AO1512" s="6" t="s">
        <v>18563</v>
      </c>
      <c r="AP1512" s="6" t="s">
        <v>14536</v>
      </c>
      <c r="AQ1512" s="6" t="s">
        <v>15316</v>
      </c>
      <c r="AR1512" s="6" t="s">
        <v>15378</v>
      </c>
      <c r="AS1512" s="6" t="s">
        <v>16687</v>
      </c>
      <c r="AT1512" s="6" t="s">
        <v>16931</v>
      </c>
      <c r="AU1512" s="6" t="s">
        <v>17456</v>
      </c>
      <c r="AV1512" s="6" t="s">
        <v>104</v>
      </c>
      <c r="AW1512" s="6" t="s">
        <v>104</v>
      </c>
      <c r="AX1512" s="6" t="s">
        <v>21301</v>
      </c>
      <c r="AY1512" s="6" t="s">
        <v>23106</v>
      </c>
      <c r="AZ1512" s="6" t="s">
        <v>104</v>
      </c>
      <c r="BA1512" s="6" t="s">
        <v>24263</v>
      </c>
      <c r="BB1512" s="6" t="s">
        <v>104</v>
      </c>
      <c r="BC1512" s="26" t="s">
        <v>24533</v>
      </c>
      <c r="BD1512" s="26"/>
      <c r="BE1512" s="26"/>
      <c r="BF1512" s="26"/>
      <c r="BG1512" s="26"/>
      <c r="BH1512" s="26" t="s">
        <v>24533</v>
      </c>
      <c r="BI1512" s="26"/>
      <c r="BJ1512" s="26"/>
      <c r="BK1512" s="26"/>
      <c r="BL1512" s="26"/>
      <c r="BM1512" s="26"/>
      <c r="BN1512" s="26"/>
      <c r="BO1512" s="26"/>
      <c r="BP1512" s="16" t="n">
        <v>45708</v>
      </c>
      <c r="BQ1512" s="28" t="str">
        <f>HYPERLINK("https://organic.ams.usda.gov/Integrity/Certificate.aspx?cid=15&amp;nopid=5561007359")</f>
        <v>https://organic.ams.usda.gov/Integrity/Certificate.aspx?cid=15&amp;nopid=5561007359</v>
      </c>
    </row>
    <row r="1513">
      <c r="A1513" t="s">
        <v>3</v>
      </c>
      <c r="B1513" s="6" t="s">
        <v>11</v>
      </c>
      <c r="C1513" s="6" t="s">
        <v>77</v>
      </c>
      <c r="D1513" s="6" t="s">
        <v>142</v>
      </c>
      <c r="E1513" s="10" t="s">
        <v>1711</v>
      </c>
      <c r="F1513" s="6" t="s">
        <v>3948</v>
      </c>
      <c r="G1513" s="6" t="s">
        <v>104</v>
      </c>
      <c r="H1513" s="6" t="s">
        <v>6263</v>
      </c>
      <c r="I1513" s="6" t="s">
        <v>7806</v>
      </c>
      <c r="J1513" s="6" t="s">
        <v>9244</v>
      </c>
      <c r="K1513" s="6" t="s">
        <v>9714</v>
      </c>
      <c r="L1513" s="16" t="n">
        <v>40830</v>
      </c>
      <c r="M1513" s="16" t="n">
        <v>45600</v>
      </c>
      <c r="N1513" s="6" t="s">
        <v>104</v>
      </c>
      <c r="O1513" s="21" t="s">
        <v>104</v>
      </c>
      <c r="P1513" s="6" t="s">
        <v>104</v>
      </c>
      <c r="Q1513" s="6" t="s">
        <v>104</v>
      </c>
      <c r="R1513" s="6" t="s">
        <v>104</v>
      </c>
      <c r="S1513" s="6" t="s">
        <v>104</v>
      </c>
      <c r="T1513" s="21" t="s">
        <v>104</v>
      </c>
      <c r="U1513" s="6" t="s">
        <v>104</v>
      </c>
      <c r="V1513" s="6" t="s">
        <v>104</v>
      </c>
      <c r="W1513" s="6" t="s">
        <v>104</v>
      </c>
      <c r="X1513" s="6" t="s">
        <v>104</v>
      </c>
      <c r="Y1513" s="21" t="s">
        <v>104</v>
      </c>
      <c r="Z1513" s="6" t="s">
        <v>104</v>
      </c>
      <c r="AA1513" s="6" t="s">
        <v>104</v>
      </c>
      <c r="AB1513" s="6" t="s">
        <v>104</v>
      </c>
      <c r="AC1513" s="6" t="s">
        <v>9714</v>
      </c>
      <c r="AD1513" s="16" t="n">
        <v>40830</v>
      </c>
      <c r="AE1513" s="6" t="s">
        <v>11848</v>
      </c>
      <c r="AF1513" s="6" t="s">
        <v>104</v>
      </c>
      <c r="AG1513" s="6" t="s">
        <v>104</v>
      </c>
      <c r="AH1513" s="6" t="s">
        <v>14537</v>
      </c>
      <c r="AI1513" s="6" t="s">
        <v>104</v>
      </c>
      <c r="AJ1513" s="6" t="s">
        <v>16312</v>
      </c>
      <c r="AK1513" s="6" t="s">
        <v>104</v>
      </c>
      <c r="AL1513" s="6" t="s">
        <v>16979</v>
      </c>
      <c r="AM1513" s="6" t="s">
        <v>18004</v>
      </c>
      <c r="AN1513" s="6" t="s">
        <v>104</v>
      </c>
      <c r="AO1513" s="6" t="s">
        <v>104</v>
      </c>
      <c r="AP1513" s="6" t="s">
        <v>19358</v>
      </c>
      <c r="AQ1513" s="6" t="s">
        <v>104</v>
      </c>
      <c r="AR1513" s="6" t="s">
        <v>16312</v>
      </c>
      <c r="AS1513" s="6" t="s">
        <v>104</v>
      </c>
      <c r="AT1513" s="6" t="s">
        <v>16979</v>
      </c>
      <c r="AU1513" s="6" t="s">
        <v>19997</v>
      </c>
      <c r="AV1513" s="6" t="s">
        <v>104</v>
      </c>
      <c r="AW1513" s="6" t="s">
        <v>104</v>
      </c>
      <c r="AX1513" s="6" t="s">
        <v>21302</v>
      </c>
      <c r="AY1513" s="6" t="s">
        <v>23107</v>
      </c>
      <c r="AZ1513" s="6" t="s">
        <v>24075</v>
      </c>
      <c r="BA1513" s="6" t="s">
        <v>24456</v>
      </c>
      <c r="BB1513" s="24" t="n">
        <v>0</v>
      </c>
      <c r="BC1513" s="26"/>
      <c r="BD1513" s="26"/>
      <c r="BE1513" s="26"/>
      <c r="BF1513" s="26"/>
      <c r="BG1513" s="26"/>
      <c r="BH1513" s="26"/>
      <c r="BI1513" s="26"/>
      <c r="BJ1513" s="26"/>
      <c r="BK1513" s="26"/>
      <c r="BL1513" s="26"/>
      <c r="BM1513" s="26"/>
      <c r="BN1513" s="26"/>
      <c r="BO1513" s="26"/>
      <c r="BP1513" s="16" t="n">
        <v>45540</v>
      </c>
      <c r="BQ1513" s="28" t="str">
        <f>HYPERLINK("https://organic.ams.usda.gov/Integrity/Certificate.aspx?cid=21&amp;nopid=1780818705")</f>
        <v>https://organic.ams.usda.gov/Integrity/Certificate.aspx?cid=21&amp;nopid=1780818705</v>
      </c>
    </row>
    <row r="1514">
      <c r="A1514" t="s">
        <v>3</v>
      </c>
      <c r="B1514" s="6" t="s">
        <v>27</v>
      </c>
      <c r="C1514" s="6" t="s">
        <v>93</v>
      </c>
      <c r="D1514" s="6" t="s">
        <v>158</v>
      </c>
      <c r="E1514" s="10" t="s">
        <v>1712</v>
      </c>
      <c r="F1514" s="6" t="s">
        <v>3949</v>
      </c>
      <c r="G1514" s="6" t="s">
        <v>104</v>
      </c>
      <c r="H1514" s="6" t="s">
        <v>6264</v>
      </c>
      <c r="I1514" s="6" t="s">
        <v>7669</v>
      </c>
      <c r="J1514" s="6" t="s">
        <v>9057</v>
      </c>
      <c r="K1514" s="6" t="s">
        <v>9714</v>
      </c>
      <c r="L1514" s="16" t="n">
        <v>45648</v>
      </c>
      <c r="M1514" s="16" t="n">
        <v>45716</v>
      </c>
      <c r="N1514" s="6" t="s">
        <v>9714</v>
      </c>
      <c r="O1514" s="16" t="n">
        <v>45648</v>
      </c>
      <c r="P1514" s="6" t="s">
        <v>10132</v>
      </c>
      <c r="Q1514" s="6" t="s">
        <v>104</v>
      </c>
      <c r="R1514" s="6" t="s">
        <v>10412</v>
      </c>
      <c r="S1514" s="6" t="s">
        <v>104</v>
      </c>
      <c r="T1514" s="21" t="s">
        <v>104</v>
      </c>
      <c r="U1514" s="6" t="s">
        <v>104</v>
      </c>
      <c r="V1514" s="6" t="s">
        <v>104</v>
      </c>
      <c r="W1514" s="6" t="s">
        <v>104</v>
      </c>
      <c r="X1514" s="6" t="s">
        <v>104</v>
      </c>
      <c r="Y1514" s="21" t="s">
        <v>104</v>
      </c>
      <c r="Z1514" s="6" t="s">
        <v>104</v>
      </c>
      <c r="AA1514" s="6" t="s">
        <v>104</v>
      </c>
      <c r="AB1514" s="6" t="s">
        <v>104</v>
      </c>
      <c r="AC1514" s="6" t="s">
        <v>104</v>
      </c>
      <c r="AD1514" s="21" t="s">
        <v>104</v>
      </c>
      <c r="AE1514" s="6" t="s">
        <v>104</v>
      </c>
      <c r="AF1514" s="6" t="s">
        <v>104</v>
      </c>
      <c r="AG1514" s="6" t="s">
        <v>104</v>
      </c>
      <c r="AH1514" s="6" t="s">
        <v>14538</v>
      </c>
      <c r="AI1514" s="6" t="s">
        <v>104</v>
      </c>
      <c r="AJ1514" s="6" t="s">
        <v>16313</v>
      </c>
      <c r="AK1514" s="6" t="s">
        <v>16270</v>
      </c>
      <c r="AL1514" s="6" t="s">
        <v>16932</v>
      </c>
      <c r="AM1514" s="6" t="s">
        <v>18005</v>
      </c>
      <c r="AN1514" s="6" t="s">
        <v>104</v>
      </c>
      <c r="AO1514" s="6" t="s">
        <v>104</v>
      </c>
      <c r="AP1514" s="6" t="s">
        <v>19359</v>
      </c>
      <c r="AQ1514" s="6" t="s">
        <v>104</v>
      </c>
      <c r="AR1514" s="6" t="s">
        <v>16108</v>
      </c>
      <c r="AS1514" s="6" t="s">
        <v>16685</v>
      </c>
      <c r="AT1514" s="6" t="s">
        <v>16932</v>
      </c>
      <c r="AU1514" s="6" t="s">
        <v>17928</v>
      </c>
      <c r="AV1514" s="6" t="s">
        <v>104</v>
      </c>
      <c r="AW1514" s="6" t="s">
        <v>104</v>
      </c>
      <c r="AX1514" s="6" t="s">
        <v>21303</v>
      </c>
      <c r="AY1514" s="6" t="s">
        <v>22880</v>
      </c>
      <c r="AZ1514" s="6" t="s">
        <v>24076</v>
      </c>
      <c r="BA1514" s="6" t="s">
        <v>104</v>
      </c>
      <c r="BB1514" s="24" t="n">
        <v>1340</v>
      </c>
      <c r="BC1514" s="26"/>
      <c r="BD1514" s="26"/>
      <c r="BE1514" s="26"/>
      <c r="BF1514" s="26"/>
      <c r="BG1514" s="26"/>
      <c r="BH1514" s="26"/>
      <c r="BI1514" s="26"/>
      <c r="BJ1514" s="26"/>
      <c r="BK1514" s="26"/>
      <c r="BL1514" s="26"/>
      <c r="BM1514" s="26"/>
      <c r="BN1514" s="26"/>
      <c r="BO1514" s="26" t="s">
        <v>24533</v>
      </c>
      <c r="BP1514" s="16" t="n">
        <v>45663</v>
      </c>
      <c r="BQ1514" s="28" t="str">
        <f>HYPERLINK("https://organic.ams.usda.gov/Integrity/Certificate.aspx?cid=93&amp;nopid=6361577685")</f>
        <v>https://organic.ams.usda.gov/Integrity/Certificate.aspx?cid=93&amp;nopid=6361577685</v>
      </c>
    </row>
    <row r="1515">
      <c r="A1515" t="s">
        <v>3</v>
      </c>
      <c r="B1515" s="6" t="s">
        <v>34</v>
      </c>
      <c r="C1515" s="6" t="s">
        <v>100</v>
      </c>
      <c r="D1515" s="6" t="s">
        <v>165</v>
      </c>
      <c r="E1515" s="10" t="s">
        <v>1713</v>
      </c>
      <c r="F1515" s="6" t="s">
        <v>3950</v>
      </c>
      <c r="G1515" s="6" t="s">
        <v>104</v>
      </c>
      <c r="H1515" s="6" t="s">
        <v>6265</v>
      </c>
      <c r="I1515" s="6" t="s">
        <v>7807</v>
      </c>
      <c r="J1515" s="6" t="s">
        <v>9245</v>
      </c>
      <c r="K1515" s="6" t="s">
        <v>9714</v>
      </c>
      <c r="L1515" s="16" t="n">
        <v>43970</v>
      </c>
      <c r="M1515" s="16" t="n">
        <v>45918</v>
      </c>
      <c r="N1515" s="6" t="s">
        <v>104</v>
      </c>
      <c r="O1515" s="21" t="s">
        <v>104</v>
      </c>
      <c r="P1515" s="6" t="s">
        <v>104</v>
      </c>
      <c r="Q1515" s="6" t="s">
        <v>104</v>
      </c>
      <c r="R1515" s="6" t="s">
        <v>104</v>
      </c>
      <c r="S1515" s="6" t="s">
        <v>104</v>
      </c>
      <c r="T1515" s="21" t="s">
        <v>104</v>
      </c>
      <c r="U1515" s="6" t="s">
        <v>104</v>
      </c>
      <c r="V1515" s="6" t="s">
        <v>104</v>
      </c>
      <c r="W1515" s="6" t="s">
        <v>104</v>
      </c>
      <c r="X1515" s="6" t="s">
        <v>104</v>
      </c>
      <c r="Y1515" s="21" t="s">
        <v>104</v>
      </c>
      <c r="Z1515" s="6" t="s">
        <v>104</v>
      </c>
      <c r="AA1515" s="6" t="s">
        <v>104</v>
      </c>
      <c r="AB1515" s="6" t="s">
        <v>104</v>
      </c>
      <c r="AC1515" s="6" t="s">
        <v>9714</v>
      </c>
      <c r="AD1515" s="16" t="n">
        <v>43970</v>
      </c>
      <c r="AE1515" s="6" t="s">
        <v>11849</v>
      </c>
      <c r="AF1515" s="6" t="s">
        <v>104</v>
      </c>
      <c r="AG1515" s="6" t="s">
        <v>12962</v>
      </c>
      <c r="AH1515" s="6" t="s">
        <v>14539</v>
      </c>
      <c r="AI1515" s="6" t="s">
        <v>104</v>
      </c>
      <c r="AJ1515" s="6" t="s">
        <v>15722</v>
      </c>
      <c r="AK1515" s="6" t="s">
        <v>16687</v>
      </c>
      <c r="AL1515" s="6" t="s">
        <v>16931</v>
      </c>
      <c r="AM1515" s="6" t="s">
        <v>18006</v>
      </c>
      <c r="AN1515" s="6" t="s">
        <v>18469</v>
      </c>
      <c r="AO1515" s="6" t="s">
        <v>18677</v>
      </c>
      <c r="AP1515" s="6" t="s">
        <v>19360</v>
      </c>
      <c r="AQ1515" s="6" t="s">
        <v>104</v>
      </c>
      <c r="AR1515" s="6" t="s">
        <v>15722</v>
      </c>
      <c r="AS1515" s="6" t="s">
        <v>16687</v>
      </c>
      <c r="AT1515" s="6" t="s">
        <v>16931</v>
      </c>
      <c r="AU1515" s="6" t="s">
        <v>18006</v>
      </c>
      <c r="AV1515" s="6" t="s">
        <v>104</v>
      </c>
      <c r="AW1515" s="6" t="s">
        <v>104</v>
      </c>
      <c r="AX1515" s="6" t="s">
        <v>21304</v>
      </c>
      <c r="AY1515" s="6" t="s">
        <v>23108</v>
      </c>
      <c r="AZ1515" s="6" t="s">
        <v>104</v>
      </c>
      <c r="BA1515" s="6" t="s">
        <v>104</v>
      </c>
      <c r="BB1515" s="6" t="s">
        <v>104</v>
      </c>
      <c r="BC1515" s="26"/>
      <c r="BD1515" s="26"/>
      <c r="BE1515" s="26" t="s">
        <v>24533</v>
      </c>
      <c r="BF1515" s="26"/>
      <c r="BG1515" s="26"/>
      <c r="BH1515" s="26"/>
      <c r="BI1515" s="26"/>
      <c r="BJ1515" s="26"/>
      <c r="BK1515" s="26"/>
      <c r="BL1515" s="26"/>
      <c r="BM1515" s="26"/>
      <c r="BN1515" s="26"/>
      <c r="BO1515" s="26"/>
      <c r="BP1515" s="16" t="n">
        <v>45737</v>
      </c>
      <c r="BQ1515" s="28" t="str">
        <f>HYPERLINK("https://organic.ams.usda.gov/Integrity/Certificate.aspx?cid=71&amp;nopid=5520030749")</f>
        <v>https://organic.ams.usda.gov/Integrity/Certificate.aspx?cid=71&amp;nopid=5520030749</v>
      </c>
    </row>
    <row r="1516">
      <c r="A1516" t="s">
        <v>3</v>
      </c>
      <c r="B1516" s="6" t="s">
        <v>9</v>
      </c>
      <c r="C1516" s="6" t="s">
        <v>75</v>
      </c>
      <c r="D1516" s="6" t="s">
        <v>140</v>
      </c>
      <c r="E1516" s="10" t="s">
        <v>1714</v>
      </c>
      <c r="F1516" s="6" t="s">
        <v>3951</v>
      </c>
      <c r="G1516" s="6" t="s">
        <v>104</v>
      </c>
      <c r="H1516" s="6" t="s">
        <v>104</v>
      </c>
      <c r="I1516" s="6" t="s">
        <v>7808</v>
      </c>
      <c r="J1516" s="6" t="s">
        <v>8696</v>
      </c>
      <c r="K1516" s="6" t="s">
        <v>9714</v>
      </c>
      <c r="L1516" s="16" t="n">
        <v>45492</v>
      </c>
      <c r="M1516" s="16" t="n">
        <v>45857</v>
      </c>
      <c r="N1516" s="6" t="s">
        <v>104</v>
      </c>
      <c r="O1516" s="21" t="s">
        <v>104</v>
      </c>
      <c r="P1516" s="6" t="s">
        <v>104</v>
      </c>
      <c r="Q1516" s="6" t="s">
        <v>104</v>
      </c>
      <c r="R1516" s="6" t="s">
        <v>104</v>
      </c>
      <c r="S1516" s="6" t="s">
        <v>104</v>
      </c>
      <c r="T1516" s="21" t="s">
        <v>104</v>
      </c>
      <c r="U1516" s="6" t="s">
        <v>104</v>
      </c>
      <c r="V1516" s="6" t="s">
        <v>104</v>
      </c>
      <c r="W1516" s="6" t="s">
        <v>104</v>
      </c>
      <c r="X1516" s="6" t="s">
        <v>104</v>
      </c>
      <c r="Y1516" s="21" t="s">
        <v>104</v>
      </c>
      <c r="Z1516" s="6" t="s">
        <v>104</v>
      </c>
      <c r="AA1516" s="6" t="s">
        <v>104</v>
      </c>
      <c r="AB1516" s="6" t="s">
        <v>104</v>
      </c>
      <c r="AC1516" s="6" t="s">
        <v>9714</v>
      </c>
      <c r="AD1516" s="16" t="n">
        <v>45492</v>
      </c>
      <c r="AE1516" s="6" t="s">
        <v>11850</v>
      </c>
      <c r="AF1516" s="6" t="s">
        <v>104</v>
      </c>
      <c r="AG1516" s="6" t="s">
        <v>104</v>
      </c>
      <c r="AH1516" s="6" t="s">
        <v>14540</v>
      </c>
      <c r="AI1516" s="6" t="s">
        <v>15315</v>
      </c>
      <c r="AJ1516" s="6" t="s">
        <v>15722</v>
      </c>
      <c r="AK1516" s="6" t="s">
        <v>16687</v>
      </c>
      <c r="AL1516" s="6" t="s">
        <v>16931</v>
      </c>
      <c r="AM1516" s="6" t="s">
        <v>18006</v>
      </c>
      <c r="AN1516" s="6" t="s">
        <v>104</v>
      </c>
      <c r="AO1516" s="6" t="s">
        <v>104</v>
      </c>
      <c r="AP1516" s="6" t="s">
        <v>19361</v>
      </c>
      <c r="AQ1516" s="6" t="s">
        <v>104</v>
      </c>
      <c r="AR1516" s="6" t="s">
        <v>15722</v>
      </c>
      <c r="AS1516" s="6" t="s">
        <v>16687</v>
      </c>
      <c r="AT1516" s="6" t="s">
        <v>16931</v>
      </c>
      <c r="AU1516" s="6" t="s">
        <v>19998</v>
      </c>
      <c r="AV1516" s="6" t="s">
        <v>104</v>
      </c>
      <c r="AW1516" s="6" t="s">
        <v>104</v>
      </c>
      <c r="AX1516" s="6" t="s">
        <v>21305</v>
      </c>
      <c r="AY1516" s="6" t="s">
        <v>23109</v>
      </c>
      <c r="AZ1516" s="6" t="s">
        <v>104</v>
      </c>
      <c r="BA1516" s="6" t="s">
        <v>104</v>
      </c>
      <c r="BB1516" s="6" t="s">
        <v>104</v>
      </c>
      <c r="BC1516" s="26"/>
      <c r="BD1516" s="26"/>
      <c r="BE1516" s="26"/>
      <c r="BF1516" s="26"/>
      <c r="BG1516" s="26"/>
      <c r="BH1516" s="26"/>
      <c r="BI1516" s="26"/>
      <c r="BJ1516" s="26"/>
      <c r="BK1516" s="26"/>
      <c r="BL1516" s="26"/>
      <c r="BM1516" s="26"/>
      <c r="BN1516" s="26"/>
      <c r="BO1516" s="26"/>
      <c r="BP1516" s="16" t="n">
        <v>45719</v>
      </c>
      <c r="BQ1516" s="28" t="str">
        <f>HYPERLINK("https://organic.ams.usda.gov/Integrity/Certificate.aspx?cid=63&amp;nopid=6220003019")</f>
        <v>https://organic.ams.usda.gov/Integrity/Certificate.aspx?cid=63&amp;nopid=6220003019</v>
      </c>
    </row>
    <row r="1517">
      <c r="A1517" t="s">
        <v>3</v>
      </c>
      <c r="B1517" s="6" t="s">
        <v>34</v>
      </c>
      <c r="C1517" s="6" t="s">
        <v>100</v>
      </c>
      <c r="D1517" s="6" t="s">
        <v>165</v>
      </c>
      <c r="E1517" s="10" t="s">
        <v>1715</v>
      </c>
      <c r="F1517" s="6" t="s">
        <v>3952</v>
      </c>
      <c r="G1517" s="6" t="s">
        <v>104</v>
      </c>
      <c r="H1517" s="6" t="s">
        <v>6266</v>
      </c>
      <c r="I1517" s="6" t="s">
        <v>7699</v>
      </c>
      <c r="J1517" s="6" t="s">
        <v>9246</v>
      </c>
      <c r="K1517" s="6" t="s">
        <v>9714</v>
      </c>
      <c r="L1517" s="16" t="n">
        <v>38842</v>
      </c>
      <c r="M1517" s="16" t="n">
        <v>46009</v>
      </c>
      <c r="N1517" s="6" t="s">
        <v>104</v>
      </c>
      <c r="O1517" s="21" t="s">
        <v>104</v>
      </c>
      <c r="P1517" s="6" t="s">
        <v>104</v>
      </c>
      <c r="Q1517" s="6" t="s">
        <v>104</v>
      </c>
      <c r="R1517" s="6" t="s">
        <v>104</v>
      </c>
      <c r="S1517" s="6" t="s">
        <v>104</v>
      </c>
      <c r="T1517" s="21" t="s">
        <v>104</v>
      </c>
      <c r="U1517" s="6" t="s">
        <v>104</v>
      </c>
      <c r="V1517" s="6" t="s">
        <v>104</v>
      </c>
      <c r="W1517" s="6" t="s">
        <v>104</v>
      </c>
      <c r="X1517" s="6" t="s">
        <v>104</v>
      </c>
      <c r="Y1517" s="21" t="s">
        <v>104</v>
      </c>
      <c r="Z1517" s="6" t="s">
        <v>104</v>
      </c>
      <c r="AA1517" s="6" t="s">
        <v>104</v>
      </c>
      <c r="AB1517" s="6" t="s">
        <v>104</v>
      </c>
      <c r="AC1517" s="6" t="s">
        <v>9714</v>
      </c>
      <c r="AD1517" s="16" t="n">
        <v>38842</v>
      </c>
      <c r="AE1517" s="6" t="s">
        <v>11851</v>
      </c>
      <c r="AF1517" s="6" t="s">
        <v>104</v>
      </c>
      <c r="AG1517" s="6" t="s">
        <v>12963</v>
      </c>
      <c r="AH1517" s="6" t="s">
        <v>14541</v>
      </c>
      <c r="AI1517" s="6" t="s">
        <v>104</v>
      </c>
      <c r="AJ1517" s="6" t="s">
        <v>16314</v>
      </c>
      <c r="AK1517" s="6" t="s">
        <v>16693</v>
      </c>
      <c r="AL1517" s="6" t="s">
        <v>16931</v>
      </c>
      <c r="AM1517" s="6" t="s">
        <v>18007</v>
      </c>
      <c r="AN1517" s="6" t="s">
        <v>18457</v>
      </c>
      <c r="AO1517" s="6" t="s">
        <v>18793</v>
      </c>
      <c r="AP1517" s="6" t="s">
        <v>14541</v>
      </c>
      <c r="AQ1517" s="6" t="s">
        <v>104</v>
      </c>
      <c r="AR1517" s="6" t="s">
        <v>16314</v>
      </c>
      <c r="AS1517" s="6" t="s">
        <v>16693</v>
      </c>
      <c r="AT1517" s="6" t="s">
        <v>16931</v>
      </c>
      <c r="AU1517" s="6" t="s">
        <v>18007</v>
      </c>
      <c r="AV1517" s="6" t="s">
        <v>104</v>
      </c>
      <c r="AW1517" s="6" t="s">
        <v>104</v>
      </c>
      <c r="AX1517" s="6" t="s">
        <v>21306</v>
      </c>
      <c r="AY1517" s="6" t="s">
        <v>23110</v>
      </c>
      <c r="AZ1517" s="6" t="s">
        <v>104</v>
      </c>
      <c r="BA1517" s="6" t="s">
        <v>104</v>
      </c>
      <c r="BB1517" s="6" t="s">
        <v>104</v>
      </c>
      <c r="BC1517" s="26"/>
      <c r="BD1517" s="26"/>
      <c r="BE1517" s="26"/>
      <c r="BF1517" s="26"/>
      <c r="BG1517" s="26"/>
      <c r="BH1517" s="26"/>
      <c r="BI1517" s="26"/>
      <c r="BJ1517" s="26"/>
      <c r="BK1517" s="26"/>
      <c r="BL1517" s="26"/>
      <c r="BM1517" s="26"/>
      <c r="BN1517" s="26"/>
      <c r="BO1517" s="26"/>
      <c r="BP1517" s="16" t="n">
        <v>45737</v>
      </c>
      <c r="BQ1517" s="28" t="str">
        <f>HYPERLINK("https://organic.ams.usda.gov/Integrity/Certificate.aspx?cid=71&amp;nopid=5520031535")</f>
        <v>https://organic.ams.usda.gov/Integrity/Certificate.aspx?cid=71&amp;nopid=5520031535</v>
      </c>
    </row>
    <row r="1518">
      <c r="A1518" t="s">
        <v>3</v>
      </c>
      <c r="B1518" s="6" t="s">
        <v>29</v>
      </c>
      <c r="C1518" s="6" t="s">
        <v>95</v>
      </c>
      <c r="D1518" s="6" t="s">
        <v>160</v>
      </c>
      <c r="E1518" s="10" t="s">
        <v>1716</v>
      </c>
      <c r="F1518" s="6" t="s">
        <v>3953</v>
      </c>
      <c r="G1518" s="6" t="s">
        <v>104</v>
      </c>
      <c r="H1518" s="6" t="s">
        <v>6267</v>
      </c>
      <c r="I1518" s="6" t="s">
        <v>104</v>
      </c>
      <c r="J1518" s="6" t="s">
        <v>9247</v>
      </c>
      <c r="K1518" s="6" t="s">
        <v>9714</v>
      </c>
      <c r="L1518" s="16" t="n">
        <v>44579</v>
      </c>
      <c r="M1518" s="16" t="n">
        <v>46054</v>
      </c>
      <c r="N1518" s="6" t="s">
        <v>104</v>
      </c>
      <c r="O1518" s="21" t="s">
        <v>104</v>
      </c>
      <c r="P1518" s="6" t="s">
        <v>104</v>
      </c>
      <c r="Q1518" s="6" t="s">
        <v>104</v>
      </c>
      <c r="R1518" s="6" t="s">
        <v>104</v>
      </c>
      <c r="S1518" s="6" t="s">
        <v>104</v>
      </c>
      <c r="T1518" s="21" t="s">
        <v>104</v>
      </c>
      <c r="U1518" s="6" t="s">
        <v>104</v>
      </c>
      <c r="V1518" s="6" t="s">
        <v>104</v>
      </c>
      <c r="W1518" s="6" t="s">
        <v>104</v>
      </c>
      <c r="X1518" s="6" t="s">
        <v>104</v>
      </c>
      <c r="Y1518" s="21" t="s">
        <v>104</v>
      </c>
      <c r="Z1518" s="6" t="s">
        <v>104</v>
      </c>
      <c r="AA1518" s="6" t="s">
        <v>104</v>
      </c>
      <c r="AB1518" s="6" t="s">
        <v>104</v>
      </c>
      <c r="AC1518" s="6" t="s">
        <v>9714</v>
      </c>
      <c r="AD1518" s="16" t="n">
        <v>44579</v>
      </c>
      <c r="AE1518" s="6" t="s">
        <v>11852</v>
      </c>
      <c r="AF1518" s="6" t="s">
        <v>104</v>
      </c>
      <c r="AG1518" s="6" t="s">
        <v>104</v>
      </c>
      <c r="AH1518" s="6" t="s">
        <v>14542</v>
      </c>
      <c r="AI1518" s="6" t="s">
        <v>104</v>
      </c>
      <c r="AJ1518" s="6" t="s">
        <v>16315</v>
      </c>
      <c r="AK1518" s="6" t="s">
        <v>16683</v>
      </c>
      <c r="AL1518" s="6" t="s">
        <v>16931</v>
      </c>
      <c r="AM1518" s="6" t="s">
        <v>18008</v>
      </c>
      <c r="AN1518" s="6" t="s">
        <v>18494</v>
      </c>
      <c r="AO1518" s="6" t="s">
        <v>18851</v>
      </c>
      <c r="AP1518" s="6" t="s">
        <v>104</v>
      </c>
      <c r="AQ1518" s="6" t="s">
        <v>104</v>
      </c>
      <c r="AR1518" s="6" t="s">
        <v>104</v>
      </c>
      <c r="AS1518" s="6" t="s">
        <v>104</v>
      </c>
      <c r="AT1518" s="6" t="s">
        <v>104</v>
      </c>
      <c r="AU1518" s="6" t="s">
        <v>104</v>
      </c>
      <c r="AV1518" s="6" t="s">
        <v>104</v>
      </c>
      <c r="AW1518" s="6" t="s">
        <v>104</v>
      </c>
      <c r="AX1518" s="6" t="s">
        <v>21307</v>
      </c>
      <c r="AY1518" s="6" t="s">
        <v>23111</v>
      </c>
      <c r="AZ1518" s="6" t="s">
        <v>104</v>
      </c>
      <c r="BA1518" s="6" t="s">
        <v>104</v>
      </c>
      <c r="BB1518" s="24" t="n">
        <v>0</v>
      </c>
      <c r="BC1518" s="26"/>
      <c r="BD1518" s="26"/>
      <c r="BE1518" s="26"/>
      <c r="BF1518" s="26"/>
      <c r="BG1518" s="26"/>
      <c r="BH1518" s="26"/>
      <c r="BI1518" s="26"/>
      <c r="BJ1518" s="26"/>
      <c r="BK1518" s="26"/>
      <c r="BL1518" s="26"/>
      <c r="BM1518" s="26"/>
      <c r="BN1518" s="26"/>
      <c r="BO1518" s="26"/>
      <c r="BP1518" s="16" t="n">
        <v>45690</v>
      </c>
      <c r="BQ1518" s="28" t="str">
        <f>HYPERLINK("https://organic.ams.usda.gov/Integrity/Certificate.aspx?cid=24&amp;nopid=7880247616")</f>
        <v>https://organic.ams.usda.gov/Integrity/Certificate.aspx?cid=24&amp;nopid=7880247616</v>
      </c>
    </row>
    <row r="1519">
      <c r="A1519" t="s">
        <v>3</v>
      </c>
      <c r="B1519" s="6" t="s">
        <v>11</v>
      </c>
      <c r="C1519" s="6" t="s">
        <v>77</v>
      </c>
      <c r="D1519" s="6" t="s">
        <v>142</v>
      </c>
      <c r="E1519" s="10" t="s">
        <v>1717</v>
      </c>
      <c r="F1519" s="6" t="s">
        <v>3954</v>
      </c>
      <c r="G1519" s="6" t="s">
        <v>104</v>
      </c>
      <c r="H1519" s="6" t="s">
        <v>104</v>
      </c>
      <c r="I1519" s="6" t="s">
        <v>7809</v>
      </c>
      <c r="J1519" s="6" t="s">
        <v>9248</v>
      </c>
      <c r="K1519" s="6" t="s">
        <v>9714</v>
      </c>
      <c r="L1519" s="16" t="n">
        <v>37933</v>
      </c>
      <c r="M1519" s="16" t="n">
        <v>45748</v>
      </c>
      <c r="N1519" s="6" t="s">
        <v>9714</v>
      </c>
      <c r="O1519" s="16" t="n">
        <v>37933</v>
      </c>
      <c r="P1519" s="6" t="s">
        <v>10133</v>
      </c>
      <c r="Q1519" s="6" t="s">
        <v>104</v>
      </c>
      <c r="R1519" s="6" t="s">
        <v>104</v>
      </c>
      <c r="S1519" s="6" t="s">
        <v>104</v>
      </c>
      <c r="T1519" s="21" t="s">
        <v>104</v>
      </c>
      <c r="U1519" s="6" t="s">
        <v>104</v>
      </c>
      <c r="V1519" s="6" t="s">
        <v>104</v>
      </c>
      <c r="W1519" s="6" t="s">
        <v>104</v>
      </c>
      <c r="X1519" s="6" t="s">
        <v>104</v>
      </c>
      <c r="Y1519" s="21" t="s">
        <v>104</v>
      </c>
      <c r="Z1519" s="6" t="s">
        <v>104</v>
      </c>
      <c r="AA1519" s="6" t="s">
        <v>104</v>
      </c>
      <c r="AB1519" s="6" t="s">
        <v>104</v>
      </c>
      <c r="AC1519" s="6" t="s">
        <v>9714</v>
      </c>
      <c r="AD1519" s="16" t="n">
        <v>37933</v>
      </c>
      <c r="AE1519" s="6" t="s">
        <v>11853</v>
      </c>
      <c r="AF1519" s="6" t="s">
        <v>104</v>
      </c>
      <c r="AG1519" s="6" t="s">
        <v>104</v>
      </c>
      <c r="AH1519" s="6" t="s">
        <v>14543</v>
      </c>
      <c r="AI1519" s="6" t="s">
        <v>104</v>
      </c>
      <c r="AJ1519" s="6" t="s">
        <v>104</v>
      </c>
      <c r="AK1519" s="6" t="s">
        <v>104</v>
      </c>
      <c r="AL1519" s="6" t="s">
        <v>16940</v>
      </c>
      <c r="AM1519" s="6" t="s">
        <v>104</v>
      </c>
      <c r="AN1519" s="6" t="s">
        <v>104</v>
      </c>
      <c r="AO1519" s="6" t="s">
        <v>104</v>
      </c>
      <c r="AP1519" s="6" t="s">
        <v>104</v>
      </c>
      <c r="AQ1519" s="6" t="s">
        <v>104</v>
      </c>
      <c r="AR1519" s="6" t="s">
        <v>104</v>
      </c>
      <c r="AS1519" s="6" t="s">
        <v>104</v>
      </c>
      <c r="AT1519" s="6" t="s">
        <v>104</v>
      </c>
      <c r="AU1519" s="6" t="s">
        <v>104</v>
      </c>
      <c r="AV1519" s="6" t="s">
        <v>104</v>
      </c>
      <c r="AW1519" s="6" t="s">
        <v>104</v>
      </c>
      <c r="AX1519" s="6" t="s">
        <v>21308</v>
      </c>
      <c r="AY1519" s="6" t="s">
        <v>23112</v>
      </c>
      <c r="AZ1519" s="6" t="s">
        <v>104</v>
      </c>
      <c r="BA1519" s="6" t="s">
        <v>104</v>
      </c>
      <c r="BB1519" s="24" t="n">
        <v>2625</v>
      </c>
      <c r="BC1519" s="26"/>
      <c r="BD1519" s="26"/>
      <c r="BE1519" s="26"/>
      <c r="BF1519" s="26"/>
      <c r="BG1519" s="26"/>
      <c r="BH1519" s="26"/>
      <c r="BI1519" s="26"/>
      <c r="BJ1519" s="26"/>
      <c r="BK1519" s="26"/>
      <c r="BL1519" s="26"/>
      <c r="BM1519" s="26"/>
      <c r="BN1519" s="26"/>
      <c r="BO1519" s="26"/>
      <c r="BP1519" s="16" t="n">
        <v>45472</v>
      </c>
      <c r="BQ1519" s="28" t="str">
        <f>HYPERLINK("https://organic.ams.usda.gov/Integrity/Certificate.aspx?cid=21&amp;nopid=1780021860")</f>
        <v>https://organic.ams.usda.gov/Integrity/Certificate.aspx?cid=21&amp;nopid=1780021860</v>
      </c>
    </row>
    <row r="1520">
      <c r="A1520" t="s">
        <v>3</v>
      </c>
      <c r="B1520" s="6" t="s">
        <v>20</v>
      </c>
      <c r="C1520" s="6" t="s">
        <v>86</v>
      </c>
      <c r="D1520" s="6" t="s">
        <v>151</v>
      </c>
      <c r="E1520" s="10" t="s">
        <v>1718</v>
      </c>
      <c r="F1520" s="6" t="s">
        <v>3955</v>
      </c>
      <c r="G1520" s="6" t="s">
        <v>104</v>
      </c>
      <c r="H1520" s="6" t="s">
        <v>6268</v>
      </c>
      <c r="I1520" s="6" t="s">
        <v>7810</v>
      </c>
      <c r="J1520" s="6" t="s">
        <v>9249</v>
      </c>
      <c r="K1520" s="6" t="s">
        <v>9714</v>
      </c>
      <c r="L1520" s="16" t="n">
        <v>45110</v>
      </c>
      <c r="M1520" s="16" t="n">
        <v>45868</v>
      </c>
      <c r="N1520" s="6" t="s">
        <v>104</v>
      </c>
      <c r="O1520" s="21" t="s">
        <v>104</v>
      </c>
      <c r="P1520" s="6" t="s">
        <v>104</v>
      </c>
      <c r="Q1520" s="6" t="s">
        <v>104</v>
      </c>
      <c r="R1520" s="6" t="s">
        <v>104</v>
      </c>
      <c r="S1520" s="6" t="s">
        <v>104</v>
      </c>
      <c r="T1520" s="21" t="s">
        <v>104</v>
      </c>
      <c r="U1520" s="6" t="s">
        <v>104</v>
      </c>
      <c r="V1520" s="6" t="s">
        <v>104</v>
      </c>
      <c r="W1520" s="6" t="s">
        <v>104</v>
      </c>
      <c r="X1520" s="6" t="s">
        <v>104</v>
      </c>
      <c r="Y1520" s="21" t="s">
        <v>104</v>
      </c>
      <c r="Z1520" s="6" t="s">
        <v>104</v>
      </c>
      <c r="AA1520" s="6" t="s">
        <v>104</v>
      </c>
      <c r="AB1520" s="6" t="s">
        <v>104</v>
      </c>
      <c r="AC1520" s="6" t="s">
        <v>9714</v>
      </c>
      <c r="AD1520" s="16" t="n">
        <v>45110</v>
      </c>
      <c r="AE1520" s="6" t="s">
        <v>11854</v>
      </c>
      <c r="AF1520" s="6" t="s">
        <v>104</v>
      </c>
      <c r="AG1520" s="6" t="s">
        <v>12964</v>
      </c>
      <c r="AH1520" s="6" t="s">
        <v>14544</v>
      </c>
      <c r="AI1520" s="6" t="s">
        <v>104</v>
      </c>
      <c r="AJ1520" s="6" t="s">
        <v>16316</v>
      </c>
      <c r="AK1520" s="6" t="s">
        <v>16876</v>
      </c>
      <c r="AL1520" s="6" t="s">
        <v>15513</v>
      </c>
      <c r="AM1520" s="6" t="s">
        <v>18009</v>
      </c>
      <c r="AN1520" s="6" t="s">
        <v>104</v>
      </c>
      <c r="AO1520" s="6" t="s">
        <v>104</v>
      </c>
      <c r="AP1520" s="6" t="s">
        <v>104</v>
      </c>
      <c r="AQ1520" s="6" t="s">
        <v>104</v>
      </c>
      <c r="AR1520" s="6" t="s">
        <v>104</v>
      </c>
      <c r="AS1520" s="6" t="s">
        <v>104</v>
      </c>
      <c r="AT1520" s="6" t="s">
        <v>104</v>
      </c>
      <c r="AU1520" s="6" t="s">
        <v>104</v>
      </c>
      <c r="AV1520" s="6" t="s">
        <v>104</v>
      </c>
      <c r="AW1520" s="6" t="s">
        <v>104</v>
      </c>
      <c r="AX1520" s="6" t="s">
        <v>21309</v>
      </c>
      <c r="AY1520" s="6" t="s">
        <v>23113</v>
      </c>
      <c r="AZ1520" s="6" t="s">
        <v>104</v>
      </c>
      <c r="BA1520" s="6" t="s">
        <v>104</v>
      </c>
      <c r="BB1520" s="6" t="s">
        <v>104</v>
      </c>
      <c r="BC1520" s="26"/>
      <c r="BD1520" s="26"/>
      <c r="BE1520" s="26"/>
      <c r="BF1520" s="26"/>
      <c r="BG1520" s="26"/>
      <c r="BH1520" s="26"/>
      <c r="BI1520" s="26"/>
      <c r="BJ1520" s="26"/>
      <c r="BK1520" s="26"/>
      <c r="BL1520" s="26"/>
      <c r="BM1520" s="26"/>
      <c r="BN1520" s="26"/>
      <c r="BO1520" s="26"/>
      <c r="BP1520" s="16" t="n">
        <v>45556</v>
      </c>
      <c r="BQ1520" s="28" t="str">
        <f>HYPERLINK("https://organic.ams.usda.gov/Integrity/Certificate.aspx?cid=17&amp;nopid=4087184754")</f>
        <v>https://organic.ams.usda.gov/Integrity/Certificate.aspx?cid=17&amp;nopid=4087184754</v>
      </c>
    </row>
    <row r="1521">
      <c r="A1521" t="s">
        <v>3</v>
      </c>
      <c r="B1521" s="6" t="s">
        <v>21</v>
      </c>
      <c r="C1521" s="6" t="s">
        <v>87</v>
      </c>
      <c r="D1521" s="6" t="s">
        <v>152</v>
      </c>
      <c r="E1521" s="10" t="s">
        <v>1719</v>
      </c>
      <c r="F1521" s="6" t="s">
        <v>3956</v>
      </c>
      <c r="G1521" s="6" t="s">
        <v>104</v>
      </c>
      <c r="H1521" s="6" t="s">
        <v>6269</v>
      </c>
      <c r="I1521" s="6" t="s">
        <v>7811</v>
      </c>
      <c r="J1521" s="6" t="s">
        <v>9250</v>
      </c>
      <c r="K1521" s="6" t="s">
        <v>9714</v>
      </c>
      <c r="L1521" s="16" t="n">
        <v>44655</v>
      </c>
      <c r="M1521" s="16" t="n">
        <v>46023</v>
      </c>
      <c r="N1521" s="6" t="s">
        <v>104</v>
      </c>
      <c r="O1521" s="21" t="s">
        <v>104</v>
      </c>
      <c r="P1521" s="6" t="s">
        <v>104</v>
      </c>
      <c r="Q1521" s="6" t="s">
        <v>104</v>
      </c>
      <c r="R1521" s="6" t="s">
        <v>104</v>
      </c>
      <c r="S1521" s="6" t="s">
        <v>104</v>
      </c>
      <c r="T1521" s="21" t="s">
        <v>104</v>
      </c>
      <c r="U1521" s="6" t="s">
        <v>104</v>
      </c>
      <c r="V1521" s="6" t="s">
        <v>104</v>
      </c>
      <c r="W1521" s="6" t="s">
        <v>104</v>
      </c>
      <c r="X1521" s="6" t="s">
        <v>104</v>
      </c>
      <c r="Y1521" s="21" t="s">
        <v>104</v>
      </c>
      <c r="Z1521" s="6" t="s">
        <v>104</v>
      </c>
      <c r="AA1521" s="6" t="s">
        <v>104</v>
      </c>
      <c r="AB1521" s="6" t="s">
        <v>104</v>
      </c>
      <c r="AC1521" s="6" t="s">
        <v>9714</v>
      </c>
      <c r="AD1521" s="16" t="n">
        <v>44655</v>
      </c>
      <c r="AE1521" s="6" t="s">
        <v>11855</v>
      </c>
      <c r="AF1521" s="6" t="s">
        <v>104</v>
      </c>
      <c r="AG1521" s="6" t="s">
        <v>104</v>
      </c>
      <c r="AH1521" s="6" t="s">
        <v>14545</v>
      </c>
      <c r="AI1521" s="6" t="s">
        <v>104</v>
      </c>
      <c r="AJ1521" s="6" t="s">
        <v>15948</v>
      </c>
      <c r="AK1521" s="6" t="s">
        <v>16684</v>
      </c>
      <c r="AL1521" s="6" t="s">
        <v>16931</v>
      </c>
      <c r="AM1521" s="6" t="s">
        <v>18010</v>
      </c>
      <c r="AN1521" s="6" t="s">
        <v>18532</v>
      </c>
      <c r="AO1521" s="6" t="s">
        <v>18759</v>
      </c>
      <c r="AP1521" s="6" t="s">
        <v>14545</v>
      </c>
      <c r="AQ1521" s="6" t="s">
        <v>104</v>
      </c>
      <c r="AR1521" s="6" t="s">
        <v>15948</v>
      </c>
      <c r="AS1521" s="6" t="s">
        <v>16684</v>
      </c>
      <c r="AT1521" s="6" t="s">
        <v>16931</v>
      </c>
      <c r="AU1521" s="6" t="s">
        <v>18010</v>
      </c>
      <c r="AV1521" s="6" t="s">
        <v>104</v>
      </c>
      <c r="AW1521" s="6" t="s">
        <v>104</v>
      </c>
      <c r="AX1521" s="6" t="s">
        <v>21310</v>
      </c>
      <c r="AY1521" s="6" t="s">
        <v>23114</v>
      </c>
      <c r="AZ1521" s="6" t="s">
        <v>24077</v>
      </c>
      <c r="BA1521" s="6" t="s">
        <v>104</v>
      </c>
      <c r="BB1521" s="6" t="s">
        <v>104</v>
      </c>
      <c r="BC1521" s="26"/>
      <c r="BD1521" s="26"/>
      <c r="BE1521" s="26"/>
      <c r="BF1521" s="26"/>
      <c r="BG1521" s="26"/>
      <c r="BH1521" s="26"/>
      <c r="BI1521" s="26"/>
      <c r="BJ1521" s="26"/>
      <c r="BK1521" s="26"/>
      <c r="BL1521" s="26"/>
      <c r="BM1521" s="26"/>
      <c r="BN1521" s="26"/>
      <c r="BO1521" s="26"/>
      <c r="BP1521" s="16" t="n">
        <v>45667</v>
      </c>
      <c r="BQ1521" s="28" t="str">
        <f>HYPERLINK("https://organic.ams.usda.gov/Integrity/Certificate.aspx?cid=15&amp;nopid=5561007262")</f>
        <v>https://organic.ams.usda.gov/Integrity/Certificate.aspx?cid=15&amp;nopid=5561007262</v>
      </c>
    </row>
    <row r="1522">
      <c r="A1522" t="s">
        <v>3</v>
      </c>
      <c r="B1522" s="6" t="s">
        <v>34</v>
      </c>
      <c r="C1522" s="6" t="s">
        <v>100</v>
      </c>
      <c r="D1522" s="6" t="s">
        <v>165</v>
      </c>
      <c r="E1522" s="10" t="s">
        <v>1720</v>
      </c>
      <c r="F1522" s="6" t="s">
        <v>3957</v>
      </c>
      <c r="G1522" s="6" t="s">
        <v>104</v>
      </c>
      <c r="H1522" s="6" t="s">
        <v>6270</v>
      </c>
      <c r="I1522" s="6" t="s">
        <v>7255</v>
      </c>
      <c r="J1522" s="6" t="s">
        <v>8506</v>
      </c>
      <c r="K1522" s="6" t="s">
        <v>9714</v>
      </c>
      <c r="L1522" s="16" t="n">
        <v>43255</v>
      </c>
      <c r="M1522" s="16" t="n">
        <v>45687</v>
      </c>
      <c r="N1522" s="6" t="s">
        <v>104</v>
      </c>
      <c r="O1522" s="21" t="s">
        <v>104</v>
      </c>
      <c r="P1522" s="6" t="s">
        <v>104</v>
      </c>
      <c r="Q1522" s="6" t="s">
        <v>104</v>
      </c>
      <c r="R1522" s="6" t="s">
        <v>104</v>
      </c>
      <c r="S1522" s="6" t="s">
        <v>104</v>
      </c>
      <c r="T1522" s="21" t="s">
        <v>104</v>
      </c>
      <c r="U1522" s="6" t="s">
        <v>104</v>
      </c>
      <c r="V1522" s="6" t="s">
        <v>104</v>
      </c>
      <c r="W1522" s="6" t="s">
        <v>104</v>
      </c>
      <c r="X1522" s="6" t="s">
        <v>104</v>
      </c>
      <c r="Y1522" s="21" t="s">
        <v>104</v>
      </c>
      <c r="Z1522" s="6" t="s">
        <v>104</v>
      </c>
      <c r="AA1522" s="6" t="s">
        <v>104</v>
      </c>
      <c r="AB1522" s="6" t="s">
        <v>104</v>
      </c>
      <c r="AC1522" s="6" t="s">
        <v>9714</v>
      </c>
      <c r="AD1522" s="16" t="n">
        <v>43255</v>
      </c>
      <c r="AE1522" s="6" t="s">
        <v>11856</v>
      </c>
      <c r="AF1522" s="6" t="s">
        <v>104</v>
      </c>
      <c r="AG1522" s="6" t="s">
        <v>12965</v>
      </c>
      <c r="AH1522" s="6" t="s">
        <v>14546</v>
      </c>
      <c r="AI1522" s="6" t="s">
        <v>104</v>
      </c>
      <c r="AJ1522" s="6" t="s">
        <v>15469</v>
      </c>
      <c r="AK1522" s="6" t="s">
        <v>16715</v>
      </c>
      <c r="AL1522" s="6" t="s">
        <v>16931</v>
      </c>
      <c r="AM1522" s="6" t="s">
        <v>18011</v>
      </c>
      <c r="AN1522" s="6" t="s">
        <v>18492</v>
      </c>
      <c r="AO1522" s="6" t="s">
        <v>18852</v>
      </c>
      <c r="AP1522" s="6" t="s">
        <v>13820</v>
      </c>
      <c r="AQ1522" s="6" t="s">
        <v>104</v>
      </c>
      <c r="AR1522" s="6" t="s">
        <v>15846</v>
      </c>
      <c r="AS1522" s="6" t="s">
        <v>16687</v>
      </c>
      <c r="AT1522" s="6" t="s">
        <v>16931</v>
      </c>
      <c r="AU1522" s="6" t="s">
        <v>17475</v>
      </c>
      <c r="AV1522" s="6" t="s">
        <v>104</v>
      </c>
      <c r="AW1522" s="6" t="s">
        <v>104</v>
      </c>
      <c r="AX1522" s="6" t="s">
        <v>20686</v>
      </c>
      <c r="AY1522" s="6" t="s">
        <v>22260</v>
      </c>
      <c r="AZ1522" s="6" t="s">
        <v>23875</v>
      </c>
      <c r="BA1522" s="6" t="s">
        <v>104</v>
      </c>
      <c r="BB1522" s="6" t="s">
        <v>104</v>
      </c>
      <c r="BC1522" s="26"/>
      <c r="BD1522" s="26"/>
      <c r="BE1522" s="26" t="s">
        <v>24533</v>
      </c>
      <c r="BF1522" s="26"/>
      <c r="BG1522" s="26"/>
      <c r="BH1522" s="26"/>
      <c r="BI1522" s="26"/>
      <c r="BJ1522" s="26"/>
      <c r="BK1522" s="26"/>
      <c r="BL1522" s="26"/>
      <c r="BM1522" s="26"/>
      <c r="BN1522" s="26"/>
      <c r="BO1522" s="26"/>
      <c r="BP1522" s="16" t="n">
        <v>45737</v>
      </c>
      <c r="BQ1522" s="28" t="str">
        <f>HYPERLINK("https://organic.ams.usda.gov/Integrity/Certificate.aspx?cid=71&amp;nopid=5520393405")</f>
        <v>https://organic.ams.usda.gov/Integrity/Certificate.aspx?cid=71&amp;nopid=5520393405</v>
      </c>
    </row>
    <row r="1523">
      <c r="A1523" t="s">
        <v>3</v>
      </c>
      <c r="B1523" s="6" t="s">
        <v>16</v>
      </c>
      <c r="C1523" s="6" t="s">
        <v>82</v>
      </c>
      <c r="D1523" s="6" t="s">
        <v>147</v>
      </c>
      <c r="E1523" s="10" t="s">
        <v>1721</v>
      </c>
      <c r="F1523" s="6" t="s">
        <v>3958</v>
      </c>
      <c r="G1523" s="6" t="s">
        <v>104</v>
      </c>
      <c r="H1523" s="6" t="s">
        <v>6271</v>
      </c>
      <c r="I1523" s="6" t="s">
        <v>7812</v>
      </c>
      <c r="J1523" s="6" t="s">
        <v>9216</v>
      </c>
      <c r="K1523" s="6" t="s">
        <v>9714</v>
      </c>
      <c r="L1523" s="16" t="n">
        <v>42408</v>
      </c>
      <c r="M1523" s="16" t="n">
        <v>45716</v>
      </c>
      <c r="N1523" s="6" t="s">
        <v>104</v>
      </c>
      <c r="O1523" s="21" t="s">
        <v>104</v>
      </c>
      <c r="P1523" s="6" t="s">
        <v>104</v>
      </c>
      <c r="Q1523" s="6" t="s">
        <v>104</v>
      </c>
      <c r="R1523" s="6" t="s">
        <v>104</v>
      </c>
      <c r="S1523" s="6" t="s">
        <v>104</v>
      </c>
      <c r="T1523" s="21" t="s">
        <v>104</v>
      </c>
      <c r="U1523" s="6" t="s">
        <v>104</v>
      </c>
      <c r="V1523" s="6" t="s">
        <v>104</v>
      </c>
      <c r="W1523" s="6" t="s">
        <v>104</v>
      </c>
      <c r="X1523" s="6" t="s">
        <v>104</v>
      </c>
      <c r="Y1523" s="21" t="s">
        <v>104</v>
      </c>
      <c r="Z1523" s="6" t="s">
        <v>104</v>
      </c>
      <c r="AA1523" s="6" t="s">
        <v>104</v>
      </c>
      <c r="AB1523" s="6" t="s">
        <v>104</v>
      </c>
      <c r="AC1523" s="6" t="s">
        <v>9714</v>
      </c>
      <c r="AD1523" s="16" t="n">
        <v>42408</v>
      </c>
      <c r="AE1523" s="6" t="s">
        <v>11857</v>
      </c>
      <c r="AF1523" s="6" t="s">
        <v>104</v>
      </c>
      <c r="AG1523" s="6" t="s">
        <v>6271</v>
      </c>
      <c r="AH1523" s="6" t="s">
        <v>14547</v>
      </c>
      <c r="AI1523" s="6" t="s">
        <v>104</v>
      </c>
      <c r="AJ1523" s="6" t="s">
        <v>16317</v>
      </c>
      <c r="AK1523" s="6" t="s">
        <v>16684</v>
      </c>
      <c r="AL1523" s="6" t="s">
        <v>16931</v>
      </c>
      <c r="AM1523" s="6" t="s">
        <v>18012</v>
      </c>
      <c r="AN1523" s="6" t="s">
        <v>18513</v>
      </c>
      <c r="AO1523" s="6" t="s">
        <v>18738</v>
      </c>
      <c r="AP1523" s="6" t="s">
        <v>19362</v>
      </c>
      <c r="AQ1523" s="6" t="s">
        <v>104</v>
      </c>
      <c r="AR1523" s="6" t="s">
        <v>15901</v>
      </c>
      <c r="AS1523" s="6" t="s">
        <v>16730</v>
      </c>
      <c r="AT1523" s="6" t="s">
        <v>16931</v>
      </c>
      <c r="AU1523" s="6" t="s">
        <v>19822</v>
      </c>
      <c r="AV1523" s="6" t="s">
        <v>104</v>
      </c>
      <c r="AW1523" s="6" t="s">
        <v>104</v>
      </c>
      <c r="AX1523" s="6" t="s">
        <v>21311</v>
      </c>
      <c r="AY1523" s="6" t="s">
        <v>23115</v>
      </c>
      <c r="AZ1523" s="6" t="s">
        <v>24078</v>
      </c>
      <c r="BA1523" s="6" t="s">
        <v>104</v>
      </c>
      <c r="BB1523" s="6" t="s">
        <v>104</v>
      </c>
      <c r="BC1523" s="26"/>
      <c r="BD1523" s="26"/>
      <c r="BE1523" s="26"/>
      <c r="BF1523" s="26"/>
      <c r="BG1523" s="26"/>
      <c r="BH1523" s="26"/>
      <c r="BI1523" s="26"/>
      <c r="BJ1523" s="26"/>
      <c r="BK1523" s="26"/>
      <c r="BL1523" s="26"/>
      <c r="BM1523" s="26"/>
      <c r="BN1523" s="26"/>
      <c r="BO1523" s="26"/>
      <c r="BP1523" s="16" t="n">
        <v>45687</v>
      </c>
      <c r="BQ1523" s="28" t="str">
        <f>HYPERLINK("https://organic.ams.usda.gov/Integrity/Certificate.aspx?cid=77&amp;nopid=3510751593")</f>
        <v>https://organic.ams.usda.gov/Integrity/Certificate.aspx?cid=77&amp;nopid=3510751593</v>
      </c>
    </row>
    <row r="1524">
      <c r="A1524" t="s">
        <v>3</v>
      </c>
      <c r="B1524" s="6" t="s">
        <v>34</v>
      </c>
      <c r="C1524" s="6" t="s">
        <v>100</v>
      </c>
      <c r="D1524" s="6" t="s">
        <v>165</v>
      </c>
      <c r="E1524" s="10" t="s">
        <v>1722</v>
      </c>
      <c r="F1524" s="6" t="s">
        <v>3959</v>
      </c>
      <c r="G1524" s="6" t="s">
        <v>104</v>
      </c>
      <c r="H1524" s="6" t="s">
        <v>6272</v>
      </c>
      <c r="I1524" s="6" t="s">
        <v>7635</v>
      </c>
      <c r="J1524" s="6" t="s">
        <v>9251</v>
      </c>
      <c r="K1524" s="6" t="s">
        <v>9714</v>
      </c>
      <c r="L1524" s="16" t="n">
        <v>44167</v>
      </c>
      <c r="M1524" s="16" t="n">
        <v>45854</v>
      </c>
      <c r="N1524" s="6" t="s">
        <v>104</v>
      </c>
      <c r="O1524" s="21" t="s">
        <v>104</v>
      </c>
      <c r="P1524" s="6" t="s">
        <v>104</v>
      </c>
      <c r="Q1524" s="6" t="s">
        <v>104</v>
      </c>
      <c r="R1524" s="6" t="s">
        <v>104</v>
      </c>
      <c r="S1524" s="6" t="s">
        <v>104</v>
      </c>
      <c r="T1524" s="21" t="s">
        <v>104</v>
      </c>
      <c r="U1524" s="6" t="s">
        <v>104</v>
      </c>
      <c r="V1524" s="6" t="s">
        <v>104</v>
      </c>
      <c r="W1524" s="6" t="s">
        <v>104</v>
      </c>
      <c r="X1524" s="6" t="s">
        <v>104</v>
      </c>
      <c r="Y1524" s="21" t="s">
        <v>104</v>
      </c>
      <c r="Z1524" s="6" t="s">
        <v>104</v>
      </c>
      <c r="AA1524" s="6" t="s">
        <v>104</v>
      </c>
      <c r="AB1524" s="6" t="s">
        <v>104</v>
      </c>
      <c r="AC1524" s="6" t="s">
        <v>9714</v>
      </c>
      <c r="AD1524" s="16" t="n">
        <v>44167</v>
      </c>
      <c r="AE1524" s="6" t="s">
        <v>11858</v>
      </c>
      <c r="AF1524" s="6" t="s">
        <v>104</v>
      </c>
      <c r="AG1524" s="6" t="s">
        <v>12966</v>
      </c>
      <c r="AH1524" s="6" t="s">
        <v>14548</v>
      </c>
      <c r="AI1524" s="6" t="s">
        <v>104</v>
      </c>
      <c r="AJ1524" s="6" t="s">
        <v>15896</v>
      </c>
      <c r="AK1524" s="6" t="s">
        <v>16684</v>
      </c>
      <c r="AL1524" s="6" t="s">
        <v>16931</v>
      </c>
      <c r="AM1524" s="6" t="s">
        <v>17530</v>
      </c>
      <c r="AN1524" s="6" t="s">
        <v>18513</v>
      </c>
      <c r="AO1524" s="6" t="s">
        <v>18738</v>
      </c>
      <c r="AP1524" s="6" t="s">
        <v>19363</v>
      </c>
      <c r="AQ1524" s="6" t="s">
        <v>19572</v>
      </c>
      <c r="AR1524" s="6" t="s">
        <v>15901</v>
      </c>
      <c r="AS1524" s="6" t="s">
        <v>16730</v>
      </c>
      <c r="AT1524" s="6" t="s">
        <v>16931</v>
      </c>
      <c r="AU1524" s="6" t="s">
        <v>19822</v>
      </c>
      <c r="AV1524" s="6" t="s">
        <v>104</v>
      </c>
      <c r="AW1524" s="6" t="s">
        <v>104</v>
      </c>
      <c r="AX1524" s="6" t="s">
        <v>21312</v>
      </c>
      <c r="AY1524" s="6" t="s">
        <v>104</v>
      </c>
      <c r="AZ1524" s="6" t="s">
        <v>24079</v>
      </c>
      <c r="BA1524" s="6" t="s">
        <v>104</v>
      </c>
      <c r="BB1524" s="6" t="s">
        <v>104</v>
      </c>
      <c r="BC1524" s="26"/>
      <c r="BD1524" s="26"/>
      <c r="BE1524" s="26"/>
      <c r="BF1524" s="26"/>
      <c r="BG1524" s="26"/>
      <c r="BH1524" s="26"/>
      <c r="BI1524" s="26"/>
      <c r="BJ1524" s="26"/>
      <c r="BK1524" s="26"/>
      <c r="BL1524" s="26"/>
      <c r="BM1524" s="26"/>
      <c r="BN1524" s="26"/>
      <c r="BO1524" s="26"/>
      <c r="BP1524" s="16" t="n">
        <v>45737</v>
      </c>
      <c r="BQ1524" s="28" t="str">
        <f>HYPERLINK("https://organic.ams.usda.gov/Integrity/Certificate.aspx?cid=71&amp;nopid=5520570737")</f>
        <v>https://organic.ams.usda.gov/Integrity/Certificate.aspx?cid=71&amp;nopid=5520570737</v>
      </c>
    </row>
    <row r="1525">
      <c r="A1525" t="s">
        <v>3</v>
      </c>
      <c r="B1525" s="6" t="s">
        <v>16</v>
      </c>
      <c r="C1525" s="6" t="s">
        <v>82</v>
      </c>
      <c r="D1525" s="6" t="s">
        <v>147</v>
      </c>
      <c r="E1525" s="10" t="s">
        <v>1723</v>
      </c>
      <c r="F1525" s="6" t="s">
        <v>3960</v>
      </c>
      <c r="G1525" s="6" t="s">
        <v>104</v>
      </c>
      <c r="H1525" s="6" t="s">
        <v>6273</v>
      </c>
      <c r="I1525" s="6" t="s">
        <v>7812</v>
      </c>
      <c r="J1525" s="6" t="s">
        <v>9216</v>
      </c>
      <c r="K1525" s="6" t="s">
        <v>9714</v>
      </c>
      <c r="L1525" s="16" t="n">
        <v>42408</v>
      </c>
      <c r="M1525" s="16" t="n">
        <v>45716</v>
      </c>
      <c r="N1525" s="6" t="s">
        <v>104</v>
      </c>
      <c r="O1525" s="21" t="s">
        <v>104</v>
      </c>
      <c r="P1525" s="6" t="s">
        <v>104</v>
      </c>
      <c r="Q1525" s="6" t="s">
        <v>104</v>
      </c>
      <c r="R1525" s="6" t="s">
        <v>104</v>
      </c>
      <c r="S1525" s="6" t="s">
        <v>104</v>
      </c>
      <c r="T1525" s="21" t="s">
        <v>104</v>
      </c>
      <c r="U1525" s="6" t="s">
        <v>104</v>
      </c>
      <c r="V1525" s="6" t="s">
        <v>104</v>
      </c>
      <c r="W1525" s="6" t="s">
        <v>104</v>
      </c>
      <c r="X1525" s="6" t="s">
        <v>104</v>
      </c>
      <c r="Y1525" s="21" t="s">
        <v>104</v>
      </c>
      <c r="Z1525" s="6" t="s">
        <v>104</v>
      </c>
      <c r="AA1525" s="6" t="s">
        <v>104</v>
      </c>
      <c r="AB1525" s="6" t="s">
        <v>104</v>
      </c>
      <c r="AC1525" s="6" t="s">
        <v>9714</v>
      </c>
      <c r="AD1525" s="16" t="n">
        <v>42408</v>
      </c>
      <c r="AE1525" s="6" t="s">
        <v>11859</v>
      </c>
      <c r="AF1525" s="6" t="s">
        <v>104</v>
      </c>
      <c r="AG1525" s="6" t="s">
        <v>6273</v>
      </c>
      <c r="AH1525" s="6" t="s">
        <v>14549</v>
      </c>
      <c r="AI1525" s="6" t="s">
        <v>104</v>
      </c>
      <c r="AJ1525" s="6" t="s">
        <v>16317</v>
      </c>
      <c r="AK1525" s="6" t="s">
        <v>16684</v>
      </c>
      <c r="AL1525" s="6" t="s">
        <v>16931</v>
      </c>
      <c r="AM1525" s="6" t="s">
        <v>18012</v>
      </c>
      <c r="AN1525" s="6" t="s">
        <v>18513</v>
      </c>
      <c r="AO1525" s="6" t="s">
        <v>18738</v>
      </c>
      <c r="AP1525" s="6" t="s">
        <v>19362</v>
      </c>
      <c r="AQ1525" s="6" t="s">
        <v>104</v>
      </c>
      <c r="AR1525" s="6" t="s">
        <v>19736</v>
      </c>
      <c r="AS1525" s="6" t="s">
        <v>16730</v>
      </c>
      <c r="AT1525" s="6" t="s">
        <v>16931</v>
      </c>
      <c r="AU1525" s="6" t="s">
        <v>19822</v>
      </c>
      <c r="AV1525" s="6" t="s">
        <v>104</v>
      </c>
      <c r="AW1525" s="6" t="s">
        <v>104</v>
      </c>
      <c r="AX1525" s="6" t="s">
        <v>21311</v>
      </c>
      <c r="AY1525" s="6" t="s">
        <v>23115</v>
      </c>
      <c r="AZ1525" s="6" t="s">
        <v>24078</v>
      </c>
      <c r="BA1525" s="6" t="s">
        <v>104</v>
      </c>
      <c r="BB1525" s="6" t="s">
        <v>104</v>
      </c>
      <c r="BC1525" s="26"/>
      <c r="BD1525" s="26"/>
      <c r="BE1525" s="26"/>
      <c r="BF1525" s="26"/>
      <c r="BG1525" s="26"/>
      <c r="BH1525" s="26"/>
      <c r="BI1525" s="26"/>
      <c r="BJ1525" s="26"/>
      <c r="BK1525" s="26"/>
      <c r="BL1525" s="26"/>
      <c r="BM1525" s="26"/>
      <c r="BN1525" s="26"/>
      <c r="BO1525" s="26"/>
      <c r="BP1525" s="16" t="n">
        <v>45559</v>
      </c>
      <c r="BQ1525" s="28" t="str">
        <f>HYPERLINK("https://organic.ams.usda.gov/Integrity/Certificate.aspx?cid=77&amp;nopid=3510732585")</f>
        <v>https://organic.ams.usda.gov/Integrity/Certificate.aspx?cid=77&amp;nopid=3510732585</v>
      </c>
    </row>
    <row r="1526">
      <c r="A1526" t="s">
        <v>3</v>
      </c>
      <c r="B1526" s="6" t="s">
        <v>25</v>
      </c>
      <c r="C1526" s="6" t="s">
        <v>91</v>
      </c>
      <c r="D1526" s="6" t="s">
        <v>156</v>
      </c>
      <c r="E1526" s="10" t="s">
        <v>1724</v>
      </c>
      <c r="F1526" s="6" t="s">
        <v>3961</v>
      </c>
      <c r="G1526" s="6" t="s">
        <v>104</v>
      </c>
      <c r="H1526" s="6" t="s">
        <v>6274</v>
      </c>
      <c r="I1526" s="6" t="s">
        <v>104</v>
      </c>
      <c r="J1526" s="6" t="s">
        <v>104</v>
      </c>
      <c r="K1526" s="6" t="s">
        <v>9714</v>
      </c>
      <c r="L1526" s="16" t="n">
        <v>42853</v>
      </c>
      <c r="M1526" s="16" t="n">
        <v>45383</v>
      </c>
      <c r="N1526" s="6" t="s">
        <v>104</v>
      </c>
      <c r="O1526" s="21" t="s">
        <v>104</v>
      </c>
      <c r="P1526" s="6" t="s">
        <v>104</v>
      </c>
      <c r="Q1526" s="6" t="s">
        <v>104</v>
      </c>
      <c r="R1526" s="6" t="s">
        <v>104</v>
      </c>
      <c r="S1526" s="6" t="s">
        <v>104</v>
      </c>
      <c r="T1526" s="21" t="s">
        <v>104</v>
      </c>
      <c r="U1526" s="6" t="s">
        <v>104</v>
      </c>
      <c r="V1526" s="6" t="s">
        <v>104</v>
      </c>
      <c r="W1526" s="6" t="s">
        <v>104</v>
      </c>
      <c r="X1526" s="6" t="s">
        <v>104</v>
      </c>
      <c r="Y1526" s="21" t="s">
        <v>104</v>
      </c>
      <c r="Z1526" s="6" t="s">
        <v>104</v>
      </c>
      <c r="AA1526" s="6" t="s">
        <v>104</v>
      </c>
      <c r="AB1526" s="6" t="s">
        <v>104</v>
      </c>
      <c r="AC1526" s="6" t="s">
        <v>9714</v>
      </c>
      <c r="AD1526" s="16" t="n">
        <v>42853</v>
      </c>
      <c r="AE1526" s="6" t="s">
        <v>11860</v>
      </c>
      <c r="AF1526" s="6" t="s">
        <v>104</v>
      </c>
      <c r="AG1526" s="6" t="s">
        <v>104</v>
      </c>
      <c r="AH1526" s="6" t="s">
        <v>14550</v>
      </c>
      <c r="AI1526" s="6" t="s">
        <v>104</v>
      </c>
      <c r="AJ1526" s="6" t="s">
        <v>16318</v>
      </c>
      <c r="AK1526" s="6" t="s">
        <v>16318</v>
      </c>
      <c r="AL1526" s="6" t="s">
        <v>16954</v>
      </c>
      <c r="AM1526" s="6" t="s">
        <v>18013</v>
      </c>
      <c r="AN1526" s="6" t="s">
        <v>104</v>
      </c>
      <c r="AO1526" s="6" t="s">
        <v>104</v>
      </c>
      <c r="AP1526" s="6" t="s">
        <v>14550</v>
      </c>
      <c r="AQ1526" s="6" t="s">
        <v>104</v>
      </c>
      <c r="AR1526" s="6" t="s">
        <v>16318</v>
      </c>
      <c r="AS1526" s="6" t="s">
        <v>16318</v>
      </c>
      <c r="AT1526" s="6" t="s">
        <v>16954</v>
      </c>
      <c r="AU1526" s="6" t="s">
        <v>18013</v>
      </c>
      <c r="AV1526" s="6" t="s">
        <v>104</v>
      </c>
      <c r="AW1526" s="6" t="s">
        <v>104</v>
      </c>
      <c r="AX1526" s="6" t="s">
        <v>104</v>
      </c>
      <c r="AY1526" s="6" t="s">
        <v>104</v>
      </c>
      <c r="AZ1526" s="6" t="s">
        <v>104</v>
      </c>
      <c r="BA1526" s="6" t="s">
        <v>104</v>
      </c>
      <c r="BB1526" s="6" t="s">
        <v>104</v>
      </c>
      <c r="BC1526" s="26"/>
      <c r="BD1526" s="26"/>
      <c r="BE1526" s="26"/>
      <c r="BF1526" s="26"/>
      <c r="BG1526" s="26"/>
      <c r="BH1526" s="26" t="s">
        <v>24533</v>
      </c>
      <c r="BI1526" s="26"/>
      <c r="BJ1526" s="26"/>
      <c r="BK1526" s="26"/>
      <c r="BL1526" s="26"/>
      <c r="BM1526" s="26"/>
      <c r="BN1526" s="26"/>
      <c r="BO1526" s="26"/>
      <c r="BP1526" s="16" t="n">
        <v>45369</v>
      </c>
      <c r="BQ1526" s="28" t="str">
        <f>HYPERLINK("https://organic.ams.usda.gov/Integrity/Certificate.aspx?cid=66&amp;nopid=5500005367")</f>
        <v>https://organic.ams.usda.gov/Integrity/Certificate.aspx?cid=66&amp;nopid=5500005367</v>
      </c>
    </row>
    <row r="1527">
      <c r="A1527" t="s">
        <v>3</v>
      </c>
      <c r="B1527" s="6" t="s">
        <v>14</v>
      </c>
      <c r="C1527" s="6" t="s">
        <v>80</v>
      </c>
      <c r="D1527" s="6" t="s">
        <v>145</v>
      </c>
      <c r="E1527" s="10" t="s">
        <v>1725</v>
      </c>
      <c r="F1527" s="6" t="s">
        <v>3962</v>
      </c>
      <c r="G1527" s="6" t="s">
        <v>104</v>
      </c>
      <c r="H1527" s="6" t="s">
        <v>6275</v>
      </c>
      <c r="I1527" s="6" t="s">
        <v>7526</v>
      </c>
      <c r="J1527" s="6" t="s">
        <v>9252</v>
      </c>
      <c r="K1527" s="6" t="s">
        <v>9714</v>
      </c>
      <c r="L1527" s="16" t="n">
        <v>45590</v>
      </c>
      <c r="M1527" s="16" t="n">
        <v>45872</v>
      </c>
      <c r="N1527" s="6" t="s">
        <v>9714</v>
      </c>
      <c r="O1527" s="16" t="n">
        <v>45590</v>
      </c>
      <c r="P1527" s="6" t="s">
        <v>10134</v>
      </c>
      <c r="Q1527" s="6" t="s">
        <v>104</v>
      </c>
      <c r="R1527" s="6" t="s">
        <v>104</v>
      </c>
      <c r="S1527" s="6" t="s">
        <v>104</v>
      </c>
      <c r="T1527" s="21" t="s">
        <v>104</v>
      </c>
      <c r="U1527" s="6" t="s">
        <v>104</v>
      </c>
      <c r="V1527" s="6" t="s">
        <v>104</v>
      </c>
      <c r="W1527" s="6" t="s">
        <v>104</v>
      </c>
      <c r="X1527" s="6" t="s">
        <v>104</v>
      </c>
      <c r="Y1527" s="21" t="s">
        <v>104</v>
      </c>
      <c r="Z1527" s="6" t="s">
        <v>104</v>
      </c>
      <c r="AA1527" s="6" t="s">
        <v>104</v>
      </c>
      <c r="AB1527" s="6" t="s">
        <v>104</v>
      </c>
      <c r="AC1527" s="6" t="s">
        <v>104</v>
      </c>
      <c r="AD1527" s="21" t="s">
        <v>104</v>
      </c>
      <c r="AE1527" s="6" t="s">
        <v>104</v>
      </c>
      <c r="AF1527" s="6" t="s">
        <v>104</v>
      </c>
      <c r="AG1527" s="6" t="s">
        <v>104</v>
      </c>
      <c r="AH1527" s="6" t="s">
        <v>14551</v>
      </c>
      <c r="AI1527" s="6" t="s">
        <v>104</v>
      </c>
      <c r="AJ1527" s="6" t="s">
        <v>16319</v>
      </c>
      <c r="AK1527" s="6" t="s">
        <v>15885</v>
      </c>
      <c r="AL1527" s="6" t="s">
        <v>16932</v>
      </c>
      <c r="AM1527" s="6" t="s">
        <v>18014</v>
      </c>
      <c r="AN1527" s="6" t="s">
        <v>104</v>
      </c>
      <c r="AO1527" s="6" t="s">
        <v>104</v>
      </c>
      <c r="AP1527" s="6" t="s">
        <v>19364</v>
      </c>
      <c r="AQ1527" s="6" t="s">
        <v>104</v>
      </c>
      <c r="AR1527" s="6" t="s">
        <v>16319</v>
      </c>
      <c r="AS1527" s="6" t="s">
        <v>15885</v>
      </c>
      <c r="AT1527" s="6" t="s">
        <v>16932</v>
      </c>
      <c r="AU1527" s="6" t="s">
        <v>19999</v>
      </c>
      <c r="AV1527" s="6" t="s">
        <v>104</v>
      </c>
      <c r="AW1527" s="6" t="s">
        <v>104</v>
      </c>
      <c r="AX1527" s="6" t="s">
        <v>104</v>
      </c>
      <c r="AY1527" s="6" t="s">
        <v>22596</v>
      </c>
      <c r="AZ1527" s="6" t="s">
        <v>104</v>
      </c>
      <c r="BA1527" s="6" t="s">
        <v>24267</v>
      </c>
      <c r="BB1527" s="24" t="n">
        <v>1547</v>
      </c>
      <c r="BC1527" s="26"/>
      <c r="BD1527" s="26"/>
      <c r="BE1527" s="26"/>
      <c r="BF1527" s="26"/>
      <c r="BG1527" s="26"/>
      <c r="BH1527" s="26"/>
      <c r="BI1527" s="26"/>
      <c r="BJ1527" s="26"/>
      <c r="BK1527" s="26"/>
      <c r="BL1527" s="26"/>
      <c r="BM1527" s="26"/>
      <c r="BN1527" s="26"/>
      <c r="BO1527" s="26"/>
      <c r="BP1527" s="16" t="n">
        <v>45696</v>
      </c>
      <c r="BQ1527" s="28" t="str">
        <f>HYPERLINK("https://organic.ams.usda.gov/Integrity/Certificate.aspx?cid=89&amp;nopid=4920007049")</f>
        <v>https://organic.ams.usda.gov/Integrity/Certificate.aspx?cid=89&amp;nopid=4920007049</v>
      </c>
    </row>
    <row r="1528">
      <c r="A1528" t="s">
        <v>3</v>
      </c>
      <c r="B1528" s="6" t="s">
        <v>6</v>
      </c>
      <c r="C1528" s="6" t="s">
        <v>72</v>
      </c>
      <c r="D1528" s="6" t="s">
        <v>137</v>
      </c>
      <c r="E1528" s="10" t="s">
        <v>1726</v>
      </c>
      <c r="F1528" s="6" t="s">
        <v>3963</v>
      </c>
      <c r="G1528" s="6" t="s">
        <v>104</v>
      </c>
      <c r="H1528" s="6" t="s">
        <v>6276</v>
      </c>
      <c r="I1528" s="6" t="s">
        <v>7813</v>
      </c>
      <c r="J1528" s="6" t="s">
        <v>7270</v>
      </c>
      <c r="K1528" s="6" t="s">
        <v>9714</v>
      </c>
      <c r="L1528" s="16" t="n">
        <v>43626</v>
      </c>
      <c r="M1528" s="16" t="n">
        <v>45784</v>
      </c>
      <c r="N1528" s="6" t="s">
        <v>104</v>
      </c>
      <c r="O1528" s="21" t="s">
        <v>104</v>
      </c>
      <c r="P1528" s="6" t="s">
        <v>104</v>
      </c>
      <c r="Q1528" s="6" t="s">
        <v>104</v>
      </c>
      <c r="R1528" s="6" t="s">
        <v>104</v>
      </c>
      <c r="S1528" s="6" t="s">
        <v>104</v>
      </c>
      <c r="T1528" s="21" t="s">
        <v>104</v>
      </c>
      <c r="U1528" s="6" t="s">
        <v>104</v>
      </c>
      <c r="V1528" s="6" t="s">
        <v>104</v>
      </c>
      <c r="W1528" s="6" t="s">
        <v>104</v>
      </c>
      <c r="X1528" s="6" t="s">
        <v>104</v>
      </c>
      <c r="Y1528" s="21" t="s">
        <v>104</v>
      </c>
      <c r="Z1528" s="6" t="s">
        <v>104</v>
      </c>
      <c r="AA1528" s="6" t="s">
        <v>104</v>
      </c>
      <c r="AB1528" s="6" t="s">
        <v>104</v>
      </c>
      <c r="AC1528" s="6" t="s">
        <v>9714</v>
      </c>
      <c r="AD1528" s="16" t="n">
        <v>43626</v>
      </c>
      <c r="AE1528" s="6" t="s">
        <v>11861</v>
      </c>
      <c r="AF1528" s="6" t="s">
        <v>104</v>
      </c>
      <c r="AG1528" s="6" t="s">
        <v>12967</v>
      </c>
      <c r="AH1528" s="6" t="s">
        <v>14552</v>
      </c>
      <c r="AI1528" s="6" t="s">
        <v>104</v>
      </c>
      <c r="AJ1528" s="6" t="s">
        <v>16320</v>
      </c>
      <c r="AK1528" s="6" t="s">
        <v>15707</v>
      </c>
      <c r="AL1528" s="6" t="s">
        <v>16766</v>
      </c>
      <c r="AM1528" s="6" t="s">
        <v>104</v>
      </c>
      <c r="AN1528" s="6" t="s">
        <v>104</v>
      </c>
      <c r="AO1528" s="6" t="s">
        <v>104</v>
      </c>
      <c r="AP1528" s="6" t="s">
        <v>104</v>
      </c>
      <c r="AQ1528" s="6" t="s">
        <v>104</v>
      </c>
      <c r="AR1528" s="6" t="s">
        <v>104</v>
      </c>
      <c r="AS1528" s="6" t="s">
        <v>104</v>
      </c>
      <c r="AT1528" s="6" t="s">
        <v>104</v>
      </c>
      <c r="AU1528" s="6" t="s">
        <v>104</v>
      </c>
      <c r="AV1528" s="6" t="s">
        <v>104</v>
      </c>
      <c r="AW1528" s="6" t="s">
        <v>104</v>
      </c>
      <c r="AX1528" s="6" t="s">
        <v>104</v>
      </c>
      <c r="AY1528" s="6" t="s">
        <v>23116</v>
      </c>
      <c r="AZ1528" s="6" t="s">
        <v>104</v>
      </c>
      <c r="BA1528" s="6" t="s">
        <v>24258</v>
      </c>
      <c r="BB1528" s="6" t="s">
        <v>104</v>
      </c>
      <c r="BC1528" s="26"/>
      <c r="BD1528" s="26"/>
      <c r="BE1528" s="26"/>
      <c r="BF1528" s="26"/>
      <c r="BG1528" s="26"/>
      <c r="BH1528" s="26"/>
      <c r="BI1528" s="26"/>
      <c r="BJ1528" s="26"/>
      <c r="BK1528" s="26"/>
      <c r="BL1528" s="26"/>
      <c r="BM1528" s="26"/>
      <c r="BN1528" s="26"/>
      <c r="BO1528" s="26"/>
      <c r="BP1528" s="16" t="n">
        <v>45737</v>
      </c>
      <c r="BQ1528" s="28" t="str">
        <f>HYPERLINK("https://organic.ams.usda.gov/Integrity/Certificate.aspx?cid=32&amp;nopid=2230006800")</f>
        <v>https://organic.ams.usda.gov/Integrity/Certificate.aspx?cid=32&amp;nopid=2230006800</v>
      </c>
    </row>
    <row r="1529">
      <c r="A1529" t="s">
        <v>3</v>
      </c>
      <c r="B1529" s="6" t="s">
        <v>54</v>
      </c>
      <c r="C1529" s="6" t="s">
        <v>120</v>
      </c>
      <c r="D1529" s="6" t="s">
        <v>184</v>
      </c>
      <c r="E1529" s="10" t="s">
        <v>1727</v>
      </c>
      <c r="F1529" s="6" t="s">
        <v>3964</v>
      </c>
      <c r="G1529" s="6" t="s">
        <v>104</v>
      </c>
      <c r="H1529" s="6" t="s">
        <v>6277</v>
      </c>
      <c r="I1529" s="6" t="s">
        <v>6920</v>
      </c>
      <c r="J1529" s="6" t="s">
        <v>9076</v>
      </c>
      <c r="K1529" s="6" t="s">
        <v>9714</v>
      </c>
      <c r="L1529" s="16" t="n">
        <v>40021</v>
      </c>
      <c r="M1529" s="16" t="n">
        <v>45748</v>
      </c>
      <c r="N1529" s="6" t="s">
        <v>104</v>
      </c>
      <c r="O1529" s="21" t="s">
        <v>104</v>
      </c>
      <c r="P1529" s="6" t="s">
        <v>104</v>
      </c>
      <c r="Q1529" s="6" t="s">
        <v>104</v>
      </c>
      <c r="R1529" s="6" t="s">
        <v>104</v>
      </c>
      <c r="S1529" s="6" t="s">
        <v>104</v>
      </c>
      <c r="T1529" s="21" t="s">
        <v>104</v>
      </c>
      <c r="U1529" s="6" t="s">
        <v>104</v>
      </c>
      <c r="V1529" s="6" t="s">
        <v>104</v>
      </c>
      <c r="W1529" s="6" t="s">
        <v>104</v>
      </c>
      <c r="X1529" s="6" t="s">
        <v>104</v>
      </c>
      <c r="Y1529" s="21" t="s">
        <v>104</v>
      </c>
      <c r="Z1529" s="6" t="s">
        <v>104</v>
      </c>
      <c r="AA1529" s="6" t="s">
        <v>104</v>
      </c>
      <c r="AB1529" s="6" t="s">
        <v>104</v>
      </c>
      <c r="AC1529" s="6" t="s">
        <v>9714</v>
      </c>
      <c r="AD1529" s="16" t="n">
        <v>40021</v>
      </c>
      <c r="AE1529" s="6" t="s">
        <v>11862</v>
      </c>
      <c r="AF1529" s="6" t="s">
        <v>104</v>
      </c>
      <c r="AG1529" s="6" t="s">
        <v>104</v>
      </c>
      <c r="AH1529" s="6" t="s">
        <v>14553</v>
      </c>
      <c r="AI1529" s="6" t="s">
        <v>104</v>
      </c>
      <c r="AJ1529" s="6" t="s">
        <v>16321</v>
      </c>
      <c r="AK1529" s="6" t="s">
        <v>15697</v>
      </c>
      <c r="AL1529" s="6" t="s">
        <v>16931</v>
      </c>
      <c r="AM1529" s="6" t="s">
        <v>18015</v>
      </c>
      <c r="AN1529" s="6" t="s">
        <v>18490</v>
      </c>
      <c r="AO1529" s="6" t="s">
        <v>18609</v>
      </c>
      <c r="AP1529" s="6" t="s">
        <v>104</v>
      </c>
      <c r="AQ1529" s="6" t="s">
        <v>104</v>
      </c>
      <c r="AR1529" s="6" t="s">
        <v>104</v>
      </c>
      <c r="AS1529" s="6" t="s">
        <v>104</v>
      </c>
      <c r="AT1529" s="6" t="s">
        <v>104</v>
      </c>
      <c r="AU1529" s="6" t="s">
        <v>104</v>
      </c>
      <c r="AV1529" s="6" t="s">
        <v>104</v>
      </c>
      <c r="AW1529" s="6" t="s">
        <v>104</v>
      </c>
      <c r="AX1529" s="6" t="s">
        <v>21313</v>
      </c>
      <c r="AY1529" s="6" t="s">
        <v>23117</v>
      </c>
      <c r="AZ1529" s="6" t="s">
        <v>24080</v>
      </c>
      <c r="BA1529" s="6" t="s">
        <v>24272</v>
      </c>
      <c r="BB1529" s="6" t="s">
        <v>104</v>
      </c>
      <c r="BC1529" s="26" t="s">
        <v>24533</v>
      </c>
      <c r="BD1529" s="26"/>
      <c r="BE1529" s="26"/>
      <c r="BF1529" s="26"/>
      <c r="BG1529" s="26" t="s">
        <v>24533</v>
      </c>
      <c r="BH1529" s="26"/>
      <c r="BI1529" s="26"/>
      <c r="BJ1529" s="26"/>
      <c r="BK1529" s="26"/>
      <c r="BL1529" s="26"/>
      <c r="BM1529" s="26"/>
      <c r="BN1529" s="26" t="s">
        <v>24533</v>
      </c>
      <c r="BO1529" s="26"/>
      <c r="BP1529" s="16" t="n">
        <v>45656</v>
      </c>
      <c r="BQ1529" s="28" t="str">
        <f>HYPERLINK("https://organic.ams.usda.gov/Integrity/Certificate.aspx?cid=60&amp;nopid=2580000596")</f>
        <v>https://organic.ams.usda.gov/Integrity/Certificate.aspx?cid=60&amp;nopid=2580000596</v>
      </c>
    </row>
    <row r="1530">
      <c r="A1530" t="s">
        <v>3</v>
      </c>
      <c r="B1530" s="6" t="s">
        <v>11</v>
      </c>
      <c r="C1530" s="6" t="s">
        <v>77</v>
      </c>
      <c r="D1530" s="6" t="s">
        <v>142</v>
      </c>
      <c r="E1530" s="10" t="s">
        <v>1728</v>
      </c>
      <c r="F1530" s="6" t="s">
        <v>3965</v>
      </c>
      <c r="G1530" s="6" t="s">
        <v>104</v>
      </c>
      <c r="H1530" s="6" t="s">
        <v>104</v>
      </c>
      <c r="I1530" s="6" t="s">
        <v>7363</v>
      </c>
      <c r="J1530" s="6" t="s">
        <v>8642</v>
      </c>
      <c r="K1530" s="6" t="s">
        <v>9714</v>
      </c>
      <c r="L1530" s="16" t="n">
        <v>44915</v>
      </c>
      <c r="M1530" s="16" t="n">
        <v>45934</v>
      </c>
      <c r="N1530" s="6" t="s">
        <v>9714</v>
      </c>
      <c r="O1530" s="16" t="n">
        <v>44915</v>
      </c>
      <c r="P1530" s="6" t="s">
        <v>9962</v>
      </c>
      <c r="Q1530" s="6" t="s">
        <v>104</v>
      </c>
      <c r="R1530" s="6" t="s">
        <v>104</v>
      </c>
      <c r="S1530" s="6" t="s">
        <v>104</v>
      </c>
      <c r="T1530" s="21" t="s">
        <v>104</v>
      </c>
      <c r="U1530" s="6" t="s">
        <v>104</v>
      </c>
      <c r="V1530" s="6" t="s">
        <v>104</v>
      </c>
      <c r="W1530" s="6" t="s">
        <v>104</v>
      </c>
      <c r="X1530" s="6" t="s">
        <v>104</v>
      </c>
      <c r="Y1530" s="21" t="s">
        <v>104</v>
      </c>
      <c r="Z1530" s="6" t="s">
        <v>104</v>
      </c>
      <c r="AA1530" s="6" t="s">
        <v>104</v>
      </c>
      <c r="AB1530" s="6" t="s">
        <v>104</v>
      </c>
      <c r="AC1530" s="6" t="s">
        <v>9714</v>
      </c>
      <c r="AD1530" s="16" t="n">
        <v>43817</v>
      </c>
      <c r="AE1530" s="6" t="s">
        <v>11320</v>
      </c>
      <c r="AF1530" s="6" t="s">
        <v>104</v>
      </c>
      <c r="AG1530" s="6" t="s">
        <v>104</v>
      </c>
      <c r="AH1530" s="6" t="s">
        <v>14554</v>
      </c>
      <c r="AI1530" s="6" t="s">
        <v>104</v>
      </c>
      <c r="AJ1530" s="6" t="s">
        <v>15799</v>
      </c>
      <c r="AK1530" s="6" t="s">
        <v>16795</v>
      </c>
      <c r="AL1530" s="6" t="s">
        <v>16966</v>
      </c>
      <c r="AM1530" s="6" t="s">
        <v>17588</v>
      </c>
      <c r="AN1530" s="6" t="s">
        <v>104</v>
      </c>
      <c r="AO1530" s="6" t="s">
        <v>104</v>
      </c>
      <c r="AP1530" s="6" t="s">
        <v>104</v>
      </c>
      <c r="AQ1530" s="6" t="s">
        <v>104</v>
      </c>
      <c r="AR1530" s="6" t="s">
        <v>104</v>
      </c>
      <c r="AS1530" s="6" t="s">
        <v>104</v>
      </c>
      <c r="AT1530" s="6" t="s">
        <v>104</v>
      </c>
      <c r="AU1530" s="6" t="s">
        <v>104</v>
      </c>
      <c r="AV1530" s="6" t="s">
        <v>104</v>
      </c>
      <c r="AW1530" s="6" t="s">
        <v>104</v>
      </c>
      <c r="AX1530" s="6" t="s">
        <v>20630</v>
      </c>
      <c r="AY1530" s="6" t="s">
        <v>22404</v>
      </c>
      <c r="AZ1530" s="6" t="s">
        <v>104</v>
      </c>
      <c r="BA1530" s="6" t="s">
        <v>24360</v>
      </c>
      <c r="BB1530" s="24" t="n">
        <v>17</v>
      </c>
      <c r="BC1530" s="26"/>
      <c r="BD1530" s="26"/>
      <c r="BE1530" s="26"/>
      <c r="BF1530" s="26"/>
      <c r="BG1530" s="26"/>
      <c r="BH1530" s="26"/>
      <c r="BI1530" s="26"/>
      <c r="BJ1530" s="26"/>
      <c r="BK1530" s="26"/>
      <c r="BL1530" s="26"/>
      <c r="BM1530" s="26"/>
      <c r="BN1530" s="26"/>
      <c r="BO1530" s="26"/>
      <c r="BP1530" s="16" t="n">
        <v>45645</v>
      </c>
      <c r="BQ1530" s="28" t="str">
        <f>HYPERLINK("https://organic.ams.usda.gov/Integrity/Certificate.aspx?cid=21&amp;nopid=1780891270")</f>
        <v>https://organic.ams.usda.gov/Integrity/Certificate.aspx?cid=21&amp;nopid=1780891270</v>
      </c>
    </row>
    <row r="1531">
      <c r="A1531" t="s">
        <v>3</v>
      </c>
      <c r="B1531" s="6" t="s">
        <v>11</v>
      </c>
      <c r="C1531" s="6" t="s">
        <v>77</v>
      </c>
      <c r="D1531" s="6" t="s">
        <v>142</v>
      </c>
      <c r="E1531" s="10" t="s">
        <v>1729</v>
      </c>
      <c r="F1531" s="6" t="s">
        <v>3966</v>
      </c>
      <c r="G1531" s="6" t="s">
        <v>104</v>
      </c>
      <c r="H1531" s="6" t="s">
        <v>104</v>
      </c>
      <c r="I1531" s="6" t="s">
        <v>7363</v>
      </c>
      <c r="J1531" s="6" t="s">
        <v>8642</v>
      </c>
      <c r="K1531" s="6" t="s">
        <v>9714</v>
      </c>
      <c r="L1531" s="16" t="n">
        <v>44525</v>
      </c>
      <c r="M1531" s="16" t="n">
        <v>45933</v>
      </c>
      <c r="N1531" s="6" t="s">
        <v>9714</v>
      </c>
      <c r="O1531" s="16" t="n">
        <v>44525</v>
      </c>
      <c r="P1531" s="6" t="s">
        <v>9962</v>
      </c>
      <c r="Q1531" s="6" t="s">
        <v>104</v>
      </c>
      <c r="R1531" s="6" t="s">
        <v>104</v>
      </c>
      <c r="S1531" s="6" t="s">
        <v>104</v>
      </c>
      <c r="T1531" s="21" t="s">
        <v>104</v>
      </c>
      <c r="U1531" s="6" t="s">
        <v>104</v>
      </c>
      <c r="V1531" s="6" t="s">
        <v>104</v>
      </c>
      <c r="W1531" s="6" t="s">
        <v>104</v>
      </c>
      <c r="X1531" s="6" t="s">
        <v>104</v>
      </c>
      <c r="Y1531" s="21" t="s">
        <v>104</v>
      </c>
      <c r="Z1531" s="6" t="s">
        <v>104</v>
      </c>
      <c r="AA1531" s="6" t="s">
        <v>104</v>
      </c>
      <c r="AB1531" s="6" t="s">
        <v>104</v>
      </c>
      <c r="AC1531" s="6" t="s">
        <v>9714</v>
      </c>
      <c r="AD1531" s="16" t="n">
        <v>44525</v>
      </c>
      <c r="AE1531" s="6" t="s">
        <v>11320</v>
      </c>
      <c r="AF1531" s="6" t="s">
        <v>104</v>
      </c>
      <c r="AG1531" s="6" t="s">
        <v>104</v>
      </c>
      <c r="AH1531" s="6" t="s">
        <v>14555</v>
      </c>
      <c r="AI1531" s="6" t="s">
        <v>104</v>
      </c>
      <c r="AJ1531" s="6" t="s">
        <v>15799</v>
      </c>
      <c r="AK1531" s="6" t="s">
        <v>16795</v>
      </c>
      <c r="AL1531" s="6" t="s">
        <v>16966</v>
      </c>
      <c r="AM1531" s="6" t="s">
        <v>17718</v>
      </c>
      <c r="AN1531" s="6" t="s">
        <v>104</v>
      </c>
      <c r="AO1531" s="6" t="s">
        <v>104</v>
      </c>
      <c r="AP1531" s="6" t="s">
        <v>104</v>
      </c>
      <c r="AQ1531" s="6" t="s">
        <v>104</v>
      </c>
      <c r="AR1531" s="6" t="s">
        <v>104</v>
      </c>
      <c r="AS1531" s="6" t="s">
        <v>104</v>
      </c>
      <c r="AT1531" s="6" t="s">
        <v>104</v>
      </c>
      <c r="AU1531" s="6" t="s">
        <v>104</v>
      </c>
      <c r="AV1531" s="6" t="s">
        <v>104</v>
      </c>
      <c r="AW1531" s="6" t="s">
        <v>104</v>
      </c>
      <c r="AX1531" s="6" t="s">
        <v>20630</v>
      </c>
      <c r="AY1531" s="6" t="s">
        <v>22404</v>
      </c>
      <c r="AZ1531" s="6" t="s">
        <v>104</v>
      </c>
      <c r="BA1531" s="6" t="s">
        <v>24360</v>
      </c>
      <c r="BB1531" s="24" t="n">
        <v>19</v>
      </c>
      <c r="BC1531" s="26"/>
      <c r="BD1531" s="26"/>
      <c r="BE1531" s="26"/>
      <c r="BF1531" s="26"/>
      <c r="BG1531" s="26"/>
      <c r="BH1531" s="26"/>
      <c r="BI1531" s="26"/>
      <c r="BJ1531" s="26"/>
      <c r="BK1531" s="26"/>
      <c r="BL1531" s="26"/>
      <c r="BM1531" s="26"/>
      <c r="BN1531" s="26"/>
      <c r="BO1531" s="26"/>
      <c r="BP1531" s="16" t="n">
        <v>45645</v>
      </c>
      <c r="BQ1531" s="28" t="str">
        <f>HYPERLINK("https://organic.ams.usda.gov/Integrity/Certificate.aspx?cid=21&amp;nopid=1780883418")</f>
        <v>https://organic.ams.usda.gov/Integrity/Certificate.aspx?cid=21&amp;nopid=1780883418</v>
      </c>
    </row>
    <row r="1532">
      <c r="A1532" t="s">
        <v>3</v>
      </c>
      <c r="B1532" s="6" t="s">
        <v>18</v>
      </c>
      <c r="C1532" s="6" t="s">
        <v>84</v>
      </c>
      <c r="D1532" s="6" t="s">
        <v>149</v>
      </c>
      <c r="E1532" s="10" t="s">
        <v>1730</v>
      </c>
      <c r="F1532" s="6" t="s">
        <v>3967</v>
      </c>
      <c r="G1532" s="6" t="s">
        <v>4814</v>
      </c>
      <c r="H1532" s="6" t="s">
        <v>6278</v>
      </c>
      <c r="I1532" s="6" t="s">
        <v>7717</v>
      </c>
      <c r="J1532" s="6" t="s">
        <v>9253</v>
      </c>
      <c r="K1532" s="6" t="s">
        <v>9714</v>
      </c>
      <c r="L1532" s="16" t="n">
        <v>36739</v>
      </c>
      <c r="M1532" s="16" t="n">
        <v>45870</v>
      </c>
      <c r="N1532" s="6" t="s">
        <v>9714</v>
      </c>
      <c r="O1532" s="16" t="n">
        <v>36739</v>
      </c>
      <c r="P1532" s="6" t="s">
        <v>10135</v>
      </c>
      <c r="Q1532" s="6" t="s">
        <v>104</v>
      </c>
      <c r="R1532" s="6" t="s">
        <v>10413</v>
      </c>
      <c r="S1532" s="6" t="s">
        <v>104</v>
      </c>
      <c r="T1532" s="21" t="s">
        <v>104</v>
      </c>
      <c r="U1532" s="6" t="s">
        <v>104</v>
      </c>
      <c r="V1532" s="6" t="s">
        <v>104</v>
      </c>
      <c r="W1532" s="6" t="s">
        <v>104</v>
      </c>
      <c r="X1532" s="6" t="s">
        <v>104</v>
      </c>
      <c r="Y1532" s="21" t="s">
        <v>104</v>
      </c>
      <c r="Z1532" s="6" t="s">
        <v>104</v>
      </c>
      <c r="AA1532" s="6" t="s">
        <v>104</v>
      </c>
      <c r="AB1532" s="6" t="s">
        <v>104</v>
      </c>
      <c r="AC1532" s="6" t="s">
        <v>9714</v>
      </c>
      <c r="AD1532" s="16" t="n">
        <v>44854</v>
      </c>
      <c r="AE1532" s="6" t="s">
        <v>11863</v>
      </c>
      <c r="AF1532" s="6" t="s">
        <v>104</v>
      </c>
      <c r="AG1532" s="6" t="s">
        <v>12968</v>
      </c>
      <c r="AH1532" s="6" t="s">
        <v>14556</v>
      </c>
      <c r="AI1532" s="6" t="s">
        <v>104</v>
      </c>
      <c r="AJ1532" s="6" t="s">
        <v>16322</v>
      </c>
      <c r="AK1532" s="6" t="s">
        <v>16720</v>
      </c>
      <c r="AL1532" s="6" t="s">
        <v>16931</v>
      </c>
      <c r="AM1532" s="6" t="s">
        <v>18016</v>
      </c>
      <c r="AN1532" s="6" t="s">
        <v>18533</v>
      </c>
      <c r="AO1532" s="6" t="s">
        <v>18853</v>
      </c>
      <c r="AP1532" s="6" t="s">
        <v>104</v>
      </c>
      <c r="AQ1532" s="6" t="s">
        <v>104</v>
      </c>
      <c r="AR1532" s="6" t="s">
        <v>104</v>
      </c>
      <c r="AS1532" s="6" t="s">
        <v>104</v>
      </c>
      <c r="AT1532" s="6" t="s">
        <v>104</v>
      </c>
      <c r="AU1532" s="6" t="s">
        <v>104</v>
      </c>
      <c r="AV1532" s="6" t="s">
        <v>104</v>
      </c>
      <c r="AW1532" s="6" t="s">
        <v>104</v>
      </c>
      <c r="AX1532" s="6" t="s">
        <v>21314</v>
      </c>
      <c r="AY1532" s="6" t="s">
        <v>23118</v>
      </c>
      <c r="AZ1532" s="6" t="s">
        <v>104</v>
      </c>
      <c r="BA1532" s="6" t="s">
        <v>24457</v>
      </c>
      <c r="BB1532" s="24" t="n">
        <v>369</v>
      </c>
      <c r="BC1532" s="26"/>
      <c r="BD1532" s="26"/>
      <c r="BE1532" s="26"/>
      <c r="BF1532" s="26"/>
      <c r="BG1532" s="26"/>
      <c r="BH1532" s="26"/>
      <c r="BI1532" s="26"/>
      <c r="BJ1532" s="26"/>
      <c r="BK1532" s="26"/>
      <c r="BL1532" s="26"/>
      <c r="BM1532" s="26"/>
      <c r="BN1532" s="26" t="s">
        <v>24533</v>
      </c>
      <c r="BO1532" s="26"/>
      <c r="BP1532" s="16" t="n">
        <v>45737</v>
      </c>
      <c r="BQ1532" s="28" t="str">
        <f>HYPERLINK("https://organic.ams.usda.gov/Integrity/Certificate.aspx?cid=31&amp;nopid=3920897059")</f>
        <v>https://organic.ams.usda.gov/Integrity/Certificate.aspx?cid=31&amp;nopid=3920897059</v>
      </c>
    </row>
    <row r="1533">
      <c r="A1533" t="s">
        <v>3</v>
      </c>
      <c r="B1533" s="6" t="s">
        <v>45</v>
      </c>
      <c r="C1533" s="6" t="s">
        <v>111</v>
      </c>
      <c r="D1533" s="6" t="s">
        <v>175</v>
      </c>
      <c r="E1533" s="10" t="s">
        <v>1731</v>
      </c>
      <c r="F1533" s="6" t="s">
        <v>3968</v>
      </c>
      <c r="G1533" s="6" t="s">
        <v>104</v>
      </c>
      <c r="H1533" s="6" t="s">
        <v>6279</v>
      </c>
      <c r="I1533" s="6" t="s">
        <v>6985</v>
      </c>
      <c r="J1533" s="6" t="s">
        <v>9254</v>
      </c>
      <c r="K1533" s="6" t="s">
        <v>9714</v>
      </c>
      <c r="L1533" s="16" t="n">
        <v>38530</v>
      </c>
      <c r="M1533" s="16" t="n">
        <v>46082</v>
      </c>
      <c r="N1533" s="6" t="s">
        <v>104</v>
      </c>
      <c r="O1533" s="21" t="s">
        <v>104</v>
      </c>
      <c r="P1533" s="6" t="s">
        <v>104</v>
      </c>
      <c r="Q1533" s="6" t="s">
        <v>104</v>
      </c>
      <c r="R1533" s="6" t="s">
        <v>104</v>
      </c>
      <c r="S1533" s="6" t="s">
        <v>104</v>
      </c>
      <c r="T1533" s="21" t="s">
        <v>104</v>
      </c>
      <c r="U1533" s="6" t="s">
        <v>104</v>
      </c>
      <c r="V1533" s="6" t="s">
        <v>104</v>
      </c>
      <c r="W1533" s="6" t="s">
        <v>104</v>
      </c>
      <c r="X1533" s="6" t="s">
        <v>104</v>
      </c>
      <c r="Y1533" s="21" t="s">
        <v>104</v>
      </c>
      <c r="Z1533" s="6" t="s">
        <v>104</v>
      </c>
      <c r="AA1533" s="6" t="s">
        <v>104</v>
      </c>
      <c r="AB1533" s="6" t="s">
        <v>104</v>
      </c>
      <c r="AC1533" s="6" t="s">
        <v>9714</v>
      </c>
      <c r="AD1533" s="16" t="n">
        <v>38530</v>
      </c>
      <c r="AE1533" s="6" t="s">
        <v>11864</v>
      </c>
      <c r="AF1533" s="6" t="s">
        <v>104</v>
      </c>
      <c r="AG1533" s="6" t="s">
        <v>4667</v>
      </c>
      <c r="AH1533" s="6" t="s">
        <v>14557</v>
      </c>
      <c r="AI1533" s="6" t="s">
        <v>104</v>
      </c>
      <c r="AJ1533" s="6" t="s">
        <v>16089</v>
      </c>
      <c r="AK1533" s="6" t="s">
        <v>16382</v>
      </c>
      <c r="AL1533" s="6" t="s">
        <v>16931</v>
      </c>
      <c r="AM1533" s="6" t="s">
        <v>18017</v>
      </c>
      <c r="AN1533" s="6" t="s">
        <v>104</v>
      </c>
      <c r="AO1533" s="6" t="s">
        <v>104</v>
      </c>
      <c r="AP1533" s="6" t="s">
        <v>19365</v>
      </c>
      <c r="AQ1533" s="6" t="s">
        <v>104</v>
      </c>
      <c r="AR1533" s="6" t="s">
        <v>16177</v>
      </c>
      <c r="AS1533" s="6" t="s">
        <v>16382</v>
      </c>
      <c r="AT1533" s="6" t="s">
        <v>16931</v>
      </c>
      <c r="AU1533" s="6" t="s">
        <v>18017</v>
      </c>
      <c r="AV1533" s="6" t="s">
        <v>5429</v>
      </c>
      <c r="AW1533" s="6" t="s">
        <v>18724</v>
      </c>
      <c r="AX1533" s="6" t="s">
        <v>21315</v>
      </c>
      <c r="AY1533" s="6" t="s">
        <v>23119</v>
      </c>
      <c r="AZ1533" s="6" t="s">
        <v>24081</v>
      </c>
      <c r="BA1533" s="6" t="s">
        <v>104</v>
      </c>
      <c r="BB1533" s="6" t="s">
        <v>104</v>
      </c>
      <c r="BC1533" s="26"/>
      <c r="BD1533" s="26"/>
      <c r="BE1533" s="26" t="s">
        <v>24533</v>
      </c>
      <c r="BF1533" s="26"/>
      <c r="BG1533" s="26"/>
      <c r="BH1533" s="26"/>
      <c r="BI1533" s="26"/>
      <c r="BJ1533" s="26"/>
      <c r="BK1533" s="26"/>
      <c r="BL1533" s="26"/>
      <c r="BM1533" s="26"/>
      <c r="BN1533" s="26"/>
      <c r="BO1533" s="26"/>
      <c r="BP1533" s="16" t="n">
        <v>45739</v>
      </c>
      <c r="BQ1533" s="28" t="str">
        <f>HYPERLINK("https://organic.ams.usda.gov/Integrity/Certificate.aspx?cid=82&amp;nopid=2780025004")</f>
        <v>https://organic.ams.usda.gov/Integrity/Certificate.aspx?cid=82&amp;nopid=2780025004</v>
      </c>
    </row>
    <row r="1534">
      <c r="A1534" t="s">
        <v>3</v>
      </c>
      <c r="B1534" s="6" t="s">
        <v>45</v>
      </c>
      <c r="C1534" s="6" t="s">
        <v>111</v>
      </c>
      <c r="D1534" s="6" t="s">
        <v>175</v>
      </c>
      <c r="E1534" s="10" t="s">
        <v>1732</v>
      </c>
      <c r="F1534" s="6" t="s">
        <v>3969</v>
      </c>
      <c r="G1534" s="6" t="s">
        <v>104</v>
      </c>
      <c r="H1534" s="6" t="s">
        <v>6280</v>
      </c>
      <c r="I1534" s="6" t="s">
        <v>7814</v>
      </c>
      <c r="J1534" s="6" t="s">
        <v>9255</v>
      </c>
      <c r="K1534" s="6" t="s">
        <v>9714</v>
      </c>
      <c r="L1534" s="16" t="n">
        <v>45225</v>
      </c>
      <c r="M1534" s="16" t="n">
        <v>46082</v>
      </c>
      <c r="N1534" s="6" t="s">
        <v>104</v>
      </c>
      <c r="O1534" s="21" t="s">
        <v>104</v>
      </c>
      <c r="P1534" s="6" t="s">
        <v>104</v>
      </c>
      <c r="Q1534" s="6" t="s">
        <v>104</v>
      </c>
      <c r="R1534" s="6" t="s">
        <v>104</v>
      </c>
      <c r="S1534" s="6" t="s">
        <v>104</v>
      </c>
      <c r="T1534" s="21" t="s">
        <v>104</v>
      </c>
      <c r="U1534" s="6" t="s">
        <v>104</v>
      </c>
      <c r="V1534" s="6" t="s">
        <v>104</v>
      </c>
      <c r="W1534" s="6" t="s">
        <v>104</v>
      </c>
      <c r="X1534" s="6" t="s">
        <v>104</v>
      </c>
      <c r="Y1534" s="21" t="s">
        <v>104</v>
      </c>
      <c r="Z1534" s="6" t="s">
        <v>104</v>
      </c>
      <c r="AA1534" s="6" t="s">
        <v>104</v>
      </c>
      <c r="AB1534" s="6" t="s">
        <v>104</v>
      </c>
      <c r="AC1534" s="6" t="s">
        <v>9714</v>
      </c>
      <c r="AD1534" s="16" t="n">
        <v>45225</v>
      </c>
      <c r="AE1534" s="6" t="s">
        <v>11865</v>
      </c>
      <c r="AF1534" s="6" t="s">
        <v>104</v>
      </c>
      <c r="AG1534" s="6" t="s">
        <v>4667</v>
      </c>
      <c r="AH1534" s="6" t="s">
        <v>14558</v>
      </c>
      <c r="AI1534" s="6" t="s">
        <v>104</v>
      </c>
      <c r="AJ1534" s="6" t="s">
        <v>7473</v>
      </c>
      <c r="AK1534" s="6" t="s">
        <v>16382</v>
      </c>
      <c r="AL1534" s="6" t="s">
        <v>16931</v>
      </c>
      <c r="AM1534" s="6" t="s">
        <v>18018</v>
      </c>
      <c r="AN1534" s="6" t="s">
        <v>104</v>
      </c>
      <c r="AO1534" s="6" t="s">
        <v>104</v>
      </c>
      <c r="AP1534" s="6" t="s">
        <v>19366</v>
      </c>
      <c r="AQ1534" s="6" t="s">
        <v>104</v>
      </c>
      <c r="AR1534" s="6" t="s">
        <v>9017</v>
      </c>
      <c r="AS1534" s="6" t="s">
        <v>16382</v>
      </c>
      <c r="AT1534" s="6" t="s">
        <v>16931</v>
      </c>
      <c r="AU1534" s="6" t="s">
        <v>20000</v>
      </c>
      <c r="AV1534" s="6" t="s">
        <v>104</v>
      </c>
      <c r="AW1534" s="6" t="s">
        <v>104</v>
      </c>
      <c r="AX1534" s="6" t="s">
        <v>21316</v>
      </c>
      <c r="AY1534" s="6" t="s">
        <v>23120</v>
      </c>
      <c r="AZ1534" s="6" t="s">
        <v>24082</v>
      </c>
      <c r="BA1534" s="6" t="s">
        <v>104</v>
      </c>
      <c r="BB1534" s="6" t="s">
        <v>104</v>
      </c>
      <c r="BC1534" s="26"/>
      <c r="BD1534" s="26"/>
      <c r="BE1534" s="26"/>
      <c r="BF1534" s="26"/>
      <c r="BG1534" s="26"/>
      <c r="BH1534" s="26"/>
      <c r="BI1534" s="26"/>
      <c r="BJ1534" s="26"/>
      <c r="BK1534" s="26"/>
      <c r="BL1534" s="26"/>
      <c r="BM1534" s="26"/>
      <c r="BN1534" s="26"/>
      <c r="BO1534" s="26"/>
      <c r="BP1534" s="16" t="n">
        <v>45739</v>
      </c>
      <c r="BQ1534" s="28" t="str">
        <f>HYPERLINK("https://organic.ams.usda.gov/Integrity/Certificate.aspx?cid=82&amp;nopid=2780003922")</f>
        <v>https://organic.ams.usda.gov/Integrity/Certificate.aspx?cid=82&amp;nopid=2780003922</v>
      </c>
    </row>
    <row r="1535">
      <c r="A1535" t="s">
        <v>3</v>
      </c>
      <c r="B1535" s="6" t="s">
        <v>12</v>
      </c>
      <c r="C1535" s="6" t="s">
        <v>78</v>
      </c>
      <c r="D1535" s="6" t="s">
        <v>143</v>
      </c>
      <c r="E1535" s="10" t="s">
        <v>1733</v>
      </c>
      <c r="F1535" s="6" t="s">
        <v>3970</v>
      </c>
      <c r="G1535" s="6" t="s">
        <v>104</v>
      </c>
      <c r="H1535" s="6" t="s">
        <v>104</v>
      </c>
      <c r="I1535" s="6" t="s">
        <v>7504</v>
      </c>
      <c r="J1535" s="6" t="s">
        <v>9256</v>
      </c>
      <c r="K1535" s="6" t="s">
        <v>9714</v>
      </c>
      <c r="L1535" s="16" t="n">
        <v>43909</v>
      </c>
      <c r="M1535" s="16" t="n">
        <v>45735</v>
      </c>
      <c r="N1535" s="6" t="s">
        <v>104</v>
      </c>
      <c r="O1535" s="21" t="s">
        <v>104</v>
      </c>
      <c r="P1535" s="6" t="s">
        <v>104</v>
      </c>
      <c r="Q1535" s="6" t="s">
        <v>104</v>
      </c>
      <c r="R1535" s="6" t="s">
        <v>104</v>
      </c>
      <c r="S1535" s="6" t="s">
        <v>104</v>
      </c>
      <c r="T1535" s="21" t="s">
        <v>104</v>
      </c>
      <c r="U1535" s="6" t="s">
        <v>104</v>
      </c>
      <c r="V1535" s="6" t="s">
        <v>104</v>
      </c>
      <c r="W1535" s="6" t="s">
        <v>104</v>
      </c>
      <c r="X1535" s="6" t="s">
        <v>104</v>
      </c>
      <c r="Y1535" s="21" t="s">
        <v>104</v>
      </c>
      <c r="Z1535" s="6" t="s">
        <v>104</v>
      </c>
      <c r="AA1535" s="6" t="s">
        <v>104</v>
      </c>
      <c r="AB1535" s="6" t="s">
        <v>104</v>
      </c>
      <c r="AC1535" s="6" t="s">
        <v>9714</v>
      </c>
      <c r="AD1535" s="16" t="n">
        <v>43909</v>
      </c>
      <c r="AE1535" s="6" t="s">
        <v>11866</v>
      </c>
      <c r="AF1535" s="6" t="s">
        <v>104</v>
      </c>
      <c r="AG1535" s="6" t="s">
        <v>104</v>
      </c>
      <c r="AH1535" s="6" t="s">
        <v>14559</v>
      </c>
      <c r="AI1535" s="6" t="s">
        <v>104</v>
      </c>
      <c r="AJ1535" s="6" t="s">
        <v>16020</v>
      </c>
      <c r="AK1535" s="6" t="s">
        <v>16730</v>
      </c>
      <c r="AL1535" s="6" t="s">
        <v>16931</v>
      </c>
      <c r="AM1535" s="6" t="s">
        <v>17656</v>
      </c>
      <c r="AN1535" s="6" t="s">
        <v>18463</v>
      </c>
      <c r="AO1535" s="6" t="s">
        <v>18596</v>
      </c>
      <c r="AP1535" s="6" t="s">
        <v>14559</v>
      </c>
      <c r="AQ1535" s="6" t="s">
        <v>104</v>
      </c>
      <c r="AR1535" s="6" t="s">
        <v>16020</v>
      </c>
      <c r="AS1535" s="6" t="s">
        <v>16730</v>
      </c>
      <c r="AT1535" s="6" t="s">
        <v>16931</v>
      </c>
      <c r="AU1535" s="6" t="s">
        <v>17656</v>
      </c>
      <c r="AV1535" s="6" t="s">
        <v>104</v>
      </c>
      <c r="AW1535" s="6" t="s">
        <v>104</v>
      </c>
      <c r="AX1535" s="6" t="s">
        <v>104</v>
      </c>
      <c r="AY1535" s="6" t="s">
        <v>23121</v>
      </c>
      <c r="AZ1535" s="6" t="s">
        <v>104</v>
      </c>
      <c r="BA1535" s="6" t="s">
        <v>104</v>
      </c>
      <c r="BB1535" s="6" t="s">
        <v>104</v>
      </c>
      <c r="BC1535" s="26"/>
      <c r="BD1535" s="26"/>
      <c r="BE1535" s="26"/>
      <c r="BF1535" s="26"/>
      <c r="BG1535" s="26"/>
      <c r="BH1535" s="26"/>
      <c r="BI1535" s="26"/>
      <c r="BJ1535" s="26"/>
      <c r="BK1535" s="26"/>
      <c r="BL1535" s="26"/>
      <c r="BM1535" s="26"/>
      <c r="BN1535" s="26"/>
      <c r="BO1535" s="26"/>
      <c r="BP1535" s="16" t="n">
        <v>45714</v>
      </c>
      <c r="BQ1535" s="28" t="str">
        <f>HYPERLINK("https://organic.ams.usda.gov/Integrity/Certificate.aspx?cid=1&amp;nopid=9092007901")</f>
        <v>https://organic.ams.usda.gov/Integrity/Certificate.aspx?cid=1&amp;nopid=9092007901</v>
      </c>
    </row>
    <row r="1536">
      <c r="A1536" t="s">
        <v>3</v>
      </c>
      <c r="B1536" s="6" t="s">
        <v>29</v>
      </c>
      <c r="C1536" s="6" t="s">
        <v>95</v>
      </c>
      <c r="D1536" s="6" t="s">
        <v>160</v>
      </c>
      <c r="E1536" s="10" t="s">
        <v>1734</v>
      </c>
      <c r="F1536" s="6" t="s">
        <v>3971</v>
      </c>
      <c r="G1536" s="6" t="s">
        <v>104</v>
      </c>
      <c r="H1536" s="6" t="s">
        <v>6281</v>
      </c>
      <c r="I1536" s="6" t="s">
        <v>104</v>
      </c>
      <c r="J1536" s="6" t="s">
        <v>9257</v>
      </c>
      <c r="K1536" s="6" t="s">
        <v>9714</v>
      </c>
      <c r="L1536" s="16" t="n">
        <v>44076</v>
      </c>
      <c r="M1536" s="16" t="n">
        <v>46054</v>
      </c>
      <c r="N1536" s="6" t="s">
        <v>104</v>
      </c>
      <c r="O1536" s="21" t="s">
        <v>104</v>
      </c>
      <c r="P1536" s="6" t="s">
        <v>104</v>
      </c>
      <c r="Q1536" s="6" t="s">
        <v>104</v>
      </c>
      <c r="R1536" s="6" t="s">
        <v>104</v>
      </c>
      <c r="S1536" s="6" t="s">
        <v>104</v>
      </c>
      <c r="T1536" s="21" t="s">
        <v>104</v>
      </c>
      <c r="U1536" s="6" t="s">
        <v>104</v>
      </c>
      <c r="V1536" s="6" t="s">
        <v>104</v>
      </c>
      <c r="W1536" s="6" t="s">
        <v>104</v>
      </c>
      <c r="X1536" s="6" t="s">
        <v>104</v>
      </c>
      <c r="Y1536" s="21" t="s">
        <v>104</v>
      </c>
      <c r="Z1536" s="6" t="s">
        <v>104</v>
      </c>
      <c r="AA1536" s="6" t="s">
        <v>104</v>
      </c>
      <c r="AB1536" s="6" t="s">
        <v>104</v>
      </c>
      <c r="AC1536" s="6" t="s">
        <v>9714</v>
      </c>
      <c r="AD1536" s="16" t="n">
        <v>44076</v>
      </c>
      <c r="AE1536" s="6" t="s">
        <v>11867</v>
      </c>
      <c r="AF1536" s="6" t="s">
        <v>104</v>
      </c>
      <c r="AG1536" s="6" t="s">
        <v>104</v>
      </c>
      <c r="AH1536" s="6" t="s">
        <v>14560</v>
      </c>
      <c r="AI1536" s="6" t="s">
        <v>104</v>
      </c>
      <c r="AJ1536" s="6" t="s">
        <v>15721</v>
      </c>
      <c r="AK1536" s="6" t="s">
        <v>16877</v>
      </c>
      <c r="AL1536" s="6" t="s">
        <v>16931</v>
      </c>
      <c r="AM1536" s="6" t="s">
        <v>18019</v>
      </c>
      <c r="AN1536" s="6" t="s">
        <v>18472</v>
      </c>
      <c r="AO1536" s="6" t="s">
        <v>18854</v>
      </c>
      <c r="AP1536" s="6" t="s">
        <v>104</v>
      </c>
      <c r="AQ1536" s="6" t="s">
        <v>104</v>
      </c>
      <c r="AR1536" s="6" t="s">
        <v>104</v>
      </c>
      <c r="AS1536" s="6" t="s">
        <v>104</v>
      </c>
      <c r="AT1536" s="6" t="s">
        <v>104</v>
      </c>
      <c r="AU1536" s="6" t="s">
        <v>104</v>
      </c>
      <c r="AV1536" s="6" t="s">
        <v>104</v>
      </c>
      <c r="AW1536" s="6" t="s">
        <v>104</v>
      </c>
      <c r="AX1536" s="6" t="s">
        <v>21317</v>
      </c>
      <c r="AY1536" s="6" t="s">
        <v>23122</v>
      </c>
      <c r="AZ1536" s="6" t="s">
        <v>104</v>
      </c>
      <c r="BA1536" s="6" t="s">
        <v>24269</v>
      </c>
      <c r="BB1536" s="24" t="n">
        <v>0</v>
      </c>
      <c r="BC1536" s="26"/>
      <c r="BD1536" s="26"/>
      <c r="BE1536" s="26"/>
      <c r="BF1536" s="26"/>
      <c r="BG1536" s="26"/>
      <c r="BH1536" s="26"/>
      <c r="BI1536" s="26"/>
      <c r="BJ1536" s="26"/>
      <c r="BK1536" s="26"/>
      <c r="BL1536" s="26"/>
      <c r="BM1536" s="26"/>
      <c r="BN1536" s="26"/>
      <c r="BO1536" s="26"/>
      <c r="BP1536" s="16" t="n">
        <v>45738</v>
      </c>
      <c r="BQ1536" s="28" t="str">
        <f>HYPERLINK("https://organic.ams.usda.gov/Integrity/Certificate.aspx?cid=24&amp;nopid=7880229517")</f>
        <v>https://organic.ams.usda.gov/Integrity/Certificate.aspx?cid=24&amp;nopid=7880229517</v>
      </c>
    </row>
    <row r="1537">
      <c r="A1537" t="s">
        <v>3</v>
      </c>
      <c r="B1537" s="6" t="s">
        <v>25</v>
      </c>
      <c r="C1537" s="6" t="s">
        <v>91</v>
      </c>
      <c r="D1537" s="6" t="s">
        <v>156</v>
      </c>
      <c r="E1537" s="10" t="s">
        <v>1735</v>
      </c>
      <c r="F1537" s="6" t="s">
        <v>3972</v>
      </c>
      <c r="G1537" s="6" t="s">
        <v>104</v>
      </c>
      <c r="H1537" s="6" t="s">
        <v>6282</v>
      </c>
      <c r="I1537" s="6" t="s">
        <v>104</v>
      </c>
      <c r="J1537" s="6" t="s">
        <v>104</v>
      </c>
      <c r="K1537" s="6" t="s">
        <v>9714</v>
      </c>
      <c r="L1537" s="16" t="n">
        <v>44754</v>
      </c>
      <c r="M1537" s="16" t="n">
        <v>45338</v>
      </c>
      <c r="N1537" s="6" t="s">
        <v>104</v>
      </c>
      <c r="O1537" s="21" t="s">
        <v>104</v>
      </c>
      <c r="P1537" s="6" t="s">
        <v>104</v>
      </c>
      <c r="Q1537" s="6" t="s">
        <v>104</v>
      </c>
      <c r="R1537" s="6" t="s">
        <v>104</v>
      </c>
      <c r="S1537" s="6" t="s">
        <v>104</v>
      </c>
      <c r="T1537" s="21" t="s">
        <v>104</v>
      </c>
      <c r="U1537" s="6" t="s">
        <v>104</v>
      </c>
      <c r="V1537" s="6" t="s">
        <v>104</v>
      </c>
      <c r="W1537" s="6" t="s">
        <v>104</v>
      </c>
      <c r="X1537" s="6" t="s">
        <v>104</v>
      </c>
      <c r="Y1537" s="21" t="s">
        <v>104</v>
      </c>
      <c r="Z1537" s="6" t="s">
        <v>104</v>
      </c>
      <c r="AA1537" s="6" t="s">
        <v>104</v>
      </c>
      <c r="AB1537" s="6" t="s">
        <v>104</v>
      </c>
      <c r="AC1537" s="6" t="s">
        <v>9714</v>
      </c>
      <c r="AD1537" s="16" t="n">
        <v>44754</v>
      </c>
      <c r="AE1537" s="6" t="s">
        <v>11868</v>
      </c>
      <c r="AF1537" s="6" t="s">
        <v>104</v>
      </c>
      <c r="AG1537" s="6" t="s">
        <v>104</v>
      </c>
      <c r="AH1537" s="6" t="s">
        <v>14561</v>
      </c>
      <c r="AI1537" s="6" t="s">
        <v>104</v>
      </c>
      <c r="AJ1537" s="6" t="s">
        <v>16323</v>
      </c>
      <c r="AK1537" s="6" t="s">
        <v>16691</v>
      </c>
      <c r="AL1537" s="6" t="s">
        <v>16935</v>
      </c>
      <c r="AM1537" s="6" t="s">
        <v>18020</v>
      </c>
      <c r="AN1537" s="6" t="s">
        <v>104</v>
      </c>
      <c r="AO1537" s="6" t="s">
        <v>104</v>
      </c>
      <c r="AP1537" s="6" t="s">
        <v>19367</v>
      </c>
      <c r="AQ1537" s="6" t="s">
        <v>104</v>
      </c>
      <c r="AR1537" s="6" t="s">
        <v>19737</v>
      </c>
      <c r="AS1537" s="6" t="s">
        <v>16691</v>
      </c>
      <c r="AT1537" s="6" t="s">
        <v>16935</v>
      </c>
      <c r="AU1537" s="6" t="s">
        <v>20001</v>
      </c>
      <c r="AV1537" s="6" t="s">
        <v>104</v>
      </c>
      <c r="AW1537" s="6" t="s">
        <v>104</v>
      </c>
      <c r="AX1537" s="6" t="s">
        <v>104</v>
      </c>
      <c r="AY1537" s="6" t="s">
        <v>104</v>
      </c>
      <c r="AZ1537" s="6" t="s">
        <v>104</v>
      </c>
      <c r="BA1537" s="6" t="s">
        <v>104</v>
      </c>
      <c r="BB1537" s="6" t="s">
        <v>104</v>
      </c>
      <c r="BC1537" s="26"/>
      <c r="BD1537" s="26"/>
      <c r="BE1537" s="26"/>
      <c r="BF1537" s="26"/>
      <c r="BG1537" s="26"/>
      <c r="BH1537" s="26" t="s">
        <v>24533</v>
      </c>
      <c r="BI1537" s="26"/>
      <c r="BJ1537" s="26"/>
      <c r="BK1537" s="26"/>
      <c r="BL1537" s="26"/>
      <c r="BM1537" s="26"/>
      <c r="BN1537" s="26"/>
      <c r="BO1537" s="26"/>
      <c r="BP1537" s="16" t="n">
        <v>45369</v>
      </c>
      <c r="BQ1537" s="28" t="str">
        <f>HYPERLINK("https://organic.ams.usda.gov/Integrity/Certificate.aspx?cid=66&amp;nopid=5500006647")</f>
        <v>https://organic.ams.usda.gov/Integrity/Certificate.aspx?cid=66&amp;nopid=5500006647</v>
      </c>
    </row>
    <row r="1538">
      <c r="A1538" t="s">
        <v>3</v>
      </c>
      <c r="B1538" s="6" t="s">
        <v>54</v>
      </c>
      <c r="C1538" s="6" t="s">
        <v>120</v>
      </c>
      <c r="D1538" s="6" t="s">
        <v>184</v>
      </c>
      <c r="E1538" s="10" t="s">
        <v>1736</v>
      </c>
      <c r="F1538" s="6" t="s">
        <v>3973</v>
      </c>
      <c r="G1538" s="6" t="s">
        <v>104</v>
      </c>
      <c r="H1538" s="6" t="s">
        <v>6283</v>
      </c>
      <c r="I1538" s="6" t="s">
        <v>7031</v>
      </c>
      <c r="J1538" s="6" t="s">
        <v>9258</v>
      </c>
      <c r="K1538" s="6" t="s">
        <v>9714</v>
      </c>
      <c r="L1538" s="16" t="n">
        <v>43595</v>
      </c>
      <c r="M1538" s="16" t="n">
        <v>45717</v>
      </c>
      <c r="N1538" s="6" t="s">
        <v>9714</v>
      </c>
      <c r="O1538" s="16" t="n">
        <v>43595</v>
      </c>
      <c r="P1538" s="6" t="s">
        <v>10136</v>
      </c>
      <c r="Q1538" s="6" t="s">
        <v>104</v>
      </c>
      <c r="R1538" s="6" t="s">
        <v>104</v>
      </c>
      <c r="S1538" s="6" t="s">
        <v>104</v>
      </c>
      <c r="T1538" s="21" t="s">
        <v>104</v>
      </c>
      <c r="U1538" s="6" t="s">
        <v>104</v>
      </c>
      <c r="V1538" s="6" t="s">
        <v>104</v>
      </c>
      <c r="W1538" s="6" t="s">
        <v>104</v>
      </c>
      <c r="X1538" s="6" t="s">
        <v>104</v>
      </c>
      <c r="Y1538" s="21" t="s">
        <v>104</v>
      </c>
      <c r="Z1538" s="6" t="s">
        <v>104</v>
      </c>
      <c r="AA1538" s="6" t="s">
        <v>104</v>
      </c>
      <c r="AB1538" s="6" t="s">
        <v>104</v>
      </c>
      <c r="AC1538" s="6" t="s">
        <v>104</v>
      </c>
      <c r="AD1538" s="21" t="s">
        <v>104</v>
      </c>
      <c r="AE1538" s="6" t="s">
        <v>104</v>
      </c>
      <c r="AF1538" s="6" t="s">
        <v>104</v>
      </c>
      <c r="AG1538" s="6" t="s">
        <v>104</v>
      </c>
      <c r="AH1538" s="6" t="s">
        <v>14562</v>
      </c>
      <c r="AI1538" s="6" t="s">
        <v>104</v>
      </c>
      <c r="AJ1538" s="6" t="s">
        <v>16324</v>
      </c>
      <c r="AK1538" s="6" t="s">
        <v>16684</v>
      </c>
      <c r="AL1538" s="6" t="s">
        <v>16931</v>
      </c>
      <c r="AM1538" s="6" t="s">
        <v>18021</v>
      </c>
      <c r="AN1538" s="6" t="s">
        <v>18547</v>
      </c>
      <c r="AO1538" s="6" t="s">
        <v>18855</v>
      </c>
      <c r="AP1538" s="6" t="s">
        <v>19368</v>
      </c>
      <c r="AQ1538" s="6" t="s">
        <v>104</v>
      </c>
      <c r="AR1538" s="6" t="s">
        <v>15741</v>
      </c>
      <c r="AS1538" s="6" t="s">
        <v>16684</v>
      </c>
      <c r="AT1538" s="6" t="s">
        <v>16931</v>
      </c>
      <c r="AU1538" s="6" t="s">
        <v>17361</v>
      </c>
      <c r="AV1538" s="6" t="s">
        <v>104</v>
      </c>
      <c r="AW1538" s="6" t="s">
        <v>104</v>
      </c>
      <c r="AX1538" s="6" t="s">
        <v>21318</v>
      </c>
      <c r="AY1538" s="6" t="s">
        <v>23123</v>
      </c>
      <c r="AZ1538" s="6" t="s">
        <v>104</v>
      </c>
      <c r="BA1538" s="6" t="s">
        <v>24267</v>
      </c>
      <c r="BB1538" s="24" t="n">
        <v>410</v>
      </c>
      <c r="BC1538" s="26"/>
      <c r="BD1538" s="26"/>
      <c r="BE1538" s="26"/>
      <c r="BF1538" s="26"/>
      <c r="BG1538" s="26"/>
      <c r="BH1538" s="26"/>
      <c r="BI1538" s="26"/>
      <c r="BJ1538" s="26"/>
      <c r="BK1538" s="26"/>
      <c r="BL1538" s="26"/>
      <c r="BM1538" s="26"/>
      <c r="BN1538" s="26"/>
      <c r="BO1538" s="26"/>
      <c r="BP1538" s="16" t="n">
        <v>45672</v>
      </c>
      <c r="BQ1538" s="28" t="str">
        <f>HYPERLINK("https://organic.ams.usda.gov/Integrity/Certificate.aspx?cid=60&amp;nopid=2580003041")</f>
        <v>https://organic.ams.usda.gov/Integrity/Certificate.aspx?cid=60&amp;nopid=2580003041</v>
      </c>
    </row>
    <row r="1539">
      <c r="A1539" t="s">
        <v>3</v>
      </c>
      <c r="B1539" s="6" t="s">
        <v>41</v>
      </c>
      <c r="C1539" s="6" t="s">
        <v>107</v>
      </c>
      <c r="D1539" s="6" t="s">
        <v>171</v>
      </c>
      <c r="E1539" s="10" t="s">
        <v>1737</v>
      </c>
      <c r="F1539" s="6" t="s">
        <v>3974</v>
      </c>
      <c r="G1539" s="6" t="s">
        <v>4815</v>
      </c>
      <c r="H1539" s="6" t="s">
        <v>6284</v>
      </c>
      <c r="I1539" s="6" t="s">
        <v>7216</v>
      </c>
      <c r="J1539" s="6" t="s">
        <v>9259</v>
      </c>
      <c r="K1539" s="6" t="s">
        <v>9714</v>
      </c>
      <c r="L1539" s="16" t="n">
        <v>37550</v>
      </c>
      <c r="M1539" s="16" t="n">
        <v>46157</v>
      </c>
      <c r="N1539" s="6" t="s">
        <v>9714</v>
      </c>
      <c r="O1539" s="16" t="n">
        <v>37550</v>
      </c>
      <c r="P1539" s="6" t="s">
        <v>10137</v>
      </c>
      <c r="Q1539" s="6" t="s">
        <v>104</v>
      </c>
      <c r="R1539" s="6" t="s">
        <v>104</v>
      </c>
      <c r="S1539" s="6" t="s">
        <v>9721</v>
      </c>
      <c r="T1539" s="16" t="n">
        <v>44846</v>
      </c>
      <c r="U1539" s="6" t="s">
        <v>104</v>
      </c>
      <c r="V1539" s="6" t="s">
        <v>104</v>
      </c>
      <c r="W1539" s="6" t="s">
        <v>104</v>
      </c>
      <c r="X1539" s="6" t="s">
        <v>104</v>
      </c>
      <c r="Y1539" s="21" t="s">
        <v>104</v>
      </c>
      <c r="Z1539" s="6" t="s">
        <v>104</v>
      </c>
      <c r="AA1539" s="6" t="s">
        <v>104</v>
      </c>
      <c r="AB1539" s="6" t="s">
        <v>104</v>
      </c>
      <c r="AC1539" s="6" t="s">
        <v>9714</v>
      </c>
      <c r="AD1539" s="16" t="n">
        <v>45134</v>
      </c>
      <c r="AE1539" s="6" t="s">
        <v>11869</v>
      </c>
      <c r="AF1539" s="6" t="s">
        <v>104</v>
      </c>
      <c r="AG1539" s="6" t="s">
        <v>104</v>
      </c>
      <c r="AH1539" s="6" t="s">
        <v>14563</v>
      </c>
      <c r="AI1539" s="6" t="s">
        <v>104</v>
      </c>
      <c r="AJ1539" s="6" t="s">
        <v>16325</v>
      </c>
      <c r="AK1539" s="6" t="s">
        <v>16706</v>
      </c>
      <c r="AL1539" s="6" t="s">
        <v>16931</v>
      </c>
      <c r="AM1539" s="6" t="s">
        <v>18022</v>
      </c>
      <c r="AN1539" s="6" t="s">
        <v>18487</v>
      </c>
      <c r="AO1539" s="6" t="s">
        <v>18856</v>
      </c>
      <c r="AP1539" s="6" t="s">
        <v>19369</v>
      </c>
      <c r="AQ1539" s="6" t="s">
        <v>104</v>
      </c>
      <c r="AR1539" s="6" t="s">
        <v>16325</v>
      </c>
      <c r="AS1539" s="6" t="s">
        <v>16706</v>
      </c>
      <c r="AT1539" s="6" t="s">
        <v>16931</v>
      </c>
      <c r="AU1539" s="6" t="s">
        <v>18022</v>
      </c>
      <c r="AV1539" s="6" t="s">
        <v>104</v>
      </c>
      <c r="AW1539" s="6" t="s">
        <v>104</v>
      </c>
      <c r="AX1539" s="6" t="s">
        <v>21319</v>
      </c>
      <c r="AY1539" s="6" t="s">
        <v>23124</v>
      </c>
      <c r="AZ1539" s="6" t="s">
        <v>104</v>
      </c>
      <c r="BA1539" s="6" t="s">
        <v>104</v>
      </c>
      <c r="BB1539" s="24" t="n">
        <v>515</v>
      </c>
      <c r="BC1539" s="26" t="s">
        <v>24533</v>
      </c>
      <c r="BD1539" s="26"/>
      <c r="BE1539" s="26"/>
      <c r="BF1539" s="26"/>
      <c r="BG1539" s="26"/>
      <c r="BH1539" s="26"/>
      <c r="BI1539" s="26"/>
      <c r="BJ1539" s="26"/>
      <c r="BK1539" s="26"/>
      <c r="BL1539" s="26"/>
      <c r="BM1539" s="26"/>
      <c r="BN1539" s="26"/>
      <c r="BO1539" s="26"/>
      <c r="BP1539" s="16" t="n">
        <v>45737</v>
      </c>
      <c r="BQ1539" s="28" t="str">
        <f>HYPERLINK("https://organic.ams.usda.gov/Integrity/Certificate.aspx?cid=58&amp;nopid=1600000801")</f>
        <v>https://organic.ams.usda.gov/Integrity/Certificate.aspx?cid=58&amp;nopid=1600000801</v>
      </c>
    </row>
    <row r="1540">
      <c r="A1540" t="s">
        <v>3</v>
      </c>
      <c r="B1540" s="6" t="s">
        <v>54</v>
      </c>
      <c r="C1540" s="6" t="s">
        <v>120</v>
      </c>
      <c r="D1540" s="6" t="s">
        <v>184</v>
      </c>
      <c r="E1540" s="10" t="s">
        <v>1738</v>
      </c>
      <c r="F1540" s="6" t="s">
        <v>3975</v>
      </c>
      <c r="G1540" s="6" t="s">
        <v>104</v>
      </c>
      <c r="H1540" s="6" t="s">
        <v>6285</v>
      </c>
      <c r="I1540" s="6" t="s">
        <v>7815</v>
      </c>
      <c r="J1540" s="6" t="s">
        <v>9260</v>
      </c>
      <c r="K1540" s="6" t="s">
        <v>9714</v>
      </c>
      <c r="L1540" s="16" t="n">
        <v>38695</v>
      </c>
      <c r="M1540" s="16" t="n">
        <v>45717</v>
      </c>
      <c r="N1540" s="6" t="s">
        <v>9714</v>
      </c>
      <c r="O1540" s="16" t="n">
        <v>38695</v>
      </c>
      <c r="P1540" s="6" t="s">
        <v>10138</v>
      </c>
      <c r="Q1540" s="6" t="s">
        <v>104</v>
      </c>
      <c r="R1540" s="6" t="s">
        <v>104</v>
      </c>
      <c r="S1540" s="6" t="s">
        <v>9721</v>
      </c>
      <c r="T1540" s="16" t="n">
        <v>45348</v>
      </c>
      <c r="U1540" s="6" t="s">
        <v>104</v>
      </c>
      <c r="V1540" s="6" t="s">
        <v>104</v>
      </c>
      <c r="W1540" s="6" t="s">
        <v>104</v>
      </c>
      <c r="X1540" s="6" t="s">
        <v>104</v>
      </c>
      <c r="Y1540" s="21" t="s">
        <v>104</v>
      </c>
      <c r="Z1540" s="6" t="s">
        <v>104</v>
      </c>
      <c r="AA1540" s="6" t="s">
        <v>104</v>
      </c>
      <c r="AB1540" s="6" t="s">
        <v>104</v>
      </c>
      <c r="AC1540" s="6" t="s">
        <v>104</v>
      </c>
      <c r="AD1540" s="21" t="s">
        <v>104</v>
      </c>
      <c r="AE1540" s="6" t="s">
        <v>104</v>
      </c>
      <c r="AF1540" s="6" t="s">
        <v>104</v>
      </c>
      <c r="AG1540" s="6" t="s">
        <v>104</v>
      </c>
      <c r="AH1540" s="6" t="s">
        <v>14564</v>
      </c>
      <c r="AI1540" s="6" t="s">
        <v>104</v>
      </c>
      <c r="AJ1540" s="6" t="s">
        <v>16326</v>
      </c>
      <c r="AK1540" s="6" t="s">
        <v>16694</v>
      </c>
      <c r="AL1540" s="6" t="s">
        <v>16931</v>
      </c>
      <c r="AM1540" s="6" t="s">
        <v>18023</v>
      </c>
      <c r="AN1540" s="6" t="s">
        <v>18548</v>
      </c>
      <c r="AO1540" s="6" t="s">
        <v>18857</v>
      </c>
      <c r="AP1540" s="6" t="s">
        <v>19370</v>
      </c>
      <c r="AQ1540" s="6" t="s">
        <v>104</v>
      </c>
      <c r="AR1540" s="6" t="s">
        <v>16326</v>
      </c>
      <c r="AS1540" s="6" t="s">
        <v>16694</v>
      </c>
      <c r="AT1540" s="6" t="s">
        <v>16931</v>
      </c>
      <c r="AU1540" s="6" t="s">
        <v>18023</v>
      </c>
      <c r="AV1540" s="6" t="s">
        <v>104</v>
      </c>
      <c r="AW1540" s="6" t="s">
        <v>104</v>
      </c>
      <c r="AX1540" s="6" t="s">
        <v>104</v>
      </c>
      <c r="AY1540" s="6" t="s">
        <v>104</v>
      </c>
      <c r="AZ1540" s="6" t="s">
        <v>104</v>
      </c>
      <c r="BA1540" s="6" t="s">
        <v>24272</v>
      </c>
      <c r="BB1540" s="24" t="n">
        <v>348</v>
      </c>
      <c r="BC1540" s="26"/>
      <c r="BD1540" s="26"/>
      <c r="BE1540" s="26"/>
      <c r="BF1540" s="26"/>
      <c r="BG1540" s="26"/>
      <c r="BH1540" s="26"/>
      <c r="BI1540" s="26"/>
      <c r="BJ1540" s="26"/>
      <c r="BK1540" s="26"/>
      <c r="BL1540" s="26"/>
      <c r="BM1540" s="26"/>
      <c r="BN1540" s="26"/>
      <c r="BO1540" s="26"/>
      <c r="BP1540" s="16" t="n">
        <v>45611</v>
      </c>
      <c r="BQ1540" s="28" t="str">
        <f>HYPERLINK("https://organic.ams.usda.gov/Integrity/Certificate.aspx?cid=60&amp;nopid=2580000078")</f>
        <v>https://organic.ams.usda.gov/Integrity/Certificate.aspx?cid=60&amp;nopid=2580000078</v>
      </c>
    </row>
    <row r="1541">
      <c r="A1541" t="s">
        <v>3</v>
      </c>
      <c r="B1541" s="6" t="s">
        <v>45</v>
      </c>
      <c r="C1541" s="6" t="s">
        <v>111</v>
      </c>
      <c r="D1541" s="6" t="s">
        <v>175</v>
      </c>
      <c r="E1541" s="10" t="s">
        <v>1739</v>
      </c>
      <c r="F1541" s="6" t="s">
        <v>3976</v>
      </c>
      <c r="G1541" s="6" t="s">
        <v>104</v>
      </c>
      <c r="H1541" s="6" t="s">
        <v>6286</v>
      </c>
      <c r="I1541" s="6" t="s">
        <v>7816</v>
      </c>
      <c r="J1541" s="6" t="s">
        <v>9261</v>
      </c>
      <c r="K1541" s="6" t="s">
        <v>9714</v>
      </c>
      <c r="L1541" s="16" t="n">
        <v>44175</v>
      </c>
      <c r="M1541" s="16" t="n">
        <v>46082</v>
      </c>
      <c r="N1541" s="6" t="s">
        <v>104</v>
      </c>
      <c r="O1541" s="21" t="s">
        <v>104</v>
      </c>
      <c r="P1541" s="6" t="s">
        <v>104</v>
      </c>
      <c r="Q1541" s="6" t="s">
        <v>104</v>
      </c>
      <c r="R1541" s="6" t="s">
        <v>104</v>
      </c>
      <c r="S1541" s="6" t="s">
        <v>104</v>
      </c>
      <c r="T1541" s="21" t="s">
        <v>104</v>
      </c>
      <c r="U1541" s="6" t="s">
        <v>104</v>
      </c>
      <c r="V1541" s="6" t="s">
        <v>104</v>
      </c>
      <c r="W1541" s="6" t="s">
        <v>104</v>
      </c>
      <c r="X1541" s="6" t="s">
        <v>104</v>
      </c>
      <c r="Y1541" s="21" t="s">
        <v>104</v>
      </c>
      <c r="Z1541" s="6" t="s">
        <v>104</v>
      </c>
      <c r="AA1541" s="6" t="s">
        <v>104</v>
      </c>
      <c r="AB1541" s="6" t="s">
        <v>104</v>
      </c>
      <c r="AC1541" s="6" t="s">
        <v>9714</v>
      </c>
      <c r="AD1541" s="16" t="n">
        <v>44175</v>
      </c>
      <c r="AE1541" s="6" t="s">
        <v>11870</v>
      </c>
      <c r="AF1541" s="6" t="s">
        <v>104</v>
      </c>
      <c r="AG1541" s="6" t="s">
        <v>4667</v>
      </c>
      <c r="AH1541" s="6" t="s">
        <v>14565</v>
      </c>
      <c r="AI1541" s="6" t="s">
        <v>104</v>
      </c>
      <c r="AJ1541" s="6" t="s">
        <v>16327</v>
      </c>
      <c r="AK1541" s="6" t="s">
        <v>16382</v>
      </c>
      <c r="AL1541" s="6" t="s">
        <v>16931</v>
      </c>
      <c r="AM1541" s="6" t="s">
        <v>18024</v>
      </c>
      <c r="AN1541" s="6" t="s">
        <v>104</v>
      </c>
      <c r="AO1541" s="6" t="s">
        <v>104</v>
      </c>
      <c r="AP1541" s="6" t="s">
        <v>14565</v>
      </c>
      <c r="AQ1541" s="6" t="s">
        <v>104</v>
      </c>
      <c r="AR1541" s="6" t="s">
        <v>16327</v>
      </c>
      <c r="AS1541" s="6" t="s">
        <v>16382</v>
      </c>
      <c r="AT1541" s="6" t="s">
        <v>16931</v>
      </c>
      <c r="AU1541" s="6" t="s">
        <v>18024</v>
      </c>
      <c r="AV1541" s="6" t="s">
        <v>18521</v>
      </c>
      <c r="AW1541" s="6" t="s">
        <v>20102</v>
      </c>
      <c r="AX1541" s="6" t="s">
        <v>21320</v>
      </c>
      <c r="AY1541" s="6" t="s">
        <v>23125</v>
      </c>
      <c r="AZ1541" s="6" t="s">
        <v>24083</v>
      </c>
      <c r="BA1541" s="6" t="s">
        <v>104</v>
      </c>
      <c r="BB1541" s="6" t="s">
        <v>104</v>
      </c>
      <c r="BC1541" s="26"/>
      <c r="BD1541" s="26"/>
      <c r="BE1541" s="26"/>
      <c r="BF1541" s="26"/>
      <c r="BG1541" s="26"/>
      <c r="BH1541" s="26"/>
      <c r="BI1541" s="26"/>
      <c r="BJ1541" s="26"/>
      <c r="BK1541" s="26"/>
      <c r="BL1541" s="26"/>
      <c r="BM1541" s="26"/>
      <c r="BN1541" s="26"/>
      <c r="BO1541" s="26"/>
      <c r="BP1541" s="16" t="n">
        <v>45739</v>
      </c>
      <c r="BQ1541" s="28" t="str">
        <f>HYPERLINK("https://organic.ams.usda.gov/Integrity/Certificate.aspx?cid=82&amp;nopid=2780003742")</f>
        <v>https://organic.ams.usda.gov/Integrity/Certificate.aspx?cid=82&amp;nopid=2780003742</v>
      </c>
    </row>
    <row r="1542">
      <c r="A1542" t="s">
        <v>3</v>
      </c>
      <c r="B1542" s="6" t="s">
        <v>29</v>
      </c>
      <c r="C1542" s="6" t="s">
        <v>95</v>
      </c>
      <c r="D1542" s="6" t="s">
        <v>160</v>
      </c>
      <c r="E1542" s="10" t="s">
        <v>1740</v>
      </c>
      <c r="F1542" s="6" t="s">
        <v>3977</v>
      </c>
      <c r="G1542" s="6" t="s">
        <v>104</v>
      </c>
      <c r="H1542" s="6" t="s">
        <v>6287</v>
      </c>
      <c r="I1542" s="6" t="s">
        <v>104</v>
      </c>
      <c r="J1542" s="6" t="s">
        <v>9262</v>
      </c>
      <c r="K1542" s="6" t="s">
        <v>9714</v>
      </c>
      <c r="L1542" s="16" t="n">
        <v>43509</v>
      </c>
      <c r="M1542" s="16" t="n">
        <v>45870</v>
      </c>
      <c r="N1542" s="6" t="s">
        <v>9714</v>
      </c>
      <c r="O1542" s="16" t="n">
        <v>43509</v>
      </c>
      <c r="P1542" s="6" t="s">
        <v>10139</v>
      </c>
      <c r="Q1542" s="6" t="s">
        <v>104</v>
      </c>
      <c r="R1542" s="6" t="s">
        <v>104</v>
      </c>
      <c r="S1542" s="6" t="s">
        <v>104</v>
      </c>
      <c r="T1542" s="21" t="s">
        <v>104</v>
      </c>
      <c r="U1542" s="6" t="s">
        <v>104</v>
      </c>
      <c r="V1542" s="6" t="s">
        <v>104</v>
      </c>
      <c r="W1542" s="6" t="s">
        <v>104</v>
      </c>
      <c r="X1542" s="6" t="s">
        <v>104</v>
      </c>
      <c r="Y1542" s="21" t="s">
        <v>104</v>
      </c>
      <c r="Z1542" s="6" t="s">
        <v>104</v>
      </c>
      <c r="AA1542" s="6" t="s">
        <v>104</v>
      </c>
      <c r="AB1542" s="6" t="s">
        <v>104</v>
      </c>
      <c r="AC1542" s="6" t="s">
        <v>104</v>
      </c>
      <c r="AD1542" s="21" t="s">
        <v>104</v>
      </c>
      <c r="AE1542" s="6" t="s">
        <v>104</v>
      </c>
      <c r="AF1542" s="6" t="s">
        <v>104</v>
      </c>
      <c r="AG1542" s="6" t="s">
        <v>104</v>
      </c>
      <c r="AH1542" s="6" t="s">
        <v>14566</v>
      </c>
      <c r="AI1542" s="6" t="s">
        <v>104</v>
      </c>
      <c r="AJ1542" s="6" t="s">
        <v>16328</v>
      </c>
      <c r="AK1542" s="6" t="s">
        <v>16878</v>
      </c>
      <c r="AL1542" s="6" t="s">
        <v>16935</v>
      </c>
      <c r="AM1542" s="6" t="s">
        <v>104</v>
      </c>
      <c r="AN1542" s="6" t="s">
        <v>104</v>
      </c>
      <c r="AO1542" s="6" t="s">
        <v>104</v>
      </c>
      <c r="AP1542" s="6" t="s">
        <v>104</v>
      </c>
      <c r="AQ1542" s="6" t="s">
        <v>104</v>
      </c>
      <c r="AR1542" s="6" t="s">
        <v>104</v>
      </c>
      <c r="AS1542" s="6" t="s">
        <v>104</v>
      </c>
      <c r="AT1542" s="6" t="s">
        <v>104</v>
      </c>
      <c r="AU1542" s="6" t="s">
        <v>104</v>
      </c>
      <c r="AV1542" s="6" t="s">
        <v>104</v>
      </c>
      <c r="AW1542" s="6" t="s">
        <v>104</v>
      </c>
      <c r="AX1542" s="6" t="s">
        <v>21321</v>
      </c>
      <c r="AY1542" s="6" t="s">
        <v>23126</v>
      </c>
      <c r="AZ1542" s="6" t="s">
        <v>104</v>
      </c>
      <c r="BA1542" s="6" t="s">
        <v>24269</v>
      </c>
      <c r="BB1542" s="24" t="n">
        <v>19</v>
      </c>
      <c r="BC1542" s="26"/>
      <c r="BD1542" s="26"/>
      <c r="BE1542" s="26"/>
      <c r="BF1542" s="26"/>
      <c r="BG1542" s="26"/>
      <c r="BH1542" s="26"/>
      <c r="BI1542" s="26"/>
      <c r="BJ1542" s="26"/>
      <c r="BK1542" s="26"/>
      <c r="BL1542" s="26"/>
      <c r="BM1542" s="26"/>
      <c r="BN1542" s="26"/>
      <c r="BO1542" s="26"/>
      <c r="BP1542" s="16" t="n">
        <v>45698</v>
      </c>
      <c r="BQ1542" s="28" t="str">
        <f>HYPERLINK("https://organic.ams.usda.gov/Integrity/Certificate.aspx?cid=24&amp;nopid=7881568001")</f>
        <v>https://organic.ams.usda.gov/Integrity/Certificate.aspx?cid=24&amp;nopid=7881568001</v>
      </c>
    </row>
    <row r="1543">
      <c r="A1543" t="s">
        <v>3</v>
      </c>
      <c r="B1543" s="6" t="s">
        <v>41</v>
      </c>
      <c r="C1543" s="6" t="s">
        <v>107</v>
      </c>
      <c r="D1543" s="6" t="s">
        <v>171</v>
      </c>
      <c r="E1543" s="10" t="s">
        <v>1741</v>
      </c>
      <c r="F1543" s="6" t="s">
        <v>3978</v>
      </c>
      <c r="G1543" s="6" t="s">
        <v>4816</v>
      </c>
      <c r="H1543" s="6" t="s">
        <v>6288</v>
      </c>
      <c r="I1543" s="6" t="s">
        <v>7817</v>
      </c>
      <c r="J1543" s="6" t="s">
        <v>9263</v>
      </c>
      <c r="K1543" s="6" t="s">
        <v>9714</v>
      </c>
      <c r="L1543" s="16" t="n">
        <v>43697</v>
      </c>
      <c r="M1543" s="16" t="n">
        <v>45901</v>
      </c>
      <c r="N1543" s="6" t="s">
        <v>104</v>
      </c>
      <c r="O1543" s="21" t="s">
        <v>104</v>
      </c>
      <c r="P1543" s="6" t="s">
        <v>104</v>
      </c>
      <c r="Q1543" s="6" t="s">
        <v>104</v>
      </c>
      <c r="R1543" s="6" t="s">
        <v>104</v>
      </c>
      <c r="S1543" s="6" t="s">
        <v>104</v>
      </c>
      <c r="T1543" s="21" t="s">
        <v>104</v>
      </c>
      <c r="U1543" s="6" t="s">
        <v>104</v>
      </c>
      <c r="V1543" s="6" t="s">
        <v>104</v>
      </c>
      <c r="W1543" s="6" t="s">
        <v>104</v>
      </c>
      <c r="X1543" s="6" t="s">
        <v>104</v>
      </c>
      <c r="Y1543" s="21" t="s">
        <v>104</v>
      </c>
      <c r="Z1543" s="6" t="s">
        <v>104</v>
      </c>
      <c r="AA1543" s="6" t="s">
        <v>104</v>
      </c>
      <c r="AB1543" s="6" t="s">
        <v>104</v>
      </c>
      <c r="AC1543" s="6" t="s">
        <v>9714</v>
      </c>
      <c r="AD1543" s="16" t="n">
        <v>43697</v>
      </c>
      <c r="AE1543" s="6" t="s">
        <v>11871</v>
      </c>
      <c r="AF1543" s="6" t="s">
        <v>104</v>
      </c>
      <c r="AG1543" s="6" t="s">
        <v>104</v>
      </c>
      <c r="AH1543" s="6" t="s">
        <v>14567</v>
      </c>
      <c r="AI1543" s="6" t="s">
        <v>104</v>
      </c>
      <c r="AJ1543" s="6" t="s">
        <v>16329</v>
      </c>
      <c r="AK1543" s="6" t="s">
        <v>16686</v>
      </c>
      <c r="AL1543" s="6" t="s">
        <v>16931</v>
      </c>
      <c r="AM1543" s="6" t="s">
        <v>18025</v>
      </c>
      <c r="AN1543" s="6" t="s">
        <v>18457</v>
      </c>
      <c r="AO1543" s="6" t="s">
        <v>18796</v>
      </c>
      <c r="AP1543" s="6" t="s">
        <v>14567</v>
      </c>
      <c r="AQ1543" s="6" t="s">
        <v>104</v>
      </c>
      <c r="AR1543" s="6" t="s">
        <v>16329</v>
      </c>
      <c r="AS1543" s="6" t="s">
        <v>16686</v>
      </c>
      <c r="AT1543" s="6" t="s">
        <v>16931</v>
      </c>
      <c r="AU1543" s="6" t="s">
        <v>18025</v>
      </c>
      <c r="AV1543" s="6" t="s">
        <v>104</v>
      </c>
      <c r="AW1543" s="6" t="s">
        <v>104</v>
      </c>
      <c r="AX1543" s="6" t="s">
        <v>21322</v>
      </c>
      <c r="AY1543" s="6" t="s">
        <v>23127</v>
      </c>
      <c r="AZ1543" s="6" t="s">
        <v>104</v>
      </c>
      <c r="BA1543" s="6" t="s">
        <v>104</v>
      </c>
      <c r="BB1543" s="6" t="s">
        <v>104</v>
      </c>
      <c r="BC1543" s="26"/>
      <c r="BD1543" s="26"/>
      <c r="BE1543" s="26"/>
      <c r="BF1543" s="26"/>
      <c r="BG1543" s="26"/>
      <c r="BH1543" s="26"/>
      <c r="BI1543" s="26"/>
      <c r="BJ1543" s="26"/>
      <c r="BK1543" s="26"/>
      <c r="BL1543" s="26"/>
      <c r="BM1543" s="26"/>
      <c r="BN1543" s="26"/>
      <c r="BO1543" s="26"/>
      <c r="BP1543" s="16" t="n">
        <v>45737</v>
      </c>
      <c r="BQ1543" s="28" t="str">
        <f>HYPERLINK("https://organic.ams.usda.gov/Integrity/Certificate.aspx?cid=58&amp;nopid=1600003341")</f>
        <v>https://organic.ams.usda.gov/Integrity/Certificate.aspx?cid=58&amp;nopid=1600003341</v>
      </c>
    </row>
    <row r="1544">
      <c r="A1544" t="s">
        <v>3</v>
      </c>
      <c r="B1544" s="6" t="s">
        <v>29</v>
      </c>
      <c r="C1544" s="6" t="s">
        <v>95</v>
      </c>
      <c r="D1544" s="6" t="s">
        <v>160</v>
      </c>
      <c r="E1544" s="10" t="s">
        <v>1742</v>
      </c>
      <c r="F1544" s="6" t="s">
        <v>3979</v>
      </c>
      <c r="G1544" s="6" t="s">
        <v>104</v>
      </c>
      <c r="H1544" s="6" t="s">
        <v>6289</v>
      </c>
      <c r="I1544" s="6" t="s">
        <v>104</v>
      </c>
      <c r="J1544" s="6" t="s">
        <v>9264</v>
      </c>
      <c r="K1544" s="6" t="s">
        <v>9714</v>
      </c>
      <c r="L1544" s="16" t="n">
        <v>45378</v>
      </c>
      <c r="M1544" s="16" t="n">
        <v>46054</v>
      </c>
      <c r="N1544" s="6" t="s">
        <v>104</v>
      </c>
      <c r="O1544" s="21" t="s">
        <v>104</v>
      </c>
      <c r="P1544" s="6" t="s">
        <v>104</v>
      </c>
      <c r="Q1544" s="6" t="s">
        <v>104</v>
      </c>
      <c r="R1544" s="6" t="s">
        <v>104</v>
      </c>
      <c r="S1544" s="6" t="s">
        <v>104</v>
      </c>
      <c r="T1544" s="21" t="s">
        <v>104</v>
      </c>
      <c r="U1544" s="6" t="s">
        <v>104</v>
      </c>
      <c r="V1544" s="6" t="s">
        <v>104</v>
      </c>
      <c r="W1544" s="6" t="s">
        <v>104</v>
      </c>
      <c r="X1544" s="6" t="s">
        <v>104</v>
      </c>
      <c r="Y1544" s="21" t="s">
        <v>104</v>
      </c>
      <c r="Z1544" s="6" t="s">
        <v>104</v>
      </c>
      <c r="AA1544" s="6" t="s">
        <v>104</v>
      </c>
      <c r="AB1544" s="6" t="s">
        <v>104</v>
      </c>
      <c r="AC1544" s="6" t="s">
        <v>9714</v>
      </c>
      <c r="AD1544" s="16" t="n">
        <v>45378</v>
      </c>
      <c r="AE1544" s="6" t="s">
        <v>11872</v>
      </c>
      <c r="AF1544" s="6" t="s">
        <v>104</v>
      </c>
      <c r="AG1544" s="6" t="s">
        <v>104</v>
      </c>
      <c r="AH1544" s="6" t="s">
        <v>14568</v>
      </c>
      <c r="AI1544" s="6" t="s">
        <v>15317</v>
      </c>
      <c r="AJ1544" s="6" t="s">
        <v>15911</v>
      </c>
      <c r="AK1544" s="6" t="s">
        <v>16816</v>
      </c>
      <c r="AL1544" s="6" t="s">
        <v>16958</v>
      </c>
      <c r="AM1544" s="6" t="s">
        <v>18026</v>
      </c>
      <c r="AN1544" s="6" t="s">
        <v>104</v>
      </c>
      <c r="AO1544" s="6" t="s">
        <v>104</v>
      </c>
      <c r="AP1544" s="6" t="s">
        <v>104</v>
      </c>
      <c r="AQ1544" s="6" t="s">
        <v>104</v>
      </c>
      <c r="AR1544" s="6" t="s">
        <v>104</v>
      </c>
      <c r="AS1544" s="6" t="s">
        <v>104</v>
      </c>
      <c r="AT1544" s="6" t="s">
        <v>104</v>
      </c>
      <c r="AU1544" s="6" t="s">
        <v>104</v>
      </c>
      <c r="AV1544" s="6" t="s">
        <v>104</v>
      </c>
      <c r="AW1544" s="6" t="s">
        <v>104</v>
      </c>
      <c r="AX1544" s="6" t="s">
        <v>21323</v>
      </c>
      <c r="AY1544" s="6" t="s">
        <v>23128</v>
      </c>
      <c r="AZ1544" s="6" t="s">
        <v>104</v>
      </c>
      <c r="BA1544" s="6" t="s">
        <v>104</v>
      </c>
      <c r="BB1544" s="24" t="n">
        <v>0</v>
      </c>
      <c r="BC1544" s="26"/>
      <c r="BD1544" s="26"/>
      <c r="BE1544" s="26"/>
      <c r="BF1544" s="26"/>
      <c r="BG1544" s="26" t="s">
        <v>24533</v>
      </c>
      <c r="BH1544" s="26"/>
      <c r="BI1544" s="26"/>
      <c r="BJ1544" s="26"/>
      <c r="BK1544" s="26"/>
      <c r="BL1544" s="26"/>
      <c r="BM1544" s="26"/>
      <c r="BN1544" s="26"/>
      <c r="BO1544" s="26"/>
      <c r="BP1544" s="16" t="n">
        <v>45691</v>
      </c>
      <c r="BQ1544" s="28" t="str">
        <f>HYPERLINK("https://organic.ams.usda.gov/Integrity/Certificate.aspx?cid=24&amp;nopid=7880291424")</f>
        <v>https://organic.ams.usda.gov/Integrity/Certificate.aspx?cid=24&amp;nopid=7880291424</v>
      </c>
    </row>
    <row r="1545">
      <c r="A1545" t="s">
        <v>3</v>
      </c>
      <c r="B1545" s="6" t="s">
        <v>11</v>
      </c>
      <c r="C1545" s="6" t="s">
        <v>77</v>
      </c>
      <c r="D1545" s="6" t="s">
        <v>142</v>
      </c>
      <c r="E1545" s="10" t="s">
        <v>1743</v>
      </c>
      <c r="F1545" s="6" t="s">
        <v>3980</v>
      </c>
      <c r="G1545" s="6" t="s">
        <v>104</v>
      </c>
      <c r="H1545" s="6" t="s">
        <v>1743</v>
      </c>
      <c r="I1545" s="6" t="s">
        <v>7818</v>
      </c>
      <c r="J1545" s="6" t="s">
        <v>7030</v>
      </c>
      <c r="K1545" s="6" t="s">
        <v>9714</v>
      </c>
      <c r="L1545" s="16" t="n">
        <v>44573</v>
      </c>
      <c r="M1545" s="16" t="n">
        <v>45998</v>
      </c>
      <c r="N1545" s="6" t="s">
        <v>104</v>
      </c>
      <c r="O1545" s="21" t="s">
        <v>104</v>
      </c>
      <c r="P1545" s="6" t="s">
        <v>104</v>
      </c>
      <c r="Q1545" s="6" t="s">
        <v>104</v>
      </c>
      <c r="R1545" s="6" t="s">
        <v>104</v>
      </c>
      <c r="S1545" s="6" t="s">
        <v>104</v>
      </c>
      <c r="T1545" s="21" t="s">
        <v>104</v>
      </c>
      <c r="U1545" s="6" t="s">
        <v>104</v>
      </c>
      <c r="V1545" s="6" t="s">
        <v>104</v>
      </c>
      <c r="W1545" s="6" t="s">
        <v>104</v>
      </c>
      <c r="X1545" s="6" t="s">
        <v>104</v>
      </c>
      <c r="Y1545" s="21" t="s">
        <v>104</v>
      </c>
      <c r="Z1545" s="6" t="s">
        <v>104</v>
      </c>
      <c r="AA1545" s="6" t="s">
        <v>104</v>
      </c>
      <c r="AB1545" s="6" t="s">
        <v>104</v>
      </c>
      <c r="AC1545" s="6" t="s">
        <v>9714</v>
      </c>
      <c r="AD1545" s="16" t="n">
        <v>44573</v>
      </c>
      <c r="AE1545" s="6" t="s">
        <v>11873</v>
      </c>
      <c r="AF1545" s="6" t="s">
        <v>104</v>
      </c>
      <c r="AG1545" s="6" t="s">
        <v>12969</v>
      </c>
      <c r="AH1545" s="6" t="s">
        <v>14569</v>
      </c>
      <c r="AI1545" s="6" t="s">
        <v>104</v>
      </c>
      <c r="AJ1545" s="6" t="s">
        <v>16330</v>
      </c>
      <c r="AK1545" s="6" t="s">
        <v>16718</v>
      </c>
      <c r="AL1545" s="6" t="s">
        <v>16932</v>
      </c>
      <c r="AM1545" s="6" t="s">
        <v>18027</v>
      </c>
      <c r="AN1545" s="6" t="s">
        <v>104</v>
      </c>
      <c r="AO1545" s="6" t="s">
        <v>104</v>
      </c>
      <c r="AP1545" s="6" t="s">
        <v>14569</v>
      </c>
      <c r="AQ1545" s="6" t="s">
        <v>104</v>
      </c>
      <c r="AR1545" s="6" t="s">
        <v>16330</v>
      </c>
      <c r="AS1545" s="6" t="s">
        <v>16718</v>
      </c>
      <c r="AT1545" s="6" t="s">
        <v>16932</v>
      </c>
      <c r="AU1545" s="6" t="s">
        <v>18027</v>
      </c>
      <c r="AV1545" s="6" t="s">
        <v>104</v>
      </c>
      <c r="AW1545" s="6" t="s">
        <v>104</v>
      </c>
      <c r="AX1545" s="6" t="s">
        <v>21324</v>
      </c>
      <c r="AY1545" s="6" t="s">
        <v>23129</v>
      </c>
      <c r="AZ1545" s="6" t="s">
        <v>104</v>
      </c>
      <c r="BA1545" s="6" t="s">
        <v>104</v>
      </c>
      <c r="BB1545" s="6" t="s">
        <v>104</v>
      </c>
      <c r="BC1545" s="26"/>
      <c r="BD1545" s="26"/>
      <c r="BE1545" s="26"/>
      <c r="BF1545" s="26"/>
      <c r="BG1545" s="26"/>
      <c r="BH1545" s="26"/>
      <c r="BI1545" s="26"/>
      <c r="BJ1545" s="26"/>
      <c r="BK1545" s="26"/>
      <c r="BL1545" s="26"/>
      <c r="BM1545" s="26"/>
      <c r="BN1545" s="26" t="s">
        <v>24533</v>
      </c>
      <c r="BO1545" s="26"/>
      <c r="BP1545" s="16" t="n">
        <v>45667</v>
      </c>
      <c r="BQ1545" s="28" t="str">
        <f>HYPERLINK("https://organic.ams.usda.gov/Integrity/Certificate.aspx?cid=21&amp;nopid=1780881699")</f>
        <v>https://organic.ams.usda.gov/Integrity/Certificate.aspx?cid=21&amp;nopid=1780881699</v>
      </c>
    </row>
    <row r="1546">
      <c r="A1546" t="s">
        <v>3</v>
      </c>
      <c r="B1546" s="6" t="s">
        <v>28</v>
      </c>
      <c r="C1546" s="6" t="s">
        <v>94</v>
      </c>
      <c r="D1546" s="6" t="s">
        <v>159</v>
      </c>
      <c r="E1546" s="10" t="s">
        <v>1744</v>
      </c>
      <c r="F1546" s="6" t="s">
        <v>3981</v>
      </c>
      <c r="G1546" s="6" t="s">
        <v>104</v>
      </c>
      <c r="H1546" s="6" t="s">
        <v>6290</v>
      </c>
      <c r="I1546" s="6" t="s">
        <v>7819</v>
      </c>
      <c r="J1546" s="6" t="s">
        <v>9265</v>
      </c>
      <c r="K1546" s="6" t="s">
        <v>9714</v>
      </c>
      <c r="L1546" s="16" t="n">
        <v>43836</v>
      </c>
      <c r="M1546" s="16" t="n">
        <v>45748</v>
      </c>
      <c r="N1546" s="6" t="s">
        <v>104</v>
      </c>
      <c r="O1546" s="21" t="s">
        <v>104</v>
      </c>
      <c r="P1546" s="6" t="s">
        <v>104</v>
      </c>
      <c r="Q1546" s="6" t="s">
        <v>104</v>
      </c>
      <c r="R1546" s="6" t="s">
        <v>104</v>
      </c>
      <c r="S1546" s="6" t="s">
        <v>104</v>
      </c>
      <c r="T1546" s="21" t="s">
        <v>104</v>
      </c>
      <c r="U1546" s="6" t="s">
        <v>104</v>
      </c>
      <c r="V1546" s="6" t="s">
        <v>104</v>
      </c>
      <c r="W1546" s="6" t="s">
        <v>104</v>
      </c>
      <c r="X1546" s="6" t="s">
        <v>104</v>
      </c>
      <c r="Y1546" s="21" t="s">
        <v>104</v>
      </c>
      <c r="Z1546" s="6" t="s">
        <v>104</v>
      </c>
      <c r="AA1546" s="6" t="s">
        <v>104</v>
      </c>
      <c r="AB1546" s="6" t="s">
        <v>104</v>
      </c>
      <c r="AC1546" s="6" t="s">
        <v>9714</v>
      </c>
      <c r="AD1546" s="16" t="n">
        <v>43836</v>
      </c>
      <c r="AE1546" s="6" t="s">
        <v>11874</v>
      </c>
      <c r="AF1546" s="6" t="s">
        <v>104</v>
      </c>
      <c r="AG1546" s="6" t="s">
        <v>12970</v>
      </c>
      <c r="AH1546" s="6" t="s">
        <v>14570</v>
      </c>
      <c r="AI1546" s="6" t="s">
        <v>104</v>
      </c>
      <c r="AJ1546" s="6" t="s">
        <v>16331</v>
      </c>
      <c r="AK1546" s="6" t="s">
        <v>104</v>
      </c>
      <c r="AL1546" s="6" t="s">
        <v>16938</v>
      </c>
      <c r="AM1546" s="6" t="s">
        <v>18028</v>
      </c>
      <c r="AN1546" s="6" t="s">
        <v>104</v>
      </c>
      <c r="AO1546" s="6" t="s">
        <v>104</v>
      </c>
      <c r="AP1546" s="6" t="s">
        <v>104</v>
      </c>
      <c r="AQ1546" s="6" t="s">
        <v>104</v>
      </c>
      <c r="AR1546" s="6" t="s">
        <v>104</v>
      </c>
      <c r="AS1546" s="6" t="s">
        <v>104</v>
      </c>
      <c r="AT1546" s="6" t="s">
        <v>104</v>
      </c>
      <c r="AU1546" s="6" t="s">
        <v>104</v>
      </c>
      <c r="AV1546" s="6" t="s">
        <v>104</v>
      </c>
      <c r="AW1546" s="6" t="s">
        <v>104</v>
      </c>
      <c r="AX1546" s="6" t="s">
        <v>21325</v>
      </c>
      <c r="AY1546" s="6" t="s">
        <v>23130</v>
      </c>
      <c r="AZ1546" s="6" t="s">
        <v>24084</v>
      </c>
      <c r="BA1546" s="6" t="s">
        <v>104</v>
      </c>
      <c r="BB1546" s="6" t="s">
        <v>104</v>
      </c>
      <c r="BC1546" s="26"/>
      <c r="BD1546" s="26"/>
      <c r="BE1546" s="26"/>
      <c r="BF1546" s="26"/>
      <c r="BG1546" s="26"/>
      <c r="BH1546" s="26"/>
      <c r="BI1546" s="26"/>
      <c r="BJ1546" s="26"/>
      <c r="BK1546" s="26"/>
      <c r="BL1546" s="26"/>
      <c r="BM1546" s="26"/>
      <c r="BN1546" s="26"/>
      <c r="BO1546" s="26"/>
      <c r="BP1546" s="16" t="n">
        <v>45733</v>
      </c>
      <c r="BQ1546" s="28" t="str">
        <f>HYPERLINK("https://organic.ams.usda.gov/Integrity/Certificate.aspx?cid=11&amp;nopid=4791502610")</f>
        <v>https://organic.ams.usda.gov/Integrity/Certificate.aspx?cid=11&amp;nopid=4791502610</v>
      </c>
    </row>
    <row r="1547">
      <c r="A1547" t="s">
        <v>3</v>
      </c>
      <c r="B1547" s="6" t="s">
        <v>54</v>
      </c>
      <c r="C1547" s="6" t="s">
        <v>120</v>
      </c>
      <c r="D1547" s="6" t="s">
        <v>184</v>
      </c>
      <c r="E1547" s="10" t="s">
        <v>1745</v>
      </c>
      <c r="F1547" s="6" t="s">
        <v>3982</v>
      </c>
      <c r="G1547" s="6" t="s">
        <v>104</v>
      </c>
      <c r="H1547" s="6" t="s">
        <v>6291</v>
      </c>
      <c r="I1547" s="6" t="s">
        <v>6966</v>
      </c>
      <c r="J1547" s="6" t="s">
        <v>8561</v>
      </c>
      <c r="K1547" s="6" t="s">
        <v>9714</v>
      </c>
      <c r="L1547" s="16" t="n">
        <v>41925</v>
      </c>
      <c r="M1547" s="16" t="n">
        <v>45717</v>
      </c>
      <c r="N1547" s="6" t="s">
        <v>9714</v>
      </c>
      <c r="O1547" s="16" t="n">
        <v>41925</v>
      </c>
      <c r="P1547" s="6" t="s">
        <v>10140</v>
      </c>
      <c r="Q1547" s="6" t="s">
        <v>104</v>
      </c>
      <c r="R1547" s="6" t="s">
        <v>104</v>
      </c>
      <c r="S1547" s="6" t="s">
        <v>9721</v>
      </c>
      <c r="T1547" s="16" t="n">
        <v>45300</v>
      </c>
      <c r="U1547" s="6" t="s">
        <v>104</v>
      </c>
      <c r="V1547" s="6" t="s">
        <v>104</v>
      </c>
      <c r="W1547" s="6" t="s">
        <v>104</v>
      </c>
      <c r="X1547" s="6" t="s">
        <v>104</v>
      </c>
      <c r="Y1547" s="21" t="s">
        <v>104</v>
      </c>
      <c r="Z1547" s="6" t="s">
        <v>104</v>
      </c>
      <c r="AA1547" s="6" t="s">
        <v>104</v>
      </c>
      <c r="AB1547" s="6" t="s">
        <v>104</v>
      </c>
      <c r="AC1547" s="6" t="s">
        <v>104</v>
      </c>
      <c r="AD1547" s="21" t="s">
        <v>104</v>
      </c>
      <c r="AE1547" s="6" t="s">
        <v>104</v>
      </c>
      <c r="AF1547" s="6" t="s">
        <v>104</v>
      </c>
      <c r="AG1547" s="6" t="s">
        <v>104</v>
      </c>
      <c r="AH1547" s="6" t="s">
        <v>14571</v>
      </c>
      <c r="AI1547" s="6" t="s">
        <v>104</v>
      </c>
      <c r="AJ1547" s="6" t="s">
        <v>16332</v>
      </c>
      <c r="AK1547" s="6" t="s">
        <v>16704</v>
      </c>
      <c r="AL1547" s="6" t="s">
        <v>16931</v>
      </c>
      <c r="AM1547" s="6" t="s">
        <v>18029</v>
      </c>
      <c r="AN1547" s="6" t="s">
        <v>18549</v>
      </c>
      <c r="AO1547" s="6" t="s">
        <v>18858</v>
      </c>
      <c r="AP1547" s="6" t="s">
        <v>104</v>
      </c>
      <c r="AQ1547" s="6" t="s">
        <v>104</v>
      </c>
      <c r="AR1547" s="6" t="s">
        <v>104</v>
      </c>
      <c r="AS1547" s="6" t="s">
        <v>104</v>
      </c>
      <c r="AT1547" s="6" t="s">
        <v>104</v>
      </c>
      <c r="AU1547" s="6" t="s">
        <v>104</v>
      </c>
      <c r="AV1547" s="6" t="s">
        <v>104</v>
      </c>
      <c r="AW1547" s="6" t="s">
        <v>104</v>
      </c>
      <c r="AX1547" s="6" t="s">
        <v>21326</v>
      </c>
      <c r="AY1547" s="6" t="s">
        <v>23131</v>
      </c>
      <c r="AZ1547" s="6" t="s">
        <v>104</v>
      </c>
      <c r="BA1547" s="6" t="s">
        <v>24272</v>
      </c>
      <c r="BB1547" s="24" t="n">
        <v>3611</v>
      </c>
      <c r="BC1547" s="26"/>
      <c r="BD1547" s="26"/>
      <c r="BE1547" s="26"/>
      <c r="BF1547" s="26"/>
      <c r="BG1547" s="26"/>
      <c r="BH1547" s="26"/>
      <c r="BI1547" s="26"/>
      <c r="BJ1547" s="26"/>
      <c r="BK1547" s="26"/>
      <c r="BL1547" s="26"/>
      <c r="BM1547" s="26"/>
      <c r="BN1547" s="26"/>
      <c r="BO1547" s="26"/>
      <c r="BP1547" s="16" t="n">
        <v>45604</v>
      </c>
      <c r="BQ1547" s="28" t="str">
        <f>HYPERLINK("https://organic.ams.usda.gov/Integrity/Certificate.aspx?cid=60&amp;nopid=2580001390")</f>
        <v>https://organic.ams.usda.gov/Integrity/Certificate.aspx?cid=60&amp;nopid=2580001390</v>
      </c>
    </row>
    <row r="1548">
      <c r="A1548" t="s">
        <v>3</v>
      </c>
      <c r="B1548" s="6" t="s">
        <v>14</v>
      </c>
      <c r="C1548" s="6" t="s">
        <v>80</v>
      </c>
      <c r="D1548" s="6" t="s">
        <v>145</v>
      </c>
      <c r="E1548" s="10" t="s">
        <v>1746</v>
      </c>
      <c r="F1548" s="6" t="s">
        <v>3983</v>
      </c>
      <c r="G1548" s="6" t="s">
        <v>104</v>
      </c>
      <c r="H1548" s="6" t="s">
        <v>6292</v>
      </c>
      <c r="I1548" s="6" t="s">
        <v>7820</v>
      </c>
      <c r="J1548" s="6" t="s">
        <v>9266</v>
      </c>
      <c r="K1548" s="6" t="s">
        <v>9714</v>
      </c>
      <c r="L1548" s="16" t="n">
        <v>44741</v>
      </c>
      <c r="M1548" s="16" t="n">
        <v>45748</v>
      </c>
      <c r="N1548" s="6" t="s">
        <v>104</v>
      </c>
      <c r="O1548" s="21" t="s">
        <v>104</v>
      </c>
      <c r="P1548" s="6" t="s">
        <v>104</v>
      </c>
      <c r="Q1548" s="6" t="s">
        <v>104</v>
      </c>
      <c r="R1548" s="6" t="s">
        <v>104</v>
      </c>
      <c r="S1548" s="6" t="s">
        <v>104</v>
      </c>
      <c r="T1548" s="21" t="s">
        <v>104</v>
      </c>
      <c r="U1548" s="6" t="s">
        <v>104</v>
      </c>
      <c r="V1548" s="6" t="s">
        <v>104</v>
      </c>
      <c r="W1548" s="6" t="s">
        <v>104</v>
      </c>
      <c r="X1548" s="6" t="s">
        <v>104</v>
      </c>
      <c r="Y1548" s="21" t="s">
        <v>104</v>
      </c>
      <c r="Z1548" s="6" t="s">
        <v>104</v>
      </c>
      <c r="AA1548" s="6" t="s">
        <v>104</v>
      </c>
      <c r="AB1548" s="6" t="s">
        <v>104</v>
      </c>
      <c r="AC1548" s="6" t="s">
        <v>9714</v>
      </c>
      <c r="AD1548" s="16" t="n">
        <v>44741</v>
      </c>
      <c r="AE1548" s="6" t="s">
        <v>11875</v>
      </c>
      <c r="AF1548" s="6" t="s">
        <v>104</v>
      </c>
      <c r="AG1548" s="6" t="s">
        <v>104</v>
      </c>
      <c r="AH1548" s="6" t="s">
        <v>14572</v>
      </c>
      <c r="AI1548" s="6" t="s">
        <v>104</v>
      </c>
      <c r="AJ1548" s="6" t="s">
        <v>16333</v>
      </c>
      <c r="AK1548" s="6" t="s">
        <v>16867</v>
      </c>
      <c r="AL1548" s="6" t="s">
        <v>16932</v>
      </c>
      <c r="AM1548" s="6" t="s">
        <v>18030</v>
      </c>
      <c r="AN1548" s="6" t="s">
        <v>104</v>
      </c>
      <c r="AO1548" s="6" t="s">
        <v>104</v>
      </c>
      <c r="AP1548" s="6" t="s">
        <v>104</v>
      </c>
      <c r="AQ1548" s="6" t="s">
        <v>104</v>
      </c>
      <c r="AR1548" s="6" t="s">
        <v>104</v>
      </c>
      <c r="AS1548" s="6" t="s">
        <v>104</v>
      </c>
      <c r="AT1548" s="6" t="s">
        <v>104</v>
      </c>
      <c r="AU1548" s="6" t="s">
        <v>104</v>
      </c>
      <c r="AV1548" s="6" t="s">
        <v>104</v>
      </c>
      <c r="AW1548" s="6" t="s">
        <v>104</v>
      </c>
      <c r="AX1548" s="6" t="s">
        <v>21327</v>
      </c>
      <c r="AY1548" s="6" t="s">
        <v>23132</v>
      </c>
      <c r="AZ1548" s="6" t="s">
        <v>104</v>
      </c>
      <c r="BA1548" s="6" t="s">
        <v>24259</v>
      </c>
      <c r="BB1548" s="6" t="s">
        <v>104</v>
      </c>
      <c r="BC1548" s="26"/>
      <c r="BD1548" s="26"/>
      <c r="BE1548" s="26"/>
      <c r="BF1548" s="26"/>
      <c r="BG1548" s="26"/>
      <c r="BH1548" s="26"/>
      <c r="BI1548" s="26"/>
      <c r="BJ1548" s="26"/>
      <c r="BK1548" s="26"/>
      <c r="BL1548" s="26"/>
      <c r="BM1548" s="26"/>
      <c r="BN1548" s="26"/>
      <c r="BO1548" s="26"/>
      <c r="BP1548" s="16" t="n">
        <v>45525</v>
      </c>
      <c r="BQ1548" s="28" t="str">
        <f>HYPERLINK("https://organic.ams.usda.gov/Integrity/Certificate.aspx?cid=89&amp;nopid=4920005712")</f>
        <v>https://organic.ams.usda.gov/Integrity/Certificate.aspx?cid=89&amp;nopid=4920005712</v>
      </c>
    </row>
    <row r="1549">
      <c r="A1549" t="s">
        <v>3</v>
      </c>
      <c r="B1549" s="6" t="s">
        <v>11</v>
      </c>
      <c r="C1549" s="6" t="s">
        <v>77</v>
      </c>
      <c r="D1549" s="6" t="s">
        <v>142</v>
      </c>
      <c r="E1549" s="10" t="s">
        <v>1747</v>
      </c>
      <c r="F1549" s="6" t="s">
        <v>3984</v>
      </c>
      <c r="G1549" s="6" t="s">
        <v>104</v>
      </c>
      <c r="H1549" s="6" t="s">
        <v>6293</v>
      </c>
      <c r="I1549" s="6" t="s">
        <v>7821</v>
      </c>
      <c r="J1549" s="6" t="s">
        <v>9267</v>
      </c>
      <c r="K1549" s="6" t="s">
        <v>9714</v>
      </c>
      <c r="L1549" s="16" t="n">
        <v>45111</v>
      </c>
      <c r="M1549" s="16" t="n">
        <v>45740</v>
      </c>
      <c r="N1549" s="6" t="s">
        <v>104</v>
      </c>
      <c r="O1549" s="21" t="s">
        <v>104</v>
      </c>
      <c r="P1549" s="6" t="s">
        <v>104</v>
      </c>
      <c r="Q1549" s="6" t="s">
        <v>104</v>
      </c>
      <c r="R1549" s="6" t="s">
        <v>104</v>
      </c>
      <c r="S1549" s="6" t="s">
        <v>104</v>
      </c>
      <c r="T1549" s="21" t="s">
        <v>104</v>
      </c>
      <c r="U1549" s="6" t="s">
        <v>104</v>
      </c>
      <c r="V1549" s="6" t="s">
        <v>104</v>
      </c>
      <c r="W1549" s="6" t="s">
        <v>104</v>
      </c>
      <c r="X1549" s="6" t="s">
        <v>104</v>
      </c>
      <c r="Y1549" s="21" t="s">
        <v>104</v>
      </c>
      <c r="Z1549" s="6" t="s">
        <v>104</v>
      </c>
      <c r="AA1549" s="6" t="s">
        <v>104</v>
      </c>
      <c r="AB1549" s="6" t="s">
        <v>104</v>
      </c>
      <c r="AC1549" s="6" t="s">
        <v>9714</v>
      </c>
      <c r="AD1549" s="16" t="n">
        <v>45111</v>
      </c>
      <c r="AE1549" s="6" t="s">
        <v>11876</v>
      </c>
      <c r="AF1549" s="6" t="s">
        <v>104</v>
      </c>
      <c r="AG1549" s="6" t="s">
        <v>104</v>
      </c>
      <c r="AH1549" s="6" t="s">
        <v>14573</v>
      </c>
      <c r="AI1549" s="6" t="s">
        <v>104</v>
      </c>
      <c r="AJ1549" s="6" t="s">
        <v>104</v>
      </c>
      <c r="AK1549" s="6" t="s">
        <v>104</v>
      </c>
      <c r="AL1549" s="6" t="s">
        <v>16961</v>
      </c>
      <c r="AM1549" s="6" t="s">
        <v>104</v>
      </c>
      <c r="AN1549" s="6" t="s">
        <v>104</v>
      </c>
      <c r="AO1549" s="6" t="s">
        <v>104</v>
      </c>
      <c r="AP1549" s="6" t="s">
        <v>104</v>
      </c>
      <c r="AQ1549" s="6" t="s">
        <v>104</v>
      </c>
      <c r="AR1549" s="6" t="s">
        <v>104</v>
      </c>
      <c r="AS1549" s="6" t="s">
        <v>104</v>
      </c>
      <c r="AT1549" s="6" t="s">
        <v>104</v>
      </c>
      <c r="AU1549" s="6" t="s">
        <v>104</v>
      </c>
      <c r="AV1549" s="6" t="s">
        <v>104</v>
      </c>
      <c r="AW1549" s="6" t="s">
        <v>104</v>
      </c>
      <c r="AX1549" s="6" t="s">
        <v>21328</v>
      </c>
      <c r="AY1549" s="6" t="s">
        <v>23133</v>
      </c>
      <c r="AZ1549" s="6" t="s">
        <v>104</v>
      </c>
      <c r="BA1549" s="6" t="s">
        <v>104</v>
      </c>
      <c r="BB1549" s="6" t="s">
        <v>104</v>
      </c>
      <c r="BC1549" s="26"/>
      <c r="BD1549" s="26"/>
      <c r="BE1549" s="26"/>
      <c r="BF1549" s="26"/>
      <c r="BG1549" s="26"/>
      <c r="BH1549" s="26"/>
      <c r="BI1549" s="26"/>
      <c r="BJ1549" s="26"/>
      <c r="BK1549" s="26"/>
      <c r="BL1549" s="26"/>
      <c r="BM1549" s="26"/>
      <c r="BN1549" s="26"/>
      <c r="BO1549" s="26"/>
      <c r="BP1549" s="16" t="n">
        <v>45471</v>
      </c>
      <c r="BQ1549" s="28" t="str">
        <f>HYPERLINK("https://organic.ams.usda.gov/Integrity/Certificate.aspx?cid=21&amp;nopid=1780887283")</f>
        <v>https://organic.ams.usda.gov/Integrity/Certificate.aspx?cid=21&amp;nopid=1780887283</v>
      </c>
    </row>
    <row r="1550">
      <c r="A1550" t="s">
        <v>3</v>
      </c>
      <c r="B1550" s="6" t="s">
        <v>34</v>
      </c>
      <c r="C1550" s="6" t="s">
        <v>100</v>
      </c>
      <c r="D1550" s="6" t="s">
        <v>165</v>
      </c>
      <c r="E1550" s="10" t="s">
        <v>1748</v>
      </c>
      <c r="F1550" s="6" t="s">
        <v>3985</v>
      </c>
      <c r="G1550" s="6" t="s">
        <v>104</v>
      </c>
      <c r="H1550" s="6" t="s">
        <v>6294</v>
      </c>
      <c r="I1550" s="6" t="s">
        <v>7822</v>
      </c>
      <c r="J1550" s="6" t="s">
        <v>9268</v>
      </c>
      <c r="K1550" s="6" t="s">
        <v>9714</v>
      </c>
      <c r="L1550" s="16" t="n">
        <v>45393</v>
      </c>
      <c r="M1550" s="16" t="n">
        <v>45677</v>
      </c>
      <c r="N1550" s="6" t="s">
        <v>104</v>
      </c>
      <c r="O1550" s="21" t="s">
        <v>104</v>
      </c>
      <c r="P1550" s="6" t="s">
        <v>104</v>
      </c>
      <c r="Q1550" s="6" t="s">
        <v>104</v>
      </c>
      <c r="R1550" s="6" t="s">
        <v>104</v>
      </c>
      <c r="S1550" s="6" t="s">
        <v>104</v>
      </c>
      <c r="T1550" s="21" t="s">
        <v>104</v>
      </c>
      <c r="U1550" s="6" t="s">
        <v>104</v>
      </c>
      <c r="V1550" s="6" t="s">
        <v>104</v>
      </c>
      <c r="W1550" s="6" t="s">
        <v>104</v>
      </c>
      <c r="X1550" s="6" t="s">
        <v>104</v>
      </c>
      <c r="Y1550" s="21" t="s">
        <v>104</v>
      </c>
      <c r="Z1550" s="6" t="s">
        <v>104</v>
      </c>
      <c r="AA1550" s="6" t="s">
        <v>104</v>
      </c>
      <c r="AB1550" s="6" t="s">
        <v>104</v>
      </c>
      <c r="AC1550" s="6" t="s">
        <v>9714</v>
      </c>
      <c r="AD1550" s="16" t="n">
        <v>45393</v>
      </c>
      <c r="AE1550" s="6" t="s">
        <v>11877</v>
      </c>
      <c r="AF1550" s="6" t="s">
        <v>104</v>
      </c>
      <c r="AG1550" s="6" t="s">
        <v>12971</v>
      </c>
      <c r="AH1550" s="6" t="s">
        <v>14574</v>
      </c>
      <c r="AI1550" s="6" t="s">
        <v>15318</v>
      </c>
      <c r="AJ1550" s="6" t="s">
        <v>15802</v>
      </c>
      <c r="AK1550" s="6" t="s">
        <v>16370</v>
      </c>
      <c r="AL1550" s="6" t="s">
        <v>16931</v>
      </c>
      <c r="AM1550" s="6" t="s">
        <v>18031</v>
      </c>
      <c r="AN1550" s="6" t="s">
        <v>104</v>
      </c>
      <c r="AO1550" s="6" t="s">
        <v>104</v>
      </c>
      <c r="AP1550" s="6" t="s">
        <v>14574</v>
      </c>
      <c r="AQ1550" s="6" t="s">
        <v>15318</v>
      </c>
      <c r="AR1550" s="6" t="s">
        <v>15802</v>
      </c>
      <c r="AS1550" s="6" t="s">
        <v>16370</v>
      </c>
      <c r="AT1550" s="6" t="s">
        <v>16931</v>
      </c>
      <c r="AU1550" s="6" t="s">
        <v>18031</v>
      </c>
      <c r="AV1550" s="6" t="s">
        <v>104</v>
      </c>
      <c r="AW1550" s="6" t="s">
        <v>104</v>
      </c>
      <c r="AX1550" s="6" t="s">
        <v>21329</v>
      </c>
      <c r="AY1550" s="6" t="s">
        <v>23134</v>
      </c>
      <c r="AZ1550" s="6" t="s">
        <v>24085</v>
      </c>
      <c r="BA1550" s="6" t="s">
        <v>104</v>
      </c>
      <c r="BB1550" s="6" t="s">
        <v>104</v>
      </c>
      <c r="BC1550" s="26"/>
      <c r="BD1550" s="26"/>
      <c r="BE1550" s="26"/>
      <c r="BF1550" s="26"/>
      <c r="BG1550" s="26"/>
      <c r="BH1550" s="26"/>
      <c r="BI1550" s="26"/>
      <c r="BJ1550" s="26"/>
      <c r="BK1550" s="26"/>
      <c r="BL1550" s="26"/>
      <c r="BM1550" s="26"/>
      <c r="BN1550" s="26"/>
      <c r="BO1550" s="26"/>
      <c r="BP1550" s="16" t="n">
        <v>45737</v>
      </c>
      <c r="BQ1550" s="28" t="str">
        <f>HYPERLINK("https://organic.ams.usda.gov/Integrity/Certificate.aspx?cid=71&amp;nopid=5520801672")</f>
        <v>https://organic.ams.usda.gov/Integrity/Certificate.aspx?cid=71&amp;nopid=5520801672</v>
      </c>
    </row>
    <row r="1551">
      <c r="A1551" t="s">
        <v>3</v>
      </c>
      <c r="B1551" s="6" t="s">
        <v>25</v>
      </c>
      <c r="C1551" s="6" t="s">
        <v>91</v>
      </c>
      <c r="D1551" s="6" t="s">
        <v>156</v>
      </c>
      <c r="E1551" s="10" t="s">
        <v>1749</v>
      </c>
      <c r="F1551" s="6" t="s">
        <v>3986</v>
      </c>
      <c r="G1551" s="6" t="s">
        <v>104</v>
      </c>
      <c r="H1551" s="6" t="s">
        <v>5859</v>
      </c>
      <c r="I1551" s="6" t="s">
        <v>104</v>
      </c>
      <c r="J1551" s="6" t="s">
        <v>104</v>
      </c>
      <c r="K1551" s="6" t="s">
        <v>9714</v>
      </c>
      <c r="L1551" s="16" t="n">
        <v>43949</v>
      </c>
      <c r="M1551" s="16" t="n">
        <v>45734</v>
      </c>
      <c r="N1551" s="6" t="s">
        <v>104</v>
      </c>
      <c r="O1551" s="21" t="s">
        <v>104</v>
      </c>
      <c r="P1551" s="6" t="s">
        <v>104</v>
      </c>
      <c r="Q1551" s="6" t="s">
        <v>104</v>
      </c>
      <c r="R1551" s="6" t="s">
        <v>104</v>
      </c>
      <c r="S1551" s="6" t="s">
        <v>104</v>
      </c>
      <c r="T1551" s="21" t="s">
        <v>104</v>
      </c>
      <c r="U1551" s="6" t="s">
        <v>104</v>
      </c>
      <c r="V1551" s="6" t="s">
        <v>104</v>
      </c>
      <c r="W1551" s="6" t="s">
        <v>104</v>
      </c>
      <c r="X1551" s="6" t="s">
        <v>104</v>
      </c>
      <c r="Y1551" s="21" t="s">
        <v>104</v>
      </c>
      <c r="Z1551" s="6" t="s">
        <v>104</v>
      </c>
      <c r="AA1551" s="6" t="s">
        <v>104</v>
      </c>
      <c r="AB1551" s="6" t="s">
        <v>104</v>
      </c>
      <c r="AC1551" s="6" t="s">
        <v>9714</v>
      </c>
      <c r="AD1551" s="16" t="n">
        <v>43949</v>
      </c>
      <c r="AE1551" s="6" t="s">
        <v>11878</v>
      </c>
      <c r="AF1551" s="6" t="s">
        <v>104</v>
      </c>
      <c r="AG1551" s="6" t="s">
        <v>104</v>
      </c>
      <c r="AH1551" s="6" t="s">
        <v>14575</v>
      </c>
      <c r="AI1551" s="6" t="s">
        <v>104</v>
      </c>
      <c r="AJ1551" s="6" t="s">
        <v>16334</v>
      </c>
      <c r="AK1551" s="6" t="s">
        <v>16691</v>
      </c>
      <c r="AL1551" s="6" t="s">
        <v>16935</v>
      </c>
      <c r="AM1551" s="6" t="s">
        <v>18032</v>
      </c>
      <c r="AN1551" s="6" t="s">
        <v>104</v>
      </c>
      <c r="AO1551" s="6" t="s">
        <v>104</v>
      </c>
      <c r="AP1551" s="6" t="s">
        <v>14575</v>
      </c>
      <c r="AQ1551" s="6" t="s">
        <v>104</v>
      </c>
      <c r="AR1551" s="6" t="s">
        <v>16334</v>
      </c>
      <c r="AS1551" s="6" t="s">
        <v>16691</v>
      </c>
      <c r="AT1551" s="6" t="s">
        <v>16935</v>
      </c>
      <c r="AU1551" s="6" t="s">
        <v>18032</v>
      </c>
      <c r="AV1551" s="6" t="s">
        <v>104</v>
      </c>
      <c r="AW1551" s="6" t="s">
        <v>104</v>
      </c>
      <c r="AX1551" s="6" t="s">
        <v>104</v>
      </c>
      <c r="AY1551" s="6" t="s">
        <v>104</v>
      </c>
      <c r="AZ1551" s="6" t="s">
        <v>104</v>
      </c>
      <c r="BA1551" s="6" t="s">
        <v>104</v>
      </c>
      <c r="BB1551" s="6" t="s">
        <v>104</v>
      </c>
      <c r="BC1551" s="26"/>
      <c r="BD1551" s="26"/>
      <c r="BE1551" s="26"/>
      <c r="BF1551" s="26"/>
      <c r="BG1551" s="26"/>
      <c r="BH1551" s="26" t="s">
        <v>24533</v>
      </c>
      <c r="BI1551" s="26"/>
      <c r="BJ1551" s="26"/>
      <c r="BK1551" s="26"/>
      <c r="BL1551" s="26"/>
      <c r="BM1551" s="26"/>
      <c r="BN1551" s="26"/>
      <c r="BO1551" s="26"/>
      <c r="BP1551" s="16" t="n">
        <v>45681</v>
      </c>
      <c r="BQ1551" s="28" t="str">
        <f>HYPERLINK("https://organic.ams.usda.gov/Integrity/Certificate.aspx?cid=66&amp;nopid=5500006281")</f>
        <v>https://organic.ams.usda.gov/Integrity/Certificate.aspx?cid=66&amp;nopid=5500006281</v>
      </c>
    </row>
    <row r="1552">
      <c r="A1552" t="s">
        <v>3</v>
      </c>
      <c r="B1552" s="6" t="s">
        <v>8</v>
      </c>
      <c r="C1552" s="6" t="s">
        <v>74</v>
      </c>
      <c r="D1552" s="6" t="s">
        <v>139</v>
      </c>
      <c r="E1552" s="10" t="s">
        <v>1750</v>
      </c>
      <c r="F1552" s="6" t="s">
        <v>3987</v>
      </c>
      <c r="G1552" s="6" t="s">
        <v>104</v>
      </c>
      <c r="H1552" s="6" t="s">
        <v>1750</v>
      </c>
      <c r="I1552" s="6" t="s">
        <v>7823</v>
      </c>
      <c r="J1552" s="6" t="s">
        <v>9269</v>
      </c>
      <c r="K1552" s="6" t="s">
        <v>9714</v>
      </c>
      <c r="L1552" s="16" t="n">
        <v>42928</v>
      </c>
      <c r="M1552" s="16" t="n">
        <v>45731</v>
      </c>
      <c r="N1552" s="6" t="s">
        <v>9714</v>
      </c>
      <c r="O1552" s="16" t="n">
        <v>42563</v>
      </c>
      <c r="P1552" s="6" t="s">
        <v>10141</v>
      </c>
      <c r="Q1552" s="6" t="s">
        <v>104</v>
      </c>
      <c r="R1552" s="6" t="s">
        <v>1750</v>
      </c>
      <c r="S1552" s="6" t="s">
        <v>104</v>
      </c>
      <c r="T1552" s="21" t="s">
        <v>104</v>
      </c>
      <c r="U1552" s="6" t="s">
        <v>104</v>
      </c>
      <c r="V1552" s="6" t="s">
        <v>104</v>
      </c>
      <c r="W1552" s="6" t="s">
        <v>104</v>
      </c>
      <c r="X1552" s="6" t="s">
        <v>104</v>
      </c>
      <c r="Y1552" s="21" t="s">
        <v>104</v>
      </c>
      <c r="Z1552" s="6" t="s">
        <v>104</v>
      </c>
      <c r="AA1552" s="6" t="s">
        <v>104</v>
      </c>
      <c r="AB1552" s="6" t="s">
        <v>104</v>
      </c>
      <c r="AC1552" s="6" t="s">
        <v>104</v>
      </c>
      <c r="AD1552" s="21" t="s">
        <v>104</v>
      </c>
      <c r="AE1552" s="6" t="s">
        <v>104</v>
      </c>
      <c r="AF1552" s="6" t="s">
        <v>104</v>
      </c>
      <c r="AG1552" s="6" t="s">
        <v>104</v>
      </c>
      <c r="AH1552" s="6" t="s">
        <v>14576</v>
      </c>
      <c r="AI1552" s="6" t="s">
        <v>15319</v>
      </c>
      <c r="AJ1552" s="6" t="s">
        <v>16335</v>
      </c>
      <c r="AK1552" s="6" t="s">
        <v>16679</v>
      </c>
      <c r="AL1552" s="6" t="s">
        <v>16931</v>
      </c>
      <c r="AM1552" s="6" t="s">
        <v>18033</v>
      </c>
      <c r="AN1552" s="6" t="s">
        <v>18460</v>
      </c>
      <c r="AO1552" s="6" t="s">
        <v>18859</v>
      </c>
      <c r="AP1552" s="6" t="s">
        <v>14576</v>
      </c>
      <c r="AQ1552" s="6" t="s">
        <v>15319</v>
      </c>
      <c r="AR1552" s="6" t="s">
        <v>16335</v>
      </c>
      <c r="AS1552" s="6" t="s">
        <v>16679</v>
      </c>
      <c r="AT1552" s="6" t="s">
        <v>16931</v>
      </c>
      <c r="AU1552" s="6" t="s">
        <v>18033</v>
      </c>
      <c r="AV1552" s="6" t="s">
        <v>104</v>
      </c>
      <c r="AW1552" s="6" t="s">
        <v>104</v>
      </c>
      <c r="AX1552" s="6" t="s">
        <v>21330</v>
      </c>
      <c r="AY1552" s="6" t="s">
        <v>23135</v>
      </c>
      <c r="AZ1552" s="6" t="s">
        <v>104</v>
      </c>
      <c r="BA1552" s="6" t="s">
        <v>104</v>
      </c>
      <c r="BB1552" s="24" t="n">
        <v>980</v>
      </c>
      <c r="BC1552" s="26"/>
      <c r="BD1552" s="26"/>
      <c r="BE1552" s="26"/>
      <c r="BF1552" s="26"/>
      <c r="BG1552" s="26"/>
      <c r="BH1552" s="26"/>
      <c r="BI1552" s="26"/>
      <c r="BJ1552" s="26"/>
      <c r="BK1552" s="26"/>
      <c r="BL1552" s="26"/>
      <c r="BM1552" s="26"/>
      <c r="BN1552" s="26"/>
      <c r="BO1552" s="26"/>
      <c r="BP1552" s="16" t="n">
        <v>45553</v>
      </c>
      <c r="BQ1552" s="28" t="str">
        <f>HYPERLINK("https://organic.ams.usda.gov/Integrity/Certificate.aspx?cid=48&amp;nopid=1466881435")</f>
        <v>https://organic.ams.usda.gov/Integrity/Certificate.aspx?cid=48&amp;nopid=1466881435</v>
      </c>
    </row>
    <row r="1553">
      <c r="A1553" t="s">
        <v>3</v>
      </c>
      <c r="B1553" s="6" t="s">
        <v>42</v>
      </c>
      <c r="C1553" s="6" t="s">
        <v>108</v>
      </c>
      <c r="D1553" s="6" t="s">
        <v>172</v>
      </c>
      <c r="E1553" s="10" t="s">
        <v>1751</v>
      </c>
      <c r="F1553" s="6" t="s">
        <v>3988</v>
      </c>
      <c r="G1553" s="6" t="s">
        <v>104</v>
      </c>
      <c r="H1553" s="6" t="s">
        <v>6295</v>
      </c>
      <c r="I1553" s="6" t="s">
        <v>7458</v>
      </c>
      <c r="J1553" s="6" t="s">
        <v>9250</v>
      </c>
      <c r="K1553" s="6" t="s">
        <v>9714</v>
      </c>
      <c r="L1553" s="16" t="n">
        <v>42565</v>
      </c>
      <c r="M1553" s="16" t="n">
        <v>45852</v>
      </c>
      <c r="N1553" s="6" t="s">
        <v>104</v>
      </c>
      <c r="O1553" s="21" t="s">
        <v>104</v>
      </c>
      <c r="P1553" s="6" t="s">
        <v>104</v>
      </c>
      <c r="Q1553" s="6" t="s">
        <v>104</v>
      </c>
      <c r="R1553" s="6" t="s">
        <v>104</v>
      </c>
      <c r="S1553" s="6" t="s">
        <v>104</v>
      </c>
      <c r="T1553" s="21" t="s">
        <v>104</v>
      </c>
      <c r="U1553" s="6" t="s">
        <v>104</v>
      </c>
      <c r="V1553" s="6" t="s">
        <v>104</v>
      </c>
      <c r="W1553" s="6" t="s">
        <v>104</v>
      </c>
      <c r="X1553" s="6" t="s">
        <v>104</v>
      </c>
      <c r="Y1553" s="21" t="s">
        <v>104</v>
      </c>
      <c r="Z1553" s="6" t="s">
        <v>104</v>
      </c>
      <c r="AA1553" s="6" t="s">
        <v>104</v>
      </c>
      <c r="AB1553" s="6" t="s">
        <v>104</v>
      </c>
      <c r="AC1553" s="6" t="s">
        <v>9714</v>
      </c>
      <c r="AD1553" s="16" t="n">
        <v>42565</v>
      </c>
      <c r="AE1553" s="6" t="s">
        <v>11879</v>
      </c>
      <c r="AF1553" s="6" t="s">
        <v>104</v>
      </c>
      <c r="AG1553" s="6" t="s">
        <v>6295</v>
      </c>
      <c r="AH1553" s="6" t="s">
        <v>14577</v>
      </c>
      <c r="AI1553" s="6" t="s">
        <v>104</v>
      </c>
      <c r="AJ1553" s="6" t="s">
        <v>15722</v>
      </c>
      <c r="AK1553" s="6" t="s">
        <v>16687</v>
      </c>
      <c r="AL1553" s="6" t="s">
        <v>16931</v>
      </c>
      <c r="AM1553" s="6" t="s">
        <v>18006</v>
      </c>
      <c r="AN1553" s="6" t="s">
        <v>18469</v>
      </c>
      <c r="AO1553" s="6" t="s">
        <v>18677</v>
      </c>
      <c r="AP1553" s="6" t="s">
        <v>14577</v>
      </c>
      <c r="AQ1553" s="6" t="s">
        <v>104</v>
      </c>
      <c r="AR1553" s="6" t="s">
        <v>15722</v>
      </c>
      <c r="AS1553" s="6" t="s">
        <v>16687</v>
      </c>
      <c r="AT1553" s="6" t="s">
        <v>16931</v>
      </c>
      <c r="AU1553" s="6" t="s">
        <v>18006</v>
      </c>
      <c r="AV1553" s="6" t="s">
        <v>104</v>
      </c>
      <c r="AW1553" s="6" t="s">
        <v>104</v>
      </c>
      <c r="AX1553" s="6" t="s">
        <v>21331</v>
      </c>
      <c r="AY1553" s="6" t="s">
        <v>23136</v>
      </c>
      <c r="AZ1553" s="6" t="s">
        <v>104</v>
      </c>
      <c r="BA1553" s="6" t="s">
        <v>104</v>
      </c>
      <c r="BB1553" s="6" t="s">
        <v>104</v>
      </c>
      <c r="BC1553" s="26"/>
      <c r="BD1553" s="26"/>
      <c r="BE1553" s="26"/>
      <c r="BF1553" s="26"/>
      <c r="BG1553" s="26" t="s">
        <v>24533</v>
      </c>
      <c r="BH1553" s="26"/>
      <c r="BI1553" s="26"/>
      <c r="BJ1553" s="26"/>
      <c r="BK1553" s="26"/>
      <c r="BL1553" s="26"/>
      <c r="BM1553" s="26"/>
      <c r="BN1553" s="26" t="s">
        <v>24533</v>
      </c>
      <c r="BO1553" s="26"/>
      <c r="BP1553" s="16" t="n">
        <v>45590</v>
      </c>
      <c r="BQ1553" s="28" t="str">
        <f>HYPERLINK("https://organic.ams.usda.gov/Integrity/Certificate.aspx?cid=69&amp;nopid=1562582000")</f>
        <v>https://organic.ams.usda.gov/Integrity/Certificate.aspx?cid=69&amp;nopid=1562582000</v>
      </c>
    </row>
    <row r="1554">
      <c r="A1554" t="s">
        <v>3</v>
      </c>
      <c r="B1554" s="6" t="s">
        <v>42</v>
      </c>
      <c r="C1554" s="6" t="s">
        <v>108</v>
      </c>
      <c r="D1554" s="6" t="s">
        <v>172</v>
      </c>
      <c r="E1554" s="10" t="s">
        <v>1752</v>
      </c>
      <c r="F1554" s="6" t="s">
        <v>3988</v>
      </c>
      <c r="G1554" s="6" t="s">
        <v>104</v>
      </c>
      <c r="H1554" s="6" t="s">
        <v>6296</v>
      </c>
      <c r="I1554" s="6" t="s">
        <v>7458</v>
      </c>
      <c r="J1554" s="6" t="s">
        <v>9250</v>
      </c>
      <c r="K1554" s="6" t="s">
        <v>9714</v>
      </c>
      <c r="L1554" s="16" t="n">
        <v>42423</v>
      </c>
      <c r="M1554" s="16" t="n">
        <v>45711</v>
      </c>
      <c r="N1554" s="6" t="s">
        <v>104</v>
      </c>
      <c r="O1554" s="21" t="s">
        <v>104</v>
      </c>
      <c r="P1554" s="6" t="s">
        <v>104</v>
      </c>
      <c r="Q1554" s="6" t="s">
        <v>104</v>
      </c>
      <c r="R1554" s="6" t="s">
        <v>104</v>
      </c>
      <c r="S1554" s="6" t="s">
        <v>104</v>
      </c>
      <c r="T1554" s="21" t="s">
        <v>104</v>
      </c>
      <c r="U1554" s="6" t="s">
        <v>104</v>
      </c>
      <c r="V1554" s="6" t="s">
        <v>104</v>
      </c>
      <c r="W1554" s="6" t="s">
        <v>104</v>
      </c>
      <c r="X1554" s="6" t="s">
        <v>104</v>
      </c>
      <c r="Y1554" s="21" t="s">
        <v>104</v>
      </c>
      <c r="Z1554" s="6" t="s">
        <v>104</v>
      </c>
      <c r="AA1554" s="6" t="s">
        <v>104</v>
      </c>
      <c r="AB1554" s="6" t="s">
        <v>104</v>
      </c>
      <c r="AC1554" s="6" t="s">
        <v>9714</v>
      </c>
      <c r="AD1554" s="16" t="n">
        <v>42423</v>
      </c>
      <c r="AE1554" s="6" t="s">
        <v>11880</v>
      </c>
      <c r="AF1554" s="6" t="s">
        <v>104</v>
      </c>
      <c r="AG1554" s="6" t="s">
        <v>6296</v>
      </c>
      <c r="AH1554" s="6" t="s">
        <v>14578</v>
      </c>
      <c r="AI1554" s="6" t="s">
        <v>104</v>
      </c>
      <c r="AJ1554" s="6" t="s">
        <v>15362</v>
      </c>
      <c r="AK1554" s="6" t="s">
        <v>16687</v>
      </c>
      <c r="AL1554" s="6" t="s">
        <v>16931</v>
      </c>
      <c r="AM1554" s="6" t="s">
        <v>17068</v>
      </c>
      <c r="AN1554" s="6" t="s">
        <v>18476</v>
      </c>
      <c r="AO1554" s="6" t="s">
        <v>18585</v>
      </c>
      <c r="AP1554" s="6" t="s">
        <v>14578</v>
      </c>
      <c r="AQ1554" s="6" t="s">
        <v>104</v>
      </c>
      <c r="AR1554" s="6" t="s">
        <v>15362</v>
      </c>
      <c r="AS1554" s="6" t="s">
        <v>16687</v>
      </c>
      <c r="AT1554" s="6" t="s">
        <v>16931</v>
      </c>
      <c r="AU1554" s="6" t="s">
        <v>17068</v>
      </c>
      <c r="AV1554" s="6" t="s">
        <v>104</v>
      </c>
      <c r="AW1554" s="6" t="s">
        <v>104</v>
      </c>
      <c r="AX1554" s="6" t="s">
        <v>21332</v>
      </c>
      <c r="AY1554" s="6" t="s">
        <v>23136</v>
      </c>
      <c r="AZ1554" s="6" t="s">
        <v>104</v>
      </c>
      <c r="BA1554" s="6" t="s">
        <v>104</v>
      </c>
      <c r="BB1554" s="6" t="s">
        <v>104</v>
      </c>
      <c r="BC1554" s="26"/>
      <c r="BD1554" s="26"/>
      <c r="BE1554" s="26"/>
      <c r="BF1554" s="26"/>
      <c r="BG1554" s="26" t="s">
        <v>24533</v>
      </c>
      <c r="BH1554" s="26"/>
      <c r="BI1554" s="26"/>
      <c r="BJ1554" s="26"/>
      <c r="BK1554" s="26"/>
      <c r="BL1554" s="26"/>
      <c r="BM1554" s="26"/>
      <c r="BN1554" s="26" t="s">
        <v>24533</v>
      </c>
      <c r="BO1554" s="26"/>
      <c r="BP1554" s="16" t="n">
        <v>45623</v>
      </c>
      <c r="BQ1554" s="28" t="str">
        <f>HYPERLINK("https://organic.ams.usda.gov/Integrity/Certificate.aspx?cid=69&amp;nopid=1562581000")</f>
        <v>https://organic.ams.usda.gov/Integrity/Certificate.aspx?cid=69&amp;nopid=1562581000</v>
      </c>
    </row>
    <row r="1555">
      <c r="A1555" t="s">
        <v>3</v>
      </c>
      <c r="B1555" s="6" t="s">
        <v>20</v>
      </c>
      <c r="C1555" s="6" t="s">
        <v>86</v>
      </c>
      <c r="D1555" s="6" t="s">
        <v>151</v>
      </c>
      <c r="E1555" s="10" t="s">
        <v>1753</v>
      </c>
      <c r="F1555" s="6" t="s">
        <v>3989</v>
      </c>
      <c r="G1555" s="6" t="s">
        <v>104</v>
      </c>
      <c r="H1555" s="6" t="s">
        <v>6297</v>
      </c>
      <c r="I1555" s="6" t="s">
        <v>7824</v>
      </c>
      <c r="J1555" s="6" t="s">
        <v>9270</v>
      </c>
      <c r="K1555" s="6" t="s">
        <v>9714</v>
      </c>
      <c r="L1555" s="16" t="n">
        <v>43143</v>
      </c>
      <c r="M1555" s="16" t="n">
        <v>45747</v>
      </c>
      <c r="N1555" s="6" t="s">
        <v>9714</v>
      </c>
      <c r="O1555" s="16" t="n">
        <v>43143</v>
      </c>
      <c r="P1555" s="6" t="s">
        <v>10142</v>
      </c>
      <c r="Q1555" s="6" t="s">
        <v>104</v>
      </c>
      <c r="R1555" s="6" t="s">
        <v>10414</v>
      </c>
      <c r="S1555" s="6" t="s">
        <v>104</v>
      </c>
      <c r="T1555" s="21" t="s">
        <v>104</v>
      </c>
      <c r="U1555" s="6" t="s">
        <v>104</v>
      </c>
      <c r="V1555" s="6" t="s">
        <v>104</v>
      </c>
      <c r="W1555" s="6" t="s">
        <v>104</v>
      </c>
      <c r="X1555" s="6" t="s">
        <v>104</v>
      </c>
      <c r="Y1555" s="21" t="s">
        <v>104</v>
      </c>
      <c r="Z1555" s="6" t="s">
        <v>104</v>
      </c>
      <c r="AA1555" s="6" t="s">
        <v>104</v>
      </c>
      <c r="AB1555" s="6" t="s">
        <v>104</v>
      </c>
      <c r="AC1555" s="6" t="s">
        <v>9714</v>
      </c>
      <c r="AD1555" s="16" t="n">
        <v>43143</v>
      </c>
      <c r="AE1555" s="6" t="s">
        <v>11881</v>
      </c>
      <c r="AF1555" s="6" t="s">
        <v>104</v>
      </c>
      <c r="AG1555" s="6" t="s">
        <v>10414</v>
      </c>
      <c r="AH1555" s="6" t="s">
        <v>14579</v>
      </c>
      <c r="AI1555" s="6" t="s">
        <v>104</v>
      </c>
      <c r="AJ1555" s="6" t="s">
        <v>16336</v>
      </c>
      <c r="AK1555" s="6" t="s">
        <v>104</v>
      </c>
      <c r="AL1555" s="6" t="s">
        <v>15513</v>
      </c>
      <c r="AM1555" s="6" t="s">
        <v>18034</v>
      </c>
      <c r="AN1555" s="6" t="s">
        <v>104</v>
      </c>
      <c r="AO1555" s="6" t="s">
        <v>104</v>
      </c>
      <c r="AP1555" s="6" t="s">
        <v>104</v>
      </c>
      <c r="AQ1555" s="6" t="s">
        <v>104</v>
      </c>
      <c r="AR1555" s="6" t="s">
        <v>104</v>
      </c>
      <c r="AS1555" s="6" t="s">
        <v>104</v>
      </c>
      <c r="AT1555" s="6" t="s">
        <v>104</v>
      </c>
      <c r="AU1555" s="6" t="s">
        <v>104</v>
      </c>
      <c r="AV1555" s="6" t="s">
        <v>104</v>
      </c>
      <c r="AW1555" s="6" t="s">
        <v>104</v>
      </c>
      <c r="AX1555" s="6" t="s">
        <v>21333</v>
      </c>
      <c r="AY1555" s="6" t="s">
        <v>23137</v>
      </c>
      <c r="AZ1555" s="6" t="s">
        <v>104</v>
      </c>
      <c r="BA1555" s="6" t="s">
        <v>104</v>
      </c>
      <c r="BB1555" s="24" t="n">
        <v>115</v>
      </c>
      <c r="BC1555" s="26"/>
      <c r="BD1555" s="26"/>
      <c r="BE1555" s="26"/>
      <c r="BF1555" s="26"/>
      <c r="BG1555" s="26"/>
      <c r="BH1555" s="26"/>
      <c r="BI1555" s="26"/>
      <c r="BJ1555" s="26"/>
      <c r="BK1555" s="26"/>
      <c r="BL1555" s="26"/>
      <c r="BM1555" s="26"/>
      <c r="BN1555" s="26"/>
      <c r="BO1555" s="26" t="s">
        <v>24533</v>
      </c>
      <c r="BP1555" s="16" t="n">
        <v>45490</v>
      </c>
      <c r="BQ1555" s="28" t="str">
        <f>HYPERLINK("https://organic.ams.usda.gov/Integrity/Certificate.aspx?cid=17&amp;nopid=4087185325")</f>
        <v>https://organic.ams.usda.gov/Integrity/Certificate.aspx?cid=17&amp;nopid=4087185325</v>
      </c>
    </row>
    <row r="1556">
      <c r="A1556" t="s">
        <v>3</v>
      </c>
      <c r="B1556" s="6" t="s">
        <v>11</v>
      </c>
      <c r="C1556" s="6" t="s">
        <v>77</v>
      </c>
      <c r="D1556" s="6" t="s">
        <v>142</v>
      </c>
      <c r="E1556" s="10" t="s">
        <v>1754</v>
      </c>
      <c r="F1556" s="6" t="s">
        <v>3990</v>
      </c>
      <c r="G1556" s="6" t="s">
        <v>104</v>
      </c>
      <c r="H1556" s="6" t="s">
        <v>104</v>
      </c>
      <c r="I1556" s="6" t="s">
        <v>7040</v>
      </c>
      <c r="J1556" s="6" t="s">
        <v>9271</v>
      </c>
      <c r="K1556" s="6" t="s">
        <v>9714</v>
      </c>
      <c r="L1556" s="16" t="n">
        <v>43294</v>
      </c>
      <c r="M1556" s="16" t="n">
        <v>45862</v>
      </c>
      <c r="N1556" s="6" t="s">
        <v>104</v>
      </c>
      <c r="O1556" s="21" t="s">
        <v>104</v>
      </c>
      <c r="P1556" s="6" t="s">
        <v>104</v>
      </c>
      <c r="Q1556" s="6" t="s">
        <v>104</v>
      </c>
      <c r="R1556" s="6" t="s">
        <v>104</v>
      </c>
      <c r="S1556" s="6" t="s">
        <v>104</v>
      </c>
      <c r="T1556" s="21" t="s">
        <v>104</v>
      </c>
      <c r="U1556" s="6" t="s">
        <v>104</v>
      </c>
      <c r="V1556" s="6" t="s">
        <v>104</v>
      </c>
      <c r="W1556" s="6" t="s">
        <v>104</v>
      </c>
      <c r="X1556" s="6" t="s">
        <v>104</v>
      </c>
      <c r="Y1556" s="21" t="s">
        <v>104</v>
      </c>
      <c r="Z1556" s="6" t="s">
        <v>104</v>
      </c>
      <c r="AA1556" s="6" t="s">
        <v>104</v>
      </c>
      <c r="AB1556" s="6" t="s">
        <v>104</v>
      </c>
      <c r="AC1556" s="6" t="s">
        <v>9714</v>
      </c>
      <c r="AD1556" s="16" t="n">
        <v>43294</v>
      </c>
      <c r="AE1556" s="6" t="s">
        <v>11882</v>
      </c>
      <c r="AF1556" s="6" t="s">
        <v>104</v>
      </c>
      <c r="AG1556" s="6" t="s">
        <v>104</v>
      </c>
      <c r="AH1556" s="6" t="s">
        <v>14580</v>
      </c>
      <c r="AI1556" s="6" t="s">
        <v>104</v>
      </c>
      <c r="AJ1556" s="6" t="s">
        <v>16337</v>
      </c>
      <c r="AK1556" s="6" t="s">
        <v>16337</v>
      </c>
      <c r="AL1556" s="6" t="s">
        <v>16931</v>
      </c>
      <c r="AM1556" s="6" t="s">
        <v>18035</v>
      </c>
      <c r="AN1556" s="6" t="s">
        <v>18529</v>
      </c>
      <c r="AO1556" s="6" t="s">
        <v>18860</v>
      </c>
      <c r="AP1556" s="6" t="s">
        <v>104</v>
      </c>
      <c r="AQ1556" s="6" t="s">
        <v>104</v>
      </c>
      <c r="AR1556" s="6" t="s">
        <v>104</v>
      </c>
      <c r="AS1556" s="6" t="s">
        <v>104</v>
      </c>
      <c r="AT1556" s="6" t="s">
        <v>104</v>
      </c>
      <c r="AU1556" s="6" t="s">
        <v>104</v>
      </c>
      <c r="AV1556" s="6" t="s">
        <v>104</v>
      </c>
      <c r="AW1556" s="6" t="s">
        <v>104</v>
      </c>
      <c r="AX1556" s="6" t="s">
        <v>21334</v>
      </c>
      <c r="AY1556" s="6" t="s">
        <v>23138</v>
      </c>
      <c r="AZ1556" s="6" t="s">
        <v>104</v>
      </c>
      <c r="BA1556" s="6" t="s">
        <v>104</v>
      </c>
      <c r="BB1556" s="6" t="s">
        <v>104</v>
      </c>
      <c r="BC1556" s="26"/>
      <c r="BD1556" s="26"/>
      <c r="BE1556" s="26"/>
      <c r="BF1556" s="26"/>
      <c r="BG1556" s="26"/>
      <c r="BH1556" s="26"/>
      <c r="BI1556" s="26"/>
      <c r="BJ1556" s="26"/>
      <c r="BK1556" s="26"/>
      <c r="BL1556" s="26"/>
      <c r="BM1556" s="26"/>
      <c r="BN1556" s="26"/>
      <c r="BO1556" s="26"/>
      <c r="BP1556" s="16" t="n">
        <v>45624</v>
      </c>
      <c r="BQ1556" s="28" t="str">
        <f>HYPERLINK("https://organic.ams.usda.gov/Integrity/Certificate.aspx?cid=21&amp;nopid=1780860980")</f>
        <v>https://organic.ams.usda.gov/Integrity/Certificate.aspx?cid=21&amp;nopid=1780860980</v>
      </c>
    </row>
    <row r="1557">
      <c r="A1557" t="s">
        <v>3</v>
      </c>
      <c r="B1557" s="6" t="s">
        <v>19</v>
      </c>
      <c r="C1557" s="6" t="s">
        <v>85</v>
      </c>
      <c r="D1557" s="6" t="s">
        <v>150</v>
      </c>
      <c r="E1557" s="10" t="s">
        <v>1755</v>
      </c>
      <c r="F1557" s="6" t="s">
        <v>3991</v>
      </c>
      <c r="G1557" s="6" t="s">
        <v>104</v>
      </c>
      <c r="H1557" s="6" t="s">
        <v>104</v>
      </c>
      <c r="I1557" s="6" t="s">
        <v>6945</v>
      </c>
      <c r="J1557" s="6" t="s">
        <v>9272</v>
      </c>
      <c r="K1557" s="6" t="s">
        <v>9714</v>
      </c>
      <c r="L1557" s="16" t="n">
        <v>41121</v>
      </c>
      <c r="M1557" s="16" t="n">
        <v>44621</v>
      </c>
      <c r="N1557" s="6" t="s">
        <v>104</v>
      </c>
      <c r="O1557" s="21" t="s">
        <v>104</v>
      </c>
      <c r="P1557" s="6" t="s">
        <v>104</v>
      </c>
      <c r="Q1557" s="6" t="s">
        <v>104</v>
      </c>
      <c r="R1557" s="6" t="s">
        <v>104</v>
      </c>
      <c r="S1557" s="6" t="s">
        <v>104</v>
      </c>
      <c r="T1557" s="21" t="s">
        <v>104</v>
      </c>
      <c r="U1557" s="6" t="s">
        <v>104</v>
      </c>
      <c r="V1557" s="6" t="s">
        <v>104</v>
      </c>
      <c r="W1557" s="6" t="s">
        <v>104</v>
      </c>
      <c r="X1557" s="6" t="s">
        <v>104</v>
      </c>
      <c r="Y1557" s="21" t="s">
        <v>104</v>
      </c>
      <c r="Z1557" s="6" t="s">
        <v>104</v>
      </c>
      <c r="AA1557" s="6" t="s">
        <v>104</v>
      </c>
      <c r="AB1557" s="6" t="s">
        <v>104</v>
      </c>
      <c r="AC1557" s="6" t="s">
        <v>9714</v>
      </c>
      <c r="AD1557" s="16" t="n">
        <v>41121</v>
      </c>
      <c r="AE1557" s="6" t="s">
        <v>11883</v>
      </c>
      <c r="AF1557" s="6" t="s">
        <v>104</v>
      </c>
      <c r="AG1557" s="6" t="s">
        <v>104</v>
      </c>
      <c r="AH1557" s="6" t="s">
        <v>104</v>
      </c>
      <c r="AI1557" s="6" t="s">
        <v>104</v>
      </c>
      <c r="AJ1557" s="6" t="s">
        <v>104</v>
      </c>
      <c r="AK1557" s="6" t="s">
        <v>104</v>
      </c>
      <c r="AL1557" s="6" t="s">
        <v>104</v>
      </c>
      <c r="AM1557" s="6" t="s">
        <v>104</v>
      </c>
      <c r="AN1557" s="6" t="s">
        <v>104</v>
      </c>
      <c r="AO1557" s="6" t="s">
        <v>104</v>
      </c>
      <c r="AP1557" s="6" t="s">
        <v>19371</v>
      </c>
      <c r="AQ1557" s="6" t="s">
        <v>104</v>
      </c>
      <c r="AR1557" s="6" t="s">
        <v>19738</v>
      </c>
      <c r="AS1557" s="6" t="s">
        <v>16337</v>
      </c>
      <c r="AT1557" s="6" t="s">
        <v>16931</v>
      </c>
      <c r="AU1557" s="6" t="s">
        <v>20002</v>
      </c>
      <c r="AV1557" s="6" t="s">
        <v>18529</v>
      </c>
      <c r="AW1557" s="6" t="s">
        <v>18860</v>
      </c>
      <c r="AX1557" s="6" t="s">
        <v>104</v>
      </c>
      <c r="AY1557" s="6" t="s">
        <v>23139</v>
      </c>
      <c r="AZ1557" s="6" t="s">
        <v>104</v>
      </c>
      <c r="BA1557" s="6" t="s">
        <v>104</v>
      </c>
      <c r="BB1557" s="6" t="s">
        <v>104</v>
      </c>
      <c r="BC1557" s="26"/>
      <c r="BD1557" s="26"/>
      <c r="BE1557" s="26"/>
      <c r="BF1557" s="26"/>
      <c r="BG1557" s="26"/>
      <c r="BH1557" s="26"/>
      <c r="BI1557" s="26"/>
      <c r="BJ1557" s="26"/>
      <c r="BK1557" s="26"/>
      <c r="BL1557" s="26"/>
      <c r="BM1557" s="26"/>
      <c r="BN1557" s="26"/>
      <c r="BO1557" s="26"/>
      <c r="BP1557" s="16" t="n">
        <v>44561</v>
      </c>
      <c r="BQ1557" s="28" t="str">
        <f>HYPERLINK("https://organic.ams.usda.gov/Integrity/Certificate.aspx?cid=68&amp;nopid=8210003470")</f>
        <v>https://organic.ams.usda.gov/Integrity/Certificate.aspx?cid=68&amp;nopid=8210003470</v>
      </c>
    </row>
    <row r="1558">
      <c r="A1558" t="s">
        <v>3</v>
      </c>
      <c r="B1558" s="6" t="s">
        <v>39</v>
      </c>
      <c r="C1558" s="6" t="s">
        <v>105</v>
      </c>
      <c r="D1558" s="6" t="s">
        <v>169</v>
      </c>
      <c r="E1558" s="10" t="s">
        <v>1756</v>
      </c>
      <c r="F1558" s="6" t="s">
        <v>3992</v>
      </c>
      <c r="G1558" s="6" t="s">
        <v>104</v>
      </c>
      <c r="H1558" s="6" t="s">
        <v>6298</v>
      </c>
      <c r="I1558" s="6" t="s">
        <v>7243</v>
      </c>
      <c r="J1558" s="6" t="s">
        <v>9273</v>
      </c>
      <c r="K1558" s="6" t="s">
        <v>9714</v>
      </c>
      <c r="L1558" s="16" t="n">
        <v>43924</v>
      </c>
      <c r="M1558" s="16" t="n">
        <v>45777</v>
      </c>
      <c r="N1558" s="6" t="s">
        <v>104</v>
      </c>
      <c r="O1558" s="21" t="s">
        <v>104</v>
      </c>
      <c r="P1558" s="6" t="s">
        <v>104</v>
      </c>
      <c r="Q1558" s="6" t="s">
        <v>104</v>
      </c>
      <c r="R1558" s="6" t="s">
        <v>104</v>
      </c>
      <c r="S1558" s="6" t="s">
        <v>104</v>
      </c>
      <c r="T1558" s="21" t="s">
        <v>104</v>
      </c>
      <c r="U1558" s="6" t="s">
        <v>104</v>
      </c>
      <c r="V1558" s="6" t="s">
        <v>104</v>
      </c>
      <c r="W1558" s="6" t="s">
        <v>104</v>
      </c>
      <c r="X1558" s="6" t="s">
        <v>104</v>
      </c>
      <c r="Y1558" s="21" t="s">
        <v>104</v>
      </c>
      <c r="Z1558" s="6" t="s">
        <v>104</v>
      </c>
      <c r="AA1558" s="6" t="s">
        <v>104</v>
      </c>
      <c r="AB1558" s="6" t="s">
        <v>104</v>
      </c>
      <c r="AC1558" s="6" t="s">
        <v>9714</v>
      </c>
      <c r="AD1558" s="16" t="n">
        <v>43924</v>
      </c>
      <c r="AE1558" s="6" t="s">
        <v>11884</v>
      </c>
      <c r="AF1558" s="6" t="s">
        <v>104</v>
      </c>
      <c r="AG1558" s="6" t="s">
        <v>6298</v>
      </c>
      <c r="AH1558" s="6" t="s">
        <v>14581</v>
      </c>
      <c r="AI1558" s="6" t="s">
        <v>104</v>
      </c>
      <c r="AJ1558" s="6" t="s">
        <v>16338</v>
      </c>
      <c r="AK1558" s="6" t="s">
        <v>16689</v>
      </c>
      <c r="AL1558" s="6" t="s">
        <v>16931</v>
      </c>
      <c r="AM1558" s="6" t="s">
        <v>18036</v>
      </c>
      <c r="AN1558" s="6" t="s">
        <v>18464</v>
      </c>
      <c r="AO1558" s="6" t="s">
        <v>18734</v>
      </c>
      <c r="AP1558" s="6" t="s">
        <v>14581</v>
      </c>
      <c r="AQ1558" s="6" t="s">
        <v>104</v>
      </c>
      <c r="AR1558" s="6" t="s">
        <v>16338</v>
      </c>
      <c r="AS1558" s="6" t="s">
        <v>16689</v>
      </c>
      <c r="AT1558" s="6" t="s">
        <v>16931</v>
      </c>
      <c r="AU1558" s="6" t="s">
        <v>18036</v>
      </c>
      <c r="AV1558" s="6" t="s">
        <v>104</v>
      </c>
      <c r="AW1558" s="6" t="s">
        <v>104</v>
      </c>
      <c r="AX1558" s="6" t="s">
        <v>104</v>
      </c>
      <c r="AY1558" s="6" t="s">
        <v>23140</v>
      </c>
      <c r="AZ1558" s="6" t="s">
        <v>104</v>
      </c>
      <c r="BA1558" s="6" t="s">
        <v>104</v>
      </c>
      <c r="BB1558" s="6" t="s">
        <v>104</v>
      </c>
      <c r="BC1558" s="26"/>
      <c r="BD1558" s="26"/>
      <c r="BE1558" s="26"/>
      <c r="BF1558" s="26"/>
      <c r="BG1558" s="26"/>
      <c r="BH1558" s="26"/>
      <c r="BI1558" s="26"/>
      <c r="BJ1558" s="26"/>
      <c r="BK1558" s="26"/>
      <c r="BL1558" s="26"/>
      <c r="BM1558" s="26"/>
      <c r="BN1558" s="26"/>
      <c r="BO1558" s="26"/>
      <c r="BP1558" s="16" t="n">
        <v>45699</v>
      </c>
      <c r="BQ1558" s="28" t="str">
        <f>HYPERLINK("https://organic.ams.usda.gov/Integrity/Certificate.aspx?cid=29&amp;nopid=1582040302")</f>
        <v>https://organic.ams.usda.gov/Integrity/Certificate.aspx?cid=29&amp;nopid=1582040302</v>
      </c>
    </row>
    <row r="1559">
      <c r="A1559" t="s">
        <v>3</v>
      </c>
      <c r="B1559" s="6" t="s">
        <v>39</v>
      </c>
      <c r="C1559" s="6" t="s">
        <v>105</v>
      </c>
      <c r="D1559" s="6" t="s">
        <v>169</v>
      </c>
      <c r="E1559" s="10" t="s">
        <v>1757</v>
      </c>
      <c r="F1559" s="6" t="s">
        <v>3993</v>
      </c>
      <c r="G1559" s="6" t="s">
        <v>104</v>
      </c>
      <c r="H1559" s="6" t="s">
        <v>6299</v>
      </c>
      <c r="I1559" s="6" t="s">
        <v>7825</v>
      </c>
      <c r="J1559" s="6" t="s">
        <v>9274</v>
      </c>
      <c r="K1559" s="6" t="s">
        <v>9714</v>
      </c>
      <c r="L1559" s="16" t="n">
        <v>43979</v>
      </c>
      <c r="M1559" s="16" t="n">
        <v>45777</v>
      </c>
      <c r="N1559" s="6" t="s">
        <v>104</v>
      </c>
      <c r="O1559" s="21" t="s">
        <v>104</v>
      </c>
      <c r="P1559" s="6" t="s">
        <v>104</v>
      </c>
      <c r="Q1559" s="6" t="s">
        <v>104</v>
      </c>
      <c r="R1559" s="6" t="s">
        <v>104</v>
      </c>
      <c r="S1559" s="6" t="s">
        <v>104</v>
      </c>
      <c r="T1559" s="21" t="s">
        <v>104</v>
      </c>
      <c r="U1559" s="6" t="s">
        <v>104</v>
      </c>
      <c r="V1559" s="6" t="s">
        <v>104</v>
      </c>
      <c r="W1559" s="6" t="s">
        <v>104</v>
      </c>
      <c r="X1559" s="6" t="s">
        <v>104</v>
      </c>
      <c r="Y1559" s="21" t="s">
        <v>104</v>
      </c>
      <c r="Z1559" s="6" t="s">
        <v>104</v>
      </c>
      <c r="AA1559" s="6" t="s">
        <v>104</v>
      </c>
      <c r="AB1559" s="6" t="s">
        <v>104</v>
      </c>
      <c r="AC1559" s="6" t="s">
        <v>9714</v>
      </c>
      <c r="AD1559" s="16" t="n">
        <v>43979</v>
      </c>
      <c r="AE1559" s="6" t="s">
        <v>11885</v>
      </c>
      <c r="AF1559" s="6" t="s">
        <v>104</v>
      </c>
      <c r="AG1559" s="6" t="s">
        <v>6299</v>
      </c>
      <c r="AH1559" s="6" t="s">
        <v>14582</v>
      </c>
      <c r="AI1559" s="6" t="s">
        <v>104</v>
      </c>
      <c r="AJ1559" s="6" t="s">
        <v>16339</v>
      </c>
      <c r="AK1559" s="6" t="s">
        <v>16725</v>
      </c>
      <c r="AL1559" s="6" t="s">
        <v>16931</v>
      </c>
      <c r="AM1559" s="6" t="s">
        <v>18037</v>
      </c>
      <c r="AN1559" s="6" t="s">
        <v>18549</v>
      </c>
      <c r="AO1559" s="6" t="s">
        <v>18861</v>
      </c>
      <c r="AP1559" s="6" t="s">
        <v>14582</v>
      </c>
      <c r="AQ1559" s="6" t="s">
        <v>104</v>
      </c>
      <c r="AR1559" s="6" t="s">
        <v>16339</v>
      </c>
      <c r="AS1559" s="6" t="s">
        <v>16725</v>
      </c>
      <c r="AT1559" s="6" t="s">
        <v>16931</v>
      </c>
      <c r="AU1559" s="6" t="s">
        <v>18037</v>
      </c>
      <c r="AV1559" s="6" t="s">
        <v>104</v>
      </c>
      <c r="AW1559" s="6" t="s">
        <v>104</v>
      </c>
      <c r="AX1559" s="6" t="s">
        <v>104</v>
      </c>
      <c r="AY1559" s="6" t="s">
        <v>23141</v>
      </c>
      <c r="AZ1559" s="6" t="s">
        <v>104</v>
      </c>
      <c r="BA1559" s="6" t="s">
        <v>104</v>
      </c>
      <c r="BB1559" s="6" t="s">
        <v>104</v>
      </c>
      <c r="BC1559" s="26"/>
      <c r="BD1559" s="26"/>
      <c r="BE1559" s="26"/>
      <c r="BF1559" s="26"/>
      <c r="BG1559" s="26"/>
      <c r="BH1559" s="26"/>
      <c r="BI1559" s="26"/>
      <c r="BJ1559" s="26"/>
      <c r="BK1559" s="26"/>
      <c r="BL1559" s="26"/>
      <c r="BM1559" s="26"/>
      <c r="BN1559" s="26"/>
      <c r="BO1559" s="26"/>
      <c r="BP1559" s="16" t="n">
        <v>45516</v>
      </c>
      <c r="BQ1559" s="28" t="str">
        <f>HYPERLINK("https://organic.ams.usda.gov/Integrity/Certificate.aspx?cid=29&amp;nopid=1582052820")</f>
        <v>https://organic.ams.usda.gov/Integrity/Certificate.aspx?cid=29&amp;nopid=1582052820</v>
      </c>
    </row>
    <row r="1560">
      <c r="A1560" t="s">
        <v>3</v>
      </c>
      <c r="B1560" s="6" t="s">
        <v>34</v>
      </c>
      <c r="C1560" s="6" t="s">
        <v>100</v>
      </c>
      <c r="D1560" s="6" t="s">
        <v>165</v>
      </c>
      <c r="E1560" s="10" t="s">
        <v>1758</v>
      </c>
      <c r="F1560" s="6" t="s">
        <v>3994</v>
      </c>
      <c r="G1560" s="6" t="s">
        <v>104</v>
      </c>
      <c r="H1560" s="6" t="s">
        <v>6300</v>
      </c>
      <c r="I1560" s="6" t="s">
        <v>7006</v>
      </c>
      <c r="J1560" s="6" t="s">
        <v>7278</v>
      </c>
      <c r="K1560" s="6" t="s">
        <v>9714</v>
      </c>
      <c r="L1560" s="16" t="n">
        <v>41920</v>
      </c>
      <c r="M1560" s="16" t="n">
        <v>45854</v>
      </c>
      <c r="N1560" s="6" t="s">
        <v>104</v>
      </c>
      <c r="O1560" s="21" t="s">
        <v>104</v>
      </c>
      <c r="P1560" s="6" t="s">
        <v>104</v>
      </c>
      <c r="Q1560" s="6" t="s">
        <v>104</v>
      </c>
      <c r="R1560" s="6" t="s">
        <v>104</v>
      </c>
      <c r="S1560" s="6" t="s">
        <v>104</v>
      </c>
      <c r="T1560" s="21" t="s">
        <v>104</v>
      </c>
      <c r="U1560" s="6" t="s">
        <v>104</v>
      </c>
      <c r="V1560" s="6" t="s">
        <v>104</v>
      </c>
      <c r="W1560" s="6" t="s">
        <v>104</v>
      </c>
      <c r="X1560" s="6" t="s">
        <v>104</v>
      </c>
      <c r="Y1560" s="21" t="s">
        <v>104</v>
      </c>
      <c r="Z1560" s="6" t="s">
        <v>104</v>
      </c>
      <c r="AA1560" s="6" t="s">
        <v>104</v>
      </c>
      <c r="AB1560" s="6" t="s">
        <v>104</v>
      </c>
      <c r="AC1560" s="6" t="s">
        <v>9714</v>
      </c>
      <c r="AD1560" s="16" t="n">
        <v>41920</v>
      </c>
      <c r="AE1560" s="6" t="s">
        <v>11886</v>
      </c>
      <c r="AF1560" s="6" t="s">
        <v>104</v>
      </c>
      <c r="AG1560" s="6" t="s">
        <v>12972</v>
      </c>
      <c r="AH1560" s="6" t="s">
        <v>14583</v>
      </c>
      <c r="AI1560" s="6" t="s">
        <v>104</v>
      </c>
      <c r="AJ1560" s="6" t="s">
        <v>8436</v>
      </c>
      <c r="AK1560" s="6" t="s">
        <v>16711</v>
      </c>
      <c r="AL1560" s="6" t="s">
        <v>16931</v>
      </c>
      <c r="AM1560" s="6" t="s">
        <v>18038</v>
      </c>
      <c r="AN1560" s="6" t="s">
        <v>18451</v>
      </c>
      <c r="AO1560" s="6" t="s">
        <v>18709</v>
      </c>
      <c r="AP1560" s="6" t="s">
        <v>19372</v>
      </c>
      <c r="AQ1560" s="6" t="s">
        <v>104</v>
      </c>
      <c r="AR1560" s="6" t="s">
        <v>19739</v>
      </c>
      <c r="AS1560" s="6" t="s">
        <v>16337</v>
      </c>
      <c r="AT1560" s="6" t="s">
        <v>16931</v>
      </c>
      <c r="AU1560" s="6" t="s">
        <v>20003</v>
      </c>
      <c r="AV1560" s="6" t="s">
        <v>104</v>
      </c>
      <c r="AW1560" s="6" t="s">
        <v>104</v>
      </c>
      <c r="AX1560" s="6" t="s">
        <v>21335</v>
      </c>
      <c r="AY1560" s="6" t="s">
        <v>23142</v>
      </c>
      <c r="AZ1560" s="6" t="s">
        <v>104</v>
      </c>
      <c r="BA1560" s="6" t="s">
        <v>104</v>
      </c>
      <c r="BB1560" s="6" t="s">
        <v>104</v>
      </c>
      <c r="BC1560" s="26"/>
      <c r="BD1560" s="26"/>
      <c r="BE1560" s="26" t="s">
        <v>24533</v>
      </c>
      <c r="BF1560" s="26"/>
      <c r="BG1560" s="26"/>
      <c r="BH1560" s="26"/>
      <c r="BI1560" s="26"/>
      <c r="BJ1560" s="26"/>
      <c r="BK1560" s="26"/>
      <c r="BL1560" s="26"/>
      <c r="BM1560" s="26"/>
      <c r="BN1560" s="26"/>
      <c r="BO1560" s="26"/>
      <c r="BP1560" s="16" t="n">
        <v>45737</v>
      </c>
      <c r="BQ1560" s="28" t="str">
        <f>HYPERLINK("https://organic.ams.usda.gov/Integrity/Certificate.aspx?cid=71&amp;nopid=5520223746")</f>
        <v>https://organic.ams.usda.gov/Integrity/Certificate.aspx?cid=71&amp;nopid=5520223746</v>
      </c>
    </row>
    <row r="1561">
      <c r="A1561" t="s">
        <v>3</v>
      </c>
      <c r="B1561" s="6" t="s">
        <v>34</v>
      </c>
      <c r="C1561" s="6" t="s">
        <v>100</v>
      </c>
      <c r="D1561" s="6" t="s">
        <v>165</v>
      </c>
      <c r="E1561" s="10" t="s">
        <v>1759</v>
      </c>
      <c r="F1561" s="6" t="s">
        <v>3995</v>
      </c>
      <c r="G1561" s="6" t="s">
        <v>104</v>
      </c>
      <c r="H1561" s="6" t="s">
        <v>6301</v>
      </c>
      <c r="I1561" s="6" t="s">
        <v>7434</v>
      </c>
      <c r="J1561" s="6" t="s">
        <v>9275</v>
      </c>
      <c r="K1561" s="6" t="s">
        <v>9714</v>
      </c>
      <c r="L1561" s="16" t="n">
        <v>38420</v>
      </c>
      <c r="M1561" s="16" t="n">
        <v>45882</v>
      </c>
      <c r="N1561" s="6" t="s">
        <v>104</v>
      </c>
      <c r="O1561" s="21" t="s">
        <v>104</v>
      </c>
      <c r="P1561" s="6" t="s">
        <v>104</v>
      </c>
      <c r="Q1561" s="6" t="s">
        <v>104</v>
      </c>
      <c r="R1561" s="6" t="s">
        <v>104</v>
      </c>
      <c r="S1561" s="6" t="s">
        <v>104</v>
      </c>
      <c r="T1561" s="21" t="s">
        <v>104</v>
      </c>
      <c r="U1561" s="6" t="s">
        <v>104</v>
      </c>
      <c r="V1561" s="6" t="s">
        <v>104</v>
      </c>
      <c r="W1561" s="6" t="s">
        <v>104</v>
      </c>
      <c r="X1561" s="6" t="s">
        <v>104</v>
      </c>
      <c r="Y1561" s="21" t="s">
        <v>104</v>
      </c>
      <c r="Z1561" s="6" t="s">
        <v>104</v>
      </c>
      <c r="AA1561" s="6" t="s">
        <v>104</v>
      </c>
      <c r="AB1561" s="6" t="s">
        <v>104</v>
      </c>
      <c r="AC1561" s="6" t="s">
        <v>9714</v>
      </c>
      <c r="AD1561" s="16" t="n">
        <v>38420</v>
      </c>
      <c r="AE1561" s="6" t="s">
        <v>11887</v>
      </c>
      <c r="AF1561" s="6" t="s">
        <v>104</v>
      </c>
      <c r="AG1561" s="6" t="s">
        <v>12973</v>
      </c>
      <c r="AH1561" s="6" t="s">
        <v>14584</v>
      </c>
      <c r="AI1561" s="6" t="s">
        <v>104</v>
      </c>
      <c r="AJ1561" s="6" t="s">
        <v>16340</v>
      </c>
      <c r="AK1561" s="6" t="s">
        <v>16738</v>
      </c>
      <c r="AL1561" s="6" t="s">
        <v>16931</v>
      </c>
      <c r="AM1561" s="6" t="s">
        <v>18039</v>
      </c>
      <c r="AN1561" s="6" t="s">
        <v>18476</v>
      </c>
      <c r="AO1561" s="6" t="s">
        <v>18862</v>
      </c>
      <c r="AP1561" s="6" t="s">
        <v>19373</v>
      </c>
      <c r="AQ1561" s="6" t="s">
        <v>104</v>
      </c>
      <c r="AR1561" s="6" t="s">
        <v>19740</v>
      </c>
      <c r="AS1561" s="6" t="s">
        <v>16693</v>
      </c>
      <c r="AT1561" s="6" t="s">
        <v>16931</v>
      </c>
      <c r="AU1561" s="6" t="s">
        <v>20004</v>
      </c>
      <c r="AV1561" s="6" t="s">
        <v>104</v>
      </c>
      <c r="AW1561" s="6" t="s">
        <v>104</v>
      </c>
      <c r="AX1561" s="6" t="s">
        <v>21336</v>
      </c>
      <c r="AY1561" s="6" t="s">
        <v>104</v>
      </c>
      <c r="AZ1561" s="6" t="s">
        <v>24086</v>
      </c>
      <c r="BA1561" s="6" t="s">
        <v>104</v>
      </c>
      <c r="BB1561" s="6" t="s">
        <v>104</v>
      </c>
      <c r="BC1561" s="26"/>
      <c r="BD1561" s="26"/>
      <c r="BE1561" s="26"/>
      <c r="BF1561" s="26"/>
      <c r="BG1561" s="26"/>
      <c r="BH1561" s="26"/>
      <c r="BI1561" s="26"/>
      <c r="BJ1561" s="26"/>
      <c r="BK1561" s="26"/>
      <c r="BL1561" s="26"/>
      <c r="BM1561" s="26"/>
      <c r="BN1561" s="26"/>
      <c r="BO1561" s="26"/>
      <c r="BP1561" s="16" t="n">
        <v>45737</v>
      </c>
      <c r="BQ1561" s="28" t="str">
        <f>HYPERLINK("https://organic.ams.usda.gov/Integrity/Certificate.aspx?cid=71&amp;nopid=5520031736")</f>
        <v>https://organic.ams.usda.gov/Integrity/Certificate.aspx?cid=71&amp;nopid=5520031736</v>
      </c>
    </row>
    <row r="1562">
      <c r="A1562" t="s">
        <v>3</v>
      </c>
      <c r="B1562" s="6" t="s">
        <v>48</v>
      </c>
      <c r="C1562" s="6" t="s">
        <v>114</v>
      </c>
      <c r="D1562" s="6" t="s">
        <v>178</v>
      </c>
      <c r="E1562" s="10" t="s">
        <v>1760</v>
      </c>
      <c r="F1562" s="6" t="s">
        <v>3996</v>
      </c>
      <c r="G1562" s="6" t="s">
        <v>104</v>
      </c>
      <c r="H1562" s="6" t="s">
        <v>6302</v>
      </c>
      <c r="I1562" s="6" t="s">
        <v>7826</v>
      </c>
      <c r="J1562" s="6" t="s">
        <v>9276</v>
      </c>
      <c r="K1562" s="6" t="s">
        <v>9714</v>
      </c>
      <c r="L1562" s="16" t="n">
        <v>42277</v>
      </c>
      <c r="M1562" s="16" t="n">
        <v>45716</v>
      </c>
      <c r="N1562" s="6" t="s">
        <v>104</v>
      </c>
      <c r="O1562" s="21" t="s">
        <v>104</v>
      </c>
      <c r="P1562" s="6" t="s">
        <v>104</v>
      </c>
      <c r="Q1562" s="6" t="s">
        <v>104</v>
      </c>
      <c r="R1562" s="6" t="s">
        <v>104</v>
      </c>
      <c r="S1562" s="6" t="s">
        <v>104</v>
      </c>
      <c r="T1562" s="21" t="s">
        <v>104</v>
      </c>
      <c r="U1562" s="6" t="s">
        <v>104</v>
      </c>
      <c r="V1562" s="6" t="s">
        <v>104</v>
      </c>
      <c r="W1562" s="6" t="s">
        <v>104</v>
      </c>
      <c r="X1562" s="6" t="s">
        <v>104</v>
      </c>
      <c r="Y1562" s="21" t="s">
        <v>104</v>
      </c>
      <c r="Z1562" s="6" t="s">
        <v>104</v>
      </c>
      <c r="AA1562" s="6" t="s">
        <v>104</v>
      </c>
      <c r="AB1562" s="6" t="s">
        <v>104</v>
      </c>
      <c r="AC1562" s="6" t="s">
        <v>9714</v>
      </c>
      <c r="AD1562" s="16" t="n">
        <v>42277</v>
      </c>
      <c r="AE1562" s="6" t="s">
        <v>11888</v>
      </c>
      <c r="AF1562" s="6" t="s">
        <v>104</v>
      </c>
      <c r="AG1562" s="6" t="s">
        <v>104</v>
      </c>
      <c r="AH1562" s="6" t="s">
        <v>14585</v>
      </c>
      <c r="AI1562" s="6" t="s">
        <v>104</v>
      </c>
      <c r="AJ1562" s="6" t="s">
        <v>15383</v>
      </c>
      <c r="AK1562" s="6" t="s">
        <v>104</v>
      </c>
      <c r="AL1562" s="6" t="s">
        <v>16933</v>
      </c>
      <c r="AM1562" s="6" t="s">
        <v>15383</v>
      </c>
      <c r="AN1562" s="6" t="s">
        <v>104</v>
      </c>
      <c r="AO1562" s="6" t="s">
        <v>104</v>
      </c>
      <c r="AP1562" s="6" t="s">
        <v>14585</v>
      </c>
      <c r="AQ1562" s="6" t="s">
        <v>104</v>
      </c>
      <c r="AR1562" s="6" t="s">
        <v>15383</v>
      </c>
      <c r="AS1562" s="6" t="s">
        <v>104</v>
      </c>
      <c r="AT1562" s="6" t="s">
        <v>16933</v>
      </c>
      <c r="AU1562" s="6" t="s">
        <v>15383</v>
      </c>
      <c r="AV1562" s="6" t="s">
        <v>104</v>
      </c>
      <c r="AW1562" s="6" t="s">
        <v>104</v>
      </c>
      <c r="AX1562" s="6" t="s">
        <v>21337</v>
      </c>
      <c r="AY1562" s="6" t="s">
        <v>23143</v>
      </c>
      <c r="AZ1562" s="6" t="s">
        <v>104</v>
      </c>
      <c r="BA1562" s="6" t="s">
        <v>104</v>
      </c>
      <c r="BB1562" s="6" t="s">
        <v>104</v>
      </c>
      <c r="BC1562" s="26"/>
      <c r="BD1562" s="26"/>
      <c r="BE1562" s="26"/>
      <c r="BF1562" s="26"/>
      <c r="BG1562" s="26"/>
      <c r="BH1562" s="26"/>
      <c r="BI1562" s="26"/>
      <c r="BJ1562" s="26"/>
      <c r="BK1562" s="26"/>
      <c r="BL1562" s="26"/>
      <c r="BM1562" s="26"/>
      <c r="BN1562" s="26"/>
      <c r="BO1562" s="26"/>
      <c r="BP1562" s="16" t="n">
        <v>45656</v>
      </c>
      <c r="BQ1562" s="28" t="str">
        <f>HYPERLINK("https://organic.ams.usda.gov/Integrity/Certificate.aspx?cid=9&amp;nopid=1202426300")</f>
        <v>https://organic.ams.usda.gov/Integrity/Certificate.aspx?cid=9&amp;nopid=1202426300</v>
      </c>
    </row>
    <row r="1563">
      <c r="A1563" t="s">
        <v>3</v>
      </c>
      <c r="B1563" s="6" t="s">
        <v>20</v>
      </c>
      <c r="C1563" s="6" t="s">
        <v>86</v>
      </c>
      <c r="D1563" s="6" t="s">
        <v>151</v>
      </c>
      <c r="E1563" s="10" t="s">
        <v>1761</v>
      </c>
      <c r="F1563" s="6" t="s">
        <v>3997</v>
      </c>
      <c r="G1563" s="6" t="s">
        <v>104</v>
      </c>
      <c r="H1563" s="6" t="s">
        <v>6303</v>
      </c>
      <c r="I1563" s="6" t="s">
        <v>7827</v>
      </c>
      <c r="J1563" s="6" t="s">
        <v>9277</v>
      </c>
      <c r="K1563" s="6" t="s">
        <v>9714</v>
      </c>
      <c r="L1563" s="16" t="n">
        <v>43321</v>
      </c>
      <c r="M1563" s="16" t="n">
        <v>45838</v>
      </c>
      <c r="N1563" s="6" t="s">
        <v>104</v>
      </c>
      <c r="O1563" s="21" t="s">
        <v>104</v>
      </c>
      <c r="P1563" s="6" t="s">
        <v>104</v>
      </c>
      <c r="Q1563" s="6" t="s">
        <v>104</v>
      </c>
      <c r="R1563" s="6" t="s">
        <v>104</v>
      </c>
      <c r="S1563" s="6" t="s">
        <v>104</v>
      </c>
      <c r="T1563" s="21" t="s">
        <v>104</v>
      </c>
      <c r="U1563" s="6" t="s">
        <v>104</v>
      </c>
      <c r="V1563" s="6" t="s">
        <v>104</v>
      </c>
      <c r="W1563" s="6" t="s">
        <v>104</v>
      </c>
      <c r="X1563" s="6" t="s">
        <v>104</v>
      </c>
      <c r="Y1563" s="21" t="s">
        <v>104</v>
      </c>
      <c r="Z1563" s="6" t="s">
        <v>104</v>
      </c>
      <c r="AA1563" s="6" t="s">
        <v>104</v>
      </c>
      <c r="AB1563" s="6" t="s">
        <v>104</v>
      </c>
      <c r="AC1563" s="6" t="s">
        <v>9714</v>
      </c>
      <c r="AD1563" s="16" t="n">
        <v>43321</v>
      </c>
      <c r="AE1563" s="6" t="s">
        <v>11889</v>
      </c>
      <c r="AF1563" s="6" t="s">
        <v>104</v>
      </c>
      <c r="AG1563" s="6" t="s">
        <v>12974</v>
      </c>
      <c r="AH1563" s="6" t="s">
        <v>14586</v>
      </c>
      <c r="AI1563" s="6" t="s">
        <v>104</v>
      </c>
      <c r="AJ1563" s="6" t="s">
        <v>15373</v>
      </c>
      <c r="AK1563" s="6" t="s">
        <v>15373</v>
      </c>
      <c r="AL1563" s="6" t="s">
        <v>16933</v>
      </c>
      <c r="AM1563" s="6" t="s">
        <v>18040</v>
      </c>
      <c r="AN1563" s="6" t="s">
        <v>104</v>
      </c>
      <c r="AO1563" s="6" t="s">
        <v>104</v>
      </c>
      <c r="AP1563" s="6" t="s">
        <v>104</v>
      </c>
      <c r="AQ1563" s="6" t="s">
        <v>104</v>
      </c>
      <c r="AR1563" s="6" t="s">
        <v>104</v>
      </c>
      <c r="AS1563" s="6" t="s">
        <v>104</v>
      </c>
      <c r="AT1563" s="6" t="s">
        <v>104</v>
      </c>
      <c r="AU1563" s="6" t="s">
        <v>104</v>
      </c>
      <c r="AV1563" s="6" t="s">
        <v>104</v>
      </c>
      <c r="AW1563" s="6" t="s">
        <v>104</v>
      </c>
      <c r="AX1563" s="6" t="s">
        <v>21338</v>
      </c>
      <c r="AY1563" s="6" t="s">
        <v>23144</v>
      </c>
      <c r="AZ1563" s="6" t="s">
        <v>24087</v>
      </c>
      <c r="BA1563" s="6" t="s">
        <v>24458</v>
      </c>
      <c r="BB1563" s="6" t="s">
        <v>104</v>
      </c>
      <c r="BC1563" s="26"/>
      <c r="BD1563" s="26"/>
      <c r="BE1563" s="26"/>
      <c r="BF1563" s="26"/>
      <c r="BG1563" s="26"/>
      <c r="BH1563" s="26"/>
      <c r="BI1563" s="26"/>
      <c r="BJ1563" s="26"/>
      <c r="BK1563" s="26"/>
      <c r="BL1563" s="26"/>
      <c r="BM1563" s="26"/>
      <c r="BN1563" s="26"/>
      <c r="BO1563" s="26"/>
      <c r="BP1563" s="16" t="n">
        <v>45616</v>
      </c>
      <c r="BQ1563" s="28" t="str">
        <f>HYPERLINK("https://organic.ams.usda.gov/Integrity/Certificate.aspx?cid=17&amp;nopid=4087185576")</f>
        <v>https://organic.ams.usda.gov/Integrity/Certificate.aspx?cid=17&amp;nopid=4087185576</v>
      </c>
    </row>
    <row r="1564">
      <c r="A1564" t="s">
        <v>3</v>
      </c>
      <c r="B1564" s="6" t="s">
        <v>11</v>
      </c>
      <c r="C1564" s="6" t="s">
        <v>77</v>
      </c>
      <c r="D1564" s="6" t="s">
        <v>142</v>
      </c>
      <c r="E1564" s="10" t="s">
        <v>1762</v>
      </c>
      <c r="F1564" s="6" t="s">
        <v>3998</v>
      </c>
      <c r="G1564" s="6" t="s">
        <v>104</v>
      </c>
      <c r="H1564" s="6" t="s">
        <v>104</v>
      </c>
      <c r="I1564" s="6" t="s">
        <v>7828</v>
      </c>
      <c r="J1564" s="6" t="s">
        <v>9278</v>
      </c>
      <c r="K1564" s="6" t="s">
        <v>9714</v>
      </c>
      <c r="L1564" s="16" t="n">
        <v>39154</v>
      </c>
      <c r="M1564" s="16" t="n">
        <v>45723</v>
      </c>
      <c r="N1564" s="6" t="s">
        <v>104</v>
      </c>
      <c r="O1564" s="21" t="s">
        <v>104</v>
      </c>
      <c r="P1564" s="6" t="s">
        <v>104</v>
      </c>
      <c r="Q1564" s="6" t="s">
        <v>104</v>
      </c>
      <c r="R1564" s="6" t="s">
        <v>104</v>
      </c>
      <c r="S1564" s="6" t="s">
        <v>104</v>
      </c>
      <c r="T1564" s="21" t="s">
        <v>104</v>
      </c>
      <c r="U1564" s="6" t="s">
        <v>104</v>
      </c>
      <c r="V1564" s="6" t="s">
        <v>104</v>
      </c>
      <c r="W1564" s="6" t="s">
        <v>104</v>
      </c>
      <c r="X1564" s="6" t="s">
        <v>104</v>
      </c>
      <c r="Y1564" s="21" t="s">
        <v>104</v>
      </c>
      <c r="Z1564" s="6" t="s">
        <v>104</v>
      </c>
      <c r="AA1564" s="6" t="s">
        <v>104</v>
      </c>
      <c r="AB1564" s="6" t="s">
        <v>104</v>
      </c>
      <c r="AC1564" s="6" t="s">
        <v>9714</v>
      </c>
      <c r="AD1564" s="16" t="n">
        <v>39154</v>
      </c>
      <c r="AE1564" s="6" t="s">
        <v>11890</v>
      </c>
      <c r="AF1564" s="6" t="s">
        <v>104</v>
      </c>
      <c r="AG1564" s="6" t="s">
        <v>104</v>
      </c>
      <c r="AH1564" s="6" t="s">
        <v>14587</v>
      </c>
      <c r="AI1564" s="6" t="s">
        <v>104</v>
      </c>
      <c r="AJ1564" s="6" t="s">
        <v>15383</v>
      </c>
      <c r="AK1564" s="6" t="s">
        <v>104</v>
      </c>
      <c r="AL1564" s="6" t="s">
        <v>16933</v>
      </c>
      <c r="AM1564" s="6" t="s">
        <v>104</v>
      </c>
      <c r="AN1564" s="6" t="s">
        <v>104</v>
      </c>
      <c r="AO1564" s="6" t="s">
        <v>104</v>
      </c>
      <c r="AP1564" s="6" t="s">
        <v>104</v>
      </c>
      <c r="AQ1564" s="6" t="s">
        <v>104</v>
      </c>
      <c r="AR1564" s="6" t="s">
        <v>104</v>
      </c>
      <c r="AS1564" s="6" t="s">
        <v>104</v>
      </c>
      <c r="AT1564" s="6" t="s">
        <v>104</v>
      </c>
      <c r="AU1564" s="6" t="s">
        <v>104</v>
      </c>
      <c r="AV1564" s="6" t="s">
        <v>104</v>
      </c>
      <c r="AW1564" s="6" t="s">
        <v>104</v>
      </c>
      <c r="AX1564" s="6" t="s">
        <v>21339</v>
      </c>
      <c r="AY1564" s="6" t="s">
        <v>23145</v>
      </c>
      <c r="AZ1564" s="6" t="s">
        <v>104</v>
      </c>
      <c r="BA1564" s="6" t="s">
        <v>104</v>
      </c>
      <c r="BB1564" s="6" t="s">
        <v>104</v>
      </c>
      <c r="BC1564" s="26"/>
      <c r="BD1564" s="26"/>
      <c r="BE1564" s="26"/>
      <c r="BF1564" s="26"/>
      <c r="BG1564" s="26"/>
      <c r="BH1564" s="26" t="s">
        <v>24533</v>
      </c>
      <c r="BI1564" s="26"/>
      <c r="BJ1564" s="26"/>
      <c r="BK1564" s="26"/>
      <c r="BL1564" s="26"/>
      <c r="BM1564" s="26"/>
      <c r="BN1564" s="26"/>
      <c r="BO1564" s="26"/>
      <c r="BP1564" s="16" t="n">
        <v>45498</v>
      </c>
      <c r="BQ1564" s="28" t="str">
        <f>HYPERLINK("https://organic.ams.usda.gov/Integrity/Certificate.aspx?cid=21&amp;nopid=1780802951")</f>
        <v>https://organic.ams.usda.gov/Integrity/Certificate.aspx?cid=21&amp;nopid=1780802951</v>
      </c>
    </row>
    <row r="1565">
      <c r="A1565" t="s">
        <v>3</v>
      </c>
      <c r="B1565" s="6" t="s">
        <v>11</v>
      </c>
      <c r="C1565" s="6" t="s">
        <v>77</v>
      </c>
      <c r="D1565" s="6" t="s">
        <v>142</v>
      </c>
      <c r="E1565" s="10" t="s">
        <v>1763</v>
      </c>
      <c r="F1565" s="6" t="s">
        <v>3999</v>
      </c>
      <c r="G1565" s="6" t="s">
        <v>104</v>
      </c>
      <c r="H1565" s="6" t="s">
        <v>6304</v>
      </c>
      <c r="I1565" s="6" t="s">
        <v>7152</v>
      </c>
      <c r="J1565" s="6" t="s">
        <v>9279</v>
      </c>
      <c r="K1565" s="6" t="s">
        <v>9714</v>
      </c>
      <c r="L1565" s="16" t="n">
        <v>37998</v>
      </c>
      <c r="M1565" s="16" t="n">
        <v>45866</v>
      </c>
      <c r="N1565" s="6" t="s">
        <v>9714</v>
      </c>
      <c r="O1565" s="16" t="n">
        <v>37998</v>
      </c>
      <c r="P1565" s="6" t="s">
        <v>10143</v>
      </c>
      <c r="Q1565" s="6" t="s">
        <v>104</v>
      </c>
      <c r="R1565" s="6" t="s">
        <v>104</v>
      </c>
      <c r="S1565" s="6" t="s">
        <v>104</v>
      </c>
      <c r="T1565" s="21" t="s">
        <v>104</v>
      </c>
      <c r="U1565" s="6" t="s">
        <v>104</v>
      </c>
      <c r="V1565" s="6" t="s">
        <v>104</v>
      </c>
      <c r="W1565" s="6" t="s">
        <v>104</v>
      </c>
      <c r="X1565" s="6" t="s">
        <v>104</v>
      </c>
      <c r="Y1565" s="21" t="s">
        <v>104</v>
      </c>
      <c r="Z1565" s="6" t="s">
        <v>104</v>
      </c>
      <c r="AA1565" s="6" t="s">
        <v>104</v>
      </c>
      <c r="AB1565" s="6" t="s">
        <v>104</v>
      </c>
      <c r="AC1565" s="6" t="s">
        <v>9714</v>
      </c>
      <c r="AD1565" s="16" t="n">
        <v>37998</v>
      </c>
      <c r="AE1565" s="6" t="s">
        <v>11891</v>
      </c>
      <c r="AF1565" s="6" t="s">
        <v>104</v>
      </c>
      <c r="AG1565" s="6" t="s">
        <v>104</v>
      </c>
      <c r="AH1565" s="6" t="s">
        <v>14588</v>
      </c>
      <c r="AI1565" s="6" t="s">
        <v>104</v>
      </c>
      <c r="AJ1565" s="6" t="s">
        <v>16341</v>
      </c>
      <c r="AK1565" s="6" t="s">
        <v>104</v>
      </c>
      <c r="AL1565" s="6" t="s">
        <v>16933</v>
      </c>
      <c r="AM1565" s="6" t="s">
        <v>104</v>
      </c>
      <c r="AN1565" s="6" t="s">
        <v>104</v>
      </c>
      <c r="AO1565" s="6" t="s">
        <v>104</v>
      </c>
      <c r="AP1565" s="6" t="s">
        <v>19374</v>
      </c>
      <c r="AQ1565" s="6" t="s">
        <v>104</v>
      </c>
      <c r="AR1565" s="6" t="s">
        <v>16341</v>
      </c>
      <c r="AS1565" s="6" t="s">
        <v>104</v>
      </c>
      <c r="AT1565" s="6" t="s">
        <v>16933</v>
      </c>
      <c r="AU1565" s="6" t="s">
        <v>104</v>
      </c>
      <c r="AV1565" s="6" t="s">
        <v>104</v>
      </c>
      <c r="AW1565" s="6" t="s">
        <v>104</v>
      </c>
      <c r="AX1565" s="6" t="s">
        <v>21340</v>
      </c>
      <c r="AY1565" s="6" t="s">
        <v>23146</v>
      </c>
      <c r="AZ1565" s="6" t="s">
        <v>24088</v>
      </c>
      <c r="BA1565" s="6" t="s">
        <v>24271</v>
      </c>
      <c r="BB1565" s="24" t="n">
        <v>247</v>
      </c>
      <c r="BC1565" s="26"/>
      <c r="BD1565" s="26"/>
      <c r="BE1565" s="26"/>
      <c r="BF1565" s="26"/>
      <c r="BG1565" s="26"/>
      <c r="BH1565" s="26" t="s">
        <v>24533</v>
      </c>
      <c r="BI1565" s="26"/>
      <c r="BJ1565" s="26"/>
      <c r="BK1565" s="26"/>
      <c r="BL1565" s="26"/>
      <c r="BM1565" s="26"/>
      <c r="BN1565" s="26" t="s">
        <v>24533</v>
      </c>
      <c r="BO1565" s="26"/>
      <c r="BP1565" s="16" t="n">
        <v>45729</v>
      </c>
      <c r="BQ1565" s="28" t="str">
        <f>HYPERLINK("https://organic.ams.usda.gov/Integrity/Certificate.aspx?cid=21&amp;nopid=1780800429")</f>
        <v>https://organic.ams.usda.gov/Integrity/Certificate.aspx?cid=21&amp;nopid=1780800429</v>
      </c>
    </row>
    <row r="1566">
      <c r="A1566" t="s">
        <v>3</v>
      </c>
      <c r="B1566" s="6" t="s">
        <v>44</v>
      </c>
      <c r="C1566" s="6" t="s">
        <v>110</v>
      </c>
      <c r="D1566" s="6" t="s">
        <v>174</v>
      </c>
      <c r="E1566" s="10" t="s">
        <v>1764</v>
      </c>
      <c r="F1566" s="6" t="s">
        <v>4000</v>
      </c>
      <c r="G1566" s="6" t="s">
        <v>104</v>
      </c>
      <c r="H1566" s="6" t="s">
        <v>6305</v>
      </c>
      <c r="I1566" s="6" t="s">
        <v>7343</v>
      </c>
      <c r="J1566" s="6" t="s">
        <v>8990</v>
      </c>
      <c r="K1566" s="6" t="s">
        <v>9714</v>
      </c>
      <c r="L1566" s="16" t="n">
        <v>39976</v>
      </c>
      <c r="M1566" s="16" t="n">
        <v>45716</v>
      </c>
      <c r="N1566" s="6" t="s">
        <v>9714</v>
      </c>
      <c r="O1566" s="16" t="n">
        <v>39976</v>
      </c>
      <c r="P1566" s="6" t="s">
        <v>10144</v>
      </c>
      <c r="Q1566" s="6" t="s">
        <v>104</v>
      </c>
      <c r="R1566" s="6" t="s">
        <v>104</v>
      </c>
      <c r="S1566" s="6" t="s">
        <v>104</v>
      </c>
      <c r="T1566" s="21" t="s">
        <v>104</v>
      </c>
      <c r="U1566" s="6" t="s">
        <v>104</v>
      </c>
      <c r="V1566" s="6" t="s">
        <v>104</v>
      </c>
      <c r="W1566" s="6" t="s">
        <v>104</v>
      </c>
      <c r="X1566" s="6" t="s">
        <v>104</v>
      </c>
      <c r="Y1566" s="21" t="s">
        <v>104</v>
      </c>
      <c r="Z1566" s="6" t="s">
        <v>104</v>
      </c>
      <c r="AA1566" s="6" t="s">
        <v>104</v>
      </c>
      <c r="AB1566" s="6" t="s">
        <v>104</v>
      </c>
      <c r="AC1566" s="6" t="s">
        <v>9714</v>
      </c>
      <c r="AD1566" s="16" t="n">
        <v>44386</v>
      </c>
      <c r="AE1566" s="6" t="s">
        <v>11892</v>
      </c>
      <c r="AF1566" s="6" t="s">
        <v>104</v>
      </c>
      <c r="AG1566" s="6" t="s">
        <v>104</v>
      </c>
      <c r="AH1566" s="6" t="s">
        <v>14589</v>
      </c>
      <c r="AI1566" s="6" t="s">
        <v>104</v>
      </c>
      <c r="AJ1566" s="6" t="s">
        <v>15667</v>
      </c>
      <c r="AK1566" s="6" t="s">
        <v>15697</v>
      </c>
      <c r="AL1566" s="6" t="s">
        <v>16931</v>
      </c>
      <c r="AM1566" s="6" t="s">
        <v>17285</v>
      </c>
      <c r="AN1566" s="6" t="s">
        <v>18491</v>
      </c>
      <c r="AO1566" s="6" t="s">
        <v>18659</v>
      </c>
      <c r="AP1566" s="6" t="s">
        <v>14589</v>
      </c>
      <c r="AQ1566" s="6" t="s">
        <v>104</v>
      </c>
      <c r="AR1566" s="6" t="s">
        <v>15667</v>
      </c>
      <c r="AS1566" s="6" t="s">
        <v>15697</v>
      </c>
      <c r="AT1566" s="6" t="s">
        <v>16931</v>
      </c>
      <c r="AU1566" s="6" t="s">
        <v>17285</v>
      </c>
      <c r="AV1566" s="6" t="s">
        <v>104</v>
      </c>
      <c r="AW1566" s="6" t="s">
        <v>104</v>
      </c>
      <c r="AX1566" s="6" t="s">
        <v>21341</v>
      </c>
      <c r="AY1566" s="6" t="s">
        <v>23147</v>
      </c>
      <c r="AZ1566" s="6" t="s">
        <v>24089</v>
      </c>
      <c r="BA1566" s="6" t="s">
        <v>104</v>
      </c>
      <c r="BB1566" s="24" t="n">
        <v>840</v>
      </c>
      <c r="BC1566" s="26"/>
      <c r="BD1566" s="26"/>
      <c r="BE1566" s="26"/>
      <c r="BF1566" s="26"/>
      <c r="BG1566" s="26"/>
      <c r="BH1566" s="26"/>
      <c r="BI1566" s="26"/>
      <c r="BJ1566" s="26"/>
      <c r="BK1566" s="26"/>
      <c r="BL1566" s="26"/>
      <c r="BM1566" s="26"/>
      <c r="BN1566" s="26"/>
      <c r="BO1566" s="26"/>
      <c r="BP1566" s="16" t="n">
        <v>45688</v>
      </c>
      <c r="BQ1566" s="28" t="str">
        <f>HYPERLINK("https://organic.ams.usda.gov/Integrity/Certificate.aspx?cid=57&amp;nopid=3252009021")</f>
        <v>https://organic.ams.usda.gov/Integrity/Certificate.aspx?cid=57&amp;nopid=3252009021</v>
      </c>
    </row>
    <row r="1567">
      <c r="A1567" t="s">
        <v>3</v>
      </c>
      <c r="B1567" s="6" t="s">
        <v>63</v>
      </c>
      <c r="C1567" s="6" t="s">
        <v>129</v>
      </c>
      <c r="D1567" s="6" t="s">
        <v>193</v>
      </c>
      <c r="E1567" s="10" t="s">
        <v>1765</v>
      </c>
      <c r="F1567" s="6" t="s">
        <v>4001</v>
      </c>
      <c r="G1567" s="6" t="s">
        <v>4817</v>
      </c>
      <c r="H1567" s="6" t="s">
        <v>6306</v>
      </c>
      <c r="I1567" s="6" t="s">
        <v>7829</v>
      </c>
      <c r="J1567" s="6" t="s">
        <v>9280</v>
      </c>
      <c r="K1567" s="6" t="s">
        <v>9714</v>
      </c>
      <c r="L1567" s="16" t="n">
        <v>43654</v>
      </c>
      <c r="M1567" s="16" t="n">
        <v>45658</v>
      </c>
      <c r="N1567" s="6" t="s">
        <v>9714</v>
      </c>
      <c r="O1567" s="16" t="n">
        <v>43654</v>
      </c>
      <c r="P1567" s="6" t="s">
        <v>10145</v>
      </c>
      <c r="Q1567" s="6" t="s">
        <v>104</v>
      </c>
      <c r="R1567" s="6" t="s">
        <v>6306</v>
      </c>
      <c r="S1567" s="6" t="s">
        <v>104</v>
      </c>
      <c r="T1567" s="21" t="s">
        <v>104</v>
      </c>
      <c r="U1567" s="6" t="s">
        <v>104</v>
      </c>
      <c r="V1567" s="6" t="s">
        <v>104</v>
      </c>
      <c r="W1567" s="6" t="s">
        <v>104</v>
      </c>
      <c r="X1567" s="6" t="s">
        <v>104</v>
      </c>
      <c r="Y1567" s="21" t="s">
        <v>104</v>
      </c>
      <c r="Z1567" s="6" t="s">
        <v>104</v>
      </c>
      <c r="AA1567" s="6" t="s">
        <v>104</v>
      </c>
      <c r="AB1567" s="6" t="s">
        <v>104</v>
      </c>
      <c r="AC1567" s="6" t="s">
        <v>9721</v>
      </c>
      <c r="AD1567" s="16" t="n">
        <v>45279</v>
      </c>
      <c r="AE1567" s="6" t="s">
        <v>104</v>
      </c>
      <c r="AF1567" s="6" t="s">
        <v>104</v>
      </c>
      <c r="AG1567" s="6" t="s">
        <v>6306</v>
      </c>
      <c r="AH1567" s="6" t="s">
        <v>14590</v>
      </c>
      <c r="AI1567" s="6" t="s">
        <v>104</v>
      </c>
      <c r="AJ1567" s="6" t="s">
        <v>16342</v>
      </c>
      <c r="AK1567" s="6" t="s">
        <v>16689</v>
      </c>
      <c r="AL1567" s="6" t="s">
        <v>16931</v>
      </c>
      <c r="AM1567" s="6" t="s">
        <v>18041</v>
      </c>
      <c r="AN1567" s="6" t="s">
        <v>18549</v>
      </c>
      <c r="AO1567" s="6" t="s">
        <v>18756</v>
      </c>
      <c r="AP1567" s="6" t="s">
        <v>19375</v>
      </c>
      <c r="AQ1567" s="6" t="s">
        <v>104</v>
      </c>
      <c r="AR1567" s="6" t="s">
        <v>16536</v>
      </c>
      <c r="AS1567" s="6" t="s">
        <v>16689</v>
      </c>
      <c r="AT1567" s="6" t="s">
        <v>16931</v>
      </c>
      <c r="AU1567" s="6" t="s">
        <v>20005</v>
      </c>
      <c r="AV1567" s="6" t="s">
        <v>104</v>
      </c>
      <c r="AW1567" s="6" t="s">
        <v>104</v>
      </c>
      <c r="AX1567" s="6" t="s">
        <v>21342</v>
      </c>
      <c r="AY1567" s="6" t="s">
        <v>23148</v>
      </c>
      <c r="AZ1567" s="6" t="s">
        <v>104</v>
      </c>
      <c r="BA1567" s="6" t="s">
        <v>104</v>
      </c>
      <c r="BB1567" s="24" t="n">
        <v>87</v>
      </c>
      <c r="BC1567" s="26"/>
      <c r="BD1567" s="26"/>
      <c r="BE1567" s="26"/>
      <c r="BF1567" s="26"/>
      <c r="BG1567" s="26"/>
      <c r="BH1567" s="26"/>
      <c r="BI1567" s="26"/>
      <c r="BJ1567" s="26"/>
      <c r="BK1567" s="26"/>
      <c r="BL1567" s="26"/>
      <c r="BM1567" s="26"/>
      <c r="BN1567" s="26"/>
      <c r="BO1567" s="26"/>
      <c r="BP1567" s="16" t="n">
        <v>45551</v>
      </c>
      <c r="BQ1567" s="28" t="str">
        <f>HYPERLINK("https://organic.ams.usda.gov/Integrity/Certificate.aspx?cid=38&amp;nopid=5100075721")</f>
        <v>https://organic.ams.usda.gov/Integrity/Certificate.aspx?cid=38&amp;nopid=5100075721</v>
      </c>
    </row>
    <row r="1568">
      <c r="A1568" t="s">
        <v>3</v>
      </c>
      <c r="B1568" s="6" t="s">
        <v>29</v>
      </c>
      <c r="C1568" s="6" t="s">
        <v>95</v>
      </c>
      <c r="D1568" s="6" t="s">
        <v>160</v>
      </c>
      <c r="E1568" s="10" t="s">
        <v>1766</v>
      </c>
      <c r="F1568" s="6" t="s">
        <v>4002</v>
      </c>
      <c r="G1568" s="6" t="s">
        <v>104</v>
      </c>
      <c r="H1568" s="6" t="s">
        <v>6307</v>
      </c>
      <c r="I1568" s="6" t="s">
        <v>104</v>
      </c>
      <c r="J1568" s="6" t="s">
        <v>9281</v>
      </c>
      <c r="K1568" s="6" t="s">
        <v>9714</v>
      </c>
      <c r="L1568" s="16" t="n">
        <v>44279</v>
      </c>
      <c r="M1568" s="16" t="n">
        <v>46054</v>
      </c>
      <c r="N1568" s="6" t="s">
        <v>104</v>
      </c>
      <c r="O1568" s="21" t="s">
        <v>104</v>
      </c>
      <c r="P1568" s="6" t="s">
        <v>104</v>
      </c>
      <c r="Q1568" s="6" t="s">
        <v>104</v>
      </c>
      <c r="R1568" s="6" t="s">
        <v>104</v>
      </c>
      <c r="S1568" s="6" t="s">
        <v>104</v>
      </c>
      <c r="T1568" s="21" t="s">
        <v>104</v>
      </c>
      <c r="U1568" s="6" t="s">
        <v>104</v>
      </c>
      <c r="V1568" s="6" t="s">
        <v>104</v>
      </c>
      <c r="W1568" s="6" t="s">
        <v>104</v>
      </c>
      <c r="X1568" s="6" t="s">
        <v>104</v>
      </c>
      <c r="Y1568" s="21" t="s">
        <v>104</v>
      </c>
      <c r="Z1568" s="6" t="s">
        <v>104</v>
      </c>
      <c r="AA1568" s="6" t="s">
        <v>104</v>
      </c>
      <c r="AB1568" s="6" t="s">
        <v>104</v>
      </c>
      <c r="AC1568" s="6" t="s">
        <v>9714</v>
      </c>
      <c r="AD1568" s="16" t="n">
        <v>44279</v>
      </c>
      <c r="AE1568" s="6" t="s">
        <v>11893</v>
      </c>
      <c r="AF1568" s="6" t="s">
        <v>104</v>
      </c>
      <c r="AG1568" s="6" t="s">
        <v>104</v>
      </c>
      <c r="AH1568" s="6" t="s">
        <v>14591</v>
      </c>
      <c r="AI1568" s="6" t="s">
        <v>104</v>
      </c>
      <c r="AJ1568" s="6" t="s">
        <v>16343</v>
      </c>
      <c r="AK1568" s="6" t="s">
        <v>16694</v>
      </c>
      <c r="AL1568" s="6" t="s">
        <v>16931</v>
      </c>
      <c r="AM1568" s="6" t="s">
        <v>18042</v>
      </c>
      <c r="AN1568" s="6" t="s">
        <v>18550</v>
      </c>
      <c r="AO1568" s="6" t="s">
        <v>18863</v>
      </c>
      <c r="AP1568" s="6" t="s">
        <v>104</v>
      </c>
      <c r="AQ1568" s="6" t="s">
        <v>104</v>
      </c>
      <c r="AR1568" s="6" t="s">
        <v>104</v>
      </c>
      <c r="AS1568" s="6" t="s">
        <v>104</v>
      </c>
      <c r="AT1568" s="6" t="s">
        <v>104</v>
      </c>
      <c r="AU1568" s="6" t="s">
        <v>104</v>
      </c>
      <c r="AV1568" s="6" t="s">
        <v>104</v>
      </c>
      <c r="AW1568" s="6" t="s">
        <v>104</v>
      </c>
      <c r="AX1568" s="6" t="s">
        <v>21343</v>
      </c>
      <c r="AY1568" s="6" t="s">
        <v>23149</v>
      </c>
      <c r="AZ1568" s="6" t="s">
        <v>104</v>
      </c>
      <c r="BA1568" s="6" t="s">
        <v>104</v>
      </c>
      <c r="BB1568" s="24" t="n">
        <v>0</v>
      </c>
      <c r="BC1568" s="26"/>
      <c r="BD1568" s="26"/>
      <c r="BE1568" s="26"/>
      <c r="BF1568" s="26"/>
      <c r="BG1568" s="26"/>
      <c r="BH1568" s="26"/>
      <c r="BI1568" s="26"/>
      <c r="BJ1568" s="26"/>
      <c r="BK1568" s="26"/>
      <c r="BL1568" s="26"/>
      <c r="BM1568" s="26"/>
      <c r="BN1568" s="26"/>
      <c r="BO1568" s="26"/>
      <c r="BP1568" s="16" t="n">
        <v>45690</v>
      </c>
      <c r="BQ1568" s="28" t="str">
        <f>HYPERLINK("https://organic.ams.usda.gov/Integrity/Certificate.aspx?cid=24&amp;nopid=7881666120")</f>
        <v>https://organic.ams.usda.gov/Integrity/Certificate.aspx?cid=24&amp;nopid=7881666120</v>
      </c>
    </row>
    <row r="1569">
      <c r="A1569" t="s">
        <v>3</v>
      </c>
      <c r="B1569" s="6" t="s">
        <v>25</v>
      </c>
      <c r="C1569" s="6" t="s">
        <v>91</v>
      </c>
      <c r="D1569" s="6" t="s">
        <v>156</v>
      </c>
      <c r="E1569" s="10" t="s">
        <v>1767</v>
      </c>
      <c r="F1569" s="6" t="s">
        <v>4003</v>
      </c>
      <c r="G1569" s="6" t="s">
        <v>4818</v>
      </c>
      <c r="H1569" s="6" t="s">
        <v>6308</v>
      </c>
      <c r="I1569" s="6" t="s">
        <v>104</v>
      </c>
      <c r="J1569" s="6" t="s">
        <v>104</v>
      </c>
      <c r="K1569" s="6" t="s">
        <v>9714</v>
      </c>
      <c r="L1569" s="16" t="n">
        <v>40898</v>
      </c>
      <c r="M1569" s="16" t="n">
        <v>45878</v>
      </c>
      <c r="N1569" s="6" t="s">
        <v>104</v>
      </c>
      <c r="O1569" s="21" t="s">
        <v>104</v>
      </c>
      <c r="P1569" s="6" t="s">
        <v>104</v>
      </c>
      <c r="Q1569" s="6" t="s">
        <v>104</v>
      </c>
      <c r="R1569" s="6" t="s">
        <v>104</v>
      </c>
      <c r="S1569" s="6" t="s">
        <v>104</v>
      </c>
      <c r="T1569" s="21" t="s">
        <v>104</v>
      </c>
      <c r="U1569" s="6" t="s">
        <v>104</v>
      </c>
      <c r="V1569" s="6" t="s">
        <v>104</v>
      </c>
      <c r="W1569" s="6" t="s">
        <v>104</v>
      </c>
      <c r="X1569" s="6" t="s">
        <v>104</v>
      </c>
      <c r="Y1569" s="21" t="s">
        <v>104</v>
      </c>
      <c r="Z1569" s="6" t="s">
        <v>104</v>
      </c>
      <c r="AA1569" s="6" t="s">
        <v>104</v>
      </c>
      <c r="AB1569" s="6" t="s">
        <v>104</v>
      </c>
      <c r="AC1569" s="6" t="s">
        <v>9714</v>
      </c>
      <c r="AD1569" s="16" t="n">
        <v>40898</v>
      </c>
      <c r="AE1569" s="6" t="s">
        <v>11894</v>
      </c>
      <c r="AF1569" s="6" t="s">
        <v>104</v>
      </c>
      <c r="AG1569" s="6" t="s">
        <v>104</v>
      </c>
      <c r="AH1569" s="6" t="s">
        <v>14592</v>
      </c>
      <c r="AI1569" s="6" t="s">
        <v>104</v>
      </c>
      <c r="AJ1569" s="6" t="s">
        <v>16344</v>
      </c>
      <c r="AK1569" s="6" t="s">
        <v>16691</v>
      </c>
      <c r="AL1569" s="6" t="s">
        <v>16935</v>
      </c>
      <c r="AM1569" s="6" t="s">
        <v>104</v>
      </c>
      <c r="AN1569" s="6" t="s">
        <v>104</v>
      </c>
      <c r="AO1569" s="6" t="s">
        <v>104</v>
      </c>
      <c r="AP1569" s="6" t="s">
        <v>19376</v>
      </c>
      <c r="AQ1569" s="6" t="s">
        <v>104</v>
      </c>
      <c r="AR1569" s="6" t="s">
        <v>16344</v>
      </c>
      <c r="AS1569" s="6" t="s">
        <v>16691</v>
      </c>
      <c r="AT1569" s="6" t="s">
        <v>16935</v>
      </c>
      <c r="AU1569" s="6" t="s">
        <v>18237</v>
      </c>
      <c r="AV1569" s="6" t="s">
        <v>104</v>
      </c>
      <c r="AW1569" s="6" t="s">
        <v>104</v>
      </c>
      <c r="AX1569" s="6" t="s">
        <v>104</v>
      </c>
      <c r="AY1569" s="6" t="s">
        <v>104</v>
      </c>
      <c r="AZ1569" s="6" t="s">
        <v>104</v>
      </c>
      <c r="BA1569" s="6" t="s">
        <v>104</v>
      </c>
      <c r="BB1569" s="6" t="s">
        <v>104</v>
      </c>
      <c r="BC1569" s="26"/>
      <c r="BD1569" s="26"/>
      <c r="BE1569" s="26"/>
      <c r="BF1569" s="26"/>
      <c r="BG1569" s="26"/>
      <c r="BH1569" s="26"/>
      <c r="BI1569" s="26"/>
      <c r="BJ1569" s="26"/>
      <c r="BK1569" s="26"/>
      <c r="BL1569" s="26"/>
      <c r="BM1569" s="26"/>
      <c r="BN1569" s="26"/>
      <c r="BO1569" s="26"/>
      <c r="BP1569" s="16" t="n">
        <v>45681</v>
      </c>
      <c r="BQ1569" s="28" t="str">
        <f>HYPERLINK("https://organic.ams.usda.gov/Integrity/Certificate.aspx?cid=66&amp;nopid=5500004450")</f>
        <v>https://organic.ams.usda.gov/Integrity/Certificate.aspx?cid=66&amp;nopid=5500004450</v>
      </c>
    </row>
    <row r="1570">
      <c r="A1570" t="s">
        <v>3</v>
      </c>
      <c r="B1570" s="6" t="s">
        <v>25</v>
      </c>
      <c r="C1570" s="6" t="s">
        <v>91</v>
      </c>
      <c r="D1570" s="6" t="s">
        <v>156</v>
      </c>
      <c r="E1570" s="10" t="s">
        <v>1768</v>
      </c>
      <c r="F1570" s="6" t="s">
        <v>4003</v>
      </c>
      <c r="G1570" s="6" t="s">
        <v>4819</v>
      </c>
      <c r="H1570" s="6" t="s">
        <v>6309</v>
      </c>
      <c r="I1570" s="6" t="s">
        <v>6939</v>
      </c>
      <c r="J1570" s="6" t="s">
        <v>8151</v>
      </c>
      <c r="K1570" s="6" t="s">
        <v>9714</v>
      </c>
      <c r="L1570" s="16" t="n">
        <v>41317</v>
      </c>
      <c r="M1570" s="16" t="n">
        <v>45879</v>
      </c>
      <c r="N1570" s="6" t="s">
        <v>104</v>
      </c>
      <c r="O1570" s="21" t="s">
        <v>104</v>
      </c>
      <c r="P1570" s="6" t="s">
        <v>104</v>
      </c>
      <c r="Q1570" s="6" t="s">
        <v>104</v>
      </c>
      <c r="R1570" s="6" t="s">
        <v>104</v>
      </c>
      <c r="S1570" s="6" t="s">
        <v>104</v>
      </c>
      <c r="T1570" s="21" t="s">
        <v>104</v>
      </c>
      <c r="U1570" s="6" t="s">
        <v>104</v>
      </c>
      <c r="V1570" s="6" t="s">
        <v>104</v>
      </c>
      <c r="W1570" s="6" t="s">
        <v>104</v>
      </c>
      <c r="X1570" s="6" t="s">
        <v>104</v>
      </c>
      <c r="Y1570" s="21" t="s">
        <v>104</v>
      </c>
      <c r="Z1570" s="6" t="s">
        <v>104</v>
      </c>
      <c r="AA1570" s="6" t="s">
        <v>104</v>
      </c>
      <c r="AB1570" s="6" t="s">
        <v>104</v>
      </c>
      <c r="AC1570" s="6" t="s">
        <v>9714</v>
      </c>
      <c r="AD1570" s="16" t="n">
        <v>41317</v>
      </c>
      <c r="AE1570" s="6" t="s">
        <v>11895</v>
      </c>
      <c r="AF1570" s="6" t="s">
        <v>104</v>
      </c>
      <c r="AG1570" s="6" t="s">
        <v>104</v>
      </c>
      <c r="AH1570" s="6" t="s">
        <v>14593</v>
      </c>
      <c r="AI1570" s="6" t="s">
        <v>104</v>
      </c>
      <c r="AJ1570" s="6" t="s">
        <v>16345</v>
      </c>
      <c r="AK1570" s="6" t="s">
        <v>16691</v>
      </c>
      <c r="AL1570" s="6" t="s">
        <v>16935</v>
      </c>
      <c r="AM1570" s="6" t="s">
        <v>104</v>
      </c>
      <c r="AN1570" s="6" t="s">
        <v>104</v>
      </c>
      <c r="AO1570" s="6" t="s">
        <v>104</v>
      </c>
      <c r="AP1570" s="6" t="s">
        <v>19376</v>
      </c>
      <c r="AQ1570" s="6" t="s">
        <v>104</v>
      </c>
      <c r="AR1570" s="6" t="s">
        <v>16344</v>
      </c>
      <c r="AS1570" s="6" t="s">
        <v>16691</v>
      </c>
      <c r="AT1570" s="6" t="s">
        <v>16935</v>
      </c>
      <c r="AU1570" s="6" t="s">
        <v>18237</v>
      </c>
      <c r="AV1570" s="6" t="s">
        <v>104</v>
      </c>
      <c r="AW1570" s="6" t="s">
        <v>104</v>
      </c>
      <c r="AX1570" s="6" t="s">
        <v>20137</v>
      </c>
      <c r="AY1570" s="6" t="s">
        <v>21875</v>
      </c>
      <c r="AZ1570" s="6" t="s">
        <v>104</v>
      </c>
      <c r="BA1570" s="6" t="s">
        <v>24264</v>
      </c>
      <c r="BB1570" s="6" t="s">
        <v>104</v>
      </c>
      <c r="BC1570" s="26"/>
      <c r="BD1570" s="26"/>
      <c r="BE1570" s="26"/>
      <c r="BF1570" s="26"/>
      <c r="BG1570" s="26"/>
      <c r="BH1570" s="26"/>
      <c r="BI1570" s="26"/>
      <c r="BJ1570" s="26"/>
      <c r="BK1570" s="26"/>
      <c r="BL1570" s="26"/>
      <c r="BM1570" s="26"/>
      <c r="BN1570" s="26"/>
      <c r="BO1570" s="26"/>
      <c r="BP1570" s="16" t="n">
        <v>45644</v>
      </c>
      <c r="BQ1570" s="28" t="str">
        <f>HYPERLINK("https://organic.ams.usda.gov/Integrity/Certificate.aspx?cid=66&amp;nopid=5500004619")</f>
        <v>https://organic.ams.usda.gov/Integrity/Certificate.aspx?cid=66&amp;nopid=5500004619</v>
      </c>
    </row>
    <row r="1571">
      <c r="A1571" t="s">
        <v>3</v>
      </c>
      <c r="B1571" s="6" t="s">
        <v>25</v>
      </c>
      <c r="C1571" s="6" t="s">
        <v>91</v>
      </c>
      <c r="D1571" s="6" t="s">
        <v>156</v>
      </c>
      <c r="E1571" s="10" t="s">
        <v>1769</v>
      </c>
      <c r="F1571" s="6" t="s">
        <v>4003</v>
      </c>
      <c r="G1571" s="6" t="s">
        <v>4820</v>
      </c>
      <c r="H1571" s="6" t="s">
        <v>6310</v>
      </c>
      <c r="I1571" s="6" t="s">
        <v>6939</v>
      </c>
      <c r="J1571" s="6" t="s">
        <v>8151</v>
      </c>
      <c r="K1571" s="6" t="s">
        <v>9714</v>
      </c>
      <c r="L1571" s="16" t="n">
        <v>44683</v>
      </c>
      <c r="M1571" s="16" t="n">
        <v>45869</v>
      </c>
      <c r="N1571" s="6" t="s">
        <v>104</v>
      </c>
      <c r="O1571" s="21" t="s">
        <v>104</v>
      </c>
      <c r="P1571" s="6" t="s">
        <v>104</v>
      </c>
      <c r="Q1571" s="6" t="s">
        <v>104</v>
      </c>
      <c r="R1571" s="6" t="s">
        <v>104</v>
      </c>
      <c r="S1571" s="6" t="s">
        <v>104</v>
      </c>
      <c r="T1571" s="21" t="s">
        <v>104</v>
      </c>
      <c r="U1571" s="6" t="s">
        <v>104</v>
      </c>
      <c r="V1571" s="6" t="s">
        <v>104</v>
      </c>
      <c r="W1571" s="6" t="s">
        <v>104</v>
      </c>
      <c r="X1571" s="6" t="s">
        <v>104</v>
      </c>
      <c r="Y1571" s="21" t="s">
        <v>104</v>
      </c>
      <c r="Z1571" s="6" t="s">
        <v>104</v>
      </c>
      <c r="AA1571" s="6" t="s">
        <v>104</v>
      </c>
      <c r="AB1571" s="6" t="s">
        <v>104</v>
      </c>
      <c r="AC1571" s="6" t="s">
        <v>9714</v>
      </c>
      <c r="AD1571" s="16" t="n">
        <v>44683</v>
      </c>
      <c r="AE1571" s="6" t="s">
        <v>11546</v>
      </c>
      <c r="AF1571" s="6" t="s">
        <v>104</v>
      </c>
      <c r="AG1571" s="6" t="s">
        <v>104</v>
      </c>
      <c r="AH1571" s="6" t="s">
        <v>14594</v>
      </c>
      <c r="AI1571" s="6" t="s">
        <v>104</v>
      </c>
      <c r="AJ1571" s="6" t="s">
        <v>15425</v>
      </c>
      <c r="AK1571" s="6" t="s">
        <v>16691</v>
      </c>
      <c r="AL1571" s="6" t="s">
        <v>16935</v>
      </c>
      <c r="AM1571" s="6" t="s">
        <v>17053</v>
      </c>
      <c r="AN1571" s="6" t="s">
        <v>104</v>
      </c>
      <c r="AO1571" s="6" t="s">
        <v>104</v>
      </c>
      <c r="AP1571" s="6" t="s">
        <v>19376</v>
      </c>
      <c r="AQ1571" s="6" t="s">
        <v>104</v>
      </c>
      <c r="AR1571" s="6" t="s">
        <v>16344</v>
      </c>
      <c r="AS1571" s="6" t="s">
        <v>16691</v>
      </c>
      <c r="AT1571" s="6" t="s">
        <v>16935</v>
      </c>
      <c r="AU1571" s="6" t="s">
        <v>18237</v>
      </c>
      <c r="AV1571" s="6" t="s">
        <v>104</v>
      </c>
      <c r="AW1571" s="6" t="s">
        <v>104</v>
      </c>
      <c r="AX1571" s="6" t="s">
        <v>20137</v>
      </c>
      <c r="AY1571" s="6" t="s">
        <v>21875</v>
      </c>
      <c r="AZ1571" s="6" t="s">
        <v>104</v>
      </c>
      <c r="BA1571" s="6" t="s">
        <v>24264</v>
      </c>
      <c r="BB1571" s="6" t="s">
        <v>104</v>
      </c>
      <c r="BC1571" s="26"/>
      <c r="BD1571" s="26"/>
      <c r="BE1571" s="26"/>
      <c r="BF1571" s="26"/>
      <c r="BG1571" s="26"/>
      <c r="BH1571" s="26"/>
      <c r="BI1571" s="26"/>
      <c r="BJ1571" s="26"/>
      <c r="BK1571" s="26"/>
      <c r="BL1571" s="26"/>
      <c r="BM1571" s="26"/>
      <c r="BN1571" s="26"/>
      <c r="BO1571" s="26"/>
      <c r="BP1571" s="16" t="n">
        <v>45589</v>
      </c>
      <c r="BQ1571" s="28" t="str">
        <f>HYPERLINK("https://organic.ams.usda.gov/Integrity/Certificate.aspx?cid=66&amp;nopid=5500006772")</f>
        <v>https://organic.ams.usda.gov/Integrity/Certificate.aspx?cid=66&amp;nopid=5500006772</v>
      </c>
    </row>
    <row r="1572">
      <c r="A1572" t="s">
        <v>3</v>
      </c>
      <c r="B1572" s="6" t="s">
        <v>25</v>
      </c>
      <c r="C1572" s="6" t="s">
        <v>91</v>
      </c>
      <c r="D1572" s="6" t="s">
        <v>156</v>
      </c>
      <c r="E1572" s="10" t="s">
        <v>1770</v>
      </c>
      <c r="F1572" s="6" t="s">
        <v>4003</v>
      </c>
      <c r="G1572" s="6" t="s">
        <v>4821</v>
      </c>
      <c r="H1572" s="6" t="s">
        <v>6311</v>
      </c>
      <c r="I1572" s="6" t="s">
        <v>6939</v>
      </c>
      <c r="J1572" s="6" t="s">
        <v>8151</v>
      </c>
      <c r="K1572" s="6" t="s">
        <v>9714</v>
      </c>
      <c r="L1572" s="16" t="n">
        <v>44519</v>
      </c>
      <c r="M1572" s="16" t="n">
        <v>45897</v>
      </c>
      <c r="N1572" s="6" t="s">
        <v>104</v>
      </c>
      <c r="O1572" s="21" t="s">
        <v>104</v>
      </c>
      <c r="P1572" s="6" t="s">
        <v>104</v>
      </c>
      <c r="Q1572" s="6" t="s">
        <v>104</v>
      </c>
      <c r="R1572" s="6" t="s">
        <v>104</v>
      </c>
      <c r="S1572" s="6" t="s">
        <v>104</v>
      </c>
      <c r="T1572" s="21" t="s">
        <v>104</v>
      </c>
      <c r="U1572" s="6" t="s">
        <v>104</v>
      </c>
      <c r="V1572" s="6" t="s">
        <v>104</v>
      </c>
      <c r="W1572" s="6" t="s">
        <v>104</v>
      </c>
      <c r="X1572" s="6" t="s">
        <v>104</v>
      </c>
      <c r="Y1572" s="21" t="s">
        <v>104</v>
      </c>
      <c r="Z1572" s="6" t="s">
        <v>104</v>
      </c>
      <c r="AA1572" s="6" t="s">
        <v>104</v>
      </c>
      <c r="AB1572" s="6" t="s">
        <v>104</v>
      </c>
      <c r="AC1572" s="6" t="s">
        <v>9714</v>
      </c>
      <c r="AD1572" s="16" t="n">
        <v>44519</v>
      </c>
      <c r="AE1572" s="6" t="s">
        <v>11896</v>
      </c>
      <c r="AF1572" s="6" t="s">
        <v>104</v>
      </c>
      <c r="AG1572" s="6" t="s">
        <v>104</v>
      </c>
      <c r="AH1572" s="6" t="s">
        <v>14595</v>
      </c>
      <c r="AI1572" s="6" t="s">
        <v>104</v>
      </c>
      <c r="AJ1572" s="6" t="s">
        <v>16346</v>
      </c>
      <c r="AK1572" s="6" t="s">
        <v>16691</v>
      </c>
      <c r="AL1572" s="6" t="s">
        <v>16935</v>
      </c>
      <c r="AM1572" s="6" t="s">
        <v>104</v>
      </c>
      <c r="AN1572" s="6" t="s">
        <v>104</v>
      </c>
      <c r="AO1572" s="6" t="s">
        <v>104</v>
      </c>
      <c r="AP1572" s="6" t="s">
        <v>19376</v>
      </c>
      <c r="AQ1572" s="6" t="s">
        <v>104</v>
      </c>
      <c r="AR1572" s="6" t="s">
        <v>16344</v>
      </c>
      <c r="AS1572" s="6" t="s">
        <v>16691</v>
      </c>
      <c r="AT1572" s="6" t="s">
        <v>16935</v>
      </c>
      <c r="AU1572" s="6" t="s">
        <v>18237</v>
      </c>
      <c r="AV1572" s="6" t="s">
        <v>104</v>
      </c>
      <c r="AW1572" s="6" t="s">
        <v>104</v>
      </c>
      <c r="AX1572" s="6" t="s">
        <v>20137</v>
      </c>
      <c r="AY1572" s="6" t="s">
        <v>21875</v>
      </c>
      <c r="AZ1572" s="6" t="s">
        <v>104</v>
      </c>
      <c r="BA1572" s="6" t="s">
        <v>24264</v>
      </c>
      <c r="BB1572" s="6" t="s">
        <v>104</v>
      </c>
      <c r="BC1572" s="26"/>
      <c r="BD1572" s="26"/>
      <c r="BE1572" s="26"/>
      <c r="BF1572" s="26"/>
      <c r="BG1572" s="26"/>
      <c r="BH1572" s="26"/>
      <c r="BI1572" s="26"/>
      <c r="BJ1572" s="26"/>
      <c r="BK1572" s="26"/>
      <c r="BL1572" s="26"/>
      <c r="BM1572" s="26"/>
      <c r="BN1572" s="26"/>
      <c r="BO1572" s="26"/>
      <c r="BP1572" s="16" t="n">
        <v>45646</v>
      </c>
      <c r="BQ1572" s="28" t="str">
        <f>HYPERLINK("https://organic.ams.usda.gov/Integrity/Certificate.aspx?cid=66&amp;nopid=5500006663")</f>
        <v>https://organic.ams.usda.gov/Integrity/Certificate.aspx?cid=66&amp;nopid=5500006663</v>
      </c>
    </row>
    <row r="1573">
      <c r="A1573" t="s">
        <v>3</v>
      </c>
      <c r="B1573" s="6" t="s">
        <v>25</v>
      </c>
      <c r="C1573" s="6" t="s">
        <v>91</v>
      </c>
      <c r="D1573" s="6" t="s">
        <v>156</v>
      </c>
      <c r="E1573" s="10" t="s">
        <v>1771</v>
      </c>
      <c r="F1573" s="6" t="s">
        <v>4003</v>
      </c>
      <c r="G1573" s="6" t="s">
        <v>4822</v>
      </c>
      <c r="H1573" s="6" t="s">
        <v>6312</v>
      </c>
      <c r="I1573" s="6" t="s">
        <v>6939</v>
      </c>
      <c r="J1573" s="6" t="s">
        <v>8151</v>
      </c>
      <c r="K1573" s="6" t="s">
        <v>9714</v>
      </c>
      <c r="L1573" s="16" t="n">
        <v>43167</v>
      </c>
      <c r="M1573" s="16" t="n">
        <v>45719</v>
      </c>
      <c r="N1573" s="6" t="s">
        <v>104</v>
      </c>
      <c r="O1573" s="21" t="s">
        <v>104</v>
      </c>
      <c r="P1573" s="6" t="s">
        <v>104</v>
      </c>
      <c r="Q1573" s="6" t="s">
        <v>104</v>
      </c>
      <c r="R1573" s="6" t="s">
        <v>104</v>
      </c>
      <c r="S1573" s="6" t="s">
        <v>104</v>
      </c>
      <c r="T1573" s="21" t="s">
        <v>104</v>
      </c>
      <c r="U1573" s="6" t="s">
        <v>104</v>
      </c>
      <c r="V1573" s="6" t="s">
        <v>104</v>
      </c>
      <c r="W1573" s="6" t="s">
        <v>104</v>
      </c>
      <c r="X1573" s="6" t="s">
        <v>104</v>
      </c>
      <c r="Y1573" s="21" t="s">
        <v>104</v>
      </c>
      <c r="Z1573" s="6" t="s">
        <v>104</v>
      </c>
      <c r="AA1573" s="6" t="s">
        <v>104</v>
      </c>
      <c r="AB1573" s="6" t="s">
        <v>104</v>
      </c>
      <c r="AC1573" s="6" t="s">
        <v>9714</v>
      </c>
      <c r="AD1573" s="16" t="n">
        <v>43167</v>
      </c>
      <c r="AE1573" s="6" t="s">
        <v>11546</v>
      </c>
      <c r="AF1573" s="6" t="s">
        <v>104</v>
      </c>
      <c r="AG1573" s="6" t="s">
        <v>104</v>
      </c>
      <c r="AH1573" s="6" t="s">
        <v>14596</v>
      </c>
      <c r="AI1573" s="6" t="s">
        <v>104</v>
      </c>
      <c r="AJ1573" s="6" t="s">
        <v>16347</v>
      </c>
      <c r="AK1573" s="6" t="s">
        <v>16691</v>
      </c>
      <c r="AL1573" s="6" t="s">
        <v>16935</v>
      </c>
      <c r="AM1573" s="6" t="s">
        <v>18043</v>
      </c>
      <c r="AN1573" s="6" t="s">
        <v>104</v>
      </c>
      <c r="AO1573" s="6" t="s">
        <v>104</v>
      </c>
      <c r="AP1573" s="6" t="s">
        <v>19376</v>
      </c>
      <c r="AQ1573" s="6" t="s">
        <v>104</v>
      </c>
      <c r="AR1573" s="6" t="s">
        <v>16344</v>
      </c>
      <c r="AS1573" s="6" t="s">
        <v>16691</v>
      </c>
      <c r="AT1573" s="6" t="s">
        <v>16935</v>
      </c>
      <c r="AU1573" s="6" t="s">
        <v>18237</v>
      </c>
      <c r="AV1573" s="6" t="s">
        <v>104</v>
      </c>
      <c r="AW1573" s="6" t="s">
        <v>104</v>
      </c>
      <c r="AX1573" s="6" t="s">
        <v>20137</v>
      </c>
      <c r="AY1573" s="6" t="s">
        <v>21875</v>
      </c>
      <c r="AZ1573" s="6" t="s">
        <v>104</v>
      </c>
      <c r="BA1573" s="6" t="s">
        <v>24264</v>
      </c>
      <c r="BB1573" s="6" t="s">
        <v>104</v>
      </c>
      <c r="BC1573" s="26"/>
      <c r="BD1573" s="26"/>
      <c r="BE1573" s="26"/>
      <c r="BF1573" s="26"/>
      <c r="BG1573" s="26"/>
      <c r="BH1573" s="26"/>
      <c r="BI1573" s="26"/>
      <c r="BJ1573" s="26"/>
      <c r="BK1573" s="26"/>
      <c r="BL1573" s="26"/>
      <c r="BM1573" s="26"/>
      <c r="BN1573" s="26"/>
      <c r="BO1573" s="26"/>
      <c r="BP1573" s="16" t="n">
        <v>45474</v>
      </c>
      <c r="BQ1573" s="28" t="str">
        <f>HYPERLINK("https://organic.ams.usda.gov/Integrity/Certificate.aspx?cid=66&amp;nopid=5500005714")</f>
        <v>https://organic.ams.usda.gov/Integrity/Certificate.aspx?cid=66&amp;nopid=5500005714</v>
      </c>
    </row>
    <row r="1574">
      <c r="A1574" t="s">
        <v>3</v>
      </c>
      <c r="B1574" s="6" t="s">
        <v>25</v>
      </c>
      <c r="C1574" s="6" t="s">
        <v>91</v>
      </c>
      <c r="D1574" s="6" t="s">
        <v>156</v>
      </c>
      <c r="E1574" s="10" t="s">
        <v>1772</v>
      </c>
      <c r="F1574" s="6" t="s">
        <v>4003</v>
      </c>
      <c r="G1574" s="6" t="s">
        <v>4823</v>
      </c>
      <c r="H1574" s="6" t="s">
        <v>6313</v>
      </c>
      <c r="I1574" s="6" t="s">
        <v>6939</v>
      </c>
      <c r="J1574" s="6" t="s">
        <v>8151</v>
      </c>
      <c r="K1574" s="6" t="s">
        <v>9714</v>
      </c>
      <c r="L1574" s="16" t="n">
        <v>43516</v>
      </c>
      <c r="M1574" s="16" t="n">
        <v>45705</v>
      </c>
      <c r="N1574" s="6" t="s">
        <v>104</v>
      </c>
      <c r="O1574" s="21" t="s">
        <v>104</v>
      </c>
      <c r="P1574" s="6" t="s">
        <v>104</v>
      </c>
      <c r="Q1574" s="6" t="s">
        <v>104</v>
      </c>
      <c r="R1574" s="6" t="s">
        <v>104</v>
      </c>
      <c r="S1574" s="6" t="s">
        <v>104</v>
      </c>
      <c r="T1574" s="21" t="s">
        <v>104</v>
      </c>
      <c r="U1574" s="6" t="s">
        <v>104</v>
      </c>
      <c r="V1574" s="6" t="s">
        <v>104</v>
      </c>
      <c r="W1574" s="6" t="s">
        <v>104</v>
      </c>
      <c r="X1574" s="6" t="s">
        <v>104</v>
      </c>
      <c r="Y1574" s="21" t="s">
        <v>104</v>
      </c>
      <c r="Z1574" s="6" t="s">
        <v>104</v>
      </c>
      <c r="AA1574" s="6" t="s">
        <v>104</v>
      </c>
      <c r="AB1574" s="6" t="s">
        <v>104</v>
      </c>
      <c r="AC1574" s="6" t="s">
        <v>9714</v>
      </c>
      <c r="AD1574" s="16" t="n">
        <v>43516</v>
      </c>
      <c r="AE1574" s="6" t="s">
        <v>11546</v>
      </c>
      <c r="AF1574" s="6" t="s">
        <v>104</v>
      </c>
      <c r="AG1574" s="6" t="s">
        <v>104</v>
      </c>
      <c r="AH1574" s="6" t="s">
        <v>14597</v>
      </c>
      <c r="AI1574" s="6" t="s">
        <v>104</v>
      </c>
      <c r="AJ1574" s="6" t="s">
        <v>16348</v>
      </c>
      <c r="AK1574" s="6" t="s">
        <v>16691</v>
      </c>
      <c r="AL1574" s="6" t="s">
        <v>16935</v>
      </c>
      <c r="AM1574" s="6" t="s">
        <v>6200</v>
      </c>
      <c r="AN1574" s="6" t="s">
        <v>104</v>
      </c>
      <c r="AO1574" s="6" t="s">
        <v>104</v>
      </c>
      <c r="AP1574" s="6" t="s">
        <v>19376</v>
      </c>
      <c r="AQ1574" s="6" t="s">
        <v>104</v>
      </c>
      <c r="AR1574" s="6" t="s">
        <v>16344</v>
      </c>
      <c r="AS1574" s="6" t="s">
        <v>16691</v>
      </c>
      <c r="AT1574" s="6" t="s">
        <v>16935</v>
      </c>
      <c r="AU1574" s="6" t="s">
        <v>18237</v>
      </c>
      <c r="AV1574" s="6" t="s">
        <v>104</v>
      </c>
      <c r="AW1574" s="6" t="s">
        <v>104</v>
      </c>
      <c r="AX1574" s="6" t="s">
        <v>20137</v>
      </c>
      <c r="AY1574" s="6" t="s">
        <v>21875</v>
      </c>
      <c r="AZ1574" s="6" t="s">
        <v>104</v>
      </c>
      <c r="BA1574" s="6" t="s">
        <v>24264</v>
      </c>
      <c r="BB1574" s="6" t="s">
        <v>104</v>
      </c>
      <c r="BC1574" s="26"/>
      <c r="BD1574" s="26"/>
      <c r="BE1574" s="26"/>
      <c r="BF1574" s="26"/>
      <c r="BG1574" s="26"/>
      <c r="BH1574" s="26"/>
      <c r="BI1574" s="26"/>
      <c r="BJ1574" s="26"/>
      <c r="BK1574" s="26"/>
      <c r="BL1574" s="26"/>
      <c r="BM1574" s="26"/>
      <c r="BN1574" s="26"/>
      <c r="BO1574" s="26"/>
      <c r="BP1574" s="16" t="n">
        <v>45498</v>
      </c>
      <c r="BQ1574" s="28" t="str">
        <f>HYPERLINK("https://organic.ams.usda.gov/Integrity/Certificate.aspx?cid=66&amp;nopid=5500006009")</f>
        <v>https://organic.ams.usda.gov/Integrity/Certificate.aspx?cid=66&amp;nopid=5500006009</v>
      </c>
    </row>
    <row r="1575">
      <c r="A1575" t="s">
        <v>3</v>
      </c>
      <c r="B1575" s="6" t="s">
        <v>34</v>
      </c>
      <c r="C1575" s="6" t="s">
        <v>100</v>
      </c>
      <c r="D1575" s="6" t="s">
        <v>165</v>
      </c>
      <c r="E1575" s="10" t="s">
        <v>1773</v>
      </c>
      <c r="F1575" s="6" t="s">
        <v>4004</v>
      </c>
      <c r="G1575" s="6" t="s">
        <v>104</v>
      </c>
      <c r="H1575" s="6" t="s">
        <v>6314</v>
      </c>
      <c r="I1575" s="6" t="s">
        <v>7749</v>
      </c>
      <c r="J1575" s="6" t="s">
        <v>8284</v>
      </c>
      <c r="K1575" s="6" t="s">
        <v>9714</v>
      </c>
      <c r="L1575" s="16" t="n">
        <v>37375</v>
      </c>
      <c r="M1575" s="16" t="n">
        <v>45776</v>
      </c>
      <c r="N1575" s="6" t="s">
        <v>104</v>
      </c>
      <c r="O1575" s="21" t="s">
        <v>104</v>
      </c>
      <c r="P1575" s="6" t="s">
        <v>104</v>
      </c>
      <c r="Q1575" s="6" t="s">
        <v>104</v>
      </c>
      <c r="R1575" s="6" t="s">
        <v>104</v>
      </c>
      <c r="S1575" s="6" t="s">
        <v>104</v>
      </c>
      <c r="T1575" s="21" t="s">
        <v>104</v>
      </c>
      <c r="U1575" s="6" t="s">
        <v>104</v>
      </c>
      <c r="V1575" s="6" t="s">
        <v>104</v>
      </c>
      <c r="W1575" s="6" t="s">
        <v>104</v>
      </c>
      <c r="X1575" s="6" t="s">
        <v>104</v>
      </c>
      <c r="Y1575" s="21" t="s">
        <v>104</v>
      </c>
      <c r="Z1575" s="6" t="s">
        <v>104</v>
      </c>
      <c r="AA1575" s="6" t="s">
        <v>104</v>
      </c>
      <c r="AB1575" s="6" t="s">
        <v>104</v>
      </c>
      <c r="AC1575" s="6" t="s">
        <v>9714</v>
      </c>
      <c r="AD1575" s="16" t="n">
        <v>37375</v>
      </c>
      <c r="AE1575" s="6" t="s">
        <v>11897</v>
      </c>
      <c r="AF1575" s="6" t="s">
        <v>104</v>
      </c>
      <c r="AG1575" s="6" t="s">
        <v>12975</v>
      </c>
      <c r="AH1575" s="6" t="s">
        <v>14598</v>
      </c>
      <c r="AI1575" s="6" t="s">
        <v>104</v>
      </c>
      <c r="AJ1575" s="6" t="s">
        <v>15378</v>
      </c>
      <c r="AK1575" s="6" t="s">
        <v>16687</v>
      </c>
      <c r="AL1575" s="6" t="s">
        <v>16931</v>
      </c>
      <c r="AM1575" s="6" t="s">
        <v>17006</v>
      </c>
      <c r="AN1575" s="6" t="s">
        <v>5771</v>
      </c>
      <c r="AO1575" s="6" t="s">
        <v>18563</v>
      </c>
      <c r="AP1575" s="6" t="s">
        <v>14598</v>
      </c>
      <c r="AQ1575" s="6" t="s">
        <v>104</v>
      </c>
      <c r="AR1575" s="6" t="s">
        <v>15378</v>
      </c>
      <c r="AS1575" s="6" t="s">
        <v>16687</v>
      </c>
      <c r="AT1575" s="6" t="s">
        <v>16931</v>
      </c>
      <c r="AU1575" s="6" t="s">
        <v>17006</v>
      </c>
      <c r="AV1575" s="6" t="s">
        <v>104</v>
      </c>
      <c r="AW1575" s="6" t="s">
        <v>104</v>
      </c>
      <c r="AX1575" s="6" t="s">
        <v>20259</v>
      </c>
      <c r="AY1575" s="6" t="s">
        <v>23150</v>
      </c>
      <c r="AZ1575" s="6" t="s">
        <v>24090</v>
      </c>
      <c r="BA1575" s="6" t="s">
        <v>104</v>
      </c>
      <c r="BB1575" s="6" t="s">
        <v>104</v>
      </c>
      <c r="BC1575" s="26"/>
      <c r="BD1575" s="26"/>
      <c r="BE1575" s="26"/>
      <c r="BF1575" s="26"/>
      <c r="BG1575" s="26"/>
      <c r="BH1575" s="26"/>
      <c r="BI1575" s="26"/>
      <c r="BJ1575" s="26"/>
      <c r="BK1575" s="26"/>
      <c r="BL1575" s="26"/>
      <c r="BM1575" s="26"/>
      <c r="BN1575" s="26"/>
      <c r="BO1575" s="26"/>
      <c r="BP1575" s="16" t="n">
        <v>45737</v>
      </c>
      <c r="BQ1575" s="28" t="str">
        <f>HYPERLINK("https://organic.ams.usda.gov/Integrity/Certificate.aspx?cid=71&amp;nopid=5520030573")</f>
        <v>https://organic.ams.usda.gov/Integrity/Certificate.aspx?cid=71&amp;nopid=5520030573</v>
      </c>
    </row>
    <row r="1576">
      <c r="A1576" t="s">
        <v>3</v>
      </c>
      <c r="B1576" s="6" t="s">
        <v>49</v>
      </c>
      <c r="C1576" s="6" t="s">
        <v>115</v>
      </c>
      <c r="D1576" s="6" t="s">
        <v>179</v>
      </c>
      <c r="E1576" s="10" t="s">
        <v>1774</v>
      </c>
      <c r="F1576" s="6" t="s">
        <v>4005</v>
      </c>
      <c r="G1576" s="6" t="s">
        <v>104</v>
      </c>
      <c r="H1576" s="6" t="s">
        <v>6315</v>
      </c>
      <c r="I1576" s="6" t="s">
        <v>104</v>
      </c>
      <c r="J1576" s="6" t="s">
        <v>104</v>
      </c>
      <c r="K1576" s="6" t="s">
        <v>9714</v>
      </c>
      <c r="L1576" s="16" t="n">
        <v>45575</v>
      </c>
      <c r="M1576" s="16" t="n">
        <v>45804</v>
      </c>
      <c r="N1576" s="6" t="s">
        <v>104</v>
      </c>
      <c r="O1576" s="21" t="s">
        <v>104</v>
      </c>
      <c r="P1576" s="6" t="s">
        <v>104</v>
      </c>
      <c r="Q1576" s="6" t="s">
        <v>104</v>
      </c>
      <c r="R1576" s="6" t="s">
        <v>104</v>
      </c>
      <c r="S1576" s="6" t="s">
        <v>104</v>
      </c>
      <c r="T1576" s="21" t="s">
        <v>104</v>
      </c>
      <c r="U1576" s="6" t="s">
        <v>104</v>
      </c>
      <c r="V1576" s="6" t="s">
        <v>104</v>
      </c>
      <c r="W1576" s="6" t="s">
        <v>104</v>
      </c>
      <c r="X1576" s="6" t="s">
        <v>104</v>
      </c>
      <c r="Y1576" s="21" t="s">
        <v>104</v>
      </c>
      <c r="Z1576" s="6" t="s">
        <v>104</v>
      </c>
      <c r="AA1576" s="6" t="s">
        <v>104</v>
      </c>
      <c r="AB1576" s="6" t="s">
        <v>104</v>
      </c>
      <c r="AC1576" s="6" t="s">
        <v>9714</v>
      </c>
      <c r="AD1576" s="16" t="n">
        <v>45575</v>
      </c>
      <c r="AE1576" s="6" t="s">
        <v>11898</v>
      </c>
      <c r="AF1576" s="6" t="s">
        <v>104</v>
      </c>
      <c r="AG1576" s="6" t="s">
        <v>12976</v>
      </c>
      <c r="AH1576" s="6" t="s">
        <v>14599</v>
      </c>
      <c r="AI1576" s="6" t="s">
        <v>104</v>
      </c>
      <c r="AJ1576" s="6" t="s">
        <v>16349</v>
      </c>
      <c r="AK1576" s="6" t="s">
        <v>104</v>
      </c>
      <c r="AL1576" s="6" t="s">
        <v>16932</v>
      </c>
      <c r="AM1576" s="6" t="s">
        <v>18044</v>
      </c>
      <c r="AN1576" s="6" t="s">
        <v>104</v>
      </c>
      <c r="AO1576" s="6" t="s">
        <v>104</v>
      </c>
      <c r="AP1576" s="6" t="s">
        <v>104</v>
      </c>
      <c r="AQ1576" s="6" t="s">
        <v>104</v>
      </c>
      <c r="AR1576" s="6" t="s">
        <v>104</v>
      </c>
      <c r="AS1576" s="6" t="s">
        <v>104</v>
      </c>
      <c r="AT1576" s="6" t="s">
        <v>104</v>
      </c>
      <c r="AU1576" s="6" t="s">
        <v>104</v>
      </c>
      <c r="AV1576" s="6" t="s">
        <v>104</v>
      </c>
      <c r="AW1576" s="6" t="s">
        <v>104</v>
      </c>
      <c r="AX1576" s="6" t="s">
        <v>104</v>
      </c>
      <c r="AY1576" s="6" t="s">
        <v>22802</v>
      </c>
      <c r="AZ1576" s="6" t="s">
        <v>104</v>
      </c>
      <c r="BA1576" s="6" t="s">
        <v>104</v>
      </c>
      <c r="BB1576" s="24" t="n">
        <v>0</v>
      </c>
      <c r="BC1576" s="26"/>
      <c r="BD1576" s="26"/>
      <c r="BE1576" s="26"/>
      <c r="BF1576" s="26"/>
      <c r="BG1576" s="26"/>
      <c r="BH1576" s="26"/>
      <c r="BI1576" s="26"/>
      <c r="BJ1576" s="26"/>
      <c r="BK1576" s="26"/>
      <c r="BL1576" s="26"/>
      <c r="BM1576" s="26"/>
      <c r="BN1576" s="26"/>
      <c r="BO1576" s="26"/>
      <c r="BP1576" s="16" t="n">
        <v>45719</v>
      </c>
      <c r="BQ1576" s="28" t="str">
        <f>HYPERLINK("https://organic.ams.usda.gov/Integrity/Certificate.aspx?cid=12&amp;nopid=8699694745")</f>
        <v>https://organic.ams.usda.gov/Integrity/Certificate.aspx?cid=12&amp;nopid=8699694745</v>
      </c>
    </row>
    <row r="1577">
      <c r="A1577" t="s">
        <v>3</v>
      </c>
      <c r="B1577" s="6" t="s">
        <v>14</v>
      </c>
      <c r="C1577" s="6" t="s">
        <v>80</v>
      </c>
      <c r="D1577" s="6" t="s">
        <v>145</v>
      </c>
      <c r="E1577" s="10" t="s">
        <v>1775</v>
      </c>
      <c r="F1577" s="6" t="s">
        <v>4006</v>
      </c>
      <c r="G1577" s="6" t="s">
        <v>104</v>
      </c>
      <c r="H1577" s="6" t="s">
        <v>6316</v>
      </c>
      <c r="I1577" s="6" t="s">
        <v>7830</v>
      </c>
      <c r="J1577" s="6" t="s">
        <v>9282</v>
      </c>
      <c r="K1577" s="6" t="s">
        <v>9714</v>
      </c>
      <c r="L1577" s="16" t="n">
        <v>44855</v>
      </c>
      <c r="M1577" s="16" t="n">
        <v>45858</v>
      </c>
      <c r="N1577" s="6" t="s">
        <v>104</v>
      </c>
      <c r="O1577" s="21" t="s">
        <v>104</v>
      </c>
      <c r="P1577" s="6" t="s">
        <v>104</v>
      </c>
      <c r="Q1577" s="6" t="s">
        <v>104</v>
      </c>
      <c r="R1577" s="6" t="s">
        <v>104</v>
      </c>
      <c r="S1577" s="6" t="s">
        <v>104</v>
      </c>
      <c r="T1577" s="21" t="s">
        <v>104</v>
      </c>
      <c r="U1577" s="6" t="s">
        <v>104</v>
      </c>
      <c r="V1577" s="6" t="s">
        <v>104</v>
      </c>
      <c r="W1577" s="6" t="s">
        <v>104</v>
      </c>
      <c r="X1577" s="6" t="s">
        <v>104</v>
      </c>
      <c r="Y1577" s="21" t="s">
        <v>104</v>
      </c>
      <c r="Z1577" s="6" t="s">
        <v>104</v>
      </c>
      <c r="AA1577" s="6" t="s">
        <v>104</v>
      </c>
      <c r="AB1577" s="6" t="s">
        <v>104</v>
      </c>
      <c r="AC1577" s="6" t="s">
        <v>9714</v>
      </c>
      <c r="AD1577" s="16" t="n">
        <v>44855</v>
      </c>
      <c r="AE1577" s="6" t="s">
        <v>11899</v>
      </c>
      <c r="AF1577" s="6" t="s">
        <v>104</v>
      </c>
      <c r="AG1577" s="6" t="s">
        <v>104</v>
      </c>
      <c r="AH1577" s="6" t="s">
        <v>14600</v>
      </c>
      <c r="AI1577" s="6" t="s">
        <v>104</v>
      </c>
      <c r="AJ1577" s="6" t="s">
        <v>15396</v>
      </c>
      <c r="AK1577" s="6" t="s">
        <v>16697</v>
      </c>
      <c r="AL1577" s="6" t="s">
        <v>16932</v>
      </c>
      <c r="AM1577" s="6" t="s">
        <v>18044</v>
      </c>
      <c r="AN1577" s="6" t="s">
        <v>104</v>
      </c>
      <c r="AO1577" s="6" t="s">
        <v>104</v>
      </c>
      <c r="AP1577" s="6" t="s">
        <v>104</v>
      </c>
      <c r="AQ1577" s="6" t="s">
        <v>104</v>
      </c>
      <c r="AR1577" s="6" t="s">
        <v>104</v>
      </c>
      <c r="AS1577" s="6" t="s">
        <v>104</v>
      </c>
      <c r="AT1577" s="6" t="s">
        <v>104</v>
      </c>
      <c r="AU1577" s="6" t="s">
        <v>104</v>
      </c>
      <c r="AV1577" s="6" t="s">
        <v>104</v>
      </c>
      <c r="AW1577" s="6" t="s">
        <v>104</v>
      </c>
      <c r="AX1577" s="6" t="s">
        <v>21344</v>
      </c>
      <c r="AY1577" s="6" t="s">
        <v>23151</v>
      </c>
      <c r="AZ1577" s="6" t="s">
        <v>104</v>
      </c>
      <c r="BA1577" s="6" t="s">
        <v>24272</v>
      </c>
      <c r="BB1577" s="6" t="s">
        <v>104</v>
      </c>
      <c r="BC1577" s="26"/>
      <c r="BD1577" s="26"/>
      <c r="BE1577" s="26"/>
      <c r="BF1577" s="26"/>
      <c r="BG1577" s="26"/>
      <c r="BH1577" s="26"/>
      <c r="BI1577" s="26"/>
      <c r="BJ1577" s="26"/>
      <c r="BK1577" s="26"/>
      <c r="BL1577" s="26"/>
      <c r="BM1577" s="26"/>
      <c r="BN1577" s="26"/>
      <c r="BO1577" s="26"/>
      <c r="BP1577" s="16" t="n">
        <v>45662</v>
      </c>
      <c r="BQ1577" s="28" t="str">
        <f>HYPERLINK("https://organic.ams.usda.gov/Integrity/Certificate.aspx?cid=89&amp;nopid=4920006138")</f>
        <v>https://organic.ams.usda.gov/Integrity/Certificate.aspx?cid=89&amp;nopid=4920006138</v>
      </c>
    </row>
    <row r="1578">
      <c r="A1578" t="s">
        <v>3</v>
      </c>
      <c r="B1578" s="6" t="s">
        <v>13</v>
      </c>
      <c r="C1578" s="6" t="s">
        <v>79</v>
      </c>
      <c r="D1578" s="6" t="s">
        <v>144</v>
      </c>
      <c r="E1578" s="10" t="s">
        <v>1776</v>
      </c>
      <c r="F1578" s="6" t="s">
        <v>4007</v>
      </c>
      <c r="G1578" s="6" t="s">
        <v>104</v>
      </c>
      <c r="H1578" s="6" t="s">
        <v>6317</v>
      </c>
      <c r="I1578" s="6" t="s">
        <v>6923</v>
      </c>
      <c r="J1578" s="6" t="s">
        <v>8136</v>
      </c>
      <c r="K1578" s="6" t="s">
        <v>9714</v>
      </c>
      <c r="L1578" s="16" t="n">
        <v>37375</v>
      </c>
      <c r="M1578" s="16" t="n">
        <v>46023</v>
      </c>
      <c r="N1578" s="6" t="s">
        <v>104</v>
      </c>
      <c r="O1578" s="21" t="s">
        <v>104</v>
      </c>
      <c r="P1578" s="6" t="s">
        <v>104</v>
      </c>
      <c r="Q1578" s="6" t="s">
        <v>104</v>
      </c>
      <c r="R1578" s="6" t="s">
        <v>104</v>
      </c>
      <c r="S1578" s="6" t="s">
        <v>104</v>
      </c>
      <c r="T1578" s="21" t="s">
        <v>104</v>
      </c>
      <c r="U1578" s="6" t="s">
        <v>104</v>
      </c>
      <c r="V1578" s="6" t="s">
        <v>104</v>
      </c>
      <c r="W1578" s="6" t="s">
        <v>104</v>
      </c>
      <c r="X1578" s="6" t="s">
        <v>104</v>
      </c>
      <c r="Y1578" s="21" t="s">
        <v>104</v>
      </c>
      <c r="Z1578" s="6" t="s">
        <v>104</v>
      </c>
      <c r="AA1578" s="6" t="s">
        <v>104</v>
      </c>
      <c r="AB1578" s="6" t="s">
        <v>104</v>
      </c>
      <c r="AC1578" s="6" t="s">
        <v>9714</v>
      </c>
      <c r="AD1578" s="16" t="n">
        <v>37375</v>
      </c>
      <c r="AE1578" s="6" t="s">
        <v>11900</v>
      </c>
      <c r="AF1578" s="6" t="s">
        <v>104</v>
      </c>
      <c r="AG1578" s="6" t="s">
        <v>104</v>
      </c>
      <c r="AH1578" s="6" t="s">
        <v>104</v>
      </c>
      <c r="AI1578" s="6" t="s">
        <v>104</v>
      </c>
      <c r="AJ1578" s="6" t="s">
        <v>104</v>
      </c>
      <c r="AK1578" s="6" t="s">
        <v>104</v>
      </c>
      <c r="AL1578" s="6" t="s">
        <v>104</v>
      </c>
      <c r="AM1578" s="6" t="s">
        <v>104</v>
      </c>
      <c r="AN1578" s="6" t="s">
        <v>104</v>
      </c>
      <c r="AO1578" s="6" t="s">
        <v>104</v>
      </c>
      <c r="AP1578" s="6" t="s">
        <v>19377</v>
      </c>
      <c r="AQ1578" s="6" t="s">
        <v>104</v>
      </c>
      <c r="AR1578" s="6" t="s">
        <v>19741</v>
      </c>
      <c r="AS1578" s="6" t="s">
        <v>16720</v>
      </c>
      <c r="AT1578" s="6" t="s">
        <v>16931</v>
      </c>
      <c r="AU1578" s="6" t="s">
        <v>20006</v>
      </c>
      <c r="AV1578" s="6" t="s">
        <v>18473</v>
      </c>
      <c r="AW1578" s="6" t="s">
        <v>20103</v>
      </c>
      <c r="AX1578" s="6" t="s">
        <v>20121</v>
      </c>
      <c r="AY1578" s="6" t="s">
        <v>21859</v>
      </c>
      <c r="AZ1578" s="6" t="s">
        <v>24091</v>
      </c>
      <c r="BA1578" s="6" t="s">
        <v>104</v>
      </c>
      <c r="BB1578" s="6" t="s">
        <v>104</v>
      </c>
      <c r="BC1578" s="26"/>
      <c r="BD1578" s="26"/>
      <c r="BE1578" s="26"/>
      <c r="BF1578" s="26"/>
      <c r="BG1578" s="26"/>
      <c r="BH1578" s="26"/>
      <c r="BI1578" s="26"/>
      <c r="BJ1578" s="26"/>
      <c r="BK1578" s="26"/>
      <c r="BL1578" s="26"/>
      <c r="BM1578" s="26"/>
      <c r="BN1578" s="26"/>
      <c r="BO1578" s="26"/>
      <c r="BP1578" s="16" t="n">
        <v>45720</v>
      </c>
      <c r="BQ1578" s="28" t="str">
        <f>HYPERLINK("https://organic.ams.usda.gov/Integrity/Certificate.aspx?cid=62&amp;nopid=8150001693")</f>
        <v>https://organic.ams.usda.gov/Integrity/Certificate.aspx?cid=62&amp;nopid=8150001693</v>
      </c>
    </row>
    <row r="1579">
      <c r="A1579" t="s">
        <v>3</v>
      </c>
      <c r="B1579" s="6" t="s">
        <v>6</v>
      </c>
      <c r="C1579" s="6" t="s">
        <v>72</v>
      </c>
      <c r="D1579" s="6" t="s">
        <v>137</v>
      </c>
      <c r="E1579" s="10" t="s">
        <v>1777</v>
      </c>
      <c r="F1579" s="6" t="s">
        <v>4008</v>
      </c>
      <c r="G1579" s="6" t="s">
        <v>104</v>
      </c>
      <c r="H1579" s="6" t="s">
        <v>6318</v>
      </c>
      <c r="I1579" s="6" t="s">
        <v>7269</v>
      </c>
      <c r="J1579" s="6" t="s">
        <v>9283</v>
      </c>
      <c r="K1579" s="6" t="s">
        <v>9714</v>
      </c>
      <c r="L1579" s="16" t="n">
        <v>44000</v>
      </c>
      <c r="M1579" s="16" t="n">
        <v>45994</v>
      </c>
      <c r="N1579" s="6" t="s">
        <v>104</v>
      </c>
      <c r="O1579" s="21" t="s">
        <v>104</v>
      </c>
      <c r="P1579" s="6" t="s">
        <v>104</v>
      </c>
      <c r="Q1579" s="6" t="s">
        <v>104</v>
      </c>
      <c r="R1579" s="6" t="s">
        <v>104</v>
      </c>
      <c r="S1579" s="6" t="s">
        <v>104</v>
      </c>
      <c r="T1579" s="21" t="s">
        <v>104</v>
      </c>
      <c r="U1579" s="6" t="s">
        <v>104</v>
      </c>
      <c r="V1579" s="6" t="s">
        <v>104</v>
      </c>
      <c r="W1579" s="6" t="s">
        <v>104</v>
      </c>
      <c r="X1579" s="6" t="s">
        <v>104</v>
      </c>
      <c r="Y1579" s="21" t="s">
        <v>104</v>
      </c>
      <c r="Z1579" s="6" t="s">
        <v>104</v>
      </c>
      <c r="AA1579" s="6" t="s">
        <v>104</v>
      </c>
      <c r="AB1579" s="6" t="s">
        <v>104</v>
      </c>
      <c r="AC1579" s="6" t="s">
        <v>9714</v>
      </c>
      <c r="AD1579" s="16" t="n">
        <v>44000</v>
      </c>
      <c r="AE1579" s="6" t="s">
        <v>11901</v>
      </c>
      <c r="AF1579" s="6" t="s">
        <v>104</v>
      </c>
      <c r="AG1579" s="6" t="s">
        <v>12977</v>
      </c>
      <c r="AH1579" s="6" t="s">
        <v>14601</v>
      </c>
      <c r="AI1579" s="6" t="s">
        <v>104</v>
      </c>
      <c r="AJ1579" s="6" t="s">
        <v>15491</v>
      </c>
      <c r="AK1579" s="6" t="s">
        <v>15707</v>
      </c>
      <c r="AL1579" s="6" t="s">
        <v>16766</v>
      </c>
      <c r="AM1579" s="6" t="s">
        <v>104</v>
      </c>
      <c r="AN1579" s="6" t="s">
        <v>104</v>
      </c>
      <c r="AO1579" s="6" t="s">
        <v>104</v>
      </c>
      <c r="AP1579" s="6" t="s">
        <v>104</v>
      </c>
      <c r="AQ1579" s="6" t="s">
        <v>104</v>
      </c>
      <c r="AR1579" s="6" t="s">
        <v>104</v>
      </c>
      <c r="AS1579" s="6" t="s">
        <v>104</v>
      </c>
      <c r="AT1579" s="6" t="s">
        <v>104</v>
      </c>
      <c r="AU1579" s="6" t="s">
        <v>104</v>
      </c>
      <c r="AV1579" s="6" t="s">
        <v>104</v>
      </c>
      <c r="AW1579" s="6" t="s">
        <v>104</v>
      </c>
      <c r="AX1579" s="6" t="s">
        <v>21345</v>
      </c>
      <c r="AY1579" s="6" t="s">
        <v>23152</v>
      </c>
      <c r="AZ1579" s="6" t="s">
        <v>104</v>
      </c>
      <c r="BA1579" s="6" t="s">
        <v>24305</v>
      </c>
      <c r="BB1579" s="6" t="s">
        <v>104</v>
      </c>
      <c r="BC1579" s="26"/>
      <c r="BD1579" s="26"/>
      <c r="BE1579" s="26"/>
      <c r="BF1579" s="26"/>
      <c r="BG1579" s="26"/>
      <c r="BH1579" s="26"/>
      <c r="BI1579" s="26"/>
      <c r="BJ1579" s="26"/>
      <c r="BK1579" s="26"/>
      <c r="BL1579" s="26"/>
      <c r="BM1579" s="26"/>
      <c r="BN1579" s="26"/>
      <c r="BO1579" s="26"/>
      <c r="BP1579" s="16" t="n">
        <v>45737</v>
      </c>
      <c r="BQ1579" s="28" t="str">
        <f>HYPERLINK("https://organic.ams.usda.gov/Integrity/Certificate.aspx?cid=32&amp;nopid=2230007070")</f>
        <v>https://organic.ams.usda.gov/Integrity/Certificate.aspx?cid=32&amp;nopid=2230007070</v>
      </c>
    </row>
    <row r="1580">
      <c r="A1580" t="s">
        <v>3</v>
      </c>
      <c r="B1580" s="6" t="s">
        <v>6</v>
      </c>
      <c r="C1580" s="6" t="s">
        <v>72</v>
      </c>
      <c r="D1580" s="6" t="s">
        <v>137</v>
      </c>
      <c r="E1580" s="10" t="s">
        <v>1778</v>
      </c>
      <c r="F1580" s="6" t="s">
        <v>4009</v>
      </c>
      <c r="G1580" s="6" t="s">
        <v>104</v>
      </c>
      <c r="H1580" s="6" t="s">
        <v>6319</v>
      </c>
      <c r="I1580" s="6" t="s">
        <v>7269</v>
      </c>
      <c r="J1580" s="6" t="s">
        <v>9283</v>
      </c>
      <c r="K1580" s="6" t="s">
        <v>9714</v>
      </c>
      <c r="L1580" s="16" t="n">
        <v>45735</v>
      </c>
      <c r="M1580" s="16" t="n">
        <v>45939</v>
      </c>
      <c r="N1580" s="6" t="s">
        <v>104</v>
      </c>
      <c r="O1580" s="21" t="s">
        <v>104</v>
      </c>
      <c r="P1580" s="6" t="s">
        <v>104</v>
      </c>
      <c r="Q1580" s="6" t="s">
        <v>104</v>
      </c>
      <c r="R1580" s="6" t="s">
        <v>104</v>
      </c>
      <c r="S1580" s="6" t="s">
        <v>104</v>
      </c>
      <c r="T1580" s="21" t="s">
        <v>104</v>
      </c>
      <c r="U1580" s="6" t="s">
        <v>104</v>
      </c>
      <c r="V1580" s="6" t="s">
        <v>104</v>
      </c>
      <c r="W1580" s="6" t="s">
        <v>104</v>
      </c>
      <c r="X1580" s="6" t="s">
        <v>104</v>
      </c>
      <c r="Y1580" s="21" t="s">
        <v>104</v>
      </c>
      <c r="Z1580" s="6" t="s">
        <v>104</v>
      </c>
      <c r="AA1580" s="6" t="s">
        <v>104</v>
      </c>
      <c r="AB1580" s="6" t="s">
        <v>104</v>
      </c>
      <c r="AC1580" s="6" t="s">
        <v>9714</v>
      </c>
      <c r="AD1580" s="16" t="n">
        <v>45735</v>
      </c>
      <c r="AE1580" s="6" t="s">
        <v>11902</v>
      </c>
      <c r="AF1580" s="6" t="s">
        <v>104</v>
      </c>
      <c r="AG1580" s="6" t="s">
        <v>12978</v>
      </c>
      <c r="AH1580" s="6" t="s">
        <v>14602</v>
      </c>
      <c r="AI1580" s="6" t="s">
        <v>104</v>
      </c>
      <c r="AJ1580" s="6" t="s">
        <v>15975</v>
      </c>
      <c r="AK1580" s="6" t="s">
        <v>16741</v>
      </c>
      <c r="AL1580" s="6" t="s">
        <v>16766</v>
      </c>
      <c r="AM1580" s="6" t="s">
        <v>18045</v>
      </c>
      <c r="AN1580" s="6" t="s">
        <v>104</v>
      </c>
      <c r="AO1580" s="6" t="s">
        <v>104</v>
      </c>
      <c r="AP1580" s="6" t="s">
        <v>104</v>
      </c>
      <c r="AQ1580" s="6" t="s">
        <v>104</v>
      </c>
      <c r="AR1580" s="6" t="s">
        <v>104</v>
      </c>
      <c r="AS1580" s="6" t="s">
        <v>104</v>
      </c>
      <c r="AT1580" s="6" t="s">
        <v>104</v>
      </c>
      <c r="AU1580" s="6" t="s">
        <v>104</v>
      </c>
      <c r="AV1580" s="6" t="s">
        <v>104</v>
      </c>
      <c r="AW1580" s="6" t="s">
        <v>104</v>
      </c>
      <c r="AX1580" s="6" t="s">
        <v>21345</v>
      </c>
      <c r="AY1580" s="6" t="s">
        <v>23152</v>
      </c>
      <c r="AZ1580" s="6" t="s">
        <v>104</v>
      </c>
      <c r="BA1580" s="6" t="s">
        <v>24258</v>
      </c>
      <c r="BB1580" s="6" t="s">
        <v>104</v>
      </c>
      <c r="BC1580" s="26"/>
      <c r="BD1580" s="26"/>
      <c r="BE1580" s="26"/>
      <c r="BF1580" s="26"/>
      <c r="BG1580" s="26"/>
      <c r="BH1580" s="26"/>
      <c r="BI1580" s="26"/>
      <c r="BJ1580" s="26"/>
      <c r="BK1580" s="26"/>
      <c r="BL1580" s="26"/>
      <c r="BM1580" s="26"/>
      <c r="BN1580" s="26"/>
      <c r="BO1580" s="26"/>
      <c r="BP1580" s="16" t="n">
        <v>45737</v>
      </c>
      <c r="BQ1580" s="28" t="str">
        <f>HYPERLINK("https://organic.ams.usda.gov/Integrity/Certificate.aspx?cid=32&amp;nopid=2230011601")</f>
        <v>https://organic.ams.usda.gov/Integrity/Certificate.aspx?cid=32&amp;nopid=2230011601</v>
      </c>
    </row>
    <row r="1581">
      <c r="A1581" t="s">
        <v>3</v>
      </c>
      <c r="B1581" s="6" t="s">
        <v>6</v>
      </c>
      <c r="C1581" s="6" t="s">
        <v>72</v>
      </c>
      <c r="D1581" s="6" t="s">
        <v>137</v>
      </c>
      <c r="E1581" s="10" t="s">
        <v>1779</v>
      </c>
      <c r="F1581" s="6" t="s">
        <v>4010</v>
      </c>
      <c r="G1581" s="6" t="s">
        <v>104</v>
      </c>
      <c r="H1581" s="6" t="s">
        <v>6320</v>
      </c>
      <c r="I1581" s="6" t="s">
        <v>7269</v>
      </c>
      <c r="J1581" s="6" t="s">
        <v>9283</v>
      </c>
      <c r="K1581" s="6" t="s">
        <v>9714</v>
      </c>
      <c r="L1581" s="16" t="n">
        <v>44000</v>
      </c>
      <c r="M1581" s="16" t="n">
        <v>45821</v>
      </c>
      <c r="N1581" s="6" t="s">
        <v>104</v>
      </c>
      <c r="O1581" s="21" t="s">
        <v>104</v>
      </c>
      <c r="P1581" s="6" t="s">
        <v>104</v>
      </c>
      <c r="Q1581" s="6" t="s">
        <v>104</v>
      </c>
      <c r="R1581" s="6" t="s">
        <v>104</v>
      </c>
      <c r="S1581" s="6" t="s">
        <v>104</v>
      </c>
      <c r="T1581" s="21" t="s">
        <v>104</v>
      </c>
      <c r="U1581" s="6" t="s">
        <v>104</v>
      </c>
      <c r="V1581" s="6" t="s">
        <v>104</v>
      </c>
      <c r="W1581" s="6" t="s">
        <v>104</v>
      </c>
      <c r="X1581" s="6" t="s">
        <v>104</v>
      </c>
      <c r="Y1581" s="21" t="s">
        <v>104</v>
      </c>
      <c r="Z1581" s="6" t="s">
        <v>104</v>
      </c>
      <c r="AA1581" s="6" t="s">
        <v>104</v>
      </c>
      <c r="AB1581" s="6" t="s">
        <v>104</v>
      </c>
      <c r="AC1581" s="6" t="s">
        <v>9714</v>
      </c>
      <c r="AD1581" s="16" t="n">
        <v>44000</v>
      </c>
      <c r="AE1581" s="6" t="s">
        <v>11903</v>
      </c>
      <c r="AF1581" s="6" t="s">
        <v>104</v>
      </c>
      <c r="AG1581" s="6" t="s">
        <v>12979</v>
      </c>
      <c r="AH1581" s="6" t="s">
        <v>14603</v>
      </c>
      <c r="AI1581" s="6" t="s">
        <v>104</v>
      </c>
      <c r="AJ1581" s="6" t="s">
        <v>16350</v>
      </c>
      <c r="AK1581" s="6" t="s">
        <v>16781</v>
      </c>
      <c r="AL1581" s="6" t="s">
        <v>16766</v>
      </c>
      <c r="AM1581" s="6" t="s">
        <v>18046</v>
      </c>
      <c r="AN1581" s="6" t="s">
        <v>104</v>
      </c>
      <c r="AO1581" s="6" t="s">
        <v>104</v>
      </c>
      <c r="AP1581" s="6" t="s">
        <v>104</v>
      </c>
      <c r="AQ1581" s="6" t="s">
        <v>104</v>
      </c>
      <c r="AR1581" s="6" t="s">
        <v>104</v>
      </c>
      <c r="AS1581" s="6" t="s">
        <v>104</v>
      </c>
      <c r="AT1581" s="6" t="s">
        <v>104</v>
      </c>
      <c r="AU1581" s="6" t="s">
        <v>104</v>
      </c>
      <c r="AV1581" s="6" t="s">
        <v>104</v>
      </c>
      <c r="AW1581" s="6" t="s">
        <v>104</v>
      </c>
      <c r="AX1581" s="6" t="s">
        <v>21345</v>
      </c>
      <c r="AY1581" s="6" t="s">
        <v>23152</v>
      </c>
      <c r="AZ1581" s="6" t="s">
        <v>104</v>
      </c>
      <c r="BA1581" s="6" t="s">
        <v>24258</v>
      </c>
      <c r="BB1581" s="6" t="s">
        <v>104</v>
      </c>
      <c r="BC1581" s="26"/>
      <c r="BD1581" s="26"/>
      <c r="BE1581" s="26"/>
      <c r="BF1581" s="26"/>
      <c r="BG1581" s="26"/>
      <c r="BH1581" s="26"/>
      <c r="BI1581" s="26"/>
      <c r="BJ1581" s="26"/>
      <c r="BK1581" s="26"/>
      <c r="BL1581" s="26"/>
      <c r="BM1581" s="26"/>
      <c r="BN1581" s="26"/>
      <c r="BO1581" s="26"/>
      <c r="BP1581" s="16" t="n">
        <v>45737</v>
      </c>
      <c r="BQ1581" s="28" t="str">
        <f>HYPERLINK("https://organic.ams.usda.gov/Integrity/Certificate.aspx?cid=32&amp;nopid=2230009463")</f>
        <v>https://organic.ams.usda.gov/Integrity/Certificate.aspx?cid=32&amp;nopid=2230009463</v>
      </c>
    </row>
    <row r="1582">
      <c r="A1582" t="s">
        <v>3</v>
      </c>
      <c r="B1582" s="6" t="s">
        <v>20</v>
      </c>
      <c r="C1582" s="6" t="s">
        <v>86</v>
      </c>
      <c r="D1582" s="6" t="s">
        <v>151</v>
      </c>
      <c r="E1582" s="10" t="s">
        <v>1780</v>
      </c>
      <c r="F1582" s="6" t="s">
        <v>4011</v>
      </c>
      <c r="G1582" s="6" t="s">
        <v>104</v>
      </c>
      <c r="H1582" s="6" t="s">
        <v>6321</v>
      </c>
      <c r="I1582" s="6" t="s">
        <v>7831</v>
      </c>
      <c r="J1582" s="6" t="s">
        <v>9284</v>
      </c>
      <c r="K1582" s="6" t="s">
        <v>9714</v>
      </c>
      <c r="L1582" s="16" t="n">
        <v>42389</v>
      </c>
      <c r="M1582" s="16" t="n">
        <v>46053</v>
      </c>
      <c r="N1582" s="6" t="s">
        <v>104</v>
      </c>
      <c r="O1582" s="21" t="s">
        <v>104</v>
      </c>
      <c r="P1582" s="6" t="s">
        <v>104</v>
      </c>
      <c r="Q1582" s="6" t="s">
        <v>104</v>
      </c>
      <c r="R1582" s="6" t="s">
        <v>104</v>
      </c>
      <c r="S1582" s="6" t="s">
        <v>104</v>
      </c>
      <c r="T1582" s="21" t="s">
        <v>104</v>
      </c>
      <c r="U1582" s="6" t="s">
        <v>104</v>
      </c>
      <c r="V1582" s="6" t="s">
        <v>104</v>
      </c>
      <c r="W1582" s="6" t="s">
        <v>104</v>
      </c>
      <c r="X1582" s="6" t="s">
        <v>104</v>
      </c>
      <c r="Y1582" s="21" t="s">
        <v>104</v>
      </c>
      <c r="Z1582" s="6" t="s">
        <v>104</v>
      </c>
      <c r="AA1582" s="6" t="s">
        <v>104</v>
      </c>
      <c r="AB1582" s="6" t="s">
        <v>104</v>
      </c>
      <c r="AC1582" s="6" t="s">
        <v>9714</v>
      </c>
      <c r="AD1582" s="16" t="n">
        <v>42389</v>
      </c>
      <c r="AE1582" s="6" t="s">
        <v>11904</v>
      </c>
      <c r="AF1582" s="6" t="s">
        <v>104</v>
      </c>
      <c r="AG1582" s="6" t="s">
        <v>12980</v>
      </c>
      <c r="AH1582" s="6" t="s">
        <v>14604</v>
      </c>
      <c r="AI1582" s="6" t="s">
        <v>104</v>
      </c>
      <c r="AJ1582" s="6" t="s">
        <v>16351</v>
      </c>
      <c r="AK1582" s="6" t="s">
        <v>16097</v>
      </c>
      <c r="AL1582" s="6" t="s">
        <v>15513</v>
      </c>
      <c r="AM1582" s="6" t="s">
        <v>17071</v>
      </c>
      <c r="AN1582" s="6" t="s">
        <v>104</v>
      </c>
      <c r="AO1582" s="6" t="s">
        <v>104</v>
      </c>
      <c r="AP1582" s="6" t="s">
        <v>104</v>
      </c>
      <c r="AQ1582" s="6" t="s">
        <v>104</v>
      </c>
      <c r="AR1582" s="6" t="s">
        <v>104</v>
      </c>
      <c r="AS1582" s="6" t="s">
        <v>104</v>
      </c>
      <c r="AT1582" s="6" t="s">
        <v>104</v>
      </c>
      <c r="AU1582" s="6" t="s">
        <v>104</v>
      </c>
      <c r="AV1582" s="6" t="s">
        <v>104</v>
      </c>
      <c r="AW1582" s="6" t="s">
        <v>104</v>
      </c>
      <c r="AX1582" s="6" t="s">
        <v>21346</v>
      </c>
      <c r="AY1582" s="6" t="s">
        <v>23153</v>
      </c>
      <c r="AZ1582" s="6" t="s">
        <v>104</v>
      </c>
      <c r="BA1582" s="6" t="s">
        <v>24459</v>
      </c>
      <c r="BB1582" s="6" t="s">
        <v>104</v>
      </c>
      <c r="BC1582" s="26"/>
      <c r="BD1582" s="26"/>
      <c r="BE1582" s="26"/>
      <c r="BF1582" s="26"/>
      <c r="BG1582" s="26"/>
      <c r="BH1582" s="26"/>
      <c r="BI1582" s="26"/>
      <c r="BJ1582" s="26"/>
      <c r="BK1582" s="26"/>
      <c r="BL1582" s="26"/>
      <c r="BM1582" s="26"/>
      <c r="BN1582" s="26"/>
      <c r="BO1582" s="26"/>
      <c r="BP1582" s="16" t="n">
        <v>45694</v>
      </c>
      <c r="BQ1582" s="28" t="str">
        <f>HYPERLINK("https://organic.ams.usda.gov/Integrity/Certificate.aspx?cid=17&amp;nopid=4087184347")</f>
        <v>https://organic.ams.usda.gov/Integrity/Certificate.aspx?cid=17&amp;nopid=4087184347</v>
      </c>
    </row>
    <row r="1583">
      <c r="A1583" t="s">
        <v>3</v>
      </c>
      <c r="B1583" s="6" t="s">
        <v>35</v>
      </c>
      <c r="C1583" s="6" t="s">
        <v>101</v>
      </c>
      <c r="D1583" s="6" t="s">
        <v>166</v>
      </c>
      <c r="E1583" s="10" t="s">
        <v>1781</v>
      </c>
      <c r="F1583" s="6" t="s">
        <v>4012</v>
      </c>
      <c r="G1583" s="6" t="s">
        <v>104</v>
      </c>
      <c r="H1583" s="6" t="s">
        <v>6322</v>
      </c>
      <c r="I1583" s="6" t="s">
        <v>7832</v>
      </c>
      <c r="J1583" s="6" t="s">
        <v>9285</v>
      </c>
      <c r="K1583" s="6" t="s">
        <v>9714</v>
      </c>
      <c r="L1583" s="16" t="n">
        <v>42415</v>
      </c>
      <c r="M1583" s="16" t="n">
        <v>46081</v>
      </c>
      <c r="N1583" s="6" t="s">
        <v>9714</v>
      </c>
      <c r="O1583" s="16" t="n">
        <v>42258</v>
      </c>
      <c r="P1583" s="6" t="s">
        <v>10146</v>
      </c>
      <c r="Q1583" s="6" t="s">
        <v>104</v>
      </c>
      <c r="R1583" s="6" t="s">
        <v>104</v>
      </c>
      <c r="S1583" s="6" t="s">
        <v>104</v>
      </c>
      <c r="T1583" s="21" t="s">
        <v>104</v>
      </c>
      <c r="U1583" s="6" t="s">
        <v>104</v>
      </c>
      <c r="V1583" s="6" t="s">
        <v>104</v>
      </c>
      <c r="W1583" s="6" t="s">
        <v>104</v>
      </c>
      <c r="X1583" s="6" t="s">
        <v>9714</v>
      </c>
      <c r="Y1583" s="16" t="n">
        <v>42258</v>
      </c>
      <c r="Z1583" s="6" t="s">
        <v>10526</v>
      </c>
      <c r="AA1583" s="6" t="s">
        <v>104</v>
      </c>
      <c r="AB1583" s="6" t="s">
        <v>104</v>
      </c>
      <c r="AC1583" s="6" t="s">
        <v>9714</v>
      </c>
      <c r="AD1583" s="16" t="n">
        <v>42258</v>
      </c>
      <c r="AE1583" s="6" t="s">
        <v>11905</v>
      </c>
      <c r="AF1583" s="6" t="s">
        <v>104</v>
      </c>
      <c r="AG1583" s="6" t="s">
        <v>104</v>
      </c>
      <c r="AH1583" s="6" t="s">
        <v>14605</v>
      </c>
      <c r="AI1583" s="6" t="s">
        <v>104</v>
      </c>
      <c r="AJ1583" s="6" t="s">
        <v>15845</v>
      </c>
      <c r="AK1583" s="6" t="s">
        <v>15845</v>
      </c>
      <c r="AL1583" s="6" t="s">
        <v>16947</v>
      </c>
      <c r="AM1583" s="6" t="s">
        <v>104</v>
      </c>
      <c r="AN1583" s="6" t="s">
        <v>104</v>
      </c>
      <c r="AO1583" s="6" t="s">
        <v>104</v>
      </c>
      <c r="AP1583" s="6" t="s">
        <v>104</v>
      </c>
      <c r="AQ1583" s="6" t="s">
        <v>104</v>
      </c>
      <c r="AR1583" s="6" t="s">
        <v>104</v>
      </c>
      <c r="AS1583" s="6" t="s">
        <v>104</v>
      </c>
      <c r="AT1583" s="6" t="s">
        <v>104</v>
      </c>
      <c r="AU1583" s="6" t="s">
        <v>104</v>
      </c>
      <c r="AV1583" s="6" t="s">
        <v>104</v>
      </c>
      <c r="AW1583" s="6" t="s">
        <v>104</v>
      </c>
      <c r="AX1583" s="6" t="s">
        <v>21347</v>
      </c>
      <c r="AY1583" s="6" t="s">
        <v>23154</v>
      </c>
      <c r="AZ1583" s="6" t="s">
        <v>104</v>
      </c>
      <c r="BA1583" s="6" t="s">
        <v>104</v>
      </c>
      <c r="BB1583" s="24" t="n">
        <v>1040</v>
      </c>
      <c r="BC1583" s="26"/>
      <c r="BD1583" s="26"/>
      <c r="BE1583" s="26" t="s">
        <v>24533</v>
      </c>
      <c r="BF1583" s="26"/>
      <c r="BG1583" s="26"/>
      <c r="BH1583" s="26"/>
      <c r="BI1583" s="26"/>
      <c r="BJ1583" s="26"/>
      <c r="BK1583" s="26"/>
      <c r="BL1583" s="26"/>
      <c r="BM1583" s="26"/>
      <c r="BN1583" s="26" t="s">
        <v>24533</v>
      </c>
      <c r="BO1583" s="26"/>
      <c r="BP1583" s="16" t="n">
        <v>45714</v>
      </c>
      <c r="BQ1583" s="28" t="str">
        <f>HYPERLINK("https://organic.ams.usda.gov/Integrity/Certificate.aspx?cid=84&amp;nopid=5380000150")</f>
        <v>https://organic.ams.usda.gov/Integrity/Certificate.aspx?cid=84&amp;nopid=5380000150</v>
      </c>
    </row>
    <row r="1584">
      <c r="A1584" t="s">
        <v>3</v>
      </c>
      <c r="B1584" s="6" t="s">
        <v>21</v>
      </c>
      <c r="C1584" s="6" t="s">
        <v>87</v>
      </c>
      <c r="D1584" s="6" t="s">
        <v>152</v>
      </c>
      <c r="E1584" s="10" t="s">
        <v>1782</v>
      </c>
      <c r="F1584" s="6" t="s">
        <v>4013</v>
      </c>
      <c r="G1584" s="6" t="s">
        <v>104</v>
      </c>
      <c r="H1584" s="6" t="s">
        <v>6323</v>
      </c>
      <c r="I1584" s="6" t="s">
        <v>7722</v>
      </c>
      <c r="J1584" s="6" t="s">
        <v>9286</v>
      </c>
      <c r="K1584" s="6" t="s">
        <v>9714</v>
      </c>
      <c r="L1584" s="16" t="n">
        <v>41012</v>
      </c>
      <c r="M1584" s="16" t="n">
        <v>46023</v>
      </c>
      <c r="N1584" s="6" t="s">
        <v>9714</v>
      </c>
      <c r="O1584" s="16" t="n">
        <v>41012</v>
      </c>
      <c r="P1584" s="6" t="s">
        <v>10147</v>
      </c>
      <c r="Q1584" s="6" t="s">
        <v>104</v>
      </c>
      <c r="R1584" s="6" t="s">
        <v>104</v>
      </c>
      <c r="S1584" s="6" t="s">
        <v>9721</v>
      </c>
      <c r="T1584" s="16" t="n">
        <v>42577</v>
      </c>
      <c r="U1584" s="6" t="s">
        <v>104</v>
      </c>
      <c r="V1584" s="6" t="s">
        <v>104</v>
      </c>
      <c r="W1584" s="6" t="s">
        <v>104</v>
      </c>
      <c r="X1584" s="6" t="s">
        <v>104</v>
      </c>
      <c r="Y1584" s="21" t="s">
        <v>104</v>
      </c>
      <c r="Z1584" s="6" t="s">
        <v>104</v>
      </c>
      <c r="AA1584" s="6" t="s">
        <v>104</v>
      </c>
      <c r="AB1584" s="6" t="s">
        <v>104</v>
      </c>
      <c r="AC1584" s="6" t="s">
        <v>9714</v>
      </c>
      <c r="AD1584" s="16" t="n">
        <v>41012</v>
      </c>
      <c r="AE1584" s="6" t="s">
        <v>11906</v>
      </c>
      <c r="AF1584" s="6" t="s">
        <v>104</v>
      </c>
      <c r="AG1584" s="6" t="s">
        <v>104</v>
      </c>
      <c r="AH1584" s="6" t="s">
        <v>14606</v>
      </c>
      <c r="AI1584" s="6" t="s">
        <v>104</v>
      </c>
      <c r="AJ1584" s="6" t="s">
        <v>16352</v>
      </c>
      <c r="AK1584" s="6" t="s">
        <v>16687</v>
      </c>
      <c r="AL1584" s="6" t="s">
        <v>16931</v>
      </c>
      <c r="AM1584" s="6" t="s">
        <v>18047</v>
      </c>
      <c r="AN1584" s="6" t="s">
        <v>18507</v>
      </c>
      <c r="AO1584" s="6" t="s">
        <v>18733</v>
      </c>
      <c r="AP1584" s="6" t="s">
        <v>19378</v>
      </c>
      <c r="AQ1584" s="6" t="s">
        <v>104</v>
      </c>
      <c r="AR1584" s="6" t="s">
        <v>16352</v>
      </c>
      <c r="AS1584" s="6" t="s">
        <v>16687</v>
      </c>
      <c r="AT1584" s="6" t="s">
        <v>16931</v>
      </c>
      <c r="AU1584" s="6" t="s">
        <v>18047</v>
      </c>
      <c r="AV1584" s="6" t="s">
        <v>104</v>
      </c>
      <c r="AW1584" s="6" t="s">
        <v>104</v>
      </c>
      <c r="AX1584" s="6" t="s">
        <v>21348</v>
      </c>
      <c r="AY1584" s="6" t="s">
        <v>23155</v>
      </c>
      <c r="AZ1584" s="6" t="s">
        <v>24092</v>
      </c>
      <c r="BA1584" s="6" t="s">
        <v>24460</v>
      </c>
      <c r="BB1584" s="24" t="n">
        <v>287</v>
      </c>
      <c r="BC1584" s="26"/>
      <c r="BD1584" s="26"/>
      <c r="BE1584" s="26"/>
      <c r="BF1584" s="26"/>
      <c r="BG1584" s="26"/>
      <c r="BH1584" s="26"/>
      <c r="BI1584" s="26"/>
      <c r="BJ1584" s="26"/>
      <c r="BK1584" s="26"/>
      <c r="BL1584" s="26"/>
      <c r="BM1584" s="26"/>
      <c r="BN1584" s="26"/>
      <c r="BO1584" s="26"/>
      <c r="BP1584" s="16" t="n">
        <v>45667</v>
      </c>
      <c r="BQ1584" s="28" t="str">
        <f>HYPERLINK("https://organic.ams.usda.gov/Integrity/Certificate.aspx?cid=15&amp;nopid=5561000595")</f>
        <v>https://organic.ams.usda.gov/Integrity/Certificate.aspx?cid=15&amp;nopid=5561000595</v>
      </c>
    </row>
    <row r="1585">
      <c r="A1585" t="s">
        <v>3</v>
      </c>
      <c r="B1585" s="6" t="s">
        <v>45</v>
      </c>
      <c r="C1585" s="6" t="s">
        <v>111</v>
      </c>
      <c r="D1585" s="6" t="s">
        <v>175</v>
      </c>
      <c r="E1585" s="10" t="s">
        <v>1783</v>
      </c>
      <c r="F1585" s="6" t="s">
        <v>4014</v>
      </c>
      <c r="G1585" s="6" t="s">
        <v>104</v>
      </c>
      <c r="H1585" s="6" t="s">
        <v>6324</v>
      </c>
      <c r="I1585" s="6" t="s">
        <v>6948</v>
      </c>
      <c r="J1585" s="6" t="s">
        <v>8958</v>
      </c>
      <c r="K1585" s="6" t="s">
        <v>9714</v>
      </c>
      <c r="L1585" s="16" t="n">
        <v>40273</v>
      </c>
      <c r="M1585" s="16" t="n">
        <v>46082</v>
      </c>
      <c r="N1585" s="6" t="s">
        <v>104</v>
      </c>
      <c r="O1585" s="21" t="s">
        <v>104</v>
      </c>
      <c r="P1585" s="6" t="s">
        <v>104</v>
      </c>
      <c r="Q1585" s="6" t="s">
        <v>104</v>
      </c>
      <c r="R1585" s="6" t="s">
        <v>104</v>
      </c>
      <c r="S1585" s="6" t="s">
        <v>104</v>
      </c>
      <c r="T1585" s="21" t="s">
        <v>104</v>
      </c>
      <c r="U1585" s="6" t="s">
        <v>104</v>
      </c>
      <c r="V1585" s="6" t="s">
        <v>104</v>
      </c>
      <c r="W1585" s="6" t="s">
        <v>104</v>
      </c>
      <c r="X1585" s="6" t="s">
        <v>104</v>
      </c>
      <c r="Y1585" s="21" t="s">
        <v>104</v>
      </c>
      <c r="Z1585" s="6" t="s">
        <v>104</v>
      </c>
      <c r="AA1585" s="6" t="s">
        <v>104</v>
      </c>
      <c r="AB1585" s="6" t="s">
        <v>104</v>
      </c>
      <c r="AC1585" s="6" t="s">
        <v>9714</v>
      </c>
      <c r="AD1585" s="16" t="n">
        <v>40273</v>
      </c>
      <c r="AE1585" s="6" t="s">
        <v>11907</v>
      </c>
      <c r="AF1585" s="6" t="s">
        <v>104</v>
      </c>
      <c r="AG1585" s="6" t="s">
        <v>4667</v>
      </c>
      <c r="AH1585" s="6" t="s">
        <v>14607</v>
      </c>
      <c r="AI1585" s="6" t="s">
        <v>104</v>
      </c>
      <c r="AJ1585" s="6" t="s">
        <v>16353</v>
      </c>
      <c r="AK1585" s="6" t="s">
        <v>16382</v>
      </c>
      <c r="AL1585" s="6" t="s">
        <v>16931</v>
      </c>
      <c r="AM1585" s="6" t="s">
        <v>18048</v>
      </c>
      <c r="AN1585" s="6" t="s">
        <v>104</v>
      </c>
      <c r="AO1585" s="6" t="s">
        <v>104</v>
      </c>
      <c r="AP1585" s="6" t="s">
        <v>19379</v>
      </c>
      <c r="AQ1585" s="6" t="s">
        <v>104</v>
      </c>
      <c r="AR1585" s="6" t="s">
        <v>16353</v>
      </c>
      <c r="AS1585" s="6" t="s">
        <v>16382</v>
      </c>
      <c r="AT1585" s="6" t="s">
        <v>16931</v>
      </c>
      <c r="AU1585" s="6" t="s">
        <v>18048</v>
      </c>
      <c r="AV1585" s="6" t="s">
        <v>18464</v>
      </c>
      <c r="AW1585" s="6" t="s">
        <v>20079</v>
      </c>
      <c r="AX1585" s="6" t="s">
        <v>21349</v>
      </c>
      <c r="AY1585" s="6" t="s">
        <v>23156</v>
      </c>
      <c r="AZ1585" s="6" t="s">
        <v>104</v>
      </c>
      <c r="BA1585" s="6" t="s">
        <v>104</v>
      </c>
      <c r="BB1585" s="6" t="s">
        <v>104</v>
      </c>
      <c r="BC1585" s="26"/>
      <c r="BD1585" s="26"/>
      <c r="BE1585" s="26" t="s">
        <v>24533</v>
      </c>
      <c r="BF1585" s="26"/>
      <c r="BG1585" s="26"/>
      <c r="BH1585" s="26"/>
      <c r="BI1585" s="26"/>
      <c r="BJ1585" s="26"/>
      <c r="BK1585" s="26"/>
      <c r="BL1585" s="26"/>
      <c r="BM1585" s="26"/>
      <c r="BN1585" s="26"/>
      <c r="BO1585" s="26"/>
      <c r="BP1585" s="16" t="n">
        <v>45739</v>
      </c>
      <c r="BQ1585" s="28" t="str">
        <f>HYPERLINK("https://organic.ams.usda.gov/Integrity/Certificate.aspx?cid=82&amp;nopid=2780002407")</f>
        <v>https://organic.ams.usda.gov/Integrity/Certificate.aspx?cid=82&amp;nopid=2780002407</v>
      </c>
    </row>
    <row r="1586">
      <c r="A1586" t="s">
        <v>3</v>
      </c>
      <c r="B1586" s="6" t="s">
        <v>12</v>
      </c>
      <c r="C1586" s="6" t="s">
        <v>78</v>
      </c>
      <c r="D1586" s="6" t="s">
        <v>143</v>
      </c>
      <c r="E1586" s="10" t="s">
        <v>1784</v>
      </c>
      <c r="F1586" s="6" t="s">
        <v>4015</v>
      </c>
      <c r="G1586" s="6" t="s">
        <v>104</v>
      </c>
      <c r="H1586" s="6" t="s">
        <v>104</v>
      </c>
      <c r="I1586" s="6" t="s">
        <v>7833</v>
      </c>
      <c r="J1586" s="6" t="s">
        <v>9287</v>
      </c>
      <c r="K1586" s="6" t="s">
        <v>9714</v>
      </c>
      <c r="L1586" s="16" t="n">
        <v>45602</v>
      </c>
      <c r="M1586" s="16" t="n">
        <v>45822</v>
      </c>
      <c r="N1586" s="6" t="s">
        <v>104</v>
      </c>
      <c r="O1586" s="21" t="s">
        <v>104</v>
      </c>
      <c r="P1586" s="6" t="s">
        <v>104</v>
      </c>
      <c r="Q1586" s="6" t="s">
        <v>104</v>
      </c>
      <c r="R1586" s="6" t="s">
        <v>104</v>
      </c>
      <c r="S1586" s="6" t="s">
        <v>104</v>
      </c>
      <c r="T1586" s="21" t="s">
        <v>104</v>
      </c>
      <c r="U1586" s="6" t="s">
        <v>104</v>
      </c>
      <c r="V1586" s="6" t="s">
        <v>104</v>
      </c>
      <c r="W1586" s="6" t="s">
        <v>104</v>
      </c>
      <c r="X1586" s="6" t="s">
        <v>104</v>
      </c>
      <c r="Y1586" s="21" t="s">
        <v>104</v>
      </c>
      <c r="Z1586" s="6" t="s">
        <v>104</v>
      </c>
      <c r="AA1586" s="6" t="s">
        <v>104</v>
      </c>
      <c r="AB1586" s="6" t="s">
        <v>104</v>
      </c>
      <c r="AC1586" s="6" t="s">
        <v>9714</v>
      </c>
      <c r="AD1586" s="16" t="n">
        <v>45602</v>
      </c>
      <c r="AE1586" s="6" t="s">
        <v>11908</v>
      </c>
      <c r="AF1586" s="6" t="s">
        <v>104</v>
      </c>
      <c r="AG1586" s="6" t="s">
        <v>12981</v>
      </c>
      <c r="AH1586" s="6" t="s">
        <v>14608</v>
      </c>
      <c r="AI1586" s="6" t="s">
        <v>104</v>
      </c>
      <c r="AJ1586" s="6" t="s">
        <v>15901</v>
      </c>
      <c r="AK1586" s="6" t="s">
        <v>16730</v>
      </c>
      <c r="AL1586" s="6" t="s">
        <v>16931</v>
      </c>
      <c r="AM1586" s="6" t="s">
        <v>18049</v>
      </c>
      <c r="AN1586" s="6" t="s">
        <v>104</v>
      </c>
      <c r="AO1586" s="6" t="s">
        <v>104</v>
      </c>
      <c r="AP1586" s="6" t="s">
        <v>14608</v>
      </c>
      <c r="AQ1586" s="6" t="s">
        <v>104</v>
      </c>
      <c r="AR1586" s="6" t="s">
        <v>15901</v>
      </c>
      <c r="AS1586" s="6" t="s">
        <v>16730</v>
      </c>
      <c r="AT1586" s="6" t="s">
        <v>16931</v>
      </c>
      <c r="AU1586" s="6" t="s">
        <v>18049</v>
      </c>
      <c r="AV1586" s="6" t="s">
        <v>104</v>
      </c>
      <c r="AW1586" s="6" t="s">
        <v>104</v>
      </c>
      <c r="AX1586" s="6" t="s">
        <v>104</v>
      </c>
      <c r="AY1586" s="6" t="s">
        <v>23157</v>
      </c>
      <c r="AZ1586" s="6" t="s">
        <v>104</v>
      </c>
      <c r="BA1586" s="6" t="s">
        <v>104</v>
      </c>
      <c r="BB1586" s="6" t="s">
        <v>104</v>
      </c>
      <c r="BC1586" s="26"/>
      <c r="BD1586" s="26"/>
      <c r="BE1586" s="26"/>
      <c r="BF1586" s="26"/>
      <c r="BG1586" s="26"/>
      <c r="BH1586" s="26"/>
      <c r="BI1586" s="26"/>
      <c r="BJ1586" s="26"/>
      <c r="BK1586" s="26"/>
      <c r="BL1586" s="26"/>
      <c r="BM1586" s="26"/>
      <c r="BN1586" s="26"/>
      <c r="BO1586" s="26"/>
      <c r="BP1586" s="16" t="n">
        <v>45616</v>
      </c>
      <c r="BQ1586" s="28" t="str">
        <f>HYPERLINK("https://organic.ams.usda.gov/Integrity/Certificate.aspx?cid=1&amp;nopid=9092422802")</f>
        <v>https://organic.ams.usda.gov/Integrity/Certificate.aspx?cid=1&amp;nopid=9092422802</v>
      </c>
    </row>
    <row r="1587">
      <c r="A1587" t="s">
        <v>3</v>
      </c>
      <c r="B1587" s="6" t="s">
        <v>11</v>
      </c>
      <c r="C1587" s="6" t="s">
        <v>77</v>
      </c>
      <c r="D1587" s="6" t="s">
        <v>142</v>
      </c>
      <c r="E1587" s="10" t="s">
        <v>1785</v>
      </c>
      <c r="F1587" s="6" t="s">
        <v>4016</v>
      </c>
      <c r="G1587" s="6" t="s">
        <v>104</v>
      </c>
      <c r="H1587" s="6" t="s">
        <v>104</v>
      </c>
      <c r="I1587" s="6" t="s">
        <v>6992</v>
      </c>
      <c r="J1587" s="6" t="s">
        <v>8207</v>
      </c>
      <c r="K1587" s="6" t="s">
        <v>9714</v>
      </c>
      <c r="L1587" s="16" t="n">
        <v>42986</v>
      </c>
      <c r="M1587" s="16" t="n">
        <v>45719</v>
      </c>
      <c r="N1587" s="6" t="s">
        <v>9714</v>
      </c>
      <c r="O1587" s="16" t="n">
        <v>42986</v>
      </c>
      <c r="P1587" s="6" t="s">
        <v>10148</v>
      </c>
      <c r="Q1587" s="6" t="s">
        <v>104</v>
      </c>
      <c r="R1587" s="6" t="s">
        <v>104</v>
      </c>
      <c r="S1587" s="6" t="s">
        <v>104</v>
      </c>
      <c r="T1587" s="21" t="s">
        <v>104</v>
      </c>
      <c r="U1587" s="6" t="s">
        <v>104</v>
      </c>
      <c r="V1587" s="6" t="s">
        <v>104</v>
      </c>
      <c r="W1587" s="6" t="s">
        <v>104</v>
      </c>
      <c r="X1587" s="6" t="s">
        <v>104</v>
      </c>
      <c r="Y1587" s="21" t="s">
        <v>104</v>
      </c>
      <c r="Z1587" s="6" t="s">
        <v>104</v>
      </c>
      <c r="AA1587" s="6" t="s">
        <v>104</v>
      </c>
      <c r="AB1587" s="6" t="s">
        <v>104</v>
      </c>
      <c r="AC1587" s="6" t="s">
        <v>9714</v>
      </c>
      <c r="AD1587" s="16" t="n">
        <v>42986</v>
      </c>
      <c r="AE1587" s="6" t="s">
        <v>11909</v>
      </c>
      <c r="AF1587" s="6" t="s">
        <v>104</v>
      </c>
      <c r="AG1587" s="6" t="s">
        <v>104</v>
      </c>
      <c r="AH1587" s="6" t="s">
        <v>14609</v>
      </c>
      <c r="AI1587" s="6" t="s">
        <v>104</v>
      </c>
      <c r="AJ1587" s="6" t="s">
        <v>104</v>
      </c>
      <c r="AK1587" s="6" t="s">
        <v>104</v>
      </c>
      <c r="AL1587" s="6" t="s">
        <v>16940</v>
      </c>
      <c r="AM1587" s="6" t="s">
        <v>104</v>
      </c>
      <c r="AN1587" s="6" t="s">
        <v>104</v>
      </c>
      <c r="AO1587" s="6" t="s">
        <v>104</v>
      </c>
      <c r="AP1587" s="6" t="s">
        <v>104</v>
      </c>
      <c r="AQ1587" s="6" t="s">
        <v>104</v>
      </c>
      <c r="AR1587" s="6" t="s">
        <v>104</v>
      </c>
      <c r="AS1587" s="6" t="s">
        <v>104</v>
      </c>
      <c r="AT1587" s="6" t="s">
        <v>104</v>
      </c>
      <c r="AU1587" s="6" t="s">
        <v>104</v>
      </c>
      <c r="AV1587" s="6" t="s">
        <v>104</v>
      </c>
      <c r="AW1587" s="6" t="s">
        <v>104</v>
      </c>
      <c r="AX1587" s="6" t="s">
        <v>21350</v>
      </c>
      <c r="AY1587" s="6" t="s">
        <v>21933</v>
      </c>
      <c r="AZ1587" s="6" t="s">
        <v>104</v>
      </c>
      <c r="BA1587" s="6" t="s">
        <v>104</v>
      </c>
      <c r="BB1587" s="24" t="n">
        <v>8591</v>
      </c>
      <c r="BC1587" s="26"/>
      <c r="BD1587" s="26"/>
      <c r="BE1587" s="26"/>
      <c r="BF1587" s="26"/>
      <c r="BG1587" s="26"/>
      <c r="BH1587" s="26"/>
      <c r="BI1587" s="26"/>
      <c r="BJ1587" s="26"/>
      <c r="BK1587" s="26"/>
      <c r="BL1587" s="26"/>
      <c r="BM1587" s="26"/>
      <c r="BN1587" s="26"/>
      <c r="BO1587" s="26"/>
      <c r="BP1587" s="16" t="n">
        <v>45472</v>
      </c>
      <c r="BQ1587" s="28" t="str">
        <f>HYPERLINK("https://organic.ams.usda.gov/Integrity/Certificate.aspx?cid=21&amp;nopid=1780851705")</f>
        <v>https://organic.ams.usda.gov/Integrity/Certificate.aspx?cid=21&amp;nopid=1780851705</v>
      </c>
    </row>
    <row r="1588">
      <c r="A1588" t="s">
        <v>3</v>
      </c>
      <c r="B1588" s="6" t="s">
        <v>29</v>
      </c>
      <c r="C1588" s="6" t="s">
        <v>95</v>
      </c>
      <c r="D1588" s="6" t="s">
        <v>160</v>
      </c>
      <c r="E1588" s="10" t="s">
        <v>1786</v>
      </c>
      <c r="F1588" s="6" t="s">
        <v>4017</v>
      </c>
      <c r="G1588" s="6" t="s">
        <v>104</v>
      </c>
      <c r="H1588" s="6" t="s">
        <v>6325</v>
      </c>
      <c r="I1588" s="6" t="s">
        <v>104</v>
      </c>
      <c r="J1588" s="6" t="s">
        <v>104</v>
      </c>
      <c r="K1588" s="6" t="s">
        <v>9714</v>
      </c>
      <c r="L1588" s="16" t="n">
        <v>45607</v>
      </c>
      <c r="M1588" s="16" t="n">
        <v>45778</v>
      </c>
      <c r="N1588" s="6" t="s">
        <v>9714</v>
      </c>
      <c r="O1588" s="16" t="n">
        <v>45607</v>
      </c>
      <c r="P1588" s="6" t="s">
        <v>10034</v>
      </c>
      <c r="Q1588" s="6" t="s">
        <v>104</v>
      </c>
      <c r="R1588" s="6" t="s">
        <v>104</v>
      </c>
      <c r="S1588" s="6" t="s">
        <v>104</v>
      </c>
      <c r="T1588" s="21" t="s">
        <v>104</v>
      </c>
      <c r="U1588" s="6" t="s">
        <v>104</v>
      </c>
      <c r="V1588" s="6" t="s">
        <v>104</v>
      </c>
      <c r="W1588" s="6" t="s">
        <v>104</v>
      </c>
      <c r="X1588" s="6" t="s">
        <v>104</v>
      </c>
      <c r="Y1588" s="21" t="s">
        <v>104</v>
      </c>
      <c r="Z1588" s="6" t="s">
        <v>104</v>
      </c>
      <c r="AA1588" s="6" t="s">
        <v>104</v>
      </c>
      <c r="AB1588" s="6" t="s">
        <v>104</v>
      </c>
      <c r="AC1588" s="6" t="s">
        <v>104</v>
      </c>
      <c r="AD1588" s="21" t="s">
        <v>104</v>
      </c>
      <c r="AE1588" s="6" t="s">
        <v>104</v>
      </c>
      <c r="AF1588" s="6" t="s">
        <v>104</v>
      </c>
      <c r="AG1588" s="6" t="s">
        <v>104</v>
      </c>
      <c r="AH1588" s="6" t="s">
        <v>14610</v>
      </c>
      <c r="AI1588" s="6" t="s">
        <v>104</v>
      </c>
      <c r="AJ1588" s="6" t="s">
        <v>104</v>
      </c>
      <c r="AK1588" s="6" t="s">
        <v>16270</v>
      </c>
      <c r="AL1588" s="6" t="s">
        <v>16932</v>
      </c>
      <c r="AM1588" s="6" t="s">
        <v>18050</v>
      </c>
      <c r="AN1588" s="6" t="s">
        <v>104</v>
      </c>
      <c r="AO1588" s="6" t="s">
        <v>104</v>
      </c>
      <c r="AP1588" s="6" t="s">
        <v>104</v>
      </c>
      <c r="AQ1588" s="6" t="s">
        <v>104</v>
      </c>
      <c r="AR1588" s="6" t="s">
        <v>104</v>
      </c>
      <c r="AS1588" s="6" t="s">
        <v>104</v>
      </c>
      <c r="AT1588" s="6" t="s">
        <v>104</v>
      </c>
      <c r="AU1588" s="6" t="s">
        <v>104</v>
      </c>
      <c r="AV1588" s="6" t="s">
        <v>104</v>
      </c>
      <c r="AW1588" s="6" t="s">
        <v>104</v>
      </c>
      <c r="AX1588" s="6" t="s">
        <v>20986</v>
      </c>
      <c r="AY1588" s="6" t="s">
        <v>22773</v>
      </c>
      <c r="AZ1588" s="6" t="s">
        <v>104</v>
      </c>
      <c r="BA1588" s="6" t="s">
        <v>104</v>
      </c>
      <c r="BB1588" s="24" t="n">
        <v>4454</v>
      </c>
      <c r="BC1588" s="26"/>
      <c r="BD1588" s="26"/>
      <c r="BE1588" s="26"/>
      <c r="BF1588" s="26"/>
      <c r="BG1588" s="26"/>
      <c r="BH1588" s="26"/>
      <c r="BI1588" s="26"/>
      <c r="BJ1588" s="26"/>
      <c r="BK1588" s="26"/>
      <c r="BL1588" s="26"/>
      <c r="BM1588" s="26"/>
      <c r="BN1588" s="26"/>
      <c r="BO1588" s="26"/>
      <c r="BP1588" s="16" t="n">
        <v>45607</v>
      </c>
      <c r="BQ1588" s="28" t="str">
        <f>HYPERLINK("https://organic.ams.usda.gov/Integrity/Certificate.aspx?cid=24&amp;nopid=7880297792")</f>
        <v>https://organic.ams.usda.gov/Integrity/Certificate.aspx?cid=24&amp;nopid=7880297792</v>
      </c>
    </row>
    <row r="1589">
      <c r="A1589" t="s">
        <v>3</v>
      </c>
      <c r="B1589" s="6" t="s">
        <v>6</v>
      </c>
      <c r="C1589" s="6" t="s">
        <v>72</v>
      </c>
      <c r="D1589" s="6" t="s">
        <v>137</v>
      </c>
      <c r="E1589" s="10" t="s">
        <v>1787</v>
      </c>
      <c r="F1589" s="6" t="s">
        <v>4018</v>
      </c>
      <c r="G1589" s="6" t="s">
        <v>104</v>
      </c>
      <c r="H1589" s="6" t="s">
        <v>6326</v>
      </c>
      <c r="I1589" s="6" t="s">
        <v>7834</v>
      </c>
      <c r="J1589" s="6" t="s">
        <v>9288</v>
      </c>
      <c r="K1589" s="6" t="s">
        <v>9714</v>
      </c>
      <c r="L1589" s="16" t="n">
        <v>43174</v>
      </c>
      <c r="M1589" s="16" t="n">
        <v>45931</v>
      </c>
      <c r="N1589" s="6" t="s">
        <v>104</v>
      </c>
      <c r="O1589" s="21" t="s">
        <v>104</v>
      </c>
      <c r="P1589" s="6" t="s">
        <v>104</v>
      </c>
      <c r="Q1589" s="6" t="s">
        <v>104</v>
      </c>
      <c r="R1589" s="6" t="s">
        <v>104</v>
      </c>
      <c r="S1589" s="6" t="s">
        <v>104</v>
      </c>
      <c r="T1589" s="21" t="s">
        <v>104</v>
      </c>
      <c r="U1589" s="6" t="s">
        <v>104</v>
      </c>
      <c r="V1589" s="6" t="s">
        <v>104</v>
      </c>
      <c r="W1589" s="6" t="s">
        <v>104</v>
      </c>
      <c r="X1589" s="6" t="s">
        <v>104</v>
      </c>
      <c r="Y1589" s="21" t="s">
        <v>104</v>
      </c>
      <c r="Z1589" s="6" t="s">
        <v>104</v>
      </c>
      <c r="AA1589" s="6" t="s">
        <v>104</v>
      </c>
      <c r="AB1589" s="6" t="s">
        <v>104</v>
      </c>
      <c r="AC1589" s="6" t="s">
        <v>9714</v>
      </c>
      <c r="AD1589" s="16" t="n">
        <v>43174</v>
      </c>
      <c r="AE1589" s="6" t="s">
        <v>11910</v>
      </c>
      <c r="AF1589" s="6" t="s">
        <v>104</v>
      </c>
      <c r="AG1589" s="6" t="s">
        <v>12982</v>
      </c>
      <c r="AH1589" s="6" t="s">
        <v>14611</v>
      </c>
      <c r="AI1589" s="6" t="s">
        <v>104</v>
      </c>
      <c r="AJ1589" s="6" t="s">
        <v>16354</v>
      </c>
      <c r="AK1589" s="6" t="s">
        <v>16756</v>
      </c>
      <c r="AL1589" s="6" t="s">
        <v>16930</v>
      </c>
      <c r="AM1589" s="6" t="s">
        <v>18051</v>
      </c>
      <c r="AN1589" s="6" t="s">
        <v>104</v>
      </c>
      <c r="AO1589" s="6" t="s">
        <v>104</v>
      </c>
      <c r="AP1589" s="6" t="s">
        <v>104</v>
      </c>
      <c r="AQ1589" s="6" t="s">
        <v>104</v>
      </c>
      <c r="AR1589" s="6" t="s">
        <v>104</v>
      </c>
      <c r="AS1589" s="6" t="s">
        <v>104</v>
      </c>
      <c r="AT1589" s="6" t="s">
        <v>104</v>
      </c>
      <c r="AU1589" s="6" t="s">
        <v>104</v>
      </c>
      <c r="AV1589" s="6" t="s">
        <v>104</v>
      </c>
      <c r="AW1589" s="6" t="s">
        <v>104</v>
      </c>
      <c r="AX1589" s="6" t="s">
        <v>21351</v>
      </c>
      <c r="AY1589" s="6" t="s">
        <v>23158</v>
      </c>
      <c r="AZ1589" s="6" t="s">
        <v>104</v>
      </c>
      <c r="BA1589" s="6" t="s">
        <v>104</v>
      </c>
      <c r="BB1589" s="6" t="s">
        <v>104</v>
      </c>
      <c r="BC1589" s="26"/>
      <c r="BD1589" s="26"/>
      <c r="BE1589" s="26"/>
      <c r="BF1589" s="26"/>
      <c r="BG1589" s="26"/>
      <c r="BH1589" s="26"/>
      <c r="BI1589" s="26"/>
      <c r="BJ1589" s="26"/>
      <c r="BK1589" s="26"/>
      <c r="BL1589" s="26"/>
      <c r="BM1589" s="26"/>
      <c r="BN1589" s="26"/>
      <c r="BO1589" s="26"/>
      <c r="BP1589" s="16" t="n">
        <v>45737</v>
      </c>
      <c r="BQ1589" s="28" t="str">
        <f>HYPERLINK("https://organic.ams.usda.gov/Integrity/Certificate.aspx?cid=32&amp;nopid=2230003850")</f>
        <v>https://organic.ams.usda.gov/Integrity/Certificate.aspx?cid=32&amp;nopid=2230003850</v>
      </c>
    </row>
    <row r="1590">
      <c r="A1590" t="s">
        <v>3</v>
      </c>
      <c r="B1590" s="6" t="s">
        <v>23</v>
      </c>
      <c r="C1590" s="6" t="s">
        <v>89</v>
      </c>
      <c r="D1590" s="6" t="s">
        <v>154</v>
      </c>
      <c r="E1590" s="10" t="s">
        <v>1788</v>
      </c>
      <c r="F1590" s="6" t="s">
        <v>4019</v>
      </c>
      <c r="G1590" s="6" t="s">
        <v>4824</v>
      </c>
      <c r="H1590" s="6" t="s">
        <v>6327</v>
      </c>
      <c r="I1590" s="6" t="s">
        <v>7329</v>
      </c>
      <c r="J1590" s="6" t="s">
        <v>9289</v>
      </c>
      <c r="K1590" s="6" t="s">
        <v>9714</v>
      </c>
      <c r="L1590" s="16" t="n">
        <v>36374</v>
      </c>
      <c r="M1590" s="16" t="n">
        <v>45748</v>
      </c>
      <c r="N1590" s="6" t="s">
        <v>9714</v>
      </c>
      <c r="O1590" s="16" t="n">
        <v>36374</v>
      </c>
      <c r="P1590" s="6" t="s">
        <v>10149</v>
      </c>
      <c r="Q1590" s="6" t="s">
        <v>104</v>
      </c>
      <c r="R1590" s="6" t="s">
        <v>6327</v>
      </c>
      <c r="S1590" s="6" t="s">
        <v>9714</v>
      </c>
      <c r="T1590" s="16" t="n">
        <v>36374</v>
      </c>
      <c r="U1590" s="6" t="s">
        <v>10498</v>
      </c>
      <c r="V1590" s="6" t="s">
        <v>104</v>
      </c>
      <c r="W1590" s="6" t="s">
        <v>6327</v>
      </c>
      <c r="X1590" s="6" t="s">
        <v>104</v>
      </c>
      <c r="Y1590" s="21" t="s">
        <v>104</v>
      </c>
      <c r="Z1590" s="6" t="s">
        <v>104</v>
      </c>
      <c r="AA1590" s="6" t="s">
        <v>104</v>
      </c>
      <c r="AB1590" s="6" t="s">
        <v>104</v>
      </c>
      <c r="AC1590" s="6" t="s">
        <v>104</v>
      </c>
      <c r="AD1590" s="21" t="s">
        <v>104</v>
      </c>
      <c r="AE1590" s="6" t="s">
        <v>104</v>
      </c>
      <c r="AF1590" s="6" t="s">
        <v>104</v>
      </c>
      <c r="AG1590" s="6" t="s">
        <v>104</v>
      </c>
      <c r="AH1590" s="6" t="s">
        <v>14612</v>
      </c>
      <c r="AI1590" s="6" t="s">
        <v>104</v>
      </c>
      <c r="AJ1590" s="6" t="s">
        <v>16355</v>
      </c>
      <c r="AK1590" s="6" t="s">
        <v>16714</v>
      </c>
      <c r="AL1590" s="6" t="s">
        <v>16931</v>
      </c>
      <c r="AM1590" s="6" t="s">
        <v>18052</v>
      </c>
      <c r="AN1590" s="6" t="s">
        <v>18506</v>
      </c>
      <c r="AO1590" s="6" t="s">
        <v>18864</v>
      </c>
      <c r="AP1590" s="6" t="s">
        <v>19380</v>
      </c>
      <c r="AQ1590" s="6" t="s">
        <v>104</v>
      </c>
      <c r="AR1590" s="6" t="s">
        <v>16355</v>
      </c>
      <c r="AS1590" s="6" t="s">
        <v>16714</v>
      </c>
      <c r="AT1590" s="6" t="s">
        <v>16931</v>
      </c>
      <c r="AU1590" s="6" t="s">
        <v>18052</v>
      </c>
      <c r="AV1590" s="6" t="s">
        <v>104</v>
      </c>
      <c r="AW1590" s="6" t="s">
        <v>104</v>
      </c>
      <c r="AX1590" s="6" t="s">
        <v>21352</v>
      </c>
      <c r="AY1590" s="6" t="s">
        <v>23159</v>
      </c>
      <c r="AZ1590" s="6" t="s">
        <v>24093</v>
      </c>
      <c r="BA1590" s="6" t="s">
        <v>24261</v>
      </c>
      <c r="BB1590" s="24" t="n">
        <v>93</v>
      </c>
      <c r="BC1590" s="26"/>
      <c r="BD1590" s="26"/>
      <c r="BE1590" s="26"/>
      <c r="BF1590" s="26"/>
      <c r="BG1590" s="26"/>
      <c r="BH1590" s="26"/>
      <c r="BI1590" s="26"/>
      <c r="BJ1590" s="26"/>
      <c r="BK1590" s="26"/>
      <c r="BL1590" s="26"/>
      <c r="BM1590" s="26"/>
      <c r="BN1590" s="26"/>
      <c r="BO1590" s="26"/>
      <c r="BP1590" s="16" t="n">
        <v>45580</v>
      </c>
      <c r="BQ1590" s="28" t="str">
        <f>HYPERLINK("https://organic.ams.usda.gov/Integrity/Certificate.aspx?cid=45&amp;nopid=9950000232")</f>
        <v>https://organic.ams.usda.gov/Integrity/Certificate.aspx?cid=45&amp;nopid=9950000232</v>
      </c>
    </row>
    <row r="1591">
      <c r="A1591" t="s">
        <v>3</v>
      </c>
      <c r="B1591" s="6" t="s">
        <v>20</v>
      </c>
      <c r="C1591" s="6" t="s">
        <v>86</v>
      </c>
      <c r="D1591" s="6" t="s">
        <v>151</v>
      </c>
      <c r="E1591" s="10" t="s">
        <v>1789</v>
      </c>
      <c r="F1591" s="6" t="s">
        <v>4020</v>
      </c>
      <c r="G1591" s="6" t="s">
        <v>104</v>
      </c>
      <c r="H1591" s="6" t="s">
        <v>6328</v>
      </c>
      <c r="I1591" s="6" t="s">
        <v>7007</v>
      </c>
      <c r="J1591" s="6" t="s">
        <v>8222</v>
      </c>
      <c r="K1591" s="6" t="s">
        <v>9714</v>
      </c>
      <c r="L1591" s="16" t="n">
        <v>44713</v>
      </c>
      <c r="M1591" s="16" t="n">
        <v>45747</v>
      </c>
      <c r="N1591" s="6" t="s">
        <v>9714</v>
      </c>
      <c r="O1591" s="16" t="n">
        <v>44713</v>
      </c>
      <c r="P1591" s="6" t="s">
        <v>10150</v>
      </c>
      <c r="Q1591" s="6" t="s">
        <v>104</v>
      </c>
      <c r="R1591" s="6" t="s">
        <v>10415</v>
      </c>
      <c r="S1591" s="6" t="s">
        <v>104</v>
      </c>
      <c r="T1591" s="21" t="s">
        <v>104</v>
      </c>
      <c r="U1591" s="6" t="s">
        <v>104</v>
      </c>
      <c r="V1591" s="6" t="s">
        <v>104</v>
      </c>
      <c r="W1591" s="6" t="s">
        <v>104</v>
      </c>
      <c r="X1591" s="6" t="s">
        <v>104</v>
      </c>
      <c r="Y1591" s="21" t="s">
        <v>104</v>
      </c>
      <c r="Z1591" s="6" t="s">
        <v>104</v>
      </c>
      <c r="AA1591" s="6" t="s">
        <v>104</v>
      </c>
      <c r="AB1591" s="6" t="s">
        <v>104</v>
      </c>
      <c r="AC1591" s="6" t="s">
        <v>9714</v>
      </c>
      <c r="AD1591" s="16" t="n">
        <v>44713</v>
      </c>
      <c r="AE1591" s="6" t="s">
        <v>11911</v>
      </c>
      <c r="AF1591" s="6" t="s">
        <v>104</v>
      </c>
      <c r="AG1591" s="6" t="s">
        <v>10415</v>
      </c>
      <c r="AH1591" s="6" t="s">
        <v>14613</v>
      </c>
      <c r="AI1591" s="6" t="s">
        <v>104</v>
      </c>
      <c r="AJ1591" s="6" t="s">
        <v>16356</v>
      </c>
      <c r="AK1591" s="6" t="s">
        <v>104</v>
      </c>
      <c r="AL1591" s="6" t="s">
        <v>15513</v>
      </c>
      <c r="AM1591" s="6" t="s">
        <v>17070</v>
      </c>
      <c r="AN1591" s="6" t="s">
        <v>104</v>
      </c>
      <c r="AO1591" s="6" t="s">
        <v>104</v>
      </c>
      <c r="AP1591" s="6" t="s">
        <v>104</v>
      </c>
      <c r="AQ1591" s="6" t="s">
        <v>104</v>
      </c>
      <c r="AR1591" s="6" t="s">
        <v>104</v>
      </c>
      <c r="AS1591" s="6" t="s">
        <v>104</v>
      </c>
      <c r="AT1591" s="6" t="s">
        <v>104</v>
      </c>
      <c r="AU1591" s="6" t="s">
        <v>104</v>
      </c>
      <c r="AV1591" s="6" t="s">
        <v>104</v>
      </c>
      <c r="AW1591" s="6" t="s">
        <v>104</v>
      </c>
      <c r="AX1591" s="6" t="s">
        <v>21353</v>
      </c>
      <c r="AY1591" s="6" t="s">
        <v>21948</v>
      </c>
      <c r="AZ1591" s="6" t="s">
        <v>104</v>
      </c>
      <c r="BA1591" s="6" t="s">
        <v>104</v>
      </c>
      <c r="BB1591" s="24" t="n">
        <v>1519</v>
      </c>
      <c r="BC1591" s="26"/>
      <c r="BD1591" s="26"/>
      <c r="BE1591" s="26"/>
      <c r="BF1591" s="26"/>
      <c r="BG1591" s="26"/>
      <c r="BH1591" s="26"/>
      <c r="BI1591" s="26"/>
      <c r="BJ1591" s="26"/>
      <c r="BK1591" s="26"/>
      <c r="BL1591" s="26"/>
      <c r="BM1591" s="26"/>
      <c r="BN1591" s="26"/>
      <c r="BO1591" s="26" t="s">
        <v>24533</v>
      </c>
      <c r="BP1591" s="16" t="n">
        <v>45471</v>
      </c>
      <c r="BQ1591" s="28" t="str">
        <f>HYPERLINK("https://organic.ams.usda.gov/Integrity/Certificate.aspx?cid=17&amp;nopid=4080205331")</f>
        <v>https://organic.ams.usda.gov/Integrity/Certificate.aspx?cid=17&amp;nopid=4080205331</v>
      </c>
    </row>
    <row r="1592">
      <c r="A1592" t="s">
        <v>3</v>
      </c>
      <c r="B1592" s="6" t="s">
        <v>20</v>
      </c>
      <c r="C1592" s="6" t="s">
        <v>86</v>
      </c>
      <c r="D1592" s="6" t="s">
        <v>151</v>
      </c>
      <c r="E1592" s="10" t="s">
        <v>1790</v>
      </c>
      <c r="F1592" s="6" t="s">
        <v>4021</v>
      </c>
      <c r="G1592" s="6" t="s">
        <v>104</v>
      </c>
      <c r="H1592" s="6" t="s">
        <v>6329</v>
      </c>
      <c r="I1592" s="6" t="s">
        <v>7835</v>
      </c>
      <c r="J1592" s="6" t="s">
        <v>9290</v>
      </c>
      <c r="K1592" s="6" t="s">
        <v>9714</v>
      </c>
      <c r="L1592" s="16" t="n">
        <v>43119</v>
      </c>
      <c r="M1592" s="16" t="n">
        <v>45747</v>
      </c>
      <c r="N1592" s="6" t="s">
        <v>9714</v>
      </c>
      <c r="O1592" s="16" t="n">
        <v>43119</v>
      </c>
      <c r="P1592" s="6" t="s">
        <v>10151</v>
      </c>
      <c r="Q1592" s="6" t="s">
        <v>104</v>
      </c>
      <c r="R1592" s="6" t="s">
        <v>10416</v>
      </c>
      <c r="S1592" s="6" t="s">
        <v>104</v>
      </c>
      <c r="T1592" s="21" t="s">
        <v>104</v>
      </c>
      <c r="U1592" s="6" t="s">
        <v>104</v>
      </c>
      <c r="V1592" s="6" t="s">
        <v>104</v>
      </c>
      <c r="W1592" s="6" t="s">
        <v>104</v>
      </c>
      <c r="X1592" s="6" t="s">
        <v>104</v>
      </c>
      <c r="Y1592" s="21" t="s">
        <v>104</v>
      </c>
      <c r="Z1592" s="6" t="s">
        <v>104</v>
      </c>
      <c r="AA1592" s="6" t="s">
        <v>104</v>
      </c>
      <c r="AB1592" s="6" t="s">
        <v>104</v>
      </c>
      <c r="AC1592" s="6" t="s">
        <v>9714</v>
      </c>
      <c r="AD1592" s="16" t="n">
        <v>43119</v>
      </c>
      <c r="AE1592" s="6" t="s">
        <v>11912</v>
      </c>
      <c r="AF1592" s="6" t="s">
        <v>104</v>
      </c>
      <c r="AG1592" s="6" t="s">
        <v>10416</v>
      </c>
      <c r="AH1592" s="6" t="s">
        <v>14614</v>
      </c>
      <c r="AI1592" s="6" t="s">
        <v>104</v>
      </c>
      <c r="AJ1592" s="6" t="s">
        <v>16357</v>
      </c>
      <c r="AK1592" s="6" t="s">
        <v>16097</v>
      </c>
      <c r="AL1592" s="6" t="s">
        <v>15513</v>
      </c>
      <c r="AM1592" s="6" t="s">
        <v>104</v>
      </c>
      <c r="AN1592" s="6" t="s">
        <v>104</v>
      </c>
      <c r="AO1592" s="6" t="s">
        <v>104</v>
      </c>
      <c r="AP1592" s="6" t="s">
        <v>104</v>
      </c>
      <c r="AQ1592" s="6" t="s">
        <v>104</v>
      </c>
      <c r="AR1592" s="6" t="s">
        <v>104</v>
      </c>
      <c r="AS1592" s="6" t="s">
        <v>104</v>
      </c>
      <c r="AT1592" s="6" t="s">
        <v>104</v>
      </c>
      <c r="AU1592" s="6" t="s">
        <v>104</v>
      </c>
      <c r="AV1592" s="6" t="s">
        <v>104</v>
      </c>
      <c r="AW1592" s="6" t="s">
        <v>104</v>
      </c>
      <c r="AX1592" s="6" t="s">
        <v>21354</v>
      </c>
      <c r="AY1592" s="6" t="s">
        <v>23160</v>
      </c>
      <c r="AZ1592" s="6" t="s">
        <v>104</v>
      </c>
      <c r="BA1592" s="6" t="s">
        <v>104</v>
      </c>
      <c r="BB1592" s="24" t="n">
        <v>321</v>
      </c>
      <c r="BC1592" s="26"/>
      <c r="BD1592" s="26"/>
      <c r="BE1592" s="26"/>
      <c r="BF1592" s="26"/>
      <c r="BG1592" s="26"/>
      <c r="BH1592" s="26"/>
      <c r="BI1592" s="26"/>
      <c r="BJ1592" s="26"/>
      <c r="BK1592" s="26"/>
      <c r="BL1592" s="26"/>
      <c r="BM1592" s="26"/>
      <c r="BN1592" s="26"/>
      <c r="BO1592" s="26"/>
      <c r="BP1592" s="16" t="n">
        <v>45392</v>
      </c>
      <c r="BQ1592" s="28" t="str">
        <f>HYPERLINK("https://organic.ams.usda.gov/Integrity/Certificate.aspx?cid=17&amp;nopid=4087185085")</f>
        <v>https://organic.ams.usda.gov/Integrity/Certificate.aspx?cid=17&amp;nopid=4087185085</v>
      </c>
    </row>
    <row r="1593">
      <c r="A1593" t="s">
        <v>3</v>
      </c>
      <c r="B1593" s="6" t="s">
        <v>24</v>
      </c>
      <c r="C1593" s="6" t="s">
        <v>90</v>
      </c>
      <c r="D1593" s="6" t="s">
        <v>155</v>
      </c>
      <c r="E1593" s="10" t="s">
        <v>1791</v>
      </c>
      <c r="F1593" s="6" t="s">
        <v>4022</v>
      </c>
      <c r="G1593" s="6" t="s">
        <v>4825</v>
      </c>
      <c r="H1593" s="6" t="s">
        <v>6330</v>
      </c>
      <c r="I1593" s="6" t="s">
        <v>7836</v>
      </c>
      <c r="J1593" s="6" t="s">
        <v>9291</v>
      </c>
      <c r="K1593" s="6" t="s">
        <v>9714</v>
      </c>
      <c r="L1593" s="16" t="n">
        <v>38645</v>
      </c>
      <c r="M1593" s="16" t="n">
        <v>45716</v>
      </c>
      <c r="N1593" s="6" t="s">
        <v>9714</v>
      </c>
      <c r="O1593" s="16" t="n">
        <v>38645</v>
      </c>
      <c r="P1593" s="6" t="s">
        <v>10152</v>
      </c>
      <c r="Q1593" s="6" t="s">
        <v>104</v>
      </c>
      <c r="R1593" s="6" t="s">
        <v>6330</v>
      </c>
      <c r="S1593" s="6" t="s">
        <v>9714</v>
      </c>
      <c r="T1593" s="16" t="n">
        <v>38645</v>
      </c>
      <c r="U1593" s="6" t="s">
        <v>10491</v>
      </c>
      <c r="V1593" s="6" t="s">
        <v>104</v>
      </c>
      <c r="W1593" s="6" t="s">
        <v>6330</v>
      </c>
      <c r="X1593" s="6" t="s">
        <v>104</v>
      </c>
      <c r="Y1593" s="21" t="s">
        <v>104</v>
      </c>
      <c r="Z1593" s="6" t="s">
        <v>104</v>
      </c>
      <c r="AA1593" s="6" t="s">
        <v>104</v>
      </c>
      <c r="AB1593" s="6" t="s">
        <v>104</v>
      </c>
      <c r="AC1593" s="6" t="s">
        <v>104</v>
      </c>
      <c r="AD1593" s="21" t="s">
        <v>104</v>
      </c>
      <c r="AE1593" s="6" t="s">
        <v>104</v>
      </c>
      <c r="AF1593" s="6" t="s">
        <v>104</v>
      </c>
      <c r="AG1593" s="6" t="s">
        <v>104</v>
      </c>
      <c r="AH1593" s="6" t="s">
        <v>14615</v>
      </c>
      <c r="AI1593" s="6" t="s">
        <v>15320</v>
      </c>
      <c r="AJ1593" s="6" t="s">
        <v>16358</v>
      </c>
      <c r="AK1593" s="6" t="s">
        <v>16690</v>
      </c>
      <c r="AL1593" s="6" t="s">
        <v>16934</v>
      </c>
      <c r="AM1593" s="6" t="s">
        <v>17768</v>
      </c>
      <c r="AN1593" s="6" t="s">
        <v>104</v>
      </c>
      <c r="AO1593" s="6" t="s">
        <v>104</v>
      </c>
      <c r="AP1593" s="6" t="s">
        <v>19381</v>
      </c>
      <c r="AQ1593" s="6" t="s">
        <v>15320</v>
      </c>
      <c r="AR1593" s="6" t="s">
        <v>16688</v>
      </c>
      <c r="AS1593" s="6" t="s">
        <v>16690</v>
      </c>
      <c r="AT1593" s="6" t="s">
        <v>16934</v>
      </c>
      <c r="AU1593" s="6" t="s">
        <v>20007</v>
      </c>
      <c r="AV1593" s="6" t="s">
        <v>104</v>
      </c>
      <c r="AW1593" s="6" t="s">
        <v>104</v>
      </c>
      <c r="AX1593" s="6" t="s">
        <v>21355</v>
      </c>
      <c r="AY1593" s="6" t="s">
        <v>23161</v>
      </c>
      <c r="AZ1593" s="6" t="s">
        <v>104</v>
      </c>
      <c r="BA1593" s="6" t="s">
        <v>24262</v>
      </c>
      <c r="BB1593" s="24" t="n">
        <v>256990</v>
      </c>
      <c r="BC1593" s="26"/>
      <c r="BD1593" s="26"/>
      <c r="BE1593" s="26"/>
      <c r="BF1593" s="26"/>
      <c r="BG1593" s="26"/>
      <c r="BH1593" s="26"/>
      <c r="BI1593" s="26"/>
      <c r="BJ1593" s="26"/>
      <c r="BK1593" s="26"/>
      <c r="BL1593" s="26"/>
      <c r="BM1593" s="26"/>
      <c r="BN1593" s="26"/>
      <c r="BO1593" s="26"/>
      <c r="BP1593" s="16" t="n">
        <v>45456</v>
      </c>
      <c r="BQ1593" s="28" t="str">
        <f>HYPERLINK("https://organic.ams.usda.gov/Integrity/Certificate.aspx?cid=7&amp;nopid=3950000243")</f>
        <v>https://organic.ams.usda.gov/Integrity/Certificate.aspx?cid=7&amp;nopid=3950000243</v>
      </c>
    </row>
    <row r="1594">
      <c r="A1594" t="s">
        <v>3</v>
      </c>
      <c r="B1594" s="6" t="s">
        <v>21</v>
      </c>
      <c r="C1594" s="6" t="s">
        <v>87</v>
      </c>
      <c r="D1594" s="6" t="s">
        <v>152</v>
      </c>
      <c r="E1594" s="10" t="s">
        <v>1792</v>
      </c>
      <c r="F1594" s="6" t="s">
        <v>4023</v>
      </c>
      <c r="G1594" s="6" t="s">
        <v>104</v>
      </c>
      <c r="H1594" s="6" t="s">
        <v>6331</v>
      </c>
      <c r="I1594" s="6" t="s">
        <v>6940</v>
      </c>
      <c r="J1594" s="6" t="s">
        <v>9292</v>
      </c>
      <c r="K1594" s="6" t="s">
        <v>9714</v>
      </c>
      <c r="L1594" s="16" t="n">
        <v>31472</v>
      </c>
      <c r="M1594" s="16" t="n">
        <v>46023</v>
      </c>
      <c r="N1594" s="6" t="s">
        <v>9714</v>
      </c>
      <c r="O1594" s="16" t="n">
        <v>31472</v>
      </c>
      <c r="P1594" s="6" t="s">
        <v>10153</v>
      </c>
      <c r="Q1594" s="6" t="s">
        <v>104</v>
      </c>
      <c r="R1594" s="6" t="s">
        <v>104</v>
      </c>
      <c r="S1594" s="6" t="s">
        <v>104</v>
      </c>
      <c r="T1594" s="21" t="s">
        <v>104</v>
      </c>
      <c r="U1594" s="6" t="s">
        <v>104</v>
      </c>
      <c r="V1594" s="6" t="s">
        <v>104</v>
      </c>
      <c r="W1594" s="6" t="s">
        <v>104</v>
      </c>
      <c r="X1594" s="6" t="s">
        <v>104</v>
      </c>
      <c r="Y1594" s="21" t="s">
        <v>104</v>
      </c>
      <c r="Z1594" s="6" t="s">
        <v>104</v>
      </c>
      <c r="AA1594" s="6" t="s">
        <v>104</v>
      </c>
      <c r="AB1594" s="6" t="s">
        <v>104</v>
      </c>
      <c r="AC1594" s="6" t="s">
        <v>9714</v>
      </c>
      <c r="AD1594" s="16" t="n">
        <v>45383</v>
      </c>
      <c r="AE1594" s="6" t="s">
        <v>11913</v>
      </c>
      <c r="AF1594" s="6" t="s">
        <v>104</v>
      </c>
      <c r="AG1594" s="6" t="s">
        <v>104</v>
      </c>
      <c r="AH1594" s="6" t="s">
        <v>14616</v>
      </c>
      <c r="AI1594" s="6" t="s">
        <v>104</v>
      </c>
      <c r="AJ1594" s="6" t="s">
        <v>16359</v>
      </c>
      <c r="AK1594" s="6" t="s">
        <v>16687</v>
      </c>
      <c r="AL1594" s="6" t="s">
        <v>16931</v>
      </c>
      <c r="AM1594" s="6" t="s">
        <v>18053</v>
      </c>
      <c r="AN1594" s="6" t="s">
        <v>18481</v>
      </c>
      <c r="AO1594" s="6" t="s">
        <v>18592</v>
      </c>
      <c r="AP1594" s="6" t="s">
        <v>14616</v>
      </c>
      <c r="AQ1594" s="6" t="s">
        <v>104</v>
      </c>
      <c r="AR1594" s="6" t="s">
        <v>16359</v>
      </c>
      <c r="AS1594" s="6" t="s">
        <v>16687</v>
      </c>
      <c r="AT1594" s="6" t="s">
        <v>16931</v>
      </c>
      <c r="AU1594" s="6" t="s">
        <v>18053</v>
      </c>
      <c r="AV1594" s="6" t="s">
        <v>104</v>
      </c>
      <c r="AW1594" s="6" t="s">
        <v>104</v>
      </c>
      <c r="AX1594" s="6" t="s">
        <v>21356</v>
      </c>
      <c r="AY1594" s="6" t="s">
        <v>23162</v>
      </c>
      <c r="AZ1594" s="6" t="s">
        <v>24094</v>
      </c>
      <c r="BA1594" s="6" t="s">
        <v>24461</v>
      </c>
      <c r="BB1594" s="24" t="n">
        <v>3496</v>
      </c>
      <c r="BC1594" s="26"/>
      <c r="BD1594" s="26"/>
      <c r="BE1594" s="26"/>
      <c r="BF1594" s="26"/>
      <c r="BG1594" s="26"/>
      <c r="BH1594" s="26"/>
      <c r="BI1594" s="26"/>
      <c r="BJ1594" s="26"/>
      <c r="BK1594" s="26"/>
      <c r="BL1594" s="26"/>
      <c r="BM1594" s="26"/>
      <c r="BN1594" s="26"/>
      <c r="BO1594" s="26"/>
      <c r="BP1594" s="16" t="n">
        <v>45698</v>
      </c>
      <c r="BQ1594" s="28" t="str">
        <f>HYPERLINK("https://organic.ams.usda.gov/Integrity/Certificate.aspx?cid=15&amp;nopid=5561003060")</f>
        <v>https://organic.ams.usda.gov/Integrity/Certificate.aspx?cid=15&amp;nopid=5561003060</v>
      </c>
    </row>
    <row r="1595">
      <c r="A1595" t="s">
        <v>3</v>
      </c>
      <c r="B1595" s="6" t="s">
        <v>21</v>
      </c>
      <c r="C1595" s="6" t="s">
        <v>87</v>
      </c>
      <c r="D1595" s="6" t="s">
        <v>152</v>
      </c>
      <c r="E1595" s="10" t="s">
        <v>1793</v>
      </c>
      <c r="F1595" s="6" t="s">
        <v>4024</v>
      </c>
      <c r="G1595" s="6" t="s">
        <v>104</v>
      </c>
      <c r="H1595" s="6" t="s">
        <v>6332</v>
      </c>
      <c r="I1595" s="6" t="s">
        <v>7080</v>
      </c>
      <c r="J1595" s="6" t="s">
        <v>9293</v>
      </c>
      <c r="K1595" s="6" t="s">
        <v>9714</v>
      </c>
      <c r="L1595" s="16" t="n">
        <v>37147</v>
      </c>
      <c r="M1595" s="16" t="n">
        <v>46023</v>
      </c>
      <c r="N1595" s="6" t="s">
        <v>9714</v>
      </c>
      <c r="O1595" s="16" t="n">
        <v>37147</v>
      </c>
      <c r="P1595" s="6" t="s">
        <v>10154</v>
      </c>
      <c r="Q1595" s="6" t="s">
        <v>104</v>
      </c>
      <c r="R1595" s="6" t="s">
        <v>104</v>
      </c>
      <c r="S1595" s="6" t="s">
        <v>104</v>
      </c>
      <c r="T1595" s="21" t="s">
        <v>104</v>
      </c>
      <c r="U1595" s="6" t="s">
        <v>104</v>
      </c>
      <c r="V1595" s="6" t="s">
        <v>104</v>
      </c>
      <c r="W1595" s="6" t="s">
        <v>104</v>
      </c>
      <c r="X1595" s="6" t="s">
        <v>104</v>
      </c>
      <c r="Y1595" s="21" t="s">
        <v>104</v>
      </c>
      <c r="Z1595" s="6" t="s">
        <v>104</v>
      </c>
      <c r="AA1595" s="6" t="s">
        <v>104</v>
      </c>
      <c r="AB1595" s="6" t="s">
        <v>104</v>
      </c>
      <c r="AC1595" s="6" t="s">
        <v>9714</v>
      </c>
      <c r="AD1595" s="16" t="n">
        <v>37147</v>
      </c>
      <c r="AE1595" s="6" t="s">
        <v>11914</v>
      </c>
      <c r="AF1595" s="6" t="s">
        <v>104</v>
      </c>
      <c r="AG1595" s="6" t="s">
        <v>104</v>
      </c>
      <c r="AH1595" s="6" t="s">
        <v>14617</v>
      </c>
      <c r="AI1595" s="6" t="s">
        <v>104</v>
      </c>
      <c r="AJ1595" s="6" t="s">
        <v>16360</v>
      </c>
      <c r="AK1595" s="6" t="s">
        <v>16687</v>
      </c>
      <c r="AL1595" s="6" t="s">
        <v>16931</v>
      </c>
      <c r="AM1595" s="6" t="s">
        <v>18054</v>
      </c>
      <c r="AN1595" s="6" t="s">
        <v>18456</v>
      </c>
      <c r="AO1595" s="6" t="s">
        <v>18561</v>
      </c>
      <c r="AP1595" s="6" t="s">
        <v>19382</v>
      </c>
      <c r="AQ1595" s="6" t="s">
        <v>104</v>
      </c>
      <c r="AR1595" s="6" t="s">
        <v>16360</v>
      </c>
      <c r="AS1595" s="6" t="s">
        <v>16687</v>
      </c>
      <c r="AT1595" s="6" t="s">
        <v>16931</v>
      </c>
      <c r="AU1595" s="6" t="s">
        <v>18054</v>
      </c>
      <c r="AV1595" s="6" t="s">
        <v>104</v>
      </c>
      <c r="AW1595" s="6" t="s">
        <v>104</v>
      </c>
      <c r="AX1595" s="6" t="s">
        <v>21357</v>
      </c>
      <c r="AY1595" s="6" t="s">
        <v>23163</v>
      </c>
      <c r="AZ1595" s="6" t="s">
        <v>24095</v>
      </c>
      <c r="BA1595" s="6" t="s">
        <v>24462</v>
      </c>
      <c r="BB1595" s="24" t="n">
        <v>2591</v>
      </c>
      <c r="BC1595" s="26"/>
      <c r="BD1595" s="26"/>
      <c r="BE1595" s="26"/>
      <c r="BF1595" s="26"/>
      <c r="BG1595" s="26"/>
      <c r="BH1595" s="26"/>
      <c r="BI1595" s="26"/>
      <c r="BJ1595" s="26"/>
      <c r="BK1595" s="26"/>
      <c r="BL1595" s="26"/>
      <c r="BM1595" s="26"/>
      <c r="BN1595" s="26"/>
      <c r="BO1595" s="26"/>
      <c r="BP1595" s="16" t="n">
        <v>45706</v>
      </c>
      <c r="BQ1595" s="28" t="str">
        <f>HYPERLINK("https://organic.ams.usda.gov/Integrity/Certificate.aspx?cid=15&amp;nopid=5561001634")</f>
        <v>https://organic.ams.usda.gov/Integrity/Certificate.aspx?cid=15&amp;nopid=5561001634</v>
      </c>
    </row>
    <row r="1596">
      <c r="A1596" t="s">
        <v>3</v>
      </c>
      <c r="B1596" s="6" t="s">
        <v>18</v>
      </c>
      <c r="C1596" s="6" t="s">
        <v>84</v>
      </c>
      <c r="D1596" s="6" t="s">
        <v>149</v>
      </c>
      <c r="E1596" s="10" t="s">
        <v>1794</v>
      </c>
      <c r="F1596" s="6" t="s">
        <v>4025</v>
      </c>
      <c r="G1596" s="6" t="s">
        <v>104</v>
      </c>
      <c r="H1596" s="6" t="s">
        <v>6333</v>
      </c>
      <c r="I1596" s="6" t="s">
        <v>7837</v>
      </c>
      <c r="J1596" s="6" t="s">
        <v>9294</v>
      </c>
      <c r="K1596" s="6" t="s">
        <v>9714</v>
      </c>
      <c r="L1596" s="16" t="n">
        <v>41142</v>
      </c>
      <c r="M1596" s="16" t="n">
        <v>45870</v>
      </c>
      <c r="N1596" s="6" t="s">
        <v>9714</v>
      </c>
      <c r="O1596" s="16" t="n">
        <v>41142</v>
      </c>
      <c r="P1596" s="6" t="s">
        <v>10155</v>
      </c>
      <c r="Q1596" s="6" t="s">
        <v>104</v>
      </c>
      <c r="R1596" s="6" t="s">
        <v>10417</v>
      </c>
      <c r="S1596" s="6" t="s">
        <v>104</v>
      </c>
      <c r="T1596" s="21" t="s">
        <v>104</v>
      </c>
      <c r="U1596" s="6" t="s">
        <v>104</v>
      </c>
      <c r="V1596" s="6" t="s">
        <v>104</v>
      </c>
      <c r="W1596" s="6" t="s">
        <v>104</v>
      </c>
      <c r="X1596" s="6" t="s">
        <v>104</v>
      </c>
      <c r="Y1596" s="21" t="s">
        <v>104</v>
      </c>
      <c r="Z1596" s="6" t="s">
        <v>104</v>
      </c>
      <c r="AA1596" s="6" t="s">
        <v>104</v>
      </c>
      <c r="AB1596" s="6" t="s">
        <v>104</v>
      </c>
      <c r="AC1596" s="6" t="s">
        <v>9714</v>
      </c>
      <c r="AD1596" s="16" t="n">
        <v>45712</v>
      </c>
      <c r="AE1596" s="6" t="s">
        <v>11915</v>
      </c>
      <c r="AF1596" s="6" t="s">
        <v>104</v>
      </c>
      <c r="AG1596" s="6" t="s">
        <v>12983</v>
      </c>
      <c r="AH1596" s="6" t="s">
        <v>14618</v>
      </c>
      <c r="AI1596" s="6" t="s">
        <v>104</v>
      </c>
      <c r="AJ1596" s="6" t="s">
        <v>15642</v>
      </c>
      <c r="AK1596" s="6" t="s">
        <v>16738</v>
      </c>
      <c r="AL1596" s="6" t="s">
        <v>16931</v>
      </c>
      <c r="AM1596" s="6" t="s">
        <v>18055</v>
      </c>
      <c r="AN1596" s="6" t="s">
        <v>18549</v>
      </c>
      <c r="AO1596" s="6" t="s">
        <v>18865</v>
      </c>
      <c r="AP1596" s="6" t="s">
        <v>104</v>
      </c>
      <c r="AQ1596" s="6" t="s">
        <v>104</v>
      </c>
      <c r="AR1596" s="6" t="s">
        <v>104</v>
      </c>
      <c r="AS1596" s="6" t="s">
        <v>104</v>
      </c>
      <c r="AT1596" s="6" t="s">
        <v>104</v>
      </c>
      <c r="AU1596" s="6" t="s">
        <v>104</v>
      </c>
      <c r="AV1596" s="6" t="s">
        <v>104</v>
      </c>
      <c r="AW1596" s="6" t="s">
        <v>104</v>
      </c>
      <c r="AX1596" s="6" t="s">
        <v>21358</v>
      </c>
      <c r="AY1596" s="6" t="s">
        <v>23164</v>
      </c>
      <c r="AZ1596" s="6" t="s">
        <v>104</v>
      </c>
      <c r="BA1596" s="6" t="s">
        <v>104</v>
      </c>
      <c r="BB1596" s="24" t="n">
        <v>401</v>
      </c>
      <c r="BC1596" s="26"/>
      <c r="BD1596" s="26"/>
      <c r="BE1596" s="26"/>
      <c r="BF1596" s="26"/>
      <c r="BG1596" s="26"/>
      <c r="BH1596" s="26"/>
      <c r="BI1596" s="26"/>
      <c r="BJ1596" s="26"/>
      <c r="BK1596" s="26"/>
      <c r="BL1596" s="26"/>
      <c r="BM1596" s="26"/>
      <c r="BN1596" s="26"/>
      <c r="BO1596" s="26"/>
      <c r="BP1596" s="16" t="n">
        <v>45737</v>
      </c>
      <c r="BQ1596" s="28" t="str">
        <f>HYPERLINK("https://organic.ams.usda.gov/Integrity/Certificate.aspx?cid=31&amp;nopid=3928971195")</f>
        <v>https://organic.ams.usda.gov/Integrity/Certificate.aspx?cid=31&amp;nopid=3928971195</v>
      </c>
    </row>
    <row r="1597">
      <c r="A1597" t="s">
        <v>3</v>
      </c>
      <c r="B1597" s="6" t="s">
        <v>20</v>
      </c>
      <c r="C1597" s="6" t="s">
        <v>86</v>
      </c>
      <c r="D1597" s="6" t="s">
        <v>151</v>
      </c>
      <c r="E1597" s="10" t="s">
        <v>1795</v>
      </c>
      <c r="F1597" s="6" t="s">
        <v>4026</v>
      </c>
      <c r="G1597" s="6" t="s">
        <v>104</v>
      </c>
      <c r="H1597" s="6" t="s">
        <v>6334</v>
      </c>
      <c r="I1597" s="6" t="s">
        <v>7838</v>
      </c>
      <c r="J1597" s="6" t="s">
        <v>9295</v>
      </c>
      <c r="K1597" s="6" t="s">
        <v>9714</v>
      </c>
      <c r="L1597" s="16" t="n">
        <v>44719</v>
      </c>
      <c r="M1597" s="16" t="n">
        <v>45960</v>
      </c>
      <c r="N1597" s="6" t="s">
        <v>104</v>
      </c>
      <c r="O1597" s="21" t="s">
        <v>104</v>
      </c>
      <c r="P1597" s="6" t="s">
        <v>104</v>
      </c>
      <c r="Q1597" s="6" t="s">
        <v>104</v>
      </c>
      <c r="R1597" s="6" t="s">
        <v>104</v>
      </c>
      <c r="S1597" s="6" t="s">
        <v>104</v>
      </c>
      <c r="T1597" s="21" t="s">
        <v>104</v>
      </c>
      <c r="U1597" s="6" t="s">
        <v>104</v>
      </c>
      <c r="V1597" s="6" t="s">
        <v>104</v>
      </c>
      <c r="W1597" s="6" t="s">
        <v>104</v>
      </c>
      <c r="X1597" s="6" t="s">
        <v>104</v>
      </c>
      <c r="Y1597" s="21" t="s">
        <v>104</v>
      </c>
      <c r="Z1597" s="6" t="s">
        <v>104</v>
      </c>
      <c r="AA1597" s="6" t="s">
        <v>104</v>
      </c>
      <c r="AB1597" s="6" t="s">
        <v>104</v>
      </c>
      <c r="AC1597" s="6" t="s">
        <v>9714</v>
      </c>
      <c r="AD1597" s="16" t="n">
        <v>44719</v>
      </c>
      <c r="AE1597" s="6" t="s">
        <v>11916</v>
      </c>
      <c r="AF1597" s="6" t="s">
        <v>104</v>
      </c>
      <c r="AG1597" s="6" t="s">
        <v>12984</v>
      </c>
      <c r="AH1597" s="6" t="s">
        <v>14619</v>
      </c>
      <c r="AI1597" s="6" t="s">
        <v>104</v>
      </c>
      <c r="AJ1597" s="6" t="s">
        <v>16361</v>
      </c>
      <c r="AK1597" s="6" t="s">
        <v>104</v>
      </c>
      <c r="AL1597" s="6" t="s">
        <v>15513</v>
      </c>
      <c r="AM1597" s="6" t="s">
        <v>18056</v>
      </c>
      <c r="AN1597" s="6" t="s">
        <v>104</v>
      </c>
      <c r="AO1597" s="6" t="s">
        <v>104</v>
      </c>
      <c r="AP1597" s="6" t="s">
        <v>104</v>
      </c>
      <c r="AQ1597" s="6" t="s">
        <v>104</v>
      </c>
      <c r="AR1597" s="6" t="s">
        <v>104</v>
      </c>
      <c r="AS1597" s="6" t="s">
        <v>104</v>
      </c>
      <c r="AT1597" s="6" t="s">
        <v>104</v>
      </c>
      <c r="AU1597" s="6" t="s">
        <v>104</v>
      </c>
      <c r="AV1597" s="6" t="s">
        <v>104</v>
      </c>
      <c r="AW1597" s="6" t="s">
        <v>104</v>
      </c>
      <c r="AX1597" s="6" t="s">
        <v>21359</v>
      </c>
      <c r="AY1597" s="6" t="s">
        <v>23165</v>
      </c>
      <c r="AZ1597" s="6" t="s">
        <v>104</v>
      </c>
      <c r="BA1597" s="6" t="s">
        <v>104</v>
      </c>
      <c r="BB1597" s="6" t="s">
        <v>104</v>
      </c>
      <c r="BC1597" s="26"/>
      <c r="BD1597" s="26"/>
      <c r="BE1597" s="26"/>
      <c r="BF1597" s="26"/>
      <c r="BG1597" s="26"/>
      <c r="BH1597" s="26"/>
      <c r="BI1597" s="26"/>
      <c r="BJ1597" s="26"/>
      <c r="BK1597" s="26"/>
      <c r="BL1597" s="26"/>
      <c r="BM1597" s="26"/>
      <c r="BN1597" s="26"/>
      <c r="BO1597" s="26"/>
      <c r="BP1597" s="16" t="n">
        <v>45643</v>
      </c>
      <c r="BQ1597" s="28" t="str">
        <f>HYPERLINK("https://organic.ams.usda.gov/Integrity/Certificate.aspx?cid=17&amp;nopid=4082249385")</f>
        <v>https://organic.ams.usda.gov/Integrity/Certificate.aspx?cid=17&amp;nopid=4082249385</v>
      </c>
    </row>
    <row r="1598">
      <c r="A1598" t="s">
        <v>3</v>
      </c>
      <c r="B1598" s="6" t="s">
        <v>16</v>
      </c>
      <c r="C1598" s="6" t="s">
        <v>82</v>
      </c>
      <c r="D1598" s="6" t="s">
        <v>147</v>
      </c>
      <c r="E1598" s="10" t="s">
        <v>1796</v>
      </c>
      <c r="F1598" s="6" t="s">
        <v>4027</v>
      </c>
      <c r="G1598" s="6" t="s">
        <v>104</v>
      </c>
      <c r="H1598" s="6" t="s">
        <v>6335</v>
      </c>
      <c r="I1598" s="6" t="s">
        <v>7380</v>
      </c>
      <c r="J1598" s="6" t="s">
        <v>8662</v>
      </c>
      <c r="K1598" s="6" t="s">
        <v>9714</v>
      </c>
      <c r="L1598" s="16" t="n">
        <v>42977</v>
      </c>
      <c r="M1598" s="16" t="n">
        <v>45900</v>
      </c>
      <c r="N1598" s="6" t="s">
        <v>9714</v>
      </c>
      <c r="O1598" s="16" t="n">
        <v>42977</v>
      </c>
      <c r="P1598" s="6" t="s">
        <v>10156</v>
      </c>
      <c r="Q1598" s="6" t="s">
        <v>104</v>
      </c>
      <c r="R1598" s="6" t="s">
        <v>6335</v>
      </c>
      <c r="S1598" s="6" t="s">
        <v>104</v>
      </c>
      <c r="T1598" s="21" t="s">
        <v>104</v>
      </c>
      <c r="U1598" s="6" t="s">
        <v>104</v>
      </c>
      <c r="V1598" s="6" t="s">
        <v>104</v>
      </c>
      <c r="W1598" s="6" t="s">
        <v>104</v>
      </c>
      <c r="X1598" s="6" t="s">
        <v>104</v>
      </c>
      <c r="Y1598" s="21" t="s">
        <v>104</v>
      </c>
      <c r="Z1598" s="6" t="s">
        <v>104</v>
      </c>
      <c r="AA1598" s="6" t="s">
        <v>104</v>
      </c>
      <c r="AB1598" s="6" t="s">
        <v>104</v>
      </c>
      <c r="AC1598" s="6" t="s">
        <v>104</v>
      </c>
      <c r="AD1598" s="21" t="s">
        <v>104</v>
      </c>
      <c r="AE1598" s="6" t="s">
        <v>104</v>
      </c>
      <c r="AF1598" s="6" t="s">
        <v>104</v>
      </c>
      <c r="AG1598" s="6" t="s">
        <v>104</v>
      </c>
      <c r="AH1598" s="6" t="s">
        <v>13784</v>
      </c>
      <c r="AI1598" s="6" t="s">
        <v>104</v>
      </c>
      <c r="AJ1598" s="6" t="s">
        <v>15741</v>
      </c>
      <c r="AK1598" s="6" t="s">
        <v>16684</v>
      </c>
      <c r="AL1598" s="6" t="s">
        <v>16931</v>
      </c>
      <c r="AM1598" s="6" t="s">
        <v>17361</v>
      </c>
      <c r="AN1598" s="6" t="s">
        <v>18480</v>
      </c>
      <c r="AO1598" s="6" t="s">
        <v>18590</v>
      </c>
      <c r="AP1598" s="6" t="s">
        <v>13784</v>
      </c>
      <c r="AQ1598" s="6" t="s">
        <v>104</v>
      </c>
      <c r="AR1598" s="6" t="s">
        <v>15741</v>
      </c>
      <c r="AS1598" s="6" t="s">
        <v>16684</v>
      </c>
      <c r="AT1598" s="6" t="s">
        <v>16931</v>
      </c>
      <c r="AU1598" s="6" t="s">
        <v>17361</v>
      </c>
      <c r="AV1598" s="6" t="s">
        <v>18466</v>
      </c>
      <c r="AW1598" s="6" t="s">
        <v>18923</v>
      </c>
      <c r="AX1598" s="6" t="s">
        <v>20653</v>
      </c>
      <c r="AY1598" s="6" t="s">
        <v>22425</v>
      </c>
      <c r="AZ1598" s="6" t="s">
        <v>104</v>
      </c>
      <c r="BA1598" s="6" t="s">
        <v>104</v>
      </c>
      <c r="BB1598" s="24" t="n">
        <v>1481</v>
      </c>
      <c r="BC1598" s="26"/>
      <c r="BD1598" s="26"/>
      <c r="BE1598" s="26"/>
      <c r="BF1598" s="26"/>
      <c r="BG1598" s="26"/>
      <c r="BH1598" s="26"/>
      <c r="BI1598" s="26"/>
      <c r="BJ1598" s="26"/>
      <c r="BK1598" s="26"/>
      <c r="BL1598" s="26"/>
      <c r="BM1598" s="26"/>
      <c r="BN1598" s="26"/>
      <c r="BO1598" s="26"/>
      <c r="BP1598" s="16" t="n">
        <v>45558</v>
      </c>
      <c r="BQ1598" s="28" t="str">
        <f>HYPERLINK("https://organic.ams.usda.gov/Integrity/Certificate.aspx?cid=77&amp;nopid=3510767848")</f>
        <v>https://organic.ams.usda.gov/Integrity/Certificate.aspx?cid=77&amp;nopid=3510767848</v>
      </c>
    </row>
    <row r="1599">
      <c r="A1599" t="s">
        <v>3</v>
      </c>
      <c r="B1599" s="6" t="s">
        <v>20</v>
      </c>
      <c r="C1599" s="6" t="s">
        <v>86</v>
      </c>
      <c r="D1599" s="6" t="s">
        <v>151</v>
      </c>
      <c r="E1599" s="10" t="s">
        <v>1797</v>
      </c>
      <c r="F1599" s="6" t="s">
        <v>4028</v>
      </c>
      <c r="G1599" s="6" t="s">
        <v>104</v>
      </c>
      <c r="H1599" s="6" t="s">
        <v>6336</v>
      </c>
      <c r="I1599" s="6" t="s">
        <v>104</v>
      </c>
      <c r="J1599" s="6" t="s">
        <v>104</v>
      </c>
      <c r="K1599" s="6" t="s">
        <v>9714</v>
      </c>
      <c r="L1599" s="16" t="n">
        <v>44181</v>
      </c>
      <c r="M1599" s="18" t="s">
        <v>104</v>
      </c>
      <c r="N1599" s="6" t="s">
        <v>104</v>
      </c>
      <c r="O1599" s="21" t="s">
        <v>104</v>
      </c>
      <c r="P1599" s="6" t="s">
        <v>104</v>
      </c>
      <c r="Q1599" s="6" t="s">
        <v>104</v>
      </c>
      <c r="R1599" s="6" t="s">
        <v>104</v>
      </c>
      <c r="S1599" s="6" t="s">
        <v>104</v>
      </c>
      <c r="T1599" s="21" t="s">
        <v>104</v>
      </c>
      <c r="U1599" s="6" t="s">
        <v>104</v>
      </c>
      <c r="V1599" s="6" t="s">
        <v>104</v>
      </c>
      <c r="W1599" s="6" t="s">
        <v>104</v>
      </c>
      <c r="X1599" s="6" t="s">
        <v>104</v>
      </c>
      <c r="Y1599" s="21" t="s">
        <v>104</v>
      </c>
      <c r="Z1599" s="6" t="s">
        <v>104</v>
      </c>
      <c r="AA1599" s="6" t="s">
        <v>104</v>
      </c>
      <c r="AB1599" s="6" t="s">
        <v>104</v>
      </c>
      <c r="AC1599" s="6" t="s">
        <v>9714</v>
      </c>
      <c r="AD1599" s="16" t="n">
        <v>44181</v>
      </c>
      <c r="AE1599" s="6" t="s">
        <v>11917</v>
      </c>
      <c r="AF1599" s="6" t="s">
        <v>104</v>
      </c>
      <c r="AG1599" s="6" t="s">
        <v>104</v>
      </c>
      <c r="AH1599" s="6" t="s">
        <v>14620</v>
      </c>
      <c r="AI1599" s="6" t="s">
        <v>104</v>
      </c>
      <c r="AJ1599" s="6" t="s">
        <v>16097</v>
      </c>
      <c r="AK1599" s="6" t="s">
        <v>104</v>
      </c>
      <c r="AL1599" s="6" t="s">
        <v>15513</v>
      </c>
      <c r="AM1599" s="6" t="s">
        <v>17071</v>
      </c>
      <c r="AN1599" s="6" t="s">
        <v>104</v>
      </c>
      <c r="AO1599" s="6" t="s">
        <v>104</v>
      </c>
      <c r="AP1599" s="6" t="s">
        <v>14620</v>
      </c>
      <c r="AQ1599" s="6" t="s">
        <v>104</v>
      </c>
      <c r="AR1599" s="6" t="s">
        <v>16097</v>
      </c>
      <c r="AS1599" s="6" t="s">
        <v>104</v>
      </c>
      <c r="AT1599" s="6" t="s">
        <v>15513</v>
      </c>
      <c r="AU1599" s="6" t="s">
        <v>17071</v>
      </c>
      <c r="AV1599" s="6" t="s">
        <v>104</v>
      </c>
      <c r="AW1599" s="6" t="s">
        <v>104</v>
      </c>
      <c r="AX1599" s="6" t="s">
        <v>104</v>
      </c>
      <c r="AY1599" s="6" t="s">
        <v>104</v>
      </c>
      <c r="AZ1599" s="6" t="s">
        <v>104</v>
      </c>
      <c r="BA1599" s="6" t="s">
        <v>104</v>
      </c>
      <c r="BB1599" s="6" t="s">
        <v>104</v>
      </c>
      <c r="BC1599" s="26"/>
      <c r="BD1599" s="26"/>
      <c r="BE1599" s="26"/>
      <c r="BF1599" s="26"/>
      <c r="BG1599" s="26"/>
      <c r="BH1599" s="26"/>
      <c r="BI1599" s="26"/>
      <c r="BJ1599" s="26"/>
      <c r="BK1599" s="26"/>
      <c r="BL1599" s="26"/>
      <c r="BM1599" s="26"/>
      <c r="BN1599" s="26"/>
      <c r="BO1599" s="26"/>
      <c r="BP1599" s="16" t="n">
        <v>45081</v>
      </c>
      <c r="BQ1599" s="28" t="str">
        <f>HYPERLINK("https://organic.ams.usda.gov/Integrity/Certificate.aspx?cid=17&amp;nopid=4084037272")</f>
        <v>https://organic.ams.usda.gov/Integrity/Certificate.aspx?cid=17&amp;nopid=4084037272</v>
      </c>
    </row>
    <row r="1600">
      <c r="A1600" t="s">
        <v>3</v>
      </c>
      <c r="B1600" s="6" t="s">
        <v>54</v>
      </c>
      <c r="C1600" s="6" t="s">
        <v>120</v>
      </c>
      <c r="D1600" s="6" t="s">
        <v>184</v>
      </c>
      <c r="E1600" s="10" t="s">
        <v>1798</v>
      </c>
      <c r="F1600" s="6" t="s">
        <v>4029</v>
      </c>
      <c r="G1600" s="6" t="s">
        <v>104</v>
      </c>
      <c r="H1600" s="6" t="s">
        <v>6337</v>
      </c>
      <c r="I1600" s="6" t="s">
        <v>7839</v>
      </c>
      <c r="J1600" s="6" t="s">
        <v>9296</v>
      </c>
      <c r="K1600" s="6" t="s">
        <v>9714</v>
      </c>
      <c r="L1600" s="16" t="n">
        <v>45561</v>
      </c>
      <c r="M1600" s="16" t="n">
        <v>46082</v>
      </c>
      <c r="N1600" s="6" t="s">
        <v>9714</v>
      </c>
      <c r="O1600" s="16" t="n">
        <v>45561</v>
      </c>
      <c r="P1600" s="6" t="s">
        <v>10157</v>
      </c>
      <c r="Q1600" s="6" t="s">
        <v>104</v>
      </c>
      <c r="R1600" s="6" t="s">
        <v>104</v>
      </c>
      <c r="S1600" s="6" t="s">
        <v>104</v>
      </c>
      <c r="T1600" s="21" t="s">
        <v>104</v>
      </c>
      <c r="U1600" s="6" t="s">
        <v>104</v>
      </c>
      <c r="V1600" s="6" t="s">
        <v>104</v>
      </c>
      <c r="W1600" s="6" t="s">
        <v>104</v>
      </c>
      <c r="X1600" s="6" t="s">
        <v>104</v>
      </c>
      <c r="Y1600" s="21" t="s">
        <v>104</v>
      </c>
      <c r="Z1600" s="6" t="s">
        <v>104</v>
      </c>
      <c r="AA1600" s="6" t="s">
        <v>104</v>
      </c>
      <c r="AB1600" s="6" t="s">
        <v>104</v>
      </c>
      <c r="AC1600" s="6" t="s">
        <v>104</v>
      </c>
      <c r="AD1600" s="21" t="s">
        <v>104</v>
      </c>
      <c r="AE1600" s="6" t="s">
        <v>104</v>
      </c>
      <c r="AF1600" s="6" t="s">
        <v>104</v>
      </c>
      <c r="AG1600" s="6" t="s">
        <v>104</v>
      </c>
      <c r="AH1600" s="6" t="s">
        <v>14621</v>
      </c>
      <c r="AI1600" s="6" t="s">
        <v>104</v>
      </c>
      <c r="AJ1600" s="6" t="s">
        <v>16362</v>
      </c>
      <c r="AK1600" s="6" t="s">
        <v>16743</v>
      </c>
      <c r="AL1600" s="6" t="s">
        <v>16931</v>
      </c>
      <c r="AM1600" s="6" t="s">
        <v>18057</v>
      </c>
      <c r="AN1600" s="6" t="s">
        <v>104</v>
      </c>
      <c r="AO1600" s="6" t="s">
        <v>104</v>
      </c>
      <c r="AP1600" s="6" t="s">
        <v>104</v>
      </c>
      <c r="AQ1600" s="6" t="s">
        <v>104</v>
      </c>
      <c r="AR1600" s="6" t="s">
        <v>104</v>
      </c>
      <c r="AS1600" s="6" t="s">
        <v>104</v>
      </c>
      <c r="AT1600" s="6" t="s">
        <v>104</v>
      </c>
      <c r="AU1600" s="6" t="s">
        <v>104</v>
      </c>
      <c r="AV1600" s="6" t="s">
        <v>104</v>
      </c>
      <c r="AW1600" s="6" t="s">
        <v>104</v>
      </c>
      <c r="AX1600" s="6" t="s">
        <v>104</v>
      </c>
      <c r="AY1600" s="6" t="s">
        <v>23166</v>
      </c>
      <c r="AZ1600" s="6" t="s">
        <v>104</v>
      </c>
      <c r="BA1600" s="6" t="s">
        <v>24267</v>
      </c>
      <c r="BB1600" s="24" t="n">
        <v>80</v>
      </c>
      <c r="BC1600" s="26"/>
      <c r="BD1600" s="26"/>
      <c r="BE1600" s="26"/>
      <c r="BF1600" s="26"/>
      <c r="BG1600" s="26"/>
      <c r="BH1600" s="26"/>
      <c r="BI1600" s="26"/>
      <c r="BJ1600" s="26"/>
      <c r="BK1600" s="26"/>
      <c r="BL1600" s="26"/>
      <c r="BM1600" s="26"/>
      <c r="BN1600" s="26"/>
      <c r="BO1600" s="26"/>
      <c r="BP1600" s="16" t="n">
        <v>45733</v>
      </c>
      <c r="BQ1600" s="28" t="str">
        <f>HYPERLINK("https://organic.ams.usda.gov/Integrity/Certificate.aspx?cid=60&amp;nopid=2580006821")</f>
        <v>https://organic.ams.usda.gov/Integrity/Certificate.aspx?cid=60&amp;nopid=2580006821</v>
      </c>
    </row>
    <row r="1601">
      <c r="A1601" t="s">
        <v>3</v>
      </c>
      <c r="B1601" s="6" t="s">
        <v>34</v>
      </c>
      <c r="C1601" s="6" t="s">
        <v>100</v>
      </c>
      <c r="D1601" s="6" t="s">
        <v>165</v>
      </c>
      <c r="E1601" s="10" t="s">
        <v>1799</v>
      </c>
      <c r="F1601" s="6" t="s">
        <v>4030</v>
      </c>
      <c r="G1601" s="6" t="s">
        <v>104</v>
      </c>
      <c r="H1601" s="6" t="s">
        <v>6338</v>
      </c>
      <c r="I1601" s="6" t="s">
        <v>7840</v>
      </c>
      <c r="J1601" s="6" t="s">
        <v>9297</v>
      </c>
      <c r="K1601" s="6" t="s">
        <v>9714</v>
      </c>
      <c r="L1601" s="16" t="n">
        <v>45344</v>
      </c>
      <c r="M1601" s="16" t="n">
        <v>46022</v>
      </c>
      <c r="N1601" s="6" t="s">
        <v>104</v>
      </c>
      <c r="O1601" s="21" t="s">
        <v>104</v>
      </c>
      <c r="P1601" s="6" t="s">
        <v>104</v>
      </c>
      <c r="Q1601" s="6" t="s">
        <v>104</v>
      </c>
      <c r="R1601" s="6" t="s">
        <v>104</v>
      </c>
      <c r="S1601" s="6" t="s">
        <v>104</v>
      </c>
      <c r="T1601" s="21" t="s">
        <v>104</v>
      </c>
      <c r="U1601" s="6" t="s">
        <v>104</v>
      </c>
      <c r="V1601" s="6" t="s">
        <v>104</v>
      </c>
      <c r="W1601" s="6" t="s">
        <v>104</v>
      </c>
      <c r="X1601" s="6" t="s">
        <v>104</v>
      </c>
      <c r="Y1601" s="21" t="s">
        <v>104</v>
      </c>
      <c r="Z1601" s="6" t="s">
        <v>104</v>
      </c>
      <c r="AA1601" s="6" t="s">
        <v>104</v>
      </c>
      <c r="AB1601" s="6" t="s">
        <v>104</v>
      </c>
      <c r="AC1601" s="6" t="s">
        <v>9714</v>
      </c>
      <c r="AD1601" s="16" t="n">
        <v>45344</v>
      </c>
      <c r="AE1601" s="6" t="s">
        <v>11918</v>
      </c>
      <c r="AF1601" s="6" t="s">
        <v>104</v>
      </c>
      <c r="AG1601" s="6" t="s">
        <v>12985</v>
      </c>
      <c r="AH1601" s="6" t="s">
        <v>14622</v>
      </c>
      <c r="AI1601" s="6" t="s">
        <v>104</v>
      </c>
      <c r="AJ1601" s="6" t="s">
        <v>16072</v>
      </c>
      <c r="AK1601" s="6" t="s">
        <v>16683</v>
      </c>
      <c r="AL1601" s="6" t="s">
        <v>16931</v>
      </c>
      <c r="AM1601" s="6" t="s">
        <v>17723</v>
      </c>
      <c r="AN1601" s="6" t="s">
        <v>104</v>
      </c>
      <c r="AO1601" s="6" t="s">
        <v>104</v>
      </c>
      <c r="AP1601" s="6" t="s">
        <v>14622</v>
      </c>
      <c r="AQ1601" s="6" t="s">
        <v>104</v>
      </c>
      <c r="AR1601" s="6" t="s">
        <v>16072</v>
      </c>
      <c r="AS1601" s="6" t="s">
        <v>16683</v>
      </c>
      <c r="AT1601" s="6" t="s">
        <v>16931</v>
      </c>
      <c r="AU1601" s="6" t="s">
        <v>17723</v>
      </c>
      <c r="AV1601" s="6" t="s">
        <v>104</v>
      </c>
      <c r="AW1601" s="6" t="s">
        <v>104</v>
      </c>
      <c r="AX1601" s="6" t="s">
        <v>21360</v>
      </c>
      <c r="AY1601" s="6" t="s">
        <v>23167</v>
      </c>
      <c r="AZ1601" s="6" t="s">
        <v>24096</v>
      </c>
      <c r="BA1601" s="6" t="s">
        <v>104</v>
      </c>
      <c r="BB1601" s="6" t="s">
        <v>104</v>
      </c>
      <c r="BC1601" s="26"/>
      <c r="BD1601" s="26"/>
      <c r="BE1601" s="26"/>
      <c r="BF1601" s="26"/>
      <c r="BG1601" s="26" t="s">
        <v>24533</v>
      </c>
      <c r="BH1601" s="26"/>
      <c r="BI1601" s="26"/>
      <c r="BJ1601" s="26"/>
      <c r="BK1601" s="26"/>
      <c r="BL1601" s="26"/>
      <c r="BM1601" s="26"/>
      <c r="BN1601" s="26"/>
      <c r="BO1601" s="26"/>
      <c r="BP1601" s="16" t="n">
        <v>45737</v>
      </c>
      <c r="BQ1601" s="28" t="str">
        <f>HYPERLINK("https://organic.ams.usda.gov/Integrity/Certificate.aspx?cid=71&amp;nopid=5520792062")</f>
        <v>https://organic.ams.usda.gov/Integrity/Certificate.aspx?cid=71&amp;nopid=5520792062</v>
      </c>
    </row>
    <row r="1602">
      <c r="A1602" t="s">
        <v>3</v>
      </c>
      <c r="B1602" s="6" t="s">
        <v>15</v>
      </c>
      <c r="C1602" s="6" t="s">
        <v>81</v>
      </c>
      <c r="D1602" s="6" t="s">
        <v>146</v>
      </c>
      <c r="E1602" s="10" t="s">
        <v>1800</v>
      </c>
      <c r="F1602" s="6" t="s">
        <v>4031</v>
      </c>
      <c r="G1602" s="6" t="s">
        <v>104</v>
      </c>
      <c r="H1602" s="6" t="s">
        <v>6339</v>
      </c>
      <c r="I1602" s="6" t="s">
        <v>104</v>
      </c>
      <c r="J1602" s="6" t="s">
        <v>104</v>
      </c>
      <c r="K1602" s="6" t="s">
        <v>9714</v>
      </c>
      <c r="L1602" s="16" t="n">
        <v>43438</v>
      </c>
      <c r="M1602" s="16" t="n">
        <v>45748</v>
      </c>
      <c r="N1602" s="6" t="s">
        <v>9714</v>
      </c>
      <c r="O1602" s="16" t="n">
        <v>43438</v>
      </c>
      <c r="P1602" s="6" t="s">
        <v>10158</v>
      </c>
      <c r="Q1602" s="6" t="s">
        <v>104</v>
      </c>
      <c r="R1602" s="6" t="s">
        <v>10418</v>
      </c>
      <c r="S1602" s="6" t="s">
        <v>104</v>
      </c>
      <c r="T1602" s="21" t="s">
        <v>104</v>
      </c>
      <c r="U1602" s="6" t="s">
        <v>104</v>
      </c>
      <c r="V1602" s="6" t="s">
        <v>104</v>
      </c>
      <c r="W1602" s="6" t="s">
        <v>104</v>
      </c>
      <c r="X1602" s="6" t="s">
        <v>104</v>
      </c>
      <c r="Y1602" s="21" t="s">
        <v>104</v>
      </c>
      <c r="Z1602" s="6" t="s">
        <v>104</v>
      </c>
      <c r="AA1602" s="6" t="s">
        <v>104</v>
      </c>
      <c r="AB1602" s="6" t="s">
        <v>104</v>
      </c>
      <c r="AC1602" s="6" t="s">
        <v>9714</v>
      </c>
      <c r="AD1602" s="16" t="n">
        <v>43438</v>
      </c>
      <c r="AE1602" s="6" t="s">
        <v>11919</v>
      </c>
      <c r="AF1602" s="6" t="s">
        <v>104</v>
      </c>
      <c r="AG1602" s="6" t="s">
        <v>10418</v>
      </c>
      <c r="AH1602" s="6" t="s">
        <v>14623</v>
      </c>
      <c r="AI1602" s="6" t="s">
        <v>104</v>
      </c>
      <c r="AJ1602" s="6" t="s">
        <v>16363</v>
      </c>
      <c r="AK1602" s="6" t="s">
        <v>16714</v>
      </c>
      <c r="AL1602" s="6" t="s">
        <v>16931</v>
      </c>
      <c r="AM1602" s="6" t="s">
        <v>18058</v>
      </c>
      <c r="AN1602" s="6" t="s">
        <v>18520</v>
      </c>
      <c r="AO1602" s="6" t="s">
        <v>18686</v>
      </c>
      <c r="AP1602" s="6" t="s">
        <v>104</v>
      </c>
      <c r="AQ1602" s="6" t="s">
        <v>104</v>
      </c>
      <c r="AR1602" s="6" t="s">
        <v>104</v>
      </c>
      <c r="AS1602" s="6" t="s">
        <v>104</v>
      </c>
      <c r="AT1602" s="6" t="s">
        <v>104</v>
      </c>
      <c r="AU1602" s="6" t="s">
        <v>104</v>
      </c>
      <c r="AV1602" s="6" t="s">
        <v>104</v>
      </c>
      <c r="AW1602" s="6" t="s">
        <v>104</v>
      </c>
      <c r="AX1602" s="6" t="s">
        <v>21361</v>
      </c>
      <c r="AY1602" s="6" t="s">
        <v>23168</v>
      </c>
      <c r="AZ1602" s="6" t="s">
        <v>104</v>
      </c>
      <c r="BA1602" s="6" t="s">
        <v>104</v>
      </c>
      <c r="BB1602" s="24" t="n">
        <v>397</v>
      </c>
      <c r="BC1602" s="26"/>
      <c r="BD1602" s="26"/>
      <c r="BE1602" s="26"/>
      <c r="BF1602" s="26"/>
      <c r="BG1602" s="26"/>
      <c r="BH1602" s="26"/>
      <c r="BI1602" s="26"/>
      <c r="BJ1602" s="26"/>
      <c r="BK1602" s="26"/>
      <c r="BL1602" s="26"/>
      <c r="BM1602" s="26"/>
      <c r="BN1602" s="26"/>
      <c r="BO1602" s="26"/>
      <c r="BP1602" s="16" t="n">
        <v>45738</v>
      </c>
      <c r="BQ1602" s="28" t="str">
        <f>HYPERLINK("https://organic.ams.usda.gov/Integrity/Certificate.aspx?cid=52&amp;nopid=8431801565")</f>
        <v>https://organic.ams.usda.gov/Integrity/Certificate.aspx?cid=52&amp;nopid=8431801565</v>
      </c>
    </row>
    <row r="1603">
      <c r="A1603" t="s">
        <v>3</v>
      </c>
      <c r="B1603" s="6" t="s">
        <v>50</v>
      </c>
      <c r="C1603" s="6" t="s">
        <v>116</v>
      </c>
      <c r="D1603" s="6" t="s">
        <v>180</v>
      </c>
      <c r="E1603" s="10" t="s">
        <v>1801</v>
      </c>
      <c r="F1603" s="6" t="s">
        <v>4032</v>
      </c>
      <c r="G1603" s="6" t="s">
        <v>104</v>
      </c>
      <c r="H1603" s="6" t="s">
        <v>6340</v>
      </c>
      <c r="I1603" s="6" t="s">
        <v>7841</v>
      </c>
      <c r="J1603" s="6" t="s">
        <v>9298</v>
      </c>
      <c r="K1603" s="6" t="s">
        <v>9714</v>
      </c>
      <c r="L1603" s="16" t="n">
        <v>44228</v>
      </c>
      <c r="M1603" s="16" t="n">
        <v>46054</v>
      </c>
      <c r="N1603" s="6" t="s">
        <v>104</v>
      </c>
      <c r="O1603" s="21" t="s">
        <v>104</v>
      </c>
      <c r="P1603" s="6" t="s">
        <v>104</v>
      </c>
      <c r="Q1603" s="6" t="s">
        <v>104</v>
      </c>
      <c r="R1603" s="6" t="s">
        <v>104</v>
      </c>
      <c r="S1603" s="6" t="s">
        <v>104</v>
      </c>
      <c r="T1603" s="21" t="s">
        <v>104</v>
      </c>
      <c r="U1603" s="6" t="s">
        <v>104</v>
      </c>
      <c r="V1603" s="6" t="s">
        <v>104</v>
      </c>
      <c r="W1603" s="6" t="s">
        <v>104</v>
      </c>
      <c r="X1603" s="6" t="s">
        <v>104</v>
      </c>
      <c r="Y1603" s="21" t="s">
        <v>104</v>
      </c>
      <c r="Z1603" s="6" t="s">
        <v>104</v>
      </c>
      <c r="AA1603" s="6" t="s">
        <v>104</v>
      </c>
      <c r="AB1603" s="6" t="s">
        <v>104</v>
      </c>
      <c r="AC1603" s="6" t="s">
        <v>9714</v>
      </c>
      <c r="AD1603" s="16" t="n">
        <v>44228</v>
      </c>
      <c r="AE1603" s="6" t="s">
        <v>11920</v>
      </c>
      <c r="AF1603" s="6" t="s">
        <v>104</v>
      </c>
      <c r="AG1603" s="6" t="s">
        <v>6340</v>
      </c>
      <c r="AH1603" s="6" t="s">
        <v>14624</v>
      </c>
      <c r="AI1603" s="6" t="s">
        <v>104</v>
      </c>
      <c r="AJ1603" s="6" t="s">
        <v>16364</v>
      </c>
      <c r="AK1603" s="6" t="s">
        <v>16745</v>
      </c>
      <c r="AL1603" s="6" t="s">
        <v>16931</v>
      </c>
      <c r="AM1603" s="6" t="s">
        <v>18059</v>
      </c>
      <c r="AN1603" s="6" t="s">
        <v>18459</v>
      </c>
      <c r="AO1603" s="6" t="s">
        <v>18616</v>
      </c>
      <c r="AP1603" s="6" t="s">
        <v>14624</v>
      </c>
      <c r="AQ1603" s="6" t="s">
        <v>104</v>
      </c>
      <c r="AR1603" s="6" t="s">
        <v>16364</v>
      </c>
      <c r="AS1603" s="6" t="s">
        <v>16745</v>
      </c>
      <c r="AT1603" s="6" t="s">
        <v>16931</v>
      </c>
      <c r="AU1603" s="6" t="s">
        <v>18059</v>
      </c>
      <c r="AV1603" s="6" t="s">
        <v>104</v>
      </c>
      <c r="AW1603" s="6" t="s">
        <v>104</v>
      </c>
      <c r="AX1603" s="6" t="s">
        <v>21362</v>
      </c>
      <c r="AY1603" s="6" t="s">
        <v>23169</v>
      </c>
      <c r="AZ1603" s="6" t="s">
        <v>24097</v>
      </c>
      <c r="BA1603" s="6" t="s">
        <v>104</v>
      </c>
      <c r="BB1603" s="24" t="n">
        <v>0</v>
      </c>
      <c r="BC1603" s="26"/>
      <c r="BD1603" s="26"/>
      <c r="BE1603" s="26"/>
      <c r="BF1603" s="26"/>
      <c r="BG1603" s="26"/>
      <c r="BH1603" s="26"/>
      <c r="BI1603" s="26"/>
      <c r="BJ1603" s="26"/>
      <c r="BK1603" s="26"/>
      <c r="BL1603" s="26"/>
      <c r="BM1603" s="26"/>
      <c r="BN1603" s="26"/>
      <c r="BO1603" s="26"/>
      <c r="BP1603" s="16" t="n">
        <v>45699</v>
      </c>
      <c r="BQ1603" s="28" t="str">
        <f>HYPERLINK("https://organic.ams.usda.gov/Integrity/Certificate.aspx?cid=80&amp;nopid=5090312391")</f>
        <v>https://organic.ams.usda.gov/Integrity/Certificate.aspx?cid=80&amp;nopid=5090312391</v>
      </c>
    </row>
    <row r="1604">
      <c r="A1604" t="s">
        <v>3</v>
      </c>
      <c r="B1604" s="6" t="s">
        <v>21</v>
      </c>
      <c r="C1604" s="6" t="s">
        <v>87</v>
      </c>
      <c r="D1604" s="6" t="s">
        <v>152</v>
      </c>
      <c r="E1604" s="10" t="s">
        <v>1802</v>
      </c>
      <c r="F1604" s="6" t="s">
        <v>4033</v>
      </c>
      <c r="G1604" s="6" t="s">
        <v>4826</v>
      </c>
      <c r="H1604" s="6" t="s">
        <v>6341</v>
      </c>
      <c r="I1604" s="6" t="s">
        <v>7842</v>
      </c>
      <c r="J1604" s="6" t="s">
        <v>9299</v>
      </c>
      <c r="K1604" s="6" t="s">
        <v>9714</v>
      </c>
      <c r="L1604" s="16" t="n">
        <v>39268</v>
      </c>
      <c r="M1604" s="16" t="n">
        <v>46023</v>
      </c>
      <c r="N1604" s="6" t="s">
        <v>9714</v>
      </c>
      <c r="O1604" s="16" t="n">
        <v>39268</v>
      </c>
      <c r="P1604" s="6" t="s">
        <v>10159</v>
      </c>
      <c r="Q1604" s="6" t="s">
        <v>104</v>
      </c>
      <c r="R1604" s="6" t="s">
        <v>104</v>
      </c>
      <c r="S1604" s="6" t="s">
        <v>104</v>
      </c>
      <c r="T1604" s="21" t="s">
        <v>104</v>
      </c>
      <c r="U1604" s="6" t="s">
        <v>104</v>
      </c>
      <c r="V1604" s="6" t="s">
        <v>104</v>
      </c>
      <c r="W1604" s="6" t="s">
        <v>104</v>
      </c>
      <c r="X1604" s="6" t="s">
        <v>104</v>
      </c>
      <c r="Y1604" s="21" t="s">
        <v>104</v>
      </c>
      <c r="Z1604" s="6" t="s">
        <v>104</v>
      </c>
      <c r="AA1604" s="6" t="s">
        <v>104</v>
      </c>
      <c r="AB1604" s="6" t="s">
        <v>104</v>
      </c>
      <c r="AC1604" s="6" t="s">
        <v>9714</v>
      </c>
      <c r="AD1604" s="16" t="n">
        <v>42821</v>
      </c>
      <c r="AE1604" s="6" t="s">
        <v>11921</v>
      </c>
      <c r="AF1604" s="6" t="s">
        <v>104</v>
      </c>
      <c r="AG1604" s="6" t="s">
        <v>104</v>
      </c>
      <c r="AH1604" s="6" t="s">
        <v>14625</v>
      </c>
      <c r="AI1604" s="6" t="s">
        <v>104</v>
      </c>
      <c r="AJ1604" s="6" t="s">
        <v>16365</v>
      </c>
      <c r="AK1604" s="6" t="s">
        <v>16687</v>
      </c>
      <c r="AL1604" s="6" t="s">
        <v>16931</v>
      </c>
      <c r="AM1604" s="6" t="s">
        <v>18060</v>
      </c>
      <c r="AN1604" s="6" t="s">
        <v>18486</v>
      </c>
      <c r="AO1604" s="6" t="s">
        <v>18641</v>
      </c>
      <c r="AP1604" s="6" t="s">
        <v>14625</v>
      </c>
      <c r="AQ1604" s="6" t="s">
        <v>104</v>
      </c>
      <c r="AR1604" s="6" t="s">
        <v>16365</v>
      </c>
      <c r="AS1604" s="6" t="s">
        <v>16687</v>
      </c>
      <c r="AT1604" s="6" t="s">
        <v>16931</v>
      </c>
      <c r="AU1604" s="6" t="s">
        <v>18060</v>
      </c>
      <c r="AV1604" s="6" t="s">
        <v>104</v>
      </c>
      <c r="AW1604" s="6" t="s">
        <v>104</v>
      </c>
      <c r="AX1604" s="6" t="s">
        <v>21363</v>
      </c>
      <c r="AY1604" s="6" t="s">
        <v>23170</v>
      </c>
      <c r="AZ1604" s="6" t="s">
        <v>104</v>
      </c>
      <c r="BA1604" s="6" t="s">
        <v>24463</v>
      </c>
      <c r="BB1604" s="24" t="n">
        <v>2647</v>
      </c>
      <c r="BC1604" s="26"/>
      <c r="BD1604" s="26"/>
      <c r="BE1604" s="26"/>
      <c r="BF1604" s="26"/>
      <c r="BG1604" s="26"/>
      <c r="BH1604" s="26"/>
      <c r="BI1604" s="26"/>
      <c r="BJ1604" s="26"/>
      <c r="BK1604" s="26"/>
      <c r="BL1604" s="26"/>
      <c r="BM1604" s="26"/>
      <c r="BN1604" s="26" t="s">
        <v>24533</v>
      </c>
      <c r="BO1604" s="26"/>
      <c r="BP1604" s="16" t="n">
        <v>45686</v>
      </c>
      <c r="BQ1604" s="28" t="str">
        <f>HYPERLINK("https://organic.ams.usda.gov/Integrity/Certificate.aspx?cid=15&amp;nopid=5561000827")</f>
        <v>https://organic.ams.usda.gov/Integrity/Certificate.aspx?cid=15&amp;nopid=5561000827</v>
      </c>
    </row>
    <row r="1605">
      <c r="A1605" t="s">
        <v>3</v>
      </c>
      <c r="B1605" s="6" t="s">
        <v>25</v>
      </c>
      <c r="C1605" s="6" t="s">
        <v>91</v>
      </c>
      <c r="D1605" s="6" t="s">
        <v>156</v>
      </c>
      <c r="E1605" s="10" t="s">
        <v>1803</v>
      </c>
      <c r="F1605" s="6" t="s">
        <v>4034</v>
      </c>
      <c r="G1605" s="6" t="s">
        <v>4827</v>
      </c>
      <c r="H1605" s="6" t="s">
        <v>6342</v>
      </c>
      <c r="I1605" s="6" t="s">
        <v>6939</v>
      </c>
      <c r="J1605" s="6" t="s">
        <v>8151</v>
      </c>
      <c r="K1605" s="6" t="s">
        <v>9714</v>
      </c>
      <c r="L1605" s="16" t="n">
        <v>43528</v>
      </c>
      <c r="M1605" s="16" t="n">
        <v>45718</v>
      </c>
      <c r="N1605" s="6" t="s">
        <v>104</v>
      </c>
      <c r="O1605" s="21" t="s">
        <v>104</v>
      </c>
      <c r="P1605" s="6" t="s">
        <v>104</v>
      </c>
      <c r="Q1605" s="6" t="s">
        <v>104</v>
      </c>
      <c r="R1605" s="6" t="s">
        <v>104</v>
      </c>
      <c r="S1605" s="6" t="s">
        <v>104</v>
      </c>
      <c r="T1605" s="21" t="s">
        <v>104</v>
      </c>
      <c r="U1605" s="6" t="s">
        <v>104</v>
      </c>
      <c r="V1605" s="6" t="s">
        <v>104</v>
      </c>
      <c r="W1605" s="6" t="s">
        <v>104</v>
      </c>
      <c r="X1605" s="6" t="s">
        <v>104</v>
      </c>
      <c r="Y1605" s="21" t="s">
        <v>104</v>
      </c>
      <c r="Z1605" s="6" t="s">
        <v>104</v>
      </c>
      <c r="AA1605" s="6" t="s">
        <v>104</v>
      </c>
      <c r="AB1605" s="6" t="s">
        <v>104</v>
      </c>
      <c r="AC1605" s="6" t="s">
        <v>9714</v>
      </c>
      <c r="AD1605" s="16" t="n">
        <v>43528</v>
      </c>
      <c r="AE1605" s="6" t="s">
        <v>11546</v>
      </c>
      <c r="AF1605" s="6" t="s">
        <v>104</v>
      </c>
      <c r="AG1605" s="6" t="s">
        <v>104</v>
      </c>
      <c r="AH1605" s="6" t="s">
        <v>14225</v>
      </c>
      <c r="AI1605" s="6" t="s">
        <v>104</v>
      </c>
      <c r="AJ1605" s="6" t="s">
        <v>15379</v>
      </c>
      <c r="AK1605" s="6" t="s">
        <v>16691</v>
      </c>
      <c r="AL1605" s="6" t="s">
        <v>16935</v>
      </c>
      <c r="AM1605" s="6" t="s">
        <v>17774</v>
      </c>
      <c r="AN1605" s="6" t="s">
        <v>104</v>
      </c>
      <c r="AO1605" s="6" t="s">
        <v>104</v>
      </c>
      <c r="AP1605" s="6" t="s">
        <v>19383</v>
      </c>
      <c r="AQ1605" s="6" t="s">
        <v>104</v>
      </c>
      <c r="AR1605" s="6" t="s">
        <v>16124</v>
      </c>
      <c r="AS1605" s="6" t="s">
        <v>16691</v>
      </c>
      <c r="AT1605" s="6" t="s">
        <v>16935</v>
      </c>
      <c r="AU1605" s="6" t="s">
        <v>5060</v>
      </c>
      <c r="AV1605" s="6" t="s">
        <v>104</v>
      </c>
      <c r="AW1605" s="6" t="s">
        <v>104</v>
      </c>
      <c r="AX1605" s="6" t="s">
        <v>20137</v>
      </c>
      <c r="AY1605" s="6" t="s">
        <v>21875</v>
      </c>
      <c r="AZ1605" s="6" t="s">
        <v>104</v>
      </c>
      <c r="BA1605" s="6" t="s">
        <v>24264</v>
      </c>
      <c r="BB1605" s="6" t="s">
        <v>104</v>
      </c>
      <c r="BC1605" s="26"/>
      <c r="BD1605" s="26"/>
      <c r="BE1605" s="26"/>
      <c r="BF1605" s="26"/>
      <c r="BG1605" s="26"/>
      <c r="BH1605" s="26"/>
      <c r="BI1605" s="26"/>
      <c r="BJ1605" s="26"/>
      <c r="BK1605" s="26"/>
      <c r="BL1605" s="26"/>
      <c r="BM1605" s="26"/>
      <c r="BN1605" s="26"/>
      <c r="BO1605" s="26"/>
      <c r="BP1605" s="16" t="n">
        <v>45679</v>
      </c>
      <c r="BQ1605" s="28" t="str">
        <f>HYPERLINK("https://organic.ams.usda.gov/Integrity/Certificate.aspx?cid=66&amp;nopid=5500006024")</f>
        <v>https://organic.ams.usda.gov/Integrity/Certificate.aspx?cid=66&amp;nopid=5500006024</v>
      </c>
    </row>
    <row r="1606">
      <c r="A1606" t="s">
        <v>3</v>
      </c>
      <c r="B1606" s="6" t="s">
        <v>25</v>
      </c>
      <c r="C1606" s="6" t="s">
        <v>91</v>
      </c>
      <c r="D1606" s="6" t="s">
        <v>156</v>
      </c>
      <c r="E1606" s="10" t="s">
        <v>1804</v>
      </c>
      <c r="F1606" s="6" t="s">
        <v>4034</v>
      </c>
      <c r="G1606" s="6" t="s">
        <v>4780</v>
      </c>
      <c r="H1606" s="6" t="s">
        <v>6343</v>
      </c>
      <c r="I1606" s="6" t="s">
        <v>6939</v>
      </c>
      <c r="J1606" s="6" t="s">
        <v>8151</v>
      </c>
      <c r="K1606" s="6" t="s">
        <v>9714</v>
      </c>
      <c r="L1606" s="16" t="n">
        <v>43894</v>
      </c>
      <c r="M1606" s="16" t="n">
        <v>45718</v>
      </c>
      <c r="N1606" s="6" t="s">
        <v>104</v>
      </c>
      <c r="O1606" s="21" t="s">
        <v>104</v>
      </c>
      <c r="P1606" s="6" t="s">
        <v>104</v>
      </c>
      <c r="Q1606" s="6" t="s">
        <v>104</v>
      </c>
      <c r="R1606" s="6" t="s">
        <v>104</v>
      </c>
      <c r="S1606" s="6" t="s">
        <v>104</v>
      </c>
      <c r="T1606" s="21" t="s">
        <v>104</v>
      </c>
      <c r="U1606" s="6" t="s">
        <v>104</v>
      </c>
      <c r="V1606" s="6" t="s">
        <v>104</v>
      </c>
      <c r="W1606" s="6" t="s">
        <v>104</v>
      </c>
      <c r="X1606" s="6" t="s">
        <v>104</v>
      </c>
      <c r="Y1606" s="21" t="s">
        <v>104</v>
      </c>
      <c r="Z1606" s="6" t="s">
        <v>104</v>
      </c>
      <c r="AA1606" s="6" t="s">
        <v>104</v>
      </c>
      <c r="AB1606" s="6" t="s">
        <v>104</v>
      </c>
      <c r="AC1606" s="6" t="s">
        <v>9714</v>
      </c>
      <c r="AD1606" s="16" t="n">
        <v>43894</v>
      </c>
      <c r="AE1606" s="6" t="s">
        <v>11546</v>
      </c>
      <c r="AF1606" s="6" t="s">
        <v>104</v>
      </c>
      <c r="AG1606" s="6" t="s">
        <v>104</v>
      </c>
      <c r="AH1606" s="6" t="s">
        <v>14626</v>
      </c>
      <c r="AI1606" s="6" t="s">
        <v>104</v>
      </c>
      <c r="AJ1606" s="6" t="s">
        <v>16124</v>
      </c>
      <c r="AK1606" s="6" t="s">
        <v>16691</v>
      </c>
      <c r="AL1606" s="6" t="s">
        <v>16935</v>
      </c>
      <c r="AM1606" s="6" t="s">
        <v>5060</v>
      </c>
      <c r="AN1606" s="6" t="s">
        <v>104</v>
      </c>
      <c r="AO1606" s="6" t="s">
        <v>104</v>
      </c>
      <c r="AP1606" s="6" t="s">
        <v>19383</v>
      </c>
      <c r="AQ1606" s="6" t="s">
        <v>104</v>
      </c>
      <c r="AR1606" s="6" t="s">
        <v>16124</v>
      </c>
      <c r="AS1606" s="6" t="s">
        <v>16691</v>
      </c>
      <c r="AT1606" s="6" t="s">
        <v>16935</v>
      </c>
      <c r="AU1606" s="6" t="s">
        <v>5060</v>
      </c>
      <c r="AV1606" s="6" t="s">
        <v>104</v>
      </c>
      <c r="AW1606" s="6" t="s">
        <v>104</v>
      </c>
      <c r="AX1606" s="6" t="s">
        <v>20137</v>
      </c>
      <c r="AY1606" s="6" t="s">
        <v>21875</v>
      </c>
      <c r="AZ1606" s="6" t="s">
        <v>104</v>
      </c>
      <c r="BA1606" s="6" t="s">
        <v>24264</v>
      </c>
      <c r="BB1606" s="6" t="s">
        <v>104</v>
      </c>
      <c r="BC1606" s="26"/>
      <c r="BD1606" s="26"/>
      <c r="BE1606" s="26"/>
      <c r="BF1606" s="26"/>
      <c r="BG1606" s="26"/>
      <c r="BH1606" s="26"/>
      <c r="BI1606" s="26"/>
      <c r="BJ1606" s="26"/>
      <c r="BK1606" s="26"/>
      <c r="BL1606" s="26"/>
      <c r="BM1606" s="26"/>
      <c r="BN1606" s="26"/>
      <c r="BO1606" s="26"/>
      <c r="BP1606" s="16" t="n">
        <v>45642</v>
      </c>
      <c r="BQ1606" s="28" t="str">
        <f>HYPERLINK("https://organic.ams.usda.gov/Integrity/Certificate.aspx?cid=66&amp;nopid=5500006304")</f>
        <v>https://organic.ams.usda.gov/Integrity/Certificate.aspx?cid=66&amp;nopid=5500006304</v>
      </c>
    </row>
    <row r="1607">
      <c r="A1607" t="s">
        <v>3</v>
      </c>
      <c r="B1607" s="6" t="s">
        <v>25</v>
      </c>
      <c r="C1607" s="6" t="s">
        <v>91</v>
      </c>
      <c r="D1607" s="6" t="s">
        <v>156</v>
      </c>
      <c r="E1607" s="10" t="s">
        <v>1805</v>
      </c>
      <c r="F1607" s="6" t="s">
        <v>4034</v>
      </c>
      <c r="G1607" s="6" t="s">
        <v>4828</v>
      </c>
      <c r="H1607" s="6" t="s">
        <v>6344</v>
      </c>
      <c r="I1607" s="6" t="s">
        <v>6939</v>
      </c>
      <c r="J1607" s="6" t="s">
        <v>8151</v>
      </c>
      <c r="K1607" s="6" t="s">
        <v>9714</v>
      </c>
      <c r="L1607" s="16" t="n">
        <v>43728</v>
      </c>
      <c r="M1607" s="16" t="n">
        <v>45796</v>
      </c>
      <c r="N1607" s="6" t="s">
        <v>104</v>
      </c>
      <c r="O1607" s="21" t="s">
        <v>104</v>
      </c>
      <c r="P1607" s="6" t="s">
        <v>104</v>
      </c>
      <c r="Q1607" s="6" t="s">
        <v>104</v>
      </c>
      <c r="R1607" s="6" t="s">
        <v>104</v>
      </c>
      <c r="S1607" s="6" t="s">
        <v>104</v>
      </c>
      <c r="T1607" s="21" t="s">
        <v>104</v>
      </c>
      <c r="U1607" s="6" t="s">
        <v>104</v>
      </c>
      <c r="V1607" s="6" t="s">
        <v>104</v>
      </c>
      <c r="W1607" s="6" t="s">
        <v>104</v>
      </c>
      <c r="X1607" s="6" t="s">
        <v>104</v>
      </c>
      <c r="Y1607" s="21" t="s">
        <v>104</v>
      </c>
      <c r="Z1607" s="6" t="s">
        <v>104</v>
      </c>
      <c r="AA1607" s="6" t="s">
        <v>104</v>
      </c>
      <c r="AB1607" s="6" t="s">
        <v>104</v>
      </c>
      <c r="AC1607" s="6" t="s">
        <v>9714</v>
      </c>
      <c r="AD1607" s="16" t="n">
        <v>43728</v>
      </c>
      <c r="AE1607" s="6" t="s">
        <v>11922</v>
      </c>
      <c r="AF1607" s="6" t="s">
        <v>104</v>
      </c>
      <c r="AG1607" s="6" t="s">
        <v>104</v>
      </c>
      <c r="AH1607" s="6" t="s">
        <v>14627</v>
      </c>
      <c r="AI1607" s="6" t="s">
        <v>104</v>
      </c>
      <c r="AJ1607" s="6" t="s">
        <v>16366</v>
      </c>
      <c r="AK1607" s="6" t="s">
        <v>16691</v>
      </c>
      <c r="AL1607" s="6" t="s">
        <v>16935</v>
      </c>
      <c r="AM1607" s="6" t="s">
        <v>18061</v>
      </c>
      <c r="AN1607" s="6" t="s">
        <v>104</v>
      </c>
      <c r="AO1607" s="6" t="s">
        <v>104</v>
      </c>
      <c r="AP1607" s="6" t="s">
        <v>19383</v>
      </c>
      <c r="AQ1607" s="6" t="s">
        <v>104</v>
      </c>
      <c r="AR1607" s="6" t="s">
        <v>16124</v>
      </c>
      <c r="AS1607" s="6" t="s">
        <v>16691</v>
      </c>
      <c r="AT1607" s="6" t="s">
        <v>16935</v>
      </c>
      <c r="AU1607" s="6" t="s">
        <v>5060</v>
      </c>
      <c r="AV1607" s="6" t="s">
        <v>104</v>
      </c>
      <c r="AW1607" s="6" t="s">
        <v>104</v>
      </c>
      <c r="AX1607" s="6" t="s">
        <v>20137</v>
      </c>
      <c r="AY1607" s="6" t="s">
        <v>21875</v>
      </c>
      <c r="AZ1607" s="6" t="s">
        <v>104</v>
      </c>
      <c r="BA1607" s="6" t="s">
        <v>24264</v>
      </c>
      <c r="BB1607" s="6" t="s">
        <v>104</v>
      </c>
      <c r="BC1607" s="26"/>
      <c r="BD1607" s="26"/>
      <c r="BE1607" s="26"/>
      <c r="BF1607" s="26"/>
      <c r="BG1607" s="26"/>
      <c r="BH1607" s="26"/>
      <c r="BI1607" s="26"/>
      <c r="BJ1607" s="26"/>
      <c r="BK1607" s="26"/>
      <c r="BL1607" s="26"/>
      <c r="BM1607" s="26"/>
      <c r="BN1607" s="26"/>
      <c r="BO1607" s="26"/>
      <c r="BP1607" s="16" t="n">
        <v>45637</v>
      </c>
      <c r="BQ1607" s="28" t="str">
        <f>HYPERLINK("https://organic.ams.usda.gov/Integrity/Certificate.aspx?cid=66&amp;nopid=5500006152")</f>
        <v>https://organic.ams.usda.gov/Integrity/Certificate.aspx?cid=66&amp;nopid=5500006152</v>
      </c>
    </row>
    <row r="1608">
      <c r="A1608" t="s">
        <v>3</v>
      </c>
      <c r="B1608" s="6" t="s">
        <v>8</v>
      </c>
      <c r="C1608" s="6" t="s">
        <v>74</v>
      </c>
      <c r="D1608" s="6" t="s">
        <v>139</v>
      </c>
      <c r="E1608" s="10" t="s">
        <v>1806</v>
      </c>
      <c r="F1608" s="6" t="s">
        <v>4035</v>
      </c>
      <c r="G1608" s="6" t="s">
        <v>104</v>
      </c>
      <c r="H1608" s="6" t="s">
        <v>1806</v>
      </c>
      <c r="I1608" s="6" t="s">
        <v>7246</v>
      </c>
      <c r="J1608" s="6" t="s">
        <v>7037</v>
      </c>
      <c r="K1608" s="6" t="s">
        <v>9714</v>
      </c>
      <c r="L1608" s="16" t="n">
        <v>44434</v>
      </c>
      <c r="M1608" s="16" t="n">
        <v>45731</v>
      </c>
      <c r="N1608" s="6" t="s">
        <v>9714</v>
      </c>
      <c r="O1608" s="16" t="n">
        <v>44434</v>
      </c>
      <c r="P1608" s="6" t="s">
        <v>10160</v>
      </c>
      <c r="Q1608" s="6" t="s">
        <v>104</v>
      </c>
      <c r="R1608" s="6" t="s">
        <v>104</v>
      </c>
      <c r="S1608" s="6" t="s">
        <v>9714</v>
      </c>
      <c r="T1608" s="16" t="n">
        <v>44434</v>
      </c>
      <c r="U1608" s="6" t="s">
        <v>10499</v>
      </c>
      <c r="V1608" s="6" t="s">
        <v>104</v>
      </c>
      <c r="W1608" s="6" t="s">
        <v>104</v>
      </c>
      <c r="X1608" s="6" t="s">
        <v>104</v>
      </c>
      <c r="Y1608" s="21" t="s">
        <v>104</v>
      </c>
      <c r="Z1608" s="6" t="s">
        <v>104</v>
      </c>
      <c r="AA1608" s="6" t="s">
        <v>104</v>
      </c>
      <c r="AB1608" s="6" t="s">
        <v>104</v>
      </c>
      <c r="AC1608" s="6" t="s">
        <v>104</v>
      </c>
      <c r="AD1608" s="21" t="s">
        <v>104</v>
      </c>
      <c r="AE1608" s="6" t="s">
        <v>104</v>
      </c>
      <c r="AF1608" s="6" t="s">
        <v>104</v>
      </c>
      <c r="AG1608" s="6" t="s">
        <v>104</v>
      </c>
      <c r="AH1608" s="6" t="s">
        <v>14628</v>
      </c>
      <c r="AI1608" s="6" t="s">
        <v>104</v>
      </c>
      <c r="AJ1608" s="6" t="s">
        <v>16367</v>
      </c>
      <c r="AK1608" s="6" t="s">
        <v>16679</v>
      </c>
      <c r="AL1608" s="6" t="s">
        <v>16931</v>
      </c>
      <c r="AM1608" s="6" t="s">
        <v>18062</v>
      </c>
      <c r="AN1608" s="6" t="s">
        <v>18525</v>
      </c>
      <c r="AO1608" s="6" t="s">
        <v>18866</v>
      </c>
      <c r="AP1608" s="6" t="s">
        <v>14628</v>
      </c>
      <c r="AQ1608" s="6" t="s">
        <v>104</v>
      </c>
      <c r="AR1608" s="6" t="s">
        <v>16367</v>
      </c>
      <c r="AS1608" s="6" t="s">
        <v>16679</v>
      </c>
      <c r="AT1608" s="6" t="s">
        <v>16931</v>
      </c>
      <c r="AU1608" s="6" t="s">
        <v>18062</v>
      </c>
      <c r="AV1608" s="6" t="s">
        <v>104</v>
      </c>
      <c r="AW1608" s="6" t="s">
        <v>104</v>
      </c>
      <c r="AX1608" s="6" t="s">
        <v>21364</v>
      </c>
      <c r="AY1608" s="6" t="s">
        <v>23171</v>
      </c>
      <c r="AZ1608" s="6" t="s">
        <v>104</v>
      </c>
      <c r="BA1608" s="6" t="s">
        <v>24464</v>
      </c>
      <c r="BB1608" s="24" t="n">
        <v>7520</v>
      </c>
      <c r="BC1608" s="26"/>
      <c r="BD1608" s="26"/>
      <c r="BE1608" s="26"/>
      <c r="BF1608" s="26"/>
      <c r="BG1608" s="26"/>
      <c r="BH1608" s="26"/>
      <c r="BI1608" s="26"/>
      <c r="BJ1608" s="26"/>
      <c r="BK1608" s="26"/>
      <c r="BL1608" s="26"/>
      <c r="BM1608" s="26"/>
      <c r="BN1608" s="26"/>
      <c r="BO1608" s="26"/>
      <c r="BP1608" s="16" t="n">
        <v>45660</v>
      </c>
      <c r="BQ1608" s="28" t="str">
        <f>HYPERLINK("https://organic.ams.usda.gov/Integrity/Certificate.aspx?cid=48&amp;nopid=1461955760")</f>
        <v>https://organic.ams.usda.gov/Integrity/Certificate.aspx?cid=48&amp;nopid=1461955760</v>
      </c>
    </row>
    <row r="1609">
      <c r="A1609" t="s">
        <v>3</v>
      </c>
      <c r="B1609" s="6" t="s">
        <v>32</v>
      </c>
      <c r="C1609" s="6" t="s">
        <v>98</v>
      </c>
      <c r="D1609" s="6" t="s">
        <v>163</v>
      </c>
      <c r="E1609" s="10" t="s">
        <v>1807</v>
      </c>
      <c r="F1609" s="6" t="s">
        <v>4036</v>
      </c>
      <c r="G1609" s="6" t="s">
        <v>104</v>
      </c>
      <c r="H1609" s="6" t="s">
        <v>6345</v>
      </c>
      <c r="I1609" s="6" t="s">
        <v>7843</v>
      </c>
      <c r="J1609" s="6" t="s">
        <v>9300</v>
      </c>
      <c r="K1609" s="6" t="s">
        <v>9714</v>
      </c>
      <c r="L1609" s="16" t="n">
        <v>42678</v>
      </c>
      <c r="M1609" s="16" t="n">
        <v>45748</v>
      </c>
      <c r="N1609" s="6" t="s">
        <v>104</v>
      </c>
      <c r="O1609" s="21" t="s">
        <v>104</v>
      </c>
      <c r="P1609" s="6" t="s">
        <v>104</v>
      </c>
      <c r="Q1609" s="6" t="s">
        <v>104</v>
      </c>
      <c r="R1609" s="6" t="s">
        <v>104</v>
      </c>
      <c r="S1609" s="6" t="s">
        <v>104</v>
      </c>
      <c r="T1609" s="21" t="s">
        <v>104</v>
      </c>
      <c r="U1609" s="6" t="s">
        <v>104</v>
      </c>
      <c r="V1609" s="6" t="s">
        <v>104</v>
      </c>
      <c r="W1609" s="6" t="s">
        <v>104</v>
      </c>
      <c r="X1609" s="6" t="s">
        <v>104</v>
      </c>
      <c r="Y1609" s="21" t="s">
        <v>104</v>
      </c>
      <c r="Z1609" s="6" t="s">
        <v>104</v>
      </c>
      <c r="AA1609" s="6" t="s">
        <v>104</v>
      </c>
      <c r="AB1609" s="6" t="s">
        <v>104</v>
      </c>
      <c r="AC1609" s="6" t="s">
        <v>9714</v>
      </c>
      <c r="AD1609" s="16" t="n">
        <v>42678</v>
      </c>
      <c r="AE1609" s="6" t="s">
        <v>11923</v>
      </c>
      <c r="AF1609" s="6" t="s">
        <v>104</v>
      </c>
      <c r="AG1609" s="6" t="s">
        <v>104</v>
      </c>
      <c r="AH1609" s="6" t="s">
        <v>14629</v>
      </c>
      <c r="AI1609" s="6" t="s">
        <v>104</v>
      </c>
      <c r="AJ1609" s="6" t="s">
        <v>16273</v>
      </c>
      <c r="AK1609" s="6" t="s">
        <v>16720</v>
      </c>
      <c r="AL1609" s="6" t="s">
        <v>16931</v>
      </c>
      <c r="AM1609" s="6" t="s">
        <v>18063</v>
      </c>
      <c r="AN1609" s="6" t="s">
        <v>18479</v>
      </c>
      <c r="AO1609" s="6" t="s">
        <v>18825</v>
      </c>
      <c r="AP1609" s="6" t="s">
        <v>104</v>
      </c>
      <c r="AQ1609" s="6" t="s">
        <v>104</v>
      </c>
      <c r="AR1609" s="6" t="s">
        <v>104</v>
      </c>
      <c r="AS1609" s="6" t="s">
        <v>104</v>
      </c>
      <c r="AT1609" s="6" t="s">
        <v>104</v>
      </c>
      <c r="AU1609" s="6" t="s">
        <v>104</v>
      </c>
      <c r="AV1609" s="6" t="s">
        <v>104</v>
      </c>
      <c r="AW1609" s="6" t="s">
        <v>104</v>
      </c>
      <c r="AX1609" s="6" t="s">
        <v>21365</v>
      </c>
      <c r="AY1609" s="6" t="s">
        <v>23172</v>
      </c>
      <c r="AZ1609" s="6" t="s">
        <v>104</v>
      </c>
      <c r="BA1609" s="6" t="s">
        <v>104</v>
      </c>
      <c r="BB1609" s="6" t="s">
        <v>104</v>
      </c>
      <c r="BC1609" s="26"/>
      <c r="BD1609" s="26"/>
      <c r="BE1609" s="26"/>
      <c r="BF1609" s="26"/>
      <c r="BG1609" s="26"/>
      <c r="BH1609" s="26"/>
      <c r="BI1609" s="26"/>
      <c r="BJ1609" s="26"/>
      <c r="BK1609" s="26"/>
      <c r="BL1609" s="26"/>
      <c r="BM1609" s="26"/>
      <c r="BN1609" s="26"/>
      <c r="BO1609" s="26"/>
      <c r="BP1609" s="16" t="n">
        <v>45664</v>
      </c>
      <c r="BQ1609" s="28" t="str">
        <f>HYPERLINK("https://organic.ams.usda.gov/Integrity/Certificate.aspx?cid=64&amp;nopid=8830001044")</f>
        <v>https://organic.ams.usda.gov/Integrity/Certificate.aspx?cid=64&amp;nopid=8830001044</v>
      </c>
    </row>
    <row r="1610">
      <c r="A1610" t="s">
        <v>3</v>
      </c>
      <c r="B1610" s="6" t="s">
        <v>21</v>
      </c>
      <c r="C1610" s="6" t="s">
        <v>87</v>
      </c>
      <c r="D1610" s="6" t="s">
        <v>152</v>
      </c>
      <c r="E1610" s="10" t="s">
        <v>1808</v>
      </c>
      <c r="F1610" s="6" t="s">
        <v>4037</v>
      </c>
      <c r="G1610" s="6" t="s">
        <v>104</v>
      </c>
      <c r="H1610" s="6" t="s">
        <v>6346</v>
      </c>
      <c r="I1610" s="6" t="s">
        <v>7142</v>
      </c>
      <c r="J1610" s="6" t="s">
        <v>7560</v>
      </c>
      <c r="K1610" s="6" t="s">
        <v>9714</v>
      </c>
      <c r="L1610" s="16" t="n">
        <v>42390</v>
      </c>
      <c r="M1610" s="16" t="n">
        <v>46023</v>
      </c>
      <c r="N1610" s="6" t="s">
        <v>104</v>
      </c>
      <c r="O1610" s="21" t="s">
        <v>104</v>
      </c>
      <c r="P1610" s="6" t="s">
        <v>104</v>
      </c>
      <c r="Q1610" s="6" t="s">
        <v>104</v>
      </c>
      <c r="R1610" s="6" t="s">
        <v>104</v>
      </c>
      <c r="S1610" s="6" t="s">
        <v>104</v>
      </c>
      <c r="T1610" s="21" t="s">
        <v>104</v>
      </c>
      <c r="U1610" s="6" t="s">
        <v>104</v>
      </c>
      <c r="V1610" s="6" t="s">
        <v>104</v>
      </c>
      <c r="W1610" s="6" t="s">
        <v>104</v>
      </c>
      <c r="X1610" s="6" t="s">
        <v>104</v>
      </c>
      <c r="Y1610" s="21" t="s">
        <v>104</v>
      </c>
      <c r="Z1610" s="6" t="s">
        <v>104</v>
      </c>
      <c r="AA1610" s="6" t="s">
        <v>104</v>
      </c>
      <c r="AB1610" s="6" t="s">
        <v>104</v>
      </c>
      <c r="AC1610" s="6" t="s">
        <v>9714</v>
      </c>
      <c r="AD1610" s="16" t="n">
        <v>42390</v>
      </c>
      <c r="AE1610" s="6" t="s">
        <v>11924</v>
      </c>
      <c r="AF1610" s="6" t="s">
        <v>104</v>
      </c>
      <c r="AG1610" s="6" t="s">
        <v>104</v>
      </c>
      <c r="AH1610" s="6" t="s">
        <v>14630</v>
      </c>
      <c r="AI1610" s="6" t="s">
        <v>104</v>
      </c>
      <c r="AJ1610" s="6" t="s">
        <v>15841</v>
      </c>
      <c r="AK1610" s="6" t="s">
        <v>16745</v>
      </c>
      <c r="AL1610" s="6" t="s">
        <v>16931</v>
      </c>
      <c r="AM1610" s="6" t="s">
        <v>17472</v>
      </c>
      <c r="AN1610" s="6" t="s">
        <v>18473</v>
      </c>
      <c r="AO1610" s="6" t="s">
        <v>18867</v>
      </c>
      <c r="AP1610" s="6" t="s">
        <v>14630</v>
      </c>
      <c r="AQ1610" s="6" t="s">
        <v>104</v>
      </c>
      <c r="AR1610" s="6" t="s">
        <v>15841</v>
      </c>
      <c r="AS1610" s="6" t="s">
        <v>16745</v>
      </c>
      <c r="AT1610" s="6" t="s">
        <v>16931</v>
      </c>
      <c r="AU1610" s="6" t="s">
        <v>17472</v>
      </c>
      <c r="AV1610" s="6" t="s">
        <v>104</v>
      </c>
      <c r="AW1610" s="6" t="s">
        <v>104</v>
      </c>
      <c r="AX1610" s="6" t="s">
        <v>21366</v>
      </c>
      <c r="AY1610" s="6" t="s">
        <v>23173</v>
      </c>
      <c r="AZ1610" s="6" t="s">
        <v>24098</v>
      </c>
      <c r="BA1610" s="6" t="s">
        <v>24465</v>
      </c>
      <c r="BB1610" s="6" t="s">
        <v>104</v>
      </c>
      <c r="BC1610" s="26"/>
      <c r="BD1610" s="26"/>
      <c r="BE1610" s="26"/>
      <c r="BF1610" s="26"/>
      <c r="BG1610" s="26"/>
      <c r="BH1610" s="26"/>
      <c r="BI1610" s="26"/>
      <c r="BJ1610" s="26"/>
      <c r="BK1610" s="26"/>
      <c r="BL1610" s="26"/>
      <c r="BM1610" s="26"/>
      <c r="BN1610" s="26"/>
      <c r="BO1610" s="26"/>
      <c r="BP1610" s="16" t="n">
        <v>45667</v>
      </c>
      <c r="BQ1610" s="28" t="str">
        <f>HYPERLINK("https://organic.ams.usda.gov/Integrity/Certificate.aspx?cid=15&amp;nopid=5561002086")</f>
        <v>https://organic.ams.usda.gov/Integrity/Certificate.aspx?cid=15&amp;nopid=5561002086</v>
      </c>
    </row>
    <row r="1611">
      <c r="A1611" t="s">
        <v>3</v>
      </c>
      <c r="B1611" s="6" t="s">
        <v>29</v>
      </c>
      <c r="C1611" s="6" t="s">
        <v>95</v>
      </c>
      <c r="D1611" s="6" t="s">
        <v>160</v>
      </c>
      <c r="E1611" s="10" t="s">
        <v>1809</v>
      </c>
      <c r="F1611" s="6" t="s">
        <v>4038</v>
      </c>
      <c r="G1611" s="6" t="s">
        <v>104</v>
      </c>
      <c r="H1611" s="6" t="s">
        <v>6347</v>
      </c>
      <c r="I1611" s="6" t="s">
        <v>104</v>
      </c>
      <c r="J1611" s="6" t="s">
        <v>9301</v>
      </c>
      <c r="K1611" s="6" t="s">
        <v>9714</v>
      </c>
      <c r="L1611" s="16" t="n">
        <v>44965</v>
      </c>
      <c r="M1611" s="16" t="n">
        <v>46054</v>
      </c>
      <c r="N1611" s="6" t="s">
        <v>9714</v>
      </c>
      <c r="O1611" s="16" t="n">
        <v>44965</v>
      </c>
      <c r="P1611" s="6" t="s">
        <v>10161</v>
      </c>
      <c r="Q1611" s="6" t="s">
        <v>104</v>
      </c>
      <c r="R1611" s="6" t="s">
        <v>104</v>
      </c>
      <c r="S1611" s="6" t="s">
        <v>104</v>
      </c>
      <c r="T1611" s="21" t="s">
        <v>104</v>
      </c>
      <c r="U1611" s="6" t="s">
        <v>104</v>
      </c>
      <c r="V1611" s="6" t="s">
        <v>104</v>
      </c>
      <c r="W1611" s="6" t="s">
        <v>104</v>
      </c>
      <c r="X1611" s="6" t="s">
        <v>104</v>
      </c>
      <c r="Y1611" s="21" t="s">
        <v>104</v>
      </c>
      <c r="Z1611" s="6" t="s">
        <v>104</v>
      </c>
      <c r="AA1611" s="6" t="s">
        <v>104</v>
      </c>
      <c r="AB1611" s="6" t="s">
        <v>104</v>
      </c>
      <c r="AC1611" s="6" t="s">
        <v>9714</v>
      </c>
      <c r="AD1611" s="16" t="n">
        <v>44965</v>
      </c>
      <c r="AE1611" s="6" t="s">
        <v>11925</v>
      </c>
      <c r="AF1611" s="6" t="s">
        <v>104</v>
      </c>
      <c r="AG1611" s="6" t="s">
        <v>104</v>
      </c>
      <c r="AH1611" s="6" t="s">
        <v>14631</v>
      </c>
      <c r="AI1611" s="6" t="s">
        <v>104</v>
      </c>
      <c r="AJ1611" s="6" t="s">
        <v>104</v>
      </c>
      <c r="AK1611" s="6" t="s">
        <v>104</v>
      </c>
      <c r="AL1611" s="6" t="s">
        <v>16945</v>
      </c>
      <c r="AM1611" s="6" t="s">
        <v>104</v>
      </c>
      <c r="AN1611" s="6" t="s">
        <v>104</v>
      </c>
      <c r="AO1611" s="6" t="s">
        <v>104</v>
      </c>
      <c r="AP1611" s="6" t="s">
        <v>104</v>
      </c>
      <c r="AQ1611" s="6" t="s">
        <v>104</v>
      </c>
      <c r="AR1611" s="6" t="s">
        <v>104</v>
      </c>
      <c r="AS1611" s="6" t="s">
        <v>104</v>
      </c>
      <c r="AT1611" s="6" t="s">
        <v>104</v>
      </c>
      <c r="AU1611" s="6" t="s">
        <v>104</v>
      </c>
      <c r="AV1611" s="6" t="s">
        <v>104</v>
      </c>
      <c r="AW1611" s="6" t="s">
        <v>104</v>
      </c>
      <c r="AX1611" s="6" t="s">
        <v>21367</v>
      </c>
      <c r="AY1611" s="6" t="s">
        <v>23174</v>
      </c>
      <c r="AZ1611" s="6" t="s">
        <v>104</v>
      </c>
      <c r="BA1611" s="6" t="s">
        <v>104</v>
      </c>
      <c r="BB1611" s="24" t="n">
        <v>418</v>
      </c>
      <c r="BC1611" s="26"/>
      <c r="BD1611" s="26"/>
      <c r="BE1611" s="26"/>
      <c r="BF1611" s="26"/>
      <c r="BG1611" s="26"/>
      <c r="BH1611" s="26"/>
      <c r="BI1611" s="26"/>
      <c r="BJ1611" s="26"/>
      <c r="BK1611" s="26"/>
      <c r="BL1611" s="26"/>
      <c r="BM1611" s="26"/>
      <c r="BN1611" s="26"/>
      <c r="BO1611" s="26" t="s">
        <v>24533</v>
      </c>
      <c r="BP1611" s="16" t="n">
        <v>45691</v>
      </c>
      <c r="BQ1611" s="28" t="str">
        <f>HYPERLINK("https://organic.ams.usda.gov/Integrity/Certificate.aspx?cid=24&amp;nopid=7880272369")</f>
        <v>https://organic.ams.usda.gov/Integrity/Certificate.aspx?cid=24&amp;nopid=7880272369</v>
      </c>
    </row>
    <row r="1612">
      <c r="A1612" t="s">
        <v>3</v>
      </c>
      <c r="B1612" s="6" t="s">
        <v>34</v>
      </c>
      <c r="C1612" s="6" t="s">
        <v>100</v>
      </c>
      <c r="D1612" s="6" t="s">
        <v>165</v>
      </c>
      <c r="E1612" s="10" t="s">
        <v>1810</v>
      </c>
      <c r="F1612" s="6" t="s">
        <v>4039</v>
      </c>
      <c r="G1612" s="6" t="s">
        <v>104</v>
      </c>
      <c r="H1612" s="6" t="s">
        <v>6348</v>
      </c>
      <c r="I1612" s="6" t="s">
        <v>7844</v>
      </c>
      <c r="J1612" s="6" t="s">
        <v>9302</v>
      </c>
      <c r="K1612" s="6" t="s">
        <v>9714</v>
      </c>
      <c r="L1612" s="16" t="n">
        <v>43516</v>
      </c>
      <c r="M1612" s="16" t="n">
        <v>45887</v>
      </c>
      <c r="N1612" s="6" t="s">
        <v>104</v>
      </c>
      <c r="O1612" s="21" t="s">
        <v>104</v>
      </c>
      <c r="P1612" s="6" t="s">
        <v>104</v>
      </c>
      <c r="Q1612" s="6" t="s">
        <v>104</v>
      </c>
      <c r="R1612" s="6" t="s">
        <v>104</v>
      </c>
      <c r="S1612" s="6" t="s">
        <v>104</v>
      </c>
      <c r="T1612" s="21" t="s">
        <v>104</v>
      </c>
      <c r="U1612" s="6" t="s">
        <v>104</v>
      </c>
      <c r="V1612" s="6" t="s">
        <v>104</v>
      </c>
      <c r="W1612" s="6" t="s">
        <v>104</v>
      </c>
      <c r="X1612" s="6" t="s">
        <v>104</v>
      </c>
      <c r="Y1612" s="21" t="s">
        <v>104</v>
      </c>
      <c r="Z1612" s="6" t="s">
        <v>104</v>
      </c>
      <c r="AA1612" s="6" t="s">
        <v>104</v>
      </c>
      <c r="AB1612" s="6" t="s">
        <v>104</v>
      </c>
      <c r="AC1612" s="6" t="s">
        <v>9714</v>
      </c>
      <c r="AD1612" s="16" t="n">
        <v>43516</v>
      </c>
      <c r="AE1612" s="6" t="s">
        <v>11926</v>
      </c>
      <c r="AF1612" s="6" t="s">
        <v>104</v>
      </c>
      <c r="AG1612" s="6" t="s">
        <v>12986</v>
      </c>
      <c r="AH1612" s="6" t="s">
        <v>14632</v>
      </c>
      <c r="AI1612" s="6" t="s">
        <v>15321</v>
      </c>
      <c r="AJ1612" s="6" t="s">
        <v>16368</v>
      </c>
      <c r="AK1612" s="6" t="s">
        <v>16735</v>
      </c>
      <c r="AL1612" s="6" t="s">
        <v>16931</v>
      </c>
      <c r="AM1612" s="6" t="s">
        <v>18064</v>
      </c>
      <c r="AN1612" s="6" t="s">
        <v>104</v>
      </c>
      <c r="AO1612" s="6" t="s">
        <v>104</v>
      </c>
      <c r="AP1612" s="6" t="s">
        <v>14632</v>
      </c>
      <c r="AQ1612" s="6" t="s">
        <v>15321</v>
      </c>
      <c r="AR1612" s="6" t="s">
        <v>16368</v>
      </c>
      <c r="AS1612" s="6" t="s">
        <v>16735</v>
      </c>
      <c r="AT1612" s="6" t="s">
        <v>16931</v>
      </c>
      <c r="AU1612" s="6" t="s">
        <v>18064</v>
      </c>
      <c r="AV1612" s="6" t="s">
        <v>104</v>
      </c>
      <c r="AW1612" s="6" t="s">
        <v>104</v>
      </c>
      <c r="AX1612" s="6" t="s">
        <v>21368</v>
      </c>
      <c r="AY1612" s="6" t="s">
        <v>23175</v>
      </c>
      <c r="AZ1612" s="6" t="s">
        <v>24099</v>
      </c>
      <c r="BA1612" s="6" t="s">
        <v>104</v>
      </c>
      <c r="BB1612" s="6" t="s">
        <v>104</v>
      </c>
      <c r="BC1612" s="26"/>
      <c r="BD1612" s="26"/>
      <c r="BE1612" s="26"/>
      <c r="BF1612" s="26"/>
      <c r="BG1612" s="26"/>
      <c r="BH1612" s="26"/>
      <c r="BI1612" s="26"/>
      <c r="BJ1612" s="26"/>
      <c r="BK1612" s="26"/>
      <c r="BL1612" s="26"/>
      <c r="BM1612" s="26"/>
      <c r="BN1612" s="26"/>
      <c r="BO1612" s="26"/>
      <c r="BP1612" s="16" t="n">
        <v>45737</v>
      </c>
      <c r="BQ1612" s="28" t="str">
        <f>HYPERLINK("https://organic.ams.usda.gov/Integrity/Certificate.aspx?cid=71&amp;nopid=5520472500")</f>
        <v>https://organic.ams.usda.gov/Integrity/Certificate.aspx?cid=71&amp;nopid=5520472500</v>
      </c>
    </row>
    <row r="1613">
      <c r="A1613" t="s">
        <v>3</v>
      </c>
      <c r="B1613" s="6" t="s">
        <v>23</v>
      </c>
      <c r="C1613" s="6" t="s">
        <v>89</v>
      </c>
      <c r="D1613" s="6" t="s">
        <v>154</v>
      </c>
      <c r="E1613" s="10" t="s">
        <v>1811</v>
      </c>
      <c r="F1613" s="6" t="s">
        <v>4040</v>
      </c>
      <c r="G1613" s="6" t="s">
        <v>104</v>
      </c>
      <c r="H1613" s="6" t="s">
        <v>6349</v>
      </c>
      <c r="I1613" s="6" t="s">
        <v>7845</v>
      </c>
      <c r="J1613" s="6" t="s">
        <v>8299</v>
      </c>
      <c r="K1613" s="6" t="s">
        <v>9714</v>
      </c>
      <c r="L1613" s="16" t="n">
        <v>43136</v>
      </c>
      <c r="M1613" s="16" t="n">
        <v>45689</v>
      </c>
      <c r="N1613" s="6" t="s">
        <v>104</v>
      </c>
      <c r="O1613" s="21" t="s">
        <v>104</v>
      </c>
      <c r="P1613" s="6" t="s">
        <v>104</v>
      </c>
      <c r="Q1613" s="6" t="s">
        <v>104</v>
      </c>
      <c r="R1613" s="6" t="s">
        <v>104</v>
      </c>
      <c r="S1613" s="6" t="s">
        <v>104</v>
      </c>
      <c r="T1613" s="21" t="s">
        <v>104</v>
      </c>
      <c r="U1613" s="6" t="s">
        <v>104</v>
      </c>
      <c r="V1613" s="6" t="s">
        <v>104</v>
      </c>
      <c r="W1613" s="6" t="s">
        <v>104</v>
      </c>
      <c r="X1613" s="6" t="s">
        <v>104</v>
      </c>
      <c r="Y1613" s="21" t="s">
        <v>104</v>
      </c>
      <c r="Z1613" s="6" t="s">
        <v>104</v>
      </c>
      <c r="AA1613" s="6" t="s">
        <v>104</v>
      </c>
      <c r="AB1613" s="6" t="s">
        <v>104</v>
      </c>
      <c r="AC1613" s="6" t="s">
        <v>9714</v>
      </c>
      <c r="AD1613" s="16" t="n">
        <v>43136</v>
      </c>
      <c r="AE1613" s="6" t="s">
        <v>11927</v>
      </c>
      <c r="AF1613" s="6" t="s">
        <v>104</v>
      </c>
      <c r="AG1613" s="6" t="s">
        <v>6349</v>
      </c>
      <c r="AH1613" s="6" t="s">
        <v>14633</v>
      </c>
      <c r="AI1613" s="6" t="s">
        <v>104</v>
      </c>
      <c r="AJ1613" s="6" t="s">
        <v>16369</v>
      </c>
      <c r="AK1613" s="6" t="s">
        <v>16714</v>
      </c>
      <c r="AL1613" s="6" t="s">
        <v>16931</v>
      </c>
      <c r="AM1613" s="6" t="s">
        <v>18065</v>
      </c>
      <c r="AN1613" s="6" t="s">
        <v>18491</v>
      </c>
      <c r="AO1613" s="6" t="s">
        <v>18868</v>
      </c>
      <c r="AP1613" s="6" t="s">
        <v>19384</v>
      </c>
      <c r="AQ1613" s="6" t="s">
        <v>104</v>
      </c>
      <c r="AR1613" s="6" t="s">
        <v>16369</v>
      </c>
      <c r="AS1613" s="6" t="s">
        <v>16714</v>
      </c>
      <c r="AT1613" s="6" t="s">
        <v>16931</v>
      </c>
      <c r="AU1613" s="6" t="s">
        <v>18065</v>
      </c>
      <c r="AV1613" s="6" t="s">
        <v>104</v>
      </c>
      <c r="AW1613" s="6" t="s">
        <v>104</v>
      </c>
      <c r="AX1613" s="6" t="s">
        <v>21369</v>
      </c>
      <c r="AY1613" s="6" t="s">
        <v>23176</v>
      </c>
      <c r="AZ1613" s="6" t="s">
        <v>24100</v>
      </c>
      <c r="BA1613" s="6" t="s">
        <v>104</v>
      </c>
      <c r="BB1613" s="24" t="n">
        <v>0</v>
      </c>
      <c r="BC1613" s="26"/>
      <c r="BD1613" s="26"/>
      <c r="BE1613" s="26"/>
      <c r="BF1613" s="26"/>
      <c r="BG1613" s="26"/>
      <c r="BH1613" s="26"/>
      <c r="BI1613" s="26"/>
      <c r="BJ1613" s="26"/>
      <c r="BK1613" s="26"/>
      <c r="BL1613" s="26" t="s">
        <v>24533</v>
      </c>
      <c r="BM1613" s="26"/>
      <c r="BN1613" s="26" t="s">
        <v>24533</v>
      </c>
      <c r="BO1613" s="26"/>
      <c r="BP1613" s="16" t="n">
        <v>45729</v>
      </c>
      <c r="BQ1613" s="28" t="str">
        <f>HYPERLINK("https://organic.ams.usda.gov/Integrity/Certificate.aspx?cid=45&amp;nopid=9950010596")</f>
        <v>https://organic.ams.usda.gov/Integrity/Certificate.aspx?cid=45&amp;nopid=9950010596</v>
      </c>
    </row>
    <row r="1614">
      <c r="A1614" t="s">
        <v>3</v>
      </c>
      <c r="B1614" s="6" t="s">
        <v>17</v>
      </c>
      <c r="C1614" s="6" t="s">
        <v>83</v>
      </c>
      <c r="D1614" s="6" t="s">
        <v>148</v>
      </c>
      <c r="E1614" s="10" t="s">
        <v>1812</v>
      </c>
      <c r="F1614" s="6" t="s">
        <v>4041</v>
      </c>
      <c r="G1614" s="6" t="s">
        <v>104</v>
      </c>
      <c r="H1614" s="6" t="s">
        <v>6350</v>
      </c>
      <c r="I1614" s="6" t="s">
        <v>7846</v>
      </c>
      <c r="J1614" s="6" t="s">
        <v>9303</v>
      </c>
      <c r="K1614" s="6" t="s">
        <v>9714</v>
      </c>
      <c r="L1614" s="16" t="n">
        <v>45188</v>
      </c>
      <c r="M1614" s="16" t="n">
        <v>45474</v>
      </c>
      <c r="N1614" s="6" t="s">
        <v>104</v>
      </c>
      <c r="O1614" s="21" t="s">
        <v>104</v>
      </c>
      <c r="P1614" s="6" t="s">
        <v>104</v>
      </c>
      <c r="Q1614" s="6" t="s">
        <v>104</v>
      </c>
      <c r="R1614" s="6" t="s">
        <v>104</v>
      </c>
      <c r="S1614" s="6" t="s">
        <v>104</v>
      </c>
      <c r="T1614" s="21" t="s">
        <v>104</v>
      </c>
      <c r="U1614" s="6" t="s">
        <v>104</v>
      </c>
      <c r="V1614" s="6" t="s">
        <v>104</v>
      </c>
      <c r="W1614" s="6" t="s">
        <v>104</v>
      </c>
      <c r="X1614" s="6" t="s">
        <v>104</v>
      </c>
      <c r="Y1614" s="21" t="s">
        <v>104</v>
      </c>
      <c r="Z1614" s="6" t="s">
        <v>104</v>
      </c>
      <c r="AA1614" s="6" t="s">
        <v>104</v>
      </c>
      <c r="AB1614" s="6" t="s">
        <v>104</v>
      </c>
      <c r="AC1614" s="6" t="s">
        <v>9714</v>
      </c>
      <c r="AD1614" s="16" t="n">
        <v>45188</v>
      </c>
      <c r="AE1614" s="6" t="s">
        <v>11928</v>
      </c>
      <c r="AF1614" s="6" t="s">
        <v>104</v>
      </c>
      <c r="AG1614" s="6" t="s">
        <v>104</v>
      </c>
      <c r="AH1614" s="6" t="s">
        <v>14634</v>
      </c>
      <c r="AI1614" s="6" t="s">
        <v>104</v>
      </c>
      <c r="AJ1614" s="6" t="s">
        <v>16370</v>
      </c>
      <c r="AK1614" s="6" t="s">
        <v>15697</v>
      </c>
      <c r="AL1614" s="6" t="s">
        <v>16931</v>
      </c>
      <c r="AM1614" s="6" t="s">
        <v>6454</v>
      </c>
      <c r="AN1614" s="6" t="s">
        <v>104</v>
      </c>
      <c r="AO1614" s="6" t="s">
        <v>104</v>
      </c>
      <c r="AP1614" s="6" t="s">
        <v>14634</v>
      </c>
      <c r="AQ1614" s="6" t="s">
        <v>104</v>
      </c>
      <c r="AR1614" s="6" t="s">
        <v>16370</v>
      </c>
      <c r="AS1614" s="6" t="s">
        <v>15697</v>
      </c>
      <c r="AT1614" s="6" t="s">
        <v>16931</v>
      </c>
      <c r="AU1614" s="6" t="s">
        <v>6454</v>
      </c>
      <c r="AV1614" s="6" t="s">
        <v>104</v>
      </c>
      <c r="AW1614" s="6" t="s">
        <v>104</v>
      </c>
      <c r="AX1614" s="6" t="s">
        <v>21370</v>
      </c>
      <c r="AY1614" s="6" t="s">
        <v>23177</v>
      </c>
      <c r="AZ1614" s="6" t="s">
        <v>104</v>
      </c>
      <c r="BA1614" s="6" t="s">
        <v>104</v>
      </c>
      <c r="BB1614" s="24" t="n">
        <v>0</v>
      </c>
      <c r="BC1614" s="26"/>
      <c r="BD1614" s="26"/>
      <c r="BE1614" s="26"/>
      <c r="BF1614" s="26"/>
      <c r="BG1614" s="26"/>
      <c r="BH1614" s="26"/>
      <c r="BI1614" s="26"/>
      <c r="BJ1614" s="26"/>
      <c r="BK1614" s="26"/>
      <c r="BL1614" s="26"/>
      <c r="BM1614" s="26"/>
      <c r="BN1614" s="26"/>
      <c r="BO1614" s="26"/>
      <c r="BP1614" s="16" t="n">
        <v>45733</v>
      </c>
      <c r="BQ1614" s="28" t="str">
        <f>HYPERLINK("https://organic.ams.usda.gov/Integrity/Certificate.aspx?cid=51&amp;nopid=8240082923")</f>
        <v>https://organic.ams.usda.gov/Integrity/Certificate.aspx?cid=51&amp;nopid=8240082923</v>
      </c>
    </row>
    <row r="1615">
      <c r="A1615" t="s">
        <v>3</v>
      </c>
      <c r="B1615" s="6" t="s">
        <v>14</v>
      </c>
      <c r="C1615" s="6" t="s">
        <v>80</v>
      </c>
      <c r="D1615" s="6" t="s">
        <v>145</v>
      </c>
      <c r="E1615" s="10" t="s">
        <v>1813</v>
      </c>
      <c r="F1615" s="6" t="s">
        <v>4042</v>
      </c>
      <c r="G1615" s="6" t="s">
        <v>104</v>
      </c>
      <c r="H1615" s="6" t="s">
        <v>6351</v>
      </c>
      <c r="I1615" s="6" t="s">
        <v>7623</v>
      </c>
      <c r="J1615" s="6" t="s">
        <v>8989</v>
      </c>
      <c r="K1615" s="6" t="s">
        <v>9714</v>
      </c>
      <c r="L1615" s="16" t="n">
        <v>44874</v>
      </c>
      <c r="M1615" s="16" t="n">
        <v>45860</v>
      </c>
      <c r="N1615" s="6" t="s">
        <v>104</v>
      </c>
      <c r="O1615" s="21" t="s">
        <v>104</v>
      </c>
      <c r="P1615" s="6" t="s">
        <v>104</v>
      </c>
      <c r="Q1615" s="6" t="s">
        <v>104</v>
      </c>
      <c r="R1615" s="6" t="s">
        <v>104</v>
      </c>
      <c r="S1615" s="6" t="s">
        <v>104</v>
      </c>
      <c r="T1615" s="21" t="s">
        <v>104</v>
      </c>
      <c r="U1615" s="6" t="s">
        <v>104</v>
      </c>
      <c r="V1615" s="6" t="s">
        <v>104</v>
      </c>
      <c r="W1615" s="6" t="s">
        <v>104</v>
      </c>
      <c r="X1615" s="6" t="s">
        <v>104</v>
      </c>
      <c r="Y1615" s="21" t="s">
        <v>104</v>
      </c>
      <c r="Z1615" s="6" t="s">
        <v>104</v>
      </c>
      <c r="AA1615" s="6" t="s">
        <v>104</v>
      </c>
      <c r="AB1615" s="6" t="s">
        <v>104</v>
      </c>
      <c r="AC1615" s="6" t="s">
        <v>9714</v>
      </c>
      <c r="AD1615" s="16" t="n">
        <v>44874</v>
      </c>
      <c r="AE1615" s="6" t="s">
        <v>11929</v>
      </c>
      <c r="AF1615" s="6" t="s">
        <v>104</v>
      </c>
      <c r="AG1615" s="6" t="s">
        <v>104</v>
      </c>
      <c r="AH1615" s="6" t="s">
        <v>14635</v>
      </c>
      <c r="AI1615" s="6" t="s">
        <v>104</v>
      </c>
      <c r="AJ1615" s="6" t="s">
        <v>16371</v>
      </c>
      <c r="AK1615" s="6" t="s">
        <v>16697</v>
      </c>
      <c r="AL1615" s="6" t="s">
        <v>16932</v>
      </c>
      <c r="AM1615" s="6" t="s">
        <v>18066</v>
      </c>
      <c r="AN1615" s="6" t="s">
        <v>104</v>
      </c>
      <c r="AO1615" s="6" t="s">
        <v>104</v>
      </c>
      <c r="AP1615" s="6" t="s">
        <v>104</v>
      </c>
      <c r="AQ1615" s="6" t="s">
        <v>104</v>
      </c>
      <c r="AR1615" s="6" t="s">
        <v>104</v>
      </c>
      <c r="AS1615" s="6" t="s">
        <v>104</v>
      </c>
      <c r="AT1615" s="6" t="s">
        <v>104</v>
      </c>
      <c r="AU1615" s="6" t="s">
        <v>104</v>
      </c>
      <c r="AV1615" s="6" t="s">
        <v>104</v>
      </c>
      <c r="AW1615" s="6" t="s">
        <v>104</v>
      </c>
      <c r="AX1615" s="6" t="s">
        <v>21371</v>
      </c>
      <c r="AY1615" s="6" t="s">
        <v>23178</v>
      </c>
      <c r="AZ1615" s="6" t="s">
        <v>104</v>
      </c>
      <c r="BA1615" s="6" t="s">
        <v>24272</v>
      </c>
      <c r="BB1615" s="6" t="s">
        <v>104</v>
      </c>
      <c r="BC1615" s="26"/>
      <c r="BD1615" s="26"/>
      <c r="BE1615" s="26"/>
      <c r="BF1615" s="26"/>
      <c r="BG1615" s="26"/>
      <c r="BH1615" s="26"/>
      <c r="BI1615" s="26"/>
      <c r="BJ1615" s="26"/>
      <c r="BK1615" s="26"/>
      <c r="BL1615" s="26"/>
      <c r="BM1615" s="26"/>
      <c r="BN1615" s="26"/>
      <c r="BO1615" s="26"/>
      <c r="BP1615" s="16" t="n">
        <v>45726</v>
      </c>
      <c r="BQ1615" s="28" t="str">
        <f>HYPERLINK("https://organic.ams.usda.gov/Integrity/Certificate.aspx?cid=89&amp;nopid=4920006110")</f>
        <v>https://organic.ams.usda.gov/Integrity/Certificate.aspx?cid=89&amp;nopid=4920006110</v>
      </c>
    </row>
    <row r="1616">
      <c r="A1616" t="s">
        <v>3</v>
      </c>
      <c r="B1616" s="6" t="s">
        <v>21</v>
      </c>
      <c r="C1616" s="6" t="s">
        <v>87</v>
      </c>
      <c r="D1616" s="6" t="s">
        <v>152</v>
      </c>
      <c r="E1616" s="10" t="s">
        <v>1814</v>
      </c>
      <c r="F1616" s="6" t="s">
        <v>4043</v>
      </c>
      <c r="G1616" s="6" t="s">
        <v>4829</v>
      </c>
      <c r="H1616" s="6" t="s">
        <v>6352</v>
      </c>
      <c r="I1616" s="6" t="s">
        <v>7847</v>
      </c>
      <c r="J1616" s="6" t="s">
        <v>9304</v>
      </c>
      <c r="K1616" s="6" t="s">
        <v>9714</v>
      </c>
      <c r="L1616" s="16" t="n">
        <v>37572</v>
      </c>
      <c r="M1616" s="16" t="n">
        <v>46023</v>
      </c>
      <c r="N1616" s="6" t="s">
        <v>9714</v>
      </c>
      <c r="O1616" s="16" t="n">
        <v>37572</v>
      </c>
      <c r="P1616" s="6" t="s">
        <v>10162</v>
      </c>
      <c r="Q1616" s="6" t="s">
        <v>104</v>
      </c>
      <c r="R1616" s="6" t="s">
        <v>104</v>
      </c>
      <c r="S1616" s="6" t="s">
        <v>104</v>
      </c>
      <c r="T1616" s="21" t="s">
        <v>104</v>
      </c>
      <c r="U1616" s="6" t="s">
        <v>104</v>
      </c>
      <c r="V1616" s="6" t="s">
        <v>104</v>
      </c>
      <c r="W1616" s="6" t="s">
        <v>104</v>
      </c>
      <c r="X1616" s="6" t="s">
        <v>104</v>
      </c>
      <c r="Y1616" s="21" t="s">
        <v>104</v>
      </c>
      <c r="Z1616" s="6" t="s">
        <v>104</v>
      </c>
      <c r="AA1616" s="6" t="s">
        <v>104</v>
      </c>
      <c r="AB1616" s="6" t="s">
        <v>104</v>
      </c>
      <c r="AC1616" s="6" t="s">
        <v>9714</v>
      </c>
      <c r="AD1616" s="16" t="n">
        <v>37572</v>
      </c>
      <c r="AE1616" s="6" t="s">
        <v>11930</v>
      </c>
      <c r="AF1616" s="6" t="s">
        <v>104</v>
      </c>
      <c r="AG1616" s="6" t="s">
        <v>104</v>
      </c>
      <c r="AH1616" s="6" t="s">
        <v>14636</v>
      </c>
      <c r="AI1616" s="6" t="s">
        <v>104</v>
      </c>
      <c r="AJ1616" s="6" t="s">
        <v>16372</v>
      </c>
      <c r="AK1616" s="6" t="s">
        <v>16687</v>
      </c>
      <c r="AL1616" s="6" t="s">
        <v>16931</v>
      </c>
      <c r="AM1616" s="6" t="s">
        <v>18067</v>
      </c>
      <c r="AN1616" s="6" t="s">
        <v>18471</v>
      </c>
      <c r="AO1616" s="6" t="s">
        <v>18579</v>
      </c>
      <c r="AP1616" s="6" t="s">
        <v>14636</v>
      </c>
      <c r="AQ1616" s="6" t="s">
        <v>104</v>
      </c>
      <c r="AR1616" s="6" t="s">
        <v>16372</v>
      </c>
      <c r="AS1616" s="6" t="s">
        <v>16687</v>
      </c>
      <c r="AT1616" s="6" t="s">
        <v>16931</v>
      </c>
      <c r="AU1616" s="6" t="s">
        <v>18067</v>
      </c>
      <c r="AV1616" s="6" t="s">
        <v>104</v>
      </c>
      <c r="AW1616" s="6" t="s">
        <v>104</v>
      </c>
      <c r="AX1616" s="6" t="s">
        <v>21372</v>
      </c>
      <c r="AY1616" s="6" t="s">
        <v>23179</v>
      </c>
      <c r="AZ1616" s="6" t="s">
        <v>24101</v>
      </c>
      <c r="BA1616" s="6" t="s">
        <v>24466</v>
      </c>
      <c r="BB1616" s="24" t="n">
        <v>125</v>
      </c>
      <c r="BC1616" s="26"/>
      <c r="BD1616" s="26"/>
      <c r="BE1616" s="26"/>
      <c r="BF1616" s="26"/>
      <c r="BG1616" s="26"/>
      <c r="BH1616" s="26"/>
      <c r="BI1616" s="26"/>
      <c r="BJ1616" s="26"/>
      <c r="BK1616" s="26"/>
      <c r="BL1616" s="26"/>
      <c r="BM1616" s="26"/>
      <c r="BN1616" s="26"/>
      <c r="BO1616" s="26"/>
      <c r="BP1616" s="16" t="n">
        <v>45700</v>
      </c>
      <c r="BQ1616" s="28" t="str">
        <f>HYPERLINK("https://organic.ams.usda.gov/Integrity/Certificate.aspx?cid=15&amp;nopid=5561001253")</f>
        <v>https://organic.ams.usda.gov/Integrity/Certificate.aspx?cid=15&amp;nopid=5561001253</v>
      </c>
    </row>
    <row r="1617">
      <c r="A1617" t="s">
        <v>3</v>
      </c>
      <c r="B1617" s="6" t="s">
        <v>29</v>
      </c>
      <c r="C1617" s="6" t="s">
        <v>95</v>
      </c>
      <c r="D1617" s="6" t="s">
        <v>160</v>
      </c>
      <c r="E1617" s="10" t="s">
        <v>1815</v>
      </c>
      <c r="F1617" s="6" t="s">
        <v>4044</v>
      </c>
      <c r="G1617" s="6" t="s">
        <v>104</v>
      </c>
      <c r="H1617" s="6" t="s">
        <v>6353</v>
      </c>
      <c r="I1617" s="6" t="s">
        <v>104</v>
      </c>
      <c r="J1617" s="6" t="s">
        <v>9305</v>
      </c>
      <c r="K1617" s="6" t="s">
        <v>9714</v>
      </c>
      <c r="L1617" s="16" t="n">
        <v>44632</v>
      </c>
      <c r="M1617" s="16" t="n">
        <v>45962</v>
      </c>
      <c r="N1617" s="6" t="s">
        <v>104</v>
      </c>
      <c r="O1617" s="21" t="s">
        <v>104</v>
      </c>
      <c r="P1617" s="6" t="s">
        <v>104</v>
      </c>
      <c r="Q1617" s="6" t="s">
        <v>104</v>
      </c>
      <c r="R1617" s="6" t="s">
        <v>104</v>
      </c>
      <c r="S1617" s="6" t="s">
        <v>104</v>
      </c>
      <c r="T1617" s="21" t="s">
        <v>104</v>
      </c>
      <c r="U1617" s="6" t="s">
        <v>104</v>
      </c>
      <c r="V1617" s="6" t="s">
        <v>104</v>
      </c>
      <c r="W1617" s="6" t="s">
        <v>104</v>
      </c>
      <c r="X1617" s="6" t="s">
        <v>104</v>
      </c>
      <c r="Y1617" s="21" t="s">
        <v>104</v>
      </c>
      <c r="Z1617" s="6" t="s">
        <v>104</v>
      </c>
      <c r="AA1617" s="6" t="s">
        <v>104</v>
      </c>
      <c r="AB1617" s="6" t="s">
        <v>104</v>
      </c>
      <c r="AC1617" s="6" t="s">
        <v>9714</v>
      </c>
      <c r="AD1617" s="16" t="n">
        <v>44632</v>
      </c>
      <c r="AE1617" s="6" t="s">
        <v>11931</v>
      </c>
      <c r="AF1617" s="6" t="s">
        <v>104</v>
      </c>
      <c r="AG1617" s="6" t="s">
        <v>104</v>
      </c>
      <c r="AH1617" s="6" t="s">
        <v>14637</v>
      </c>
      <c r="AI1617" s="6" t="s">
        <v>104</v>
      </c>
      <c r="AJ1617" s="6" t="s">
        <v>104</v>
      </c>
      <c r="AK1617" s="6" t="s">
        <v>16685</v>
      </c>
      <c r="AL1617" s="6" t="s">
        <v>16932</v>
      </c>
      <c r="AM1617" s="6" t="s">
        <v>18068</v>
      </c>
      <c r="AN1617" s="6" t="s">
        <v>104</v>
      </c>
      <c r="AO1617" s="6" t="s">
        <v>104</v>
      </c>
      <c r="AP1617" s="6" t="s">
        <v>104</v>
      </c>
      <c r="AQ1617" s="6" t="s">
        <v>104</v>
      </c>
      <c r="AR1617" s="6" t="s">
        <v>104</v>
      </c>
      <c r="AS1617" s="6" t="s">
        <v>104</v>
      </c>
      <c r="AT1617" s="6" t="s">
        <v>104</v>
      </c>
      <c r="AU1617" s="6" t="s">
        <v>104</v>
      </c>
      <c r="AV1617" s="6" t="s">
        <v>104</v>
      </c>
      <c r="AW1617" s="6" t="s">
        <v>104</v>
      </c>
      <c r="AX1617" s="6" t="s">
        <v>21373</v>
      </c>
      <c r="AY1617" s="6" t="s">
        <v>23180</v>
      </c>
      <c r="AZ1617" s="6" t="s">
        <v>104</v>
      </c>
      <c r="BA1617" s="6" t="s">
        <v>104</v>
      </c>
      <c r="BB1617" s="24" t="n">
        <v>0</v>
      </c>
      <c r="BC1617" s="26"/>
      <c r="BD1617" s="26"/>
      <c r="BE1617" s="26"/>
      <c r="BF1617" s="26"/>
      <c r="BG1617" s="26"/>
      <c r="BH1617" s="26"/>
      <c r="BI1617" s="26"/>
      <c r="BJ1617" s="26"/>
      <c r="BK1617" s="26"/>
      <c r="BL1617" s="26"/>
      <c r="BM1617" s="26"/>
      <c r="BN1617" s="26"/>
      <c r="BO1617" s="26"/>
      <c r="BP1617" s="16" t="n">
        <v>45738</v>
      </c>
      <c r="BQ1617" s="28" t="str">
        <f>HYPERLINK("https://organic.ams.usda.gov/Integrity/Certificate.aspx?cid=24&amp;nopid=7880227961")</f>
        <v>https://organic.ams.usda.gov/Integrity/Certificate.aspx?cid=24&amp;nopid=7880227961</v>
      </c>
    </row>
    <row r="1618">
      <c r="A1618" t="s">
        <v>3</v>
      </c>
      <c r="B1618" s="6" t="s">
        <v>17</v>
      </c>
      <c r="C1618" s="6" t="s">
        <v>83</v>
      </c>
      <c r="D1618" s="6" t="s">
        <v>148</v>
      </c>
      <c r="E1618" s="10" t="s">
        <v>1816</v>
      </c>
      <c r="F1618" s="6" t="s">
        <v>4045</v>
      </c>
      <c r="G1618" s="6" t="s">
        <v>104</v>
      </c>
      <c r="H1618" s="6" t="s">
        <v>6354</v>
      </c>
      <c r="I1618" s="6" t="s">
        <v>7848</v>
      </c>
      <c r="J1618" s="6" t="s">
        <v>9306</v>
      </c>
      <c r="K1618" s="6" t="s">
        <v>9714</v>
      </c>
      <c r="L1618" s="16" t="n">
        <v>45523</v>
      </c>
      <c r="M1618" s="16" t="n">
        <v>45809</v>
      </c>
      <c r="N1618" s="6" t="s">
        <v>104</v>
      </c>
      <c r="O1618" s="21" t="s">
        <v>104</v>
      </c>
      <c r="P1618" s="6" t="s">
        <v>104</v>
      </c>
      <c r="Q1618" s="6" t="s">
        <v>104</v>
      </c>
      <c r="R1618" s="6" t="s">
        <v>104</v>
      </c>
      <c r="S1618" s="6" t="s">
        <v>104</v>
      </c>
      <c r="T1618" s="21" t="s">
        <v>104</v>
      </c>
      <c r="U1618" s="6" t="s">
        <v>104</v>
      </c>
      <c r="V1618" s="6" t="s">
        <v>104</v>
      </c>
      <c r="W1618" s="6" t="s">
        <v>104</v>
      </c>
      <c r="X1618" s="6" t="s">
        <v>104</v>
      </c>
      <c r="Y1618" s="21" t="s">
        <v>104</v>
      </c>
      <c r="Z1618" s="6" t="s">
        <v>104</v>
      </c>
      <c r="AA1618" s="6" t="s">
        <v>104</v>
      </c>
      <c r="AB1618" s="6" t="s">
        <v>104</v>
      </c>
      <c r="AC1618" s="6" t="s">
        <v>9714</v>
      </c>
      <c r="AD1618" s="16" t="n">
        <v>45523</v>
      </c>
      <c r="AE1618" s="6" t="s">
        <v>11932</v>
      </c>
      <c r="AF1618" s="6" t="s">
        <v>104</v>
      </c>
      <c r="AG1618" s="6" t="s">
        <v>104</v>
      </c>
      <c r="AH1618" s="6" t="s">
        <v>14638</v>
      </c>
      <c r="AI1618" s="6" t="s">
        <v>104</v>
      </c>
      <c r="AJ1618" s="6" t="s">
        <v>16037</v>
      </c>
      <c r="AK1618" s="6" t="s">
        <v>16370</v>
      </c>
      <c r="AL1618" s="6" t="s">
        <v>16931</v>
      </c>
      <c r="AM1618" s="6" t="s">
        <v>18069</v>
      </c>
      <c r="AN1618" s="6" t="s">
        <v>104</v>
      </c>
      <c r="AO1618" s="6" t="s">
        <v>104</v>
      </c>
      <c r="AP1618" s="6" t="s">
        <v>14638</v>
      </c>
      <c r="AQ1618" s="6" t="s">
        <v>104</v>
      </c>
      <c r="AR1618" s="6" t="s">
        <v>16037</v>
      </c>
      <c r="AS1618" s="6" t="s">
        <v>16370</v>
      </c>
      <c r="AT1618" s="6" t="s">
        <v>16931</v>
      </c>
      <c r="AU1618" s="6" t="s">
        <v>18069</v>
      </c>
      <c r="AV1618" s="6" t="s">
        <v>104</v>
      </c>
      <c r="AW1618" s="6" t="s">
        <v>104</v>
      </c>
      <c r="AX1618" s="6" t="s">
        <v>21374</v>
      </c>
      <c r="AY1618" s="6" t="s">
        <v>23181</v>
      </c>
      <c r="AZ1618" s="6" t="s">
        <v>104</v>
      </c>
      <c r="BA1618" s="6" t="s">
        <v>104</v>
      </c>
      <c r="BB1618" s="24" t="n">
        <v>0</v>
      </c>
      <c r="BC1618" s="26"/>
      <c r="BD1618" s="26"/>
      <c r="BE1618" s="26"/>
      <c r="BF1618" s="26"/>
      <c r="BG1618" s="26"/>
      <c r="BH1618" s="26" t="s">
        <v>24533</v>
      </c>
      <c r="BI1618" s="26"/>
      <c r="BJ1618" s="26"/>
      <c r="BK1618" s="26"/>
      <c r="BL1618" s="26"/>
      <c r="BM1618" s="26"/>
      <c r="BN1618" s="26"/>
      <c r="BO1618" s="26"/>
      <c r="BP1618" s="16" t="n">
        <v>45720</v>
      </c>
      <c r="BQ1618" s="28" t="str">
        <f>HYPERLINK("https://organic.ams.usda.gov/Integrity/Certificate.aspx?cid=51&amp;nopid=8241000086")</f>
        <v>https://organic.ams.usda.gov/Integrity/Certificate.aspx?cid=51&amp;nopid=8241000086</v>
      </c>
    </row>
    <row r="1619">
      <c r="A1619" t="s">
        <v>3</v>
      </c>
      <c r="B1619" s="6" t="s">
        <v>6</v>
      </c>
      <c r="C1619" s="6" t="s">
        <v>72</v>
      </c>
      <c r="D1619" s="6" t="s">
        <v>137</v>
      </c>
      <c r="E1619" s="10" t="s">
        <v>1817</v>
      </c>
      <c r="F1619" s="6" t="s">
        <v>4046</v>
      </c>
      <c r="G1619" s="6" t="s">
        <v>104</v>
      </c>
      <c r="H1619" s="6" t="s">
        <v>6355</v>
      </c>
      <c r="I1619" s="6" t="s">
        <v>7849</v>
      </c>
      <c r="J1619" s="6" t="s">
        <v>8141</v>
      </c>
      <c r="K1619" s="6" t="s">
        <v>9714</v>
      </c>
      <c r="L1619" s="16" t="n">
        <v>45420</v>
      </c>
      <c r="M1619" s="16" t="n">
        <v>45722</v>
      </c>
      <c r="N1619" s="6" t="s">
        <v>104</v>
      </c>
      <c r="O1619" s="21" t="s">
        <v>104</v>
      </c>
      <c r="P1619" s="6" t="s">
        <v>104</v>
      </c>
      <c r="Q1619" s="6" t="s">
        <v>104</v>
      </c>
      <c r="R1619" s="6" t="s">
        <v>104</v>
      </c>
      <c r="S1619" s="6" t="s">
        <v>104</v>
      </c>
      <c r="T1619" s="21" t="s">
        <v>104</v>
      </c>
      <c r="U1619" s="6" t="s">
        <v>104</v>
      </c>
      <c r="V1619" s="6" t="s">
        <v>104</v>
      </c>
      <c r="W1619" s="6" t="s">
        <v>104</v>
      </c>
      <c r="X1619" s="6" t="s">
        <v>104</v>
      </c>
      <c r="Y1619" s="21" t="s">
        <v>104</v>
      </c>
      <c r="Z1619" s="6" t="s">
        <v>104</v>
      </c>
      <c r="AA1619" s="6" t="s">
        <v>104</v>
      </c>
      <c r="AB1619" s="6" t="s">
        <v>104</v>
      </c>
      <c r="AC1619" s="6" t="s">
        <v>9714</v>
      </c>
      <c r="AD1619" s="16" t="n">
        <v>45420</v>
      </c>
      <c r="AE1619" s="6" t="s">
        <v>11933</v>
      </c>
      <c r="AF1619" s="6" t="s">
        <v>104</v>
      </c>
      <c r="AG1619" s="6" t="s">
        <v>104</v>
      </c>
      <c r="AH1619" s="6" t="s">
        <v>14639</v>
      </c>
      <c r="AI1619" s="6" t="s">
        <v>104</v>
      </c>
      <c r="AJ1619" s="6" t="s">
        <v>16373</v>
      </c>
      <c r="AK1619" s="6" t="s">
        <v>16697</v>
      </c>
      <c r="AL1619" s="6" t="s">
        <v>16932</v>
      </c>
      <c r="AM1619" s="6" t="s">
        <v>18070</v>
      </c>
      <c r="AN1619" s="6" t="s">
        <v>104</v>
      </c>
      <c r="AO1619" s="6" t="s">
        <v>104</v>
      </c>
      <c r="AP1619" s="6" t="s">
        <v>104</v>
      </c>
      <c r="AQ1619" s="6" t="s">
        <v>104</v>
      </c>
      <c r="AR1619" s="6" t="s">
        <v>104</v>
      </c>
      <c r="AS1619" s="6" t="s">
        <v>104</v>
      </c>
      <c r="AT1619" s="6" t="s">
        <v>104</v>
      </c>
      <c r="AU1619" s="6" t="s">
        <v>104</v>
      </c>
      <c r="AV1619" s="6" t="s">
        <v>104</v>
      </c>
      <c r="AW1619" s="6" t="s">
        <v>104</v>
      </c>
      <c r="AX1619" s="6" t="s">
        <v>21375</v>
      </c>
      <c r="AY1619" s="6" t="s">
        <v>23182</v>
      </c>
      <c r="AZ1619" s="6" t="s">
        <v>104</v>
      </c>
      <c r="BA1619" s="6" t="s">
        <v>104</v>
      </c>
      <c r="BB1619" s="6" t="s">
        <v>104</v>
      </c>
      <c r="BC1619" s="26"/>
      <c r="BD1619" s="26"/>
      <c r="BE1619" s="26"/>
      <c r="BF1619" s="26"/>
      <c r="BG1619" s="26"/>
      <c r="BH1619" s="26"/>
      <c r="BI1619" s="26"/>
      <c r="BJ1619" s="26"/>
      <c r="BK1619" s="26"/>
      <c r="BL1619" s="26"/>
      <c r="BM1619" s="26"/>
      <c r="BN1619" s="26"/>
      <c r="BO1619" s="26"/>
      <c r="BP1619" s="16" t="n">
        <v>45737</v>
      </c>
      <c r="BQ1619" s="28" t="str">
        <f>HYPERLINK("https://organic.ams.usda.gov/Integrity/Certificate.aspx?cid=32&amp;nopid=2230011069")</f>
        <v>https://organic.ams.usda.gov/Integrity/Certificate.aspx?cid=32&amp;nopid=2230011069</v>
      </c>
    </row>
    <row r="1620">
      <c r="A1620" t="s">
        <v>3</v>
      </c>
      <c r="B1620" s="6" t="s">
        <v>14</v>
      </c>
      <c r="C1620" s="6" t="s">
        <v>80</v>
      </c>
      <c r="D1620" s="6" t="s">
        <v>145</v>
      </c>
      <c r="E1620" s="10" t="s">
        <v>1818</v>
      </c>
      <c r="F1620" s="6" t="s">
        <v>4047</v>
      </c>
      <c r="G1620" s="6" t="s">
        <v>104</v>
      </c>
      <c r="H1620" s="6" t="s">
        <v>6356</v>
      </c>
      <c r="I1620" s="6" t="s">
        <v>7850</v>
      </c>
      <c r="J1620" s="6" t="s">
        <v>9307</v>
      </c>
      <c r="K1620" s="6" t="s">
        <v>9714</v>
      </c>
      <c r="L1620" s="16" t="n">
        <v>44433</v>
      </c>
      <c r="M1620" s="16" t="n">
        <v>45779</v>
      </c>
      <c r="N1620" s="6" t="s">
        <v>104</v>
      </c>
      <c r="O1620" s="21" t="s">
        <v>104</v>
      </c>
      <c r="P1620" s="6" t="s">
        <v>104</v>
      </c>
      <c r="Q1620" s="6" t="s">
        <v>104</v>
      </c>
      <c r="R1620" s="6" t="s">
        <v>104</v>
      </c>
      <c r="S1620" s="6" t="s">
        <v>104</v>
      </c>
      <c r="T1620" s="21" t="s">
        <v>104</v>
      </c>
      <c r="U1620" s="6" t="s">
        <v>104</v>
      </c>
      <c r="V1620" s="6" t="s">
        <v>104</v>
      </c>
      <c r="W1620" s="6" t="s">
        <v>104</v>
      </c>
      <c r="X1620" s="6" t="s">
        <v>104</v>
      </c>
      <c r="Y1620" s="21" t="s">
        <v>104</v>
      </c>
      <c r="Z1620" s="6" t="s">
        <v>104</v>
      </c>
      <c r="AA1620" s="6" t="s">
        <v>104</v>
      </c>
      <c r="AB1620" s="6" t="s">
        <v>104</v>
      </c>
      <c r="AC1620" s="6" t="s">
        <v>9714</v>
      </c>
      <c r="AD1620" s="16" t="n">
        <v>44433</v>
      </c>
      <c r="AE1620" s="6" t="s">
        <v>11934</v>
      </c>
      <c r="AF1620" s="6" t="s">
        <v>104</v>
      </c>
      <c r="AG1620" s="6" t="s">
        <v>104</v>
      </c>
      <c r="AH1620" s="6" t="s">
        <v>14640</v>
      </c>
      <c r="AI1620" s="6" t="s">
        <v>104</v>
      </c>
      <c r="AJ1620" s="6" t="s">
        <v>16374</v>
      </c>
      <c r="AK1620" s="6" t="s">
        <v>16697</v>
      </c>
      <c r="AL1620" s="6" t="s">
        <v>16932</v>
      </c>
      <c r="AM1620" s="6" t="s">
        <v>18071</v>
      </c>
      <c r="AN1620" s="6" t="s">
        <v>104</v>
      </c>
      <c r="AO1620" s="6" t="s">
        <v>104</v>
      </c>
      <c r="AP1620" s="6" t="s">
        <v>104</v>
      </c>
      <c r="AQ1620" s="6" t="s">
        <v>104</v>
      </c>
      <c r="AR1620" s="6" t="s">
        <v>104</v>
      </c>
      <c r="AS1620" s="6" t="s">
        <v>104</v>
      </c>
      <c r="AT1620" s="6" t="s">
        <v>104</v>
      </c>
      <c r="AU1620" s="6" t="s">
        <v>104</v>
      </c>
      <c r="AV1620" s="6" t="s">
        <v>104</v>
      </c>
      <c r="AW1620" s="6" t="s">
        <v>104</v>
      </c>
      <c r="AX1620" s="6" t="s">
        <v>21376</v>
      </c>
      <c r="AY1620" s="6" t="s">
        <v>23183</v>
      </c>
      <c r="AZ1620" s="6" t="s">
        <v>104</v>
      </c>
      <c r="BA1620" s="6" t="s">
        <v>24272</v>
      </c>
      <c r="BB1620" s="6" t="s">
        <v>104</v>
      </c>
      <c r="BC1620" s="26"/>
      <c r="BD1620" s="26"/>
      <c r="BE1620" s="26"/>
      <c r="BF1620" s="26"/>
      <c r="BG1620" s="26"/>
      <c r="BH1620" s="26"/>
      <c r="BI1620" s="26"/>
      <c r="BJ1620" s="26"/>
      <c r="BK1620" s="26"/>
      <c r="BL1620" s="26"/>
      <c r="BM1620" s="26"/>
      <c r="BN1620" s="26"/>
      <c r="BO1620" s="26"/>
      <c r="BP1620" s="16" t="n">
        <v>45699</v>
      </c>
      <c r="BQ1620" s="28" t="str">
        <f>HYPERLINK("https://organic.ams.usda.gov/Integrity/Certificate.aspx?cid=89&amp;nopid=4920004779")</f>
        <v>https://organic.ams.usda.gov/Integrity/Certificate.aspx?cid=89&amp;nopid=4920004779</v>
      </c>
    </row>
    <row r="1621">
      <c r="A1621" t="s">
        <v>3</v>
      </c>
      <c r="B1621" s="6" t="s">
        <v>21</v>
      </c>
      <c r="C1621" s="6" t="s">
        <v>87</v>
      </c>
      <c r="D1621" s="6" t="s">
        <v>152</v>
      </c>
      <c r="E1621" s="10" t="s">
        <v>1819</v>
      </c>
      <c r="F1621" s="6" t="s">
        <v>4048</v>
      </c>
      <c r="G1621" s="6" t="s">
        <v>4830</v>
      </c>
      <c r="H1621" s="6" t="s">
        <v>6357</v>
      </c>
      <c r="I1621" s="6" t="s">
        <v>7851</v>
      </c>
      <c r="J1621" s="6" t="s">
        <v>8425</v>
      </c>
      <c r="K1621" s="6" t="s">
        <v>9714</v>
      </c>
      <c r="L1621" s="16" t="n">
        <v>45337</v>
      </c>
      <c r="M1621" s="16" t="n">
        <v>46023</v>
      </c>
      <c r="N1621" s="6" t="s">
        <v>104</v>
      </c>
      <c r="O1621" s="21" t="s">
        <v>104</v>
      </c>
      <c r="P1621" s="6" t="s">
        <v>104</v>
      </c>
      <c r="Q1621" s="6" t="s">
        <v>104</v>
      </c>
      <c r="R1621" s="6" t="s">
        <v>104</v>
      </c>
      <c r="S1621" s="6" t="s">
        <v>104</v>
      </c>
      <c r="T1621" s="21" t="s">
        <v>104</v>
      </c>
      <c r="U1621" s="6" t="s">
        <v>104</v>
      </c>
      <c r="V1621" s="6" t="s">
        <v>104</v>
      </c>
      <c r="W1621" s="6" t="s">
        <v>104</v>
      </c>
      <c r="X1621" s="6" t="s">
        <v>104</v>
      </c>
      <c r="Y1621" s="21" t="s">
        <v>104</v>
      </c>
      <c r="Z1621" s="6" t="s">
        <v>104</v>
      </c>
      <c r="AA1621" s="6" t="s">
        <v>104</v>
      </c>
      <c r="AB1621" s="6" t="s">
        <v>104</v>
      </c>
      <c r="AC1621" s="6" t="s">
        <v>9714</v>
      </c>
      <c r="AD1621" s="16" t="n">
        <v>45337</v>
      </c>
      <c r="AE1621" s="6" t="s">
        <v>11935</v>
      </c>
      <c r="AF1621" s="6" t="s">
        <v>104</v>
      </c>
      <c r="AG1621" s="6" t="s">
        <v>104</v>
      </c>
      <c r="AH1621" s="6" t="s">
        <v>14641</v>
      </c>
      <c r="AI1621" s="6" t="s">
        <v>104</v>
      </c>
      <c r="AJ1621" s="6" t="s">
        <v>16375</v>
      </c>
      <c r="AK1621" s="6" t="s">
        <v>16687</v>
      </c>
      <c r="AL1621" s="6" t="s">
        <v>16931</v>
      </c>
      <c r="AM1621" s="6" t="s">
        <v>18072</v>
      </c>
      <c r="AN1621" s="6" t="s">
        <v>104</v>
      </c>
      <c r="AO1621" s="6" t="s">
        <v>104</v>
      </c>
      <c r="AP1621" s="6" t="s">
        <v>14641</v>
      </c>
      <c r="AQ1621" s="6" t="s">
        <v>104</v>
      </c>
      <c r="AR1621" s="6" t="s">
        <v>16375</v>
      </c>
      <c r="AS1621" s="6" t="s">
        <v>16687</v>
      </c>
      <c r="AT1621" s="6" t="s">
        <v>16931</v>
      </c>
      <c r="AU1621" s="6" t="s">
        <v>18072</v>
      </c>
      <c r="AV1621" s="6" t="s">
        <v>104</v>
      </c>
      <c r="AW1621" s="6" t="s">
        <v>104</v>
      </c>
      <c r="AX1621" s="6" t="s">
        <v>21377</v>
      </c>
      <c r="AY1621" s="6" t="s">
        <v>23184</v>
      </c>
      <c r="AZ1621" s="6" t="s">
        <v>24102</v>
      </c>
      <c r="BA1621" s="6" t="s">
        <v>104</v>
      </c>
      <c r="BB1621" s="6" t="s">
        <v>104</v>
      </c>
      <c r="BC1621" s="26"/>
      <c r="BD1621" s="26"/>
      <c r="BE1621" s="26"/>
      <c r="BF1621" s="26"/>
      <c r="BG1621" s="26"/>
      <c r="BH1621" s="26"/>
      <c r="BI1621" s="26"/>
      <c r="BJ1621" s="26"/>
      <c r="BK1621" s="26"/>
      <c r="BL1621" s="26"/>
      <c r="BM1621" s="26"/>
      <c r="BN1621" s="26"/>
      <c r="BO1621" s="26"/>
      <c r="BP1621" s="16" t="n">
        <v>45667</v>
      </c>
      <c r="BQ1621" s="28" t="str">
        <f>HYPERLINK("https://organic.ams.usda.gov/Integrity/Certificate.aspx?cid=15&amp;nopid=5561008070")</f>
        <v>https://organic.ams.usda.gov/Integrity/Certificate.aspx?cid=15&amp;nopid=5561008070</v>
      </c>
    </row>
    <row r="1622">
      <c r="A1622" t="s">
        <v>3</v>
      </c>
      <c r="B1622" s="6" t="s">
        <v>21</v>
      </c>
      <c r="C1622" s="6" t="s">
        <v>87</v>
      </c>
      <c r="D1622" s="6" t="s">
        <v>152</v>
      </c>
      <c r="E1622" s="10" t="s">
        <v>1820</v>
      </c>
      <c r="F1622" s="6" t="s">
        <v>4049</v>
      </c>
      <c r="G1622" s="6" t="s">
        <v>104</v>
      </c>
      <c r="H1622" s="6" t="s">
        <v>6358</v>
      </c>
      <c r="I1622" s="6" t="s">
        <v>7851</v>
      </c>
      <c r="J1622" s="6" t="s">
        <v>8425</v>
      </c>
      <c r="K1622" s="6" t="s">
        <v>9714</v>
      </c>
      <c r="L1622" s="16" t="n">
        <v>45701</v>
      </c>
      <c r="M1622" s="16" t="n">
        <v>46023</v>
      </c>
      <c r="N1622" s="6" t="s">
        <v>104</v>
      </c>
      <c r="O1622" s="21" t="s">
        <v>104</v>
      </c>
      <c r="P1622" s="6" t="s">
        <v>104</v>
      </c>
      <c r="Q1622" s="6" t="s">
        <v>104</v>
      </c>
      <c r="R1622" s="6" t="s">
        <v>104</v>
      </c>
      <c r="S1622" s="6" t="s">
        <v>104</v>
      </c>
      <c r="T1622" s="21" t="s">
        <v>104</v>
      </c>
      <c r="U1622" s="6" t="s">
        <v>104</v>
      </c>
      <c r="V1622" s="6" t="s">
        <v>104</v>
      </c>
      <c r="W1622" s="6" t="s">
        <v>104</v>
      </c>
      <c r="X1622" s="6" t="s">
        <v>104</v>
      </c>
      <c r="Y1622" s="21" t="s">
        <v>104</v>
      </c>
      <c r="Z1622" s="6" t="s">
        <v>104</v>
      </c>
      <c r="AA1622" s="6" t="s">
        <v>104</v>
      </c>
      <c r="AB1622" s="6" t="s">
        <v>104</v>
      </c>
      <c r="AC1622" s="6" t="s">
        <v>9714</v>
      </c>
      <c r="AD1622" s="16" t="n">
        <v>45701</v>
      </c>
      <c r="AE1622" s="6" t="s">
        <v>11936</v>
      </c>
      <c r="AF1622" s="6" t="s">
        <v>104</v>
      </c>
      <c r="AG1622" s="6" t="s">
        <v>104</v>
      </c>
      <c r="AH1622" s="6" t="s">
        <v>14642</v>
      </c>
      <c r="AI1622" s="6" t="s">
        <v>15258</v>
      </c>
      <c r="AJ1622" s="6" t="s">
        <v>16375</v>
      </c>
      <c r="AK1622" s="6" t="s">
        <v>16687</v>
      </c>
      <c r="AL1622" s="6" t="s">
        <v>16931</v>
      </c>
      <c r="AM1622" s="6" t="s">
        <v>18072</v>
      </c>
      <c r="AN1622" s="6" t="s">
        <v>104</v>
      </c>
      <c r="AO1622" s="6" t="s">
        <v>104</v>
      </c>
      <c r="AP1622" s="6" t="s">
        <v>14642</v>
      </c>
      <c r="AQ1622" s="6" t="s">
        <v>15258</v>
      </c>
      <c r="AR1622" s="6" t="s">
        <v>16375</v>
      </c>
      <c r="AS1622" s="6" t="s">
        <v>16687</v>
      </c>
      <c r="AT1622" s="6" t="s">
        <v>16931</v>
      </c>
      <c r="AU1622" s="6" t="s">
        <v>18072</v>
      </c>
      <c r="AV1622" s="6" t="s">
        <v>104</v>
      </c>
      <c r="AW1622" s="6" t="s">
        <v>104</v>
      </c>
      <c r="AX1622" s="6" t="s">
        <v>21378</v>
      </c>
      <c r="AY1622" s="6" t="s">
        <v>23184</v>
      </c>
      <c r="AZ1622" s="6" t="s">
        <v>24102</v>
      </c>
      <c r="BA1622" s="6" t="s">
        <v>24263</v>
      </c>
      <c r="BB1622" s="6" t="s">
        <v>104</v>
      </c>
      <c r="BC1622" s="26" t="s">
        <v>24533</v>
      </c>
      <c r="BD1622" s="26"/>
      <c r="BE1622" s="26"/>
      <c r="BF1622" s="26"/>
      <c r="BG1622" s="26"/>
      <c r="BH1622" s="26"/>
      <c r="BI1622" s="26"/>
      <c r="BJ1622" s="26"/>
      <c r="BK1622" s="26"/>
      <c r="BL1622" s="26"/>
      <c r="BM1622" s="26"/>
      <c r="BN1622" s="26"/>
      <c r="BO1622" s="26"/>
      <c r="BP1622" s="16" t="n">
        <v>45708</v>
      </c>
      <c r="BQ1622" s="28" t="str">
        <f>HYPERLINK("https://organic.ams.usda.gov/Integrity/Certificate.aspx?cid=15&amp;nopid=5561008561")</f>
        <v>https://organic.ams.usda.gov/Integrity/Certificate.aspx?cid=15&amp;nopid=5561008561</v>
      </c>
    </row>
    <row r="1623">
      <c r="A1623" t="s">
        <v>3</v>
      </c>
      <c r="B1623" s="6" t="s">
        <v>26</v>
      </c>
      <c r="C1623" s="6" t="s">
        <v>92</v>
      </c>
      <c r="D1623" s="6" t="s">
        <v>157</v>
      </c>
      <c r="E1623" s="10" t="s">
        <v>1821</v>
      </c>
      <c r="F1623" s="6" t="s">
        <v>4050</v>
      </c>
      <c r="G1623" s="6" t="s">
        <v>4831</v>
      </c>
      <c r="H1623" s="6" t="s">
        <v>6359</v>
      </c>
      <c r="I1623" s="6" t="s">
        <v>7461</v>
      </c>
      <c r="J1623" s="6" t="s">
        <v>9308</v>
      </c>
      <c r="K1623" s="6" t="s">
        <v>9714</v>
      </c>
      <c r="L1623" s="16" t="n">
        <v>37568</v>
      </c>
      <c r="M1623" s="16" t="n">
        <v>45731</v>
      </c>
      <c r="N1623" s="6" t="s">
        <v>9714</v>
      </c>
      <c r="O1623" s="16" t="n">
        <v>37568</v>
      </c>
      <c r="P1623" s="6" t="s">
        <v>10163</v>
      </c>
      <c r="Q1623" s="6" t="s">
        <v>104</v>
      </c>
      <c r="R1623" s="6" t="s">
        <v>104</v>
      </c>
      <c r="S1623" s="6" t="s">
        <v>104</v>
      </c>
      <c r="T1623" s="21" t="s">
        <v>104</v>
      </c>
      <c r="U1623" s="6" t="s">
        <v>104</v>
      </c>
      <c r="V1623" s="6" t="s">
        <v>104</v>
      </c>
      <c r="W1623" s="6" t="s">
        <v>104</v>
      </c>
      <c r="X1623" s="6" t="s">
        <v>104</v>
      </c>
      <c r="Y1623" s="21" t="s">
        <v>104</v>
      </c>
      <c r="Z1623" s="6" t="s">
        <v>104</v>
      </c>
      <c r="AA1623" s="6" t="s">
        <v>104</v>
      </c>
      <c r="AB1623" s="6" t="s">
        <v>104</v>
      </c>
      <c r="AC1623" s="6" t="s">
        <v>104</v>
      </c>
      <c r="AD1623" s="21" t="s">
        <v>104</v>
      </c>
      <c r="AE1623" s="6" t="s">
        <v>104</v>
      </c>
      <c r="AF1623" s="6" t="s">
        <v>104</v>
      </c>
      <c r="AG1623" s="6" t="s">
        <v>104</v>
      </c>
      <c r="AH1623" s="6" t="s">
        <v>14643</v>
      </c>
      <c r="AI1623" s="6" t="s">
        <v>104</v>
      </c>
      <c r="AJ1623" s="6" t="s">
        <v>16376</v>
      </c>
      <c r="AK1623" s="6" t="s">
        <v>16692</v>
      </c>
      <c r="AL1623" s="6" t="s">
        <v>16931</v>
      </c>
      <c r="AM1623" s="6" t="s">
        <v>18073</v>
      </c>
      <c r="AN1623" s="6" t="s">
        <v>18469</v>
      </c>
      <c r="AO1623" s="6" t="s">
        <v>18869</v>
      </c>
      <c r="AP1623" s="6" t="s">
        <v>104</v>
      </c>
      <c r="AQ1623" s="6" t="s">
        <v>104</v>
      </c>
      <c r="AR1623" s="6" t="s">
        <v>104</v>
      </c>
      <c r="AS1623" s="6" t="s">
        <v>104</v>
      </c>
      <c r="AT1623" s="6" t="s">
        <v>104</v>
      </c>
      <c r="AU1623" s="6" t="s">
        <v>104</v>
      </c>
      <c r="AV1623" s="6" t="s">
        <v>104</v>
      </c>
      <c r="AW1623" s="6" t="s">
        <v>104</v>
      </c>
      <c r="AX1623" s="6" t="s">
        <v>21379</v>
      </c>
      <c r="AY1623" s="6" t="s">
        <v>104</v>
      </c>
      <c r="AZ1623" s="6" t="s">
        <v>104</v>
      </c>
      <c r="BA1623" s="6" t="s">
        <v>104</v>
      </c>
      <c r="BB1623" s="24" t="n">
        <v>55</v>
      </c>
      <c r="BC1623" s="26"/>
      <c r="BD1623" s="26"/>
      <c r="BE1623" s="26"/>
      <c r="BF1623" s="26"/>
      <c r="BG1623" s="26"/>
      <c r="BH1623" s="26"/>
      <c r="BI1623" s="26"/>
      <c r="BJ1623" s="26"/>
      <c r="BK1623" s="26"/>
      <c r="BL1623" s="26"/>
      <c r="BM1623" s="26"/>
      <c r="BN1623" s="26"/>
      <c r="BO1623" s="26"/>
      <c r="BP1623" s="16" t="n">
        <v>45701</v>
      </c>
      <c r="BQ1623" s="28" t="str">
        <f>HYPERLINK("https://organic.ams.usda.gov/Integrity/Certificate.aspx?cid=81&amp;nopid=4210002026")</f>
        <v>https://organic.ams.usda.gov/Integrity/Certificate.aspx?cid=81&amp;nopid=4210002026</v>
      </c>
    </row>
    <row r="1624">
      <c r="A1624" t="s">
        <v>3</v>
      </c>
      <c r="B1624" s="6" t="s">
        <v>31</v>
      </c>
      <c r="C1624" s="6" t="s">
        <v>97</v>
      </c>
      <c r="D1624" s="6" t="s">
        <v>162</v>
      </c>
      <c r="E1624" s="10" t="s">
        <v>1822</v>
      </c>
      <c r="F1624" s="6" t="s">
        <v>4051</v>
      </c>
      <c r="G1624" s="6" t="s">
        <v>104</v>
      </c>
      <c r="H1624" s="6" t="s">
        <v>6360</v>
      </c>
      <c r="I1624" s="6" t="s">
        <v>104</v>
      </c>
      <c r="J1624" s="6" t="s">
        <v>104</v>
      </c>
      <c r="K1624" s="6" t="s">
        <v>9714</v>
      </c>
      <c r="L1624" s="16" t="n">
        <v>42522</v>
      </c>
      <c r="M1624" s="16" t="n">
        <v>45444</v>
      </c>
      <c r="N1624" s="6" t="s">
        <v>104</v>
      </c>
      <c r="O1624" s="21" t="s">
        <v>104</v>
      </c>
      <c r="P1624" s="6" t="s">
        <v>104</v>
      </c>
      <c r="Q1624" s="6" t="s">
        <v>104</v>
      </c>
      <c r="R1624" s="6" t="s">
        <v>104</v>
      </c>
      <c r="S1624" s="6" t="s">
        <v>104</v>
      </c>
      <c r="T1624" s="21" t="s">
        <v>104</v>
      </c>
      <c r="U1624" s="6" t="s">
        <v>104</v>
      </c>
      <c r="V1624" s="6" t="s">
        <v>104</v>
      </c>
      <c r="W1624" s="6" t="s">
        <v>104</v>
      </c>
      <c r="X1624" s="6" t="s">
        <v>104</v>
      </c>
      <c r="Y1624" s="21" t="s">
        <v>104</v>
      </c>
      <c r="Z1624" s="6" t="s">
        <v>104</v>
      </c>
      <c r="AA1624" s="6" t="s">
        <v>104</v>
      </c>
      <c r="AB1624" s="6" t="s">
        <v>104</v>
      </c>
      <c r="AC1624" s="6" t="s">
        <v>9714</v>
      </c>
      <c r="AD1624" s="16" t="n">
        <v>42522</v>
      </c>
      <c r="AE1624" s="6" t="s">
        <v>11937</v>
      </c>
      <c r="AF1624" s="6" t="s">
        <v>104</v>
      </c>
      <c r="AG1624" s="6" t="s">
        <v>12987</v>
      </c>
      <c r="AH1624" s="6" t="s">
        <v>14644</v>
      </c>
      <c r="AI1624" s="6" t="s">
        <v>104</v>
      </c>
      <c r="AJ1624" s="6" t="s">
        <v>104</v>
      </c>
      <c r="AK1624" s="6" t="s">
        <v>16080</v>
      </c>
      <c r="AL1624" s="6" t="s">
        <v>16943</v>
      </c>
      <c r="AM1624" s="6" t="s">
        <v>104</v>
      </c>
      <c r="AN1624" s="6" t="s">
        <v>104</v>
      </c>
      <c r="AO1624" s="6" t="s">
        <v>104</v>
      </c>
      <c r="AP1624" s="6" t="s">
        <v>14644</v>
      </c>
      <c r="AQ1624" s="6" t="s">
        <v>104</v>
      </c>
      <c r="AR1624" s="6" t="s">
        <v>104</v>
      </c>
      <c r="AS1624" s="6" t="s">
        <v>16080</v>
      </c>
      <c r="AT1624" s="6" t="s">
        <v>16943</v>
      </c>
      <c r="AU1624" s="6" t="s">
        <v>104</v>
      </c>
      <c r="AV1624" s="6" t="s">
        <v>104</v>
      </c>
      <c r="AW1624" s="6" t="s">
        <v>104</v>
      </c>
      <c r="AX1624" s="6" t="s">
        <v>104</v>
      </c>
      <c r="AY1624" s="6" t="s">
        <v>104</v>
      </c>
      <c r="AZ1624" s="6" t="s">
        <v>104</v>
      </c>
      <c r="BA1624" s="6" t="s">
        <v>104</v>
      </c>
      <c r="BB1624" s="6" t="s">
        <v>104</v>
      </c>
      <c r="BC1624" s="26"/>
      <c r="BD1624" s="26"/>
      <c r="BE1624" s="26"/>
      <c r="BF1624" s="26"/>
      <c r="BG1624" s="26"/>
      <c r="BH1624" s="26"/>
      <c r="BI1624" s="26"/>
      <c r="BJ1624" s="26"/>
      <c r="BK1624" s="26"/>
      <c r="BL1624" s="26"/>
      <c r="BM1624" s="26"/>
      <c r="BN1624" s="26"/>
      <c r="BO1624" s="26"/>
      <c r="BP1624" s="16" t="n">
        <v>45677</v>
      </c>
      <c r="BQ1624" s="28" t="str">
        <f>HYPERLINK("https://organic.ams.usda.gov/Integrity/Certificate.aspx?cid=43&amp;nopid=3532020266")</f>
        <v>https://organic.ams.usda.gov/Integrity/Certificate.aspx?cid=43&amp;nopid=3532020266</v>
      </c>
    </row>
    <row r="1625">
      <c r="A1625" t="s">
        <v>3</v>
      </c>
      <c r="B1625" s="6" t="s">
        <v>31</v>
      </c>
      <c r="C1625" s="6" t="s">
        <v>97</v>
      </c>
      <c r="D1625" s="6" t="s">
        <v>162</v>
      </c>
      <c r="E1625" s="10" t="s">
        <v>1823</v>
      </c>
      <c r="F1625" s="6" t="s">
        <v>4052</v>
      </c>
      <c r="G1625" s="6" t="s">
        <v>104</v>
      </c>
      <c r="H1625" s="6" t="s">
        <v>6361</v>
      </c>
      <c r="I1625" s="6" t="s">
        <v>104</v>
      </c>
      <c r="J1625" s="6" t="s">
        <v>104</v>
      </c>
      <c r="K1625" s="6" t="s">
        <v>9714</v>
      </c>
      <c r="L1625" s="16" t="n">
        <v>42522</v>
      </c>
      <c r="M1625" s="16" t="n">
        <v>45809</v>
      </c>
      <c r="N1625" s="6" t="s">
        <v>104</v>
      </c>
      <c r="O1625" s="21" t="s">
        <v>104</v>
      </c>
      <c r="P1625" s="6" t="s">
        <v>104</v>
      </c>
      <c r="Q1625" s="6" t="s">
        <v>104</v>
      </c>
      <c r="R1625" s="6" t="s">
        <v>104</v>
      </c>
      <c r="S1625" s="6" t="s">
        <v>104</v>
      </c>
      <c r="T1625" s="21" t="s">
        <v>104</v>
      </c>
      <c r="U1625" s="6" t="s">
        <v>104</v>
      </c>
      <c r="V1625" s="6" t="s">
        <v>104</v>
      </c>
      <c r="W1625" s="6" t="s">
        <v>104</v>
      </c>
      <c r="X1625" s="6" t="s">
        <v>104</v>
      </c>
      <c r="Y1625" s="21" t="s">
        <v>104</v>
      </c>
      <c r="Z1625" s="6" t="s">
        <v>104</v>
      </c>
      <c r="AA1625" s="6" t="s">
        <v>104</v>
      </c>
      <c r="AB1625" s="6" t="s">
        <v>104</v>
      </c>
      <c r="AC1625" s="6" t="s">
        <v>9714</v>
      </c>
      <c r="AD1625" s="16" t="n">
        <v>42522</v>
      </c>
      <c r="AE1625" s="6" t="s">
        <v>11937</v>
      </c>
      <c r="AF1625" s="6" t="s">
        <v>104</v>
      </c>
      <c r="AG1625" s="6" t="s">
        <v>12988</v>
      </c>
      <c r="AH1625" s="6" t="s">
        <v>14645</v>
      </c>
      <c r="AI1625" s="6" t="s">
        <v>104</v>
      </c>
      <c r="AJ1625" s="6" t="s">
        <v>16377</v>
      </c>
      <c r="AK1625" s="6" t="s">
        <v>16879</v>
      </c>
      <c r="AL1625" s="6" t="s">
        <v>16943</v>
      </c>
      <c r="AM1625" s="6" t="s">
        <v>17548</v>
      </c>
      <c r="AN1625" s="6" t="s">
        <v>104</v>
      </c>
      <c r="AO1625" s="6" t="s">
        <v>104</v>
      </c>
      <c r="AP1625" s="6" t="s">
        <v>14645</v>
      </c>
      <c r="AQ1625" s="6" t="s">
        <v>104</v>
      </c>
      <c r="AR1625" s="6" t="s">
        <v>16377</v>
      </c>
      <c r="AS1625" s="6" t="s">
        <v>16879</v>
      </c>
      <c r="AT1625" s="6" t="s">
        <v>16943</v>
      </c>
      <c r="AU1625" s="6" t="s">
        <v>17548</v>
      </c>
      <c r="AV1625" s="6" t="s">
        <v>104</v>
      </c>
      <c r="AW1625" s="6" t="s">
        <v>104</v>
      </c>
      <c r="AX1625" s="6" t="s">
        <v>104</v>
      </c>
      <c r="AY1625" s="6" t="s">
        <v>104</v>
      </c>
      <c r="AZ1625" s="6" t="s">
        <v>104</v>
      </c>
      <c r="BA1625" s="6" t="s">
        <v>104</v>
      </c>
      <c r="BB1625" s="6" t="s">
        <v>104</v>
      </c>
      <c r="BC1625" s="26"/>
      <c r="BD1625" s="26"/>
      <c r="BE1625" s="26"/>
      <c r="BF1625" s="26"/>
      <c r="BG1625" s="26"/>
      <c r="BH1625" s="26"/>
      <c r="BI1625" s="26"/>
      <c r="BJ1625" s="26"/>
      <c r="BK1625" s="26"/>
      <c r="BL1625" s="26"/>
      <c r="BM1625" s="26"/>
      <c r="BN1625" s="26"/>
      <c r="BO1625" s="26"/>
      <c r="BP1625" s="16" t="n">
        <v>45677</v>
      </c>
      <c r="BQ1625" s="28" t="str">
        <f>HYPERLINK("https://organic.ams.usda.gov/Integrity/Certificate.aspx?cid=43&amp;nopid=3531925770")</f>
        <v>https://organic.ams.usda.gov/Integrity/Certificate.aspx?cid=43&amp;nopid=3531925770</v>
      </c>
    </row>
    <row r="1626">
      <c r="A1626" t="s">
        <v>3</v>
      </c>
      <c r="B1626" s="6" t="s">
        <v>22</v>
      </c>
      <c r="C1626" s="6" t="s">
        <v>88</v>
      </c>
      <c r="D1626" s="6" t="s">
        <v>153</v>
      </c>
      <c r="E1626" s="10" t="s">
        <v>1824</v>
      </c>
      <c r="F1626" s="6" t="s">
        <v>4053</v>
      </c>
      <c r="G1626" s="6" t="s">
        <v>104</v>
      </c>
      <c r="H1626" s="6" t="s">
        <v>6362</v>
      </c>
      <c r="I1626" s="6" t="s">
        <v>7852</v>
      </c>
      <c r="J1626" s="6" t="s">
        <v>9309</v>
      </c>
      <c r="K1626" s="6" t="s">
        <v>9714</v>
      </c>
      <c r="L1626" s="16" t="n">
        <v>44636</v>
      </c>
      <c r="M1626" s="16" t="n">
        <v>45839</v>
      </c>
      <c r="N1626" s="6" t="s">
        <v>104</v>
      </c>
      <c r="O1626" s="21" t="s">
        <v>104</v>
      </c>
      <c r="P1626" s="6" t="s">
        <v>104</v>
      </c>
      <c r="Q1626" s="6" t="s">
        <v>104</v>
      </c>
      <c r="R1626" s="6" t="s">
        <v>104</v>
      </c>
      <c r="S1626" s="6" t="s">
        <v>104</v>
      </c>
      <c r="T1626" s="21" t="s">
        <v>104</v>
      </c>
      <c r="U1626" s="6" t="s">
        <v>104</v>
      </c>
      <c r="V1626" s="6" t="s">
        <v>104</v>
      </c>
      <c r="W1626" s="6" t="s">
        <v>104</v>
      </c>
      <c r="X1626" s="6" t="s">
        <v>104</v>
      </c>
      <c r="Y1626" s="21" t="s">
        <v>104</v>
      </c>
      <c r="Z1626" s="6" t="s">
        <v>104</v>
      </c>
      <c r="AA1626" s="6" t="s">
        <v>104</v>
      </c>
      <c r="AB1626" s="6" t="s">
        <v>104</v>
      </c>
      <c r="AC1626" s="6" t="s">
        <v>9714</v>
      </c>
      <c r="AD1626" s="16" t="n">
        <v>44636</v>
      </c>
      <c r="AE1626" s="6" t="s">
        <v>11938</v>
      </c>
      <c r="AF1626" s="6" t="s">
        <v>104</v>
      </c>
      <c r="AG1626" s="6" t="s">
        <v>12989</v>
      </c>
      <c r="AH1626" s="6" t="s">
        <v>14646</v>
      </c>
      <c r="AI1626" s="6" t="s">
        <v>15322</v>
      </c>
      <c r="AJ1626" s="6" t="s">
        <v>16378</v>
      </c>
      <c r="AK1626" s="6" t="s">
        <v>16880</v>
      </c>
      <c r="AL1626" s="6" t="s">
        <v>16931</v>
      </c>
      <c r="AM1626" s="6" t="s">
        <v>18074</v>
      </c>
      <c r="AN1626" s="6" t="s">
        <v>104</v>
      </c>
      <c r="AO1626" s="6" t="s">
        <v>104</v>
      </c>
      <c r="AP1626" s="6" t="s">
        <v>19385</v>
      </c>
      <c r="AQ1626" s="6" t="s">
        <v>104</v>
      </c>
      <c r="AR1626" s="6" t="s">
        <v>19742</v>
      </c>
      <c r="AS1626" s="6" t="s">
        <v>16880</v>
      </c>
      <c r="AT1626" s="6" t="s">
        <v>16931</v>
      </c>
      <c r="AU1626" s="6" t="s">
        <v>20008</v>
      </c>
      <c r="AV1626" s="6" t="s">
        <v>104</v>
      </c>
      <c r="AW1626" s="6" t="s">
        <v>104</v>
      </c>
      <c r="AX1626" s="6" t="s">
        <v>21380</v>
      </c>
      <c r="AY1626" s="6" t="s">
        <v>23185</v>
      </c>
      <c r="AZ1626" s="6" t="s">
        <v>104</v>
      </c>
      <c r="BA1626" s="6" t="s">
        <v>104</v>
      </c>
      <c r="BB1626" s="6" t="s">
        <v>104</v>
      </c>
      <c r="BC1626" s="26"/>
      <c r="BD1626" s="26"/>
      <c r="BE1626" s="26" t="s">
        <v>24533</v>
      </c>
      <c r="BF1626" s="26"/>
      <c r="BG1626" s="26"/>
      <c r="BH1626" s="26"/>
      <c r="BI1626" s="26"/>
      <c r="BJ1626" s="26"/>
      <c r="BK1626" s="26"/>
      <c r="BL1626" s="26"/>
      <c r="BM1626" s="26"/>
      <c r="BN1626" s="26"/>
      <c r="BO1626" s="26"/>
      <c r="BP1626" s="16" t="n">
        <v>45663</v>
      </c>
      <c r="BQ1626" s="28" t="str">
        <f>HYPERLINK("https://organic.ams.usda.gov/Integrity/Certificate.aspx?cid=72&amp;nopid=5870103916")</f>
        <v>https://organic.ams.usda.gov/Integrity/Certificate.aspx?cid=72&amp;nopid=5870103916</v>
      </c>
    </row>
    <row r="1627">
      <c r="A1627" t="s">
        <v>3</v>
      </c>
      <c r="B1627" s="6" t="s">
        <v>30</v>
      </c>
      <c r="C1627" s="6" t="s">
        <v>96</v>
      </c>
      <c r="D1627" s="6" t="s">
        <v>161</v>
      </c>
      <c r="E1627" s="10" t="s">
        <v>1825</v>
      </c>
      <c r="F1627" s="6" t="s">
        <v>4054</v>
      </c>
      <c r="G1627" s="6" t="s">
        <v>104</v>
      </c>
      <c r="H1627" s="6" t="s">
        <v>6363</v>
      </c>
      <c r="I1627" s="6" t="s">
        <v>7853</v>
      </c>
      <c r="J1627" s="6" t="s">
        <v>9310</v>
      </c>
      <c r="K1627" s="6" t="s">
        <v>9714</v>
      </c>
      <c r="L1627" s="16" t="n">
        <v>45436</v>
      </c>
      <c r="M1627" s="16" t="n">
        <v>45735</v>
      </c>
      <c r="N1627" s="6" t="s">
        <v>104</v>
      </c>
      <c r="O1627" s="21" t="s">
        <v>104</v>
      </c>
      <c r="P1627" s="6" t="s">
        <v>104</v>
      </c>
      <c r="Q1627" s="6" t="s">
        <v>104</v>
      </c>
      <c r="R1627" s="6" t="s">
        <v>104</v>
      </c>
      <c r="S1627" s="6" t="s">
        <v>104</v>
      </c>
      <c r="T1627" s="21" t="s">
        <v>104</v>
      </c>
      <c r="U1627" s="6" t="s">
        <v>104</v>
      </c>
      <c r="V1627" s="6" t="s">
        <v>104</v>
      </c>
      <c r="W1627" s="6" t="s">
        <v>104</v>
      </c>
      <c r="X1627" s="6" t="s">
        <v>104</v>
      </c>
      <c r="Y1627" s="21" t="s">
        <v>104</v>
      </c>
      <c r="Z1627" s="6" t="s">
        <v>104</v>
      </c>
      <c r="AA1627" s="6" t="s">
        <v>104</v>
      </c>
      <c r="AB1627" s="6" t="s">
        <v>104</v>
      </c>
      <c r="AC1627" s="6" t="s">
        <v>9714</v>
      </c>
      <c r="AD1627" s="16" t="n">
        <v>45436</v>
      </c>
      <c r="AE1627" s="6" t="s">
        <v>11939</v>
      </c>
      <c r="AF1627" s="6" t="s">
        <v>104</v>
      </c>
      <c r="AG1627" s="6" t="s">
        <v>12990</v>
      </c>
      <c r="AH1627" s="6" t="s">
        <v>14647</v>
      </c>
      <c r="AI1627" s="6" t="s">
        <v>104</v>
      </c>
      <c r="AJ1627" s="6" t="s">
        <v>16379</v>
      </c>
      <c r="AK1627" s="6" t="s">
        <v>16379</v>
      </c>
      <c r="AL1627" s="6" t="s">
        <v>16943</v>
      </c>
      <c r="AM1627" s="6" t="s">
        <v>18075</v>
      </c>
      <c r="AN1627" s="6" t="s">
        <v>104</v>
      </c>
      <c r="AO1627" s="6" t="s">
        <v>104</v>
      </c>
      <c r="AP1627" s="6" t="s">
        <v>14647</v>
      </c>
      <c r="AQ1627" s="6" t="s">
        <v>104</v>
      </c>
      <c r="AR1627" s="6" t="s">
        <v>16379</v>
      </c>
      <c r="AS1627" s="6" t="s">
        <v>16379</v>
      </c>
      <c r="AT1627" s="6" t="s">
        <v>16943</v>
      </c>
      <c r="AU1627" s="6" t="s">
        <v>18075</v>
      </c>
      <c r="AV1627" s="6" t="s">
        <v>104</v>
      </c>
      <c r="AW1627" s="6" t="s">
        <v>104</v>
      </c>
      <c r="AX1627" s="6" t="s">
        <v>21381</v>
      </c>
      <c r="AY1627" s="6" t="s">
        <v>23186</v>
      </c>
      <c r="AZ1627" s="6" t="s">
        <v>104</v>
      </c>
      <c r="BA1627" s="6" t="s">
        <v>104</v>
      </c>
      <c r="BB1627" s="6" t="s">
        <v>104</v>
      </c>
      <c r="BC1627" s="26"/>
      <c r="BD1627" s="26"/>
      <c r="BE1627" s="26"/>
      <c r="BF1627" s="26"/>
      <c r="BG1627" s="26"/>
      <c r="BH1627" s="26"/>
      <c r="BI1627" s="26"/>
      <c r="BJ1627" s="26"/>
      <c r="BK1627" s="26"/>
      <c r="BL1627" s="26"/>
      <c r="BM1627" s="26"/>
      <c r="BN1627" s="26"/>
      <c r="BO1627" s="26"/>
      <c r="BP1627" s="16" t="n">
        <v>45439</v>
      </c>
      <c r="BQ1627" s="28" t="str">
        <f>HYPERLINK("https://organic.ams.usda.gov/Integrity/Certificate.aspx?cid=14&amp;nopid=6250042160")</f>
        <v>https://organic.ams.usda.gov/Integrity/Certificate.aspx?cid=14&amp;nopid=6250042160</v>
      </c>
    </row>
    <row r="1628">
      <c r="A1628" t="s">
        <v>3</v>
      </c>
      <c r="B1628" s="6" t="s">
        <v>51</v>
      </c>
      <c r="C1628" s="6" t="s">
        <v>117</v>
      </c>
      <c r="D1628" s="6" t="s">
        <v>181</v>
      </c>
      <c r="E1628" s="10" t="s">
        <v>1826</v>
      </c>
      <c r="F1628" s="6" t="s">
        <v>4055</v>
      </c>
      <c r="G1628" s="6" t="s">
        <v>104</v>
      </c>
      <c r="H1628" s="6" t="s">
        <v>6364</v>
      </c>
      <c r="I1628" s="6" t="s">
        <v>104</v>
      </c>
      <c r="J1628" s="6" t="s">
        <v>104</v>
      </c>
      <c r="K1628" s="6" t="s">
        <v>9714</v>
      </c>
      <c r="L1628" s="16" t="n">
        <v>45350</v>
      </c>
      <c r="M1628" s="16" t="n">
        <v>45606</v>
      </c>
      <c r="N1628" s="6" t="s">
        <v>104</v>
      </c>
      <c r="O1628" s="21" t="s">
        <v>104</v>
      </c>
      <c r="P1628" s="6" t="s">
        <v>104</v>
      </c>
      <c r="Q1628" s="6" t="s">
        <v>104</v>
      </c>
      <c r="R1628" s="6" t="s">
        <v>104</v>
      </c>
      <c r="S1628" s="6" t="s">
        <v>104</v>
      </c>
      <c r="T1628" s="21" t="s">
        <v>104</v>
      </c>
      <c r="U1628" s="6" t="s">
        <v>104</v>
      </c>
      <c r="V1628" s="6" t="s">
        <v>104</v>
      </c>
      <c r="W1628" s="6" t="s">
        <v>104</v>
      </c>
      <c r="X1628" s="6" t="s">
        <v>104</v>
      </c>
      <c r="Y1628" s="21" t="s">
        <v>104</v>
      </c>
      <c r="Z1628" s="6" t="s">
        <v>104</v>
      </c>
      <c r="AA1628" s="6" t="s">
        <v>104</v>
      </c>
      <c r="AB1628" s="6" t="s">
        <v>104</v>
      </c>
      <c r="AC1628" s="6" t="s">
        <v>9714</v>
      </c>
      <c r="AD1628" s="16" t="n">
        <v>45350</v>
      </c>
      <c r="AE1628" s="6" t="s">
        <v>11124</v>
      </c>
      <c r="AF1628" s="6" t="s">
        <v>104</v>
      </c>
      <c r="AG1628" s="6" t="s">
        <v>12991</v>
      </c>
      <c r="AH1628" s="6" t="s">
        <v>14648</v>
      </c>
      <c r="AI1628" s="6" t="s">
        <v>104</v>
      </c>
      <c r="AJ1628" s="6" t="s">
        <v>16341</v>
      </c>
      <c r="AK1628" s="6" t="s">
        <v>15373</v>
      </c>
      <c r="AL1628" s="6" t="s">
        <v>16933</v>
      </c>
      <c r="AM1628" s="6" t="s">
        <v>104</v>
      </c>
      <c r="AN1628" s="6" t="s">
        <v>104</v>
      </c>
      <c r="AO1628" s="6" t="s">
        <v>104</v>
      </c>
      <c r="AP1628" s="6" t="s">
        <v>14648</v>
      </c>
      <c r="AQ1628" s="6" t="s">
        <v>104</v>
      </c>
      <c r="AR1628" s="6" t="s">
        <v>16341</v>
      </c>
      <c r="AS1628" s="6" t="s">
        <v>15373</v>
      </c>
      <c r="AT1628" s="6" t="s">
        <v>16933</v>
      </c>
      <c r="AU1628" s="6" t="s">
        <v>104</v>
      </c>
      <c r="AV1628" s="6" t="s">
        <v>104</v>
      </c>
      <c r="AW1628" s="6" t="s">
        <v>104</v>
      </c>
      <c r="AX1628" s="6" t="s">
        <v>104</v>
      </c>
      <c r="AY1628" s="6" t="s">
        <v>104</v>
      </c>
      <c r="AZ1628" s="6" t="s">
        <v>104</v>
      </c>
      <c r="BA1628" s="6" t="s">
        <v>24467</v>
      </c>
      <c r="BB1628" s="6" t="s">
        <v>104</v>
      </c>
      <c r="BC1628" s="26"/>
      <c r="BD1628" s="26"/>
      <c r="BE1628" s="26"/>
      <c r="BF1628" s="26"/>
      <c r="BG1628" s="26"/>
      <c r="BH1628" s="26"/>
      <c r="BI1628" s="26"/>
      <c r="BJ1628" s="26"/>
      <c r="BK1628" s="26"/>
      <c r="BL1628" s="26"/>
      <c r="BM1628" s="26"/>
      <c r="BN1628" s="26"/>
      <c r="BO1628" s="26"/>
      <c r="BP1628" s="16" t="n">
        <v>45471</v>
      </c>
      <c r="BQ1628" s="28" t="str">
        <f>HYPERLINK("https://organic.ams.usda.gov/Integrity/Certificate.aspx?cid=40&amp;nopid=4490004362")</f>
        <v>https://organic.ams.usda.gov/Integrity/Certificate.aspx?cid=40&amp;nopid=4490004362</v>
      </c>
    </row>
    <row r="1629">
      <c r="A1629" t="s">
        <v>3</v>
      </c>
      <c r="B1629" s="6" t="s">
        <v>48</v>
      </c>
      <c r="C1629" s="6" t="s">
        <v>114</v>
      </c>
      <c r="D1629" s="6" t="s">
        <v>178</v>
      </c>
      <c r="E1629" s="10" t="s">
        <v>1827</v>
      </c>
      <c r="F1629" s="6" t="s">
        <v>4056</v>
      </c>
      <c r="G1629" s="6" t="s">
        <v>104</v>
      </c>
      <c r="H1629" s="6" t="s">
        <v>6365</v>
      </c>
      <c r="I1629" s="6" t="s">
        <v>7854</v>
      </c>
      <c r="J1629" s="6" t="s">
        <v>9311</v>
      </c>
      <c r="K1629" s="6" t="s">
        <v>9714</v>
      </c>
      <c r="L1629" s="16" t="n">
        <v>40008</v>
      </c>
      <c r="M1629" s="16" t="n">
        <v>45596</v>
      </c>
      <c r="N1629" s="6" t="s">
        <v>9714</v>
      </c>
      <c r="O1629" s="16" t="n">
        <v>40008</v>
      </c>
      <c r="P1629" s="6" t="s">
        <v>104</v>
      </c>
      <c r="Q1629" s="6" t="s">
        <v>104</v>
      </c>
      <c r="R1629" s="6" t="s">
        <v>104</v>
      </c>
      <c r="S1629" s="6" t="s">
        <v>104</v>
      </c>
      <c r="T1629" s="21" t="s">
        <v>104</v>
      </c>
      <c r="U1629" s="6" t="s">
        <v>104</v>
      </c>
      <c r="V1629" s="6" t="s">
        <v>104</v>
      </c>
      <c r="W1629" s="6" t="s">
        <v>104</v>
      </c>
      <c r="X1629" s="6" t="s">
        <v>104</v>
      </c>
      <c r="Y1629" s="21" t="s">
        <v>104</v>
      </c>
      <c r="Z1629" s="6" t="s">
        <v>104</v>
      </c>
      <c r="AA1629" s="6" t="s">
        <v>104</v>
      </c>
      <c r="AB1629" s="6" t="s">
        <v>104</v>
      </c>
      <c r="AC1629" s="6" t="s">
        <v>9714</v>
      </c>
      <c r="AD1629" s="16" t="n">
        <v>40008</v>
      </c>
      <c r="AE1629" s="6" t="s">
        <v>11940</v>
      </c>
      <c r="AF1629" s="6" t="s">
        <v>104</v>
      </c>
      <c r="AG1629" s="6" t="s">
        <v>104</v>
      </c>
      <c r="AH1629" s="6" t="s">
        <v>14649</v>
      </c>
      <c r="AI1629" s="6" t="s">
        <v>104</v>
      </c>
      <c r="AJ1629" s="6" t="s">
        <v>16380</v>
      </c>
      <c r="AK1629" s="6" t="s">
        <v>104</v>
      </c>
      <c r="AL1629" s="6" t="s">
        <v>16963</v>
      </c>
      <c r="AM1629" s="6" t="s">
        <v>18076</v>
      </c>
      <c r="AN1629" s="6" t="s">
        <v>104</v>
      </c>
      <c r="AO1629" s="6" t="s">
        <v>104</v>
      </c>
      <c r="AP1629" s="6" t="s">
        <v>14649</v>
      </c>
      <c r="AQ1629" s="6" t="s">
        <v>104</v>
      </c>
      <c r="AR1629" s="6" t="s">
        <v>16380</v>
      </c>
      <c r="AS1629" s="6" t="s">
        <v>104</v>
      </c>
      <c r="AT1629" s="6" t="s">
        <v>16963</v>
      </c>
      <c r="AU1629" s="6" t="s">
        <v>18076</v>
      </c>
      <c r="AV1629" s="6" t="s">
        <v>104</v>
      </c>
      <c r="AW1629" s="6" t="s">
        <v>104</v>
      </c>
      <c r="AX1629" s="6" t="s">
        <v>21382</v>
      </c>
      <c r="AY1629" s="6" t="s">
        <v>23187</v>
      </c>
      <c r="AZ1629" s="6" t="s">
        <v>104</v>
      </c>
      <c r="BA1629" s="6" t="s">
        <v>104</v>
      </c>
      <c r="BB1629" s="24" t="n">
        <v>184</v>
      </c>
      <c r="BC1629" s="26"/>
      <c r="BD1629" s="26"/>
      <c r="BE1629" s="26"/>
      <c r="BF1629" s="26"/>
      <c r="BG1629" s="26"/>
      <c r="BH1629" s="26"/>
      <c r="BI1629" s="26"/>
      <c r="BJ1629" s="26"/>
      <c r="BK1629" s="26"/>
      <c r="BL1629" s="26"/>
      <c r="BM1629" s="26"/>
      <c r="BN1629" s="26"/>
      <c r="BO1629" s="26"/>
      <c r="BP1629" s="16" t="n">
        <v>45713</v>
      </c>
      <c r="BQ1629" s="28" t="str">
        <f>HYPERLINK("https://organic.ams.usda.gov/Integrity/Certificate.aspx?cid=9&amp;nopid=1201878700")</f>
        <v>https://organic.ams.usda.gov/Integrity/Certificate.aspx?cid=9&amp;nopid=1201878700</v>
      </c>
    </row>
    <row r="1630">
      <c r="A1630" t="s">
        <v>3</v>
      </c>
      <c r="B1630" s="6" t="s">
        <v>48</v>
      </c>
      <c r="C1630" s="6" t="s">
        <v>114</v>
      </c>
      <c r="D1630" s="6" t="s">
        <v>178</v>
      </c>
      <c r="E1630" s="10" t="s">
        <v>1828</v>
      </c>
      <c r="F1630" s="6" t="s">
        <v>4057</v>
      </c>
      <c r="G1630" s="6" t="s">
        <v>104</v>
      </c>
      <c r="H1630" s="6" t="s">
        <v>6366</v>
      </c>
      <c r="I1630" s="6" t="s">
        <v>7855</v>
      </c>
      <c r="J1630" s="6" t="s">
        <v>9312</v>
      </c>
      <c r="K1630" s="6" t="s">
        <v>9714</v>
      </c>
      <c r="L1630" s="16" t="n">
        <v>39619</v>
      </c>
      <c r="M1630" s="16" t="n">
        <v>45838</v>
      </c>
      <c r="N1630" s="6" t="s">
        <v>104</v>
      </c>
      <c r="O1630" s="21" t="s">
        <v>104</v>
      </c>
      <c r="P1630" s="6" t="s">
        <v>104</v>
      </c>
      <c r="Q1630" s="6" t="s">
        <v>104</v>
      </c>
      <c r="R1630" s="6" t="s">
        <v>104</v>
      </c>
      <c r="S1630" s="6" t="s">
        <v>104</v>
      </c>
      <c r="T1630" s="21" t="s">
        <v>104</v>
      </c>
      <c r="U1630" s="6" t="s">
        <v>104</v>
      </c>
      <c r="V1630" s="6" t="s">
        <v>104</v>
      </c>
      <c r="W1630" s="6" t="s">
        <v>104</v>
      </c>
      <c r="X1630" s="6" t="s">
        <v>104</v>
      </c>
      <c r="Y1630" s="21" t="s">
        <v>104</v>
      </c>
      <c r="Z1630" s="6" t="s">
        <v>104</v>
      </c>
      <c r="AA1630" s="6" t="s">
        <v>104</v>
      </c>
      <c r="AB1630" s="6" t="s">
        <v>104</v>
      </c>
      <c r="AC1630" s="6" t="s">
        <v>9714</v>
      </c>
      <c r="AD1630" s="16" t="n">
        <v>39619</v>
      </c>
      <c r="AE1630" s="6" t="s">
        <v>11941</v>
      </c>
      <c r="AF1630" s="6" t="s">
        <v>104</v>
      </c>
      <c r="AG1630" s="6" t="s">
        <v>104</v>
      </c>
      <c r="AH1630" s="6" t="s">
        <v>14650</v>
      </c>
      <c r="AI1630" s="6" t="s">
        <v>104</v>
      </c>
      <c r="AJ1630" s="6" t="s">
        <v>16380</v>
      </c>
      <c r="AK1630" s="6" t="s">
        <v>104</v>
      </c>
      <c r="AL1630" s="6" t="s">
        <v>16963</v>
      </c>
      <c r="AM1630" s="6" t="s">
        <v>18077</v>
      </c>
      <c r="AN1630" s="6" t="s">
        <v>104</v>
      </c>
      <c r="AO1630" s="6" t="s">
        <v>104</v>
      </c>
      <c r="AP1630" s="6" t="s">
        <v>14650</v>
      </c>
      <c r="AQ1630" s="6" t="s">
        <v>104</v>
      </c>
      <c r="AR1630" s="6" t="s">
        <v>16380</v>
      </c>
      <c r="AS1630" s="6" t="s">
        <v>104</v>
      </c>
      <c r="AT1630" s="6" t="s">
        <v>16963</v>
      </c>
      <c r="AU1630" s="6" t="s">
        <v>18077</v>
      </c>
      <c r="AV1630" s="6" t="s">
        <v>104</v>
      </c>
      <c r="AW1630" s="6" t="s">
        <v>104</v>
      </c>
      <c r="AX1630" s="6" t="s">
        <v>21383</v>
      </c>
      <c r="AY1630" s="6" t="s">
        <v>23188</v>
      </c>
      <c r="AZ1630" s="6" t="s">
        <v>24103</v>
      </c>
      <c r="BA1630" s="6" t="s">
        <v>104</v>
      </c>
      <c r="BB1630" s="6" t="s">
        <v>104</v>
      </c>
      <c r="BC1630" s="26"/>
      <c r="BD1630" s="26"/>
      <c r="BE1630" s="26"/>
      <c r="BF1630" s="26"/>
      <c r="BG1630" s="26"/>
      <c r="BH1630" s="26"/>
      <c r="BI1630" s="26"/>
      <c r="BJ1630" s="26"/>
      <c r="BK1630" s="26"/>
      <c r="BL1630" s="26"/>
      <c r="BM1630" s="26"/>
      <c r="BN1630" s="26"/>
      <c r="BO1630" s="26"/>
      <c r="BP1630" s="16" t="n">
        <v>45734</v>
      </c>
      <c r="BQ1630" s="28" t="str">
        <f>HYPERLINK("https://organic.ams.usda.gov/Integrity/Certificate.aspx?cid=9&amp;nopid=1201774800")</f>
        <v>https://organic.ams.usda.gov/Integrity/Certificate.aspx?cid=9&amp;nopid=1201774800</v>
      </c>
    </row>
    <row r="1631">
      <c r="A1631" t="s">
        <v>3</v>
      </c>
      <c r="B1631" s="6" t="s">
        <v>17</v>
      </c>
      <c r="C1631" s="6" t="s">
        <v>83</v>
      </c>
      <c r="D1631" s="6" t="s">
        <v>148</v>
      </c>
      <c r="E1631" s="10" t="s">
        <v>1829</v>
      </c>
      <c r="F1631" s="6" t="s">
        <v>4058</v>
      </c>
      <c r="G1631" s="6" t="s">
        <v>104</v>
      </c>
      <c r="H1631" s="6" t="s">
        <v>6367</v>
      </c>
      <c r="I1631" s="6" t="s">
        <v>7636</v>
      </c>
      <c r="J1631" s="6" t="s">
        <v>9313</v>
      </c>
      <c r="K1631" s="6" t="s">
        <v>9714</v>
      </c>
      <c r="L1631" s="16" t="n">
        <v>45722</v>
      </c>
      <c r="M1631" s="16" t="n">
        <v>45962</v>
      </c>
      <c r="N1631" s="6" t="s">
        <v>104</v>
      </c>
      <c r="O1631" s="21" t="s">
        <v>104</v>
      </c>
      <c r="P1631" s="6" t="s">
        <v>104</v>
      </c>
      <c r="Q1631" s="6" t="s">
        <v>104</v>
      </c>
      <c r="R1631" s="6" t="s">
        <v>104</v>
      </c>
      <c r="S1631" s="6" t="s">
        <v>104</v>
      </c>
      <c r="T1631" s="21" t="s">
        <v>104</v>
      </c>
      <c r="U1631" s="6" t="s">
        <v>104</v>
      </c>
      <c r="V1631" s="6" t="s">
        <v>104</v>
      </c>
      <c r="W1631" s="6" t="s">
        <v>104</v>
      </c>
      <c r="X1631" s="6" t="s">
        <v>104</v>
      </c>
      <c r="Y1631" s="21" t="s">
        <v>104</v>
      </c>
      <c r="Z1631" s="6" t="s">
        <v>104</v>
      </c>
      <c r="AA1631" s="6" t="s">
        <v>104</v>
      </c>
      <c r="AB1631" s="6" t="s">
        <v>104</v>
      </c>
      <c r="AC1631" s="6" t="s">
        <v>9714</v>
      </c>
      <c r="AD1631" s="16" t="n">
        <v>45722</v>
      </c>
      <c r="AE1631" s="6" t="s">
        <v>11942</v>
      </c>
      <c r="AF1631" s="6" t="s">
        <v>104</v>
      </c>
      <c r="AG1631" s="6" t="s">
        <v>104</v>
      </c>
      <c r="AH1631" s="6" t="s">
        <v>14651</v>
      </c>
      <c r="AI1631" s="6" t="s">
        <v>104</v>
      </c>
      <c r="AJ1631" s="6" t="s">
        <v>16381</v>
      </c>
      <c r="AK1631" s="6" t="s">
        <v>16680</v>
      </c>
      <c r="AL1631" s="6" t="s">
        <v>16931</v>
      </c>
      <c r="AM1631" s="6" t="s">
        <v>18078</v>
      </c>
      <c r="AN1631" s="6" t="s">
        <v>104</v>
      </c>
      <c r="AO1631" s="6" t="s">
        <v>104</v>
      </c>
      <c r="AP1631" s="6" t="s">
        <v>19386</v>
      </c>
      <c r="AQ1631" s="6" t="s">
        <v>104</v>
      </c>
      <c r="AR1631" s="6" t="s">
        <v>16381</v>
      </c>
      <c r="AS1631" s="6" t="s">
        <v>16680</v>
      </c>
      <c r="AT1631" s="6" t="s">
        <v>16931</v>
      </c>
      <c r="AU1631" s="6" t="s">
        <v>18078</v>
      </c>
      <c r="AV1631" s="6" t="s">
        <v>104</v>
      </c>
      <c r="AW1631" s="6" t="s">
        <v>104</v>
      </c>
      <c r="AX1631" s="6" t="s">
        <v>21384</v>
      </c>
      <c r="AY1631" s="6" t="s">
        <v>23189</v>
      </c>
      <c r="AZ1631" s="6" t="s">
        <v>104</v>
      </c>
      <c r="BA1631" s="6" t="s">
        <v>104</v>
      </c>
      <c r="BB1631" s="24" t="n">
        <v>0</v>
      </c>
      <c r="BC1631" s="26"/>
      <c r="BD1631" s="26"/>
      <c r="BE1631" s="26"/>
      <c r="BF1631" s="26"/>
      <c r="BG1631" s="26"/>
      <c r="BH1631" s="26"/>
      <c r="BI1631" s="26"/>
      <c r="BJ1631" s="26"/>
      <c r="BK1631" s="26"/>
      <c r="BL1631" s="26"/>
      <c r="BM1631" s="26"/>
      <c r="BN1631" s="26"/>
      <c r="BO1631" s="26"/>
      <c r="BP1631" s="16" t="n">
        <v>45726</v>
      </c>
      <c r="BQ1631" s="28" t="str">
        <f>HYPERLINK("https://organic.ams.usda.gov/Integrity/Certificate.aspx?cid=51&amp;nopid=8241000250")</f>
        <v>https://organic.ams.usda.gov/Integrity/Certificate.aspx?cid=51&amp;nopid=8241000250</v>
      </c>
    </row>
    <row r="1632">
      <c r="A1632" t="s">
        <v>3</v>
      </c>
      <c r="B1632" s="6" t="s">
        <v>52</v>
      </c>
      <c r="C1632" s="6" t="s">
        <v>118</v>
      </c>
      <c r="D1632" s="6" t="s">
        <v>182</v>
      </c>
      <c r="E1632" s="10" t="s">
        <v>1830</v>
      </c>
      <c r="F1632" s="6" t="s">
        <v>4059</v>
      </c>
      <c r="G1632" s="6" t="s">
        <v>104</v>
      </c>
      <c r="H1632" s="6" t="s">
        <v>6368</v>
      </c>
      <c r="I1632" s="6" t="s">
        <v>7856</v>
      </c>
      <c r="J1632" s="6" t="s">
        <v>8319</v>
      </c>
      <c r="K1632" s="6" t="s">
        <v>9714</v>
      </c>
      <c r="L1632" s="16" t="n">
        <v>37417</v>
      </c>
      <c r="M1632" s="16" t="n">
        <v>45703</v>
      </c>
      <c r="N1632" s="6" t="s">
        <v>104</v>
      </c>
      <c r="O1632" s="21" t="s">
        <v>104</v>
      </c>
      <c r="P1632" s="6" t="s">
        <v>104</v>
      </c>
      <c r="Q1632" s="6" t="s">
        <v>104</v>
      </c>
      <c r="R1632" s="6" t="s">
        <v>104</v>
      </c>
      <c r="S1632" s="6" t="s">
        <v>104</v>
      </c>
      <c r="T1632" s="21" t="s">
        <v>104</v>
      </c>
      <c r="U1632" s="6" t="s">
        <v>104</v>
      </c>
      <c r="V1632" s="6" t="s">
        <v>104</v>
      </c>
      <c r="W1632" s="6" t="s">
        <v>104</v>
      </c>
      <c r="X1632" s="6" t="s">
        <v>104</v>
      </c>
      <c r="Y1632" s="21" t="s">
        <v>104</v>
      </c>
      <c r="Z1632" s="6" t="s">
        <v>104</v>
      </c>
      <c r="AA1632" s="6" t="s">
        <v>104</v>
      </c>
      <c r="AB1632" s="6" t="s">
        <v>104</v>
      </c>
      <c r="AC1632" s="6" t="s">
        <v>9714</v>
      </c>
      <c r="AD1632" s="16" t="n">
        <v>37417</v>
      </c>
      <c r="AE1632" s="6" t="s">
        <v>11943</v>
      </c>
      <c r="AF1632" s="6" t="s">
        <v>104</v>
      </c>
      <c r="AG1632" s="6" t="s">
        <v>6368</v>
      </c>
      <c r="AH1632" s="6" t="s">
        <v>14652</v>
      </c>
      <c r="AI1632" s="6" t="s">
        <v>104</v>
      </c>
      <c r="AJ1632" s="6" t="s">
        <v>16382</v>
      </c>
      <c r="AK1632" s="6" t="s">
        <v>16681</v>
      </c>
      <c r="AL1632" s="6" t="s">
        <v>16931</v>
      </c>
      <c r="AM1632" s="6" t="s">
        <v>18079</v>
      </c>
      <c r="AN1632" s="6" t="s">
        <v>5268</v>
      </c>
      <c r="AO1632" s="6" t="s">
        <v>18598</v>
      </c>
      <c r="AP1632" s="6" t="s">
        <v>14652</v>
      </c>
      <c r="AQ1632" s="6" t="s">
        <v>104</v>
      </c>
      <c r="AR1632" s="6" t="s">
        <v>16382</v>
      </c>
      <c r="AS1632" s="6" t="s">
        <v>16681</v>
      </c>
      <c r="AT1632" s="6" t="s">
        <v>16931</v>
      </c>
      <c r="AU1632" s="6" t="s">
        <v>18079</v>
      </c>
      <c r="AV1632" s="6" t="s">
        <v>104</v>
      </c>
      <c r="AW1632" s="6" t="s">
        <v>104</v>
      </c>
      <c r="AX1632" s="6" t="s">
        <v>21385</v>
      </c>
      <c r="AY1632" s="6" t="s">
        <v>104</v>
      </c>
      <c r="AZ1632" s="6" t="s">
        <v>104</v>
      </c>
      <c r="BA1632" s="6" t="s">
        <v>104</v>
      </c>
      <c r="BB1632" s="6" t="s">
        <v>104</v>
      </c>
      <c r="BC1632" s="26"/>
      <c r="BD1632" s="26"/>
      <c r="BE1632" s="26"/>
      <c r="BF1632" s="26"/>
      <c r="BG1632" s="26"/>
      <c r="BH1632" s="26"/>
      <c r="BI1632" s="26"/>
      <c r="BJ1632" s="26"/>
      <c r="BK1632" s="26"/>
      <c r="BL1632" s="26"/>
      <c r="BM1632" s="26"/>
      <c r="BN1632" s="26"/>
      <c r="BO1632" s="26"/>
      <c r="BP1632" s="16" t="n">
        <v>45707</v>
      </c>
      <c r="BQ1632" s="28" t="str">
        <f>HYPERLINK("https://organic.ams.usda.gov/Integrity/Certificate.aspx?cid=36&amp;nopid=5400000035")</f>
        <v>https://organic.ams.usda.gov/Integrity/Certificate.aspx?cid=36&amp;nopid=5400000035</v>
      </c>
    </row>
    <row r="1633">
      <c r="A1633" t="s">
        <v>3</v>
      </c>
      <c r="B1633" s="6" t="s">
        <v>45</v>
      </c>
      <c r="C1633" s="6" t="s">
        <v>111</v>
      </c>
      <c r="D1633" s="6" t="s">
        <v>175</v>
      </c>
      <c r="E1633" s="10" t="s">
        <v>1831</v>
      </c>
      <c r="F1633" s="6" t="s">
        <v>4060</v>
      </c>
      <c r="G1633" s="6" t="s">
        <v>104</v>
      </c>
      <c r="H1633" s="6" t="s">
        <v>6369</v>
      </c>
      <c r="I1633" s="6" t="s">
        <v>6945</v>
      </c>
      <c r="J1633" s="6" t="s">
        <v>9314</v>
      </c>
      <c r="K1633" s="6" t="s">
        <v>9714</v>
      </c>
      <c r="L1633" s="16" t="n">
        <v>38721</v>
      </c>
      <c r="M1633" s="16" t="n">
        <v>46082</v>
      </c>
      <c r="N1633" s="6" t="s">
        <v>104</v>
      </c>
      <c r="O1633" s="21" t="s">
        <v>104</v>
      </c>
      <c r="P1633" s="6" t="s">
        <v>104</v>
      </c>
      <c r="Q1633" s="6" t="s">
        <v>104</v>
      </c>
      <c r="R1633" s="6" t="s">
        <v>104</v>
      </c>
      <c r="S1633" s="6" t="s">
        <v>104</v>
      </c>
      <c r="T1633" s="21" t="s">
        <v>104</v>
      </c>
      <c r="U1633" s="6" t="s">
        <v>104</v>
      </c>
      <c r="V1633" s="6" t="s">
        <v>104</v>
      </c>
      <c r="W1633" s="6" t="s">
        <v>104</v>
      </c>
      <c r="X1633" s="6" t="s">
        <v>104</v>
      </c>
      <c r="Y1633" s="21" t="s">
        <v>104</v>
      </c>
      <c r="Z1633" s="6" t="s">
        <v>104</v>
      </c>
      <c r="AA1633" s="6" t="s">
        <v>104</v>
      </c>
      <c r="AB1633" s="6" t="s">
        <v>104</v>
      </c>
      <c r="AC1633" s="6" t="s">
        <v>9714</v>
      </c>
      <c r="AD1633" s="16" t="n">
        <v>38721</v>
      </c>
      <c r="AE1633" s="6" t="s">
        <v>11944</v>
      </c>
      <c r="AF1633" s="6" t="s">
        <v>104</v>
      </c>
      <c r="AG1633" s="6" t="s">
        <v>4667</v>
      </c>
      <c r="AH1633" s="6" t="s">
        <v>14653</v>
      </c>
      <c r="AI1633" s="6" t="s">
        <v>104</v>
      </c>
      <c r="AJ1633" s="6" t="s">
        <v>16383</v>
      </c>
      <c r="AK1633" s="6" t="s">
        <v>16382</v>
      </c>
      <c r="AL1633" s="6" t="s">
        <v>16931</v>
      </c>
      <c r="AM1633" s="6" t="s">
        <v>18080</v>
      </c>
      <c r="AN1633" s="6" t="s">
        <v>104</v>
      </c>
      <c r="AO1633" s="6" t="s">
        <v>104</v>
      </c>
      <c r="AP1633" s="6" t="s">
        <v>19387</v>
      </c>
      <c r="AQ1633" s="6" t="s">
        <v>104</v>
      </c>
      <c r="AR1633" s="6" t="s">
        <v>16383</v>
      </c>
      <c r="AS1633" s="6" t="s">
        <v>16382</v>
      </c>
      <c r="AT1633" s="6" t="s">
        <v>16931</v>
      </c>
      <c r="AU1633" s="6" t="s">
        <v>18080</v>
      </c>
      <c r="AV1633" s="6" t="s">
        <v>18465</v>
      </c>
      <c r="AW1633" s="6" t="s">
        <v>18749</v>
      </c>
      <c r="AX1633" s="6" t="s">
        <v>21386</v>
      </c>
      <c r="AY1633" s="6" t="s">
        <v>23190</v>
      </c>
      <c r="AZ1633" s="6" t="s">
        <v>104</v>
      </c>
      <c r="BA1633" s="6" t="s">
        <v>104</v>
      </c>
      <c r="BB1633" s="6" t="s">
        <v>104</v>
      </c>
      <c r="BC1633" s="26"/>
      <c r="BD1633" s="26"/>
      <c r="BE1633" s="26"/>
      <c r="BF1633" s="26"/>
      <c r="BG1633" s="26"/>
      <c r="BH1633" s="26"/>
      <c r="BI1633" s="26"/>
      <c r="BJ1633" s="26"/>
      <c r="BK1633" s="26"/>
      <c r="BL1633" s="26"/>
      <c r="BM1633" s="26"/>
      <c r="BN1633" s="26"/>
      <c r="BO1633" s="26"/>
      <c r="BP1633" s="16" t="n">
        <v>45739</v>
      </c>
      <c r="BQ1633" s="28" t="str">
        <f>HYPERLINK("https://organic.ams.usda.gov/Integrity/Certificate.aspx?cid=82&amp;nopid=2780001550")</f>
        <v>https://organic.ams.usda.gov/Integrity/Certificate.aspx?cid=82&amp;nopid=2780001550</v>
      </c>
    </row>
    <row r="1634">
      <c r="A1634" t="s">
        <v>3</v>
      </c>
      <c r="B1634" s="6" t="s">
        <v>57</v>
      </c>
      <c r="C1634" s="6" t="s">
        <v>123</v>
      </c>
      <c r="D1634" s="6" t="s">
        <v>187</v>
      </c>
      <c r="E1634" s="10" t="s">
        <v>1832</v>
      </c>
      <c r="F1634" s="6" t="s">
        <v>4061</v>
      </c>
      <c r="G1634" s="6" t="s">
        <v>4832</v>
      </c>
      <c r="H1634" s="6" t="s">
        <v>6370</v>
      </c>
      <c r="I1634" s="6" t="s">
        <v>6974</v>
      </c>
      <c r="J1634" s="6" t="s">
        <v>9315</v>
      </c>
      <c r="K1634" s="6" t="s">
        <v>9714</v>
      </c>
      <c r="L1634" s="16" t="n">
        <v>41864</v>
      </c>
      <c r="M1634" s="16" t="n">
        <v>45809</v>
      </c>
      <c r="N1634" s="6" t="s">
        <v>9714</v>
      </c>
      <c r="O1634" s="16" t="n">
        <v>41864</v>
      </c>
      <c r="P1634" s="6" t="s">
        <v>10164</v>
      </c>
      <c r="Q1634" s="6" t="s">
        <v>104</v>
      </c>
      <c r="R1634" s="6" t="s">
        <v>104</v>
      </c>
      <c r="S1634" s="6" t="s">
        <v>104</v>
      </c>
      <c r="T1634" s="21" t="s">
        <v>104</v>
      </c>
      <c r="U1634" s="6" t="s">
        <v>104</v>
      </c>
      <c r="V1634" s="6" t="s">
        <v>104</v>
      </c>
      <c r="W1634" s="6" t="s">
        <v>104</v>
      </c>
      <c r="X1634" s="6" t="s">
        <v>104</v>
      </c>
      <c r="Y1634" s="21" t="s">
        <v>104</v>
      </c>
      <c r="Z1634" s="6" t="s">
        <v>104</v>
      </c>
      <c r="AA1634" s="6" t="s">
        <v>104</v>
      </c>
      <c r="AB1634" s="6" t="s">
        <v>104</v>
      </c>
      <c r="AC1634" s="6" t="s">
        <v>9714</v>
      </c>
      <c r="AD1634" s="16" t="n">
        <v>41864</v>
      </c>
      <c r="AE1634" s="6" t="s">
        <v>11945</v>
      </c>
      <c r="AF1634" s="6" t="s">
        <v>104</v>
      </c>
      <c r="AG1634" s="6" t="s">
        <v>104</v>
      </c>
      <c r="AH1634" s="6" t="s">
        <v>14654</v>
      </c>
      <c r="AI1634" s="6" t="s">
        <v>104</v>
      </c>
      <c r="AJ1634" s="6" t="s">
        <v>16384</v>
      </c>
      <c r="AK1634" s="6" t="s">
        <v>16730</v>
      </c>
      <c r="AL1634" s="6" t="s">
        <v>16931</v>
      </c>
      <c r="AM1634" s="6" t="s">
        <v>18081</v>
      </c>
      <c r="AN1634" s="6" t="s">
        <v>18516</v>
      </c>
      <c r="AO1634" s="6" t="s">
        <v>18870</v>
      </c>
      <c r="AP1634" s="6" t="s">
        <v>19388</v>
      </c>
      <c r="AQ1634" s="6" t="s">
        <v>104</v>
      </c>
      <c r="AR1634" s="6" t="s">
        <v>16384</v>
      </c>
      <c r="AS1634" s="6" t="s">
        <v>16730</v>
      </c>
      <c r="AT1634" s="6" t="s">
        <v>16931</v>
      </c>
      <c r="AU1634" s="6" t="s">
        <v>18081</v>
      </c>
      <c r="AV1634" s="6" t="s">
        <v>104</v>
      </c>
      <c r="AW1634" s="6" t="s">
        <v>104</v>
      </c>
      <c r="AX1634" s="6" t="s">
        <v>21387</v>
      </c>
      <c r="AY1634" s="6" t="s">
        <v>23191</v>
      </c>
      <c r="AZ1634" s="6" t="s">
        <v>104</v>
      </c>
      <c r="BA1634" s="6" t="s">
        <v>104</v>
      </c>
      <c r="BB1634" s="24" t="n">
        <v>24821</v>
      </c>
      <c r="BC1634" s="26"/>
      <c r="BD1634" s="26"/>
      <c r="BE1634" s="26"/>
      <c r="BF1634" s="26"/>
      <c r="BG1634" s="26"/>
      <c r="BH1634" s="26"/>
      <c r="BI1634" s="26"/>
      <c r="BJ1634" s="26"/>
      <c r="BK1634" s="26"/>
      <c r="BL1634" s="26"/>
      <c r="BM1634" s="26"/>
      <c r="BN1634" s="26"/>
      <c r="BO1634" s="26"/>
      <c r="BP1634" s="16" t="n">
        <v>45735</v>
      </c>
      <c r="BQ1634" s="28" t="str">
        <f>HYPERLINK("https://organic.ams.usda.gov/Integrity/Certificate.aspx?cid=19&amp;nopid=6350000437")</f>
        <v>https://organic.ams.usda.gov/Integrity/Certificate.aspx?cid=19&amp;nopid=6350000437</v>
      </c>
    </row>
    <row r="1635">
      <c r="A1635" t="s">
        <v>3</v>
      </c>
      <c r="B1635" s="6" t="s">
        <v>23</v>
      </c>
      <c r="C1635" s="6" t="s">
        <v>89</v>
      </c>
      <c r="D1635" s="6" t="s">
        <v>154</v>
      </c>
      <c r="E1635" s="10" t="s">
        <v>1833</v>
      </c>
      <c r="F1635" s="6" t="s">
        <v>4062</v>
      </c>
      <c r="G1635" s="6" t="s">
        <v>104</v>
      </c>
      <c r="H1635" s="6" t="s">
        <v>6371</v>
      </c>
      <c r="I1635" s="6" t="s">
        <v>7132</v>
      </c>
      <c r="J1635" s="6" t="s">
        <v>9316</v>
      </c>
      <c r="K1635" s="6" t="s">
        <v>9714</v>
      </c>
      <c r="L1635" s="16" t="n">
        <v>39882</v>
      </c>
      <c r="M1635" s="16" t="n">
        <v>45383</v>
      </c>
      <c r="N1635" s="6" t="s">
        <v>104</v>
      </c>
      <c r="O1635" s="21" t="s">
        <v>104</v>
      </c>
      <c r="P1635" s="6" t="s">
        <v>104</v>
      </c>
      <c r="Q1635" s="6" t="s">
        <v>104</v>
      </c>
      <c r="R1635" s="6" t="s">
        <v>104</v>
      </c>
      <c r="S1635" s="6" t="s">
        <v>104</v>
      </c>
      <c r="T1635" s="21" t="s">
        <v>104</v>
      </c>
      <c r="U1635" s="6" t="s">
        <v>104</v>
      </c>
      <c r="V1635" s="6" t="s">
        <v>104</v>
      </c>
      <c r="W1635" s="6" t="s">
        <v>104</v>
      </c>
      <c r="X1635" s="6" t="s">
        <v>104</v>
      </c>
      <c r="Y1635" s="21" t="s">
        <v>104</v>
      </c>
      <c r="Z1635" s="6" t="s">
        <v>104</v>
      </c>
      <c r="AA1635" s="6" t="s">
        <v>104</v>
      </c>
      <c r="AB1635" s="6" t="s">
        <v>104</v>
      </c>
      <c r="AC1635" s="6" t="s">
        <v>9714</v>
      </c>
      <c r="AD1635" s="16" t="n">
        <v>39882</v>
      </c>
      <c r="AE1635" s="6" t="s">
        <v>11946</v>
      </c>
      <c r="AF1635" s="6" t="s">
        <v>104</v>
      </c>
      <c r="AG1635" s="6" t="s">
        <v>6371</v>
      </c>
      <c r="AH1635" s="6" t="s">
        <v>14655</v>
      </c>
      <c r="AI1635" s="6" t="s">
        <v>104</v>
      </c>
      <c r="AJ1635" s="6" t="s">
        <v>15917</v>
      </c>
      <c r="AK1635" s="6" t="s">
        <v>16710</v>
      </c>
      <c r="AL1635" s="6" t="s">
        <v>16931</v>
      </c>
      <c r="AM1635" s="6" t="s">
        <v>17697</v>
      </c>
      <c r="AN1635" s="6" t="s">
        <v>18510</v>
      </c>
      <c r="AO1635" s="6" t="s">
        <v>18746</v>
      </c>
      <c r="AP1635" s="6" t="s">
        <v>104</v>
      </c>
      <c r="AQ1635" s="6" t="s">
        <v>104</v>
      </c>
      <c r="AR1635" s="6" t="s">
        <v>104</v>
      </c>
      <c r="AS1635" s="6" t="s">
        <v>104</v>
      </c>
      <c r="AT1635" s="6" t="s">
        <v>104</v>
      </c>
      <c r="AU1635" s="6" t="s">
        <v>104</v>
      </c>
      <c r="AV1635" s="6" t="s">
        <v>104</v>
      </c>
      <c r="AW1635" s="6" t="s">
        <v>104</v>
      </c>
      <c r="AX1635" s="6" t="s">
        <v>21388</v>
      </c>
      <c r="AY1635" s="6" t="s">
        <v>23192</v>
      </c>
      <c r="AZ1635" s="6" t="s">
        <v>24104</v>
      </c>
      <c r="BA1635" s="6" t="s">
        <v>104</v>
      </c>
      <c r="BB1635" s="24" t="n">
        <v>0</v>
      </c>
      <c r="BC1635" s="26"/>
      <c r="BD1635" s="26"/>
      <c r="BE1635" s="26"/>
      <c r="BF1635" s="26"/>
      <c r="BG1635" s="26"/>
      <c r="BH1635" s="26"/>
      <c r="BI1635" s="26"/>
      <c r="BJ1635" s="26"/>
      <c r="BK1635" s="26"/>
      <c r="BL1635" s="26"/>
      <c r="BM1635" s="26"/>
      <c r="BN1635" s="26"/>
      <c r="BO1635" s="26"/>
      <c r="BP1635" s="16" t="n">
        <v>45401</v>
      </c>
      <c r="BQ1635" s="28" t="str">
        <f>HYPERLINK("https://organic.ams.usda.gov/Integrity/Certificate.aspx?cid=45&amp;nopid=9950003319")</f>
        <v>https://organic.ams.usda.gov/Integrity/Certificate.aspx?cid=45&amp;nopid=9950003319</v>
      </c>
    </row>
    <row r="1636">
      <c r="A1636" t="s">
        <v>3</v>
      </c>
      <c r="B1636" s="6" t="s">
        <v>43</v>
      </c>
      <c r="C1636" s="6" t="s">
        <v>109</v>
      </c>
      <c r="D1636" s="6" t="s">
        <v>173</v>
      </c>
      <c r="E1636" s="10" t="s">
        <v>1834</v>
      </c>
      <c r="F1636" s="6" t="s">
        <v>4063</v>
      </c>
      <c r="G1636" s="6" t="s">
        <v>4833</v>
      </c>
      <c r="H1636" s="6" t="s">
        <v>6372</v>
      </c>
      <c r="I1636" s="6" t="s">
        <v>7857</v>
      </c>
      <c r="J1636" s="6" t="s">
        <v>9317</v>
      </c>
      <c r="K1636" s="6" t="s">
        <v>9714</v>
      </c>
      <c r="L1636" s="16" t="n">
        <v>40135</v>
      </c>
      <c r="M1636" s="16" t="n">
        <v>45782</v>
      </c>
      <c r="N1636" s="6" t="s">
        <v>104</v>
      </c>
      <c r="O1636" s="21" t="s">
        <v>104</v>
      </c>
      <c r="P1636" s="6" t="s">
        <v>104</v>
      </c>
      <c r="Q1636" s="6" t="s">
        <v>104</v>
      </c>
      <c r="R1636" s="6" t="s">
        <v>104</v>
      </c>
      <c r="S1636" s="6" t="s">
        <v>104</v>
      </c>
      <c r="T1636" s="21" t="s">
        <v>104</v>
      </c>
      <c r="U1636" s="6" t="s">
        <v>104</v>
      </c>
      <c r="V1636" s="6" t="s">
        <v>104</v>
      </c>
      <c r="W1636" s="6" t="s">
        <v>104</v>
      </c>
      <c r="X1636" s="6" t="s">
        <v>104</v>
      </c>
      <c r="Y1636" s="21" t="s">
        <v>104</v>
      </c>
      <c r="Z1636" s="6" t="s">
        <v>104</v>
      </c>
      <c r="AA1636" s="6" t="s">
        <v>104</v>
      </c>
      <c r="AB1636" s="6" t="s">
        <v>104</v>
      </c>
      <c r="AC1636" s="6" t="s">
        <v>9714</v>
      </c>
      <c r="AD1636" s="16" t="n">
        <v>40135</v>
      </c>
      <c r="AE1636" s="6" t="s">
        <v>11947</v>
      </c>
      <c r="AF1636" s="6" t="s">
        <v>104</v>
      </c>
      <c r="AG1636" s="6" t="s">
        <v>6372</v>
      </c>
      <c r="AH1636" s="6" t="s">
        <v>14656</v>
      </c>
      <c r="AI1636" s="6" t="s">
        <v>104</v>
      </c>
      <c r="AJ1636" s="6" t="s">
        <v>104</v>
      </c>
      <c r="AK1636" s="6" t="s">
        <v>104</v>
      </c>
      <c r="AL1636" s="6" t="s">
        <v>16933</v>
      </c>
      <c r="AM1636" s="6" t="s">
        <v>104</v>
      </c>
      <c r="AN1636" s="6" t="s">
        <v>104</v>
      </c>
      <c r="AO1636" s="6" t="s">
        <v>104</v>
      </c>
      <c r="AP1636" s="6" t="s">
        <v>14656</v>
      </c>
      <c r="AQ1636" s="6" t="s">
        <v>104</v>
      </c>
      <c r="AR1636" s="6" t="s">
        <v>104</v>
      </c>
      <c r="AS1636" s="6" t="s">
        <v>104</v>
      </c>
      <c r="AT1636" s="6" t="s">
        <v>16933</v>
      </c>
      <c r="AU1636" s="6" t="s">
        <v>104</v>
      </c>
      <c r="AV1636" s="6" t="s">
        <v>104</v>
      </c>
      <c r="AW1636" s="6" t="s">
        <v>104</v>
      </c>
      <c r="AX1636" s="6" t="s">
        <v>21389</v>
      </c>
      <c r="AY1636" s="6" t="s">
        <v>23193</v>
      </c>
      <c r="AZ1636" s="6" t="s">
        <v>104</v>
      </c>
      <c r="BA1636" s="6" t="s">
        <v>104</v>
      </c>
      <c r="BB1636" s="6" t="s">
        <v>104</v>
      </c>
      <c r="BC1636" s="26"/>
      <c r="BD1636" s="26"/>
      <c r="BE1636" s="26"/>
      <c r="BF1636" s="26"/>
      <c r="BG1636" s="26"/>
      <c r="BH1636" s="26"/>
      <c r="BI1636" s="26"/>
      <c r="BJ1636" s="26"/>
      <c r="BK1636" s="26"/>
      <c r="BL1636" s="26"/>
      <c r="BM1636" s="26"/>
      <c r="BN1636" s="26"/>
      <c r="BO1636" s="26"/>
      <c r="BP1636" s="16" t="n">
        <v>45650</v>
      </c>
      <c r="BQ1636" s="28" t="str">
        <f>HYPERLINK("https://organic.ams.usda.gov/Integrity/Certificate.aspx?cid=86&amp;nopid=6400002153")</f>
        <v>https://organic.ams.usda.gov/Integrity/Certificate.aspx?cid=86&amp;nopid=6400002153</v>
      </c>
    </row>
    <row r="1637">
      <c r="A1637" t="s">
        <v>3</v>
      </c>
      <c r="B1637" s="6" t="s">
        <v>29</v>
      </c>
      <c r="C1637" s="6" t="s">
        <v>95</v>
      </c>
      <c r="D1637" s="6" t="s">
        <v>160</v>
      </c>
      <c r="E1637" s="10" t="s">
        <v>1835</v>
      </c>
      <c r="F1637" s="6" t="s">
        <v>4064</v>
      </c>
      <c r="G1637" s="6" t="s">
        <v>104</v>
      </c>
      <c r="H1637" s="6" t="s">
        <v>6373</v>
      </c>
      <c r="I1637" s="6" t="s">
        <v>104</v>
      </c>
      <c r="J1637" s="6" t="s">
        <v>9318</v>
      </c>
      <c r="K1637" s="6" t="s">
        <v>9714</v>
      </c>
      <c r="L1637" s="16" t="n">
        <v>43118</v>
      </c>
      <c r="M1637" s="16" t="n">
        <v>45870</v>
      </c>
      <c r="N1637" s="6" t="s">
        <v>9714</v>
      </c>
      <c r="O1637" s="16" t="n">
        <v>43118</v>
      </c>
      <c r="P1637" s="6" t="s">
        <v>10165</v>
      </c>
      <c r="Q1637" s="6" t="s">
        <v>104</v>
      </c>
      <c r="R1637" s="6" t="s">
        <v>104</v>
      </c>
      <c r="S1637" s="6" t="s">
        <v>104</v>
      </c>
      <c r="T1637" s="21" t="s">
        <v>104</v>
      </c>
      <c r="U1637" s="6" t="s">
        <v>104</v>
      </c>
      <c r="V1637" s="6" t="s">
        <v>104</v>
      </c>
      <c r="W1637" s="6" t="s">
        <v>104</v>
      </c>
      <c r="X1637" s="6" t="s">
        <v>104</v>
      </c>
      <c r="Y1637" s="21" t="s">
        <v>104</v>
      </c>
      <c r="Z1637" s="6" t="s">
        <v>104</v>
      </c>
      <c r="AA1637" s="6" t="s">
        <v>104</v>
      </c>
      <c r="AB1637" s="6" t="s">
        <v>104</v>
      </c>
      <c r="AC1637" s="6" t="s">
        <v>104</v>
      </c>
      <c r="AD1637" s="21" t="s">
        <v>104</v>
      </c>
      <c r="AE1637" s="6" t="s">
        <v>104</v>
      </c>
      <c r="AF1637" s="6" t="s">
        <v>104</v>
      </c>
      <c r="AG1637" s="6" t="s">
        <v>104</v>
      </c>
      <c r="AH1637" s="6" t="s">
        <v>14657</v>
      </c>
      <c r="AI1637" s="6" t="s">
        <v>104</v>
      </c>
      <c r="AJ1637" s="6" t="s">
        <v>16385</v>
      </c>
      <c r="AK1637" s="6" t="s">
        <v>16385</v>
      </c>
      <c r="AL1637" s="6" t="s">
        <v>16943</v>
      </c>
      <c r="AM1637" s="6" t="s">
        <v>104</v>
      </c>
      <c r="AN1637" s="6" t="s">
        <v>104</v>
      </c>
      <c r="AO1637" s="6" t="s">
        <v>104</v>
      </c>
      <c r="AP1637" s="6" t="s">
        <v>104</v>
      </c>
      <c r="AQ1637" s="6" t="s">
        <v>104</v>
      </c>
      <c r="AR1637" s="6" t="s">
        <v>104</v>
      </c>
      <c r="AS1637" s="6" t="s">
        <v>104</v>
      </c>
      <c r="AT1637" s="6" t="s">
        <v>104</v>
      </c>
      <c r="AU1637" s="6" t="s">
        <v>104</v>
      </c>
      <c r="AV1637" s="6" t="s">
        <v>104</v>
      </c>
      <c r="AW1637" s="6" t="s">
        <v>104</v>
      </c>
      <c r="AX1637" s="6" t="s">
        <v>21390</v>
      </c>
      <c r="AY1637" s="6" t="s">
        <v>23194</v>
      </c>
      <c r="AZ1637" s="6" t="s">
        <v>104</v>
      </c>
      <c r="BA1637" s="6" t="s">
        <v>104</v>
      </c>
      <c r="BB1637" s="24" t="n">
        <v>950</v>
      </c>
      <c r="BC1637" s="26"/>
      <c r="BD1637" s="26"/>
      <c r="BE1637" s="26"/>
      <c r="BF1637" s="26"/>
      <c r="BG1637" s="26"/>
      <c r="BH1637" s="26"/>
      <c r="BI1637" s="26"/>
      <c r="BJ1637" s="26"/>
      <c r="BK1637" s="26"/>
      <c r="BL1637" s="26"/>
      <c r="BM1637" s="26"/>
      <c r="BN1637" s="26"/>
      <c r="BO1637" s="26"/>
      <c r="BP1637" s="16" t="n">
        <v>45738</v>
      </c>
      <c r="BQ1637" s="28" t="str">
        <f>HYPERLINK("https://organic.ams.usda.gov/Integrity/Certificate.aspx?cid=24&amp;nopid=7880007699")</f>
        <v>https://organic.ams.usda.gov/Integrity/Certificate.aspx?cid=24&amp;nopid=7880007699</v>
      </c>
    </row>
    <row r="1638">
      <c r="A1638" t="s">
        <v>3</v>
      </c>
      <c r="B1638" s="6" t="s">
        <v>21</v>
      </c>
      <c r="C1638" s="6" t="s">
        <v>87</v>
      </c>
      <c r="D1638" s="6" t="s">
        <v>152</v>
      </c>
      <c r="E1638" s="10" t="s">
        <v>1836</v>
      </c>
      <c r="F1638" s="6" t="s">
        <v>4065</v>
      </c>
      <c r="G1638" s="6" t="s">
        <v>4834</v>
      </c>
      <c r="H1638" s="6" t="s">
        <v>6374</v>
      </c>
      <c r="I1638" s="6" t="s">
        <v>7858</v>
      </c>
      <c r="J1638" s="6" t="s">
        <v>9319</v>
      </c>
      <c r="K1638" s="6" t="s">
        <v>9714</v>
      </c>
      <c r="L1638" s="16" t="n">
        <v>43273</v>
      </c>
      <c r="M1638" s="16" t="n">
        <v>46023</v>
      </c>
      <c r="N1638" s="6" t="s">
        <v>104</v>
      </c>
      <c r="O1638" s="21" t="s">
        <v>104</v>
      </c>
      <c r="P1638" s="6" t="s">
        <v>104</v>
      </c>
      <c r="Q1638" s="6" t="s">
        <v>104</v>
      </c>
      <c r="R1638" s="6" t="s">
        <v>104</v>
      </c>
      <c r="S1638" s="6" t="s">
        <v>104</v>
      </c>
      <c r="T1638" s="21" t="s">
        <v>104</v>
      </c>
      <c r="U1638" s="6" t="s">
        <v>104</v>
      </c>
      <c r="V1638" s="6" t="s">
        <v>104</v>
      </c>
      <c r="W1638" s="6" t="s">
        <v>104</v>
      </c>
      <c r="X1638" s="6" t="s">
        <v>104</v>
      </c>
      <c r="Y1638" s="21" t="s">
        <v>104</v>
      </c>
      <c r="Z1638" s="6" t="s">
        <v>104</v>
      </c>
      <c r="AA1638" s="6" t="s">
        <v>104</v>
      </c>
      <c r="AB1638" s="6" t="s">
        <v>104</v>
      </c>
      <c r="AC1638" s="6" t="s">
        <v>9714</v>
      </c>
      <c r="AD1638" s="16" t="n">
        <v>43273</v>
      </c>
      <c r="AE1638" s="6" t="s">
        <v>11948</v>
      </c>
      <c r="AF1638" s="6" t="s">
        <v>104</v>
      </c>
      <c r="AG1638" s="6" t="s">
        <v>104</v>
      </c>
      <c r="AH1638" s="6" t="s">
        <v>14658</v>
      </c>
      <c r="AI1638" s="6" t="s">
        <v>104</v>
      </c>
      <c r="AJ1638" s="6" t="s">
        <v>16102</v>
      </c>
      <c r="AK1638" s="6" t="s">
        <v>16687</v>
      </c>
      <c r="AL1638" s="6" t="s">
        <v>16931</v>
      </c>
      <c r="AM1638" s="6" t="s">
        <v>17756</v>
      </c>
      <c r="AN1638" s="6" t="s">
        <v>18503</v>
      </c>
      <c r="AO1638" s="6" t="s">
        <v>18780</v>
      </c>
      <c r="AP1638" s="6" t="s">
        <v>14658</v>
      </c>
      <c r="AQ1638" s="6" t="s">
        <v>104</v>
      </c>
      <c r="AR1638" s="6" t="s">
        <v>16102</v>
      </c>
      <c r="AS1638" s="6" t="s">
        <v>16687</v>
      </c>
      <c r="AT1638" s="6" t="s">
        <v>16931</v>
      </c>
      <c r="AU1638" s="6" t="s">
        <v>17756</v>
      </c>
      <c r="AV1638" s="6" t="s">
        <v>104</v>
      </c>
      <c r="AW1638" s="6" t="s">
        <v>104</v>
      </c>
      <c r="AX1638" s="6" t="s">
        <v>21391</v>
      </c>
      <c r="AY1638" s="6" t="s">
        <v>23195</v>
      </c>
      <c r="AZ1638" s="6" t="s">
        <v>24105</v>
      </c>
      <c r="BA1638" s="6" t="s">
        <v>104</v>
      </c>
      <c r="BB1638" s="6" t="s">
        <v>104</v>
      </c>
      <c r="BC1638" s="26"/>
      <c r="BD1638" s="26"/>
      <c r="BE1638" s="26"/>
      <c r="BF1638" s="26"/>
      <c r="BG1638" s="26"/>
      <c r="BH1638" s="26"/>
      <c r="BI1638" s="26"/>
      <c r="BJ1638" s="26"/>
      <c r="BK1638" s="26"/>
      <c r="BL1638" s="26"/>
      <c r="BM1638" s="26"/>
      <c r="BN1638" s="26"/>
      <c r="BO1638" s="26"/>
      <c r="BP1638" s="16" t="n">
        <v>45667</v>
      </c>
      <c r="BQ1638" s="28" t="str">
        <f>HYPERLINK("https://organic.ams.usda.gov/Integrity/Certificate.aspx?cid=15&amp;nopid=5561005302")</f>
        <v>https://organic.ams.usda.gov/Integrity/Certificate.aspx?cid=15&amp;nopid=5561005302</v>
      </c>
    </row>
    <row r="1639">
      <c r="A1639" t="s">
        <v>3</v>
      </c>
      <c r="B1639" s="6" t="s">
        <v>43</v>
      </c>
      <c r="C1639" s="6" t="s">
        <v>109</v>
      </c>
      <c r="D1639" s="6" t="s">
        <v>173</v>
      </c>
      <c r="E1639" s="10" t="s">
        <v>1837</v>
      </c>
      <c r="F1639" s="6" t="s">
        <v>4066</v>
      </c>
      <c r="G1639" s="6" t="s">
        <v>104</v>
      </c>
      <c r="H1639" s="6" t="s">
        <v>6375</v>
      </c>
      <c r="I1639" s="6" t="s">
        <v>7232</v>
      </c>
      <c r="J1639" s="6" t="s">
        <v>9320</v>
      </c>
      <c r="K1639" s="6" t="s">
        <v>9714</v>
      </c>
      <c r="L1639" s="16" t="n">
        <v>45351</v>
      </c>
      <c r="M1639" s="16" t="n">
        <v>45691</v>
      </c>
      <c r="N1639" s="6" t="s">
        <v>104</v>
      </c>
      <c r="O1639" s="21" t="s">
        <v>104</v>
      </c>
      <c r="P1639" s="6" t="s">
        <v>104</v>
      </c>
      <c r="Q1639" s="6" t="s">
        <v>104</v>
      </c>
      <c r="R1639" s="6" t="s">
        <v>104</v>
      </c>
      <c r="S1639" s="6" t="s">
        <v>104</v>
      </c>
      <c r="T1639" s="21" t="s">
        <v>104</v>
      </c>
      <c r="U1639" s="6" t="s">
        <v>104</v>
      </c>
      <c r="V1639" s="6" t="s">
        <v>104</v>
      </c>
      <c r="W1639" s="6" t="s">
        <v>104</v>
      </c>
      <c r="X1639" s="6" t="s">
        <v>104</v>
      </c>
      <c r="Y1639" s="21" t="s">
        <v>104</v>
      </c>
      <c r="Z1639" s="6" t="s">
        <v>104</v>
      </c>
      <c r="AA1639" s="6" t="s">
        <v>104</v>
      </c>
      <c r="AB1639" s="6" t="s">
        <v>104</v>
      </c>
      <c r="AC1639" s="6" t="s">
        <v>9714</v>
      </c>
      <c r="AD1639" s="16" t="n">
        <v>45351</v>
      </c>
      <c r="AE1639" s="6" t="s">
        <v>11949</v>
      </c>
      <c r="AF1639" s="6" t="s">
        <v>104</v>
      </c>
      <c r="AG1639" s="6" t="s">
        <v>6375</v>
      </c>
      <c r="AH1639" s="6" t="s">
        <v>14659</v>
      </c>
      <c r="AI1639" s="6" t="s">
        <v>104</v>
      </c>
      <c r="AJ1639" s="6" t="s">
        <v>15547</v>
      </c>
      <c r="AK1639" s="6" t="s">
        <v>16684</v>
      </c>
      <c r="AL1639" s="6" t="s">
        <v>16931</v>
      </c>
      <c r="AM1639" s="6" t="s">
        <v>18082</v>
      </c>
      <c r="AN1639" s="6" t="s">
        <v>104</v>
      </c>
      <c r="AO1639" s="6" t="s">
        <v>104</v>
      </c>
      <c r="AP1639" s="6" t="s">
        <v>14659</v>
      </c>
      <c r="AQ1639" s="6" t="s">
        <v>104</v>
      </c>
      <c r="AR1639" s="6" t="s">
        <v>15547</v>
      </c>
      <c r="AS1639" s="6" t="s">
        <v>16684</v>
      </c>
      <c r="AT1639" s="6" t="s">
        <v>16931</v>
      </c>
      <c r="AU1639" s="6" t="s">
        <v>18082</v>
      </c>
      <c r="AV1639" s="6" t="s">
        <v>104</v>
      </c>
      <c r="AW1639" s="6" t="s">
        <v>104</v>
      </c>
      <c r="AX1639" s="6" t="s">
        <v>21392</v>
      </c>
      <c r="AY1639" s="6" t="s">
        <v>23196</v>
      </c>
      <c r="AZ1639" s="6" t="s">
        <v>104</v>
      </c>
      <c r="BA1639" s="6" t="s">
        <v>104</v>
      </c>
      <c r="BB1639" s="6" t="s">
        <v>104</v>
      </c>
      <c r="BC1639" s="26"/>
      <c r="BD1639" s="26"/>
      <c r="BE1639" s="26"/>
      <c r="BF1639" s="26"/>
      <c r="BG1639" s="26"/>
      <c r="BH1639" s="26"/>
      <c r="BI1639" s="26"/>
      <c r="BJ1639" s="26"/>
      <c r="BK1639" s="26"/>
      <c r="BL1639" s="26"/>
      <c r="BM1639" s="26"/>
      <c r="BN1639" s="26"/>
      <c r="BO1639" s="26"/>
      <c r="BP1639" s="16" t="n">
        <v>45622</v>
      </c>
      <c r="BQ1639" s="28" t="str">
        <f>HYPERLINK("https://organic.ams.usda.gov/Integrity/Certificate.aspx?cid=86&amp;nopid=6400011857")</f>
        <v>https://organic.ams.usda.gov/Integrity/Certificate.aspx?cid=86&amp;nopid=6400011857</v>
      </c>
    </row>
    <row r="1640">
      <c r="A1640" t="s">
        <v>3</v>
      </c>
      <c r="B1640" s="6" t="s">
        <v>13</v>
      </c>
      <c r="C1640" s="6" t="s">
        <v>79</v>
      </c>
      <c r="D1640" s="6" t="s">
        <v>144</v>
      </c>
      <c r="E1640" s="10" t="s">
        <v>1838</v>
      </c>
      <c r="F1640" s="6" t="s">
        <v>4067</v>
      </c>
      <c r="G1640" s="6" t="s">
        <v>104</v>
      </c>
      <c r="H1640" s="6" t="s">
        <v>6376</v>
      </c>
      <c r="I1640" s="6" t="s">
        <v>7859</v>
      </c>
      <c r="J1640" s="6" t="s">
        <v>9321</v>
      </c>
      <c r="K1640" s="6" t="s">
        <v>9714</v>
      </c>
      <c r="L1640" s="16" t="n">
        <v>42684</v>
      </c>
      <c r="M1640" s="16" t="n">
        <v>45748</v>
      </c>
      <c r="N1640" s="6" t="s">
        <v>9714</v>
      </c>
      <c r="O1640" s="16" t="n">
        <v>42684</v>
      </c>
      <c r="P1640" s="6" t="s">
        <v>10166</v>
      </c>
      <c r="Q1640" s="6" t="s">
        <v>104</v>
      </c>
      <c r="R1640" s="6" t="s">
        <v>104</v>
      </c>
      <c r="S1640" s="6" t="s">
        <v>104</v>
      </c>
      <c r="T1640" s="21" t="s">
        <v>104</v>
      </c>
      <c r="U1640" s="6" t="s">
        <v>104</v>
      </c>
      <c r="V1640" s="6" t="s">
        <v>104</v>
      </c>
      <c r="W1640" s="6" t="s">
        <v>104</v>
      </c>
      <c r="X1640" s="6" t="s">
        <v>104</v>
      </c>
      <c r="Y1640" s="21" t="s">
        <v>104</v>
      </c>
      <c r="Z1640" s="6" t="s">
        <v>104</v>
      </c>
      <c r="AA1640" s="6" t="s">
        <v>104</v>
      </c>
      <c r="AB1640" s="6" t="s">
        <v>104</v>
      </c>
      <c r="AC1640" s="6" t="s">
        <v>104</v>
      </c>
      <c r="AD1640" s="21" t="s">
        <v>104</v>
      </c>
      <c r="AE1640" s="6" t="s">
        <v>104</v>
      </c>
      <c r="AF1640" s="6" t="s">
        <v>104</v>
      </c>
      <c r="AG1640" s="6" t="s">
        <v>104</v>
      </c>
      <c r="AH1640" s="6" t="s">
        <v>104</v>
      </c>
      <c r="AI1640" s="6" t="s">
        <v>104</v>
      </c>
      <c r="AJ1640" s="6" t="s">
        <v>104</v>
      </c>
      <c r="AK1640" s="6" t="s">
        <v>104</v>
      </c>
      <c r="AL1640" s="6" t="s">
        <v>104</v>
      </c>
      <c r="AM1640" s="6" t="s">
        <v>104</v>
      </c>
      <c r="AN1640" s="6" t="s">
        <v>104</v>
      </c>
      <c r="AO1640" s="6" t="s">
        <v>104</v>
      </c>
      <c r="AP1640" s="6" t="s">
        <v>19389</v>
      </c>
      <c r="AQ1640" s="6" t="s">
        <v>104</v>
      </c>
      <c r="AR1640" s="6" t="s">
        <v>9456</v>
      </c>
      <c r="AS1640" s="6" t="s">
        <v>16705</v>
      </c>
      <c r="AT1640" s="6" t="s">
        <v>16931</v>
      </c>
      <c r="AU1640" s="6" t="s">
        <v>20009</v>
      </c>
      <c r="AV1640" s="6" t="s">
        <v>18521</v>
      </c>
      <c r="AW1640" s="6" t="s">
        <v>18556</v>
      </c>
      <c r="AX1640" s="6" t="s">
        <v>21393</v>
      </c>
      <c r="AY1640" s="6" t="s">
        <v>23197</v>
      </c>
      <c r="AZ1640" s="6" t="s">
        <v>104</v>
      </c>
      <c r="BA1640" s="6" t="s">
        <v>104</v>
      </c>
      <c r="BB1640" s="24" t="n">
        <v>88</v>
      </c>
      <c r="BC1640" s="26"/>
      <c r="BD1640" s="26"/>
      <c r="BE1640" s="26"/>
      <c r="BF1640" s="26"/>
      <c r="BG1640" s="26"/>
      <c r="BH1640" s="26"/>
      <c r="BI1640" s="26"/>
      <c r="BJ1640" s="26"/>
      <c r="BK1640" s="26"/>
      <c r="BL1640" s="26"/>
      <c r="BM1640" s="26"/>
      <c r="BN1640" s="26"/>
      <c r="BO1640" s="26"/>
      <c r="BP1640" s="16" t="n">
        <v>45735</v>
      </c>
      <c r="BQ1640" s="28" t="str">
        <f>HYPERLINK("https://organic.ams.usda.gov/Integrity/Certificate.aspx?cid=62&amp;nopid=8150002053")</f>
        <v>https://organic.ams.usda.gov/Integrity/Certificate.aspx?cid=62&amp;nopid=8150002053</v>
      </c>
    </row>
    <row r="1641">
      <c r="A1641" t="s">
        <v>3</v>
      </c>
      <c r="B1641" s="6" t="s">
        <v>13</v>
      </c>
      <c r="C1641" s="6" t="s">
        <v>79</v>
      </c>
      <c r="D1641" s="6" t="s">
        <v>144</v>
      </c>
      <c r="E1641" s="10" t="s">
        <v>1839</v>
      </c>
      <c r="F1641" s="6" t="s">
        <v>4068</v>
      </c>
      <c r="G1641" s="6" t="s">
        <v>104</v>
      </c>
      <c r="H1641" s="6" t="s">
        <v>6377</v>
      </c>
      <c r="I1641" s="6" t="s">
        <v>7749</v>
      </c>
      <c r="J1641" s="6" t="s">
        <v>9322</v>
      </c>
      <c r="K1641" s="6" t="s">
        <v>9714</v>
      </c>
      <c r="L1641" s="16" t="n">
        <v>45428</v>
      </c>
      <c r="M1641" s="16" t="n">
        <v>46023</v>
      </c>
      <c r="N1641" s="6" t="s">
        <v>104</v>
      </c>
      <c r="O1641" s="21" t="s">
        <v>104</v>
      </c>
      <c r="P1641" s="6" t="s">
        <v>104</v>
      </c>
      <c r="Q1641" s="6" t="s">
        <v>104</v>
      </c>
      <c r="R1641" s="6" t="s">
        <v>104</v>
      </c>
      <c r="S1641" s="6" t="s">
        <v>104</v>
      </c>
      <c r="T1641" s="21" t="s">
        <v>104</v>
      </c>
      <c r="U1641" s="6" t="s">
        <v>104</v>
      </c>
      <c r="V1641" s="6" t="s">
        <v>104</v>
      </c>
      <c r="W1641" s="6" t="s">
        <v>104</v>
      </c>
      <c r="X1641" s="6" t="s">
        <v>104</v>
      </c>
      <c r="Y1641" s="21" t="s">
        <v>104</v>
      </c>
      <c r="Z1641" s="6" t="s">
        <v>104</v>
      </c>
      <c r="AA1641" s="6" t="s">
        <v>104</v>
      </c>
      <c r="AB1641" s="6" t="s">
        <v>104</v>
      </c>
      <c r="AC1641" s="6" t="s">
        <v>9714</v>
      </c>
      <c r="AD1641" s="16" t="n">
        <v>45428</v>
      </c>
      <c r="AE1641" s="6" t="s">
        <v>11950</v>
      </c>
      <c r="AF1641" s="6" t="s">
        <v>104</v>
      </c>
      <c r="AG1641" s="6" t="s">
        <v>104</v>
      </c>
      <c r="AH1641" s="6" t="s">
        <v>104</v>
      </c>
      <c r="AI1641" s="6" t="s">
        <v>104</v>
      </c>
      <c r="AJ1641" s="6" t="s">
        <v>104</v>
      </c>
      <c r="AK1641" s="6" t="s">
        <v>104</v>
      </c>
      <c r="AL1641" s="6" t="s">
        <v>104</v>
      </c>
      <c r="AM1641" s="6" t="s">
        <v>104</v>
      </c>
      <c r="AN1641" s="6" t="s">
        <v>104</v>
      </c>
      <c r="AO1641" s="6" t="s">
        <v>104</v>
      </c>
      <c r="AP1641" s="6" t="s">
        <v>19390</v>
      </c>
      <c r="AQ1641" s="6" t="s">
        <v>104</v>
      </c>
      <c r="AR1641" s="6" t="s">
        <v>15415</v>
      </c>
      <c r="AS1641" s="6" t="s">
        <v>16705</v>
      </c>
      <c r="AT1641" s="6" t="s">
        <v>16931</v>
      </c>
      <c r="AU1641" s="6" t="s">
        <v>20010</v>
      </c>
      <c r="AV1641" s="6" t="s">
        <v>104</v>
      </c>
      <c r="AW1641" s="6" t="s">
        <v>104</v>
      </c>
      <c r="AX1641" s="6" t="s">
        <v>21394</v>
      </c>
      <c r="AY1641" s="6" t="s">
        <v>23198</v>
      </c>
      <c r="AZ1641" s="6" t="s">
        <v>104</v>
      </c>
      <c r="BA1641" s="6" t="s">
        <v>104</v>
      </c>
      <c r="BB1641" s="6" t="s">
        <v>104</v>
      </c>
      <c r="BC1641" s="26"/>
      <c r="BD1641" s="26"/>
      <c r="BE1641" s="26"/>
      <c r="BF1641" s="26"/>
      <c r="BG1641" s="26"/>
      <c r="BH1641" s="26" t="s">
        <v>24533</v>
      </c>
      <c r="BI1641" s="26"/>
      <c r="BJ1641" s="26"/>
      <c r="BK1641" s="26"/>
      <c r="BL1641" s="26" t="s">
        <v>24533</v>
      </c>
      <c r="BM1641" s="26"/>
      <c r="BN1641" s="26"/>
      <c r="BO1641" s="26"/>
      <c r="BP1641" s="16" t="n">
        <v>45638</v>
      </c>
      <c r="BQ1641" s="28" t="str">
        <f>HYPERLINK("https://organic.ams.usda.gov/Integrity/Certificate.aspx?cid=62&amp;nopid=8150024914")</f>
        <v>https://organic.ams.usda.gov/Integrity/Certificate.aspx?cid=62&amp;nopid=8150024914</v>
      </c>
    </row>
    <row r="1642">
      <c r="A1642" t="s">
        <v>3</v>
      </c>
      <c r="B1642" s="6" t="s">
        <v>34</v>
      </c>
      <c r="C1642" s="6" t="s">
        <v>100</v>
      </c>
      <c r="D1642" s="6" t="s">
        <v>165</v>
      </c>
      <c r="E1642" s="10" t="s">
        <v>1840</v>
      </c>
      <c r="F1642" s="6" t="s">
        <v>4069</v>
      </c>
      <c r="G1642" s="6" t="s">
        <v>104</v>
      </c>
      <c r="H1642" s="6" t="s">
        <v>6378</v>
      </c>
      <c r="I1642" s="6" t="s">
        <v>7860</v>
      </c>
      <c r="J1642" s="6" t="s">
        <v>9323</v>
      </c>
      <c r="K1642" s="6" t="s">
        <v>9714</v>
      </c>
      <c r="L1642" s="16" t="n">
        <v>37547</v>
      </c>
      <c r="M1642" s="16" t="n">
        <v>45905</v>
      </c>
      <c r="N1642" s="6" t="s">
        <v>104</v>
      </c>
      <c r="O1642" s="21" t="s">
        <v>104</v>
      </c>
      <c r="P1642" s="6" t="s">
        <v>104</v>
      </c>
      <c r="Q1642" s="6" t="s">
        <v>104</v>
      </c>
      <c r="R1642" s="6" t="s">
        <v>104</v>
      </c>
      <c r="S1642" s="6" t="s">
        <v>104</v>
      </c>
      <c r="T1642" s="21" t="s">
        <v>104</v>
      </c>
      <c r="U1642" s="6" t="s">
        <v>104</v>
      </c>
      <c r="V1642" s="6" t="s">
        <v>104</v>
      </c>
      <c r="W1642" s="6" t="s">
        <v>104</v>
      </c>
      <c r="X1642" s="6" t="s">
        <v>104</v>
      </c>
      <c r="Y1642" s="21" t="s">
        <v>104</v>
      </c>
      <c r="Z1642" s="6" t="s">
        <v>104</v>
      </c>
      <c r="AA1642" s="6" t="s">
        <v>104</v>
      </c>
      <c r="AB1642" s="6" t="s">
        <v>104</v>
      </c>
      <c r="AC1642" s="6" t="s">
        <v>9714</v>
      </c>
      <c r="AD1642" s="16" t="n">
        <v>37547</v>
      </c>
      <c r="AE1642" s="6" t="s">
        <v>11951</v>
      </c>
      <c r="AF1642" s="6" t="s">
        <v>104</v>
      </c>
      <c r="AG1642" s="6" t="s">
        <v>12992</v>
      </c>
      <c r="AH1642" s="6" t="s">
        <v>14660</v>
      </c>
      <c r="AI1642" s="6" t="s">
        <v>104</v>
      </c>
      <c r="AJ1642" s="6" t="s">
        <v>16386</v>
      </c>
      <c r="AK1642" s="6" t="s">
        <v>16687</v>
      </c>
      <c r="AL1642" s="6" t="s">
        <v>16931</v>
      </c>
      <c r="AM1642" s="6" t="s">
        <v>18083</v>
      </c>
      <c r="AN1642" s="6" t="s">
        <v>18517</v>
      </c>
      <c r="AO1642" s="6" t="s">
        <v>18726</v>
      </c>
      <c r="AP1642" s="6" t="s">
        <v>14660</v>
      </c>
      <c r="AQ1642" s="6" t="s">
        <v>104</v>
      </c>
      <c r="AR1642" s="6" t="s">
        <v>16386</v>
      </c>
      <c r="AS1642" s="6" t="s">
        <v>16687</v>
      </c>
      <c r="AT1642" s="6" t="s">
        <v>16931</v>
      </c>
      <c r="AU1642" s="6" t="s">
        <v>18083</v>
      </c>
      <c r="AV1642" s="6" t="s">
        <v>104</v>
      </c>
      <c r="AW1642" s="6" t="s">
        <v>104</v>
      </c>
      <c r="AX1642" s="6" t="s">
        <v>21395</v>
      </c>
      <c r="AY1642" s="6" t="s">
        <v>104</v>
      </c>
      <c r="AZ1642" s="6" t="s">
        <v>104</v>
      </c>
      <c r="BA1642" s="6" t="s">
        <v>104</v>
      </c>
      <c r="BB1642" s="6" t="s">
        <v>104</v>
      </c>
      <c r="BC1642" s="26"/>
      <c r="BD1642" s="26"/>
      <c r="BE1642" s="26"/>
      <c r="BF1642" s="26"/>
      <c r="BG1642" s="26"/>
      <c r="BH1642" s="26"/>
      <c r="BI1642" s="26"/>
      <c r="BJ1642" s="26"/>
      <c r="BK1642" s="26"/>
      <c r="BL1642" s="26"/>
      <c r="BM1642" s="26"/>
      <c r="BN1642" s="26"/>
      <c r="BO1642" s="26"/>
      <c r="BP1642" s="16" t="n">
        <v>45737</v>
      </c>
      <c r="BQ1642" s="28" t="str">
        <f>HYPERLINK("https://organic.ams.usda.gov/Integrity/Certificate.aspx?cid=71&amp;nopid=5520030325")</f>
        <v>https://organic.ams.usda.gov/Integrity/Certificate.aspx?cid=71&amp;nopid=5520030325</v>
      </c>
    </row>
    <row r="1643">
      <c r="A1643" t="s">
        <v>3</v>
      </c>
      <c r="B1643" s="6" t="s">
        <v>13</v>
      </c>
      <c r="C1643" s="6" t="s">
        <v>79</v>
      </c>
      <c r="D1643" s="6" t="s">
        <v>144</v>
      </c>
      <c r="E1643" s="10" t="s">
        <v>1841</v>
      </c>
      <c r="F1643" s="6" t="s">
        <v>4070</v>
      </c>
      <c r="G1643" s="6" t="s">
        <v>104</v>
      </c>
      <c r="H1643" s="6" t="s">
        <v>6379</v>
      </c>
      <c r="I1643" s="6" t="s">
        <v>7133</v>
      </c>
      <c r="J1643" s="6" t="s">
        <v>9324</v>
      </c>
      <c r="K1643" s="6" t="s">
        <v>9714</v>
      </c>
      <c r="L1643" s="16" t="n">
        <v>43006</v>
      </c>
      <c r="M1643" s="16" t="n">
        <v>45748</v>
      </c>
      <c r="N1643" s="6" t="s">
        <v>104</v>
      </c>
      <c r="O1643" s="21" t="s">
        <v>104</v>
      </c>
      <c r="P1643" s="6" t="s">
        <v>104</v>
      </c>
      <c r="Q1643" s="6" t="s">
        <v>104</v>
      </c>
      <c r="R1643" s="6" t="s">
        <v>104</v>
      </c>
      <c r="S1643" s="6" t="s">
        <v>104</v>
      </c>
      <c r="T1643" s="21" t="s">
        <v>104</v>
      </c>
      <c r="U1643" s="6" t="s">
        <v>104</v>
      </c>
      <c r="V1643" s="6" t="s">
        <v>104</v>
      </c>
      <c r="W1643" s="6" t="s">
        <v>104</v>
      </c>
      <c r="X1643" s="6" t="s">
        <v>104</v>
      </c>
      <c r="Y1643" s="21" t="s">
        <v>104</v>
      </c>
      <c r="Z1643" s="6" t="s">
        <v>104</v>
      </c>
      <c r="AA1643" s="6" t="s">
        <v>104</v>
      </c>
      <c r="AB1643" s="6" t="s">
        <v>104</v>
      </c>
      <c r="AC1643" s="6" t="s">
        <v>9714</v>
      </c>
      <c r="AD1643" s="16" t="n">
        <v>43006</v>
      </c>
      <c r="AE1643" s="6" t="s">
        <v>11952</v>
      </c>
      <c r="AF1643" s="6" t="s">
        <v>104</v>
      </c>
      <c r="AG1643" s="6" t="s">
        <v>104</v>
      </c>
      <c r="AH1643" s="6" t="s">
        <v>104</v>
      </c>
      <c r="AI1643" s="6" t="s">
        <v>104</v>
      </c>
      <c r="AJ1643" s="6" t="s">
        <v>104</v>
      </c>
      <c r="AK1643" s="6" t="s">
        <v>104</v>
      </c>
      <c r="AL1643" s="6" t="s">
        <v>104</v>
      </c>
      <c r="AM1643" s="6" t="s">
        <v>104</v>
      </c>
      <c r="AN1643" s="6" t="s">
        <v>104</v>
      </c>
      <c r="AO1643" s="6" t="s">
        <v>104</v>
      </c>
      <c r="AP1643" s="6" t="s">
        <v>19391</v>
      </c>
      <c r="AQ1643" s="6" t="s">
        <v>104</v>
      </c>
      <c r="AR1643" s="6" t="s">
        <v>19743</v>
      </c>
      <c r="AS1643" s="6" t="s">
        <v>16680</v>
      </c>
      <c r="AT1643" s="6" t="s">
        <v>16931</v>
      </c>
      <c r="AU1643" s="6" t="s">
        <v>20011</v>
      </c>
      <c r="AV1643" s="6" t="s">
        <v>18467</v>
      </c>
      <c r="AW1643" s="6" t="s">
        <v>20104</v>
      </c>
      <c r="AX1643" s="6" t="s">
        <v>21396</v>
      </c>
      <c r="AY1643" s="6" t="s">
        <v>23199</v>
      </c>
      <c r="AZ1643" s="6" t="s">
        <v>104</v>
      </c>
      <c r="BA1643" s="6" t="s">
        <v>104</v>
      </c>
      <c r="BB1643" s="6" t="s">
        <v>104</v>
      </c>
      <c r="BC1643" s="26"/>
      <c r="BD1643" s="26"/>
      <c r="BE1643" s="26"/>
      <c r="BF1643" s="26"/>
      <c r="BG1643" s="26" t="s">
        <v>24533</v>
      </c>
      <c r="BH1643" s="26" t="s">
        <v>24533</v>
      </c>
      <c r="BI1643" s="26"/>
      <c r="BJ1643" s="26"/>
      <c r="BK1643" s="26"/>
      <c r="BL1643" s="26"/>
      <c r="BM1643" s="26"/>
      <c r="BN1643" s="26"/>
      <c r="BO1643" s="26"/>
      <c r="BP1643" s="16" t="n">
        <v>45733</v>
      </c>
      <c r="BQ1643" s="28" t="str">
        <f>HYPERLINK("https://organic.ams.usda.gov/Integrity/Certificate.aspx?cid=62&amp;nopid=8150005124")</f>
        <v>https://organic.ams.usda.gov/Integrity/Certificate.aspx?cid=62&amp;nopid=8150005124</v>
      </c>
    </row>
    <row r="1644">
      <c r="A1644" t="s">
        <v>3</v>
      </c>
      <c r="B1644" s="6" t="s">
        <v>34</v>
      </c>
      <c r="C1644" s="6" t="s">
        <v>100</v>
      </c>
      <c r="D1644" s="6" t="s">
        <v>165</v>
      </c>
      <c r="E1644" s="10" t="s">
        <v>1842</v>
      </c>
      <c r="F1644" s="6" t="s">
        <v>4071</v>
      </c>
      <c r="G1644" s="6" t="s">
        <v>104</v>
      </c>
      <c r="H1644" s="6" t="s">
        <v>6380</v>
      </c>
      <c r="I1644" s="6" t="s">
        <v>7861</v>
      </c>
      <c r="J1644" s="6" t="s">
        <v>9325</v>
      </c>
      <c r="K1644" s="6" t="s">
        <v>9714</v>
      </c>
      <c r="L1644" s="16" t="n">
        <v>44013</v>
      </c>
      <c r="M1644" s="16" t="n">
        <v>45665</v>
      </c>
      <c r="N1644" s="6" t="s">
        <v>104</v>
      </c>
      <c r="O1644" s="21" t="s">
        <v>104</v>
      </c>
      <c r="P1644" s="6" t="s">
        <v>104</v>
      </c>
      <c r="Q1644" s="6" t="s">
        <v>104</v>
      </c>
      <c r="R1644" s="6" t="s">
        <v>104</v>
      </c>
      <c r="S1644" s="6" t="s">
        <v>104</v>
      </c>
      <c r="T1644" s="21" t="s">
        <v>104</v>
      </c>
      <c r="U1644" s="6" t="s">
        <v>104</v>
      </c>
      <c r="V1644" s="6" t="s">
        <v>104</v>
      </c>
      <c r="W1644" s="6" t="s">
        <v>104</v>
      </c>
      <c r="X1644" s="6" t="s">
        <v>104</v>
      </c>
      <c r="Y1644" s="21" t="s">
        <v>104</v>
      </c>
      <c r="Z1644" s="6" t="s">
        <v>104</v>
      </c>
      <c r="AA1644" s="6" t="s">
        <v>104</v>
      </c>
      <c r="AB1644" s="6" t="s">
        <v>104</v>
      </c>
      <c r="AC1644" s="6" t="s">
        <v>9714</v>
      </c>
      <c r="AD1644" s="16" t="n">
        <v>44013</v>
      </c>
      <c r="AE1644" s="6" t="s">
        <v>11953</v>
      </c>
      <c r="AF1644" s="6" t="s">
        <v>104</v>
      </c>
      <c r="AG1644" s="6" t="s">
        <v>12993</v>
      </c>
      <c r="AH1644" s="6" t="s">
        <v>14661</v>
      </c>
      <c r="AI1644" s="6" t="s">
        <v>104</v>
      </c>
      <c r="AJ1644" s="6" t="s">
        <v>16020</v>
      </c>
      <c r="AK1644" s="6" t="s">
        <v>16730</v>
      </c>
      <c r="AL1644" s="6" t="s">
        <v>16931</v>
      </c>
      <c r="AM1644" s="6" t="s">
        <v>17741</v>
      </c>
      <c r="AN1644" s="6" t="s">
        <v>18463</v>
      </c>
      <c r="AO1644" s="6" t="s">
        <v>18596</v>
      </c>
      <c r="AP1644" s="6" t="s">
        <v>14661</v>
      </c>
      <c r="AQ1644" s="6" t="s">
        <v>104</v>
      </c>
      <c r="AR1644" s="6" t="s">
        <v>16020</v>
      </c>
      <c r="AS1644" s="6" t="s">
        <v>16730</v>
      </c>
      <c r="AT1644" s="6" t="s">
        <v>16931</v>
      </c>
      <c r="AU1644" s="6" t="s">
        <v>17741</v>
      </c>
      <c r="AV1644" s="6" t="s">
        <v>104</v>
      </c>
      <c r="AW1644" s="6" t="s">
        <v>104</v>
      </c>
      <c r="AX1644" s="6" t="s">
        <v>21397</v>
      </c>
      <c r="AY1644" s="6" t="s">
        <v>23200</v>
      </c>
      <c r="AZ1644" s="6" t="s">
        <v>24106</v>
      </c>
      <c r="BA1644" s="6" t="s">
        <v>104</v>
      </c>
      <c r="BB1644" s="6" t="s">
        <v>104</v>
      </c>
      <c r="BC1644" s="26"/>
      <c r="BD1644" s="26"/>
      <c r="BE1644" s="26"/>
      <c r="BF1644" s="26"/>
      <c r="BG1644" s="26"/>
      <c r="BH1644" s="26" t="s">
        <v>24533</v>
      </c>
      <c r="BI1644" s="26"/>
      <c r="BJ1644" s="26"/>
      <c r="BK1644" s="26"/>
      <c r="BL1644" s="26"/>
      <c r="BM1644" s="26"/>
      <c r="BN1644" s="26"/>
      <c r="BO1644" s="26"/>
      <c r="BP1644" s="16" t="n">
        <v>45737</v>
      </c>
      <c r="BQ1644" s="28" t="str">
        <f>HYPERLINK("https://organic.ams.usda.gov/Integrity/Certificate.aspx?cid=71&amp;nopid=5520547126")</f>
        <v>https://organic.ams.usda.gov/Integrity/Certificate.aspx?cid=71&amp;nopid=5520547126</v>
      </c>
    </row>
    <row r="1645">
      <c r="A1645" t="s">
        <v>3</v>
      </c>
      <c r="B1645" s="6" t="s">
        <v>14</v>
      </c>
      <c r="C1645" s="6" t="s">
        <v>80</v>
      </c>
      <c r="D1645" s="6" t="s">
        <v>145</v>
      </c>
      <c r="E1645" s="10" t="s">
        <v>1843</v>
      </c>
      <c r="F1645" s="6" t="s">
        <v>4072</v>
      </c>
      <c r="G1645" s="6" t="s">
        <v>104</v>
      </c>
      <c r="H1645" s="6" t="s">
        <v>6381</v>
      </c>
      <c r="I1645" s="6" t="s">
        <v>7862</v>
      </c>
      <c r="J1645" s="6" t="s">
        <v>9326</v>
      </c>
      <c r="K1645" s="6" t="s">
        <v>9714</v>
      </c>
      <c r="L1645" s="16" t="n">
        <v>45257</v>
      </c>
      <c r="M1645" s="16" t="n">
        <v>45895</v>
      </c>
      <c r="N1645" s="6" t="s">
        <v>104</v>
      </c>
      <c r="O1645" s="21" t="s">
        <v>104</v>
      </c>
      <c r="P1645" s="6" t="s">
        <v>104</v>
      </c>
      <c r="Q1645" s="6" t="s">
        <v>104</v>
      </c>
      <c r="R1645" s="6" t="s">
        <v>104</v>
      </c>
      <c r="S1645" s="6" t="s">
        <v>104</v>
      </c>
      <c r="T1645" s="21" t="s">
        <v>104</v>
      </c>
      <c r="U1645" s="6" t="s">
        <v>104</v>
      </c>
      <c r="V1645" s="6" t="s">
        <v>104</v>
      </c>
      <c r="W1645" s="6" t="s">
        <v>104</v>
      </c>
      <c r="X1645" s="6" t="s">
        <v>104</v>
      </c>
      <c r="Y1645" s="21" t="s">
        <v>104</v>
      </c>
      <c r="Z1645" s="6" t="s">
        <v>104</v>
      </c>
      <c r="AA1645" s="6" t="s">
        <v>104</v>
      </c>
      <c r="AB1645" s="6" t="s">
        <v>104</v>
      </c>
      <c r="AC1645" s="6" t="s">
        <v>9714</v>
      </c>
      <c r="AD1645" s="16" t="n">
        <v>45257</v>
      </c>
      <c r="AE1645" s="6" t="s">
        <v>11954</v>
      </c>
      <c r="AF1645" s="6" t="s">
        <v>104</v>
      </c>
      <c r="AG1645" s="6" t="s">
        <v>104</v>
      </c>
      <c r="AH1645" s="6" t="s">
        <v>14662</v>
      </c>
      <c r="AI1645" s="6" t="s">
        <v>104</v>
      </c>
      <c r="AJ1645" s="6" t="s">
        <v>16387</v>
      </c>
      <c r="AK1645" s="6" t="s">
        <v>16773</v>
      </c>
      <c r="AL1645" s="6" t="s">
        <v>16932</v>
      </c>
      <c r="AM1645" s="6" t="s">
        <v>18084</v>
      </c>
      <c r="AN1645" s="6" t="s">
        <v>104</v>
      </c>
      <c r="AO1645" s="6" t="s">
        <v>104</v>
      </c>
      <c r="AP1645" s="6" t="s">
        <v>104</v>
      </c>
      <c r="AQ1645" s="6" t="s">
        <v>104</v>
      </c>
      <c r="AR1645" s="6" t="s">
        <v>104</v>
      </c>
      <c r="AS1645" s="6" t="s">
        <v>104</v>
      </c>
      <c r="AT1645" s="6" t="s">
        <v>104</v>
      </c>
      <c r="AU1645" s="6" t="s">
        <v>104</v>
      </c>
      <c r="AV1645" s="6" t="s">
        <v>104</v>
      </c>
      <c r="AW1645" s="6" t="s">
        <v>104</v>
      </c>
      <c r="AX1645" s="6" t="s">
        <v>21398</v>
      </c>
      <c r="AY1645" s="6" t="s">
        <v>23201</v>
      </c>
      <c r="AZ1645" s="6" t="s">
        <v>104</v>
      </c>
      <c r="BA1645" s="6" t="s">
        <v>24267</v>
      </c>
      <c r="BB1645" s="6" t="s">
        <v>104</v>
      </c>
      <c r="BC1645" s="26"/>
      <c r="BD1645" s="26"/>
      <c r="BE1645" s="26"/>
      <c r="BF1645" s="26"/>
      <c r="BG1645" s="26"/>
      <c r="BH1645" s="26"/>
      <c r="BI1645" s="26"/>
      <c r="BJ1645" s="26"/>
      <c r="BK1645" s="26"/>
      <c r="BL1645" s="26"/>
      <c r="BM1645" s="26"/>
      <c r="BN1645" s="26"/>
      <c r="BO1645" s="26"/>
      <c r="BP1645" s="16" t="n">
        <v>45706</v>
      </c>
      <c r="BQ1645" s="28" t="str">
        <f>HYPERLINK("https://organic.ams.usda.gov/Integrity/Certificate.aspx?cid=89&amp;nopid=4920006600")</f>
        <v>https://organic.ams.usda.gov/Integrity/Certificate.aspx?cid=89&amp;nopid=4920006600</v>
      </c>
    </row>
    <row r="1646">
      <c r="A1646" t="s">
        <v>3</v>
      </c>
      <c r="B1646" s="6" t="s">
        <v>32</v>
      </c>
      <c r="C1646" s="6" t="s">
        <v>98</v>
      </c>
      <c r="D1646" s="6" t="s">
        <v>163</v>
      </c>
      <c r="E1646" s="10" t="s">
        <v>1844</v>
      </c>
      <c r="F1646" s="6" t="s">
        <v>4073</v>
      </c>
      <c r="G1646" s="6" t="s">
        <v>104</v>
      </c>
      <c r="H1646" s="6" t="s">
        <v>6382</v>
      </c>
      <c r="I1646" s="6" t="s">
        <v>7087</v>
      </c>
      <c r="J1646" s="6" t="s">
        <v>9327</v>
      </c>
      <c r="K1646" s="6" t="s">
        <v>9714</v>
      </c>
      <c r="L1646" s="16" t="n">
        <v>45006</v>
      </c>
      <c r="M1646" s="16" t="n">
        <v>45962</v>
      </c>
      <c r="N1646" s="6" t="s">
        <v>104</v>
      </c>
      <c r="O1646" s="21" t="s">
        <v>104</v>
      </c>
      <c r="P1646" s="6" t="s">
        <v>104</v>
      </c>
      <c r="Q1646" s="6" t="s">
        <v>104</v>
      </c>
      <c r="R1646" s="6" t="s">
        <v>104</v>
      </c>
      <c r="S1646" s="6" t="s">
        <v>104</v>
      </c>
      <c r="T1646" s="21" t="s">
        <v>104</v>
      </c>
      <c r="U1646" s="6" t="s">
        <v>104</v>
      </c>
      <c r="V1646" s="6" t="s">
        <v>104</v>
      </c>
      <c r="W1646" s="6" t="s">
        <v>104</v>
      </c>
      <c r="X1646" s="6" t="s">
        <v>104</v>
      </c>
      <c r="Y1646" s="21" t="s">
        <v>104</v>
      </c>
      <c r="Z1646" s="6" t="s">
        <v>104</v>
      </c>
      <c r="AA1646" s="6" t="s">
        <v>104</v>
      </c>
      <c r="AB1646" s="6" t="s">
        <v>104</v>
      </c>
      <c r="AC1646" s="6" t="s">
        <v>9714</v>
      </c>
      <c r="AD1646" s="16" t="n">
        <v>45006</v>
      </c>
      <c r="AE1646" s="6" t="s">
        <v>11955</v>
      </c>
      <c r="AF1646" s="6" t="s">
        <v>104</v>
      </c>
      <c r="AG1646" s="6" t="s">
        <v>104</v>
      </c>
      <c r="AH1646" s="6" t="s">
        <v>14663</v>
      </c>
      <c r="AI1646" s="6" t="s">
        <v>104</v>
      </c>
      <c r="AJ1646" s="6" t="s">
        <v>16388</v>
      </c>
      <c r="AK1646" s="6" t="s">
        <v>16683</v>
      </c>
      <c r="AL1646" s="6" t="s">
        <v>16931</v>
      </c>
      <c r="AM1646" s="6" t="s">
        <v>18085</v>
      </c>
      <c r="AN1646" s="6" t="s">
        <v>18503</v>
      </c>
      <c r="AO1646" s="6" t="s">
        <v>18871</v>
      </c>
      <c r="AP1646" s="6" t="s">
        <v>104</v>
      </c>
      <c r="AQ1646" s="6" t="s">
        <v>104</v>
      </c>
      <c r="AR1646" s="6" t="s">
        <v>104</v>
      </c>
      <c r="AS1646" s="6" t="s">
        <v>104</v>
      </c>
      <c r="AT1646" s="6" t="s">
        <v>104</v>
      </c>
      <c r="AU1646" s="6" t="s">
        <v>104</v>
      </c>
      <c r="AV1646" s="6" t="s">
        <v>104</v>
      </c>
      <c r="AW1646" s="6" t="s">
        <v>104</v>
      </c>
      <c r="AX1646" s="6" t="s">
        <v>21399</v>
      </c>
      <c r="AY1646" s="6" t="s">
        <v>23202</v>
      </c>
      <c r="AZ1646" s="6" t="s">
        <v>24107</v>
      </c>
      <c r="BA1646" s="6" t="s">
        <v>104</v>
      </c>
      <c r="BB1646" s="6" t="s">
        <v>104</v>
      </c>
      <c r="BC1646" s="26"/>
      <c r="BD1646" s="26"/>
      <c r="BE1646" s="26"/>
      <c r="BF1646" s="26"/>
      <c r="BG1646" s="26"/>
      <c r="BH1646" s="26"/>
      <c r="BI1646" s="26"/>
      <c r="BJ1646" s="26"/>
      <c r="BK1646" s="26"/>
      <c r="BL1646" s="26"/>
      <c r="BM1646" s="26"/>
      <c r="BN1646" s="26"/>
      <c r="BO1646" s="26"/>
      <c r="BP1646" s="16" t="n">
        <v>45722</v>
      </c>
      <c r="BQ1646" s="28" t="str">
        <f>HYPERLINK("https://organic.ams.usda.gov/Integrity/Certificate.aspx?cid=64&amp;nopid=8830001687")</f>
        <v>https://organic.ams.usda.gov/Integrity/Certificate.aspx?cid=64&amp;nopid=8830001687</v>
      </c>
    </row>
    <row r="1647">
      <c r="A1647" t="s">
        <v>3</v>
      </c>
      <c r="B1647" s="6" t="s">
        <v>32</v>
      </c>
      <c r="C1647" s="6" t="s">
        <v>98</v>
      </c>
      <c r="D1647" s="6" t="s">
        <v>163</v>
      </c>
      <c r="E1647" s="10" t="s">
        <v>1845</v>
      </c>
      <c r="F1647" s="6" t="s">
        <v>4074</v>
      </c>
      <c r="G1647" s="6" t="s">
        <v>104</v>
      </c>
      <c r="H1647" s="6" t="s">
        <v>6383</v>
      </c>
      <c r="I1647" s="6" t="s">
        <v>7863</v>
      </c>
      <c r="J1647" s="6" t="s">
        <v>9328</v>
      </c>
      <c r="K1647" s="6" t="s">
        <v>9714</v>
      </c>
      <c r="L1647" s="16" t="n">
        <v>41367</v>
      </c>
      <c r="M1647" s="16" t="n">
        <v>45352</v>
      </c>
      <c r="N1647" s="6" t="s">
        <v>104</v>
      </c>
      <c r="O1647" s="21" t="s">
        <v>104</v>
      </c>
      <c r="P1647" s="6" t="s">
        <v>104</v>
      </c>
      <c r="Q1647" s="6" t="s">
        <v>104</v>
      </c>
      <c r="R1647" s="6" t="s">
        <v>104</v>
      </c>
      <c r="S1647" s="6" t="s">
        <v>104</v>
      </c>
      <c r="T1647" s="21" t="s">
        <v>104</v>
      </c>
      <c r="U1647" s="6" t="s">
        <v>104</v>
      </c>
      <c r="V1647" s="6" t="s">
        <v>104</v>
      </c>
      <c r="W1647" s="6" t="s">
        <v>104</v>
      </c>
      <c r="X1647" s="6" t="s">
        <v>104</v>
      </c>
      <c r="Y1647" s="21" t="s">
        <v>104</v>
      </c>
      <c r="Z1647" s="6" t="s">
        <v>104</v>
      </c>
      <c r="AA1647" s="6" t="s">
        <v>104</v>
      </c>
      <c r="AB1647" s="6" t="s">
        <v>104</v>
      </c>
      <c r="AC1647" s="6" t="s">
        <v>9714</v>
      </c>
      <c r="AD1647" s="16" t="n">
        <v>41367</v>
      </c>
      <c r="AE1647" s="6" t="s">
        <v>11956</v>
      </c>
      <c r="AF1647" s="6" t="s">
        <v>104</v>
      </c>
      <c r="AG1647" s="6" t="s">
        <v>104</v>
      </c>
      <c r="AH1647" s="6" t="s">
        <v>14664</v>
      </c>
      <c r="AI1647" s="6" t="s">
        <v>15323</v>
      </c>
      <c r="AJ1647" s="6" t="s">
        <v>16389</v>
      </c>
      <c r="AK1647" s="6" t="s">
        <v>16714</v>
      </c>
      <c r="AL1647" s="6" t="s">
        <v>16931</v>
      </c>
      <c r="AM1647" s="6" t="s">
        <v>18086</v>
      </c>
      <c r="AN1647" s="6" t="s">
        <v>18500</v>
      </c>
      <c r="AO1647" s="6" t="s">
        <v>18785</v>
      </c>
      <c r="AP1647" s="6" t="s">
        <v>104</v>
      </c>
      <c r="AQ1647" s="6" t="s">
        <v>104</v>
      </c>
      <c r="AR1647" s="6" t="s">
        <v>104</v>
      </c>
      <c r="AS1647" s="6" t="s">
        <v>104</v>
      </c>
      <c r="AT1647" s="6" t="s">
        <v>104</v>
      </c>
      <c r="AU1647" s="6" t="s">
        <v>104</v>
      </c>
      <c r="AV1647" s="6" t="s">
        <v>104</v>
      </c>
      <c r="AW1647" s="6" t="s">
        <v>104</v>
      </c>
      <c r="AX1647" s="6" t="s">
        <v>21400</v>
      </c>
      <c r="AY1647" s="6" t="s">
        <v>23203</v>
      </c>
      <c r="AZ1647" s="6" t="s">
        <v>24108</v>
      </c>
      <c r="BA1647" s="6" t="s">
        <v>104</v>
      </c>
      <c r="BB1647" s="6" t="s">
        <v>104</v>
      </c>
      <c r="BC1647" s="26"/>
      <c r="BD1647" s="26"/>
      <c r="BE1647" s="26"/>
      <c r="BF1647" s="26"/>
      <c r="BG1647" s="26"/>
      <c r="BH1647" s="26"/>
      <c r="BI1647" s="26"/>
      <c r="BJ1647" s="26"/>
      <c r="BK1647" s="26"/>
      <c r="BL1647" s="26"/>
      <c r="BM1647" s="26"/>
      <c r="BN1647" s="26"/>
      <c r="BO1647" s="26"/>
      <c r="BP1647" s="16" t="n">
        <v>45377</v>
      </c>
      <c r="BQ1647" s="28" t="str">
        <f>HYPERLINK("https://organic.ams.usda.gov/Integrity/Certificate.aspx?cid=64&amp;nopid=8830000577")</f>
        <v>https://organic.ams.usda.gov/Integrity/Certificate.aspx?cid=64&amp;nopid=8830000577</v>
      </c>
    </row>
    <row r="1648">
      <c r="A1648" t="s">
        <v>3</v>
      </c>
      <c r="B1648" s="6" t="s">
        <v>17</v>
      </c>
      <c r="C1648" s="6" t="s">
        <v>83</v>
      </c>
      <c r="D1648" s="6" t="s">
        <v>148</v>
      </c>
      <c r="E1648" s="10" t="s">
        <v>1846</v>
      </c>
      <c r="F1648" s="6" t="s">
        <v>4075</v>
      </c>
      <c r="G1648" s="6" t="s">
        <v>104</v>
      </c>
      <c r="H1648" s="6" t="s">
        <v>6384</v>
      </c>
      <c r="I1648" s="6" t="s">
        <v>7864</v>
      </c>
      <c r="J1648" s="6" t="s">
        <v>7281</v>
      </c>
      <c r="K1648" s="6" t="s">
        <v>9714</v>
      </c>
      <c r="L1648" s="16" t="n">
        <v>45373</v>
      </c>
      <c r="M1648" s="16" t="n">
        <v>45658</v>
      </c>
      <c r="N1648" s="6" t="s">
        <v>104</v>
      </c>
      <c r="O1648" s="21" t="s">
        <v>104</v>
      </c>
      <c r="P1648" s="6" t="s">
        <v>104</v>
      </c>
      <c r="Q1648" s="6" t="s">
        <v>104</v>
      </c>
      <c r="R1648" s="6" t="s">
        <v>104</v>
      </c>
      <c r="S1648" s="6" t="s">
        <v>104</v>
      </c>
      <c r="T1648" s="21" t="s">
        <v>104</v>
      </c>
      <c r="U1648" s="6" t="s">
        <v>104</v>
      </c>
      <c r="V1648" s="6" t="s">
        <v>104</v>
      </c>
      <c r="W1648" s="6" t="s">
        <v>104</v>
      </c>
      <c r="X1648" s="6" t="s">
        <v>104</v>
      </c>
      <c r="Y1648" s="21" t="s">
        <v>104</v>
      </c>
      <c r="Z1648" s="6" t="s">
        <v>104</v>
      </c>
      <c r="AA1648" s="6" t="s">
        <v>104</v>
      </c>
      <c r="AB1648" s="6" t="s">
        <v>104</v>
      </c>
      <c r="AC1648" s="6" t="s">
        <v>9714</v>
      </c>
      <c r="AD1648" s="16" t="n">
        <v>45373</v>
      </c>
      <c r="AE1648" s="6" t="s">
        <v>11957</v>
      </c>
      <c r="AF1648" s="6" t="s">
        <v>104</v>
      </c>
      <c r="AG1648" s="6" t="s">
        <v>104</v>
      </c>
      <c r="AH1648" s="6" t="s">
        <v>14665</v>
      </c>
      <c r="AI1648" s="6" t="s">
        <v>104</v>
      </c>
      <c r="AJ1648" s="6" t="s">
        <v>16390</v>
      </c>
      <c r="AK1648" s="6" t="s">
        <v>16687</v>
      </c>
      <c r="AL1648" s="6" t="s">
        <v>16931</v>
      </c>
      <c r="AM1648" s="6" t="s">
        <v>18087</v>
      </c>
      <c r="AN1648" s="6" t="s">
        <v>104</v>
      </c>
      <c r="AO1648" s="6" t="s">
        <v>104</v>
      </c>
      <c r="AP1648" s="6" t="s">
        <v>19392</v>
      </c>
      <c r="AQ1648" s="6" t="s">
        <v>19573</v>
      </c>
      <c r="AR1648" s="6" t="s">
        <v>16414</v>
      </c>
      <c r="AS1648" s="6" t="s">
        <v>15697</v>
      </c>
      <c r="AT1648" s="6" t="s">
        <v>16931</v>
      </c>
      <c r="AU1648" s="6" t="s">
        <v>18125</v>
      </c>
      <c r="AV1648" s="6" t="s">
        <v>104</v>
      </c>
      <c r="AW1648" s="6" t="s">
        <v>104</v>
      </c>
      <c r="AX1648" s="6" t="s">
        <v>21401</v>
      </c>
      <c r="AY1648" s="6" t="s">
        <v>23204</v>
      </c>
      <c r="AZ1648" s="6" t="s">
        <v>104</v>
      </c>
      <c r="BA1648" s="6" t="s">
        <v>104</v>
      </c>
      <c r="BB1648" s="24" t="n">
        <v>0</v>
      </c>
      <c r="BC1648" s="26" t="s">
        <v>24533</v>
      </c>
      <c r="BD1648" s="26"/>
      <c r="BE1648" s="26"/>
      <c r="BF1648" s="26"/>
      <c r="BG1648" s="26"/>
      <c r="BH1648" s="26" t="s">
        <v>24533</v>
      </c>
      <c r="BI1648" s="26"/>
      <c r="BJ1648" s="26"/>
      <c r="BK1648" s="26"/>
      <c r="BL1648" s="26"/>
      <c r="BM1648" s="26"/>
      <c r="BN1648" s="26"/>
      <c r="BO1648" s="26"/>
      <c r="BP1648" s="16" t="n">
        <v>45694</v>
      </c>
      <c r="BQ1648" s="28" t="str">
        <f>HYPERLINK("https://organic.ams.usda.gov/Integrity/Certificate.aspx?cid=51&amp;nopid=8240022824")</f>
        <v>https://organic.ams.usda.gov/Integrity/Certificate.aspx?cid=51&amp;nopid=8240022824</v>
      </c>
    </row>
    <row r="1649">
      <c r="A1649" t="s">
        <v>3</v>
      </c>
      <c r="B1649" s="6" t="s">
        <v>20</v>
      </c>
      <c r="C1649" s="6" t="s">
        <v>86</v>
      </c>
      <c r="D1649" s="6" t="s">
        <v>151</v>
      </c>
      <c r="E1649" s="10" t="s">
        <v>1847</v>
      </c>
      <c r="F1649" s="6" t="s">
        <v>4076</v>
      </c>
      <c r="G1649" s="6" t="s">
        <v>104</v>
      </c>
      <c r="H1649" s="6" t="s">
        <v>6385</v>
      </c>
      <c r="I1649" s="6" t="s">
        <v>7865</v>
      </c>
      <c r="J1649" s="6" t="s">
        <v>7093</v>
      </c>
      <c r="K1649" s="6" t="s">
        <v>9714</v>
      </c>
      <c r="L1649" s="16" t="n">
        <v>42807</v>
      </c>
      <c r="M1649" s="16" t="n">
        <v>45747</v>
      </c>
      <c r="N1649" s="6" t="s">
        <v>104</v>
      </c>
      <c r="O1649" s="21" t="s">
        <v>104</v>
      </c>
      <c r="P1649" s="6" t="s">
        <v>104</v>
      </c>
      <c r="Q1649" s="6" t="s">
        <v>104</v>
      </c>
      <c r="R1649" s="6" t="s">
        <v>104</v>
      </c>
      <c r="S1649" s="6" t="s">
        <v>104</v>
      </c>
      <c r="T1649" s="21" t="s">
        <v>104</v>
      </c>
      <c r="U1649" s="6" t="s">
        <v>104</v>
      </c>
      <c r="V1649" s="6" t="s">
        <v>104</v>
      </c>
      <c r="W1649" s="6" t="s">
        <v>104</v>
      </c>
      <c r="X1649" s="6" t="s">
        <v>104</v>
      </c>
      <c r="Y1649" s="21" t="s">
        <v>104</v>
      </c>
      <c r="Z1649" s="6" t="s">
        <v>104</v>
      </c>
      <c r="AA1649" s="6" t="s">
        <v>104</v>
      </c>
      <c r="AB1649" s="6" t="s">
        <v>104</v>
      </c>
      <c r="AC1649" s="6" t="s">
        <v>9714</v>
      </c>
      <c r="AD1649" s="16" t="n">
        <v>42807</v>
      </c>
      <c r="AE1649" s="6" t="s">
        <v>11958</v>
      </c>
      <c r="AF1649" s="6" t="s">
        <v>104</v>
      </c>
      <c r="AG1649" s="6" t="s">
        <v>12994</v>
      </c>
      <c r="AH1649" s="6" t="s">
        <v>14666</v>
      </c>
      <c r="AI1649" s="6" t="s">
        <v>104</v>
      </c>
      <c r="AJ1649" s="6" t="s">
        <v>16391</v>
      </c>
      <c r="AK1649" s="6" t="s">
        <v>16789</v>
      </c>
      <c r="AL1649" s="6" t="s">
        <v>16766</v>
      </c>
      <c r="AM1649" s="6" t="s">
        <v>18088</v>
      </c>
      <c r="AN1649" s="6" t="s">
        <v>104</v>
      </c>
      <c r="AO1649" s="6" t="s">
        <v>104</v>
      </c>
      <c r="AP1649" s="6" t="s">
        <v>104</v>
      </c>
      <c r="AQ1649" s="6" t="s">
        <v>104</v>
      </c>
      <c r="AR1649" s="6" t="s">
        <v>104</v>
      </c>
      <c r="AS1649" s="6" t="s">
        <v>104</v>
      </c>
      <c r="AT1649" s="6" t="s">
        <v>104</v>
      </c>
      <c r="AU1649" s="6" t="s">
        <v>104</v>
      </c>
      <c r="AV1649" s="6" t="s">
        <v>104</v>
      </c>
      <c r="AW1649" s="6" t="s">
        <v>104</v>
      </c>
      <c r="AX1649" s="6" t="s">
        <v>21402</v>
      </c>
      <c r="AY1649" s="6" t="s">
        <v>23205</v>
      </c>
      <c r="AZ1649" s="6" t="s">
        <v>104</v>
      </c>
      <c r="BA1649" s="6" t="s">
        <v>24468</v>
      </c>
      <c r="BB1649" s="6" t="s">
        <v>104</v>
      </c>
      <c r="BC1649" s="26"/>
      <c r="BD1649" s="26"/>
      <c r="BE1649" s="26"/>
      <c r="BF1649" s="26"/>
      <c r="BG1649" s="26"/>
      <c r="BH1649" s="26"/>
      <c r="BI1649" s="26"/>
      <c r="BJ1649" s="26"/>
      <c r="BK1649" s="26"/>
      <c r="BL1649" s="26"/>
      <c r="BM1649" s="26"/>
      <c r="BN1649" s="26"/>
      <c r="BO1649" s="26"/>
      <c r="BP1649" s="16" t="n">
        <v>45614</v>
      </c>
      <c r="BQ1649" s="28" t="str">
        <f>HYPERLINK("https://organic.ams.usda.gov/Integrity/Certificate.aspx?cid=17&amp;nopid=4087184484")</f>
        <v>https://organic.ams.usda.gov/Integrity/Certificate.aspx?cid=17&amp;nopid=4087184484</v>
      </c>
    </row>
    <row r="1650">
      <c r="A1650" t="s">
        <v>3</v>
      </c>
      <c r="B1650" s="6" t="s">
        <v>20</v>
      </c>
      <c r="C1650" s="6" t="s">
        <v>86</v>
      </c>
      <c r="D1650" s="6" t="s">
        <v>151</v>
      </c>
      <c r="E1650" s="10" t="s">
        <v>1848</v>
      </c>
      <c r="F1650" s="6" t="s">
        <v>4077</v>
      </c>
      <c r="G1650" s="6" t="s">
        <v>104</v>
      </c>
      <c r="H1650" s="6" t="s">
        <v>6386</v>
      </c>
      <c r="I1650" s="6" t="s">
        <v>7866</v>
      </c>
      <c r="J1650" s="6" t="s">
        <v>7290</v>
      </c>
      <c r="K1650" s="6" t="s">
        <v>9714</v>
      </c>
      <c r="L1650" s="16" t="n">
        <v>45610</v>
      </c>
      <c r="M1650" s="16" t="n">
        <v>45930</v>
      </c>
      <c r="N1650" s="6" t="s">
        <v>104</v>
      </c>
      <c r="O1650" s="21" t="s">
        <v>104</v>
      </c>
      <c r="P1650" s="6" t="s">
        <v>104</v>
      </c>
      <c r="Q1650" s="6" t="s">
        <v>104</v>
      </c>
      <c r="R1650" s="6" t="s">
        <v>104</v>
      </c>
      <c r="S1650" s="6" t="s">
        <v>104</v>
      </c>
      <c r="T1650" s="21" t="s">
        <v>104</v>
      </c>
      <c r="U1650" s="6" t="s">
        <v>104</v>
      </c>
      <c r="V1650" s="6" t="s">
        <v>104</v>
      </c>
      <c r="W1650" s="6" t="s">
        <v>104</v>
      </c>
      <c r="X1650" s="6" t="s">
        <v>104</v>
      </c>
      <c r="Y1650" s="21" t="s">
        <v>104</v>
      </c>
      <c r="Z1650" s="6" t="s">
        <v>104</v>
      </c>
      <c r="AA1650" s="6" t="s">
        <v>104</v>
      </c>
      <c r="AB1650" s="6" t="s">
        <v>104</v>
      </c>
      <c r="AC1650" s="6" t="s">
        <v>9714</v>
      </c>
      <c r="AD1650" s="16" t="n">
        <v>45610</v>
      </c>
      <c r="AE1650" s="6" t="s">
        <v>11959</v>
      </c>
      <c r="AF1650" s="6" t="s">
        <v>104</v>
      </c>
      <c r="AG1650" s="6" t="s">
        <v>12995</v>
      </c>
      <c r="AH1650" s="6" t="s">
        <v>14667</v>
      </c>
      <c r="AI1650" s="6" t="s">
        <v>104</v>
      </c>
      <c r="AJ1650" s="6" t="s">
        <v>15843</v>
      </c>
      <c r="AK1650" s="6" t="s">
        <v>16789</v>
      </c>
      <c r="AL1650" s="6" t="s">
        <v>16766</v>
      </c>
      <c r="AM1650" s="6" t="s">
        <v>18089</v>
      </c>
      <c r="AN1650" s="6" t="s">
        <v>104</v>
      </c>
      <c r="AO1650" s="6" t="s">
        <v>104</v>
      </c>
      <c r="AP1650" s="6" t="s">
        <v>104</v>
      </c>
      <c r="AQ1650" s="6" t="s">
        <v>104</v>
      </c>
      <c r="AR1650" s="6" t="s">
        <v>104</v>
      </c>
      <c r="AS1650" s="6" t="s">
        <v>104</v>
      </c>
      <c r="AT1650" s="6" t="s">
        <v>104</v>
      </c>
      <c r="AU1650" s="6" t="s">
        <v>104</v>
      </c>
      <c r="AV1650" s="6" t="s">
        <v>104</v>
      </c>
      <c r="AW1650" s="6" t="s">
        <v>104</v>
      </c>
      <c r="AX1650" s="6" t="s">
        <v>21403</v>
      </c>
      <c r="AY1650" s="6" t="s">
        <v>23206</v>
      </c>
      <c r="AZ1650" s="6" t="s">
        <v>104</v>
      </c>
      <c r="BA1650" s="6" t="s">
        <v>24469</v>
      </c>
      <c r="BB1650" s="6" t="s">
        <v>104</v>
      </c>
      <c r="BC1650" s="26"/>
      <c r="BD1650" s="26"/>
      <c r="BE1650" s="26"/>
      <c r="BF1650" s="26"/>
      <c r="BG1650" s="26"/>
      <c r="BH1650" s="26"/>
      <c r="BI1650" s="26"/>
      <c r="BJ1650" s="26"/>
      <c r="BK1650" s="26"/>
      <c r="BL1650" s="26"/>
      <c r="BM1650" s="26"/>
      <c r="BN1650" s="26"/>
      <c r="BO1650" s="26"/>
      <c r="BP1650" s="16" t="n">
        <v>45618</v>
      </c>
      <c r="BQ1650" s="28" t="str">
        <f>HYPERLINK("https://organic.ams.usda.gov/Integrity/Certificate.aspx?cid=17&amp;nopid=4080208288")</f>
        <v>https://organic.ams.usda.gov/Integrity/Certificate.aspx?cid=17&amp;nopid=4080208288</v>
      </c>
    </row>
    <row r="1651">
      <c r="A1651" t="s">
        <v>3</v>
      </c>
      <c r="B1651" s="6" t="s">
        <v>20</v>
      </c>
      <c r="C1651" s="6" t="s">
        <v>86</v>
      </c>
      <c r="D1651" s="6" t="s">
        <v>151</v>
      </c>
      <c r="E1651" s="10" t="s">
        <v>1849</v>
      </c>
      <c r="F1651" s="6" t="s">
        <v>4078</v>
      </c>
      <c r="G1651" s="6" t="s">
        <v>104</v>
      </c>
      <c r="H1651" s="6" t="s">
        <v>6387</v>
      </c>
      <c r="I1651" s="6" t="s">
        <v>7867</v>
      </c>
      <c r="J1651" s="6" t="s">
        <v>7206</v>
      </c>
      <c r="K1651" s="6" t="s">
        <v>9714</v>
      </c>
      <c r="L1651" s="16" t="n">
        <v>45537</v>
      </c>
      <c r="M1651" s="16" t="n">
        <v>45900</v>
      </c>
      <c r="N1651" s="6" t="s">
        <v>104</v>
      </c>
      <c r="O1651" s="21" t="s">
        <v>104</v>
      </c>
      <c r="P1651" s="6" t="s">
        <v>104</v>
      </c>
      <c r="Q1651" s="6" t="s">
        <v>104</v>
      </c>
      <c r="R1651" s="6" t="s">
        <v>104</v>
      </c>
      <c r="S1651" s="6" t="s">
        <v>104</v>
      </c>
      <c r="T1651" s="21" t="s">
        <v>104</v>
      </c>
      <c r="U1651" s="6" t="s">
        <v>104</v>
      </c>
      <c r="V1651" s="6" t="s">
        <v>104</v>
      </c>
      <c r="W1651" s="6" t="s">
        <v>104</v>
      </c>
      <c r="X1651" s="6" t="s">
        <v>104</v>
      </c>
      <c r="Y1651" s="21" t="s">
        <v>104</v>
      </c>
      <c r="Z1651" s="6" t="s">
        <v>104</v>
      </c>
      <c r="AA1651" s="6" t="s">
        <v>104</v>
      </c>
      <c r="AB1651" s="6" t="s">
        <v>104</v>
      </c>
      <c r="AC1651" s="6" t="s">
        <v>9714</v>
      </c>
      <c r="AD1651" s="16" t="n">
        <v>45537</v>
      </c>
      <c r="AE1651" s="6" t="s">
        <v>11960</v>
      </c>
      <c r="AF1651" s="6" t="s">
        <v>104</v>
      </c>
      <c r="AG1651" s="6" t="s">
        <v>12996</v>
      </c>
      <c r="AH1651" s="6" t="s">
        <v>14668</v>
      </c>
      <c r="AI1651" s="6" t="s">
        <v>104</v>
      </c>
      <c r="AJ1651" s="6" t="s">
        <v>15843</v>
      </c>
      <c r="AK1651" s="6" t="s">
        <v>16789</v>
      </c>
      <c r="AL1651" s="6" t="s">
        <v>16766</v>
      </c>
      <c r="AM1651" s="6" t="s">
        <v>18090</v>
      </c>
      <c r="AN1651" s="6" t="s">
        <v>104</v>
      </c>
      <c r="AO1651" s="6" t="s">
        <v>104</v>
      </c>
      <c r="AP1651" s="6" t="s">
        <v>104</v>
      </c>
      <c r="AQ1651" s="6" t="s">
        <v>104</v>
      </c>
      <c r="AR1651" s="6" t="s">
        <v>104</v>
      </c>
      <c r="AS1651" s="6" t="s">
        <v>104</v>
      </c>
      <c r="AT1651" s="6" t="s">
        <v>104</v>
      </c>
      <c r="AU1651" s="6" t="s">
        <v>104</v>
      </c>
      <c r="AV1651" s="6" t="s">
        <v>104</v>
      </c>
      <c r="AW1651" s="6" t="s">
        <v>104</v>
      </c>
      <c r="AX1651" s="6" t="s">
        <v>21404</v>
      </c>
      <c r="AY1651" s="6" t="s">
        <v>23207</v>
      </c>
      <c r="AZ1651" s="6" t="s">
        <v>24109</v>
      </c>
      <c r="BA1651" s="6" t="s">
        <v>24470</v>
      </c>
      <c r="BB1651" s="6" t="s">
        <v>104</v>
      </c>
      <c r="BC1651" s="26"/>
      <c r="BD1651" s="26"/>
      <c r="BE1651" s="26"/>
      <c r="BF1651" s="26"/>
      <c r="BG1651" s="26"/>
      <c r="BH1651" s="26"/>
      <c r="BI1651" s="26"/>
      <c r="BJ1651" s="26"/>
      <c r="BK1651" s="26"/>
      <c r="BL1651" s="26"/>
      <c r="BM1651" s="26"/>
      <c r="BN1651" s="26"/>
      <c r="BO1651" s="26"/>
      <c r="BP1651" s="16" t="n">
        <v>45596</v>
      </c>
      <c r="BQ1651" s="28" t="str">
        <f>HYPERLINK("https://organic.ams.usda.gov/Integrity/Certificate.aspx?cid=17&amp;nopid=4080208245")</f>
        <v>https://organic.ams.usda.gov/Integrity/Certificate.aspx?cid=17&amp;nopid=4080208245</v>
      </c>
    </row>
    <row r="1652">
      <c r="A1652" t="s">
        <v>3</v>
      </c>
      <c r="B1652" s="6" t="s">
        <v>20</v>
      </c>
      <c r="C1652" s="6" t="s">
        <v>86</v>
      </c>
      <c r="D1652" s="6" t="s">
        <v>151</v>
      </c>
      <c r="E1652" s="10" t="s">
        <v>1850</v>
      </c>
      <c r="F1652" s="6" t="s">
        <v>4079</v>
      </c>
      <c r="G1652" s="6" t="s">
        <v>104</v>
      </c>
      <c r="H1652" s="6" t="s">
        <v>6388</v>
      </c>
      <c r="I1652" s="6" t="s">
        <v>7868</v>
      </c>
      <c r="J1652" s="6" t="s">
        <v>7206</v>
      </c>
      <c r="K1652" s="6" t="s">
        <v>9714</v>
      </c>
      <c r="L1652" s="16" t="n">
        <v>41375</v>
      </c>
      <c r="M1652" s="16" t="n">
        <v>45930</v>
      </c>
      <c r="N1652" s="6" t="s">
        <v>104</v>
      </c>
      <c r="O1652" s="21" t="s">
        <v>104</v>
      </c>
      <c r="P1652" s="6" t="s">
        <v>104</v>
      </c>
      <c r="Q1652" s="6" t="s">
        <v>104</v>
      </c>
      <c r="R1652" s="6" t="s">
        <v>104</v>
      </c>
      <c r="S1652" s="6" t="s">
        <v>104</v>
      </c>
      <c r="T1652" s="21" t="s">
        <v>104</v>
      </c>
      <c r="U1652" s="6" t="s">
        <v>104</v>
      </c>
      <c r="V1652" s="6" t="s">
        <v>104</v>
      </c>
      <c r="W1652" s="6" t="s">
        <v>104</v>
      </c>
      <c r="X1652" s="6" t="s">
        <v>104</v>
      </c>
      <c r="Y1652" s="21" t="s">
        <v>104</v>
      </c>
      <c r="Z1652" s="6" t="s">
        <v>104</v>
      </c>
      <c r="AA1652" s="6" t="s">
        <v>104</v>
      </c>
      <c r="AB1652" s="6" t="s">
        <v>104</v>
      </c>
      <c r="AC1652" s="6" t="s">
        <v>9714</v>
      </c>
      <c r="AD1652" s="16" t="n">
        <v>41375</v>
      </c>
      <c r="AE1652" s="6" t="s">
        <v>11961</v>
      </c>
      <c r="AF1652" s="6" t="s">
        <v>104</v>
      </c>
      <c r="AG1652" s="6" t="s">
        <v>12997</v>
      </c>
      <c r="AH1652" s="6" t="s">
        <v>14669</v>
      </c>
      <c r="AI1652" s="6" t="s">
        <v>104</v>
      </c>
      <c r="AJ1652" s="6" t="s">
        <v>15843</v>
      </c>
      <c r="AK1652" s="6" t="s">
        <v>16789</v>
      </c>
      <c r="AL1652" s="6" t="s">
        <v>16766</v>
      </c>
      <c r="AM1652" s="6" t="s">
        <v>18091</v>
      </c>
      <c r="AN1652" s="6" t="s">
        <v>104</v>
      </c>
      <c r="AO1652" s="6" t="s">
        <v>104</v>
      </c>
      <c r="AP1652" s="6" t="s">
        <v>104</v>
      </c>
      <c r="AQ1652" s="6" t="s">
        <v>104</v>
      </c>
      <c r="AR1652" s="6" t="s">
        <v>104</v>
      </c>
      <c r="AS1652" s="6" t="s">
        <v>104</v>
      </c>
      <c r="AT1652" s="6" t="s">
        <v>104</v>
      </c>
      <c r="AU1652" s="6" t="s">
        <v>104</v>
      </c>
      <c r="AV1652" s="6" t="s">
        <v>104</v>
      </c>
      <c r="AW1652" s="6" t="s">
        <v>104</v>
      </c>
      <c r="AX1652" s="6" t="s">
        <v>21405</v>
      </c>
      <c r="AY1652" s="6" t="s">
        <v>23208</v>
      </c>
      <c r="AZ1652" s="6" t="s">
        <v>104</v>
      </c>
      <c r="BA1652" s="6" t="s">
        <v>24471</v>
      </c>
      <c r="BB1652" s="6" t="s">
        <v>104</v>
      </c>
      <c r="BC1652" s="26"/>
      <c r="BD1652" s="26"/>
      <c r="BE1652" s="26"/>
      <c r="BF1652" s="26"/>
      <c r="BG1652" s="26"/>
      <c r="BH1652" s="26"/>
      <c r="BI1652" s="26"/>
      <c r="BJ1652" s="26"/>
      <c r="BK1652" s="26"/>
      <c r="BL1652" s="26"/>
      <c r="BM1652" s="26"/>
      <c r="BN1652" s="26"/>
      <c r="BO1652" s="26"/>
      <c r="BP1652" s="16" t="n">
        <v>45721</v>
      </c>
      <c r="BQ1652" s="28" t="str">
        <f>HYPERLINK("https://organic.ams.usda.gov/Integrity/Certificate.aspx?cid=17&amp;nopid=4080800289")</f>
        <v>https://organic.ams.usda.gov/Integrity/Certificate.aspx?cid=17&amp;nopid=4080800289</v>
      </c>
    </row>
    <row r="1653">
      <c r="A1653" t="s">
        <v>3</v>
      </c>
      <c r="B1653" s="6" t="s">
        <v>20</v>
      </c>
      <c r="C1653" s="6" t="s">
        <v>86</v>
      </c>
      <c r="D1653" s="6" t="s">
        <v>151</v>
      </c>
      <c r="E1653" s="10" t="s">
        <v>1851</v>
      </c>
      <c r="F1653" s="6" t="s">
        <v>4080</v>
      </c>
      <c r="G1653" s="6" t="s">
        <v>104</v>
      </c>
      <c r="H1653" s="6" t="s">
        <v>6389</v>
      </c>
      <c r="I1653" s="6" t="s">
        <v>7869</v>
      </c>
      <c r="J1653" s="6" t="s">
        <v>7278</v>
      </c>
      <c r="K1653" s="6" t="s">
        <v>9714</v>
      </c>
      <c r="L1653" s="16" t="n">
        <v>43003</v>
      </c>
      <c r="M1653" s="16" t="n">
        <v>45716</v>
      </c>
      <c r="N1653" s="6" t="s">
        <v>104</v>
      </c>
      <c r="O1653" s="21" t="s">
        <v>104</v>
      </c>
      <c r="P1653" s="6" t="s">
        <v>104</v>
      </c>
      <c r="Q1653" s="6" t="s">
        <v>104</v>
      </c>
      <c r="R1653" s="6" t="s">
        <v>104</v>
      </c>
      <c r="S1653" s="6" t="s">
        <v>104</v>
      </c>
      <c r="T1653" s="21" t="s">
        <v>104</v>
      </c>
      <c r="U1653" s="6" t="s">
        <v>104</v>
      </c>
      <c r="V1653" s="6" t="s">
        <v>104</v>
      </c>
      <c r="W1653" s="6" t="s">
        <v>104</v>
      </c>
      <c r="X1653" s="6" t="s">
        <v>104</v>
      </c>
      <c r="Y1653" s="21" t="s">
        <v>104</v>
      </c>
      <c r="Z1653" s="6" t="s">
        <v>104</v>
      </c>
      <c r="AA1653" s="6" t="s">
        <v>104</v>
      </c>
      <c r="AB1653" s="6" t="s">
        <v>104</v>
      </c>
      <c r="AC1653" s="6" t="s">
        <v>9714</v>
      </c>
      <c r="AD1653" s="16" t="n">
        <v>43003</v>
      </c>
      <c r="AE1653" s="6" t="s">
        <v>11962</v>
      </c>
      <c r="AF1653" s="6" t="s">
        <v>104</v>
      </c>
      <c r="AG1653" s="6" t="s">
        <v>12998</v>
      </c>
      <c r="AH1653" s="6" t="s">
        <v>14670</v>
      </c>
      <c r="AI1653" s="6" t="s">
        <v>104</v>
      </c>
      <c r="AJ1653" s="6" t="s">
        <v>16391</v>
      </c>
      <c r="AK1653" s="6" t="s">
        <v>16789</v>
      </c>
      <c r="AL1653" s="6" t="s">
        <v>16766</v>
      </c>
      <c r="AM1653" s="6" t="s">
        <v>18092</v>
      </c>
      <c r="AN1653" s="6" t="s">
        <v>104</v>
      </c>
      <c r="AO1653" s="6" t="s">
        <v>104</v>
      </c>
      <c r="AP1653" s="6" t="s">
        <v>104</v>
      </c>
      <c r="AQ1653" s="6" t="s">
        <v>104</v>
      </c>
      <c r="AR1653" s="6" t="s">
        <v>104</v>
      </c>
      <c r="AS1653" s="6" t="s">
        <v>104</v>
      </c>
      <c r="AT1653" s="6" t="s">
        <v>104</v>
      </c>
      <c r="AU1653" s="6" t="s">
        <v>104</v>
      </c>
      <c r="AV1653" s="6" t="s">
        <v>104</v>
      </c>
      <c r="AW1653" s="6" t="s">
        <v>104</v>
      </c>
      <c r="AX1653" s="6" t="s">
        <v>21406</v>
      </c>
      <c r="AY1653" s="6" t="s">
        <v>23208</v>
      </c>
      <c r="AZ1653" s="6" t="s">
        <v>104</v>
      </c>
      <c r="BA1653" s="6" t="s">
        <v>104</v>
      </c>
      <c r="BB1653" s="6" t="s">
        <v>104</v>
      </c>
      <c r="BC1653" s="26"/>
      <c r="BD1653" s="26"/>
      <c r="BE1653" s="26"/>
      <c r="BF1653" s="26"/>
      <c r="BG1653" s="26"/>
      <c r="BH1653" s="26"/>
      <c r="BI1653" s="26"/>
      <c r="BJ1653" s="26"/>
      <c r="BK1653" s="26"/>
      <c r="BL1653" s="26"/>
      <c r="BM1653" s="26"/>
      <c r="BN1653" s="26"/>
      <c r="BO1653" s="26"/>
      <c r="BP1653" s="16" t="n">
        <v>45439</v>
      </c>
      <c r="BQ1653" s="28" t="str">
        <f>HYPERLINK("https://organic.ams.usda.gov/Integrity/Certificate.aspx?cid=17&amp;nopid=4087184879")</f>
        <v>https://organic.ams.usda.gov/Integrity/Certificate.aspx?cid=17&amp;nopid=4087184879</v>
      </c>
    </row>
    <row r="1654">
      <c r="A1654" t="s">
        <v>3</v>
      </c>
      <c r="B1654" s="6" t="s">
        <v>24</v>
      </c>
      <c r="C1654" s="6" t="s">
        <v>90</v>
      </c>
      <c r="D1654" s="6" t="s">
        <v>155</v>
      </c>
      <c r="E1654" s="10" t="s">
        <v>1852</v>
      </c>
      <c r="F1654" s="6" t="s">
        <v>4081</v>
      </c>
      <c r="G1654" s="6" t="s">
        <v>104</v>
      </c>
      <c r="H1654" s="6" t="s">
        <v>6390</v>
      </c>
      <c r="I1654" s="6" t="s">
        <v>7870</v>
      </c>
      <c r="J1654" s="6" t="s">
        <v>7281</v>
      </c>
      <c r="K1654" s="6" t="s">
        <v>9714</v>
      </c>
      <c r="L1654" s="16" t="n">
        <v>45621</v>
      </c>
      <c r="M1654" s="16" t="n">
        <v>45868</v>
      </c>
      <c r="N1654" s="6" t="s">
        <v>104</v>
      </c>
      <c r="O1654" s="21" t="s">
        <v>104</v>
      </c>
      <c r="P1654" s="6" t="s">
        <v>104</v>
      </c>
      <c r="Q1654" s="6" t="s">
        <v>104</v>
      </c>
      <c r="R1654" s="6" t="s">
        <v>104</v>
      </c>
      <c r="S1654" s="6" t="s">
        <v>104</v>
      </c>
      <c r="T1654" s="21" t="s">
        <v>104</v>
      </c>
      <c r="U1654" s="6" t="s">
        <v>104</v>
      </c>
      <c r="V1654" s="6" t="s">
        <v>104</v>
      </c>
      <c r="W1654" s="6" t="s">
        <v>104</v>
      </c>
      <c r="X1654" s="6" t="s">
        <v>104</v>
      </c>
      <c r="Y1654" s="21" t="s">
        <v>104</v>
      </c>
      <c r="Z1654" s="6" t="s">
        <v>104</v>
      </c>
      <c r="AA1654" s="6" t="s">
        <v>104</v>
      </c>
      <c r="AB1654" s="6" t="s">
        <v>104</v>
      </c>
      <c r="AC1654" s="6" t="s">
        <v>9714</v>
      </c>
      <c r="AD1654" s="16" t="n">
        <v>45621</v>
      </c>
      <c r="AE1654" s="6" t="s">
        <v>11963</v>
      </c>
      <c r="AF1654" s="6" t="s">
        <v>104</v>
      </c>
      <c r="AG1654" s="6" t="s">
        <v>6390</v>
      </c>
      <c r="AH1654" s="6" t="s">
        <v>14671</v>
      </c>
      <c r="AI1654" s="6" t="s">
        <v>104</v>
      </c>
      <c r="AJ1654" s="6" t="s">
        <v>16392</v>
      </c>
      <c r="AK1654" s="6" t="s">
        <v>16781</v>
      </c>
      <c r="AL1654" s="6" t="s">
        <v>16766</v>
      </c>
      <c r="AM1654" s="6" t="s">
        <v>18093</v>
      </c>
      <c r="AN1654" s="6" t="s">
        <v>104</v>
      </c>
      <c r="AO1654" s="6" t="s">
        <v>104</v>
      </c>
      <c r="AP1654" s="6" t="s">
        <v>19393</v>
      </c>
      <c r="AQ1654" s="6" t="s">
        <v>104</v>
      </c>
      <c r="AR1654" s="6" t="s">
        <v>16392</v>
      </c>
      <c r="AS1654" s="6" t="s">
        <v>16781</v>
      </c>
      <c r="AT1654" s="6" t="s">
        <v>16766</v>
      </c>
      <c r="AU1654" s="6" t="s">
        <v>18093</v>
      </c>
      <c r="AV1654" s="6" t="s">
        <v>104</v>
      </c>
      <c r="AW1654" s="6" t="s">
        <v>104</v>
      </c>
      <c r="AX1654" s="6" t="s">
        <v>20910</v>
      </c>
      <c r="AY1654" s="6" t="s">
        <v>23209</v>
      </c>
      <c r="AZ1654" s="6" t="s">
        <v>104</v>
      </c>
      <c r="BA1654" s="6" t="s">
        <v>24306</v>
      </c>
      <c r="BB1654" s="6" t="s">
        <v>104</v>
      </c>
      <c r="BC1654" s="26"/>
      <c r="BD1654" s="26"/>
      <c r="BE1654" s="26"/>
      <c r="BF1654" s="26"/>
      <c r="BG1654" s="26"/>
      <c r="BH1654" s="26"/>
      <c r="BI1654" s="26"/>
      <c r="BJ1654" s="26"/>
      <c r="BK1654" s="26"/>
      <c r="BL1654" s="26"/>
      <c r="BM1654" s="26"/>
      <c r="BN1654" s="26"/>
      <c r="BO1654" s="26"/>
      <c r="BP1654" s="16" t="n">
        <v>45621</v>
      </c>
      <c r="BQ1654" s="28" t="str">
        <f>HYPERLINK("https://organic.ams.usda.gov/Integrity/Certificate.aspx?cid=7&amp;nopid=3950001286")</f>
        <v>https://organic.ams.usda.gov/Integrity/Certificate.aspx?cid=7&amp;nopid=3950001286</v>
      </c>
    </row>
    <row r="1655">
      <c r="A1655" t="s">
        <v>3</v>
      </c>
      <c r="B1655" s="6" t="s">
        <v>32</v>
      </c>
      <c r="C1655" s="6" t="s">
        <v>98</v>
      </c>
      <c r="D1655" s="6" t="s">
        <v>163</v>
      </c>
      <c r="E1655" s="10" t="s">
        <v>1853</v>
      </c>
      <c r="F1655" s="6" t="s">
        <v>4082</v>
      </c>
      <c r="G1655" s="6" t="s">
        <v>104</v>
      </c>
      <c r="H1655" s="6" t="s">
        <v>6391</v>
      </c>
      <c r="I1655" s="6" t="s">
        <v>7695</v>
      </c>
      <c r="J1655" s="6" t="s">
        <v>8355</v>
      </c>
      <c r="K1655" s="6" t="s">
        <v>9714</v>
      </c>
      <c r="L1655" s="16" t="n">
        <v>45349</v>
      </c>
      <c r="M1655" s="16" t="n">
        <v>45870</v>
      </c>
      <c r="N1655" s="6" t="s">
        <v>104</v>
      </c>
      <c r="O1655" s="21" t="s">
        <v>104</v>
      </c>
      <c r="P1655" s="6" t="s">
        <v>104</v>
      </c>
      <c r="Q1655" s="6" t="s">
        <v>104</v>
      </c>
      <c r="R1655" s="6" t="s">
        <v>104</v>
      </c>
      <c r="S1655" s="6" t="s">
        <v>104</v>
      </c>
      <c r="T1655" s="21" t="s">
        <v>104</v>
      </c>
      <c r="U1655" s="6" t="s">
        <v>104</v>
      </c>
      <c r="V1655" s="6" t="s">
        <v>104</v>
      </c>
      <c r="W1655" s="6" t="s">
        <v>104</v>
      </c>
      <c r="X1655" s="6" t="s">
        <v>104</v>
      </c>
      <c r="Y1655" s="21" t="s">
        <v>104</v>
      </c>
      <c r="Z1655" s="6" t="s">
        <v>104</v>
      </c>
      <c r="AA1655" s="6" t="s">
        <v>104</v>
      </c>
      <c r="AB1655" s="6" t="s">
        <v>104</v>
      </c>
      <c r="AC1655" s="6" t="s">
        <v>9714</v>
      </c>
      <c r="AD1655" s="16" t="n">
        <v>45349</v>
      </c>
      <c r="AE1655" s="6" t="s">
        <v>11964</v>
      </c>
      <c r="AF1655" s="6" t="s">
        <v>104</v>
      </c>
      <c r="AG1655" s="6" t="s">
        <v>104</v>
      </c>
      <c r="AH1655" s="6" t="s">
        <v>14672</v>
      </c>
      <c r="AI1655" s="6" t="s">
        <v>104</v>
      </c>
      <c r="AJ1655" s="6" t="s">
        <v>16393</v>
      </c>
      <c r="AK1655" s="6" t="s">
        <v>16730</v>
      </c>
      <c r="AL1655" s="6" t="s">
        <v>16931</v>
      </c>
      <c r="AM1655" s="6" t="s">
        <v>18094</v>
      </c>
      <c r="AN1655" s="6" t="s">
        <v>104</v>
      </c>
      <c r="AO1655" s="6" t="s">
        <v>104</v>
      </c>
      <c r="AP1655" s="6" t="s">
        <v>104</v>
      </c>
      <c r="AQ1655" s="6" t="s">
        <v>104</v>
      </c>
      <c r="AR1655" s="6" t="s">
        <v>104</v>
      </c>
      <c r="AS1655" s="6" t="s">
        <v>104</v>
      </c>
      <c r="AT1655" s="6" t="s">
        <v>104</v>
      </c>
      <c r="AU1655" s="6" t="s">
        <v>104</v>
      </c>
      <c r="AV1655" s="6" t="s">
        <v>104</v>
      </c>
      <c r="AW1655" s="6" t="s">
        <v>104</v>
      </c>
      <c r="AX1655" s="6" t="s">
        <v>21407</v>
      </c>
      <c r="AY1655" s="6" t="s">
        <v>23210</v>
      </c>
      <c r="AZ1655" s="6" t="s">
        <v>104</v>
      </c>
      <c r="BA1655" s="6" t="s">
        <v>104</v>
      </c>
      <c r="BB1655" s="6" t="s">
        <v>104</v>
      </c>
      <c r="BC1655" s="26"/>
      <c r="BD1655" s="26"/>
      <c r="BE1655" s="26"/>
      <c r="BF1655" s="26"/>
      <c r="BG1655" s="26"/>
      <c r="BH1655" s="26"/>
      <c r="BI1655" s="26"/>
      <c r="BJ1655" s="26"/>
      <c r="BK1655" s="26"/>
      <c r="BL1655" s="26"/>
      <c r="BM1655" s="26"/>
      <c r="BN1655" s="26"/>
      <c r="BO1655" s="26"/>
      <c r="BP1655" s="16" t="n">
        <v>45660</v>
      </c>
      <c r="BQ1655" s="28" t="str">
        <f>HYPERLINK("https://organic.ams.usda.gov/Integrity/Certificate.aspx?cid=64&amp;nopid=8830001735")</f>
        <v>https://organic.ams.usda.gov/Integrity/Certificate.aspx?cid=64&amp;nopid=8830001735</v>
      </c>
    </row>
    <row r="1656">
      <c r="A1656" t="s">
        <v>3</v>
      </c>
      <c r="B1656" s="6" t="s">
        <v>13</v>
      </c>
      <c r="C1656" s="6" t="s">
        <v>79</v>
      </c>
      <c r="D1656" s="6" t="s">
        <v>144</v>
      </c>
      <c r="E1656" s="10" t="s">
        <v>1854</v>
      </c>
      <c r="F1656" s="6" t="s">
        <v>4083</v>
      </c>
      <c r="G1656" s="6" t="s">
        <v>104</v>
      </c>
      <c r="H1656" s="6" t="s">
        <v>6392</v>
      </c>
      <c r="I1656" s="6" t="s">
        <v>7170</v>
      </c>
      <c r="J1656" s="6" t="s">
        <v>9329</v>
      </c>
      <c r="K1656" s="6" t="s">
        <v>9714</v>
      </c>
      <c r="L1656" s="16" t="n">
        <v>40914</v>
      </c>
      <c r="M1656" s="16" t="n">
        <v>46023</v>
      </c>
      <c r="N1656" s="6" t="s">
        <v>104</v>
      </c>
      <c r="O1656" s="21" t="s">
        <v>104</v>
      </c>
      <c r="P1656" s="6" t="s">
        <v>104</v>
      </c>
      <c r="Q1656" s="6" t="s">
        <v>104</v>
      </c>
      <c r="R1656" s="6" t="s">
        <v>104</v>
      </c>
      <c r="S1656" s="6" t="s">
        <v>104</v>
      </c>
      <c r="T1656" s="21" t="s">
        <v>104</v>
      </c>
      <c r="U1656" s="6" t="s">
        <v>104</v>
      </c>
      <c r="V1656" s="6" t="s">
        <v>104</v>
      </c>
      <c r="W1656" s="6" t="s">
        <v>104</v>
      </c>
      <c r="X1656" s="6" t="s">
        <v>104</v>
      </c>
      <c r="Y1656" s="21" t="s">
        <v>104</v>
      </c>
      <c r="Z1656" s="6" t="s">
        <v>104</v>
      </c>
      <c r="AA1656" s="6" t="s">
        <v>104</v>
      </c>
      <c r="AB1656" s="6" t="s">
        <v>104</v>
      </c>
      <c r="AC1656" s="6" t="s">
        <v>9714</v>
      </c>
      <c r="AD1656" s="16" t="n">
        <v>40914</v>
      </c>
      <c r="AE1656" s="6" t="s">
        <v>11965</v>
      </c>
      <c r="AF1656" s="6" t="s">
        <v>104</v>
      </c>
      <c r="AG1656" s="6" t="s">
        <v>104</v>
      </c>
      <c r="AH1656" s="6" t="s">
        <v>104</v>
      </c>
      <c r="AI1656" s="6" t="s">
        <v>104</v>
      </c>
      <c r="AJ1656" s="6" t="s">
        <v>104</v>
      </c>
      <c r="AK1656" s="6" t="s">
        <v>104</v>
      </c>
      <c r="AL1656" s="6" t="s">
        <v>104</v>
      </c>
      <c r="AM1656" s="6" t="s">
        <v>104</v>
      </c>
      <c r="AN1656" s="6" t="s">
        <v>104</v>
      </c>
      <c r="AO1656" s="6" t="s">
        <v>104</v>
      </c>
      <c r="AP1656" s="6" t="s">
        <v>19394</v>
      </c>
      <c r="AQ1656" s="6" t="s">
        <v>19574</v>
      </c>
      <c r="AR1656" s="6" t="s">
        <v>19744</v>
      </c>
      <c r="AS1656" s="6" t="s">
        <v>16704</v>
      </c>
      <c r="AT1656" s="6" t="s">
        <v>16931</v>
      </c>
      <c r="AU1656" s="6" t="s">
        <v>20012</v>
      </c>
      <c r="AV1656" s="6" t="s">
        <v>18484</v>
      </c>
      <c r="AW1656" s="6" t="s">
        <v>20105</v>
      </c>
      <c r="AX1656" s="6" t="s">
        <v>21408</v>
      </c>
      <c r="AY1656" s="6" t="s">
        <v>23211</v>
      </c>
      <c r="AZ1656" s="6" t="s">
        <v>24110</v>
      </c>
      <c r="BA1656" s="6" t="s">
        <v>104</v>
      </c>
      <c r="BB1656" s="6" t="s">
        <v>104</v>
      </c>
      <c r="BC1656" s="26" t="s">
        <v>24533</v>
      </c>
      <c r="BD1656" s="26"/>
      <c r="BE1656" s="26"/>
      <c r="BF1656" s="26"/>
      <c r="BG1656" s="26"/>
      <c r="BH1656" s="26"/>
      <c r="BI1656" s="26"/>
      <c r="BJ1656" s="26"/>
      <c r="BK1656" s="26"/>
      <c r="BL1656" s="26"/>
      <c r="BM1656" s="26"/>
      <c r="BN1656" s="26"/>
      <c r="BO1656" s="26"/>
      <c r="BP1656" s="16" t="n">
        <v>45688</v>
      </c>
      <c r="BQ1656" s="28" t="str">
        <f>HYPERLINK("https://organic.ams.usda.gov/Integrity/Certificate.aspx?cid=62&amp;nopid=8150000796")</f>
        <v>https://organic.ams.usda.gov/Integrity/Certificate.aspx?cid=62&amp;nopid=8150000796</v>
      </c>
    </row>
    <row r="1657">
      <c r="A1657" t="s">
        <v>3</v>
      </c>
      <c r="B1657" s="6" t="s">
        <v>43</v>
      </c>
      <c r="C1657" s="6" t="s">
        <v>109</v>
      </c>
      <c r="D1657" s="6" t="s">
        <v>173</v>
      </c>
      <c r="E1657" s="10" t="s">
        <v>1855</v>
      </c>
      <c r="F1657" s="6" t="s">
        <v>4084</v>
      </c>
      <c r="G1657" s="6" t="s">
        <v>104</v>
      </c>
      <c r="H1657" s="6" t="s">
        <v>6393</v>
      </c>
      <c r="I1657" s="6" t="s">
        <v>7871</v>
      </c>
      <c r="J1657" s="6" t="s">
        <v>9330</v>
      </c>
      <c r="K1657" s="6" t="s">
        <v>9714</v>
      </c>
      <c r="L1657" s="16" t="n">
        <v>45496</v>
      </c>
      <c r="M1657" s="16" t="n">
        <v>45808</v>
      </c>
      <c r="N1657" s="6" t="s">
        <v>104</v>
      </c>
      <c r="O1657" s="21" t="s">
        <v>104</v>
      </c>
      <c r="P1657" s="6" t="s">
        <v>104</v>
      </c>
      <c r="Q1657" s="6" t="s">
        <v>104</v>
      </c>
      <c r="R1657" s="6" t="s">
        <v>104</v>
      </c>
      <c r="S1657" s="6" t="s">
        <v>104</v>
      </c>
      <c r="T1657" s="21" t="s">
        <v>104</v>
      </c>
      <c r="U1657" s="6" t="s">
        <v>104</v>
      </c>
      <c r="V1657" s="6" t="s">
        <v>104</v>
      </c>
      <c r="W1657" s="6" t="s">
        <v>104</v>
      </c>
      <c r="X1657" s="6" t="s">
        <v>104</v>
      </c>
      <c r="Y1657" s="21" t="s">
        <v>104</v>
      </c>
      <c r="Z1657" s="6" t="s">
        <v>104</v>
      </c>
      <c r="AA1657" s="6" t="s">
        <v>104</v>
      </c>
      <c r="AB1657" s="6" t="s">
        <v>104</v>
      </c>
      <c r="AC1657" s="6" t="s">
        <v>9714</v>
      </c>
      <c r="AD1657" s="16" t="n">
        <v>45496</v>
      </c>
      <c r="AE1657" s="6" t="s">
        <v>11966</v>
      </c>
      <c r="AF1657" s="6" t="s">
        <v>104</v>
      </c>
      <c r="AG1657" s="6" t="s">
        <v>6393</v>
      </c>
      <c r="AH1657" s="6" t="s">
        <v>14673</v>
      </c>
      <c r="AI1657" s="6" t="s">
        <v>104</v>
      </c>
      <c r="AJ1657" s="6" t="s">
        <v>15401</v>
      </c>
      <c r="AK1657" s="6" t="s">
        <v>104</v>
      </c>
      <c r="AL1657" s="6" t="s">
        <v>16939</v>
      </c>
      <c r="AM1657" s="6" t="s">
        <v>104</v>
      </c>
      <c r="AN1657" s="6" t="s">
        <v>104</v>
      </c>
      <c r="AO1657" s="6" t="s">
        <v>104</v>
      </c>
      <c r="AP1657" s="6" t="s">
        <v>14673</v>
      </c>
      <c r="AQ1657" s="6" t="s">
        <v>104</v>
      </c>
      <c r="AR1657" s="6" t="s">
        <v>15401</v>
      </c>
      <c r="AS1657" s="6" t="s">
        <v>104</v>
      </c>
      <c r="AT1657" s="6" t="s">
        <v>16939</v>
      </c>
      <c r="AU1657" s="6" t="s">
        <v>104</v>
      </c>
      <c r="AV1657" s="6" t="s">
        <v>104</v>
      </c>
      <c r="AW1657" s="6" t="s">
        <v>104</v>
      </c>
      <c r="AX1657" s="6" t="s">
        <v>21409</v>
      </c>
      <c r="AY1657" s="6" t="s">
        <v>23212</v>
      </c>
      <c r="AZ1657" s="6" t="s">
        <v>104</v>
      </c>
      <c r="BA1657" s="6" t="s">
        <v>104</v>
      </c>
      <c r="BB1657" s="6" t="s">
        <v>104</v>
      </c>
      <c r="BC1657" s="26"/>
      <c r="BD1657" s="26"/>
      <c r="BE1657" s="26"/>
      <c r="BF1657" s="26"/>
      <c r="BG1657" s="26"/>
      <c r="BH1657" s="26"/>
      <c r="BI1657" s="26"/>
      <c r="BJ1657" s="26"/>
      <c r="BK1657" s="26"/>
      <c r="BL1657" s="26"/>
      <c r="BM1657" s="26"/>
      <c r="BN1657" s="26"/>
      <c r="BO1657" s="26"/>
      <c r="BP1657" s="16" t="n">
        <v>45497</v>
      </c>
      <c r="BQ1657" s="28" t="str">
        <f>HYPERLINK("https://organic.ams.usda.gov/Integrity/Certificate.aspx?cid=86&amp;nopid=6400011908")</f>
        <v>https://organic.ams.usda.gov/Integrity/Certificate.aspx?cid=86&amp;nopid=6400011908</v>
      </c>
    </row>
    <row r="1658">
      <c r="A1658" t="s">
        <v>3</v>
      </c>
      <c r="B1658" s="6" t="s">
        <v>21</v>
      </c>
      <c r="C1658" s="6" t="s">
        <v>87</v>
      </c>
      <c r="D1658" s="6" t="s">
        <v>152</v>
      </c>
      <c r="E1658" s="10" t="s">
        <v>1856</v>
      </c>
      <c r="F1658" s="6" t="s">
        <v>4085</v>
      </c>
      <c r="G1658" s="6" t="s">
        <v>104</v>
      </c>
      <c r="H1658" s="6" t="s">
        <v>6394</v>
      </c>
      <c r="I1658" s="6" t="s">
        <v>7871</v>
      </c>
      <c r="J1658" s="6" t="s">
        <v>9330</v>
      </c>
      <c r="K1658" s="6" t="s">
        <v>9714</v>
      </c>
      <c r="L1658" s="16" t="n">
        <v>45684</v>
      </c>
      <c r="M1658" s="16" t="n">
        <v>46023</v>
      </c>
      <c r="N1658" s="6" t="s">
        <v>104</v>
      </c>
      <c r="O1658" s="21" t="s">
        <v>104</v>
      </c>
      <c r="P1658" s="6" t="s">
        <v>104</v>
      </c>
      <c r="Q1658" s="6" t="s">
        <v>104</v>
      </c>
      <c r="R1658" s="6" t="s">
        <v>104</v>
      </c>
      <c r="S1658" s="6" t="s">
        <v>104</v>
      </c>
      <c r="T1658" s="21" t="s">
        <v>104</v>
      </c>
      <c r="U1658" s="6" t="s">
        <v>104</v>
      </c>
      <c r="V1658" s="6" t="s">
        <v>104</v>
      </c>
      <c r="W1658" s="6" t="s">
        <v>104</v>
      </c>
      <c r="X1658" s="6" t="s">
        <v>104</v>
      </c>
      <c r="Y1658" s="21" t="s">
        <v>104</v>
      </c>
      <c r="Z1658" s="6" t="s">
        <v>104</v>
      </c>
      <c r="AA1658" s="6" t="s">
        <v>104</v>
      </c>
      <c r="AB1658" s="6" t="s">
        <v>104</v>
      </c>
      <c r="AC1658" s="6" t="s">
        <v>9714</v>
      </c>
      <c r="AD1658" s="16" t="n">
        <v>45684</v>
      </c>
      <c r="AE1658" s="6" t="s">
        <v>11967</v>
      </c>
      <c r="AF1658" s="6" t="s">
        <v>104</v>
      </c>
      <c r="AG1658" s="6" t="s">
        <v>104</v>
      </c>
      <c r="AH1658" s="6" t="s">
        <v>14674</v>
      </c>
      <c r="AI1658" s="6" t="s">
        <v>104</v>
      </c>
      <c r="AJ1658" s="6" t="s">
        <v>15802</v>
      </c>
      <c r="AK1658" s="6" t="s">
        <v>16370</v>
      </c>
      <c r="AL1658" s="6" t="s">
        <v>16931</v>
      </c>
      <c r="AM1658" s="6" t="s">
        <v>18095</v>
      </c>
      <c r="AN1658" s="6" t="s">
        <v>104</v>
      </c>
      <c r="AO1658" s="6" t="s">
        <v>104</v>
      </c>
      <c r="AP1658" s="6" t="s">
        <v>14674</v>
      </c>
      <c r="AQ1658" s="6" t="s">
        <v>104</v>
      </c>
      <c r="AR1658" s="6" t="s">
        <v>15802</v>
      </c>
      <c r="AS1658" s="6" t="s">
        <v>16370</v>
      </c>
      <c r="AT1658" s="6" t="s">
        <v>16931</v>
      </c>
      <c r="AU1658" s="6" t="s">
        <v>18095</v>
      </c>
      <c r="AV1658" s="6" t="s">
        <v>104</v>
      </c>
      <c r="AW1658" s="6" t="s">
        <v>104</v>
      </c>
      <c r="AX1658" s="6" t="s">
        <v>21410</v>
      </c>
      <c r="AY1658" s="6" t="s">
        <v>23213</v>
      </c>
      <c r="AZ1658" s="6" t="s">
        <v>24111</v>
      </c>
      <c r="BA1658" s="6" t="s">
        <v>24263</v>
      </c>
      <c r="BB1658" s="6" t="s">
        <v>104</v>
      </c>
      <c r="BC1658" s="26"/>
      <c r="BD1658" s="26"/>
      <c r="BE1658" s="26"/>
      <c r="BF1658" s="26"/>
      <c r="BG1658" s="26" t="s">
        <v>24533</v>
      </c>
      <c r="BH1658" s="26"/>
      <c r="BI1658" s="26"/>
      <c r="BJ1658" s="26"/>
      <c r="BK1658" s="26"/>
      <c r="BL1658" s="26" t="s">
        <v>24533</v>
      </c>
      <c r="BM1658" s="26"/>
      <c r="BN1658" s="26"/>
      <c r="BO1658" s="26"/>
      <c r="BP1658" s="16" t="n">
        <v>45712</v>
      </c>
      <c r="BQ1658" s="28" t="str">
        <f>HYPERLINK("https://organic.ams.usda.gov/Integrity/Certificate.aspx?cid=15&amp;nopid=5561008729")</f>
        <v>https://organic.ams.usda.gov/Integrity/Certificate.aspx?cid=15&amp;nopid=5561008729</v>
      </c>
    </row>
    <row r="1659">
      <c r="A1659" t="s">
        <v>3</v>
      </c>
      <c r="B1659" s="6" t="s">
        <v>43</v>
      </c>
      <c r="C1659" s="6" t="s">
        <v>109</v>
      </c>
      <c r="D1659" s="6" t="s">
        <v>173</v>
      </c>
      <c r="E1659" s="10" t="s">
        <v>1857</v>
      </c>
      <c r="F1659" s="6" t="s">
        <v>4086</v>
      </c>
      <c r="G1659" s="6" t="s">
        <v>104</v>
      </c>
      <c r="H1659" s="6" t="s">
        <v>6395</v>
      </c>
      <c r="I1659" s="6" t="s">
        <v>7871</v>
      </c>
      <c r="J1659" s="6" t="s">
        <v>9330</v>
      </c>
      <c r="K1659" s="6" t="s">
        <v>9714</v>
      </c>
      <c r="L1659" s="16" t="n">
        <v>43976</v>
      </c>
      <c r="M1659" s="16" t="n">
        <v>45677</v>
      </c>
      <c r="N1659" s="6" t="s">
        <v>104</v>
      </c>
      <c r="O1659" s="21" t="s">
        <v>104</v>
      </c>
      <c r="P1659" s="6" t="s">
        <v>104</v>
      </c>
      <c r="Q1659" s="6" t="s">
        <v>104</v>
      </c>
      <c r="R1659" s="6" t="s">
        <v>104</v>
      </c>
      <c r="S1659" s="6" t="s">
        <v>104</v>
      </c>
      <c r="T1659" s="21" t="s">
        <v>104</v>
      </c>
      <c r="U1659" s="6" t="s">
        <v>104</v>
      </c>
      <c r="V1659" s="6" t="s">
        <v>104</v>
      </c>
      <c r="W1659" s="6" t="s">
        <v>104</v>
      </c>
      <c r="X1659" s="6" t="s">
        <v>104</v>
      </c>
      <c r="Y1659" s="21" t="s">
        <v>104</v>
      </c>
      <c r="Z1659" s="6" t="s">
        <v>104</v>
      </c>
      <c r="AA1659" s="6" t="s">
        <v>104</v>
      </c>
      <c r="AB1659" s="6" t="s">
        <v>104</v>
      </c>
      <c r="AC1659" s="6" t="s">
        <v>9714</v>
      </c>
      <c r="AD1659" s="16" t="n">
        <v>43976</v>
      </c>
      <c r="AE1659" s="6" t="s">
        <v>11968</v>
      </c>
      <c r="AF1659" s="6" t="s">
        <v>104</v>
      </c>
      <c r="AG1659" s="6" t="s">
        <v>6395</v>
      </c>
      <c r="AH1659" s="6" t="s">
        <v>14675</v>
      </c>
      <c r="AI1659" s="6" t="s">
        <v>104</v>
      </c>
      <c r="AJ1659" s="6" t="s">
        <v>15373</v>
      </c>
      <c r="AK1659" s="6" t="s">
        <v>16881</v>
      </c>
      <c r="AL1659" s="6" t="s">
        <v>16933</v>
      </c>
      <c r="AM1659" s="6" t="s">
        <v>104</v>
      </c>
      <c r="AN1659" s="6" t="s">
        <v>104</v>
      </c>
      <c r="AO1659" s="6" t="s">
        <v>104</v>
      </c>
      <c r="AP1659" s="6" t="s">
        <v>14675</v>
      </c>
      <c r="AQ1659" s="6" t="s">
        <v>104</v>
      </c>
      <c r="AR1659" s="6" t="s">
        <v>15373</v>
      </c>
      <c r="AS1659" s="6" t="s">
        <v>16881</v>
      </c>
      <c r="AT1659" s="6" t="s">
        <v>16933</v>
      </c>
      <c r="AU1659" s="6" t="s">
        <v>104</v>
      </c>
      <c r="AV1659" s="6" t="s">
        <v>104</v>
      </c>
      <c r="AW1659" s="6" t="s">
        <v>104</v>
      </c>
      <c r="AX1659" s="6" t="s">
        <v>21411</v>
      </c>
      <c r="AY1659" s="6" t="s">
        <v>23214</v>
      </c>
      <c r="AZ1659" s="6" t="s">
        <v>104</v>
      </c>
      <c r="BA1659" s="6" t="s">
        <v>104</v>
      </c>
      <c r="BB1659" s="6" t="s">
        <v>104</v>
      </c>
      <c r="BC1659" s="26"/>
      <c r="BD1659" s="26"/>
      <c r="BE1659" s="26"/>
      <c r="BF1659" s="26"/>
      <c r="BG1659" s="26"/>
      <c r="BH1659" s="26"/>
      <c r="BI1659" s="26"/>
      <c r="BJ1659" s="26"/>
      <c r="BK1659" s="26"/>
      <c r="BL1659" s="26"/>
      <c r="BM1659" s="26"/>
      <c r="BN1659" s="26"/>
      <c r="BO1659" s="26"/>
      <c r="BP1659" s="16" t="n">
        <v>45686</v>
      </c>
      <c r="BQ1659" s="28" t="str">
        <f>HYPERLINK("https://organic.ams.usda.gov/Integrity/Certificate.aspx?cid=86&amp;nopid=6400010544")</f>
        <v>https://organic.ams.usda.gov/Integrity/Certificate.aspx?cid=86&amp;nopid=6400010544</v>
      </c>
    </row>
    <row r="1660">
      <c r="A1660" t="s">
        <v>3</v>
      </c>
      <c r="B1660" s="6" t="s">
        <v>6</v>
      </c>
      <c r="C1660" s="6" t="s">
        <v>72</v>
      </c>
      <c r="D1660" s="6" t="s">
        <v>137</v>
      </c>
      <c r="E1660" s="10" t="s">
        <v>1858</v>
      </c>
      <c r="F1660" s="6" t="s">
        <v>4087</v>
      </c>
      <c r="G1660" s="6" t="s">
        <v>104</v>
      </c>
      <c r="H1660" s="6" t="s">
        <v>6396</v>
      </c>
      <c r="I1660" s="6" t="s">
        <v>7872</v>
      </c>
      <c r="J1660" s="6" t="s">
        <v>9331</v>
      </c>
      <c r="K1660" s="6" t="s">
        <v>9714</v>
      </c>
      <c r="L1660" s="16" t="n">
        <v>45631</v>
      </c>
      <c r="M1660" s="16" t="n">
        <v>45981</v>
      </c>
      <c r="N1660" s="6" t="s">
        <v>104</v>
      </c>
      <c r="O1660" s="21" t="s">
        <v>104</v>
      </c>
      <c r="P1660" s="6" t="s">
        <v>104</v>
      </c>
      <c r="Q1660" s="6" t="s">
        <v>104</v>
      </c>
      <c r="R1660" s="6" t="s">
        <v>104</v>
      </c>
      <c r="S1660" s="6" t="s">
        <v>104</v>
      </c>
      <c r="T1660" s="21" t="s">
        <v>104</v>
      </c>
      <c r="U1660" s="6" t="s">
        <v>104</v>
      </c>
      <c r="V1660" s="6" t="s">
        <v>104</v>
      </c>
      <c r="W1660" s="6" t="s">
        <v>104</v>
      </c>
      <c r="X1660" s="6" t="s">
        <v>104</v>
      </c>
      <c r="Y1660" s="21" t="s">
        <v>104</v>
      </c>
      <c r="Z1660" s="6" t="s">
        <v>104</v>
      </c>
      <c r="AA1660" s="6" t="s">
        <v>104</v>
      </c>
      <c r="AB1660" s="6" t="s">
        <v>104</v>
      </c>
      <c r="AC1660" s="6" t="s">
        <v>9714</v>
      </c>
      <c r="AD1660" s="16" t="n">
        <v>45631</v>
      </c>
      <c r="AE1660" s="6" t="s">
        <v>11969</v>
      </c>
      <c r="AF1660" s="6" t="s">
        <v>104</v>
      </c>
      <c r="AG1660" s="6" t="s">
        <v>12999</v>
      </c>
      <c r="AH1660" s="6" t="s">
        <v>14676</v>
      </c>
      <c r="AI1660" s="6" t="s">
        <v>104</v>
      </c>
      <c r="AJ1660" s="6" t="s">
        <v>16394</v>
      </c>
      <c r="AK1660" s="6" t="s">
        <v>16756</v>
      </c>
      <c r="AL1660" s="6" t="s">
        <v>16930</v>
      </c>
      <c r="AM1660" s="6" t="s">
        <v>18096</v>
      </c>
      <c r="AN1660" s="6" t="s">
        <v>104</v>
      </c>
      <c r="AO1660" s="6" t="s">
        <v>104</v>
      </c>
      <c r="AP1660" s="6" t="s">
        <v>104</v>
      </c>
      <c r="AQ1660" s="6" t="s">
        <v>104</v>
      </c>
      <c r="AR1660" s="6" t="s">
        <v>104</v>
      </c>
      <c r="AS1660" s="6" t="s">
        <v>104</v>
      </c>
      <c r="AT1660" s="6" t="s">
        <v>104</v>
      </c>
      <c r="AU1660" s="6" t="s">
        <v>104</v>
      </c>
      <c r="AV1660" s="6" t="s">
        <v>104</v>
      </c>
      <c r="AW1660" s="6" t="s">
        <v>104</v>
      </c>
      <c r="AX1660" s="6" t="s">
        <v>21412</v>
      </c>
      <c r="AY1660" s="6" t="s">
        <v>23215</v>
      </c>
      <c r="AZ1660" s="6" t="s">
        <v>104</v>
      </c>
      <c r="BA1660" s="6" t="s">
        <v>24258</v>
      </c>
      <c r="BB1660" s="6" t="s">
        <v>104</v>
      </c>
      <c r="BC1660" s="26"/>
      <c r="BD1660" s="26"/>
      <c r="BE1660" s="26"/>
      <c r="BF1660" s="26"/>
      <c r="BG1660" s="26"/>
      <c r="BH1660" s="26"/>
      <c r="BI1660" s="26"/>
      <c r="BJ1660" s="26"/>
      <c r="BK1660" s="26"/>
      <c r="BL1660" s="26"/>
      <c r="BM1660" s="26"/>
      <c r="BN1660" s="26"/>
      <c r="BO1660" s="26"/>
      <c r="BP1660" s="16" t="n">
        <v>45737</v>
      </c>
      <c r="BQ1660" s="28" t="str">
        <f>HYPERLINK("https://organic.ams.usda.gov/Integrity/Certificate.aspx?cid=32&amp;nopid=2230006025")</f>
        <v>https://organic.ams.usda.gov/Integrity/Certificate.aspx?cid=32&amp;nopid=2230006025</v>
      </c>
    </row>
    <row r="1661">
      <c r="A1661" t="s">
        <v>3</v>
      </c>
      <c r="B1661" s="6" t="s">
        <v>17</v>
      </c>
      <c r="C1661" s="6" t="s">
        <v>83</v>
      </c>
      <c r="D1661" s="6" t="s">
        <v>148</v>
      </c>
      <c r="E1661" s="10" t="s">
        <v>1859</v>
      </c>
      <c r="F1661" s="6" t="s">
        <v>4088</v>
      </c>
      <c r="G1661" s="6" t="s">
        <v>104</v>
      </c>
      <c r="H1661" s="6" t="s">
        <v>6397</v>
      </c>
      <c r="I1661" s="6" t="s">
        <v>7739</v>
      </c>
      <c r="J1661" s="6" t="s">
        <v>7095</v>
      </c>
      <c r="K1661" s="6" t="s">
        <v>9714</v>
      </c>
      <c r="L1661" s="16" t="n">
        <v>41267</v>
      </c>
      <c r="M1661" s="16" t="n">
        <v>45627</v>
      </c>
      <c r="N1661" s="6" t="s">
        <v>104</v>
      </c>
      <c r="O1661" s="21" t="s">
        <v>104</v>
      </c>
      <c r="P1661" s="6" t="s">
        <v>104</v>
      </c>
      <c r="Q1661" s="6" t="s">
        <v>104</v>
      </c>
      <c r="R1661" s="6" t="s">
        <v>104</v>
      </c>
      <c r="S1661" s="6" t="s">
        <v>104</v>
      </c>
      <c r="T1661" s="21" t="s">
        <v>104</v>
      </c>
      <c r="U1661" s="6" t="s">
        <v>104</v>
      </c>
      <c r="V1661" s="6" t="s">
        <v>104</v>
      </c>
      <c r="W1661" s="6" t="s">
        <v>104</v>
      </c>
      <c r="X1661" s="6" t="s">
        <v>104</v>
      </c>
      <c r="Y1661" s="21" t="s">
        <v>104</v>
      </c>
      <c r="Z1661" s="6" t="s">
        <v>104</v>
      </c>
      <c r="AA1661" s="6" t="s">
        <v>104</v>
      </c>
      <c r="AB1661" s="6" t="s">
        <v>104</v>
      </c>
      <c r="AC1661" s="6" t="s">
        <v>9714</v>
      </c>
      <c r="AD1661" s="16" t="n">
        <v>41267</v>
      </c>
      <c r="AE1661" s="6" t="s">
        <v>11970</v>
      </c>
      <c r="AF1661" s="6" t="s">
        <v>104</v>
      </c>
      <c r="AG1661" s="6" t="s">
        <v>104</v>
      </c>
      <c r="AH1661" s="6" t="s">
        <v>14677</v>
      </c>
      <c r="AI1661" s="6" t="s">
        <v>104</v>
      </c>
      <c r="AJ1661" s="6" t="s">
        <v>16395</v>
      </c>
      <c r="AK1661" s="6" t="s">
        <v>16684</v>
      </c>
      <c r="AL1661" s="6" t="s">
        <v>16931</v>
      </c>
      <c r="AM1661" s="6" t="s">
        <v>18097</v>
      </c>
      <c r="AN1661" s="6" t="s">
        <v>18492</v>
      </c>
      <c r="AO1661" s="6" t="s">
        <v>18872</v>
      </c>
      <c r="AP1661" s="6" t="s">
        <v>14677</v>
      </c>
      <c r="AQ1661" s="6" t="s">
        <v>104</v>
      </c>
      <c r="AR1661" s="6" t="s">
        <v>16395</v>
      </c>
      <c r="AS1661" s="6" t="s">
        <v>16684</v>
      </c>
      <c r="AT1661" s="6" t="s">
        <v>16931</v>
      </c>
      <c r="AU1661" s="6" t="s">
        <v>18097</v>
      </c>
      <c r="AV1661" s="6" t="s">
        <v>104</v>
      </c>
      <c r="AW1661" s="6" t="s">
        <v>104</v>
      </c>
      <c r="AX1661" s="6" t="s">
        <v>21413</v>
      </c>
      <c r="AY1661" s="6" t="s">
        <v>23034</v>
      </c>
      <c r="AZ1661" s="6" t="s">
        <v>104</v>
      </c>
      <c r="BA1661" s="6" t="s">
        <v>104</v>
      </c>
      <c r="BB1661" s="24" t="n">
        <v>0</v>
      </c>
      <c r="BC1661" s="26"/>
      <c r="BD1661" s="26"/>
      <c r="BE1661" s="26"/>
      <c r="BF1661" s="26"/>
      <c r="BG1661" s="26"/>
      <c r="BH1661" s="26"/>
      <c r="BI1661" s="26"/>
      <c r="BJ1661" s="26"/>
      <c r="BK1661" s="26"/>
      <c r="BL1661" s="26"/>
      <c r="BM1661" s="26"/>
      <c r="BN1661" s="26"/>
      <c r="BO1661" s="26"/>
      <c r="BP1661" s="16" t="n">
        <v>45737</v>
      </c>
      <c r="BQ1661" s="28" t="str">
        <f>HYPERLINK("https://organic.ams.usda.gov/Integrity/Certificate.aspx?cid=51&amp;nopid=8240012155")</f>
        <v>https://organic.ams.usda.gov/Integrity/Certificate.aspx?cid=51&amp;nopid=8240012155</v>
      </c>
    </row>
    <row r="1662">
      <c r="A1662" t="s">
        <v>3</v>
      </c>
      <c r="B1662" s="6" t="s">
        <v>17</v>
      </c>
      <c r="C1662" s="6" t="s">
        <v>83</v>
      </c>
      <c r="D1662" s="6" t="s">
        <v>148</v>
      </c>
      <c r="E1662" s="10" t="s">
        <v>1860</v>
      </c>
      <c r="F1662" s="6" t="s">
        <v>4089</v>
      </c>
      <c r="G1662" s="6" t="s">
        <v>4835</v>
      </c>
      <c r="H1662" s="6" t="s">
        <v>6398</v>
      </c>
      <c r="I1662" s="6" t="s">
        <v>7136</v>
      </c>
      <c r="J1662" s="6" t="s">
        <v>8358</v>
      </c>
      <c r="K1662" s="6" t="s">
        <v>9714</v>
      </c>
      <c r="L1662" s="16" t="n">
        <v>45537</v>
      </c>
      <c r="M1662" s="16" t="n">
        <v>45809</v>
      </c>
      <c r="N1662" s="6" t="s">
        <v>104</v>
      </c>
      <c r="O1662" s="21" t="s">
        <v>104</v>
      </c>
      <c r="P1662" s="6" t="s">
        <v>104</v>
      </c>
      <c r="Q1662" s="6" t="s">
        <v>104</v>
      </c>
      <c r="R1662" s="6" t="s">
        <v>104</v>
      </c>
      <c r="S1662" s="6" t="s">
        <v>104</v>
      </c>
      <c r="T1662" s="21" t="s">
        <v>104</v>
      </c>
      <c r="U1662" s="6" t="s">
        <v>104</v>
      </c>
      <c r="V1662" s="6" t="s">
        <v>104</v>
      </c>
      <c r="W1662" s="6" t="s">
        <v>104</v>
      </c>
      <c r="X1662" s="6" t="s">
        <v>104</v>
      </c>
      <c r="Y1662" s="21" t="s">
        <v>104</v>
      </c>
      <c r="Z1662" s="6" t="s">
        <v>104</v>
      </c>
      <c r="AA1662" s="6" t="s">
        <v>104</v>
      </c>
      <c r="AB1662" s="6" t="s">
        <v>104</v>
      </c>
      <c r="AC1662" s="6" t="s">
        <v>9714</v>
      </c>
      <c r="AD1662" s="16" t="n">
        <v>45537</v>
      </c>
      <c r="AE1662" s="6" t="s">
        <v>11971</v>
      </c>
      <c r="AF1662" s="6" t="s">
        <v>104</v>
      </c>
      <c r="AG1662" s="6" t="s">
        <v>104</v>
      </c>
      <c r="AH1662" s="6" t="s">
        <v>13430</v>
      </c>
      <c r="AI1662" s="6" t="s">
        <v>104</v>
      </c>
      <c r="AJ1662" s="6" t="s">
        <v>15576</v>
      </c>
      <c r="AK1662" s="6" t="s">
        <v>16680</v>
      </c>
      <c r="AL1662" s="6" t="s">
        <v>16931</v>
      </c>
      <c r="AM1662" s="6" t="s">
        <v>17190</v>
      </c>
      <c r="AN1662" s="6" t="s">
        <v>104</v>
      </c>
      <c r="AO1662" s="6" t="s">
        <v>104</v>
      </c>
      <c r="AP1662" s="6" t="s">
        <v>13430</v>
      </c>
      <c r="AQ1662" s="6" t="s">
        <v>104</v>
      </c>
      <c r="AR1662" s="6" t="s">
        <v>15576</v>
      </c>
      <c r="AS1662" s="6" t="s">
        <v>16680</v>
      </c>
      <c r="AT1662" s="6" t="s">
        <v>16931</v>
      </c>
      <c r="AU1662" s="6" t="s">
        <v>17190</v>
      </c>
      <c r="AV1662" s="6" t="s">
        <v>104</v>
      </c>
      <c r="AW1662" s="6" t="s">
        <v>104</v>
      </c>
      <c r="AX1662" s="6" t="s">
        <v>20358</v>
      </c>
      <c r="AY1662" s="6" t="s">
        <v>22101</v>
      </c>
      <c r="AZ1662" s="6" t="s">
        <v>104</v>
      </c>
      <c r="BA1662" s="6" t="s">
        <v>104</v>
      </c>
      <c r="BB1662" s="24" t="n">
        <v>0</v>
      </c>
      <c r="BC1662" s="26"/>
      <c r="BD1662" s="26"/>
      <c r="BE1662" s="26"/>
      <c r="BF1662" s="26"/>
      <c r="BG1662" s="26"/>
      <c r="BH1662" s="26" t="s">
        <v>24533</v>
      </c>
      <c r="BI1662" s="26"/>
      <c r="BJ1662" s="26"/>
      <c r="BK1662" s="26"/>
      <c r="BL1662" s="26"/>
      <c r="BM1662" s="26"/>
      <c r="BN1662" s="26"/>
      <c r="BO1662" s="26"/>
      <c r="BP1662" s="16" t="n">
        <v>45664</v>
      </c>
      <c r="BQ1662" s="28" t="str">
        <f>HYPERLINK("https://organic.ams.usda.gov/Integrity/Certificate.aspx?cid=51&amp;nopid=8241000103")</f>
        <v>https://organic.ams.usda.gov/Integrity/Certificate.aspx?cid=51&amp;nopid=8241000103</v>
      </c>
    </row>
    <row r="1663">
      <c r="A1663" t="s">
        <v>3</v>
      </c>
      <c r="B1663" s="6" t="s">
        <v>20</v>
      </c>
      <c r="C1663" s="6" t="s">
        <v>86</v>
      </c>
      <c r="D1663" s="6" t="s">
        <v>151</v>
      </c>
      <c r="E1663" s="10" t="s">
        <v>1861</v>
      </c>
      <c r="F1663" s="6" t="s">
        <v>4090</v>
      </c>
      <c r="G1663" s="6" t="s">
        <v>104</v>
      </c>
      <c r="H1663" s="6" t="s">
        <v>6399</v>
      </c>
      <c r="I1663" s="6" t="s">
        <v>7873</v>
      </c>
      <c r="J1663" s="6" t="s">
        <v>8960</v>
      </c>
      <c r="K1663" s="6" t="s">
        <v>9714</v>
      </c>
      <c r="L1663" s="16" t="n">
        <v>41438</v>
      </c>
      <c r="M1663" s="16" t="n">
        <v>45808</v>
      </c>
      <c r="N1663" s="6" t="s">
        <v>9714</v>
      </c>
      <c r="O1663" s="16" t="n">
        <v>41438</v>
      </c>
      <c r="P1663" s="6" t="s">
        <v>10167</v>
      </c>
      <c r="Q1663" s="6" t="s">
        <v>104</v>
      </c>
      <c r="R1663" s="6" t="s">
        <v>10419</v>
      </c>
      <c r="S1663" s="6" t="s">
        <v>104</v>
      </c>
      <c r="T1663" s="21" t="s">
        <v>104</v>
      </c>
      <c r="U1663" s="6" t="s">
        <v>104</v>
      </c>
      <c r="V1663" s="6" t="s">
        <v>104</v>
      </c>
      <c r="W1663" s="6" t="s">
        <v>104</v>
      </c>
      <c r="X1663" s="6" t="s">
        <v>104</v>
      </c>
      <c r="Y1663" s="21" t="s">
        <v>104</v>
      </c>
      <c r="Z1663" s="6" t="s">
        <v>104</v>
      </c>
      <c r="AA1663" s="6" t="s">
        <v>104</v>
      </c>
      <c r="AB1663" s="6" t="s">
        <v>104</v>
      </c>
      <c r="AC1663" s="6" t="s">
        <v>9714</v>
      </c>
      <c r="AD1663" s="16" t="n">
        <v>41438</v>
      </c>
      <c r="AE1663" s="6" t="s">
        <v>11972</v>
      </c>
      <c r="AF1663" s="6" t="s">
        <v>104</v>
      </c>
      <c r="AG1663" s="6" t="s">
        <v>10419</v>
      </c>
      <c r="AH1663" s="6" t="s">
        <v>14678</v>
      </c>
      <c r="AI1663" s="6" t="s">
        <v>104</v>
      </c>
      <c r="AJ1663" s="6" t="s">
        <v>15482</v>
      </c>
      <c r="AK1663" s="6" t="s">
        <v>15482</v>
      </c>
      <c r="AL1663" s="6" t="s">
        <v>16939</v>
      </c>
      <c r="AM1663" s="6" t="s">
        <v>104</v>
      </c>
      <c r="AN1663" s="6" t="s">
        <v>104</v>
      </c>
      <c r="AO1663" s="6" t="s">
        <v>104</v>
      </c>
      <c r="AP1663" s="6" t="s">
        <v>104</v>
      </c>
      <c r="AQ1663" s="6" t="s">
        <v>104</v>
      </c>
      <c r="AR1663" s="6" t="s">
        <v>104</v>
      </c>
      <c r="AS1663" s="6" t="s">
        <v>104</v>
      </c>
      <c r="AT1663" s="6" t="s">
        <v>104</v>
      </c>
      <c r="AU1663" s="6" t="s">
        <v>104</v>
      </c>
      <c r="AV1663" s="6" t="s">
        <v>104</v>
      </c>
      <c r="AW1663" s="6" t="s">
        <v>104</v>
      </c>
      <c r="AX1663" s="6" t="s">
        <v>21414</v>
      </c>
      <c r="AY1663" s="6" t="s">
        <v>23216</v>
      </c>
      <c r="AZ1663" s="6" t="s">
        <v>24112</v>
      </c>
      <c r="BA1663" s="6" t="s">
        <v>104</v>
      </c>
      <c r="BB1663" s="24" t="n">
        <v>4281</v>
      </c>
      <c r="BC1663" s="26"/>
      <c r="BD1663" s="26"/>
      <c r="BE1663" s="26"/>
      <c r="BF1663" s="26"/>
      <c r="BG1663" s="26"/>
      <c r="BH1663" s="26"/>
      <c r="BI1663" s="26"/>
      <c r="BJ1663" s="26"/>
      <c r="BK1663" s="26"/>
      <c r="BL1663" s="26"/>
      <c r="BM1663" s="26"/>
      <c r="BN1663" s="26"/>
      <c r="BO1663" s="26" t="s">
        <v>24533</v>
      </c>
      <c r="BP1663" s="16" t="n">
        <v>45706</v>
      </c>
      <c r="BQ1663" s="28" t="str">
        <f>HYPERLINK("https://organic.ams.usda.gov/Integrity/Certificate.aspx?cid=17&amp;nopid=4080400073")</f>
        <v>https://organic.ams.usda.gov/Integrity/Certificate.aspx?cid=17&amp;nopid=4080400073</v>
      </c>
    </row>
    <row r="1664">
      <c r="A1664" t="s">
        <v>3</v>
      </c>
      <c r="B1664" s="6" t="s">
        <v>34</v>
      </c>
      <c r="C1664" s="6" t="s">
        <v>100</v>
      </c>
      <c r="D1664" s="6" t="s">
        <v>165</v>
      </c>
      <c r="E1664" s="10" t="s">
        <v>1862</v>
      </c>
      <c r="F1664" s="6" t="s">
        <v>4091</v>
      </c>
      <c r="G1664" s="6" t="s">
        <v>104</v>
      </c>
      <c r="H1664" s="6" t="s">
        <v>6400</v>
      </c>
      <c r="I1664" s="6" t="s">
        <v>7874</v>
      </c>
      <c r="J1664" s="6" t="s">
        <v>9332</v>
      </c>
      <c r="K1664" s="6" t="s">
        <v>9714</v>
      </c>
      <c r="L1664" s="16" t="n">
        <v>37375</v>
      </c>
      <c r="M1664" s="16" t="n">
        <v>45742</v>
      </c>
      <c r="N1664" s="6" t="s">
        <v>104</v>
      </c>
      <c r="O1664" s="21" t="s">
        <v>104</v>
      </c>
      <c r="P1664" s="6" t="s">
        <v>104</v>
      </c>
      <c r="Q1664" s="6" t="s">
        <v>104</v>
      </c>
      <c r="R1664" s="6" t="s">
        <v>104</v>
      </c>
      <c r="S1664" s="6" t="s">
        <v>104</v>
      </c>
      <c r="T1664" s="21" t="s">
        <v>104</v>
      </c>
      <c r="U1664" s="6" t="s">
        <v>104</v>
      </c>
      <c r="V1664" s="6" t="s">
        <v>104</v>
      </c>
      <c r="W1664" s="6" t="s">
        <v>104</v>
      </c>
      <c r="X1664" s="6" t="s">
        <v>104</v>
      </c>
      <c r="Y1664" s="21" t="s">
        <v>104</v>
      </c>
      <c r="Z1664" s="6" t="s">
        <v>104</v>
      </c>
      <c r="AA1664" s="6" t="s">
        <v>104</v>
      </c>
      <c r="AB1664" s="6" t="s">
        <v>104</v>
      </c>
      <c r="AC1664" s="6" t="s">
        <v>9714</v>
      </c>
      <c r="AD1664" s="16" t="n">
        <v>37375</v>
      </c>
      <c r="AE1664" s="6" t="s">
        <v>11973</v>
      </c>
      <c r="AF1664" s="6" t="s">
        <v>104</v>
      </c>
      <c r="AG1664" s="6" t="s">
        <v>13000</v>
      </c>
      <c r="AH1664" s="6" t="s">
        <v>14679</v>
      </c>
      <c r="AI1664" s="6" t="s">
        <v>104</v>
      </c>
      <c r="AJ1664" s="6" t="s">
        <v>9280</v>
      </c>
      <c r="AK1664" s="6" t="s">
        <v>16730</v>
      </c>
      <c r="AL1664" s="6" t="s">
        <v>16931</v>
      </c>
      <c r="AM1664" s="6" t="s">
        <v>17913</v>
      </c>
      <c r="AN1664" s="6" t="s">
        <v>18517</v>
      </c>
      <c r="AO1664" s="6" t="s">
        <v>18559</v>
      </c>
      <c r="AP1664" s="6" t="s">
        <v>14679</v>
      </c>
      <c r="AQ1664" s="6" t="s">
        <v>104</v>
      </c>
      <c r="AR1664" s="6" t="s">
        <v>9280</v>
      </c>
      <c r="AS1664" s="6" t="s">
        <v>16730</v>
      </c>
      <c r="AT1664" s="6" t="s">
        <v>16931</v>
      </c>
      <c r="AU1664" s="6" t="s">
        <v>17913</v>
      </c>
      <c r="AV1664" s="6" t="s">
        <v>104</v>
      </c>
      <c r="AW1664" s="6" t="s">
        <v>104</v>
      </c>
      <c r="AX1664" s="6" t="s">
        <v>21415</v>
      </c>
      <c r="AY1664" s="6" t="s">
        <v>23217</v>
      </c>
      <c r="AZ1664" s="6" t="s">
        <v>104</v>
      </c>
      <c r="BA1664" s="6" t="s">
        <v>104</v>
      </c>
      <c r="BB1664" s="6" t="s">
        <v>104</v>
      </c>
      <c r="BC1664" s="26"/>
      <c r="BD1664" s="26"/>
      <c r="BE1664" s="26"/>
      <c r="BF1664" s="26"/>
      <c r="BG1664" s="26"/>
      <c r="BH1664" s="26" t="s">
        <v>24533</v>
      </c>
      <c r="BI1664" s="26"/>
      <c r="BJ1664" s="26"/>
      <c r="BK1664" s="26"/>
      <c r="BL1664" s="26"/>
      <c r="BM1664" s="26"/>
      <c r="BN1664" s="26"/>
      <c r="BO1664" s="26"/>
      <c r="BP1664" s="16" t="n">
        <v>45737</v>
      </c>
      <c r="BQ1664" s="28" t="str">
        <f>HYPERLINK("https://organic.ams.usda.gov/Integrity/Certificate.aspx?cid=71&amp;nopid=5520030576")</f>
        <v>https://organic.ams.usda.gov/Integrity/Certificate.aspx?cid=71&amp;nopid=5520030576</v>
      </c>
    </row>
    <row r="1665">
      <c r="A1665" t="s">
        <v>3</v>
      </c>
      <c r="B1665" s="6" t="s">
        <v>11</v>
      </c>
      <c r="C1665" s="6" t="s">
        <v>77</v>
      </c>
      <c r="D1665" s="6" t="s">
        <v>142</v>
      </c>
      <c r="E1665" s="10" t="s">
        <v>1863</v>
      </c>
      <c r="F1665" s="6" t="s">
        <v>4092</v>
      </c>
      <c r="G1665" s="6" t="s">
        <v>104</v>
      </c>
      <c r="H1665" s="6" t="s">
        <v>104</v>
      </c>
      <c r="I1665" s="6" t="s">
        <v>7875</v>
      </c>
      <c r="J1665" s="6" t="s">
        <v>9333</v>
      </c>
      <c r="K1665" s="6" t="s">
        <v>9714</v>
      </c>
      <c r="L1665" s="16" t="n">
        <v>45267</v>
      </c>
      <c r="M1665" s="16" t="n">
        <v>45948</v>
      </c>
      <c r="N1665" s="6" t="s">
        <v>104</v>
      </c>
      <c r="O1665" s="21" t="s">
        <v>104</v>
      </c>
      <c r="P1665" s="6" t="s">
        <v>104</v>
      </c>
      <c r="Q1665" s="6" t="s">
        <v>104</v>
      </c>
      <c r="R1665" s="6" t="s">
        <v>104</v>
      </c>
      <c r="S1665" s="6" t="s">
        <v>104</v>
      </c>
      <c r="T1665" s="21" t="s">
        <v>104</v>
      </c>
      <c r="U1665" s="6" t="s">
        <v>104</v>
      </c>
      <c r="V1665" s="6" t="s">
        <v>104</v>
      </c>
      <c r="W1665" s="6" t="s">
        <v>104</v>
      </c>
      <c r="X1665" s="6" t="s">
        <v>104</v>
      </c>
      <c r="Y1665" s="21" t="s">
        <v>104</v>
      </c>
      <c r="Z1665" s="6" t="s">
        <v>104</v>
      </c>
      <c r="AA1665" s="6" t="s">
        <v>104</v>
      </c>
      <c r="AB1665" s="6" t="s">
        <v>104</v>
      </c>
      <c r="AC1665" s="6" t="s">
        <v>9714</v>
      </c>
      <c r="AD1665" s="16" t="n">
        <v>45267</v>
      </c>
      <c r="AE1665" s="6" t="s">
        <v>11974</v>
      </c>
      <c r="AF1665" s="6" t="s">
        <v>104</v>
      </c>
      <c r="AG1665" s="6" t="s">
        <v>104</v>
      </c>
      <c r="AH1665" s="6" t="s">
        <v>14680</v>
      </c>
      <c r="AI1665" s="6" t="s">
        <v>104</v>
      </c>
      <c r="AJ1665" s="6" t="s">
        <v>15453</v>
      </c>
      <c r="AK1665" s="6" t="s">
        <v>15661</v>
      </c>
      <c r="AL1665" s="6" t="s">
        <v>16939</v>
      </c>
      <c r="AM1665" s="6" t="s">
        <v>104</v>
      </c>
      <c r="AN1665" s="6" t="s">
        <v>104</v>
      </c>
      <c r="AO1665" s="6" t="s">
        <v>104</v>
      </c>
      <c r="AP1665" s="6" t="s">
        <v>104</v>
      </c>
      <c r="AQ1665" s="6" t="s">
        <v>104</v>
      </c>
      <c r="AR1665" s="6" t="s">
        <v>104</v>
      </c>
      <c r="AS1665" s="6" t="s">
        <v>104</v>
      </c>
      <c r="AT1665" s="6" t="s">
        <v>104</v>
      </c>
      <c r="AU1665" s="6" t="s">
        <v>104</v>
      </c>
      <c r="AV1665" s="6" t="s">
        <v>104</v>
      </c>
      <c r="AW1665" s="6" t="s">
        <v>104</v>
      </c>
      <c r="AX1665" s="6" t="s">
        <v>21416</v>
      </c>
      <c r="AY1665" s="6" t="s">
        <v>23218</v>
      </c>
      <c r="AZ1665" s="6" t="s">
        <v>24113</v>
      </c>
      <c r="BA1665" s="6" t="s">
        <v>24265</v>
      </c>
      <c r="BB1665" s="6" t="s">
        <v>104</v>
      </c>
      <c r="BC1665" s="26"/>
      <c r="BD1665" s="26"/>
      <c r="BE1665" s="26"/>
      <c r="BF1665" s="26"/>
      <c r="BG1665" s="26" t="s">
        <v>24533</v>
      </c>
      <c r="BH1665" s="26" t="s">
        <v>24533</v>
      </c>
      <c r="BI1665" s="26"/>
      <c r="BJ1665" s="26"/>
      <c r="BK1665" s="26"/>
      <c r="BL1665" s="26"/>
      <c r="BM1665" s="26"/>
      <c r="BN1665" s="26" t="s">
        <v>24533</v>
      </c>
      <c r="BO1665" s="26"/>
      <c r="BP1665" s="16" t="n">
        <v>45670</v>
      </c>
      <c r="BQ1665" s="28" t="str">
        <f>HYPERLINK("https://organic.ams.usda.gov/Integrity/Certificate.aspx?cid=21&amp;nopid=1780876740")</f>
        <v>https://organic.ams.usda.gov/Integrity/Certificate.aspx?cid=21&amp;nopid=1780876740</v>
      </c>
    </row>
    <row r="1666">
      <c r="A1666" t="s">
        <v>3</v>
      </c>
      <c r="B1666" s="6" t="s">
        <v>20</v>
      </c>
      <c r="C1666" s="6" t="s">
        <v>86</v>
      </c>
      <c r="D1666" s="6" t="s">
        <v>151</v>
      </c>
      <c r="E1666" s="10" t="s">
        <v>1864</v>
      </c>
      <c r="F1666" s="6" t="s">
        <v>4093</v>
      </c>
      <c r="G1666" s="6" t="s">
        <v>104</v>
      </c>
      <c r="H1666" s="6" t="s">
        <v>6401</v>
      </c>
      <c r="I1666" s="6" t="s">
        <v>7876</v>
      </c>
      <c r="J1666" s="6" t="s">
        <v>9334</v>
      </c>
      <c r="K1666" s="6" t="s">
        <v>9714</v>
      </c>
      <c r="L1666" s="16" t="n">
        <v>45266</v>
      </c>
      <c r="M1666" s="16" t="n">
        <v>45991</v>
      </c>
      <c r="N1666" s="6" t="s">
        <v>104</v>
      </c>
      <c r="O1666" s="21" t="s">
        <v>104</v>
      </c>
      <c r="P1666" s="6" t="s">
        <v>104</v>
      </c>
      <c r="Q1666" s="6" t="s">
        <v>104</v>
      </c>
      <c r="R1666" s="6" t="s">
        <v>104</v>
      </c>
      <c r="S1666" s="6" t="s">
        <v>104</v>
      </c>
      <c r="T1666" s="21" t="s">
        <v>104</v>
      </c>
      <c r="U1666" s="6" t="s">
        <v>104</v>
      </c>
      <c r="V1666" s="6" t="s">
        <v>104</v>
      </c>
      <c r="W1666" s="6" t="s">
        <v>104</v>
      </c>
      <c r="X1666" s="6" t="s">
        <v>104</v>
      </c>
      <c r="Y1666" s="21" t="s">
        <v>104</v>
      </c>
      <c r="Z1666" s="6" t="s">
        <v>104</v>
      </c>
      <c r="AA1666" s="6" t="s">
        <v>104</v>
      </c>
      <c r="AB1666" s="6" t="s">
        <v>104</v>
      </c>
      <c r="AC1666" s="6" t="s">
        <v>9714</v>
      </c>
      <c r="AD1666" s="16" t="n">
        <v>45266</v>
      </c>
      <c r="AE1666" s="6" t="s">
        <v>11975</v>
      </c>
      <c r="AF1666" s="6" t="s">
        <v>104</v>
      </c>
      <c r="AG1666" s="6" t="s">
        <v>13001</v>
      </c>
      <c r="AH1666" s="6" t="s">
        <v>14681</v>
      </c>
      <c r="AI1666" s="6" t="s">
        <v>104</v>
      </c>
      <c r="AJ1666" s="6" t="s">
        <v>15373</v>
      </c>
      <c r="AK1666" s="6" t="s">
        <v>15373</v>
      </c>
      <c r="AL1666" s="6" t="s">
        <v>16933</v>
      </c>
      <c r="AM1666" s="6" t="s">
        <v>17760</v>
      </c>
      <c r="AN1666" s="6" t="s">
        <v>104</v>
      </c>
      <c r="AO1666" s="6" t="s">
        <v>104</v>
      </c>
      <c r="AP1666" s="6" t="s">
        <v>104</v>
      </c>
      <c r="AQ1666" s="6" t="s">
        <v>104</v>
      </c>
      <c r="AR1666" s="6" t="s">
        <v>104</v>
      </c>
      <c r="AS1666" s="6" t="s">
        <v>104</v>
      </c>
      <c r="AT1666" s="6" t="s">
        <v>104</v>
      </c>
      <c r="AU1666" s="6" t="s">
        <v>104</v>
      </c>
      <c r="AV1666" s="6" t="s">
        <v>104</v>
      </c>
      <c r="AW1666" s="6" t="s">
        <v>104</v>
      </c>
      <c r="AX1666" s="6" t="s">
        <v>21417</v>
      </c>
      <c r="AY1666" s="6" t="s">
        <v>23219</v>
      </c>
      <c r="AZ1666" s="6" t="s">
        <v>104</v>
      </c>
      <c r="BA1666" s="6" t="s">
        <v>24472</v>
      </c>
      <c r="BB1666" s="6" t="s">
        <v>104</v>
      </c>
      <c r="BC1666" s="26"/>
      <c r="BD1666" s="26"/>
      <c r="BE1666" s="26"/>
      <c r="BF1666" s="26"/>
      <c r="BG1666" s="26"/>
      <c r="BH1666" s="26"/>
      <c r="BI1666" s="26"/>
      <c r="BJ1666" s="26"/>
      <c r="BK1666" s="26"/>
      <c r="BL1666" s="26"/>
      <c r="BM1666" s="26"/>
      <c r="BN1666" s="26"/>
      <c r="BO1666" s="26"/>
      <c r="BP1666" s="16" t="n">
        <v>45649</v>
      </c>
      <c r="BQ1666" s="28" t="str">
        <f>HYPERLINK("https://organic.ams.usda.gov/Integrity/Certificate.aspx?cid=17&amp;nopid=4080207377")</f>
        <v>https://organic.ams.usda.gov/Integrity/Certificate.aspx?cid=17&amp;nopid=4080207377</v>
      </c>
    </row>
    <row r="1667">
      <c r="A1667" t="s">
        <v>3</v>
      </c>
      <c r="B1667" s="6" t="s">
        <v>20</v>
      </c>
      <c r="C1667" s="6" t="s">
        <v>86</v>
      </c>
      <c r="D1667" s="6" t="s">
        <v>151</v>
      </c>
      <c r="E1667" s="10" t="s">
        <v>1865</v>
      </c>
      <c r="F1667" s="6" t="s">
        <v>4094</v>
      </c>
      <c r="G1667" s="6" t="s">
        <v>104</v>
      </c>
      <c r="H1667" s="6" t="s">
        <v>6402</v>
      </c>
      <c r="I1667" s="6" t="s">
        <v>7877</v>
      </c>
      <c r="J1667" s="6" t="s">
        <v>9335</v>
      </c>
      <c r="K1667" s="6" t="s">
        <v>9714</v>
      </c>
      <c r="L1667" s="16" t="n">
        <v>45190</v>
      </c>
      <c r="M1667" s="16" t="n">
        <v>45535</v>
      </c>
      <c r="N1667" s="6" t="s">
        <v>104</v>
      </c>
      <c r="O1667" s="21" t="s">
        <v>104</v>
      </c>
      <c r="P1667" s="6" t="s">
        <v>104</v>
      </c>
      <c r="Q1667" s="6" t="s">
        <v>104</v>
      </c>
      <c r="R1667" s="6" t="s">
        <v>104</v>
      </c>
      <c r="S1667" s="6" t="s">
        <v>104</v>
      </c>
      <c r="T1667" s="21" t="s">
        <v>104</v>
      </c>
      <c r="U1667" s="6" t="s">
        <v>104</v>
      </c>
      <c r="V1667" s="6" t="s">
        <v>104</v>
      </c>
      <c r="W1667" s="6" t="s">
        <v>104</v>
      </c>
      <c r="X1667" s="6" t="s">
        <v>104</v>
      </c>
      <c r="Y1667" s="21" t="s">
        <v>104</v>
      </c>
      <c r="Z1667" s="6" t="s">
        <v>104</v>
      </c>
      <c r="AA1667" s="6" t="s">
        <v>104</v>
      </c>
      <c r="AB1667" s="6" t="s">
        <v>104</v>
      </c>
      <c r="AC1667" s="6" t="s">
        <v>9714</v>
      </c>
      <c r="AD1667" s="16" t="n">
        <v>45190</v>
      </c>
      <c r="AE1667" s="6" t="s">
        <v>10902</v>
      </c>
      <c r="AF1667" s="6" t="s">
        <v>104</v>
      </c>
      <c r="AG1667" s="6" t="s">
        <v>13002</v>
      </c>
      <c r="AH1667" s="6" t="s">
        <v>14682</v>
      </c>
      <c r="AI1667" s="6" t="s">
        <v>104</v>
      </c>
      <c r="AJ1667" s="6" t="s">
        <v>15482</v>
      </c>
      <c r="AK1667" s="6" t="s">
        <v>15482</v>
      </c>
      <c r="AL1667" s="6" t="s">
        <v>16939</v>
      </c>
      <c r="AM1667" s="6" t="s">
        <v>104</v>
      </c>
      <c r="AN1667" s="6" t="s">
        <v>104</v>
      </c>
      <c r="AO1667" s="6" t="s">
        <v>104</v>
      </c>
      <c r="AP1667" s="6" t="s">
        <v>104</v>
      </c>
      <c r="AQ1667" s="6" t="s">
        <v>104</v>
      </c>
      <c r="AR1667" s="6" t="s">
        <v>104</v>
      </c>
      <c r="AS1667" s="6" t="s">
        <v>104</v>
      </c>
      <c r="AT1667" s="6" t="s">
        <v>104</v>
      </c>
      <c r="AU1667" s="6" t="s">
        <v>104</v>
      </c>
      <c r="AV1667" s="6" t="s">
        <v>104</v>
      </c>
      <c r="AW1667" s="6" t="s">
        <v>104</v>
      </c>
      <c r="AX1667" s="6" t="s">
        <v>21418</v>
      </c>
      <c r="AY1667" s="6" t="s">
        <v>23220</v>
      </c>
      <c r="AZ1667" s="6" t="s">
        <v>104</v>
      </c>
      <c r="BA1667" s="6" t="s">
        <v>104</v>
      </c>
      <c r="BB1667" s="6" t="s">
        <v>104</v>
      </c>
      <c r="BC1667" s="26"/>
      <c r="BD1667" s="26"/>
      <c r="BE1667" s="26"/>
      <c r="BF1667" s="26"/>
      <c r="BG1667" s="26"/>
      <c r="BH1667" s="26"/>
      <c r="BI1667" s="26"/>
      <c r="BJ1667" s="26"/>
      <c r="BK1667" s="26"/>
      <c r="BL1667" s="26"/>
      <c r="BM1667" s="26"/>
      <c r="BN1667" s="26"/>
      <c r="BO1667" s="26"/>
      <c r="BP1667" s="16" t="n">
        <v>45383</v>
      </c>
      <c r="BQ1667" s="28" t="str">
        <f>HYPERLINK("https://organic.ams.usda.gov/Integrity/Certificate.aspx?cid=17&amp;nopid=4080400070")</f>
        <v>https://organic.ams.usda.gov/Integrity/Certificate.aspx?cid=17&amp;nopid=4080400070</v>
      </c>
    </row>
    <row r="1668">
      <c r="A1668" t="s">
        <v>3</v>
      </c>
      <c r="B1668" s="6" t="s">
        <v>33</v>
      </c>
      <c r="C1668" s="6" t="s">
        <v>99</v>
      </c>
      <c r="D1668" s="6" t="s">
        <v>164</v>
      </c>
      <c r="E1668" s="10" t="s">
        <v>1866</v>
      </c>
      <c r="F1668" s="6" t="s">
        <v>4095</v>
      </c>
      <c r="G1668" s="6" t="s">
        <v>104</v>
      </c>
      <c r="H1668" s="6" t="s">
        <v>104</v>
      </c>
      <c r="I1668" s="6" t="s">
        <v>6917</v>
      </c>
      <c r="J1668" s="6" t="s">
        <v>8425</v>
      </c>
      <c r="K1668" s="6" t="s">
        <v>9714</v>
      </c>
      <c r="L1668" s="16" t="n">
        <v>43907</v>
      </c>
      <c r="M1668" s="16" t="n">
        <v>45748</v>
      </c>
      <c r="N1668" s="6" t="s">
        <v>9714</v>
      </c>
      <c r="O1668" s="16" t="n">
        <v>43907</v>
      </c>
      <c r="P1668" s="6" t="s">
        <v>10168</v>
      </c>
      <c r="Q1668" s="6" t="s">
        <v>104</v>
      </c>
      <c r="R1668" s="6" t="s">
        <v>104</v>
      </c>
      <c r="S1668" s="6" t="s">
        <v>104</v>
      </c>
      <c r="T1668" s="21" t="s">
        <v>104</v>
      </c>
      <c r="U1668" s="6" t="s">
        <v>104</v>
      </c>
      <c r="V1668" s="6" t="s">
        <v>104</v>
      </c>
      <c r="W1668" s="6" t="s">
        <v>104</v>
      </c>
      <c r="X1668" s="6" t="s">
        <v>104</v>
      </c>
      <c r="Y1668" s="21" t="s">
        <v>104</v>
      </c>
      <c r="Z1668" s="6" t="s">
        <v>104</v>
      </c>
      <c r="AA1668" s="6" t="s">
        <v>104</v>
      </c>
      <c r="AB1668" s="6" t="s">
        <v>104</v>
      </c>
      <c r="AC1668" s="6" t="s">
        <v>9714</v>
      </c>
      <c r="AD1668" s="16" t="n">
        <v>44271</v>
      </c>
      <c r="AE1668" s="6" t="s">
        <v>11976</v>
      </c>
      <c r="AF1668" s="6" t="s">
        <v>104</v>
      </c>
      <c r="AG1668" s="6" t="s">
        <v>104</v>
      </c>
      <c r="AH1668" s="6" t="s">
        <v>14683</v>
      </c>
      <c r="AI1668" s="6" t="s">
        <v>104</v>
      </c>
      <c r="AJ1668" s="6" t="s">
        <v>15770</v>
      </c>
      <c r="AK1668" s="6" t="s">
        <v>16683</v>
      </c>
      <c r="AL1668" s="6" t="s">
        <v>16931</v>
      </c>
      <c r="AM1668" s="6" t="s">
        <v>17392</v>
      </c>
      <c r="AN1668" s="6" t="s">
        <v>18521</v>
      </c>
      <c r="AO1668" s="6" t="s">
        <v>18695</v>
      </c>
      <c r="AP1668" s="6" t="s">
        <v>14683</v>
      </c>
      <c r="AQ1668" s="6" t="s">
        <v>104</v>
      </c>
      <c r="AR1668" s="6" t="s">
        <v>15770</v>
      </c>
      <c r="AS1668" s="6" t="s">
        <v>16683</v>
      </c>
      <c r="AT1668" s="6" t="s">
        <v>16931</v>
      </c>
      <c r="AU1668" s="6" t="s">
        <v>17392</v>
      </c>
      <c r="AV1668" s="6" t="s">
        <v>104</v>
      </c>
      <c r="AW1668" s="6" t="s">
        <v>104</v>
      </c>
      <c r="AX1668" s="6" t="s">
        <v>21419</v>
      </c>
      <c r="AY1668" s="6" t="s">
        <v>23221</v>
      </c>
      <c r="AZ1668" s="6" t="s">
        <v>24114</v>
      </c>
      <c r="BA1668" s="6" t="s">
        <v>24473</v>
      </c>
      <c r="BB1668" s="24" t="n">
        <v>0</v>
      </c>
      <c r="BC1668" s="26"/>
      <c r="BD1668" s="26"/>
      <c r="BE1668" s="26"/>
      <c r="BF1668" s="26"/>
      <c r="BG1668" s="26"/>
      <c r="BH1668" s="26"/>
      <c r="BI1668" s="26"/>
      <c r="BJ1668" s="26"/>
      <c r="BK1668" s="26"/>
      <c r="BL1668" s="26"/>
      <c r="BM1668" s="26"/>
      <c r="BN1668" s="26"/>
      <c r="BO1668" s="26"/>
      <c r="BP1668" s="16" t="n">
        <v>45713</v>
      </c>
      <c r="BQ1668" s="28" t="str">
        <f>HYPERLINK("https://organic.ams.usda.gov/Integrity/Certificate.aspx?cid=46&amp;nopid=3672000008")</f>
        <v>https://organic.ams.usda.gov/Integrity/Certificate.aspx?cid=46&amp;nopid=3672000008</v>
      </c>
    </row>
    <row r="1669">
      <c r="A1669" t="s">
        <v>3</v>
      </c>
      <c r="B1669" s="6" t="s">
        <v>21</v>
      </c>
      <c r="C1669" s="6" t="s">
        <v>87</v>
      </c>
      <c r="D1669" s="6" t="s">
        <v>152</v>
      </c>
      <c r="E1669" s="10" t="s">
        <v>1867</v>
      </c>
      <c r="F1669" s="6" t="s">
        <v>4096</v>
      </c>
      <c r="G1669" s="6" t="s">
        <v>4836</v>
      </c>
      <c r="H1669" s="6" t="s">
        <v>6403</v>
      </c>
      <c r="I1669" s="6" t="s">
        <v>7878</v>
      </c>
      <c r="J1669" s="6" t="s">
        <v>9336</v>
      </c>
      <c r="K1669" s="6" t="s">
        <v>9714</v>
      </c>
      <c r="L1669" s="16" t="n">
        <v>44085</v>
      </c>
      <c r="M1669" s="16" t="n">
        <v>46023</v>
      </c>
      <c r="N1669" s="6" t="s">
        <v>9721</v>
      </c>
      <c r="O1669" s="16" t="n">
        <v>43425</v>
      </c>
      <c r="P1669" s="6" t="s">
        <v>104</v>
      </c>
      <c r="Q1669" s="6" t="s">
        <v>104</v>
      </c>
      <c r="R1669" s="6" t="s">
        <v>104</v>
      </c>
      <c r="S1669" s="6" t="s">
        <v>104</v>
      </c>
      <c r="T1669" s="21" t="s">
        <v>104</v>
      </c>
      <c r="U1669" s="6" t="s">
        <v>104</v>
      </c>
      <c r="V1669" s="6" t="s">
        <v>104</v>
      </c>
      <c r="W1669" s="6" t="s">
        <v>104</v>
      </c>
      <c r="X1669" s="6" t="s">
        <v>104</v>
      </c>
      <c r="Y1669" s="21" t="s">
        <v>104</v>
      </c>
      <c r="Z1669" s="6" t="s">
        <v>104</v>
      </c>
      <c r="AA1669" s="6" t="s">
        <v>104</v>
      </c>
      <c r="AB1669" s="6" t="s">
        <v>104</v>
      </c>
      <c r="AC1669" s="6" t="s">
        <v>9714</v>
      </c>
      <c r="AD1669" s="16" t="n">
        <v>44085</v>
      </c>
      <c r="AE1669" s="6" t="s">
        <v>11977</v>
      </c>
      <c r="AF1669" s="6" t="s">
        <v>104</v>
      </c>
      <c r="AG1669" s="6" t="s">
        <v>104</v>
      </c>
      <c r="AH1669" s="6" t="s">
        <v>14684</v>
      </c>
      <c r="AI1669" s="6" t="s">
        <v>104</v>
      </c>
      <c r="AJ1669" s="6" t="s">
        <v>16396</v>
      </c>
      <c r="AK1669" s="6" t="s">
        <v>16687</v>
      </c>
      <c r="AL1669" s="6" t="s">
        <v>16931</v>
      </c>
      <c r="AM1669" s="6" t="s">
        <v>18098</v>
      </c>
      <c r="AN1669" s="6" t="s">
        <v>18464</v>
      </c>
      <c r="AO1669" s="6" t="s">
        <v>18794</v>
      </c>
      <c r="AP1669" s="6" t="s">
        <v>19395</v>
      </c>
      <c r="AQ1669" s="6" t="s">
        <v>104</v>
      </c>
      <c r="AR1669" s="6" t="s">
        <v>16396</v>
      </c>
      <c r="AS1669" s="6" t="s">
        <v>16687</v>
      </c>
      <c r="AT1669" s="6" t="s">
        <v>16931</v>
      </c>
      <c r="AU1669" s="6" t="s">
        <v>18098</v>
      </c>
      <c r="AV1669" s="6" t="s">
        <v>104</v>
      </c>
      <c r="AW1669" s="6" t="s">
        <v>104</v>
      </c>
      <c r="AX1669" s="6" t="s">
        <v>21420</v>
      </c>
      <c r="AY1669" s="6" t="s">
        <v>23222</v>
      </c>
      <c r="AZ1669" s="6" t="s">
        <v>104</v>
      </c>
      <c r="BA1669" s="6" t="s">
        <v>104</v>
      </c>
      <c r="BB1669" s="6" t="s">
        <v>104</v>
      </c>
      <c r="BC1669" s="26"/>
      <c r="BD1669" s="26"/>
      <c r="BE1669" s="26"/>
      <c r="BF1669" s="26"/>
      <c r="BG1669" s="26"/>
      <c r="BH1669" s="26"/>
      <c r="BI1669" s="26"/>
      <c r="BJ1669" s="26"/>
      <c r="BK1669" s="26"/>
      <c r="BL1669" s="26"/>
      <c r="BM1669" s="26"/>
      <c r="BN1669" s="26"/>
      <c r="BO1669" s="26"/>
      <c r="BP1669" s="16" t="n">
        <v>45667</v>
      </c>
      <c r="BQ1669" s="28" t="str">
        <f>HYPERLINK("https://organic.ams.usda.gov/Integrity/Certificate.aspx?cid=15&amp;nopid=5561000376")</f>
        <v>https://organic.ams.usda.gov/Integrity/Certificate.aspx?cid=15&amp;nopid=5561000376</v>
      </c>
    </row>
    <row r="1670">
      <c r="A1670" t="s">
        <v>3</v>
      </c>
      <c r="B1670" s="6" t="s">
        <v>34</v>
      </c>
      <c r="C1670" s="6" t="s">
        <v>100</v>
      </c>
      <c r="D1670" s="6" t="s">
        <v>165</v>
      </c>
      <c r="E1670" s="10" t="s">
        <v>1868</v>
      </c>
      <c r="F1670" s="6" t="s">
        <v>4097</v>
      </c>
      <c r="G1670" s="6" t="s">
        <v>104</v>
      </c>
      <c r="H1670" s="6" t="s">
        <v>6404</v>
      </c>
      <c r="I1670" s="6" t="s">
        <v>7879</v>
      </c>
      <c r="J1670" s="6" t="s">
        <v>9337</v>
      </c>
      <c r="K1670" s="6" t="s">
        <v>9714</v>
      </c>
      <c r="L1670" s="16" t="n">
        <v>42359</v>
      </c>
      <c r="M1670" s="16" t="n">
        <v>45818</v>
      </c>
      <c r="N1670" s="6" t="s">
        <v>104</v>
      </c>
      <c r="O1670" s="21" t="s">
        <v>104</v>
      </c>
      <c r="P1670" s="6" t="s">
        <v>104</v>
      </c>
      <c r="Q1670" s="6" t="s">
        <v>104</v>
      </c>
      <c r="R1670" s="6" t="s">
        <v>104</v>
      </c>
      <c r="S1670" s="6" t="s">
        <v>104</v>
      </c>
      <c r="T1670" s="21" t="s">
        <v>104</v>
      </c>
      <c r="U1670" s="6" t="s">
        <v>104</v>
      </c>
      <c r="V1670" s="6" t="s">
        <v>104</v>
      </c>
      <c r="W1670" s="6" t="s">
        <v>104</v>
      </c>
      <c r="X1670" s="6" t="s">
        <v>104</v>
      </c>
      <c r="Y1670" s="21" t="s">
        <v>104</v>
      </c>
      <c r="Z1670" s="6" t="s">
        <v>104</v>
      </c>
      <c r="AA1670" s="6" t="s">
        <v>104</v>
      </c>
      <c r="AB1670" s="6" t="s">
        <v>104</v>
      </c>
      <c r="AC1670" s="6" t="s">
        <v>9714</v>
      </c>
      <c r="AD1670" s="16" t="n">
        <v>42359</v>
      </c>
      <c r="AE1670" s="6" t="s">
        <v>11978</v>
      </c>
      <c r="AF1670" s="6" t="s">
        <v>104</v>
      </c>
      <c r="AG1670" s="6" t="s">
        <v>13003</v>
      </c>
      <c r="AH1670" s="6" t="s">
        <v>14685</v>
      </c>
      <c r="AI1670" s="6" t="s">
        <v>104</v>
      </c>
      <c r="AJ1670" s="6" t="s">
        <v>16397</v>
      </c>
      <c r="AK1670" s="6" t="s">
        <v>16710</v>
      </c>
      <c r="AL1670" s="6" t="s">
        <v>16931</v>
      </c>
      <c r="AM1670" s="6" t="s">
        <v>18099</v>
      </c>
      <c r="AN1670" s="6" t="s">
        <v>18505</v>
      </c>
      <c r="AO1670" s="6" t="s">
        <v>18873</v>
      </c>
      <c r="AP1670" s="6" t="s">
        <v>19396</v>
      </c>
      <c r="AQ1670" s="6" t="s">
        <v>104</v>
      </c>
      <c r="AR1670" s="6" t="s">
        <v>16398</v>
      </c>
      <c r="AS1670" s="6" t="s">
        <v>16710</v>
      </c>
      <c r="AT1670" s="6" t="s">
        <v>16931</v>
      </c>
      <c r="AU1670" s="6" t="s">
        <v>18099</v>
      </c>
      <c r="AV1670" s="6" t="s">
        <v>104</v>
      </c>
      <c r="AW1670" s="6" t="s">
        <v>104</v>
      </c>
      <c r="AX1670" s="6" t="s">
        <v>21421</v>
      </c>
      <c r="AY1670" s="6" t="s">
        <v>23223</v>
      </c>
      <c r="AZ1670" s="6" t="s">
        <v>24115</v>
      </c>
      <c r="BA1670" s="6" t="s">
        <v>104</v>
      </c>
      <c r="BB1670" s="6" t="s">
        <v>104</v>
      </c>
      <c r="BC1670" s="26"/>
      <c r="BD1670" s="26"/>
      <c r="BE1670" s="26"/>
      <c r="BF1670" s="26"/>
      <c r="BG1670" s="26"/>
      <c r="BH1670" s="26"/>
      <c r="BI1670" s="26"/>
      <c r="BJ1670" s="26"/>
      <c r="BK1670" s="26"/>
      <c r="BL1670" s="26"/>
      <c r="BM1670" s="26"/>
      <c r="BN1670" s="26"/>
      <c r="BO1670" s="26"/>
      <c r="BP1670" s="16" t="n">
        <v>45737</v>
      </c>
      <c r="BQ1670" s="28" t="str">
        <f>HYPERLINK("https://organic.ams.usda.gov/Integrity/Certificate.aspx?cid=71&amp;nopid=5520261829")</f>
        <v>https://organic.ams.usda.gov/Integrity/Certificate.aspx?cid=71&amp;nopid=5520261829</v>
      </c>
    </row>
    <row r="1671">
      <c r="A1671" t="s">
        <v>3</v>
      </c>
      <c r="B1671" s="6" t="s">
        <v>34</v>
      </c>
      <c r="C1671" s="6" t="s">
        <v>100</v>
      </c>
      <c r="D1671" s="6" t="s">
        <v>165</v>
      </c>
      <c r="E1671" s="10" t="s">
        <v>1869</v>
      </c>
      <c r="F1671" s="6" t="s">
        <v>4097</v>
      </c>
      <c r="G1671" s="6" t="s">
        <v>104</v>
      </c>
      <c r="H1671" s="6" t="s">
        <v>6405</v>
      </c>
      <c r="I1671" s="6" t="s">
        <v>7879</v>
      </c>
      <c r="J1671" s="6" t="s">
        <v>9337</v>
      </c>
      <c r="K1671" s="6" t="s">
        <v>9714</v>
      </c>
      <c r="L1671" s="16" t="n">
        <v>39766</v>
      </c>
      <c r="M1671" s="16" t="n">
        <v>45820</v>
      </c>
      <c r="N1671" s="6" t="s">
        <v>104</v>
      </c>
      <c r="O1671" s="21" t="s">
        <v>104</v>
      </c>
      <c r="P1671" s="6" t="s">
        <v>104</v>
      </c>
      <c r="Q1671" s="6" t="s">
        <v>104</v>
      </c>
      <c r="R1671" s="6" t="s">
        <v>104</v>
      </c>
      <c r="S1671" s="6" t="s">
        <v>104</v>
      </c>
      <c r="T1671" s="21" t="s">
        <v>104</v>
      </c>
      <c r="U1671" s="6" t="s">
        <v>104</v>
      </c>
      <c r="V1671" s="6" t="s">
        <v>104</v>
      </c>
      <c r="W1671" s="6" t="s">
        <v>104</v>
      </c>
      <c r="X1671" s="6" t="s">
        <v>104</v>
      </c>
      <c r="Y1671" s="21" t="s">
        <v>104</v>
      </c>
      <c r="Z1671" s="6" t="s">
        <v>104</v>
      </c>
      <c r="AA1671" s="6" t="s">
        <v>104</v>
      </c>
      <c r="AB1671" s="6" t="s">
        <v>104</v>
      </c>
      <c r="AC1671" s="6" t="s">
        <v>9714</v>
      </c>
      <c r="AD1671" s="16" t="n">
        <v>39766</v>
      </c>
      <c r="AE1671" s="6" t="s">
        <v>11979</v>
      </c>
      <c r="AF1671" s="6" t="s">
        <v>104</v>
      </c>
      <c r="AG1671" s="6" t="s">
        <v>13004</v>
      </c>
      <c r="AH1671" s="6" t="s">
        <v>14686</v>
      </c>
      <c r="AI1671" s="6" t="s">
        <v>104</v>
      </c>
      <c r="AJ1671" s="6" t="s">
        <v>16398</v>
      </c>
      <c r="AK1671" s="6" t="s">
        <v>16710</v>
      </c>
      <c r="AL1671" s="6" t="s">
        <v>16931</v>
      </c>
      <c r="AM1671" s="6" t="s">
        <v>18099</v>
      </c>
      <c r="AN1671" s="6" t="s">
        <v>18505</v>
      </c>
      <c r="AO1671" s="6" t="s">
        <v>18873</v>
      </c>
      <c r="AP1671" s="6" t="s">
        <v>19396</v>
      </c>
      <c r="AQ1671" s="6" t="s">
        <v>104</v>
      </c>
      <c r="AR1671" s="6" t="s">
        <v>16398</v>
      </c>
      <c r="AS1671" s="6" t="s">
        <v>16710</v>
      </c>
      <c r="AT1671" s="6" t="s">
        <v>16931</v>
      </c>
      <c r="AU1671" s="6" t="s">
        <v>18099</v>
      </c>
      <c r="AV1671" s="6" t="s">
        <v>104</v>
      </c>
      <c r="AW1671" s="6" t="s">
        <v>104</v>
      </c>
      <c r="AX1671" s="6" t="s">
        <v>21421</v>
      </c>
      <c r="AY1671" s="6" t="s">
        <v>23223</v>
      </c>
      <c r="AZ1671" s="6" t="s">
        <v>24115</v>
      </c>
      <c r="BA1671" s="6" t="s">
        <v>104</v>
      </c>
      <c r="BB1671" s="6" t="s">
        <v>104</v>
      </c>
      <c r="BC1671" s="26"/>
      <c r="BD1671" s="26"/>
      <c r="BE1671" s="26"/>
      <c r="BF1671" s="26"/>
      <c r="BG1671" s="26"/>
      <c r="BH1671" s="26"/>
      <c r="BI1671" s="26"/>
      <c r="BJ1671" s="26"/>
      <c r="BK1671" s="26"/>
      <c r="BL1671" s="26"/>
      <c r="BM1671" s="26"/>
      <c r="BN1671" s="26"/>
      <c r="BO1671" s="26"/>
      <c r="BP1671" s="16" t="n">
        <v>45737</v>
      </c>
      <c r="BQ1671" s="28" t="str">
        <f>HYPERLINK("https://organic.ams.usda.gov/Integrity/Certificate.aspx?cid=71&amp;nopid=5520031411")</f>
        <v>https://organic.ams.usda.gov/Integrity/Certificate.aspx?cid=71&amp;nopid=5520031411</v>
      </c>
    </row>
    <row r="1672">
      <c r="A1672" t="s">
        <v>3</v>
      </c>
      <c r="B1672" s="6" t="s">
        <v>11</v>
      </c>
      <c r="C1672" s="6" t="s">
        <v>77</v>
      </c>
      <c r="D1672" s="6" t="s">
        <v>142</v>
      </c>
      <c r="E1672" s="10" t="s">
        <v>1870</v>
      </c>
      <c r="F1672" s="6" t="s">
        <v>4098</v>
      </c>
      <c r="G1672" s="6" t="s">
        <v>104</v>
      </c>
      <c r="H1672" s="6" t="s">
        <v>1870</v>
      </c>
      <c r="I1672" s="6" t="s">
        <v>7880</v>
      </c>
      <c r="J1672" s="6" t="s">
        <v>9338</v>
      </c>
      <c r="K1672" s="6" t="s">
        <v>9714</v>
      </c>
      <c r="L1672" s="16" t="n">
        <v>44778</v>
      </c>
      <c r="M1672" s="16" t="n">
        <v>45821</v>
      </c>
      <c r="N1672" s="6" t="s">
        <v>104</v>
      </c>
      <c r="O1672" s="21" t="s">
        <v>104</v>
      </c>
      <c r="P1672" s="6" t="s">
        <v>104</v>
      </c>
      <c r="Q1672" s="6" t="s">
        <v>104</v>
      </c>
      <c r="R1672" s="6" t="s">
        <v>104</v>
      </c>
      <c r="S1672" s="6" t="s">
        <v>104</v>
      </c>
      <c r="T1672" s="21" t="s">
        <v>104</v>
      </c>
      <c r="U1672" s="6" t="s">
        <v>104</v>
      </c>
      <c r="V1672" s="6" t="s">
        <v>104</v>
      </c>
      <c r="W1672" s="6" t="s">
        <v>104</v>
      </c>
      <c r="X1672" s="6" t="s">
        <v>104</v>
      </c>
      <c r="Y1672" s="21" t="s">
        <v>104</v>
      </c>
      <c r="Z1672" s="6" t="s">
        <v>104</v>
      </c>
      <c r="AA1672" s="6" t="s">
        <v>104</v>
      </c>
      <c r="AB1672" s="6" t="s">
        <v>104</v>
      </c>
      <c r="AC1672" s="6" t="s">
        <v>9714</v>
      </c>
      <c r="AD1672" s="16" t="n">
        <v>44778</v>
      </c>
      <c r="AE1672" s="6" t="s">
        <v>11980</v>
      </c>
      <c r="AF1672" s="6" t="s">
        <v>104</v>
      </c>
      <c r="AG1672" s="6" t="s">
        <v>13005</v>
      </c>
      <c r="AH1672" s="6" t="s">
        <v>14687</v>
      </c>
      <c r="AI1672" s="6" t="s">
        <v>104</v>
      </c>
      <c r="AJ1672" s="6" t="s">
        <v>16399</v>
      </c>
      <c r="AK1672" s="6" t="s">
        <v>16882</v>
      </c>
      <c r="AL1672" s="6" t="s">
        <v>16932</v>
      </c>
      <c r="AM1672" s="6" t="s">
        <v>18100</v>
      </c>
      <c r="AN1672" s="6" t="s">
        <v>104</v>
      </c>
      <c r="AO1672" s="6" t="s">
        <v>104</v>
      </c>
      <c r="AP1672" s="6" t="s">
        <v>14687</v>
      </c>
      <c r="AQ1672" s="6" t="s">
        <v>104</v>
      </c>
      <c r="AR1672" s="6" t="s">
        <v>16399</v>
      </c>
      <c r="AS1672" s="6" t="s">
        <v>16882</v>
      </c>
      <c r="AT1672" s="6" t="s">
        <v>16932</v>
      </c>
      <c r="AU1672" s="6" t="s">
        <v>18100</v>
      </c>
      <c r="AV1672" s="6" t="s">
        <v>104</v>
      </c>
      <c r="AW1672" s="6" t="s">
        <v>104</v>
      </c>
      <c r="AX1672" s="6" t="s">
        <v>21422</v>
      </c>
      <c r="AY1672" s="6" t="s">
        <v>23224</v>
      </c>
      <c r="AZ1672" s="6" t="s">
        <v>104</v>
      </c>
      <c r="BA1672" s="6" t="s">
        <v>104</v>
      </c>
      <c r="BB1672" s="6" t="s">
        <v>104</v>
      </c>
      <c r="BC1672" s="26"/>
      <c r="BD1672" s="26"/>
      <c r="BE1672" s="26"/>
      <c r="BF1672" s="26"/>
      <c r="BG1672" s="26"/>
      <c r="BH1672" s="26"/>
      <c r="BI1672" s="26"/>
      <c r="BJ1672" s="26"/>
      <c r="BK1672" s="26"/>
      <c r="BL1672" s="26"/>
      <c r="BM1672" s="26"/>
      <c r="BN1672" s="26" t="s">
        <v>24533</v>
      </c>
      <c r="BO1672" s="26"/>
      <c r="BP1672" s="16" t="n">
        <v>45580</v>
      </c>
      <c r="BQ1672" s="28" t="str">
        <f>HYPERLINK("https://organic.ams.usda.gov/Integrity/Certificate.aspx?cid=21&amp;nopid=1780888852")</f>
        <v>https://organic.ams.usda.gov/Integrity/Certificate.aspx?cid=21&amp;nopid=1780888852</v>
      </c>
    </row>
    <row r="1673">
      <c r="A1673" t="s">
        <v>3</v>
      </c>
      <c r="B1673" s="6" t="s">
        <v>29</v>
      </c>
      <c r="C1673" s="6" t="s">
        <v>95</v>
      </c>
      <c r="D1673" s="6" t="s">
        <v>160</v>
      </c>
      <c r="E1673" s="10" t="s">
        <v>1871</v>
      </c>
      <c r="F1673" s="6" t="s">
        <v>4099</v>
      </c>
      <c r="G1673" s="6" t="s">
        <v>104</v>
      </c>
      <c r="H1673" s="6" t="s">
        <v>6406</v>
      </c>
      <c r="I1673" s="6" t="s">
        <v>104</v>
      </c>
      <c r="J1673" s="6" t="s">
        <v>9339</v>
      </c>
      <c r="K1673" s="6" t="s">
        <v>9714</v>
      </c>
      <c r="L1673" s="16" t="n">
        <v>45629</v>
      </c>
      <c r="M1673" s="16" t="n">
        <v>45778</v>
      </c>
      <c r="N1673" s="6" t="s">
        <v>104</v>
      </c>
      <c r="O1673" s="21" t="s">
        <v>104</v>
      </c>
      <c r="P1673" s="6" t="s">
        <v>104</v>
      </c>
      <c r="Q1673" s="6" t="s">
        <v>104</v>
      </c>
      <c r="R1673" s="6" t="s">
        <v>104</v>
      </c>
      <c r="S1673" s="6" t="s">
        <v>104</v>
      </c>
      <c r="T1673" s="21" t="s">
        <v>104</v>
      </c>
      <c r="U1673" s="6" t="s">
        <v>104</v>
      </c>
      <c r="V1673" s="6" t="s">
        <v>104</v>
      </c>
      <c r="W1673" s="6" t="s">
        <v>104</v>
      </c>
      <c r="X1673" s="6" t="s">
        <v>104</v>
      </c>
      <c r="Y1673" s="21" t="s">
        <v>104</v>
      </c>
      <c r="Z1673" s="6" t="s">
        <v>104</v>
      </c>
      <c r="AA1673" s="6" t="s">
        <v>104</v>
      </c>
      <c r="AB1673" s="6" t="s">
        <v>104</v>
      </c>
      <c r="AC1673" s="6" t="s">
        <v>9714</v>
      </c>
      <c r="AD1673" s="16" t="n">
        <v>45629</v>
      </c>
      <c r="AE1673" s="6" t="s">
        <v>11981</v>
      </c>
      <c r="AF1673" s="6" t="s">
        <v>104</v>
      </c>
      <c r="AG1673" s="6" t="s">
        <v>104</v>
      </c>
      <c r="AH1673" s="6" t="s">
        <v>14688</v>
      </c>
      <c r="AI1673" s="6" t="s">
        <v>104</v>
      </c>
      <c r="AJ1673" s="6" t="s">
        <v>16400</v>
      </c>
      <c r="AK1673" s="6" t="s">
        <v>16883</v>
      </c>
      <c r="AL1673" s="6" t="s">
        <v>16948</v>
      </c>
      <c r="AM1673" s="6" t="s">
        <v>104</v>
      </c>
      <c r="AN1673" s="6" t="s">
        <v>104</v>
      </c>
      <c r="AO1673" s="6" t="s">
        <v>104</v>
      </c>
      <c r="AP1673" s="6" t="s">
        <v>104</v>
      </c>
      <c r="AQ1673" s="6" t="s">
        <v>104</v>
      </c>
      <c r="AR1673" s="6" t="s">
        <v>104</v>
      </c>
      <c r="AS1673" s="6" t="s">
        <v>104</v>
      </c>
      <c r="AT1673" s="6" t="s">
        <v>104</v>
      </c>
      <c r="AU1673" s="6" t="s">
        <v>104</v>
      </c>
      <c r="AV1673" s="6" t="s">
        <v>104</v>
      </c>
      <c r="AW1673" s="6" t="s">
        <v>104</v>
      </c>
      <c r="AX1673" s="6" t="s">
        <v>21423</v>
      </c>
      <c r="AY1673" s="6" t="s">
        <v>23225</v>
      </c>
      <c r="AZ1673" s="6" t="s">
        <v>104</v>
      </c>
      <c r="BA1673" s="6" t="s">
        <v>104</v>
      </c>
      <c r="BB1673" s="24" t="n">
        <v>0</v>
      </c>
      <c r="BC1673" s="26"/>
      <c r="BD1673" s="26"/>
      <c r="BE1673" s="26"/>
      <c r="BF1673" s="26"/>
      <c r="BG1673" s="26"/>
      <c r="BH1673" s="26"/>
      <c r="BI1673" s="26"/>
      <c r="BJ1673" s="26"/>
      <c r="BK1673" s="26"/>
      <c r="BL1673" s="26"/>
      <c r="BM1673" s="26"/>
      <c r="BN1673" s="26"/>
      <c r="BO1673" s="26"/>
      <c r="BP1673" s="16" t="n">
        <v>45633</v>
      </c>
      <c r="BQ1673" s="28" t="str">
        <f>HYPERLINK("https://organic.ams.usda.gov/Integrity/Certificate.aspx?cid=24&amp;nopid=7880300593")</f>
        <v>https://organic.ams.usda.gov/Integrity/Certificate.aspx?cid=24&amp;nopid=7880300593</v>
      </c>
    </row>
    <row r="1674">
      <c r="A1674" t="s">
        <v>3</v>
      </c>
      <c r="B1674" s="6" t="s">
        <v>18</v>
      </c>
      <c r="C1674" s="6" t="s">
        <v>84</v>
      </c>
      <c r="D1674" s="6" t="s">
        <v>149</v>
      </c>
      <c r="E1674" s="10" t="s">
        <v>1872</v>
      </c>
      <c r="F1674" s="6" t="s">
        <v>4100</v>
      </c>
      <c r="G1674" s="6" t="s">
        <v>4837</v>
      </c>
      <c r="H1674" s="6" t="s">
        <v>6407</v>
      </c>
      <c r="I1674" s="6" t="s">
        <v>7695</v>
      </c>
      <c r="J1674" s="6" t="s">
        <v>9340</v>
      </c>
      <c r="K1674" s="6" t="s">
        <v>9714</v>
      </c>
      <c r="L1674" s="16" t="n">
        <v>41136</v>
      </c>
      <c r="M1674" s="16" t="n">
        <v>45870</v>
      </c>
      <c r="N1674" s="6" t="s">
        <v>9714</v>
      </c>
      <c r="O1674" s="16" t="n">
        <v>41136</v>
      </c>
      <c r="P1674" s="6" t="s">
        <v>10169</v>
      </c>
      <c r="Q1674" s="6" t="s">
        <v>104</v>
      </c>
      <c r="R1674" s="6" t="s">
        <v>10420</v>
      </c>
      <c r="S1674" s="6" t="s">
        <v>104</v>
      </c>
      <c r="T1674" s="21" t="s">
        <v>104</v>
      </c>
      <c r="U1674" s="6" t="s">
        <v>104</v>
      </c>
      <c r="V1674" s="6" t="s">
        <v>104</v>
      </c>
      <c r="W1674" s="6" t="s">
        <v>104</v>
      </c>
      <c r="X1674" s="6" t="s">
        <v>104</v>
      </c>
      <c r="Y1674" s="21" t="s">
        <v>104</v>
      </c>
      <c r="Z1674" s="6" t="s">
        <v>104</v>
      </c>
      <c r="AA1674" s="6" t="s">
        <v>104</v>
      </c>
      <c r="AB1674" s="6" t="s">
        <v>104</v>
      </c>
      <c r="AC1674" s="6" t="s">
        <v>9714</v>
      </c>
      <c r="AD1674" s="16" t="n">
        <v>45117</v>
      </c>
      <c r="AE1674" s="6" t="s">
        <v>11982</v>
      </c>
      <c r="AF1674" s="6" t="s">
        <v>104</v>
      </c>
      <c r="AG1674" s="6" t="s">
        <v>13006</v>
      </c>
      <c r="AH1674" s="6" t="s">
        <v>14689</v>
      </c>
      <c r="AI1674" s="6" t="s">
        <v>104</v>
      </c>
      <c r="AJ1674" s="6" t="s">
        <v>16401</v>
      </c>
      <c r="AK1674" s="6" t="s">
        <v>16791</v>
      </c>
      <c r="AL1674" s="6" t="s">
        <v>16931</v>
      </c>
      <c r="AM1674" s="6" t="s">
        <v>18101</v>
      </c>
      <c r="AN1674" s="6" t="s">
        <v>18492</v>
      </c>
      <c r="AO1674" s="6" t="s">
        <v>18692</v>
      </c>
      <c r="AP1674" s="6" t="s">
        <v>104</v>
      </c>
      <c r="AQ1674" s="6" t="s">
        <v>104</v>
      </c>
      <c r="AR1674" s="6" t="s">
        <v>104</v>
      </c>
      <c r="AS1674" s="6" t="s">
        <v>104</v>
      </c>
      <c r="AT1674" s="6" t="s">
        <v>104</v>
      </c>
      <c r="AU1674" s="6" t="s">
        <v>104</v>
      </c>
      <c r="AV1674" s="6" t="s">
        <v>104</v>
      </c>
      <c r="AW1674" s="6" t="s">
        <v>104</v>
      </c>
      <c r="AX1674" s="6" t="s">
        <v>21424</v>
      </c>
      <c r="AY1674" s="6" t="s">
        <v>23226</v>
      </c>
      <c r="AZ1674" s="6" t="s">
        <v>104</v>
      </c>
      <c r="BA1674" s="6" t="s">
        <v>24265</v>
      </c>
      <c r="BB1674" s="24" t="n">
        <v>7841</v>
      </c>
      <c r="BC1674" s="26"/>
      <c r="BD1674" s="26"/>
      <c r="BE1674" s="26"/>
      <c r="BF1674" s="26"/>
      <c r="BG1674" s="26"/>
      <c r="BH1674" s="26"/>
      <c r="BI1674" s="26"/>
      <c r="BJ1674" s="26"/>
      <c r="BK1674" s="26"/>
      <c r="BL1674" s="26"/>
      <c r="BM1674" s="26"/>
      <c r="BN1674" s="26"/>
      <c r="BO1674" s="26"/>
      <c r="BP1674" s="16" t="n">
        <v>45737</v>
      </c>
      <c r="BQ1674" s="28" t="str">
        <f>HYPERLINK("https://organic.ams.usda.gov/Integrity/Certificate.aspx?cid=31&amp;nopid=3928971186")</f>
        <v>https://organic.ams.usda.gov/Integrity/Certificate.aspx?cid=31&amp;nopid=3928971186</v>
      </c>
    </row>
    <row r="1675">
      <c r="A1675" t="s">
        <v>3</v>
      </c>
      <c r="B1675" s="6" t="s">
        <v>6</v>
      </c>
      <c r="C1675" s="6" t="s">
        <v>72</v>
      </c>
      <c r="D1675" s="6" t="s">
        <v>137</v>
      </c>
      <c r="E1675" s="10" t="s">
        <v>1873</v>
      </c>
      <c r="F1675" s="6" t="s">
        <v>4101</v>
      </c>
      <c r="G1675" s="6" t="s">
        <v>104</v>
      </c>
      <c r="H1675" s="6" t="s">
        <v>6408</v>
      </c>
      <c r="I1675" s="6" t="s">
        <v>7881</v>
      </c>
      <c r="J1675" s="6" t="s">
        <v>9341</v>
      </c>
      <c r="K1675" s="6" t="s">
        <v>9714</v>
      </c>
      <c r="L1675" s="16" t="n">
        <v>45379</v>
      </c>
      <c r="M1675" s="16" t="n">
        <v>45720</v>
      </c>
      <c r="N1675" s="6" t="s">
        <v>104</v>
      </c>
      <c r="O1675" s="21" t="s">
        <v>104</v>
      </c>
      <c r="P1675" s="6" t="s">
        <v>104</v>
      </c>
      <c r="Q1675" s="6" t="s">
        <v>104</v>
      </c>
      <c r="R1675" s="6" t="s">
        <v>104</v>
      </c>
      <c r="S1675" s="6" t="s">
        <v>104</v>
      </c>
      <c r="T1675" s="21" t="s">
        <v>104</v>
      </c>
      <c r="U1675" s="6" t="s">
        <v>104</v>
      </c>
      <c r="V1675" s="6" t="s">
        <v>104</v>
      </c>
      <c r="W1675" s="6" t="s">
        <v>104</v>
      </c>
      <c r="X1675" s="6" t="s">
        <v>104</v>
      </c>
      <c r="Y1675" s="21" t="s">
        <v>104</v>
      </c>
      <c r="Z1675" s="6" t="s">
        <v>104</v>
      </c>
      <c r="AA1675" s="6" t="s">
        <v>104</v>
      </c>
      <c r="AB1675" s="6" t="s">
        <v>104</v>
      </c>
      <c r="AC1675" s="6" t="s">
        <v>9714</v>
      </c>
      <c r="AD1675" s="16" t="n">
        <v>45379</v>
      </c>
      <c r="AE1675" s="6" t="s">
        <v>11983</v>
      </c>
      <c r="AF1675" s="6" t="s">
        <v>104</v>
      </c>
      <c r="AG1675" s="6" t="s">
        <v>13007</v>
      </c>
      <c r="AH1675" s="6" t="s">
        <v>14690</v>
      </c>
      <c r="AI1675" s="6" t="s">
        <v>104</v>
      </c>
      <c r="AJ1675" s="6" t="s">
        <v>16402</v>
      </c>
      <c r="AK1675" s="6" t="s">
        <v>16800</v>
      </c>
      <c r="AL1675" s="6" t="s">
        <v>16930</v>
      </c>
      <c r="AM1675" s="6" t="s">
        <v>18102</v>
      </c>
      <c r="AN1675" s="6" t="s">
        <v>104</v>
      </c>
      <c r="AO1675" s="6" t="s">
        <v>104</v>
      </c>
      <c r="AP1675" s="6" t="s">
        <v>104</v>
      </c>
      <c r="AQ1675" s="6" t="s">
        <v>104</v>
      </c>
      <c r="AR1675" s="6" t="s">
        <v>104</v>
      </c>
      <c r="AS1675" s="6" t="s">
        <v>104</v>
      </c>
      <c r="AT1675" s="6" t="s">
        <v>104</v>
      </c>
      <c r="AU1675" s="6" t="s">
        <v>104</v>
      </c>
      <c r="AV1675" s="6" t="s">
        <v>104</v>
      </c>
      <c r="AW1675" s="6" t="s">
        <v>104</v>
      </c>
      <c r="AX1675" s="6" t="s">
        <v>104</v>
      </c>
      <c r="AY1675" s="6" t="s">
        <v>23227</v>
      </c>
      <c r="AZ1675" s="6" t="s">
        <v>104</v>
      </c>
      <c r="BA1675" s="6" t="s">
        <v>104</v>
      </c>
      <c r="BB1675" s="6" t="s">
        <v>104</v>
      </c>
      <c r="BC1675" s="26"/>
      <c r="BD1675" s="26"/>
      <c r="BE1675" s="26"/>
      <c r="BF1675" s="26"/>
      <c r="BG1675" s="26"/>
      <c r="BH1675" s="26"/>
      <c r="BI1675" s="26"/>
      <c r="BJ1675" s="26"/>
      <c r="BK1675" s="26"/>
      <c r="BL1675" s="26"/>
      <c r="BM1675" s="26"/>
      <c r="BN1675" s="26"/>
      <c r="BO1675" s="26"/>
      <c r="BP1675" s="16" t="n">
        <v>45737</v>
      </c>
      <c r="BQ1675" s="28" t="str">
        <f>HYPERLINK("https://organic.ams.usda.gov/Integrity/Certificate.aspx?cid=32&amp;nopid=2230008594")</f>
        <v>https://organic.ams.usda.gov/Integrity/Certificate.aspx?cid=32&amp;nopid=2230008594</v>
      </c>
    </row>
    <row r="1676">
      <c r="A1676" t="s">
        <v>3</v>
      </c>
      <c r="B1676" s="6" t="s">
        <v>45</v>
      </c>
      <c r="C1676" s="6" t="s">
        <v>111</v>
      </c>
      <c r="D1676" s="6" t="s">
        <v>175</v>
      </c>
      <c r="E1676" s="10" t="s">
        <v>1874</v>
      </c>
      <c r="F1676" s="6" t="s">
        <v>4102</v>
      </c>
      <c r="G1676" s="6" t="s">
        <v>104</v>
      </c>
      <c r="H1676" s="6" t="s">
        <v>6409</v>
      </c>
      <c r="I1676" s="6" t="s">
        <v>7255</v>
      </c>
      <c r="J1676" s="6" t="s">
        <v>8506</v>
      </c>
      <c r="K1676" s="6" t="s">
        <v>9714</v>
      </c>
      <c r="L1676" s="16" t="n">
        <v>38552</v>
      </c>
      <c r="M1676" s="16" t="n">
        <v>46082</v>
      </c>
      <c r="N1676" s="6" t="s">
        <v>104</v>
      </c>
      <c r="O1676" s="21" t="s">
        <v>104</v>
      </c>
      <c r="P1676" s="6" t="s">
        <v>104</v>
      </c>
      <c r="Q1676" s="6" t="s">
        <v>104</v>
      </c>
      <c r="R1676" s="6" t="s">
        <v>104</v>
      </c>
      <c r="S1676" s="6" t="s">
        <v>104</v>
      </c>
      <c r="T1676" s="21" t="s">
        <v>104</v>
      </c>
      <c r="U1676" s="6" t="s">
        <v>104</v>
      </c>
      <c r="V1676" s="6" t="s">
        <v>104</v>
      </c>
      <c r="W1676" s="6" t="s">
        <v>104</v>
      </c>
      <c r="X1676" s="6" t="s">
        <v>104</v>
      </c>
      <c r="Y1676" s="21" t="s">
        <v>104</v>
      </c>
      <c r="Z1676" s="6" t="s">
        <v>104</v>
      </c>
      <c r="AA1676" s="6" t="s">
        <v>104</v>
      </c>
      <c r="AB1676" s="6" t="s">
        <v>104</v>
      </c>
      <c r="AC1676" s="6" t="s">
        <v>9714</v>
      </c>
      <c r="AD1676" s="16" t="n">
        <v>38552</v>
      </c>
      <c r="AE1676" s="6" t="s">
        <v>11984</v>
      </c>
      <c r="AF1676" s="6" t="s">
        <v>104</v>
      </c>
      <c r="AG1676" s="6" t="s">
        <v>4667</v>
      </c>
      <c r="AH1676" s="6" t="s">
        <v>14691</v>
      </c>
      <c r="AI1676" s="6" t="s">
        <v>104</v>
      </c>
      <c r="AJ1676" s="6" t="s">
        <v>15842</v>
      </c>
      <c r="AK1676" s="6" t="s">
        <v>16382</v>
      </c>
      <c r="AL1676" s="6" t="s">
        <v>16931</v>
      </c>
      <c r="AM1676" s="6" t="s">
        <v>18103</v>
      </c>
      <c r="AN1676" s="6" t="s">
        <v>104</v>
      </c>
      <c r="AO1676" s="6" t="s">
        <v>104</v>
      </c>
      <c r="AP1676" s="6" t="s">
        <v>13586</v>
      </c>
      <c r="AQ1676" s="6" t="s">
        <v>104</v>
      </c>
      <c r="AR1676" s="6" t="s">
        <v>15694</v>
      </c>
      <c r="AS1676" s="6" t="s">
        <v>16337</v>
      </c>
      <c r="AT1676" s="6" t="s">
        <v>16931</v>
      </c>
      <c r="AU1676" s="6" t="s">
        <v>17313</v>
      </c>
      <c r="AV1676" s="6" t="s">
        <v>5429</v>
      </c>
      <c r="AW1676" s="6" t="s">
        <v>20106</v>
      </c>
      <c r="AX1676" s="6" t="s">
        <v>20501</v>
      </c>
      <c r="AY1676" s="6" t="s">
        <v>22260</v>
      </c>
      <c r="AZ1676" s="6" t="s">
        <v>24116</v>
      </c>
      <c r="BA1676" s="6" t="s">
        <v>104</v>
      </c>
      <c r="BB1676" s="6" t="s">
        <v>104</v>
      </c>
      <c r="BC1676" s="26"/>
      <c r="BD1676" s="26"/>
      <c r="BE1676" s="26" t="s">
        <v>24533</v>
      </c>
      <c r="BF1676" s="26"/>
      <c r="BG1676" s="26"/>
      <c r="BH1676" s="26"/>
      <c r="BI1676" s="26"/>
      <c r="BJ1676" s="26"/>
      <c r="BK1676" s="26"/>
      <c r="BL1676" s="26"/>
      <c r="BM1676" s="26"/>
      <c r="BN1676" s="26"/>
      <c r="BO1676" s="26"/>
      <c r="BP1676" s="16" t="n">
        <v>45739</v>
      </c>
      <c r="BQ1676" s="28" t="str">
        <f>HYPERLINK("https://organic.ams.usda.gov/Integrity/Certificate.aspx?cid=82&amp;nopid=2780001521")</f>
        <v>https://organic.ams.usda.gov/Integrity/Certificate.aspx?cid=82&amp;nopid=2780001521</v>
      </c>
    </row>
    <row r="1677">
      <c r="A1677" t="s">
        <v>3</v>
      </c>
      <c r="B1677" s="6" t="s">
        <v>29</v>
      </c>
      <c r="C1677" s="6" t="s">
        <v>95</v>
      </c>
      <c r="D1677" s="6" t="s">
        <v>160</v>
      </c>
      <c r="E1677" s="10" t="s">
        <v>1875</v>
      </c>
      <c r="F1677" s="6" t="s">
        <v>4103</v>
      </c>
      <c r="G1677" s="6" t="s">
        <v>104</v>
      </c>
      <c r="H1677" s="6" t="s">
        <v>6410</v>
      </c>
      <c r="I1677" s="6" t="s">
        <v>104</v>
      </c>
      <c r="J1677" s="6" t="s">
        <v>9342</v>
      </c>
      <c r="K1677" s="6" t="s">
        <v>9714</v>
      </c>
      <c r="L1677" s="16" t="n">
        <v>45027</v>
      </c>
      <c r="M1677" s="16" t="n">
        <v>45778</v>
      </c>
      <c r="N1677" s="6" t="s">
        <v>104</v>
      </c>
      <c r="O1677" s="21" t="s">
        <v>104</v>
      </c>
      <c r="P1677" s="6" t="s">
        <v>104</v>
      </c>
      <c r="Q1677" s="6" t="s">
        <v>104</v>
      </c>
      <c r="R1677" s="6" t="s">
        <v>104</v>
      </c>
      <c r="S1677" s="6" t="s">
        <v>104</v>
      </c>
      <c r="T1677" s="21" t="s">
        <v>104</v>
      </c>
      <c r="U1677" s="6" t="s">
        <v>104</v>
      </c>
      <c r="V1677" s="6" t="s">
        <v>104</v>
      </c>
      <c r="W1677" s="6" t="s">
        <v>104</v>
      </c>
      <c r="X1677" s="6" t="s">
        <v>104</v>
      </c>
      <c r="Y1677" s="21" t="s">
        <v>104</v>
      </c>
      <c r="Z1677" s="6" t="s">
        <v>104</v>
      </c>
      <c r="AA1677" s="6" t="s">
        <v>104</v>
      </c>
      <c r="AB1677" s="6" t="s">
        <v>104</v>
      </c>
      <c r="AC1677" s="6" t="s">
        <v>9714</v>
      </c>
      <c r="AD1677" s="16" t="n">
        <v>45027</v>
      </c>
      <c r="AE1677" s="6" t="s">
        <v>11985</v>
      </c>
      <c r="AF1677" s="6" t="s">
        <v>104</v>
      </c>
      <c r="AG1677" s="6" t="s">
        <v>104</v>
      </c>
      <c r="AH1677" s="6" t="s">
        <v>14692</v>
      </c>
      <c r="AI1677" s="6" t="s">
        <v>104</v>
      </c>
      <c r="AJ1677" s="6" t="s">
        <v>104</v>
      </c>
      <c r="AK1677" s="6" t="s">
        <v>16697</v>
      </c>
      <c r="AL1677" s="6" t="s">
        <v>16932</v>
      </c>
      <c r="AM1677" s="6" t="s">
        <v>18104</v>
      </c>
      <c r="AN1677" s="6" t="s">
        <v>104</v>
      </c>
      <c r="AO1677" s="6" t="s">
        <v>104</v>
      </c>
      <c r="AP1677" s="6" t="s">
        <v>104</v>
      </c>
      <c r="AQ1677" s="6" t="s">
        <v>104</v>
      </c>
      <c r="AR1677" s="6" t="s">
        <v>104</v>
      </c>
      <c r="AS1677" s="6" t="s">
        <v>104</v>
      </c>
      <c r="AT1677" s="6" t="s">
        <v>104</v>
      </c>
      <c r="AU1677" s="6" t="s">
        <v>104</v>
      </c>
      <c r="AV1677" s="6" t="s">
        <v>104</v>
      </c>
      <c r="AW1677" s="6" t="s">
        <v>104</v>
      </c>
      <c r="AX1677" s="6" t="s">
        <v>21425</v>
      </c>
      <c r="AY1677" s="6" t="s">
        <v>23228</v>
      </c>
      <c r="AZ1677" s="6" t="s">
        <v>104</v>
      </c>
      <c r="BA1677" s="6" t="s">
        <v>24269</v>
      </c>
      <c r="BB1677" s="24" t="n">
        <v>0</v>
      </c>
      <c r="BC1677" s="26"/>
      <c r="BD1677" s="26"/>
      <c r="BE1677" s="26"/>
      <c r="BF1677" s="26"/>
      <c r="BG1677" s="26"/>
      <c r="BH1677" s="26"/>
      <c r="BI1677" s="26"/>
      <c r="BJ1677" s="26"/>
      <c r="BK1677" s="26"/>
      <c r="BL1677" s="26"/>
      <c r="BM1677" s="26"/>
      <c r="BN1677" s="26"/>
      <c r="BO1677" s="26"/>
      <c r="BP1677" s="16" t="n">
        <v>45680</v>
      </c>
      <c r="BQ1677" s="28" t="str">
        <f>HYPERLINK("https://organic.ams.usda.gov/Integrity/Certificate.aspx?cid=24&amp;nopid=7880277593")</f>
        <v>https://organic.ams.usda.gov/Integrity/Certificate.aspx?cid=24&amp;nopid=7880277593</v>
      </c>
    </row>
    <row r="1678">
      <c r="A1678" t="s">
        <v>3</v>
      </c>
      <c r="B1678" s="6" t="s">
        <v>36</v>
      </c>
      <c r="C1678" s="6" t="s">
        <v>102</v>
      </c>
      <c r="D1678" s="6" t="s">
        <v>167</v>
      </c>
      <c r="E1678" s="10" t="s">
        <v>1876</v>
      </c>
      <c r="F1678" s="6" t="s">
        <v>4104</v>
      </c>
      <c r="G1678" s="6" t="s">
        <v>104</v>
      </c>
      <c r="H1678" s="6" t="s">
        <v>6411</v>
      </c>
      <c r="I1678" s="6" t="s">
        <v>7141</v>
      </c>
      <c r="J1678" s="6" t="s">
        <v>8199</v>
      </c>
      <c r="K1678" s="6" t="s">
        <v>9714</v>
      </c>
      <c r="L1678" s="16" t="n">
        <v>43930</v>
      </c>
      <c r="M1678" s="16" t="n">
        <v>45689</v>
      </c>
      <c r="N1678" s="6" t="s">
        <v>104</v>
      </c>
      <c r="O1678" s="21" t="s">
        <v>104</v>
      </c>
      <c r="P1678" s="6" t="s">
        <v>104</v>
      </c>
      <c r="Q1678" s="6" t="s">
        <v>104</v>
      </c>
      <c r="R1678" s="6" t="s">
        <v>104</v>
      </c>
      <c r="S1678" s="6" t="s">
        <v>104</v>
      </c>
      <c r="T1678" s="21" t="s">
        <v>104</v>
      </c>
      <c r="U1678" s="6" t="s">
        <v>104</v>
      </c>
      <c r="V1678" s="6" t="s">
        <v>104</v>
      </c>
      <c r="W1678" s="6" t="s">
        <v>104</v>
      </c>
      <c r="X1678" s="6" t="s">
        <v>104</v>
      </c>
      <c r="Y1678" s="21" t="s">
        <v>104</v>
      </c>
      <c r="Z1678" s="6" t="s">
        <v>104</v>
      </c>
      <c r="AA1678" s="6" t="s">
        <v>104</v>
      </c>
      <c r="AB1678" s="6" t="s">
        <v>104</v>
      </c>
      <c r="AC1678" s="6" t="s">
        <v>9714</v>
      </c>
      <c r="AD1678" s="16" t="n">
        <v>43930</v>
      </c>
      <c r="AE1678" s="6" t="s">
        <v>11986</v>
      </c>
      <c r="AF1678" s="6" t="s">
        <v>104</v>
      </c>
      <c r="AG1678" s="6" t="s">
        <v>104</v>
      </c>
      <c r="AH1678" s="6" t="s">
        <v>14693</v>
      </c>
      <c r="AI1678" s="6" t="s">
        <v>104</v>
      </c>
      <c r="AJ1678" s="6" t="s">
        <v>15415</v>
      </c>
      <c r="AK1678" s="6" t="s">
        <v>16705</v>
      </c>
      <c r="AL1678" s="6" t="s">
        <v>16931</v>
      </c>
      <c r="AM1678" s="6" t="s">
        <v>18105</v>
      </c>
      <c r="AN1678" s="6" t="s">
        <v>17550</v>
      </c>
      <c r="AO1678" s="6" t="s">
        <v>18702</v>
      </c>
      <c r="AP1678" s="6" t="s">
        <v>14693</v>
      </c>
      <c r="AQ1678" s="6" t="s">
        <v>104</v>
      </c>
      <c r="AR1678" s="6" t="s">
        <v>15415</v>
      </c>
      <c r="AS1678" s="6" t="s">
        <v>16705</v>
      </c>
      <c r="AT1678" s="6" t="s">
        <v>16931</v>
      </c>
      <c r="AU1678" s="6" t="s">
        <v>18105</v>
      </c>
      <c r="AV1678" s="6" t="s">
        <v>104</v>
      </c>
      <c r="AW1678" s="6" t="s">
        <v>104</v>
      </c>
      <c r="AX1678" s="6" t="s">
        <v>21426</v>
      </c>
      <c r="AY1678" s="6" t="s">
        <v>23229</v>
      </c>
      <c r="AZ1678" s="6" t="s">
        <v>24117</v>
      </c>
      <c r="BA1678" s="6" t="s">
        <v>104</v>
      </c>
      <c r="BB1678" s="6" t="s">
        <v>104</v>
      </c>
      <c r="BC1678" s="26"/>
      <c r="BD1678" s="26"/>
      <c r="BE1678" s="26"/>
      <c r="BF1678" s="26"/>
      <c r="BG1678" s="26"/>
      <c r="BH1678" s="26"/>
      <c r="BI1678" s="26"/>
      <c r="BJ1678" s="26"/>
      <c r="BK1678" s="26"/>
      <c r="BL1678" s="26"/>
      <c r="BM1678" s="26"/>
      <c r="BN1678" s="26"/>
      <c r="BO1678" s="26"/>
      <c r="BP1678" s="16" t="n">
        <v>45729</v>
      </c>
      <c r="BQ1678" s="28" t="str">
        <f>HYPERLINK("https://organic.ams.usda.gov/Integrity/Certificate.aspx?cid=61&amp;nopid=7270001656")</f>
        <v>https://organic.ams.usda.gov/Integrity/Certificate.aspx?cid=61&amp;nopid=7270001656</v>
      </c>
    </row>
    <row r="1679">
      <c r="A1679" t="s">
        <v>3</v>
      </c>
      <c r="B1679" s="6" t="s">
        <v>13</v>
      </c>
      <c r="C1679" s="6" t="s">
        <v>79</v>
      </c>
      <c r="D1679" s="6" t="s">
        <v>144</v>
      </c>
      <c r="E1679" s="10" t="s">
        <v>1877</v>
      </c>
      <c r="F1679" s="6" t="s">
        <v>4105</v>
      </c>
      <c r="G1679" s="6" t="s">
        <v>104</v>
      </c>
      <c r="H1679" s="6" t="s">
        <v>6412</v>
      </c>
      <c r="I1679" s="6" t="s">
        <v>7882</v>
      </c>
      <c r="J1679" s="6" t="s">
        <v>9343</v>
      </c>
      <c r="K1679" s="6" t="s">
        <v>9714</v>
      </c>
      <c r="L1679" s="16" t="n">
        <v>42486</v>
      </c>
      <c r="M1679" s="16" t="n">
        <v>45748</v>
      </c>
      <c r="N1679" s="6" t="s">
        <v>9714</v>
      </c>
      <c r="O1679" s="16" t="n">
        <v>42486</v>
      </c>
      <c r="P1679" s="6" t="s">
        <v>10170</v>
      </c>
      <c r="Q1679" s="6" t="s">
        <v>104</v>
      </c>
      <c r="R1679" s="6" t="s">
        <v>104</v>
      </c>
      <c r="S1679" s="6" t="s">
        <v>104</v>
      </c>
      <c r="T1679" s="21" t="s">
        <v>104</v>
      </c>
      <c r="U1679" s="6" t="s">
        <v>104</v>
      </c>
      <c r="V1679" s="6" t="s">
        <v>104</v>
      </c>
      <c r="W1679" s="6" t="s">
        <v>104</v>
      </c>
      <c r="X1679" s="6" t="s">
        <v>104</v>
      </c>
      <c r="Y1679" s="21" t="s">
        <v>104</v>
      </c>
      <c r="Z1679" s="6" t="s">
        <v>104</v>
      </c>
      <c r="AA1679" s="6" t="s">
        <v>104</v>
      </c>
      <c r="AB1679" s="6" t="s">
        <v>104</v>
      </c>
      <c r="AC1679" s="6" t="s">
        <v>104</v>
      </c>
      <c r="AD1679" s="21" t="s">
        <v>104</v>
      </c>
      <c r="AE1679" s="6" t="s">
        <v>104</v>
      </c>
      <c r="AF1679" s="6" t="s">
        <v>104</v>
      </c>
      <c r="AG1679" s="6" t="s">
        <v>104</v>
      </c>
      <c r="AH1679" s="6" t="s">
        <v>104</v>
      </c>
      <c r="AI1679" s="6" t="s">
        <v>104</v>
      </c>
      <c r="AJ1679" s="6" t="s">
        <v>104</v>
      </c>
      <c r="AK1679" s="6" t="s">
        <v>104</v>
      </c>
      <c r="AL1679" s="6" t="s">
        <v>104</v>
      </c>
      <c r="AM1679" s="6" t="s">
        <v>104</v>
      </c>
      <c r="AN1679" s="6" t="s">
        <v>104</v>
      </c>
      <c r="AO1679" s="6" t="s">
        <v>104</v>
      </c>
      <c r="AP1679" s="6" t="s">
        <v>19397</v>
      </c>
      <c r="AQ1679" s="6" t="s">
        <v>104</v>
      </c>
      <c r="AR1679" s="6" t="s">
        <v>19745</v>
      </c>
      <c r="AS1679" s="6" t="s">
        <v>16687</v>
      </c>
      <c r="AT1679" s="6" t="s">
        <v>16931</v>
      </c>
      <c r="AU1679" s="6" t="s">
        <v>20013</v>
      </c>
      <c r="AV1679" s="6" t="s">
        <v>18473</v>
      </c>
      <c r="AW1679" s="6" t="s">
        <v>18916</v>
      </c>
      <c r="AX1679" s="6" t="s">
        <v>21427</v>
      </c>
      <c r="AY1679" s="6" t="s">
        <v>23230</v>
      </c>
      <c r="AZ1679" s="6" t="s">
        <v>104</v>
      </c>
      <c r="BA1679" s="6" t="s">
        <v>104</v>
      </c>
      <c r="BB1679" s="24" t="n">
        <v>752</v>
      </c>
      <c r="BC1679" s="26"/>
      <c r="BD1679" s="26"/>
      <c r="BE1679" s="26"/>
      <c r="BF1679" s="26"/>
      <c r="BG1679" s="26"/>
      <c r="BH1679" s="26"/>
      <c r="BI1679" s="26"/>
      <c r="BJ1679" s="26"/>
      <c r="BK1679" s="26"/>
      <c r="BL1679" s="26"/>
      <c r="BM1679" s="26"/>
      <c r="BN1679" s="26"/>
      <c r="BO1679" s="26"/>
      <c r="BP1679" s="16" t="n">
        <v>45631</v>
      </c>
      <c r="BQ1679" s="28" t="str">
        <f>HYPERLINK("https://organic.ams.usda.gov/Integrity/Certificate.aspx?cid=62&amp;nopid=8150002068")</f>
        <v>https://organic.ams.usda.gov/Integrity/Certificate.aspx?cid=62&amp;nopid=8150002068</v>
      </c>
    </row>
    <row r="1680">
      <c r="A1680" t="s">
        <v>3</v>
      </c>
      <c r="B1680" s="6" t="s">
        <v>29</v>
      </c>
      <c r="C1680" s="6" t="s">
        <v>95</v>
      </c>
      <c r="D1680" s="6" t="s">
        <v>160</v>
      </c>
      <c r="E1680" s="10" t="s">
        <v>1878</v>
      </c>
      <c r="F1680" s="6" t="s">
        <v>4106</v>
      </c>
      <c r="G1680" s="6" t="s">
        <v>104</v>
      </c>
      <c r="H1680" s="6" t="s">
        <v>6413</v>
      </c>
      <c r="I1680" s="6" t="s">
        <v>104</v>
      </c>
      <c r="J1680" s="6" t="s">
        <v>9344</v>
      </c>
      <c r="K1680" s="6" t="s">
        <v>9714</v>
      </c>
      <c r="L1680" s="16" t="n">
        <v>45126</v>
      </c>
      <c r="M1680" s="16" t="n">
        <v>45870</v>
      </c>
      <c r="N1680" s="6" t="s">
        <v>9714</v>
      </c>
      <c r="O1680" s="16" t="n">
        <v>45126</v>
      </c>
      <c r="P1680" s="6" t="s">
        <v>10171</v>
      </c>
      <c r="Q1680" s="6" t="s">
        <v>104</v>
      </c>
      <c r="R1680" s="6" t="s">
        <v>104</v>
      </c>
      <c r="S1680" s="6" t="s">
        <v>104</v>
      </c>
      <c r="T1680" s="21" t="s">
        <v>104</v>
      </c>
      <c r="U1680" s="6" t="s">
        <v>104</v>
      </c>
      <c r="V1680" s="6" t="s">
        <v>104</v>
      </c>
      <c r="W1680" s="6" t="s">
        <v>104</v>
      </c>
      <c r="X1680" s="6" t="s">
        <v>104</v>
      </c>
      <c r="Y1680" s="21" t="s">
        <v>104</v>
      </c>
      <c r="Z1680" s="6" t="s">
        <v>104</v>
      </c>
      <c r="AA1680" s="6" t="s">
        <v>104</v>
      </c>
      <c r="AB1680" s="6" t="s">
        <v>104</v>
      </c>
      <c r="AC1680" s="6" t="s">
        <v>9714</v>
      </c>
      <c r="AD1680" s="16" t="n">
        <v>45126</v>
      </c>
      <c r="AE1680" s="6" t="s">
        <v>11987</v>
      </c>
      <c r="AF1680" s="6" t="s">
        <v>104</v>
      </c>
      <c r="AG1680" s="6" t="s">
        <v>104</v>
      </c>
      <c r="AH1680" s="6" t="s">
        <v>14694</v>
      </c>
      <c r="AI1680" s="6" t="s">
        <v>104</v>
      </c>
      <c r="AJ1680" s="6" t="s">
        <v>15837</v>
      </c>
      <c r="AK1680" s="6" t="s">
        <v>104</v>
      </c>
      <c r="AL1680" s="6" t="s">
        <v>16948</v>
      </c>
      <c r="AM1680" s="6" t="s">
        <v>18106</v>
      </c>
      <c r="AN1680" s="6" t="s">
        <v>104</v>
      </c>
      <c r="AO1680" s="6" t="s">
        <v>104</v>
      </c>
      <c r="AP1680" s="6" t="s">
        <v>104</v>
      </c>
      <c r="AQ1680" s="6" t="s">
        <v>104</v>
      </c>
      <c r="AR1680" s="6" t="s">
        <v>104</v>
      </c>
      <c r="AS1680" s="6" t="s">
        <v>104</v>
      </c>
      <c r="AT1680" s="6" t="s">
        <v>104</v>
      </c>
      <c r="AU1680" s="6" t="s">
        <v>104</v>
      </c>
      <c r="AV1680" s="6" t="s">
        <v>104</v>
      </c>
      <c r="AW1680" s="6" t="s">
        <v>104</v>
      </c>
      <c r="AX1680" s="6" t="s">
        <v>21428</v>
      </c>
      <c r="AY1680" s="6" t="s">
        <v>23231</v>
      </c>
      <c r="AZ1680" s="6" t="s">
        <v>104</v>
      </c>
      <c r="BA1680" s="6" t="s">
        <v>104</v>
      </c>
      <c r="BB1680" s="24" t="n">
        <v>0</v>
      </c>
      <c r="BC1680" s="26"/>
      <c r="BD1680" s="26"/>
      <c r="BE1680" s="26"/>
      <c r="BF1680" s="26"/>
      <c r="BG1680" s="26"/>
      <c r="BH1680" s="26"/>
      <c r="BI1680" s="26"/>
      <c r="BJ1680" s="26"/>
      <c r="BK1680" s="26"/>
      <c r="BL1680" s="26"/>
      <c r="BM1680" s="26"/>
      <c r="BN1680" s="26"/>
      <c r="BO1680" s="26"/>
      <c r="BP1680" s="16" t="n">
        <v>45738</v>
      </c>
      <c r="BQ1680" s="28" t="str">
        <f>HYPERLINK("https://organic.ams.usda.gov/Integrity/Certificate.aspx?cid=24&amp;nopid=7880167660")</f>
        <v>https://organic.ams.usda.gov/Integrity/Certificate.aspx?cid=24&amp;nopid=7880167660</v>
      </c>
    </row>
    <row r="1681">
      <c r="A1681" t="s">
        <v>3</v>
      </c>
      <c r="B1681" s="6" t="s">
        <v>32</v>
      </c>
      <c r="C1681" s="6" t="s">
        <v>98</v>
      </c>
      <c r="D1681" s="6" t="s">
        <v>163</v>
      </c>
      <c r="E1681" s="10" t="s">
        <v>1879</v>
      </c>
      <c r="F1681" s="6" t="s">
        <v>4107</v>
      </c>
      <c r="G1681" s="6" t="s">
        <v>104</v>
      </c>
      <c r="H1681" s="6" t="s">
        <v>6414</v>
      </c>
      <c r="I1681" s="6" t="s">
        <v>7132</v>
      </c>
      <c r="J1681" s="6" t="s">
        <v>9345</v>
      </c>
      <c r="K1681" s="6" t="s">
        <v>9714</v>
      </c>
      <c r="L1681" s="16" t="n">
        <v>37043</v>
      </c>
      <c r="M1681" s="16" t="n">
        <v>45748</v>
      </c>
      <c r="N1681" s="6" t="s">
        <v>104</v>
      </c>
      <c r="O1681" s="21" t="s">
        <v>104</v>
      </c>
      <c r="P1681" s="6" t="s">
        <v>104</v>
      </c>
      <c r="Q1681" s="6" t="s">
        <v>104</v>
      </c>
      <c r="R1681" s="6" t="s">
        <v>104</v>
      </c>
      <c r="S1681" s="6" t="s">
        <v>104</v>
      </c>
      <c r="T1681" s="21" t="s">
        <v>104</v>
      </c>
      <c r="U1681" s="6" t="s">
        <v>104</v>
      </c>
      <c r="V1681" s="6" t="s">
        <v>104</v>
      </c>
      <c r="W1681" s="6" t="s">
        <v>104</v>
      </c>
      <c r="X1681" s="6" t="s">
        <v>104</v>
      </c>
      <c r="Y1681" s="21" t="s">
        <v>104</v>
      </c>
      <c r="Z1681" s="6" t="s">
        <v>104</v>
      </c>
      <c r="AA1681" s="6" t="s">
        <v>104</v>
      </c>
      <c r="AB1681" s="6" t="s">
        <v>104</v>
      </c>
      <c r="AC1681" s="6" t="s">
        <v>9714</v>
      </c>
      <c r="AD1681" s="16" t="n">
        <v>37043</v>
      </c>
      <c r="AE1681" s="6" t="s">
        <v>11988</v>
      </c>
      <c r="AF1681" s="6" t="s">
        <v>104</v>
      </c>
      <c r="AG1681" s="6" t="s">
        <v>104</v>
      </c>
      <c r="AH1681" s="6" t="s">
        <v>14695</v>
      </c>
      <c r="AI1681" s="6" t="s">
        <v>104</v>
      </c>
      <c r="AJ1681" s="6" t="s">
        <v>16403</v>
      </c>
      <c r="AK1681" s="6" t="s">
        <v>16683</v>
      </c>
      <c r="AL1681" s="6" t="s">
        <v>16931</v>
      </c>
      <c r="AM1681" s="6" t="s">
        <v>18107</v>
      </c>
      <c r="AN1681" s="6" t="s">
        <v>18479</v>
      </c>
      <c r="AO1681" s="6" t="s">
        <v>18874</v>
      </c>
      <c r="AP1681" s="6" t="s">
        <v>104</v>
      </c>
      <c r="AQ1681" s="6" t="s">
        <v>104</v>
      </c>
      <c r="AR1681" s="6" t="s">
        <v>104</v>
      </c>
      <c r="AS1681" s="6" t="s">
        <v>104</v>
      </c>
      <c r="AT1681" s="6" t="s">
        <v>104</v>
      </c>
      <c r="AU1681" s="6" t="s">
        <v>104</v>
      </c>
      <c r="AV1681" s="6" t="s">
        <v>104</v>
      </c>
      <c r="AW1681" s="6" t="s">
        <v>104</v>
      </c>
      <c r="AX1681" s="6" t="s">
        <v>21429</v>
      </c>
      <c r="AY1681" s="6" t="s">
        <v>23232</v>
      </c>
      <c r="AZ1681" s="6" t="s">
        <v>104</v>
      </c>
      <c r="BA1681" s="6" t="s">
        <v>104</v>
      </c>
      <c r="BB1681" s="6" t="s">
        <v>104</v>
      </c>
      <c r="BC1681" s="26"/>
      <c r="BD1681" s="26"/>
      <c r="BE1681" s="26"/>
      <c r="BF1681" s="26"/>
      <c r="BG1681" s="26"/>
      <c r="BH1681" s="26"/>
      <c r="BI1681" s="26"/>
      <c r="BJ1681" s="26"/>
      <c r="BK1681" s="26"/>
      <c r="BL1681" s="26"/>
      <c r="BM1681" s="26"/>
      <c r="BN1681" s="26" t="s">
        <v>24533</v>
      </c>
      <c r="BO1681" s="26"/>
      <c r="BP1681" s="16" t="n">
        <v>45618</v>
      </c>
      <c r="BQ1681" s="28" t="str">
        <f>HYPERLINK("https://organic.ams.usda.gov/Integrity/Certificate.aspx?cid=64&amp;nopid=8830000581")</f>
        <v>https://organic.ams.usda.gov/Integrity/Certificate.aspx?cid=64&amp;nopid=8830000581</v>
      </c>
    </row>
    <row r="1682">
      <c r="A1682" t="s">
        <v>3</v>
      </c>
      <c r="B1682" s="6" t="s">
        <v>49</v>
      </c>
      <c r="C1682" s="6" t="s">
        <v>115</v>
      </c>
      <c r="D1682" s="6" t="s">
        <v>179</v>
      </c>
      <c r="E1682" s="10" t="s">
        <v>1880</v>
      </c>
      <c r="F1682" s="6" t="s">
        <v>4108</v>
      </c>
      <c r="G1682" s="6" t="s">
        <v>104</v>
      </c>
      <c r="H1682" s="6" t="s">
        <v>6415</v>
      </c>
      <c r="I1682" s="6" t="s">
        <v>104</v>
      </c>
      <c r="J1682" s="6" t="s">
        <v>104</v>
      </c>
      <c r="K1682" s="6" t="s">
        <v>9714</v>
      </c>
      <c r="L1682" s="16" t="n">
        <v>44837</v>
      </c>
      <c r="M1682" s="16" t="n">
        <v>45854</v>
      </c>
      <c r="N1682" s="6" t="s">
        <v>104</v>
      </c>
      <c r="O1682" s="21" t="s">
        <v>104</v>
      </c>
      <c r="P1682" s="6" t="s">
        <v>104</v>
      </c>
      <c r="Q1682" s="6" t="s">
        <v>104</v>
      </c>
      <c r="R1682" s="6" t="s">
        <v>104</v>
      </c>
      <c r="S1682" s="6" t="s">
        <v>104</v>
      </c>
      <c r="T1682" s="21" t="s">
        <v>104</v>
      </c>
      <c r="U1682" s="6" t="s">
        <v>104</v>
      </c>
      <c r="V1682" s="6" t="s">
        <v>104</v>
      </c>
      <c r="W1682" s="6" t="s">
        <v>104</v>
      </c>
      <c r="X1682" s="6" t="s">
        <v>104</v>
      </c>
      <c r="Y1682" s="21" t="s">
        <v>104</v>
      </c>
      <c r="Z1682" s="6" t="s">
        <v>104</v>
      </c>
      <c r="AA1682" s="6" t="s">
        <v>104</v>
      </c>
      <c r="AB1682" s="6" t="s">
        <v>104</v>
      </c>
      <c r="AC1682" s="6" t="s">
        <v>9714</v>
      </c>
      <c r="AD1682" s="16" t="n">
        <v>44837</v>
      </c>
      <c r="AE1682" s="6" t="s">
        <v>11989</v>
      </c>
      <c r="AF1682" s="6" t="s">
        <v>104</v>
      </c>
      <c r="AG1682" s="6" t="s">
        <v>13008</v>
      </c>
      <c r="AH1682" s="6" t="s">
        <v>14696</v>
      </c>
      <c r="AI1682" s="6" t="s">
        <v>104</v>
      </c>
      <c r="AJ1682" s="6" t="s">
        <v>16404</v>
      </c>
      <c r="AK1682" s="6" t="s">
        <v>104</v>
      </c>
      <c r="AL1682" s="6" t="s">
        <v>16932</v>
      </c>
      <c r="AM1682" s="6" t="s">
        <v>18108</v>
      </c>
      <c r="AN1682" s="6" t="s">
        <v>104</v>
      </c>
      <c r="AO1682" s="6" t="s">
        <v>104</v>
      </c>
      <c r="AP1682" s="6" t="s">
        <v>104</v>
      </c>
      <c r="AQ1682" s="6" t="s">
        <v>104</v>
      </c>
      <c r="AR1682" s="6" t="s">
        <v>104</v>
      </c>
      <c r="AS1682" s="6" t="s">
        <v>104</v>
      </c>
      <c r="AT1682" s="6" t="s">
        <v>104</v>
      </c>
      <c r="AU1682" s="6" t="s">
        <v>104</v>
      </c>
      <c r="AV1682" s="6" t="s">
        <v>104</v>
      </c>
      <c r="AW1682" s="6" t="s">
        <v>104</v>
      </c>
      <c r="AX1682" s="6" t="s">
        <v>21430</v>
      </c>
      <c r="AY1682" s="6" t="s">
        <v>23233</v>
      </c>
      <c r="AZ1682" s="6" t="s">
        <v>104</v>
      </c>
      <c r="BA1682" s="6" t="s">
        <v>104</v>
      </c>
      <c r="BB1682" s="24" t="n">
        <v>0</v>
      </c>
      <c r="BC1682" s="26"/>
      <c r="BD1682" s="26"/>
      <c r="BE1682" s="26"/>
      <c r="BF1682" s="26"/>
      <c r="BG1682" s="26"/>
      <c r="BH1682" s="26"/>
      <c r="BI1682" s="26"/>
      <c r="BJ1682" s="26"/>
      <c r="BK1682" s="26"/>
      <c r="BL1682" s="26"/>
      <c r="BM1682" s="26"/>
      <c r="BN1682" s="26"/>
      <c r="BO1682" s="26"/>
      <c r="BP1682" s="16" t="n">
        <v>45724</v>
      </c>
      <c r="BQ1682" s="28" t="str">
        <f>HYPERLINK("https://organic.ams.usda.gov/Integrity/Certificate.aspx?cid=12&amp;nopid=8699694192")</f>
        <v>https://organic.ams.usda.gov/Integrity/Certificate.aspx?cid=12&amp;nopid=8699694192</v>
      </c>
    </row>
    <row r="1683">
      <c r="A1683" t="s">
        <v>3</v>
      </c>
      <c r="B1683" s="6" t="s">
        <v>14</v>
      </c>
      <c r="C1683" s="6" t="s">
        <v>80</v>
      </c>
      <c r="D1683" s="6" t="s">
        <v>145</v>
      </c>
      <c r="E1683" s="10" t="s">
        <v>1881</v>
      </c>
      <c r="F1683" s="6" t="s">
        <v>4109</v>
      </c>
      <c r="G1683" s="6" t="s">
        <v>104</v>
      </c>
      <c r="H1683" s="6" t="s">
        <v>6416</v>
      </c>
      <c r="I1683" s="6" t="s">
        <v>7883</v>
      </c>
      <c r="J1683" s="6" t="s">
        <v>9346</v>
      </c>
      <c r="K1683" s="6" t="s">
        <v>9714</v>
      </c>
      <c r="L1683" s="16" t="n">
        <v>44798</v>
      </c>
      <c r="M1683" s="16" t="n">
        <v>45444</v>
      </c>
      <c r="N1683" s="6" t="s">
        <v>104</v>
      </c>
      <c r="O1683" s="21" t="s">
        <v>104</v>
      </c>
      <c r="P1683" s="6" t="s">
        <v>104</v>
      </c>
      <c r="Q1683" s="6" t="s">
        <v>104</v>
      </c>
      <c r="R1683" s="6" t="s">
        <v>104</v>
      </c>
      <c r="S1683" s="6" t="s">
        <v>104</v>
      </c>
      <c r="T1683" s="21" t="s">
        <v>104</v>
      </c>
      <c r="U1683" s="6" t="s">
        <v>104</v>
      </c>
      <c r="V1683" s="6" t="s">
        <v>104</v>
      </c>
      <c r="W1683" s="6" t="s">
        <v>104</v>
      </c>
      <c r="X1683" s="6" t="s">
        <v>104</v>
      </c>
      <c r="Y1683" s="21" t="s">
        <v>104</v>
      </c>
      <c r="Z1683" s="6" t="s">
        <v>104</v>
      </c>
      <c r="AA1683" s="6" t="s">
        <v>104</v>
      </c>
      <c r="AB1683" s="6" t="s">
        <v>104</v>
      </c>
      <c r="AC1683" s="6" t="s">
        <v>9714</v>
      </c>
      <c r="AD1683" s="16" t="n">
        <v>44798</v>
      </c>
      <c r="AE1683" s="6" t="s">
        <v>11990</v>
      </c>
      <c r="AF1683" s="6" t="s">
        <v>104</v>
      </c>
      <c r="AG1683" s="6" t="s">
        <v>104</v>
      </c>
      <c r="AH1683" s="6" t="s">
        <v>14697</v>
      </c>
      <c r="AI1683" s="6" t="s">
        <v>104</v>
      </c>
      <c r="AJ1683" s="6" t="s">
        <v>16405</v>
      </c>
      <c r="AK1683" s="6" t="s">
        <v>16699</v>
      </c>
      <c r="AL1683" s="6" t="s">
        <v>16932</v>
      </c>
      <c r="AM1683" s="6" t="s">
        <v>18109</v>
      </c>
      <c r="AN1683" s="6" t="s">
        <v>104</v>
      </c>
      <c r="AO1683" s="6" t="s">
        <v>104</v>
      </c>
      <c r="AP1683" s="6" t="s">
        <v>104</v>
      </c>
      <c r="AQ1683" s="6" t="s">
        <v>104</v>
      </c>
      <c r="AR1683" s="6" t="s">
        <v>104</v>
      </c>
      <c r="AS1683" s="6" t="s">
        <v>104</v>
      </c>
      <c r="AT1683" s="6" t="s">
        <v>104</v>
      </c>
      <c r="AU1683" s="6" t="s">
        <v>104</v>
      </c>
      <c r="AV1683" s="6" t="s">
        <v>104</v>
      </c>
      <c r="AW1683" s="6" t="s">
        <v>104</v>
      </c>
      <c r="AX1683" s="6" t="s">
        <v>21431</v>
      </c>
      <c r="AY1683" s="6" t="s">
        <v>23234</v>
      </c>
      <c r="AZ1683" s="6" t="s">
        <v>24118</v>
      </c>
      <c r="BA1683" s="6" t="s">
        <v>24259</v>
      </c>
      <c r="BB1683" s="6" t="s">
        <v>104</v>
      </c>
      <c r="BC1683" s="26"/>
      <c r="BD1683" s="26"/>
      <c r="BE1683" s="26"/>
      <c r="BF1683" s="26"/>
      <c r="BG1683" s="26"/>
      <c r="BH1683" s="26"/>
      <c r="BI1683" s="26"/>
      <c r="BJ1683" s="26"/>
      <c r="BK1683" s="26"/>
      <c r="BL1683" s="26"/>
      <c r="BM1683" s="26"/>
      <c r="BN1683" s="26"/>
      <c r="BO1683" s="26"/>
      <c r="BP1683" s="16" t="n">
        <v>45412</v>
      </c>
      <c r="BQ1683" s="28" t="str">
        <f>HYPERLINK("https://organic.ams.usda.gov/Integrity/Certificate.aspx?cid=89&amp;nopid=4920005704")</f>
        <v>https://organic.ams.usda.gov/Integrity/Certificate.aspx?cid=89&amp;nopid=4920005704</v>
      </c>
    </row>
    <row r="1684">
      <c r="A1684" t="s">
        <v>3</v>
      </c>
      <c r="B1684" s="6" t="s">
        <v>6</v>
      </c>
      <c r="C1684" s="6" t="s">
        <v>72</v>
      </c>
      <c r="D1684" s="6" t="s">
        <v>137</v>
      </c>
      <c r="E1684" s="10" t="s">
        <v>1882</v>
      </c>
      <c r="F1684" s="6" t="s">
        <v>4110</v>
      </c>
      <c r="G1684" s="6" t="s">
        <v>104</v>
      </c>
      <c r="H1684" s="6" t="s">
        <v>6417</v>
      </c>
      <c r="I1684" s="6" t="s">
        <v>7884</v>
      </c>
      <c r="J1684" s="6" t="s">
        <v>8257</v>
      </c>
      <c r="K1684" s="6" t="s">
        <v>9714</v>
      </c>
      <c r="L1684" s="16" t="n">
        <v>45379</v>
      </c>
      <c r="M1684" s="16" t="n">
        <v>46059</v>
      </c>
      <c r="N1684" s="6" t="s">
        <v>104</v>
      </c>
      <c r="O1684" s="21" t="s">
        <v>104</v>
      </c>
      <c r="P1684" s="6" t="s">
        <v>104</v>
      </c>
      <c r="Q1684" s="6" t="s">
        <v>104</v>
      </c>
      <c r="R1684" s="6" t="s">
        <v>104</v>
      </c>
      <c r="S1684" s="6" t="s">
        <v>104</v>
      </c>
      <c r="T1684" s="21" t="s">
        <v>104</v>
      </c>
      <c r="U1684" s="6" t="s">
        <v>104</v>
      </c>
      <c r="V1684" s="6" t="s">
        <v>104</v>
      </c>
      <c r="W1684" s="6" t="s">
        <v>104</v>
      </c>
      <c r="X1684" s="6" t="s">
        <v>104</v>
      </c>
      <c r="Y1684" s="21" t="s">
        <v>104</v>
      </c>
      <c r="Z1684" s="6" t="s">
        <v>104</v>
      </c>
      <c r="AA1684" s="6" t="s">
        <v>104</v>
      </c>
      <c r="AB1684" s="6" t="s">
        <v>104</v>
      </c>
      <c r="AC1684" s="6" t="s">
        <v>9714</v>
      </c>
      <c r="AD1684" s="16" t="n">
        <v>45379</v>
      </c>
      <c r="AE1684" s="6" t="s">
        <v>11991</v>
      </c>
      <c r="AF1684" s="6" t="s">
        <v>104</v>
      </c>
      <c r="AG1684" s="6" t="s">
        <v>13009</v>
      </c>
      <c r="AH1684" s="6" t="s">
        <v>14698</v>
      </c>
      <c r="AI1684" s="6" t="s">
        <v>104</v>
      </c>
      <c r="AJ1684" s="6" t="s">
        <v>16406</v>
      </c>
      <c r="AK1684" s="6" t="s">
        <v>16773</v>
      </c>
      <c r="AL1684" s="6" t="s">
        <v>16932</v>
      </c>
      <c r="AM1684" s="6" t="s">
        <v>18110</v>
      </c>
      <c r="AN1684" s="6" t="s">
        <v>104</v>
      </c>
      <c r="AO1684" s="6" t="s">
        <v>104</v>
      </c>
      <c r="AP1684" s="6" t="s">
        <v>104</v>
      </c>
      <c r="AQ1684" s="6" t="s">
        <v>104</v>
      </c>
      <c r="AR1684" s="6" t="s">
        <v>104</v>
      </c>
      <c r="AS1684" s="6" t="s">
        <v>104</v>
      </c>
      <c r="AT1684" s="6" t="s">
        <v>104</v>
      </c>
      <c r="AU1684" s="6" t="s">
        <v>104</v>
      </c>
      <c r="AV1684" s="6" t="s">
        <v>104</v>
      </c>
      <c r="AW1684" s="6" t="s">
        <v>104</v>
      </c>
      <c r="AX1684" s="6" t="s">
        <v>21432</v>
      </c>
      <c r="AY1684" s="6" t="s">
        <v>23235</v>
      </c>
      <c r="AZ1684" s="6" t="s">
        <v>104</v>
      </c>
      <c r="BA1684" s="6" t="s">
        <v>24258</v>
      </c>
      <c r="BB1684" s="6" t="s">
        <v>104</v>
      </c>
      <c r="BC1684" s="26"/>
      <c r="BD1684" s="26"/>
      <c r="BE1684" s="26"/>
      <c r="BF1684" s="26"/>
      <c r="BG1684" s="26"/>
      <c r="BH1684" s="26"/>
      <c r="BI1684" s="26"/>
      <c r="BJ1684" s="26"/>
      <c r="BK1684" s="26"/>
      <c r="BL1684" s="26"/>
      <c r="BM1684" s="26"/>
      <c r="BN1684" s="26"/>
      <c r="BO1684" s="26"/>
      <c r="BP1684" s="16" t="n">
        <v>45737</v>
      </c>
      <c r="BQ1684" s="28" t="str">
        <f>HYPERLINK("https://organic.ams.usda.gov/Integrity/Certificate.aspx?cid=32&amp;nopid=2230009898")</f>
        <v>https://organic.ams.usda.gov/Integrity/Certificate.aspx?cid=32&amp;nopid=2230009898</v>
      </c>
    </row>
    <row r="1685">
      <c r="A1685" t="s">
        <v>3</v>
      </c>
      <c r="B1685" s="6" t="s">
        <v>29</v>
      </c>
      <c r="C1685" s="6" t="s">
        <v>95</v>
      </c>
      <c r="D1685" s="6" t="s">
        <v>160</v>
      </c>
      <c r="E1685" s="10" t="s">
        <v>1883</v>
      </c>
      <c r="F1685" s="6" t="s">
        <v>4111</v>
      </c>
      <c r="G1685" s="6" t="s">
        <v>104</v>
      </c>
      <c r="H1685" s="6" t="s">
        <v>6418</v>
      </c>
      <c r="I1685" s="6" t="s">
        <v>104</v>
      </c>
      <c r="J1685" s="6" t="s">
        <v>9347</v>
      </c>
      <c r="K1685" s="6" t="s">
        <v>9714</v>
      </c>
      <c r="L1685" s="16" t="n">
        <v>45734</v>
      </c>
      <c r="M1685" s="16" t="n">
        <v>45962</v>
      </c>
      <c r="N1685" s="6" t="s">
        <v>9714</v>
      </c>
      <c r="O1685" s="16" t="n">
        <v>45734</v>
      </c>
      <c r="P1685" s="6" t="s">
        <v>10172</v>
      </c>
      <c r="Q1685" s="6" t="s">
        <v>104</v>
      </c>
      <c r="R1685" s="6" t="s">
        <v>104</v>
      </c>
      <c r="S1685" s="6" t="s">
        <v>104</v>
      </c>
      <c r="T1685" s="21" t="s">
        <v>104</v>
      </c>
      <c r="U1685" s="6" t="s">
        <v>104</v>
      </c>
      <c r="V1685" s="6" t="s">
        <v>104</v>
      </c>
      <c r="W1685" s="6" t="s">
        <v>104</v>
      </c>
      <c r="X1685" s="6" t="s">
        <v>104</v>
      </c>
      <c r="Y1685" s="21" t="s">
        <v>104</v>
      </c>
      <c r="Z1685" s="6" t="s">
        <v>104</v>
      </c>
      <c r="AA1685" s="6" t="s">
        <v>104</v>
      </c>
      <c r="AB1685" s="6" t="s">
        <v>104</v>
      </c>
      <c r="AC1685" s="6" t="s">
        <v>104</v>
      </c>
      <c r="AD1685" s="21" t="s">
        <v>104</v>
      </c>
      <c r="AE1685" s="6" t="s">
        <v>104</v>
      </c>
      <c r="AF1685" s="6" t="s">
        <v>104</v>
      </c>
      <c r="AG1685" s="6" t="s">
        <v>104</v>
      </c>
      <c r="AH1685" s="6" t="s">
        <v>14699</v>
      </c>
      <c r="AI1685" s="6" t="s">
        <v>104</v>
      </c>
      <c r="AJ1685" s="6" t="s">
        <v>104</v>
      </c>
      <c r="AK1685" s="6" t="s">
        <v>16270</v>
      </c>
      <c r="AL1685" s="6" t="s">
        <v>16932</v>
      </c>
      <c r="AM1685" s="6" t="s">
        <v>18111</v>
      </c>
      <c r="AN1685" s="6" t="s">
        <v>104</v>
      </c>
      <c r="AO1685" s="6" t="s">
        <v>104</v>
      </c>
      <c r="AP1685" s="6" t="s">
        <v>104</v>
      </c>
      <c r="AQ1685" s="6" t="s">
        <v>104</v>
      </c>
      <c r="AR1685" s="6" t="s">
        <v>104</v>
      </c>
      <c r="AS1685" s="6" t="s">
        <v>104</v>
      </c>
      <c r="AT1685" s="6" t="s">
        <v>104</v>
      </c>
      <c r="AU1685" s="6" t="s">
        <v>104</v>
      </c>
      <c r="AV1685" s="6" t="s">
        <v>104</v>
      </c>
      <c r="AW1685" s="6" t="s">
        <v>104</v>
      </c>
      <c r="AX1685" s="6" t="s">
        <v>104</v>
      </c>
      <c r="AY1685" s="6" t="s">
        <v>23236</v>
      </c>
      <c r="AZ1685" s="6" t="s">
        <v>104</v>
      </c>
      <c r="BA1685" s="6" t="s">
        <v>104</v>
      </c>
      <c r="BB1685" s="24" t="n">
        <v>5860</v>
      </c>
      <c r="BC1685" s="26"/>
      <c r="BD1685" s="26"/>
      <c r="BE1685" s="26"/>
      <c r="BF1685" s="26"/>
      <c r="BG1685" s="26"/>
      <c r="BH1685" s="26"/>
      <c r="BI1685" s="26"/>
      <c r="BJ1685" s="26"/>
      <c r="BK1685" s="26"/>
      <c r="BL1685" s="26"/>
      <c r="BM1685" s="26"/>
      <c r="BN1685" s="26"/>
      <c r="BO1685" s="26"/>
      <c r="BP1685" s="16" t="n">
        <v>45735</v>
      </c>
      <c r="BQ1685" s="28" t="str">
        <f>HYPERLINK("https://organic.ams.usda.gov/Integrity/Certificate.aspx?cid=24&amp;nopid=7880300229")</f>
        <v>https://organic.ams.usda.gov/Integrity/Certificate.aspx?cid=24&amp;nopid=7880300229</v>
      </c>
    </row>
    <row r="1686">
      <c r="A1686" t="s">
        <v>3</v>
      </c>
      <c r="B1686" s="6" t="s">
        <v>29</v>
      </c>
      <c r="C1686" s="6" t="s">
        <v>95</v>
      </c>
      <c r="D1686" s="6" t="s">
        <v>160</v>
      </c>
      <c r="E1686" s="10" t="s">
        <v>1884</v>
      </c>
      <c r="F1686" s="6" t="s">
        <v>4112</v>
      </c>
      <c r="G1686" s="6" t="s">
        <v>104</v>
      </c>
      <c r="H1686" s="6" t="s">
        <v>6419</v>
      </c>
      <c r="I1686" s="6" t="s">
        <v>104</v>
      </c>
      <c r="J1686" s="6" t="s">
        <v>9348</v>
      </c>
      <c r="K1686" s="6" t="s">
        <v>9714</v>
      </c>
      <c r="L1686" s="16" t="n">
        <v>44526</v>
      </c>
      <c r="M1686" s="16" t="n">
        <v>46054</v>
      </c>
      <c r="N1686" s="6" t="s">
        <v>9714</v>
      </c>
      <c r="O1686" s="16" t="n">
        <v>44526</v>
      </c>
      <c r="P1686" s="6" t="s">
        <v>10173</v>
      </c>
      <c r="Q1686" s="6" t="s">
        <v>104</v>
      </c>
      <c r="R1686" s="6" t="s">
        <v>104</v>
      </c>
      <c r="S1686" s="6" t="s">
        <v>104</v>
      </c>
      <c r="T1686" s="21" t="s">
        <v>104</v>
      </c>
      <c r="U1686" s="6" t="s">
        <v>104</v>
      </c>
      <c r="V1686" s="6" t="s">
        <v>104</v>
      </c>
      <c r="W1686" s="6" t="s">
        <v>104</v>
      </c>
      <c r="X1686" s="6" t="s">
        <v>104</v>
      </c>
      <c r="Y1686" s="21" t="s">
        <v>104</v>
      </c>
      <c r="Z1686" s="6" t="s">
        <v>104</v>
      </c>
      <c r="AA1686" s="6" t="s">
        <v>104</v>
      </c>
      <c r="AB1686" s="6" t="s">
        <v>104</v>
      </c>
      <c r="AC1686" s="6" t="s">
        <v>9714</v>
      </c>
      <c r="AD1686" s="16" t="n">
        <v>44526</v>
      </c>
      <c r="AE1686" s="6" t="s">
        <v>11992</v>
      </c>
      <c r="AF1686" s="6" t="s">
        <v>104</v>
      </c>
      <c r="AG1686" s="6" t="s">
        <v>104</v>
      </c>
      <c r="AH1686" s="6" t="s">
        <v>14700</v>
      </c>
      <c r="AI1686" s="6" t="s">
        <v>104</v>
      </c>
      <c r="AJ1686" s="6" t="s">
        <v>104</v>
      </c>
      <c r="AK1686" s="6" t="s">
        <v>16699</v>
      </c>
      <c r="AL1686" s="6" t="s">
        <v>16932</v>
      </c>
      <c r="AM1686" s="6" t="s">
        <v>18112</v>
      </c>
      <c r="AN1686" s="6" t="s">
        <v>104</v>
      </c>
      <c r="AO1686" s="6" t="s">
        <v>104</v>
      </c>
      <c r="AP1686" s="6" t="s">
        <v>104</v>
      </c>
      <c r="AQ1686" s="6" t="s">
        <v>104</v>
      </c>
      <c r="AR1686" s="6" t="s">
        <v>104</v>
      </c>
      <c r="AS1686" s="6" t="s">
        <v>104</v>
      </c>
      <c r="AT1686" s="6" t="s">
        <v>104</v>
      </c>
      <c r="AU1686" s="6" t="s">
        <v>104</v>
      </c>
      <c r="AV1686" s="6" t="s">
        <v>104</v>
      </c>
      <c r="AW1686" s="6" t="s">
        <v>104</v>
      </c>
      <c r="AX1686" s="6" t="s">
        <v>21433</v>
      </c>
      <c r="AY1686" s="6" t="s">
        <v>23237</v>
      </c>
      <c r="AZ1686" s="6" t="s">
        <v>104</v>
      </c>
      <c r="BA1686" s="6" t="s">
        <v>104</v>
      </c>
      <c r="BB1686" s="24" t="n">
        <v>60</v>
      </c>
      <c r="BC1686" s="26"/>
      <c r="BD1686" s="26"/>
      <c r="BE1686" s="26"/>
      <c r="BF1686" s="26"/>
      <c r="BG1686" s="26"/>
      <c r="BH1686" s="26"/>
      <c r="BI1686" s="26"/>
      <c r="BJ1686" s="26"/>
      <c r="BK1686" s="26"/>
      <c r="BL1686" s="26"/>
      <c r="BM1686" s="26"/>
      <c r="BN1686" s="26"/>
      <c r="BO1686" s="26"/>
      <c r="BP1686" s="16" t="n">
        <v>45738</v>
      </c>
      <c r="BQ1686" s="28" t="str">
        <f>HYPERLINK("https://organic.ams.usda.gov/Integrity/Certificate.aspx?cid=24&amp;nopid=7880240052")</f>
        <v>https://organic.ams.usda.gov/Integrity/Certificate.aspx?cid=24&amp;nopid=7880240052</v>
      </c>
    </row>
    <row r="1687">
      <c r="A1687" t="s">
        <v>3</v>
      </c>
      <c r="B1687" s="6" t="s">
        <v>18</v>
      </c>
      <c r="C1687" s="6" t="s">
        <v>84</v>
      </c>
      <c r="D1687" s="6" t="s">
        <v>149</v>
      </c>
      <c r="E1687" s="10" t="s">
        <v>1885</v>
      </c>
      <c r="F1687" s="6" t="s">
        <v>4113</v>
      </c>
      <c r="G1687" s="6" t="s">
        <v>104</v>
      </c>
      <c r="H1687" s="6" t="s">
        <v>6420</v>
      </c>
      <c r="I1687" s="6" t="s">
        <v>6933</v>
      </c>
      <c r="J1687" s="6" t="s">
        <v>9349</v>
      </c>
      <c r="K1687" s="6" t="s">
        <v>9714</v>
      </c>
      <c r="L1687" s="16" t="n">
        <v>41185</v>
      </c>
      <c r="M1687" s="16" t="n">
        <v>45870</v>
      </c>
      <c r="N1687" s="6" t="s">
        <v>9714</v>
      </c>
      <c r="O1687" s="16" t="n">
        <v>41185</v>
      </c>
      <c r="P1687" s="6" t="s">
        <v>10174</v>
      </c>
      <c r="Q1687" s="6" t="s">
        <v>104</v>
      </c>
      <c r="R1687" s="6" t="s">
        <v>10421</v>
      </c>
      <c r="S1687" s="6" t="s">
        <v>104</v>
      </c>
      <c r="T1687" s="21" t="s">
        <v>104</v>
      </c>
      <c r="U1687" s="6" t="s">
        <v>104</v>
      </c>
      <c r="V1687" s="6" t="s">
        <v>104</v>
      </c>
      <c r="W1687" s="6" t="s">
        <v>104</v>
      </c>
      <c r="X1687" s="6" t="s">
        <v>104</v>
      </c>
      <c r="Y1687" s="21" t="s">
        <v>104</v>
      </c>
      <c r="Z1687" s="6" t="s">
        <v>104</v>
      </c>
      <c r="AA1687" s="6" t="s">
        <v>104</v>
      </c>
      <c r="AB1687" s="6" t="s">
        <v>104</v>
      </c>
      <c r="AC1687" s="6" t="s">
        <v>9714</v>
      </c>
      <c r="AD1687" s="16" t="n">
        <v>41185</v>
      </c>
      <c r="AE1687" s="6" t="s">
        <v>11993</v>
      </c>
      <c r="AF1687" s="6" t="s">
        <v>104</v>
      </c>
      <c r="AG1687" s="6" t="s">
        <v>13010</v>
      </c>
      <c r="AH1687" s="6" t="s">
        <v>14701</v>
      </c>
      <c r="AI1687" s="6" t="s">
        <v>104</v>
      </c>
      <c r="AJ1687" s="6" t="s">
        <v>16407</v>
      </c>
      <c r="AK1687" s="6" t="s">
        <v>16738</v>
      </c>
      <c r="AL1687" s="6" t="s">
        <v>16931</v>
      </c>
      <c r="AM1687" s="6" t="s">
        <v>18113</v>
      </c>
      <c r="AN1687" s="6" t="s">
        <v>18489</v>
      </c>
      <c r="AO1687" s="6" t="s">
        <v>18690</v>
      </c>
      <c r="AP1687" s="6" t="s">
        <v>104</v>
      </c>
      <c r="AQ1687" s="6" t="s">
        <v>104</v>
      </c>
      <c r="AR1687" s="6" t="s">
        <v>104</v>
      </c>
      <c r="AS1687" s="6" t="s">
        <v>104</v>
      </c>
      <c r="AT1687" s="6" t="s">
        <v>104</v>
      </c>
      <c r="AU1687" s="6" t="s">
        <v>104</v>
      </c>
      <c r="AV1687" s="6" t="s">
        <v>104</v>
      </c>
      <c r="AW1687" s="6" t="s">
        <v>104</v>
      </c>
      <c r="AX1687" s="6" t="s">
        <v>21434</v>
      </c>
      <c r="AY1687" s="6" t="s">
        <v>23238</v>
      </c>
      <c r="AZ1687" s="6" t="s">
        <v>104</v>
      </c>
      <c r="BA1687" s="6" t="s">
        <v>24474</v>
      </c>
      <c r="BB1687" s="24" t="n">
        <v>430</v>
      </c>
      <c r="BC1687" s="26"/>
      <c r="BD1687" s="26"/>
      <c r="BE1687" s="26"/>
      <c r="BF1687" s="26"/>
      <c r="BG1687" s="26"/>
      <c r="BH1687" s="26"/>
      <c r="BI1687" s="26"/>
      <c r="BJ1687" s="26"/>
      <c r="BK1687" s="26"/>
      <c r="BL1687" s="26"/>
      <c r="BM1687" s="26"/>
      <c r="BN1687" s="26"/>
      <c r="BO1687" s="26"/>
      <c r="BP1687" s="16" t="n">
        <v>45737</v>
      </c>
      <c r="BQ1687" s="28" t="str">
        <f>HYPERLINK("https://organic.ams.usda.gov/Integrity/Certificate.aspx?cid=31&amp;nopid=3928971223")</f>
        <v>https://organic.ams.usda.gov/Integrity/Certificate.aspx?cid=31&amp;nopid=3928971223</v>
      </c>
    </row>
    <row r="1688">
      <c r="A1688" t="s">
        <v>3</v>
      </c>
      <c r="B1688" s="6" t="s">
        <v>57</v>
      </c>
      <c r="C1688" s="6" t="s">
        <v>123</v>
      </c>
      <c r="D1688" s="6" t="s">
        <v>187</v>
      </c>
      <c r="E1688" s="10" t="s">
        <v>1886</v>
      </c>
      <c r="F1688" s="6" t="s">
        <v>4114</v>
      </c>
      <c r="G1688" s="6" t="s">
        <v>104</v>
      </c>
      <c r="H1688" s="6" t="s">
        <v>6421</v>
      </c>
      <c r="I1688" s="6" t="s">
        <v>7885</v>
      </c>
      <c r="J1688" s="6" t="s">
        <v>9350</v>
      </c>
      <c r="K1688" s="6" t="s">
        <v>9714</v>
      </c>
      <c r="L1688" s="16" t="n">
        <v>37433</v>
      </c>
      <c r="M1688" s="16" t="n">
        <v>45444</v>
      </c>
      <c r="N1688" s="6" t="s">
        <v>9714</v>
      </c>
      <c r="O1688" s="16" t="n">
        <v>37433</v>
      </c>
      <c r="P1688" s="6" t="s">
        <v>10175</v>
      </c>
      <c r="Q1688" s="6" t="s">
        <v>104</v>
      </c>
      <c r="R1688" s="6" t="s">
        <v>10422</v>
      </c>
      <c r="S1688" s="6" t="s">
        <v>104</v>
      </c>
      <c r="T1688" s="21" t="s">
        <v>104</v>
      </c>
      <c r="U1688" s="6" t="s">
        <v>104</v>
      </c>
      <c r="V1688" s="6" t="s">
        <v>104</v>
      </c>
      <c r="W1688" s="6" t="s">
        <v>104</v>
      </c>
      <c r="X1688" s="6" t="s">
        <v>104</v>
      </c>
      <c r="Y1688" s="21" t="s">
        <v>104</v>
      </c>
      <c r="Z1688" s="6" t="s">
        <v>104</v>
      </c>
      <c r="AA1688" s="6" t="s">
        <v>104</v>
      </c>
      <c r="AB1688" s="6" t="s">
        <v>104</v>
      </c>
      <c r="AC1688" s="6" t="s">
        <v>104</v>
      </c>
      <c r="AD1688" s="21" t="s">
        <v>104</v>
      </c>
      <c r="AE1688" s="6" t="s">
        <v>104</v>
      </c>
      <c r="AF1688" s="6" t="s">
        <v>104</v>
      </c>
      <c r="AG1688" s="6" t="s">
        <v>104</v>
      </c>
      <c r="AH1688" s="6" t="s">
        <v>14702</v>
      </c>
      <c r="AI1688" s="6" t="s">
        <v>104</v>
      </c>
      <c r="AJ1688" s="6" t="s">
        <v>16408</v>
      </c>
      <c r="AK1688" s="6" t="s">
        <v>16730</v>
      </c>
      <c r="AL1688" s="6" t="s">
        <v>16931</v>
      </c>
      <c r="AM1688" s="6" t="s">
        <v>18114</v>
      </c>
      <c r="AN1688" s="6" t="s">
        <v>18491</v>
      </c>
      <c r="AO1688" s="6" t="s">
        <v>18739</v>
      </c>
      <c r="AP1688" s="6" t="s">
        <v>19398</v>
      </c>
      <c r="AQ1688" s="6" t="s">
        <v>104</v>
      </c>
      <c r="AR1688" s="6" t="s">
        <v>16408</v>
      </c>
      <c r="AS1688" s="6" t="s">
        <v>16730</v>
      </c>
      <c r="AT1688" s="6" t="s">
        <v>16931</v>
      </c>
      <c r="AU1688" s="6" t="s">
        <v>18114</v>
      </c>
      <c r="AV1688" s="6" t="s">
        <v>104</v>
      </c>
      <c r="AW1688" s="6" t="s">
        <v>104</v>
      </c>
      <c r="AX1688" s="6" t="s">
        <v>21435</v>
      </c>
      <c r="AY1688" s="6" t="s">
        <v>23239</v>
      </c>
      <c r="AZ1688" s="6" t="s">
        <v>104</v>
      </c>
      <c r="BA1688" s="6" t="s">
        <v>104</v>
      </c>
      <c r="BB1688" s="24" t="n">
        <v>400</v>
      </c>
      <c r="BC1688" s="26"/>
      <c r="BD1688" s="26"/>
      <c r="BE1688" s="26"/>
      <c r="BF1688" s="26"/>
      <c r="BG1688" s="26"/>
      <c r="BH1688" s="26"/>
      <c r="BI1688" s="26"/>
      <c r="BJ1688" s="26"/>
      <c r="BK1688" s="26"/>
      <c r="BL1688" s="26"/>
      <c r="BM1688" s="26"/>
      <c r="BN1688" s="26"/>
      <c r="BO1688" s="26"/>
      <c r="BP1688" s="16" t="n">
        <v>45352</v>
      </c>
      <c r="BQ1688" s="28" t="str">
        <f>HYPERLINK("https://organic.ams.usda.gov/Integrity/Certificate.aspx?cid=19&amp;nopid=6350000172")</f>
        <v>https://organic.ams.usda.gov/Integrity/Certificate.aspx?cid=19&amp;nopid=6350000172</v>
      </c>
    </row>
    <row r="1689">
      <c r="A1689" t="s">
        <v>3</v>
      </c>
      <c r="B1689" s="6" t="s">
        <v>54</v>
      </c>
      <c r="C1689" s="6" t="s">
        <v>120</v>
      </c>
      <c r="D1689" s="6" t="s">
        <v>184</v>
      </c>
      <c r="E1689" s="10" t="s">
        <v>1887</v>
      </c>
      <c r="F1689" s="6" t="s">
        <v>4115</v>
      </c>
      <c r="G1689" s="6" t="s">
        <v>104</v>
      </c>
      <c r="H1689" s="6" t="s">
        <v>6422</v>
      </c>
      <c r="I1689" s="6" t="s">
        <v>7886</v>
      </c>
      <c r="J1689" s="6" t="s">
        <v>9351</v>
      </c>
      <c r="K1689" s="6" t="s">
        <v>9714</v>
      </c>
      <c r="L1689" s="16" t="n">
        <v>44385</v>
      </c>
      <c r="M1689" s="16" t="n">
        <v>45717</v>
      </c>
      <c r="N1689" s="6" t="s">
        <v>9714</v>
      </c>
      <c r="O1689" s="16" t="n">
        <v>44385</v>
      </c>
      <c r="P1689" s="6" t="s">
        <v>10176</v>
      </c>
      <c r="Q1689" s="6" t="s">
        <v>104</v>
      </c>
      <c r="R1689" s="6" t="s">
        <v>104</v>
      </c>
      <c r="S1689" s="6" t="s">
        <v>104</v>
      </c>
      <c r="T1689" s="21" t="s">
        <v>104</v>
      </c>
      <c r="U1689" s="6" t="s">
        <v>104</v>
      </c>
      <c r="V1689" s="6" t="s">
        <v>104</v>
      </c>
      <c r="W1689" s="6" t="s">
        <v>104</v>
      </c>
      <c r="X1689" s="6" t="s">
        <v>104</v>
      </c>
      <c r="Y1689" s="21" t="s">
        <v>104</v>
      </c>
      <c r="Z1689" s="6" t="s">
        <v>104</v>
      </c>
      <c r="AA1689" s="6" t="s">
        <v>104</v>
      </c>
      <c r="AB1689" s="6" t="s">
        <v>104</v>
      </c>
      <c r="AC1689" s="6" t="s">
        <v>104</v>
      </c>
      <c r="AD1689" s="21" t="s">
        <v>104</v>
      </c>
      <c r="AE1689" s="6" t="s">
        <v>104</v>
      </c>
      <c r="AF1689" s="6" t="s">
        <v>104</v>
      </c>
      <c r="AG1689" s="6" t="s">
        <v>104</v>
      </c>
      <c r="AH1689" s="6" t="s">
        <v>14703</v>
      </c>
      <c r="AI1689" s="6" t="s">
        <v>104</v>
      </c>
      <c r="AJ1689" s="6" t="s">
        <v>16409</v>
      </c>
      <c r="AK1689" s="6" t="s">
        <v>16743</v>
      </c>
      <c r="AL1689" s="6" t="s">
        <v>16931</v>
      </c>
      <c r="AM1689" s="6" t="s">
        <v>18115</v>
      </c>
      <c r="AN1689" s="6" t="s">
        <v>18497</v>
      </c>
      <c r="AO1689" s="6" t="s">
        <v>18875</v>
      </c>
      <c r="AP1689" s="6" t="s">
        <v>104</v>
      </c>
      <c r="AQ1689" s="6" t="s">
        <v>104</v>
      </c>
      <c r="AR1689" s="6" t="s">
        <v>104</v>
      </c>
      <c r="AS1689" s="6" t="s">
        <v>104</v>
      </c>
      <c r="AT1689" s="6" t="s">
        <v>104</v>
      </c>
      <c r="AU1689" s="6" t="s">
        <v>104</v>
      </c>
      <c r="AV1689" s="6" t="s">
        <v>104</v>
      </c>
      <c r="AW1689" s="6" t="s">
        <v>104</v>
      </c>
      <c r="AX1689" s="6" t="s">
        <v>104</v>
      </c>
      <c r="AY1689" s="6" t="s">
        <v>23240</v>
      </c>
      <c r="AZ1689" s="6" t="s">
        <v>104</v>
      </c>
      <c r="BA1689" s="6" t="s">
        <v>24267</v>
      </c>
      <c r="BB1689" s="24" t="n">
        <v>79</v>
      </c>
      <c r="BC1689" s="26"/>
      <c r="BD1689" s="26"/>
      <c r="BE1689" s="26"/>
      <c r="BF1689" s="26"/>
      <c r="BG1689" s="26"/>
      <c r="BH1689" s="26"/>
      <c r="BI1689" s="26"/>
      <c r="BJ1689" s="26"/>
      <c r="BK1689" s="26"/>
      <c r="BL1689" s="26"/>
      <c r="BM1689" s="26"/>
      <c r="BN1689" s="26"/>
      <c r="BO1689" s="26"/>
      <c r="BP1689" s="16" t="n">
        <v>45672</v>
      </c>
      <c r="BQ1689" s="28" t="str">
        <f>HYPERLINK("https://organic.ams.usda.gov/Integrity/Certificate.aspx?cid=60&amp;nopid=2580000855")</f>
        <v>https://organic.ams.usda.gov/Integrity/Certificate.aspx?cid=60&amp;nopid=2580000855</v>
      </c>
    </row>
    <row r="1690">
      <c r="A1690" t="s">
        <v>3</v>
      </c>
      <c r="B1690" s="6" t="s">
        <v>17</v>
      </c>
      <c r="C1690" s="6" t="s">
        <v>83</v>
      </c>
      <c r="D1690" s="6" t="s">
        <v>148</v>
      </c>
      <c r="E1690" s="10" t="s">
        <v>1888</v>
      </c>
      <c r="F1690" s="6" t="s">
        <v>4116</v>
      </c>
      <c r="G1690" s="6" t="s">
        <v>104</v>
      </c>
      <c r="H1690" s="6" t="s">
        <v>6423</v>
      </c>
      <c r="I1690" s="6" t="s">
        <v>7887</v>
      </c>
      <c r="J1690" s="6" t="s">
        <v>9352</v>
      </c>
      <c r="K1690" s="6" t="s">
        <v>9714</v>
      </c>
      <c r="L1690" s="16" t="n">
        <v>41841</v>
      </c>
      <c r="M1690" s="16" t="n">
        <v>45444</v>
      </c>
      <c r="N1690" s="6" t="s">
        <v>104</v>
      </c>
      <c r="O1690" s="21" t="s">
        <v>104</v>
      </c>
      <c r="P1690" s="6" t="s">
        <v>104</v>
      </c>
      <c r="Q1690" s="6" t="s">
        <v>104</v>
      </c>
      <c r="R1690" s="6" t="s">
        <v>104</v>
      </c>
      <c r="S1690" s="6" t="s">
        <v>104</v>
      </c>
      <c r="T1690" s="21" t="s">
        <v>104</v>
      </c>
      <c r="U1690" s="6" t="s">
        <v>104</v>
      </c>
      <c r="V1690" s="6" t="s">
        <v>104</v>
      </c>
      <c r="W1690" s="6" t="s">
        <v>104</v>
      </c>
      <c r="X1690" s="6" t="s">
        <v>104</v>
      </c>
      <c r="Y1690" s="21" t="s">
        <v>104</v>
      </c>
      <c r="Z1690" s="6" t="s">
        <v>104</v>
      </c>
      <c r="AA1690" s="6" t="s">
        <v>104</v>
      </c>
      <c r="AB1690" s="6" t="s">
        <v>104</v>
      </c>
      <c r="AC1690" s="6" t="s">
        <v>9714</v>
      </c>
      <c r="AD1690" s="16" t="n">
        <v>41841</v>
      </c>
      <c r="AE1690" s="6" t="s">
        <v>11994</v>
      </c>
      <c r="AF1690" s="6" t="s">
        <v>104</v>
      </c>
      <c r="AG1690" s="6" t="s">
        <v>104</v>
      </c>
      <c r="AH1690" s="6" t="s">
        <v>14704</v>
      </c>
      <c r="AI1690" s="6" t="s">
        <v>104</v>
      </c>
      <c r="AJ1690" s="6" t="s">
        <v>7833</v>
      </c>
      <c r="AK1690" s="6" t="s">
        <v>15697</v>
      </c>
      <c r="AL1690" s="6" t="s">
        <v>16931</v>
      </c>
      <c r="AM1690" s="6" t="s">
        <v>18116</v>
      </c>
      <c r="AN1690" s="6" t="s">
        <v>5759</v>
      </c>
      <c r="AO1690" s="6" t="s">
        <v>18711</v>
      </c>
      <c r="AP1690" s="6" t="s">
        <v>14704</v>
      </c>
      <c r="AQ1690" s="6" t="s">
        <v>104</v>
      </c>
      <c r="AR1690" s="6" t="s">
        <v>7833</v>
      </c>
      <c r="AS1690" s="6" t="s">
        <v>15697</v>
      </c>
      <c r="AT1690" s="6" t="s">
        <v>16931</v>
      </c>
      <c r="AU1690" s="6" t="s">
        <v>18116</v>
      </c>
      <c r="AV1690" s="6" t="s">
        <v>104</v>
      </c>
      <c r="AW1690" s="6" t="s">
        <v>104</v>
      </c>
      <c r="AX1690" s="6" t="s">
        <v>21436</v>
      </c>
      <c r="AY1690" s="6" t="s">
        <v>23241</v>
      </c>
      <c r="AZ1690" s="6" t="s">
        <v>104</v>
      </c>
      <c r="BA1690" s="6" t="s">
        <v>104</v>
      </c>
      <c r="BB1690" s="24" t="n">
        <v>0</v>
      </c>
      <c r="BC1690" s="26"/>
      <c r="BD1690" s="26"/>
      <c r="BE1690" s="26" t="s">
        <v>24533</v>
      </c>
      <c r="BF1690" s="26"/>
      <c r="BG1690" s="26"/>
      <c r="BH1690" s="26"/>
      <c r="BI1690" s="26"/>
      <c r="BJ1690" s="26"/>
      <c r="BK1690" s="26"/>
      <c r="BL1690" s="26"/>
      <c r="BM1690" s="26"/>
      <c r="BN1690" s="26"/>
      <c r="BO1690" s="26"/>
      <c r="BP1690" s="16" t="n">
        <v>45664</v>
      </c>
      <c r="BQ1690" s="28" t="str">
        <f>HYPERLINK("https://organic.ams.usda.gov/Integrity/Certificate.aspx?cid=51&amp;nopid=8240026871")</f>
        <v>https://organic.ams.usda.gov/Integrity/Certificate.aspx?cid=51&amp;nopid=8240026871</v>
      </c>
    </row>
    <row r="1691">
      <c r="A1691" t="s">
        <v>3</v>
      </c>
      <c r="B1691" s="6" t="s">
        <v>45</v>
      </c>
      <c r="C1691" s="6" t="s">
        <v>111</v>
      </c>
      <c r="D1691" s="6" t="s">
        <v>175</v>
      </c>
      <c r="E1691" s="10" t="s">
        <v>1889</v>
      </c>
      <c r="F1691" s="6" t="s">
        <v>4117</v>
      </c>
      <c r="G1691" s="6" t="s">
        <v>104</v>
      </c>
      <c r="H1691" s="6" t="s">
        <v>6424</v>
      </c>
      <c r="I1691" s="6" t="s">
        <v>7118</v>
      </c>
      <c r="J1691" s="6" t="s">
        <v>9353</v>
      </c>
      <c r="K1691" s="6" t="s">
        <v>9714</v>
      </c>
      <c r="L1691" s="16" t="n">
        <v>44116</v>
      </c>
      <c r="M1691" s="16" t="n">
        <v>46082</v>
      </c>
      <c r="N1691" s="6" t="s">
        <v>104</v>
      </c>
      <c r="O1691" s="21" t="s">
        <v>104</v>
      </c>
      <c r="P1691" s="6" t="s">
        <v>104</v>
      </c>
      <c r="Q1691" s="6" t="s">
        <v>104</v>
      </c>
      <c r="R1691" s="6" t="s">
        <v>104</v>
      </c>
      <c r="S1691" s="6" t="s">
        <v>104</v>
      </c>
      <c r="T1691" s="21" t="s">
        <v>104</v>
      </c>
      <c r="U1691" s="6" t="s">
        <v>104</v>
      </c>
      <c r="V1691" s="6" t="s">
        <v>104</v>
      </c>
      <c r="W1691" s="6" t="s">
        <v>104</v>
      </c>
      <c r="X1691" s="6" t="s">
        <v>104</v>
      </c>
      <c r="Y1691" s="21" t="s">
        <v>104</v>
      </c>
      <c r="Z1691" s="6" t="s">
        <v>104</v>
      </c>
      <c r="AA1691" s="6" t="s">
        <v>104</v>
      </c>
      <c r="AB1691" s="6" t="s">
        <v>104</v>
      </c>
      <c r="AC1691" s="6" t="s">
        <v>9714</v>
      </c>
      <c r="AD1691" s="16" t="n">
        <v>44116</v>
      </c>
      <c r="AE1691" s="6" t="s">
        <v>11995</v>
      </c>
      <c r="AF1691" s="6" t="s">
        <v>104</v>
      </c>
      <c r="AG1691" s="6" t="s">
        <v>4667</v>
      </c>
      <c r="AH1691" s="6" t="s">
        <v>14705</v>
      </c>
      <c r="AI1691" s="6" t="s">
        <v>104</v>
      </c>
      <c r="AJ1691" s="6" t="s">
        <v>16177</v>
      </c>
      <c r="AK1691" s="6" t="s">
        <v>16382</v>
      </c>
      <c r="AL1691" s="6" t="s">
        <v>16931</v>
      </c>
      <c r="AM1691" s="6" t="s">
        <v>18117</v>
      </c>
      <c r="AN1691" s="6" t="s">
        <v>104</v>
      </c>
      <c r="AO1691" s="6" t="s">
        <v>104</v>
      </c>
      <c r="AP1691" s="6" t="s">
        <v>14705</v>
      </c>
      <c r="AQ1691" s="6" t="s">
        <v>104</v>
      </c>
      <c r="AR1691" s="6" t="s">
        <v>16177</v>
      </c>
      <c r="AS1691" s="6" t="s">
        <v>16382</v>
      </c>
      <c r="AT1691" s="6" t="s">
        <v>16931</v>
      </c>
      <c r="AU1691" s="6" t="s">
        <v>18117</v>
      </c>
      <c r="AV1691" s="6" t="s">
        <v>5429</v>
      </c>
      <c r="AW1691" s="6" t="s">
        <v>18724</v>
      </c>
      <c r="AX1691" s="6" t="s">
        <v>21437</v>
      </c>
      <c r="AY1691" s="6" t="s">
        <v>23242</v>
      </c>
      <c r="AZ1691" s="6" t="s">
        <v>24119</v>
      </c>
      <c r="BA1691" s="6" t="s">
        <v>104</v>
      </c>
      <c r="BB1691" s="6" t="s">
        <v>104</v>
      </c>
      <c r="BC1691" s="26"/>
      <c r="BD1691" s="26"/>
      <c r="BE1691" s="26"/>
      <c r="BF1691" s="26"/>
      <c r="BG1691" s="26"/>
      <c r="BH1691" s="26"/>
      <c r="BI1691" s="26"/>
      <c r="BJ1691" s="26"/>
      <c r="BK1691" s="26"/>
      <c r="BL1691" s="26"/>
      <c r="BM1691" s="26"/>
      <c r="BN1691" s="26" t="s">
        <v>24533</v>
      </c>
      <c r="BO1691" s="26"/>
      <c r="BP1691" s="16" t="n">
        <v>45739</v>
      </c>
      <c r="BQ1691" s="28" t="str">
        <f>HYPERLINK("https://organic.ams.usda.gov/Integrity/Certificate.aspx?cid=82&amp;nopid=2780003749")</f>
        <v>https://organic.ams.usda.gov/Integrity/Certificate.aspx?cid=82&amp;nopid=2780003749</v>
      </c>
    </row>
    <row r="1692">
      <c r="A1692" t="s">
        <v>3</v>
      </c>
      <c r="B1692" s="6" t="s">
        <v>41</v>
      </c>
      <c r="C1692" s="6" t="s">
        <v>107</v>
      </c>
      <c r="D1692" s="6" t="s">
        <v>171</v>
      </c>
      <c r="E1692" s="10" t="s">
        <v>1890</v>
      </c>
      <c r="F1692" s="6" t="s">
        <v>4118</v>
      </c>
      <c r="G1692" s="6" t="s">
        <v>4838</v>
      </c>
      <c r="H1692" s="6" t="s">
        <v>6425</v>
      </c>
      <c r="I1692" s="6" t="s">
        <v>7695</v>
      </c>
      <c r="J1692" s="6" t="s">
        <v>8379</v>
      </c>
      <c r="K1692" s="6" t="s">
        <v>9714</v>
      </c>
      <c r="L1692" s="16" t="n">
        <v>45316</v>
      </c>
      <c r="M1692" s="16" t="n">
        <v>45901</v>
      </c>
      <c r="N1692" s="6" t="s">
        <v>104</v>
      </c>
      <c r="O1692" s="21" t="s">
        <v>104</v>
      </c>
      <c r="P1692" s="6" t="s">
        <v>104</v>
      </c>
      <c r="Q1692" s="6" t="s">
        <v>104</v>
      </c>
      <c r="R1692" s="6" t="s">
        <v>104</v>
      </c>
      <c r="S1692" s="6" t="s">
        <v>104</v>
      </c>
      <c r="T1692" s="21" t="s">
        <v>104</v>
      </c>
      <c r="U1692" s="6" t="s">
        <v>104</v>
      </c>
      <c r="V1692" s="6" t="s">
        <v>104</v>
      </c>
      <c r="W1692" s="6" t="s">
        <v>104</v>
      </c>
      <c r="X1692" s="6" t="s">
        <v>104</v>
      </c>
      <c r="Y1692" s="21" t="s">
        <v>104</v>
      </c>
      <c r="Z1692" s="6" t="s">
        <v>104</v>
      </c>
      <c r="AA1692" s="6" t="s">
        <v>104</v>
      </c>
      <c r="AB1692" s="6" t="s">
        <v>104</v>
      </c>
      <c r="AC1692" s="6" t="s">
        <v>9714</v>
      </c>
      <c r="AD1692" s="16" t="n">
        <v>45316</v>
      </c>
      <c r="AE1692" s="6" t="s">
        <v>11996</v>
      </c>
      <c r="AF1692" s="6" t="s">
        <v>104</v>
      </c>
      <c r="AG1692" s="6" t="s">
        <v>104</v>
      </c>
      <c r="AH1692" s="6" t="s">
        <v>14706</v>
      </c>
      <c r="AI1692" s="6" t="s">
        <v>104</v>
      </c>
      <c r="AJ1692" s="6" t="s">
        <v>16410</v>
      </c>
      <c r="AK1692" s="6" t="s">
        <v>16706</v>
      </c>
      <c r="AL1692" s="6" t="s">
        <v>16931</v>
      </c>
      <c r="AM1692" s="6" t="s">
        <v>18118</v>
      </c>
      <c r="AN1692" s="6" t="s">
        <v>104</v>
      </c>
      <c r="AO1692" s="6" t="s">
        <v>104</v>
      </c>
      <c r="AP1692" s="6" t="s">
        <v>14706</v>
      </c>
      <c r="AQ1692" s="6" t="s">
        <v>104</v>
      </c>
      <c r="AR1692" s="6" t="s">
        <v>16410</v>
      </c>
      <c r="AS1692" s="6" t="s">
        <v>16706</v>
      </c>
      <c r="AT1692" s="6" t="s">
        <v>16931</v>
      </c>
      <c r="AU1692" s="6" t="s">
        <v>18118</v>
      </c>
      <c r="AV1692" s="6" t="s">
        <v>104</v>
      </c>
      <c r="AW1692" s="6" t="s">
        <v>104</v>
      </c>
      <c r="AX1692" s="6" t="s">
        <v>21438</v>
      </c>
      <c r="AY1692" s="6" t="s">
        <v>23243</v>
      </c>
      <c r="AZ1692" s="6" t="s">
        <v>104</v>
      </c>
      <c r="BA1692" s="6" t="s">
        <v>104</v>
      </c>
      <c r="BB1692" s="6" t="s">
        <v>104</v>
      </c>
      <c r="BC1692" s="26"/>
      <c r="BD1692" s="26"/>
      <c r="BE1692" s="26"/>
      <c r="BF1692" s="26"/>
      <c r="BG1692" s="26"/>
      <c r="BH1692" s="26"/>
      <c r="BI1692" s="26"/>
      <c r="BJ1692" s="26"/>
      <c r="BK1692" s="26"/>
      <c r="BL1692" s="26"/>
      <c r="BM1692" s="26"/>
      <c r="BN1692" s="26"/>
      <c r="BO1692" s="26"/>
      <c r="BP1692" s="16" t="n">
        <v>45737</v>
      </c>
      <c r="BQ1692" s="28" t="str">
        <f>HYPERLINK("https://organic.ams.usda.gov/Integrity/Certificate.aspx?cid=58&amp;nopid=1600003703")</f>
        <v>https://organic.ams.usda.gov/Integrity/Certificate.aspx?cid=58&amp;nopid=1600003703</v>
      </c>
    </row>
    <row r="1693">
      <c r="A1693" t="s">
        <v>3</v>
      </c>
      <c r="B1693" s="6" t="s">
        <v>67</v>
      </c>
      <c r="C1693" s="6" t="s">
        <v>133</v>
      </c>
      <c r="D1693" s="6" t="s">
        <v>197</v>
      </c>
      <c r="E1693" s="10" t="s">
        <v>1891</v>
      </c>
      <c r="F1693" s="6" t="s">
        <v>4119</v>
      </c>
      <c r="G1693" s="6" t="s">
        <v>104</v>
      </c>
      <c r="H1693" s="6" t="s">
        <v>104</v>
      </c>
      <c r="I1693" s="6" t="s">
        <v>7156</v>
      </c>
      <c r="J1693" s="6" t="s">
        <v>9354</v>
      </c>
      <c r="K1693" s="6" t="s">
        <v>9714</v>
      </c>
      <c r="L1693" s="16" t="n">
        <v>45523</v>
      </c>
      <c r="M1693" s="16" t="n">
        <v>45931</v>
      </c>
      <c r="N1693" s="6" t="s">
        <v>104</v>
      </c>
      <c r="O1693" s="21" t="s">
        <v>104</v>
      </c>
      <c r="P1693" s="6" t="s">
        <v>104</v>
      </c>
      <c r="Q1693" s="6" t="s">
        <v>104</v>
      </c>
      <c r="R1693" s="6" t="s">
        <v>104</v>
      </c>
      <c r="S1693" s="6" t="s">
        <v>104</v>
      </c>
      <c r="T1693" s="21" t="s">
        <v>104</v>
      </c>
      <c r="U1693" s="6" t="s">
        <v>104</v>
      </c>
      <c r="V1693" s="6" t="s">
        <v>104</v>
      </c>
      <c r="W1693" s="6" t="s">
        <v>104</v>
      </c>
      <c r="X1693" s="6" t="s">
        <v>104</v>
      </c>
      <c r="Y1693" s="21" t="s">
        <v>104</v>
      </c>
      <c r="Z1693" s="6" t="s">
        <v>104</v>
      </c>
      <c r="AA1693" s="6" t="s">
        <v>104</v>
      </c>
      <c r="AB1693" s="6" t="s">
        <v>104</v>
      </c>
      <c r="AC1693" s="6" t="s">
        <v>9714</v>
      </c>
      <c r="AD1693" s="16" t="n">
        <v>45523</v>
      </c>
      <c r="AE1693" s="6" t="s">
        <v>11997</v>
      </c>
      <c r="AF1693" s="6" t="s">
        <v>104</v>
      </c>
      <c r="AG1693" s="6" t="s">
        <v>104</v>
      </c>
      <c r="AH1693" s="6" t="s">
        <v>14707</v>
      </c>
      <c r="AI1693" s="6" t="s">
        <v>104</v>
      </c>
      <c r="AJ1693" s="6" t="s">
        <v>15891</v>
      </c>
      <c r="AK1693" s="6" t="s">
        <v>16680</v>
      </c>
      <c r="AL1693" s="6" t="s">
        <v>16931</v>
      </c>
      <c r="AM1693" s="6" t="s">
        <v>18119</v>
      </c>
      <c r="AN1693" s="6" t="s">
        <v>104</v>
      </c>
      <c r="AO1693" s="6" t="s">
        <v>104</v>
      </c>
      <c r="AP1693" s="6" t="s">
        <v>14707</v>
      </c>
      <c r="AQ1693" s="6" t="s">
        <v>104</v>
      </c>
      <c r="AR1693" s="6" t="s">
        <v>15891</v>
      </c>
      <c r="AS1693" s="6" t="s">
        <v>16680</v>
      </c>
      <c r="AT1693" s="6" t="s">
        <v>16931</v>
      </c>
      <c r="AU1693" s="6" t="s">
        <v>18119</v>
      </c>
      <c r="AV1693" s="6" t="s">
        <v>104</v>
      </c>
      <c r="AW1693" s="6" t="s">
        <v>104</v>
      </c>
      <c r="AX1693" s="6" t="s">
        <v>21439</v>
      </c>
      <c r="AY1693" s="6" t="s">
        <v>23244</v>
      </c>
      <c r="AZ1693" s="6" t="s">
        <v>24120</v>
      </c>
      <c r="BA1693" s="6" t="s">
        <v>104</v>
      </c>
      <c r="BB1693" s="6" t="s">
        <v>104</v>
      </c>
      <c r="BC1693" s="26"/>
      <c r="BD1693" s="26"/>
      <c r="BE1693" s="26"/>
      <c r="BF1693" s="26"/>
      <c r="BG1693" s="26" t="s">
        <v>24533</v>
      </c>
      <c r="BH1693" s="26"/>
      <c r="BI1693" s="26"/>
      <c r="BJ1693" s="26"/>
      <c r="BK1693" s="26"/>
      <c r="BL1693" s="26"/>
      <c r="BM1693" s="26"/>
      <c r="BN1693" s="26"/>
      <c r="BO1693" s="26"/>
      <c r="BP1693" s="16" t="n">
        <v>45532</v>
      </c>
      <c r="BQ1693" s="28" t="str">
        <f>HYPERLINK("https://organic.ams.usda.gov/Integrity/Certificate.aspx?cid=91&amp;nopid=6652549943")</f>
        <v>https://organic.ams.usda.gov/Integrity/Certificate.aspx?cid=91&amp;nopid=6652549943</v>
      </c>
    </row>
    <row r="1694">
      <c r="A1694" t="s">
        <v>3</v>
      </c>
      <c r="B1694" s="6" t="s">
        <v>26</v>
      </c>
      <c r="C1694" s="6" t="s">
        <v>92</v>
      </c>
      <c r="D1694" s="6" t="s">
        <v>157</v>
      </c>
      <c r="E1694" s="10" t="s">
        <v>1892</v>
      </c>
      <c r="F1694" s="6" t="s">
        <v>4120</v>
      </c>
      <c r="G1694" s="6" t="s">
        <v>104</v>
      </c>
      <c r="H1694" s="6" t="s">
        <v>6426</v>
      </c>
      <c r="I1694" s="6" t="s">
        <v>7882</v>
      </c>
      <c r="J1694" s="6" t="s">
        <v>8406</v>
      </c>
      <c r="K1694" s="6" t="s">
        <v>9714</v>
      </c>
      <c r="L1694" s="16" t="n">
        <v>37520</v>
      </c>
      <c r="M1694" s="16" t="n">
        <v>45823</v>
      </c>
      <c r="N1694" s="6" t="s">
        <v>104</v>
      </c>
      <c r="O1694" s="21" t="s">
        <v>104</v>
      </c>
      <c r="P1694" s="6" t="s">
        <v>104</v>
      </c>
      <c r="Q1694" s="6" t="s">
        <v>104</v>
      </c>
      <c r="R1694" s="6" t="s">
        <v>104</v>
      </c>
      <c r="S1694" s="6" t="s">
        <v>104</v>
      </c>
      <c r="T1694" s="21" t="s">
        <v>104</v>
      </c>
      <c r="U1694" s="6" t="s">
        <v>104</v>
      </c>
      <c r="V1694" s="6" t="s">
        <v>104</v>
      </c>
      <c r="W1694" s="6" t="s">
        <v>104</v>
      </c>
      <c r="X1694" s="6" t="s">
        <v>104</v>
      </c>
      <c r="Y1694" s="21" t="s">
        <v>104</v>
      </c>
      <c r="Z1694" s="6" t="s">
        <v>104</v>
      </c>
      <c r="AA1694" s="6" t="s">
        <v>104</v>
      </c>
      <c r="AB1694" s="6" t="s">
        <v>104</v>
      </c>
      <c r="AC1694" s="6" t="s">
        <v>9714</v>
      </c>
      <c r="AD1694" s="16" t="n">
        <v>37520</v>
      </c>
      <c r="AE1694" s="6" t="s">
        <v>11998</v>
      </c>
      <c r="AF1694" s="6" t="s">
        <v>104</v>
      </c>
      <c r="AG1694" s="6" t="s">
        <v>104</v>
      </c>
      <c r="AH1694" s="6" t="s">
        <v>14708</v>
      </c>
      <c r="AI1694" s="6" t="s">
        <v>104</v>
      </c>
      <c r="AJ1694" s="6" t="s">
        <v>16411</v>
      </c>
      <c r="AK1694" s="6" t="s">
        <v>16692</v>
      </c>
      <c r="AL1694" s="6" t="s">
        <v>16931</v>
      </c>
      <c r="AM1694" s="6" t="s">
        <v>18120</v>
      </c>
      <c r="AN1694" s="6" t="s">
        <v>18523</v>
      </c>
      <c r="AO1694" s="6" t="s">
        <v>18598</v>
      </c>
      <c r="AP1694" s="6" t="s">
        <v>104</v>
      </c>
      <c r="AQ1694" s="6" t="s">
        <v>104</v>
      </c>
      <c r="AR1694" s="6" t="s">
        <v>104</v>
      </c>
      <c r="AS1694" s="6" t="s">
        <v>104</v>
      </c>
      <c r="AT1694" s="6" t="s">
        <v>104</v>
      </c>
      <c r="AU1694" s="6" t="s">
        <v>104</v>
      </c>
      <c r="AV1694" s="6" t="s">
        <v>104</v>
      </c>
      <c r="AW1694" s="6" t="s">
        <v>104</v>
      </c>
      <c r="AX1694" s="6" t="s">
        <v>21440</v>
      </c>
      <c r="AY1694" s="6" t="s">
        <v>104</v>
      </c>
      <c r="AZ1694" s="6" t="s">
        <v>24121</v>
      </c>
      <c r="BA1694" s="6" t="s">
        <v>104</v>
      </c>
      <c r="BB1694" s="24" t="n">
        <v>0</v>
      </c>
      <c r="BC1694" s="26"/>
      <c r="BD1694" s="26"/>
      <c r="BE1694" s="26"/>
      <c r="BF1694" s="26"/>
      <c r="BG1694" s="26"/>
      <c r="BH1694" s="26"/>
      <c r="BI1694" s="26"/>
      <c r="BJ1694" s="26"/>
      <c r="BK1694" s="26"/>
      <c r="BL1694" s="26"/>
      <c r="BM1694" s="26"/>
      <c r="BN1694" s="26"/>
      <c r="BO1694" s="26"/>
      <c r="BP1694" s="16" t="n">
        <v>45701</v>
      </c>
      <c r="BQ1694" s="28" t="str">
        <f>HYPERLINK("https://organic.ams.usda.gov/Integrity/Certificate.aspx?cid=81&amp;nopid=4210020050")</f>
        <v>https://organic.ams.usda.gov/Integrity/Certificate.aspx?cid=81&amp;nopid=4210020050</v>
      </c>
    </row>
    <row r="1695">
      <c r="A1695" t="s">
        <v>3</v>
      </c>
      <c r="B1695" s="6" t="s">
        <v>32</v>
      </c>
      <c r="C1695" s="6" t="s">
        <v>98</v>
      </c>
      <c r="D1695" s="6" t="s">
        <v>163</v>
      </c>
      <c r="E1695" s="10" t="s">
        <v>1893</v>
      </c>
      <c r="F1695" s="6" t="s">
        <v>4121</v>
      </c>
      <c r="G1695" s="6" t="s">
        <v>104</v>
      </c>
      <c r="H1695" s="6" t="s">
        <v>6427</v>
      </c>
      <c r="I1695" s="6" t="s">
        <v>7162</v>
      </c>
      <c r="J1695" s="6" t="s">
        <v>8156</v>
      </c>
      <c r="K1695" s="6" t="s">
        <v>9714</v>
      </c>
      <c r="L1695" s="16" t="n">
        <v>37362</v>
      </c>
      <c r="M1695" s="16" t="n">
        <v>45839</v>
      </c>
      <c r="N1695" s="6" t="s">
        <v>104</v>
      </c>
      <c r="O1695" s="21" t="s">
        <v>104</v>
      </c>
      <c r="P1695" s="6" t="s">
        <v>104</v>
      </c>
      <c r="Q1695" s="6" t="s">
        <v>104</v>
      </c>
      <c r="R1695" s="6" t="s">
        <v>104</v>
      </c>
      <c r="S1695" s="6" t="s">
        <v>104</v>
      </c>
      <c r="T1695" s="21" t="s">
        <v>104</v>
      </c>
      <c r="U1695" s="6" t="s">
        <v>104</v>
      </c>
      <c r="V1695" s="6" t="s">
        <v>104</v>
      </c>
      <c r="W1695" s="6" t="s">
        <v>104</v>
      </c>
      <c r="X1695" s="6" t="s">
        <v>104</v>
      </c>
      <c r="Y1695" s="21" t="s">
        <v>104</v>
      </c>
      <c r="Z1695" s="6" t="s">
        <v>104</v>
      </c>
      <c r="AA1695" s="6" t="s">
        <v>104</v>
      </c>
      <c r="AB1695" s="6" t="s">
        <v>104</v>
      </c>
      <c r="AC1695" s="6" t="s">
        <v>9714</v>
      </c>
      <c r="AD1695" s="16" t="n">
        <v>37362</v>
      </c>
      <c r="AE1695" s="6" t="s">
        <v>11999</v>
      </c>
      <c r="AF1695" s="6" t="s">
        <v>104</v>
      </c>
      <c r="AG1695" s="6" t="s">
        <v>104</v>
      </c>
      <c r="AH1695" s="6" t="s">
        <v>14709</v>
      </c>
      <c r="AI1695" s="6" t="s">
        <v>104</v>
      </c>
      <c r="AJ1695" s="6" t="s">
        <v>15456</v>
      </c>
      <c r="AK1695" s="6" t="s">
        <v>16742</v>
      </c>
      <c r="AL1695" s="6" t="s">
        <v>16931</v>
      </c>
      <c r="AM1695" s="6" t="s">
        <v>18121</v>
      </c>
      <c r="AN1695" s="6" t="s">
        <v>18474</v>
      </c>
      <c r="AO1695" s="6" t="s">
        <v>18632</v>
      </c>
      <c r="AP1695" s="6" t="s">
        <v>104</v>
      </c>
      <c r="AQ1695" s="6" t="s">
        <v>104</v>
      </c>
      <c r="AR1695" s="6" t="s">
        <v>104</v>
      </c>
      <c r="AS1695" s="6" t="s">
        <v>104</v>
      </c>
      <c r="AT1695" s="6" t="s">
        <v>104</v>
      </c>
      <c r="AU1695" s="6" t="s">
        <v>104</v>
      </c>
      <c r="AV1695" s="6" t="s">
        <v>104</v>
      </c>
      <c r="AW1695" s="6" t="s">
        <v>104</v>
      </c>
      <c r="AX1695" s="6" t="s">
        <v>21441</v>
      </c>
      <c r="AY1695" s="6" t="s">
        <v>23245</v>
      </c>
      <c r="AZ1695" s="6" t="s">
        <v>104</v>
      </c>
      <c r="BA1695" s="6" t="s">
        <v>104</v>
      </c>
      <c r="BB1695" s="6" t="s">
        <v>104</v>
      </c>
      <c r="BC1695" s="26"/>
      <c r="BD1695" s="26"/>
      <c r="BE1695" s="26"/>
      <c r="BF1695" s="26"/>
      <c r="BG1695" s="26"/>
      <c r="BH1695" s="26"/>
      <c r="BI1695" s="26"/>
      <c r="BJ1695" s="26"/>
      <c r="BK1695" s="26"/>
      <c r="BL1695" s="26"/>
      <c r="BM1695" s="26"/>
      <c r="BN1695" s="26"/>
      <c r="BO1695" s="26"/>
      <c r="BP1695" s="16" t="n">
        <v>45588</v>
      </c>
      <c r="BQ1695" s="28" t="str">
        <f>HYPERLINK("https://organic.ams.usda.gov/Integrity/Certificate.aspx?cid=64&amp;nopid=8830000632")</f>
        <v>https://organic.ams.usda.gov/Integrity/Certificate.aspx?cid=64&amp;nopid=8830000632</v>
      </c>
    </row>
    <row r="1696">
      <c r="A1696" t="s">
        <v>3</v>
      </c>
      <c r="B1696" s="6" t="s">
        <v>21</v>
      </c>
      <c r="C1696" s="6" t="s">
        <v>87</v>
      </c>
      <c r="D1696" s="6" t="s">
        <v>152</v>
      </c>
      <c r="E1696" s="10" t="s">
        <v>1894</v>
      </c>
      <c r="F1696" s="6" t="s">
        <v>4122</v>
      </c>
      <c r="G1696" s="6" t="s">
        <v>4839</v>
      </c>
      <c r="H1696" s="6" t="s">
        <v>6428</v>
      </c>
      <c r="I1696" s="6" t="s">
        <v>7888</v>
      </c>
      <c r="J1696" s="6" t="s">
        <v>9355</v>
      </c>
      <c r="K1696" s="6" t="s">
        <v>9714</v>
      </c>
      <c r="L1696" s="16" t="n">
        <v>45359</v>
      </c>
      <c r="M1696" s="16" t="n">
        <v>46023</v>
      </c>
      <c r="N1696" s="6" t="s">
        <v>104</v>
      </c>
      <c r="O1696" s="21" t="s">
        <v>104</v>
      </c>
      <c r="P1696" s="6" t="s">
        <v>104</v>
      </c>
      <c r="Q1696" s="6" t="s">
        <v>104</v>
      </c>
      <c r="R1696" s="6" t="s">
        <v>104</v>
      </c>
      <c r="S1696" s="6" t="s">
        <v>104</v>
      </c>
      <c r="T1696" s="21" t="s">
        <v>104</v>
      </c>
      <c r="U1696" s="6" t="s">
        <v>104</v>
      </c>
      <c r="V1696" s="6" t="s">
        <v>104</v>
      </c>
      <c r="W1696" s="6" t="s">
        <v>104</v>
      </c>
      <c r="X1696" s="6" t="s">
        <v>104</v>
      </c>
      <c r="Y1696" s="21" t="s">
        <v>104</v>
      </c>
      <c r="Z1696" s="6" t="s">
        <v>104</v>
      </c>
      <c r="AA1696" s="6" t="s">
        <v>104</v>
      </c>
      <c r="AB1696" s="6" t="s">
        <v>104</v>
      </c>
      <c r="AC1696" s="6" t="s">
        <v>9714</v>
      </c>
      <c r="AD1696" s="16" t="n">
        <v>45359</v>
      </c>
      <c r="AE1696" s="6" t="s">
        <v>12000</v>
      </c>
      <c r="AF1696" s="6" t="s">
        <v>104</v>
      </c>
      <c r="AG1696" s="6" t="s">
        <v>104</v>
      </c>
      <c r="AH1696" s="6" t="s">
        <v>14710</v>
      </c>
      <c r="AI1696" s="6" t="s">
        <v>104</v>
      </c>
      <c r="AJ1696" s="6" t="s">
        <v>16412</v>
      </c>
      <c r="AK1696" s="6" t="s">
        <v>16680</v>
      </c>
      <c r="AL1696" s="6" t="s">
        <v>16931</v>
      </c>
      <c r="AM1696" s="6" t="s">
        <v>18122</v>
      </c>
      <c r="AN1696" s="6" t="s">
        <v>104</v>
      </c>
      <c r="AO1696" s="6" t="s">
        <v>104</v>
      </c>
      <c r="AP1696" s="6" t="s">
        <v>14710</v>
      </c>
      <c r="AQ1696" s="6" t="s">
        <v>104</v>
      </c>
      <c r="AR1696" s="6" t="s">
        <v>16412</v>
      </c>
      <c r="AS1696" s="6" t="s">
        <v>16680</v>
      </c>
      <c r="AT1696" s="6" t="s">
        <v>16931</v>
      </c>
      <c r="AU1696" s="6" t="s">
        <v>18122</v>
      </c>
      <c r="AV1696" s="6" t="s">
        <v>104</v>
      </c>
      <c r="AW1696" s="6" t="s">
        <v>104</v>
      </c>
      <c r="AX1696" s="6" t="s">
        <v>21442</v>
      </c>
      <c r="AY1696" s="6" t="s">
        <v>23246</v>
      </c>
      <c r="AZ1696" s="6" t="s">
        <v>24122</v>
      </c>
      <c r="BA1696" s="6" t="s">
        <v>104</v>
      </c>
      <c r="BB1696" s="6" t="s">
        <v>104</v>
      </c>
      <c r="BC1696" s="26"/>
      <c r="BD1696" s="26"/>
      <c r="BE1696" s="26"/>
      <c r="BF1696" s="26"/>
      <c r="BG1696" s="26"/>
      <c r="BH1696" s="26"/>
      <c r="BI1696" s="26"/>
      <c r="BJ1696" s="26"/>
      <c r="BK1696" s="26"/>
      <c r="BL1696" s="26"/>
      <c r="BM1696" s="26"/>
      <c r="BN1696" s="26"/>
      <c r="BO1696" s="26"/>
      <c r="BP1696" s="16" t="n">
        <v>45667</v>
      </c>
      <c r="BQ1696" s="28" t="str">
        <f>HYPERLINK("https://organic.ams.usda.gov/Integrity/Certificate.aspx?cid=15&amp;nopid=5561008226")</f>
        <v>https://organic.ams.usda.gov/Integrity/Certificate.aspx?cid=15&amp;nopid=5561008226</v>
      </c>
    </row>
    <row r="1697">
      <c r="A1697" t="s">
        <v>3</v>
      </c>
      <c r="B1697" s="6" t="s">
        <v>12</v>
      </c>
      <c r="C1697" s="6" t="s">
        <v>78</v>
      </c>
      <c r="D1697" s="6" t="s">
        <v>143</v>
      </c>
      <c r="E1697" s="10" t="s">
        <v>1895</v>
      </c>
      <c r="F1697" s="6" t="s">
        <v>4123</v>
      </c>
      <c r="G1697" s="6" t="s">
        <v>104</v>
      </c>
      <c r="H1697" s="6" t="s">
        <v>104</v>
      </c>
      <c r="I1697" s="6" t="s">
        <v>7052</v>
      </c>
      <c r="J1697" s="6" t="s">
        <v>9356</v>
      </c>
      <c r="K1697" s="6" t="s">
        <v>9714</v>
      </c>
      <c r="L1697" s="16" t="n">
        <v>44623</v>
      </c>
      <c r="M1697" s="16" t="n">
        <v>45992</v>
      </c>
      <c r="N1697" s="6" t="s">
        <v>104</v>
      </c>
      <c r="O1697" s="21" t="s">
        <v>104</v>
      </c>
      <c r="P1697" s="6" t="s">
        <v>104</v>
      </c>
      <c r="Q1697" s="6" t="s">
        <v>104</v>
      </c>
      <c r="R1697" s="6" t="s">
        <v>104</v>
      </c>
      <c r="S1697" s="6" t="s">
        <v>104</v>
      </c>
      <c r="T1697" s="21" t="s">
        <v>104</v>
      </c>
      <c r="U1697" s="6" t="s">
        <v>104</v>
      </c>
      <c r="V1697" s="6" t="s">
        <v>104</v>
      </c>
      <c r="W1697" s="6" t="s">
        <v>104</v>
      </c>
      <c r="X1697" s="6" t="s">
        <v>104</v>
      </c>
      <c r="Y1697" s="21" t="s">
        <v>104</v>
      </c>
      <c r="Z1697" s="6" t="s">
        <v>104</v>
      </c>
      <c r="AA1697" s="6" t="s">
        <v>104</v>
      </c>
      <c r="AB1697" s="6" t="s">
        <v>104</v>
      </c>
      <c r="AC1697" s="6" t="s">
        <v>9714</v>
      </c>
      <c r="AD1697" s="16" t="n">
        <v>44623</v>
      </c>
      <c r="AE1697" s="6" t="s">
        <v>12001</v>
      </c>
      <c r="AF1697" s="6" t="s">
        <v>104</v>
      </c>
      <c r="AG1697" s="6" t="s">
        <v>104</v>
      </c>
      <c r="AH1697" s="6" t="s">
        <v>14711</v>
      </c>
      <c r="AI1697" s="6" t="s">
        <v>104</v>
      </c>
      <c r="AJ1697" s="6" t="s">
        <v>15705</v>
      </c>
      <c r="AK1697" s="6" t="s">
        <v>16720</v>
      </c>
      <c r="AL1697" s="6" t="s">
        <v>16931</v>
      </c>
      <c r="AM1697" s="6" t="s">
        <v>17326</v>
      </c>
      <c r="AN1697" s="6" t="s">
        <v>18466</v>
      </c>
      <c r="AO1697" s="6" t="s">
        <v>18675</v>
      </c>
      <c r="AP1697" s="6" t="s">
        <v>14711</v>
      </c>
      <c r="AQ1697" s="6" t="s">
        <v>104</v>
      </c>
      <c r="AR1697" s="6" t="s">
        <v>15705</v>
      </c>
      <c r="AS1697" s="6" t="s">
        <v>16720</v>
      </c>
      <c r="AT1697" s="6" t="s">
        <v>16931</v>
      </c>
      <c r="AU1697" s="6" t="s">
        <v>17326</v>
      </c>
      <c r="AV1697" s="6" t="s">
        <v>104</v>
      </c>
      <c r="AW1697" s="6" t="s">
        <v>104</v>
      </c>
      <c r="AX1697" s="6" t="s">
        <v>104</v>
      </c>
      <c r="AY1697" s="6" t="s">
        <v>23247</v>
      </c>
      <c r="AZ1697" s="6" t="s">
        <v>104</v>
      </c>
      <c r="BA1697" s="6" t="s">
        <v>104</v>
      </c>
      <c r="BB1697" s="6" t="s">
        <v>104</v>
      </c>
      <c r="BC1697" s="26"/>
      <c r="BD1697" s="26"/>
      <c r="BE1697" s="26"/>
      <c r="BF1697" s="26"/>
      <c r="BG1697" s="26"/>
      <c r="BH1697" s="26"/>
      <c r="BI1697" s="26"/>
      <c r="BJ1697" s="26"/>
      <c r="BK1697" s="26"/>
      <c r="BL1697" s="26"/>
      <c r="BM1697" s="26"/>
      <c r="BN1697" s="26"/>
      <c r="BO1697" s="26"/>
      <c r="BP1697" s="16" t="n">
        <v>45628</v>
      </c>
      <c r="BQ1697" s="28" t="str">
        <f>HYPERLINK("https://organic.ams.usda.gov/Integrity/Certificate.aspx?cid=1&amp;nopid=9092134804")</f>
        <v>https://organic.ams.usda.gov/Integrity/Certificate.aspx?cid=1&amp;nopid=9092134804</v>
      </c>
    </row>
    <row r="1698">
      <c r="A1698" t="s">
        <v>3</v>
      </c>
      <c r="B1698" s="6" t="s">
        <v>41</v>
      </c>
      <c r="C1698" s="6" t="s">
        <v>107</v>
      </c>
      <c r="D1698" s="6" t="s">
        <v>171</v>
      </c>
      <c r="E1698" s="10" t="s">
        <v>1896</v>
      </c>
      <c r="F1698" s="6" t="s">
        <v>4124</v>
      </c>
      <c r="G1698" s="6" t="s">
        <v>104</v>
      </c>
      <c r="H1698" s="6" t="s">
        <v>6429</v>
      </c>
      <c r="I1698" s="6" t="s">
        <v>7527</v>
      </c>
      <c r="J1698" s="6" t="s">
        <v>9357</v>
      </c>
      <c r="K1698" s="6" t="s">
        <v>9714</v>
      </c>
      <c r="L1698" s="16" t="n">
        <v>43599</v>
      </c>
      <c r="M1698" s="16" t="n">
        <v>45747</v>
      </c>
      <c r="N1698" s="6" t="s">
        <v>104</v>
      </c>
      <c r="O1698" s="21" t="s">
        <v>104</v>
      </c>
      <c r="P1698" s="6" t="s">
        <v>104</v>
      </c>
      <c r="Q1698" s="6" t="s">
        <v>104</v>
      </c>
      <c r="R1698" s="6" t="s">
        <v>104</v>
      </c>
      <c r="S1698" s="6" t="s">
        <v>104</v>
      </c>
      <c r="T1698" s="21" t="s">
        <v>104</v>
      </c>
      <c r="U1698" s="6" t="s">
        <v>104</v>
      </c>
      <c r="V1698" s="6" t="s">
        <v>104</v>
      </c>
      <c r="W1698" s="6" t="s">
        <v>104</v>
      </c>
      <c r="X1698" s="6" t="s">
        <v>104</v>
      </c>
      <c r="Y1698" s="21" t="s">
        <v>104</v>
      </c>
      <c r="Z1698" s="6" t="s">
        <v>104</v>
      </c>
      <c r="AA1698" s="6" t="s">
        <v>104</v>
      </c>
      <c r="AB1698" s="6" t="s">
        <v>104</v>
      </c>
      <c r="AC1698" s="6" t="s">
        <v>9714</v>
      </c>
      <c r="AD1698" s="16" t="n">
        <v>43599</v>
      </c>
      <c r="AE1698" s="6" t="s">
        <v>12002</v>
      </c>
      <c r="AF1698" s="6" t="s">
        <v>104</v>
      </c>
      <c r="AG1698" s="6" t="s">
        <v>104</v>
      </c>
      <c r="AH1698" s="6" t="s">
        <v>14712</v>
      </c>
      <c r="AI1698" s="6" t="s">
        <v>104</v>
      </c>
      <c r="AJ1698" s="6" t="s">
        <v>15624</v>
      </c>
      <c r="AK1698" s="6" t="s">
        <v>16688</v>
      </c>
      <c r="AL1698" s="6" t="s">
        <v>16931</v>
      </c>
      <c r="AM1698" s="6" t="s">
        <v>18123</v>
      </c>
      <c r="AN1698" s="6" t="s">
        <v>18489</v>
      </c>
      <c r="AO1698" s="6" t="s">
        <v>18876</v>
      </c>
      <c r="AP1698" s="6" t="s">
        <v>14712</v>
      </c>
      <c r="AQ1698" s="6" t="s">
        <v>104</v>
      </c>
      <c r="AR1698" s="6" t="s">
        <v>15624</v>
      </c>
      <c r="AS1698" s="6" t="s">
        <v>16688</v>
      </c>
      <c r="AT1698" s="6" t="s">
        <v>16931</v>
      </c>
      <c r="AU1698" s="6" t="s">
        <v>18123</v>
      </c>
      <c r="AV1698" s="6" t="s">
        <v>104</v>
      </c>
      <c r="AW1698" s="6" t="s">
        <v>104</v>
      </c>
      <c r="AX1698" s="6" t="s">
        <v>21443</v>
      </c>
      <c r="AY1698" s="6" t="s">
        <v>23248</v>
      </c>
      <c r="AZ1698" s="6" t="s">
        <v>104</v>
      </c>
      <c r="BA1698" s="6" t="s">
        <v>104</v>
      </c>
      <c r="BB1698" s="6" t="s">
        <v>104</v>
      </c>
      <c r="BC1698" s="26" t="s">
        <v>24533</v>
      </c>
      <c r="BD1698" s="26"/>
      <c r="BE1698" s="26"/>
      <c r="BF1698" s="26"/>
      <c r="BG1698" s="26" t="s">
        <v>24533</v>
      </c>
      <c r="BH1698" s="26"/>
      <c r="BI1698" s="26"/>
      <c r="BJ1698" s="26"/>
      <c r="BK1698" s="26"/>
      <c r="BL1698" s="26"/>
      <c r="BM1698" s="26"/>
      <c r="BN1698" s="26"/>
      <c r="BO1698" s="26"/>
      <c r="BP1698" s="16" t="n">
        <v>45737</v>
      </c>
      <c r="BQ1698" s="28" t="str">
        <f>HYPERLINK("https://organic.ams.usda.gov/Integrity/Certificate.aspx?cid=58&amp;nopid=1600003229")</f>
        <v>https://organic.ams.usda.gov/Integrity/Certificate.aspx?cid=58&amp;nopid=1600003229</v>
      </c>
    </row>
    <row r="1699">
      <c r="A1699" t="s">
        <v>3</v>
      </c>
      <c r="B1699" s="6" t="s">
        <v>21</v>
      </c>
      <c r="C1699" s="6" t="s">
        <v>87</v>
      </c>
      <c r="D1699" s="6" t="s">
        <v>152</v>
      </c>
      <c r="E1699" s="10" t="s">
        <v>1897</v>
      </c>
      <c r="F1699" s="6" t="s">
        <v>4125</v>
      </c>
      <c r="G1699" s="6" t="s">
        <v>104</v>
      </c>
      <c r="H1699" s="6" t="s">
        <v>6430</v>
      </c>
      <c r="I1699" s="6" t="s">
        <v>7889</v>
      </c>
      <c r="J1699" s="6" t="s">
        <v>9358</v>
      </c>
      <c r="K1699" s="6" t="s">
        <v>9714</v>
      </c>
      <c r="L1699" s="16" t="n">
        <v>44005</v>
      </c>
      <c r="M1699" s="16" t="n">
        <v>46023</v>
      </c>
      <c r="N1699" s="6" t="s">
        <v>9714</v>
      </c>
      <c r="O1699" s="16" t="n">
        <v>44005</v>
      </c>
      <c r="P1699" s="6" t="s">
        <v>10177</v>
      </c>
      <c r="Q1699" s="6" t="s">
        <v>104</v>
      </c>
      <c r="R1699" s="6" t="s">
        <v>104</v>
      </c>
      <c r="S1699" s="6" t="s">
        <v>104</v>
      </c>
      <c r="T1699" s="21" t="s">
        <v>104</v>
      </c>
      <c r="U1699" s="6" t="s">
        <v>104</v>
      </c>
      <c r="V1699" s="6" t="s">
        <v>104</v>
      </c>
      <c r="W1699" s="6" t="s">
        <v>104</v>
      </c>
      <c r="X1699" s="6" t="s">
        <v>104</v>
      </c>
      <c r="Y1699" s="21" t="s">
        <v>104</v>
      </c>
      <c r="Z1699" s="6" t="s">
        <v>104</v>
      </c>
      <c r="AA1699" s="6" t="s">
        <v>104</v>
      </c>
      <c r="AB1699" s="6" t="s">
        <v>104</v>
      </c>
      <c r="AC1699" s="6" t="s">
        <v>104</v>
      </c>
      <c r="AD1699" s="21" t="s">
        <v>104</v>
      </c>
      <c r="AE1699" s="6" t="s">
        <v>104</v>
      </c>
      <c r="AF1699" s="6" t="s">
        <v>104</v>
      </c>
      <c r="AG1699" s="6" t="s">
        <v>104</v>
      </c>
      <c r="AH1699" s="6" t="s">
        <v>14713</v>
      </c>
      <c r="AI1699" s="6" t="s">
        <v>104</v>
      </c>
      <c r="AJ1699" s="6" t="s">
        <v>16413</v>
      </c>
      <c r="AK1699" s="6" t="s">
        <v>16687</v>
      </c>
      <c r="AL1699" s="6" t="s">
        <v>16931</v>
      </c>
      <c r="AM1699" s="6" t="s">
        <v>18124</v>
      </c>
      <c r="AN1699" s="6" t="s">
        <v>18455</v>
      </c>
      <c r="AO1699" s="6" t="s">
        <v>18612</v>
      </c>
      <c r="AP1699" s="6" t="s">
        <v>19399</v>
      </c>
      <c r="AQ1699" s="6" t="s">
        <v>104</v>
      </c>
      <c r="AR1699" s="6" t="s">
        <v>16413</v>
      </c>
      <c r="AS1699" s="6" t="s">
        <v>16687</v>
      </c>
      <c r="AT1699" s="6" t="s">
        <v>16931</v>
      </c>
      <c r="AU1699" s="6" t="s">
        <v>18124</v>
      </c>
      <c r="AV1699" s="6" t="s">
        <v>104</v>
      </c>
      <c r="AW1699" s="6" t="s">
        <v>104</v>
      </c>
      <c r="AX1699" s="6" t="s">
        <v>21444</v>
      </c>
      <c r="AY1699" s="6" t="s">
        <v>23249</v>
      </c>
      <c r="AZ1699" s="6" t="s">
        <v>24123</v>
      </c>
      <c r="BA1699" s="6" t="s">
        <v>104</v>
      </c>
      <c r="BB1699" s="24" t="n">
        <v>5</v>
      </c>
      <c r="BC1699" s="26"/>
      <c r="BD1699" s="26"/>
      <c r="BE1699" s="26"/>
      <c r="BF1699" s="26"/>
      <c r="BG1699" s="26"/>
      <c r="BH1699" s="26"/>
      <c r="BI1699" s="26"/>
      <c r="BJ1699" s="26"/>
      <c r="BK1699" s="26"/>
      <c r="BL1699" s="26"/>
      <c r="BM1699" s="26"/>
      <c r="BN1699" s="26"/>
      <c r="BO1699" s="26"/>
      <c r="BP1699" s="16" t="n">
        <v>45667</v>
      </c>
      <c r="BQ1699" s="28" t="str">
        <f>HYPERLINK("https://organic.ams.usda.gov/Integrity/Certificate.aspx?cid=15&amp;nopid=5561006334")</f>
        <v>https://organic.ams.usda.gov/Integrity/Certificate.aspx?cid=15&amp;nopid=5561006334</v>
      </c>
    </row>
    <row r="1700">
      <c r="A1700" t="s">
        <v>3</v>
      </c>
      <c r="B1700" s="6" t="s">
        <v>44</v>
      </c>
      <c r="C1700" s="6" t="s">
        <v>110</v>
      </c>
      <c r="D1700" s="6" t="s">
        <v>174</v>
      </c>
      <c r="E1700" s="10" t="s">
        <v>1898</v>
      </c>
      <c r="F1700" s="6" t="s">
        <v>4126</v>
      </c>
      <c r="G1700" s="6" t="s">
        <v>104</v>
      </c>
      <c r="H1700" s="6" t="s">
        <v>6431</v>
      </c>
      <c r="I1700" s="6" t="s">
        <v>7890</v>
      </c>
      <c r="J1700" s="6" t="s">
        <v>7992</v>
      </c>
      <c r="K1700" s="6" t="s">
        <v>9714</v>
      </c>
      <c r="L1700" s="16" t="n">
        <v>41669</v>
      </c>
      <c r="M1700" s="16" t="n">
        <v>45672</v>
      </c>
      <c r="N1700" s="6" t="s">
        <v>104</v>
      </c>
      <c r="O1700" s="21" t="s">
        <v>104</v>
      </c>
      <c r="P1700" s="6" t="s">
        <v>104</v>
      </c>
      <c r="Q1700" s="6" t="s">
        <v>104</v>
      </c>
      <c r="R1700" s="6" t="s">
        <v>104</v>
      </c>
      <c r="S1700" s="6" t="s">
        <v>104</v>
      </c>
      <c r="T1700" s="21" t="s">
        <v>104</v>
      </c>
      <c r="U1700" s="6" t="s">
        <v>104</v>
      </c>
      <c r="V1700" s="6" t="s">
        <v>104</v>
      </c>
      <c r="W1700" s="6" t="s">
        <v>104</v>
      </c>
      <c r="X1700" s="6" t="s">
        <v>104</v>
      </c>
      <c r="Y1700" s="21" t="s">
        <v>104</v>
      </c>
      <c r="Z1700" s="6" t="s">
        <v>104</v>
      </c>
      <c r="AA1700" s="6" t="s">
        <v>104</v>
      </c>
      <c r="AB1700" s="6" t="s">
        <v>104</v>
      </c>
      <c r="AC1700" s="6" t="s">
        <v>9714</v>
      </c>
      <c r="AD1700" s="16" t="n">
        <v>41669</v>
      </c>
      <c r="AE1700" s="6" t="s">
        <v>12003</v>
      </c>
      <c r="AF1700" s="6" t="s">
        <v>104</v>
      </c>
      <c r="AG1700" s="6" t="s">
        <v>104</v>
      </c>
      <c r="AH1700" s="6" t="s">
        <v>14714</v>
      </c>
      <c r="AI1700" s="6" t="s">
        <v>104</v>
      </c>
      <c r="AJ1700" s="6" t="s">
        <v>16414</v>
      </c>
      <c r="AK1700" s="6" t="s">
        <v>15697</v>
      </c>
      <c r="AL1700" s="6" t="s">
        <v>16931</v>
      </c>
      <c r="AM1700" s="6" t="s">
        <v>18125</v>
      </c>
      <c r="AN1700" s="6" t="s">
        <v>18457</v>
      </c>
      <c r="AO1700" s="6" t="s">
        <v>18717</v>
      </c>
      <c r="AP1700" s="6" t="s">
        <v>14714</v>
      </c>
      <c r="AQ1700" s="6" t="s">
        <v>104</v>
      </c>
      <c r="AR1700" s="6" t="s">
        <v>16414</v>
      </c>
      <c r="AS1700" s="6" t="s">
        <v>15697</v>
      </c>
      <c r="AT1700" s="6" t="s">
        <v>16931</v>
      </c>
      <c r="AU1700" s="6" t="s">
        <v>18125</v>
      </c>
      <c r="AV1700" s="6" t="s">
        <v>104</v>
      </c>
      <c r="AW1700" s="6" t="s">
        <v>104</v>
      </c>
      <c r="AX1700" s="6" t="s">
        <v>21445</v>
      </c>
      <c r="AY1700" s="6" t="s">
        <v>23250</v>
      </c>
      <c r="AZ1700" s="6" t="s">
        <v>24124</v>
      </c>
      <c r="BA1700" s="6" t="s">
        <v>104</v>
      </c>
      <c r="BB1700" s="24" t="n">
        <v>0</v>
      </c>
      <c r="BC1700" s="26" t="s">
        <v>24533</v>
      </c>
      <c r="BD1700" s="26"/>
      <c r="BE1700" s="26"/>
      <c r="BF1700" s="26"/>
      <c r="BG1700" s="26" t="s">
        <v>24533</v>
      </c>
      <c r="BH1700" s="26"/>
      <c r="BI1700" s="26"/>
      <c r="BJ1700" s="26"/>
      <c r="BK1700" s="26"/>
      <c r="BL1700" s="26"/>
      <c r="BM1700" s="26"/>
      <c r="BN1700" s="26"/>
      <c r="BO1700" s="26"/>
      <c r="BP1700" s="16" t="n">
        <v>45632</v>
      </c>
      <c r="BQ1700" s="28" t="str">
        <f>HYPERLINK("https://organic.ams.usda.gov/Integrity/Certificate.aspx?cid=57&amp;nopid=3252013071")</f>
        <v>https://organic.ams.usda.gov/Integrity/Certificate.aspx?cid=57&amp;nopid=3252013071</v>
      </c>
    </row>
    <row r="1701">
      <c r="A1701" t="s">
        <v>3</v>
      </c>
      <c r="B1701" s="6" t="s">
        <v>18</v>
      </c>
      <c r="C1701" s="6" t="s">
        <v>84</v>
      </c>
      <c r="D1701" s="6" t="s">
        <v>149</v>
      </c>
      <c r="E1701" s="10" t="s">
        <v>1899</v>
      </c>
      <c r="F1701" s="6" t="s">
        <v>4127</v>
      </c>
      <c r="G1701" s="6" t="s">
        <v>104</v>
      </c>
      <c r="H1701" s="6" t="s">
        <v>6432</v>
      </c>
      <c r="I1701" s="6" t="s">
        <v>7891</v>
      </c>
      <c r="J1701" s="6" t="s">
        <v>9359</v>
      </c>
      <c r="K1701" s="6" t="s">
        <v>9714</v>
      </c>
      <c r="L1701" s="16" t="n">
        <v>41044</v>
      </c>
      <c r="M1701" s="16" t="n">
        <v>45891</v>
      </c>
      <c r="N1701" s="6" t="s">
        <v>104</v>
      </c>
      <c r="O1701" s="21" t="s">
        <v>104</v>
      </c>
      <c r="P1701" s="6" t="s">
        <v>104</v>
      </c>
      <c r="Q1701" s="6" t="s">
        <v>104</v>
      </c>
      <c r="R1701" s="6" t="s">
        <v>104</v>
      </c>
      <c r="S1701" s="6" t="s">
        <v>104</v>
      </c>
      <c r="T1701" s="21" t="s">
        <v>104</v>
      </c>
      <c r="U1701" s="6" t="s">
        <v>104</v>
      </c>
      <c r="V1701" s="6" t="s">
        <v>104</v>
      </c>
      <c r="W1701" s="6" t="s">
        <v>104</v>
      </c>
      <c r="X1701" s="6" t="s">
        <v>104</v>
      </c>
      <c r="Y1701" s="21" t="s">
        <v>104</v>
      </c>
      <c r="Z1701" s="6" t="s">
        <v>104</v>
      </c>
      <c r="AA1701" s="6" t="s">
        <v>104</v>
      </c>
      <c r="AB1701" s="6" t="s">
        <v>104</v>
      </c>
      <c r="AC1701" s="6" t="s">
        <v>9714</v>
      </c>
      <c r="AD1701" s="16" t="n">
        <v>41044</v>
      </c>
      <c r="AE1701" s="6" t="s">
        <v>12004</v>
      </c>
      <c r="AF1701" s="6" t="s">
        <v>104</v>
      </c>
      <c r="AG1701" s="6" t="s">
        <v>13011</v>
      </c>
      <c r="AH1701" s="6" t="s">
        <v>14715</v>
      </c>
      <c r="AI1701" s="6" t="s">
        <v>104</v>
      </c>
      <c r="AJ1701" s="6" t="s">
        <v>15386</v>
      </c>
      <c r="AK1701" s="6" t="s">
        <v>16686</v>
      </c>
      <c r="AL1701" s="6" t="s">
        <v>16931</v>
      </c>
      <c r="AM1701" s="6" t="s">
        <v>17013</v>
      </c>
      <c r="AN1701" s="6" t="s">
        <v>18460</v>
      </c>
      <c r="AO1701" s="6" t="s">
        <v>18566</v>
      </c>
      <c r="AP1701" s="6" t="s">
        <v>19400</v>
      </c>
      <c r="AQ1701" s="6" t="s">
        <v>104</v>
      </c>
      <c r="AR1701" s="6" t="s">
        <v>15386</v>
      </c>
      <c r="AS1701" s="6" t="s">
        <v>16686</v>
      </c>
      <c r="AT1701" s="6" t="s">
        <v>16931</v>
      </c>
      <c r="AU1701" s="6" t="s">
        <v>17013</v>
      </c>
      <c r="AV1701" s="6" t="s">
        <v>104</v>
      </c>
      <c r="AW1701" s="6" t="s">
        <v>104</v>
      </c>
      <c r="AX1701" s="6" t="s">
        <v>21446</v>
      </c>
      <c r="AY1701" s="6" t="s">
        <v>23251</v>
      </c>
      <c r="AZ1701" s="6" t="s">
        <v>104</v>
      </c>
      <c r="BA1701" s="6" t="s">
        <v>24265</v>
      </c>
      <c r="BB1701" s="6" t="s">
        <v>104</v>
      </c>
      <c r="BC1701" s="26"/>
      <c r="BD1701" s="26"/>
      <c r="BE1701" s="26"/>
      <c r="BF1701" s="26"/>
      <c r="BG1701" s="26"/>
      <c r="BH1701" s="26"/>
      <c r="BI1701" s="26"/>
      <c r="BJ1701" s="26"/>
      <c r="BK1701" s="26"/>
      <c r="BL1701" s="26"/>
      <c r="BM1701" s="26"/>
      <c r="BN1701" s="26"/>
      <c r="BO1701" s="26"/>
      <c r="BP1701" s="16" t="n">
        <v>45737</v>
      </c>
      <c r="BQ1701" s="28" t="str">
        <f>HYPERLINK("https://organic.ams.usda.gov/Integrity/Certificate.aspx?cid=31&amp;nopid=3928971109")</f>
        <v>https://organic.ams.usda.gov/Integrity/Certificate.aspx?cid=31&amp;nopid=3928971109</v>
      </c>
    </row>
    <row r="1702">
      <c r="A1702" t="s">
        <v>3</v>
      </c>
      <c r="B1702" s="6" t="s">
        <v>18</v>
      </c>
      <c r="C1702" s="6" t="s">
        <v>84</v>
      </c>
      <c r="D1702" s="6" t="s">
        <v>149</v>
      </c>
      <c r="E1702" s="10" t="s">
        <v>1900</v>
      </c>
      <c r="F1702" s="6" t="s">
        <v>4128</v>
      </c>
      <c r="G1702" s="6" t="s">
        <v>4840</v>
      </c>
      <c r="H1702" s="6" t="s">
        <v>6433</v>
      </c>
      <c r="I1702" s="6" t="s">
        <v>7080</v>
      </c>
      <c r="J1702" s="6" t="s">
        <v>9360</v>
      </c>
      <c r="K1702" s="6" t="s">
        <v>9714</v>
      </c>
      <c r="L1702" s="16" t="n">
        <v>41339</v>
      </c>
      <c r="M1702" s="16" t="n">
        <v>45891</v>
      </c>
      <c r="N1702" s="6" t="s">
        <v>104</v>
      </c>
      <c r="O1702" s="21" t="s">
        <v>104</v>
      </c>
      <c r="P1702" s="6" t="s">
        <v>104</v>
      </c>
      <c r="Q1702" s="6" t="s">
        <v>104</v>
      </c>
      <c r="R1702" s="6" t="s">
        <v>104</v>
      </c>
      <c r="S1702" s="6" t="s">
        <v>104</v>
      </c>
      <c r="T1702" s="21" t="s">
        <v>104</v>
      </c>
      <c r="U1702" s="6" t="s">
        <v>104</v>
      </c>
      <c r="V1702" s="6" t="s">
        <v>104</v>
      </c>
      <c r="W1702" s="6" t="s">
        <v>104</v>
      </c>
      <c r="X1702" s="6" t="s">
        <v>104</v>
      </c>
      <c r="Y1702" s="21" t="s">
        <v>104</v>
      </c>
      <c r="Z1702" s="6" t="s">
        <v>104</v>
      </c>
      <c r="AA1702" s="6" t="s">
        <v>104</v>
      </c>
      <c r="AB1702" s="6" t="s">
        <v>104</v>
      </c>
      <c r="AC1702" s="6" t="s">
        <v>9714</v>
      </c>
      <c r="AD1702" s="16" t="n">
        <v>41339</v>
      </c>
      <c r="AE1702" s="6" t="s">
        <v>12005</v>
      </c>
      <c r="AF1702" s="6" t="s">
        <v>104</v>
      </c>
      <c r="AG1702" s="6" t="s">
        <v>13012</v>
      </c>
      <c r="AH1702" s="6" t="s">
        <v>14716</v>
      </c>
      <c r="AI1702" s="6" t="s">
        <v>104</v>
      </c>
      <c r="AJ1702" s="6" t="s">
        <v>15386</v>
      </c>
      <c r="AK1702" s="6" t="s">
        <v>16686</v>
      </c>
      <c r="AL1702" s="6" t="s">
        <v>16931</v>
      </c>
      <c r="AM1702" s="6" t="s">
        <v>17013</v>
      </c>
      <c r="AN1702" s="6" t="s">
        <v>18460</v>
      </c>
      <c r="AO1702" s="6" t="s">
        <v>18566</v>
      </c>
      <c r="AP1702" s="6" t="s">
        <v>19400</v>
      </c>
      <c r="AQ1702" s="6" t="s">
        <v>104</v>
      </c>
      <c r="AR1702" s="6" t="s">
        <v>15386</v>
      </c>
      <c r="AS1702" s="6" t="s">
        <v>16686</v>
      </c>
      <c r="AT1702" s="6" t="s">
        <v>16931</v>
      </c>
      <c r="AU1702" s="6" t="s">
        <v>17013</v>
      </c>
      <c r="AV1702" s="6" t="s">
        <v>104</v>
      </c>
      <c r="AW1702" s="6" t="s">
        <v>104</v>
      </c>
      <c r="AX1702" s="6" t="s">
        <v>21446</v>
      </c>
      <c r="AY1702" s="6" t="s">
        <v>23251</v>
      </c>
      <c r="AZ1702" s="6" t="s">
        <v>104</v>
      </c>
      <c r="BA1702" s="6" t="s">
        <v>104</v>
      </c>
      <c r="BB1702" s="6" t="s">
        <v>104</v>
      </c>
      <c r="BC1702" s="26"/>
      <c r="BD1702" s="26"/>
      <c r="BE1702" s="26"/>
      <c r="BF1702" s="26"/>
      <c r="BG1702" s="26"/>
      <c r="BH1702" s="26"/>
      <c r="BI1702" s="26"/>
      <c r="BJ1702" s="26"/>
      <c r="BK1702" s="26"/>
      <c r="BL1702" s="26"/>
      <c r="BM1702" s="26"/>
      <c r="BN1702" s="26" t="s">
        <v>24533</v>
      </c>
      <c r="BO1702" s="26"/>
      <c r="BP1702" s="16" t="n">
        <v>45737</v>
      </c>
      <c r="BQ1702" s="28" t="str">
        <f>HYPERLINK("https://organic.ams.usda.gov/Integrity/Certificate.aspx?cid=31&amp;nopid=3921109001")</f>
        <v>https://organic.ams.usda.gov/Integrity/Certificate.aspx?cid=31&amp;nopid=3921109001</v>
      </c>
    </row>
    <row r="1703">
      <c r="A1703" t="s">
        <v>3</v>
      </c>
      <c r="B1703" s="6" t="s">
        <v>13</v>
      </c>
      <c r="C1703" s="6" t="s">
        <v>79</v>
      </c>
      <c r="D1703" s="6" t="s">
        <v>144</v>
      </c>
      <c r="E1703" s="10" t="s">
        <v>1901</v>
      </c>
      <c r="F1703" s="6" t="s">
        <v>4129</v>
      </c>
      <c r="G1703" s="6" t="s">
        <v>104</v>
      </c>
      <c r="H1703" s="6" t="s">
        <v>6434</v>
      </c>
      <c r="I1703" s="6" t="s">
        <v>7060</v>
      </c>
      <c r="J1703" s="6" t="s">
        <v>8958</v>
      </c>
      <c r="K1703" s="6" t="s">
        <v>9714</v>
      </c>
      <c r="L1703" s="16" t="n">
        <v>38231</v>
      </c>
      <c r="M1703" s="16" t="n">
        <v>46113</v>
      </c>
      <c r="N1703" s="6" t="s">
        <v>104</v>
      </c>
      <c r="O1703" s="21" t="s">
        <v>104</v>
      </c>
      <c r="P1703" s="6" t="s">
        <v>104</v>
      </c>
      <c r="Q1703" s="6" t="s">
        <v>104</v>
      </c>
      <c r="R1703" s="6" t="s">
        <v>104</v>
      </c>
      <c r="S1703" s="6" t="s">
        <v>104</v>
      </c>
      <c r="T1703" s="21" t="s">
        <v>104</v>
      </c>
      <c r="U1703" s="6" t="s">
        <v>104</v>
      </c>
      <c r="V1703" s="6" t="s">
        <v>104</v>
      </c>
      <c r="W1703" s="6" t="s">
        <v>104</v>
      </c>
      <c r="X1703" s="6" t="s">
        <v>104</v>
      </c>
      <c r="Y1703" s="21" t="s">
        <v>104</v>
      </c>
      <c r="Z1703" s="6" t="s">
        <v>104</v>
      </c>
      <c r="AA1703" s="6" t="s">
        <v>104</v>
      </c>
      <c r="AB1703" s="6" t="s">
        <v>104</v>
      </c>
      <c r="AC1703" s="6" t="s">
        <v>9714</v>
      </c>
      <c r="AD1703" s="16" t="n">
        <v>38231</v>
      </c>
      <c r="AE1703" s="6" t="s">
        <v>12006</v>
      </c>
      <c r="AF1703" s="6" t="s">
        <v>104</v>
      </c>
      <c r="AG1703" s="6" t="s">
        <v>104</v>
      </c>
      <c r="AH1703" s="6" t="s">
        <v>104</v>
      </c>
      <c r="AI1703" s="6" t="s">
        <v>104</v>
      </c>
      <c r="AJ1703" s="6" t="s">
        <v>104</v>
      </c>
      <c r="AK1703" s="6" t="s">
        <v>104</v>
      </c>
      <c r="AL1703" s="6" t="s">
        <v>104</v>
      </c>
      <c r="AM1703" s="6" t="s">
        <v>104</v>
      </c>
      <c r="AN1703" s="6" t="s">
        <v>104</v>
      </c>
      <c r="AO1703" s="6" t="s">
        <v>104</v>
      </c>
      <c r="AP1703" s="6" t="s">
        <v>19401</v>
      </c>
      <c r="AQ1703" s="6" t="s">
        <v>19575</v>
      </c>
      <c r="AR1703" s="6" t="s">
        <v>19651</v>
      </c>
      <c r="AS1703" s="6" t="s">
        <v>16382</v>
      </c>
      <c r="AT1703" s="6" t="s">
        <v>16931</v>
      </c>
      <c r="AU1703" s="6" t="s">
        <v>20014</v>
      </c>
      <c r="AV1703" s="6" t="s">
        <v>5429</v>
      </c>
      <c r="AW1703" s="6" t="s">
        <v>18724</v>
      </c>
      <c r="AX1703" s="6" t="s">
        <v>21447</v>
      </c>
      <c r="AY1703" s="6" t="s">
        <v>23252</v>
      </c>
      <c r="AZ1703" s="6" t="s">
        <v>104</v>
      </c>
      <c r="BA1703" s="6" t="s">
        <v>104</v>
      </c>
      <c r="BB1703" s="6" t="s">
        <v>104</v>
      </c>
      <c r="BC1703" s="26"/>
      <c r="BD1703" s="26"/>
      <c r="BE1703" s="26"/>
      <c r="BF1703" s="26"/>
      <c r="BG1703" s="26"/>
      <c r="BH1703" s="26"/>
      <c r="BI1703" s="26"/>
      <c r="BJ1703" s="26"/>
      <c r="BK1703" s="26"/>
      <c r="BL1703" s="26"/>
      <c r="BM1703" s="26"/>
      <c r="BN1703" s="26"/>
      <c r="BO1703" s="26"/>
      <c r="BP1703" s="16" t="n">
        <v>45738</v>
      </c>
      <c r="BQ1703" s="28" t="str">
        <f>HYPERLINK("https://organic.ams.usda.gov/Integrity/Certificate.aspx?cid=62&amp;nopid=8150000274")</f>
        <v>https://organic.ams.usda.gov/Integrity/Certificate.aspx?cid=62&amp;nopid=8150000274</v>
      </c>
    </row>
    <row r="1704">
      <c r="A1704" t="s">
        <v>3</v>
      </c>
      <c r="B1704" s="6" t="s">
        <v>17</v>
      </c>
      <c r="C1704" s="6" t="s">
        <v>83</v>
      </c>
      <c r="D1704" s="6" t="s">
        <v>148</v>
      </c>
      <c r="E1704" s="10" t="s">
        <v>1902</v>
      </c>
      <c r="F1704" s="6" t="s">
        <v>4130</v>
      </c>
      <c r="G1704" s="6" t="s">
        <v>104</v>
      </c>
      <c r="H1704" s="6" t="s">
        <v>6435</v>
      </c>
      <c r="I1704" s="6" t="s">
        <v>7887</v>
      </c>
      <c r="J1704" s="6" t="s">
        <v>9361</v>
      </c>
      <c r="K1704" s="6" t="s">
        <v>9714</v>
      </c>
      <c r="L1704" s="16" t="n">
        <v>45475</v>
      </c>
      <c r="M1704" s="16" t="n">
        <v>45748</v>
      </c>
      <c r="N1704" s="6" t="s">
        <v>104</v>
      </c>
      <c r="O1704" s="21" t="s">
        <v>104</v>
      </c>
      <c r="P1704" s="6" t="s">
        <v>104</v>
      </c>
      <c r="Q1704" s="6" t="s">
        <v>104</v>
      </c>
      <c r="R1704" s="6" t="s">
        <v>104</v>
      </c>
      <c r="S1704" s="6" t="s">
        <v>104</v>
      </c>
      <c r="T1704" s="21" t="s">
        <v>104</v>
      </c>
      <c r="U1704" s="6" t="s">
        <v>104</v>
      </c>
      <c r="V1704" s="6" t="s">
        <v>104</v>
      </c>
      <c r="W1704" s="6" t="s">
        <v>104</v>
      </c>
      <c r="X1704" s="6" t="s">
        <v>104</v>
      </c>
      <c r="Y1704" s="21" t="s">
        <v>104</v>
      </c>
      <c r="Z1704" s="6" t="s">
        <v>104</v>
      </c>
      <c r="AA1704" s="6" t="s">
        <v>104</v>
      </c>
      <c r="AB1704" s="6" t="s">
        <v>104</v>
      </c>
      <c r="AC1704" s="6" t="s">
        <v>9714</v>
      </c>
      <c r="AD1704" s="16" t="n">
        <v>45475</v>
      </c>
      <c r="AE1704" s="6" t="s">
        <v>12007</v>
      </c>
      <c r="AF1704" s="6" t="s">
        <v>104</v>
      </c>
      <c r="AG1704" s="6" t="s">
        <v>104</v>
      </c>
      <c r="AH1704" s="6" t="s">
        <v>14717</v>
      </c>
      <c r="AI1704" s="6" t="s">
        <v>104</v>
      </c>
      <c r="AJ1704" s="6" t="s">
        <v>15437</v>
      </c>
      <c r="AK1704" s="6" t="s">
        <v>16680</v>
      </c>
      <c r="AL1704" s="6" t="s">
        <v>16931</v>
      </c>
      <c r="AM1704" s="6" t="s">
        <v>17066</v>
      </c>
      <c r="AN1704" s="6" t="s">
        <v>104</v>
      </c>
      <c r="AO1704" s="6" t="s">
        <v>104</v>
      </c>
      <c r="AP1704" s="6" t="s">
        <v>14717</v>
      </c>
      <c r="AQ1704" s="6" t="s">
        <v>104</v>
      </c>
      <c r="AR1704" s="6" t="s">
        <v>15437</v>
      </c>
      <c r="AS1704" s="6" t="s">
        <v>16680</v>
      </c>
      <c r="AT1704" s="6" t="s">
        <v>16931</v>
      </c>
      <c r="AU1704" s="6" t="s">
        <v>17066</v>
      </c>
      <c r="AV1704" s="6" t="s">
        <v>104</v>
      </c>
      <c r="AW1704" s="6" t="s">
        <v>104</v>
      </c>
      <c r="AX1704" s="6" t="s">
        <v>21448</v>
      </c>
      <c r="AY1704" s="6" t="s">
        <v>23253</v>
      </c>
      <c r="AZ1704" s="6" t="s">
        <v>104</v>
      </c>
      <c r="BA1704" s="6" t="s">
        <v>104</v>
      </c>
      <c r="BB1704" s="24" t="n">
        <v>0</v>
      </c>
      <c r="BC1704" s="26" t="s">
        <v>24533</v>
      </c>
      <c r="BD1704" s="26"/>
      <c r="BE1704" s="26"/>
      <c r="BF1704" s="26"/>
      <c r="BG1704" s="26" t="s">
        <v>24533</v>
      </c>
      <c r="BH1704" s="26" t="s">
        <v>24533</v>
      </c>
      <c r="BI1704" s="26"/>
      <c r="BJ1704" s="26"/>
      <c r="BK1704" s="26"/>
      <c r="BL1704" s="26"/>
      <c r="BM1704" s="26"/>
      <c r="BN1704" s="26"/>
      <c r="BO1704" s="26"/>
      <c r="BP1704" s="16" t="n">
        <v>45734</v>
      </c>
      <c r="BQ1704" s="28" t="str">
        <f>HYPERLINK("https://organic.ams.usda.gov/Integrity/Certificate.aspx?cid=51&amp;nopid=8241000045")</f>
        <v>https://organic.ams.usda.gov/Integrity/Certificate.aspx?cid=51&amp;nopid=8241000045</v>
      </c>
    </row>
    <row r="1705">
      <c r="A1705" t="s">
        <v>3</v>
      </c>
      <c r="B1705" s="6" t="s">
        <v>13</v>
      </c>
      <c r="C1705" s="6" t="s">
        <v>79</v>
      </c>
      <c r="D1705" s="6" t="s">
        <v>144</v>
      </c>
      <c r="E1705" s="10" t="s">
        <v>1903</v>
      </c>
      <c r="F1705" s="6" t="s">
        <v>4131</v>
      </c>
      <c r="G1705" s="6" t="s">
        <v>104</v>
      </c>
      <c r="H1705" s="6" t="s">
        <v>6436</v>
      </c>
      <c r="I1705" s="6" t="s">
        <v>7051</v>
      </c>
      <c r="J1705" s="6" t="s">
        <v>9362</v>
      </c>
      <c r="K1705" s="6" t="s">
        <v>9714</v>
      </c>
      <c r="L1705" s="16" t="n">
        <v>43311</v>
      </c>
      <c r="M1705" s="16" t="n">
        <v>46023</v>
      </c>
      <c r="N1705" s="6" t="s">
        <v>9714</v>
      </c>
      <c r="O1705" s="16" t="n">
        <v>43311</v>
      </c>
      <c r="P1705" s="6" t="s">
        <v>10178</v>
      </c>
      <c r="Q1705" s="6" t="s">
        <v>104</v>
      </c>
      <c r="R1705" s="6" t="s">
        <v>104</v>
      </c>
      <c r="S1705" s="6" t="s">
        <v>104</v>
      </c>
      <c r="T1705" s="21" t="s">
        <v>104</v>
      </c>
      <c r="U1705" s="6" t="s">
        <v>104</v>
      </c>
      <c r="V1705" s="6" t="s">
        <v>104</v>
      </c>
      <c r="W1705" s="6" t="s">
        <v>104</v>
      </c>
      <c r="X1705" s="6" t="s">
        <v>104</v>
      </c>
      <c r="Y1705" s="21" t="s">
        <v>104</v>
      </c>
      <c r="Z1705" s="6" t="s">
        <v>104</v>
      </c>
      <c r="AA1705" s="6" t="s">
        <v>104</v>
      </c>
      <c r="AB1705" s="6" t="s">
        <v>104</v>
      </c>
      <c r="AC1705" s="6" t="s">
        <v>104</v>
      </c>
      <c r="AD1705" s="21" t="s">
        <v>104</v>
      </c>
      <c r="AE1705" s="6" t="s">
        <v>104</v>
      </c>
      <c r="AF1705" s="6" t="s">
        <v>104</v>
      </c>
      <c r="AG1705" s="6" t="s">
        <v>104</v>
      </c>
      <c r="AH1705" s="6" t="s">
        <v>104</v>
      </c>
      <c r="AI1705" s="6" t="s">
        <v>104</v>
      </c>
      <c r="AJ1705" s="6" t="s">
        <v>104</v>
      </c>
      <c r="AK1705" s="6" t="s">
        <v>104</v>
      </c>
      <c r="AL1705" s="6" t="s">
        <v>104</v>
      </c>
      <c r="AM1705" s="6" t="s">
        <v>104</v>
      </c>
      <c r="AN1705" s="6" t="s">
        <v>104</v>
      </c>
      <c r="AO1705" s="6" t="s">
        <v>104</v>
      </c>
      <c r="AP1705" s="6" t="s">
        <v>19402</v>
      </c>
      <c r="AQ1705" s="6" t="s">
        <v>104</v>
      </c>
      <c r="AR1705" s="6" t="s">
        <v>19746</v>
      </c>
      <c r="AS1705" s="6" t="s">
        <v>16738</v>
      </c>
      <c r="AT1705" s="6" t="s">
        <v>16931</v>
      </c>
      <c r="AU1705" s="6" t="s">
        <v>20015</v>
      </c>
      <c r="AV1705" s="6" t="s">
        <v>18455</v>
      </c>
      <c r="AW1705" s="6" t="s">
        <v>18810</v>
      </c>
      <c r="AX1705" s="6" t="s">
        <v>21449</v>
      </c>
      <c r="AY1705" s="6" t="s">
        <v>23254</v>
      </c>
      <c r="AZ1705" s="6" t="s">
        <v>104</v>
      </c>
      <c r="BA1705" s="6" t="s">
        <v>104</v>
      </c>
      <c r="BB1705" s="24" t="n">
        <v>7</v>
      </c>
      <c r="BC1705" s="26"/>
      <c r="BD1705" s="26"/>
      <c r="BE1705" s="26"/>
      <c r="BF1705" s="26"/>
      <c r="BG1705" s="26"/>
      <c r="BH1705" s="26"/>
      <c r="BI1705" s="26"/>
      <c r="BJ1705" s="26"/>
      <c r="BK1705" s="26"/>
      <c r="BL1705" s="26"/>
      <c r="BM1705" s="26"/>
      <c r="BN1705" s="26"/>
      <c r="BO1705" s="26"/>
      <c r="BP1705" s="16" t="n">
        <v>45715</v>
      </c>
      <c r="BQ1705" s="28" t="str">
        <f>HYPERLINK("https://organic.ams.usda.gov/Integrity/Certificate.aspx?cid=62&amp;nopid=8150007237")</f>
        <v>https://organic.ams.usda.gov/Integrity/Certificate.aspx?cid=62&amp;nopid=8150007237</v>
      </c>
    </row>
    <row r="1706">
      <c r="A1706" t="s">
        <v>3</v>
      </c>
      <c r="B1706" s="6" t="s">
        <v>25</v>
      </c>
      <c r="C1706" s="6" t="s">
        <v>91</v>
      </c>
      <c r="D1706" s="6" t="s">
        <v>156</v>
      </c>
      <c r="E1706" s="10" t="s">
        <v>1904</v>
      </c>
      <c r="F1706" s="6" t="s">
        <v>4132</v>
      </c>
      <c r="G1706" s="6" t="s">
        <v>104</v>
      </c>
      <c r="H1706" s="6" t="s">
        <v>6437</v>
      </c>
      <c r="I1706" s="6" t="s">
        <v>7489</v>
      </c>
      <c r="J1706" s="6" t="s">
        <v>8799</v>
      </c>
      <c r="K1706" s="6" t="s">
        <v>9714</v>
      </c>
      <c r="L1706" s="16" t="n">
        <v>45427</v>
      </c>
      <c r="M1706" s="16" t="n">
        <v>45717</v>
      </c>
      <c r="N1706" s="6" t="s">
        <v>104</v>
      </c>
      <c r="O1706" s="21" t="s">
        <v>104</v>
      </c>
      <c r="P1706" s="6" t="s">
        <v>104</v>
      </c>
      <c r="Q1706" s="6" t="s">
        <v>104</v>
      </c>
      <c r="R1706" s="6" t="s">
        <v>104</v>
      </c>
      <c r="S1706" s="6" t="s">
        <v>104</v>
      </c>
      <c r="T1706" s="21" t="s">
        <v>104</v>
      </c>
      <c r="U1706" s="6" t="s">
        <v>104</v>
      </c>
      <c r="V1706" s="6" t="s">
        <v>104</v>
      </c>
      <c r="W1706" s="6" t="s">
        <v>104</v>
      </c>
      <c r="X1706" s="6" t="s">
        <v>104</v>
      </c>
      <c r="Y1706" s="21" t="s">
        <v>104</v>
      </c>
      <c r="Z1706" s="6" t="s">
        <v>104</v>
      </c>
      <c r="AA1706" s="6" t="s">
        <v>104</v>
      </c>
      <c r="AB1706" s="6" t="s">
        <v>104</v>
      </c>
      <c r="AC1706" s="6" t="s">
        <v>9714</v>
      </c>
      <c r="AD1706" s="16" t="n">
        <v>45427</v>
      </c>
      <c r="AE1706" s="6" t="s">
        <v>12008</v>
      </c>
      <c r="AF1706" s="6" t="s">
        <v>104</v>
      </c>
      <c r="AG1706" s="6" t="s">
        <v>104</v>
      </c>
      <c r="AH1706" s="6" t="s">
        <v>13955</v>
      </c>
      <c r="AI1706" s="6" t="s">
        <v>104</v>
      </c>
      <c r="AJ1706" s="6" t="s">
        <v>15943</v>
      </c>
      <c r="AK1706" s="6" t="s">
        <v>16884</v>
      </c>
      <c r="AL1706" s="6" t="s">
        <v>16935</v>
      </c>
      <c r="AM1706" s="6" t="s">
        <v>17579</v>
      </c>
      <c r="AN1706" s="6" t="s">
        <v>104</v>
      </c>
      <c r="AO1706" s="6" t="s">
        <v>104</v>
      </c>
      <c r="AP1706" s="6" t="s">
        <v>19403</v>
      </c>
      <c r="AQ1706" s="6" t="s">
        <v>104</v>
      </c>
      <c r="AR1706" s="6" t="s">
        <v>19747</v>
      </c>
      <c r="AS1706" s="6" t="s">
        <v>16884</v>
      </c>
      <c r="AT1706" s="6" t="s">
        <v>16935</v>
      </c>
      <c r="AU1706" s="6" t="s">
        <v>19910</v>
      </c>
      <c r="AV1706" s="6" t="s">
        <v>104</v>
      </c>
      <c r="AW1706" s="6" t="s">
        <v>104</v>
      </c>
      <c r="AX1706" s="6" t="s">
        <v>104</v>
      </c>
      <c r="AY1706" s="6" t="s">
        <v>22584</v>
      </c>
      <c r="AZ1706" s="6" t="s">
        <v>104</v>
      </c>
      <c r="BA1706" s="6" t="s">
        <v>24264</v>
      </c>
      <c r="BB1706" s="6" t="s">
        <v>104</v>
      </c>
      <c r="BC1706" s="26"/>
      <c r="BD1706" s="26"/>
      <c r="BE1706" s="26"/>
      <c r="BF1706" s="26"/>
      <c r="BG1706" s="26"/>
      <c r="BH1706" s="26" t="s">
        <v>24533</v>
      </c>
      <c r="BI1706" s="26"/>
      <c r="BJ1706" s="26"/>
      <c r="BK1706" s="26"/>
      <c r="BL1706" s="26"/>
      <c r="BM1706" s="26"/>
      <c r="BN1706" s="26"/>
      <c r="BO1706" s="26"/>
      <c r="BP1706" s="16" t="n">
        <v>45427</v>
      </c>
      <c r="BQ1706" s="28" t="str">
        <f>HYPERLINK("https://organic.ams.usda.gov/Integrity/Certificate.aspx?cid=66&amp;nopid=5500007215")</f>
        <v>https://organic.ams.usda.gov/Integrity/Certificate.aspx?cid=66&amp;nopid=5500007215</v>
      </c>
    </row>
    <row r="1707">
      <c r="A1707" t="s">
        <v>3</v>
      </c>
      <c r="B1707" s="6" t="s">
        <v>13</v>
      </c>
      <c r="C1707" s="6" t="s">
        <v>79</v>
      </c>
      <c r="D1707" s="6" t="s">
        <v>144</v>
      </c>
      <c r="E1707" s="10" t="s">
        <v>1905</v>
      </c>
      <c r="F1707" s="6" t="s">
        <v>4133</v>
      </c>
      <c r="G1707" s="6" t="s">
        <v>104</v>
      </c>
      <c r="H1707" s="6" t="s">
        <v>6438</v>
      </c>
      <c r="I1707" s="6" t="s">
        <v>7892</v>
      </c>
      <c r="J1707" s="6" t="s">
        <v>9363</v>
      </c>
      <c r="K1707" s="6" t="s">
        <v>9714</v>
      </c>
      <c r="L1707" s="16" t="n">
        <v>44959</v>
      </c>
      <c r="M1707" s="16" t="n">
        <v>46023</v>
      </c>
      <c r="N1707" s="6" t="s">
        <v>104</v>
      </c>
      <c r="O1707" s="21" t="s">
        <v>104</v>
      </c>
      <c r="P1707" s="6" t="s">
        <v>104</v>
      </c>
      <c r="Q1707" s="6" t="s">
        <v>104</v>
      </c>
      <c r="R1707" s="6" t="s">
        <v>104</v>
      </c>
      <c r="S1707" s="6" t="s">
        <v>104</v>
      </c>
      <c r="T1707" s="21" t="s">
        <v>104</v>
      </c>
      <c r="U1707" s="6" t="s">
        <v>104</v>
      </c>
      <c r="V1707" s="6" t="s">
        <v>104</v>
      </c>
      <c r="W1707" s="6" t="s">
        <v>104</v>
      </c>
      <c r="X1707" s="6" t="s">
        <v>104</v>
      </c>
      <c r="Y1707" s="21" t="s">
        <v>104</v>
      </c>
      <c r="Z1707" s="6" t="s">
        <v>104</v>
      </c>
      <c r="AA1707" s="6" t="s">
        <v>104</v>
      </c>
      <c r="AB1707" s="6" t="s">
        <v>104</v>
      </c>
      <c r="AC1707" s="6" t="s">
        <v>9714</v>
      </c>
      <c r="AD1707" s="16" t="n">
        <v>44959</v>
      </c>
      <c r="AE1707" s="6" t="s">
        <v>12009</v>
      </c>
      <c r="AF1707" s="6" t="s">
        <v>104</v>
      </c>
      <c r="AG1707" s="6" t="s">
        <v>104</v>
      </c>
      <c r="AH1707" s="6" t="s">
        <v>104</v>
      </c>
      <c r="AI1707" s="6" t="s">
        <v>104</v>
      </c>
      <c r="AJ1707" s="6" t="s">
        <v>104</v>
      </c>
      <c r="AK1707" s="6" t="s">
        <v>104</v>
      </c>
      <c r="AL1707" s="6" t="s">
        <v>104</v>
      </c>
      <c r="AM1707" s="6" t="s">
        <v>104</v>
      </c>
      <c r="AN1707" s="6" t="s">
        <v>104</v>
      </c>
      <c r="AO1707" s="6" t="s">
        <v>104</v>
      </c>
      <c r="AP1707" s="6" t="s">
        <v>19404</v>
      </c>
      <c r="AQ1707" s="6" t="s">
        <v>104</v>
      </c>
      <c r="AR1707" s="6" t="s">
        <v>15945</v>
      </c>
      <c r="AS1707" s="6" t="s">
        <v>16683</v>
      </c>
      <c r="AT1707" s="6" t="s">
        <v>16931</v>
      </c>
      <c r="AU1707" s="6" t="s">
        <v>20016</v>
      </c>
      <c r="AV1707" s="6" t="s">
        <v>18455</v>
      </c>
      <c r="AW1707" s="6" t="s">
        <v>20107</v>
      </c>
      <c r="AX1707" s="6" t="s">
        <v>21450</v>
      </c>
      <c r="AY1707" s="6" t="s">
        <v>23255</v>
      </c>
      <c r="AZ1707" s="6" t="s">
        <v>104</v>
      </c>
      <c r="BA1707" s="6" t="s">
        <v>104</v>
      </c>
      <c r="BB1707" s="6" t="s">
        <v>104</v>
      </c>
      <c r="BC1707" s="26"/>
      <c r="BD1707" s="26"/>
      <c r="BE1707" s="26" t="s">
        <v>24533</v>
      </c>
      <c r="BF1707" s="26"/>
      <c r="BG1707" s="26"/>
      <c r="BH1707" s="26"/>
      <c r="BI1707" s="26"/>
      <c r="BJ1707" s="26"/>
      <c r="BK1707" s="26"/>
      <c r="BL1707" s="26"/>
      <c r="BM1707" s="26"/>
      <c r="BN1707" s="26"/>
      <c r="BO1707" s="26"/>
      <c r="BP1707" s="16" t="n">
        <v>45677</v>
      </c>
      <c r="BQ1707" s="28" t="str">
        <f>HYPERLINK("https://organic.ams.usda.gov/Integrity/Certificate.aspx?cid=62&amp;nopid=8150021251")</f>
        <v>https://organic.ams.usda.gov/Integrity/Certificate.aspx?cid=62&amp;nopid=8150021251</v>
      </c>
    </row>
    <row r="1708">
      <c r="A1708" t="s">
        <v>3</v>
      </c>
      <c r="B1708" s="6" t="s">
        <v>13</v>
      </c>
      <c r="C1708" s="6" t="s">
        <v>79</v>
      </c>
      <c r="D1708" s="6" t="s">
        <v>144</v>
      </c>
      <c r="E1708" s="10" t="s">
        <v>1906</v>
      </c>
      <c r="F1708" s="6" t="s">
        <v>4134</v>
      </c>
      <c r="G1708" s="6" t="s">
        <v>104</v>
      </c>
      <c r="H1708" s="6" t="s">
        <v>6439</v>
      </c>
      <c r="I1708" s="6" t="s">
        <v>6938</v>
      </c>
      <c r="J1708" s="6" t="s">
        <v>9364</v>
      </c>
      <c r="K1708" s="6" t="s">
        <v>9714</v>
      </c>
      <c r="L1708" s="16" t="n">
        <v>38279</v>
      </c>
      <c r="M1708" s="16" t="n">
        <v>46023</v>
      </c>
      <c r="N1708" s="6" t="s">
        <v>104</v>
      </c>
      <c r="O1708" s="21" t="s">
        <v>104</v>
      </c>
      <c r="P1708" s="6" t="s">
        <v>104</v>
      </c>
      <c r="Q1708" s="6" t="s">
        <v>104</v>
      </c>
      <c r="R1708" s="6" t="s">
        <v>104</v>
      </c>
      <c r="S1708" s="6" t="s">
        <v>104</v>
      </c>
      <c r="T1708" s="21" t="s">
        <v>104</v>
      </c>
      <c r="U1708" s="6" t="s">
        <v>104</v>
      </c>
      <c r="V1708" s="6" t="s">
        <v>104</v>
      </c>
      <c r="W1708" s="6" t="s">
        <v>104</v>
      </c>
      <c r="X1708" s="6" t="s">
        <v>104</v>
      </c>
      <c r="Y1708" s="21" t="s">
        <v>104</v>
      </c>
      <c r="Z1708" s="6" t="s">
        <v>104</v>
      </c>
      <c r="AA1708" s="6" t="s">
        <v>104</v>
      </c>
      <c r="AB1708" s="6" t="s">
        <v>104</v>
      </c>
      <c r="AC1708" s="6" t="s">
        <v>9714</v>
      </c>
      <c r="AD1708" s="16" t="n">
        <v>38279</v>
      </c>
      <c r="AE1708" s="6" t="s">
        <v>12010</v>
      </c>
      <c r="AF1708" s="6" t="s">
        <v>104</v>
      </c>
      <c r="AG1708" s="6" t="s">
        <v>104</v>
      </c>
      <c r="AH1708" s="6" t="s">
        <v>104</v>
      </c>
      <c r="AI1708" s="6" t="s">
        <v>104</v>
      </c>
      <c r="AJ1708" s="6" t="s">
        <v>104</v>
      </c>
      <c r="AK1708" s="6" t="s">
        <v>104</v>
      </c>
      <c r="AL1708" s="6" t="s">
        <v>104</v>
      </c>
      <c r="AM1708" s="6" t="s">
        <v>104</v>
      </c>
      <c r="AN1708" s="6" t="s">
        <v>104</v>
      </c>
      <c r="AO1708" s="6" t="s">
        <v>104</v>
      </c>
      <c r="AP1708" s="6" t="s">
        <v>19405</v>
      </c>
      <c r="AQ1708" s="6" t="s">
        <v>104</v>
      </c>
      <c r="AR1708" s="6" t="s">
        <v>19748</v>
      </c>
      <c r="AS1708" s="6" t="s">
        <v>16714</v>
      </c>
      <c r="AT1708" s="6" t="s">
        <v>16931</v>
      </c>
      <c r="AU1708" s="6" t="s">
        <v>20017</v>
      </c>
      <c r="AV1708" s="6" t="s">
        <v>18495</v>
      </c>
      <c r="AW1708" s="6" t="s">
        <v>18619</v>
      </c>
      <c r="AX1708" s="6" t="s">
        <v>21451</v>
      </c>
      <c r="AY1708" s="6" t="s">
        <v>23256</v>
      </c>
      <c r="AZ1708" s="6" t="s">
        <v>104</v>
      </c>
      <c r="BA1708" s="6" t="s">
        <v>104</v>
      </c>
      <c r="BB1708" s="6" t="s">
        <v>104</v>
      </c>
      <c r="BC1708" s="26"/>
      <c r="BD1708" s="26"/>
      <c r="BE1708" s="26" t="s">
        <v>24533</v>
      </c>
      <c r="BF1708" s="26"/>
      <c r="BG1708" s="26"/>
      <c r="BH1708" s="26"/>
      <c r="BI1708" s="26"/>
      <c r="BJ1708" s="26"/>
      <c r="BK1708" s="26"/>
      <c r="BL1708" s="26"/>
      <c r="BM1708" s="26"/>
      <c r="BN1708" s="26"/>
      <c r="BO1708" s="26"/>
      <c r="BP1708" s="16" t="n">
        <v>45729</v>
      </c>
      <c r="BQ1708" s="28" t="str">
        <f>HYPERLINK("https://organic.ams.usda.gov/Integrity/Certificate.aspx?cid=62&amp;nopid=8150000184")</f>
        <v>https://organic.ams.usda.gov/Integrity/Certificate.aspx?cid=62&amp;nopid=8150000184</v>
      </c>
    </row>
    <row r="1709">
      <c r="A1709" t="s">
        <v>3</v>
      </c>
      <c r="B1709" s="6" t="s">
        <v>29</v>
      </c>
      <c r="C1709" s="6" t="s">
        <v>95</v>
      </c>
      <c r="D1709" s="6" t="s">
        <v>160</v>
      </c>
      <c r="E1709" s="10" t="s">
        <v>1907</v>
      </c>
      <c r="F1709" s="6" t="s">
        <v>4135</v>
      </c>
      <c r="G1709" s="6" t="s">
        <v>104</v>
      </c>
      <c r="H1709" s="6" t="s">
        <v>6440</v>
      </c>
      <c r="I1709" s="6" t="s">
        <v>104</v>
      </c>
      <c r="J1709" s="6" t="s">
        <v>9365</v>
      </c>
      <c r="K1709" s="6" t="s">
        <v>9714</v>
      </c>
      <c r="L1709" s="16" t="n">
        <v>44727</v>
      </c>
      <c r="M1709" s="16" t="n">
        <v>45778</v>
      </c>
      <c r="N1709" s="6" t="s">
        <v>104</v>
      </c>
      <c r="O1709" s="21" t="s">
        <v>104</v>
      </c>
      <c r="P1709" s="6" t="s">
        <v>104</v>
      </c>
      <c r="Q1709" s="6" t="s">
        <v>104</v>
      </c>
      <c r="R1709" s="6" t="s">
        <v>104</v>
      </c>
      <c r="S1709" s="6" t="s">
        <v>104</v>
      </c>
      <c r="T1709" s="21" t="s">
        <v>104</v>
      </c>
      <c r="U1709" s="6" t="s">
        <v>104</v>
      </c>
      <c r="V1709" s="6" t="s">
        <v>104</v>
      </c>
      <c r="W1709" s="6" t="s">
        <v>104</v>
      </c>
      <c r="X1709" s="6" t="s">
        <v>104</v>
      </c>
      <c r="Y1709" s="21" t="s">
        <v>104</v>
      </c>
      <c r="Z1709" s="6" t="s">
        <v>104</v>
      </c>
      <c r="AA1709" s="6" t="s">
        <v>104</v>
      </c>
      <c r="AB1709" s="6" t="s">
        <v>104</v>
      </c>
      <c r="AC1709" s="6" t="s">
        <v>9714</v>
      </c>
      <c r="AD1709" s="16" t="n">
        <v>44727</v>
      </c>
      <c r="AE1709" s="6" t="s">
        <v>12011</v>
      </c>
      <c r="AF1709" s="6" t="s">
        <v>104</v>
      </c>
      <c r="AG1709" s="6" t="s">
        <v>104</v>
      </c>
      <c r="AH1709" s="6" t="s">
        <v>14718</v>
      </c>
      <c r="AI1709" s="6" t="s">
        <v>104</v>
      </c>
      <c r="AJ1709" s="6" t="s">
        <v>104</v>
      </c>
      <c r="AK1709" s="6" t="s">
        <v>16697</v>
      </c>
      <c r="AL1709" s="6" t="s">
        <v>16932</v>
      </c>
      <c r="AM1709" s="6" t="s">
        <v>18126</v>
      </c>
      <c r="AN1709" s="6" t="s">
        <v>104</v>
      </c>
      <c r="AO1709" s="6" t="s">
        <v>104</v>
      </c>
      <c r="AP1709" s="6" t="s">
        <v>104</v>
      </c>
      <c r="AQ1709" s="6" t="s">
        <v>104</v>
      </c>
      <c r="AR1709" s="6" t="s">
        <v>104</v>
      </c>
      <c r="AS1709" s="6" t="s">
        <v>104</v>
      </c>
      <c r="AT1709" s="6" t="s">
        <v>104</v>
      </c>
      <c r="AU1709" s="6" t="s">
        <v>104</v>
      </c>
      <c r="AV1709" s="6" t="s">
        <v>104</v>
      </c>
      <c r="AW1709" s="6" t="s">
        <v>104</v>
      </c>
      <c r="AX1709" s="6" t="s">
        <v>21452</v>
      </c>
      <c r="AY1709" s="6" t="s">
        <v>23257</v>
      </c>
      <c r="AZ1709" s="6" t="s">
        <v>104</v>
      </c>
      <c r="BA1709" s="6" t="s">
        <v>104</v>
      </c>
      <c r="BB1709" s="24" t="n">
        <v>0</v>
      </c>
      <c r="BC1709" s="26"/>
      <c r="BD1709" s="26"/>
      <c r="BE1709" s="26"/>
      <c r="BF1709" s="26"/>
      <c r="BG1709" s="26"/>
      <c r="BH1709" s="26"/>
      <c r="BI1709" s="26"/>
      <c r="BJ1709" s="26"/>
      <c r="BK1709" s="26"/>
      <c r="BL1709" s="26"/>
      <c r="BM1709" s="26"/>
      <c r="BN1709" s="26"/>
      <c r="BO1709" s="26"/>
      <c r="BP1709" s="16" t="n">
        <v>45685</v>
      </c>
      <c r="BQ1709" s="28" t="str">
        <f>HYPERLINK("https://organic.ams.usda.gov/Integrity/Certificate.aspx?cid=24&amp;nopid=7880263987")</f>
        <v>https://organic.ams.usda.gov/Integrity/Certificate.aspx?cid=24&amp;nopid=7880263987</v>
      </c>
    </row>
    <row r="1710">
      <c r="A1710" t="s">
        <v>3</v>
      </c>
      <c r="B1710" s="6" t="s">
        <v>17</v>
      </c>
      <c r="C1710" s="6" t="s">
        <v>83</v>
      </c>
      <c r="D1710" s="6" t="s">
        <v>148</v>
      </c>
      <c r="E1710" s="10" t="s">
        <v>1908</v>
      </c>
      <c r="F1710" s="6" t="s">
        <v>4136</v>
      </c>
      <c r="G1710" s="6" t="s">
        <v>4841</v>
      </c>
      <c r="H1710" s="6" t="s">
        <v>6441</v>
      </c>
      <c r="I1710" s="6" t="s">
        <v>7893</v>
      </c>
      <c r="J1710" s="6" t="s">
        <v>9366</v>
      </c>
      <c r="K1710" s="6" t="s">
        <v>9714</v>
      </c>
      <c r="L1710" s="16" t="n">
        <v>45447</v>
      </c>
      <c r="M1710" s="16" t="n">
        <v>45717</v>
      </c>
      <c r="N1710" s="6" t="s">
        <v>104</v>
      </c>
      <c r="O1710" s="21" t="s">
        <v>104</v>
      </c>
      <c r="P1710" s="6" t="s">
        <v>104</v>
      </c>
      <c r="Q1710" s="6" t="s">
        <v>104</v>
      </c>
      <c r="R1710" s="6" t="s">
        <v>104</v>
      </c>
      <c r="S1710" s="6" t="s">
        <v>104</v>
      </c>
      <c r="T1710" s="21" t="s">
        <v>104</v>
      </c>
      <c r="U1710" s="6" t="s">
        <v>104</v>
      </c>
      <c r="V1710" s="6" t="s">
        <v>104</v>
      </c>
      <c r="W1710" s="6" t="s">
        <v>104</v>
      </c>
      <c r="X1710" s="6" t="s">
        <v>104</v>
      </c>
      <c r="Y1710" s="21" t="s">
        <v>104</v>
      </c>
      <c r="Z1710" s="6" t="s">
        <v>104</v>
      </c>
      <c r="AA1710" s="6" t="s">
        <v>104</v>
      </c>
      <c r="AB1710" s="6" t="s">
        <v>104</v>
      </c>
      <c r="AC1710" s="6" t="s">
        <v>9714</v>
      </c>
      <c r="AD1710" s="16" t="n">
        <v>45447</v>
      </c>
      <c r="AE1710" s="6" t="s">
        <v>12012</v>
      </c>
      <c r="AF1710" s="6" t="s">
        <v>104</v>
      </c>
      <c r="AG1710" s="6" t="s">
        <v>104</v>
      </c>
      <c r="AH1710" s="6" t="s">
        <v>14719</v>
      </c>
      <c r="AI1710" s="6" t="s">
        <v>104</v>
      </c>
      <c r="AJ1710" s="6" t="s">
        <v>16415</v>
      </c>
      <c r="AK1710" s="6" t="s">
        <v>16337</v>
      </c>
      <c r="AL1710" s="6" t="s">
        <v>16931</v>
      </c>
      <c r="AM1710" s="6" t="s">
        <v>18127</v>
      </c>
      <c r="AN1710" s="6" t="s">
        <v>104</v>
      </c>
      <c r="AO1710" s="6" t="s">
        <v>104</v>
      </c>
      <c r="AP1710" s="6" t="s">
        <v>14719</v>
      </c>
      <c r="AQ1710" s="6" t="s">
        <v>104</v>
      </c>
      <c r="AR1710" s="6" t="s">
        <v>16415</v>
      </c>
      <c r="AS1710" s="6" t="s">
        <v>16337</v>
      </c>
      <c r="AT1710" s="6" t="s">
        <v>16931</v>
      </c>
      <c r="AU1710" s="6" t="s">
        <v>18127</v>
      </c>
      <c r="AV1710" s="6" t="s">
        <v>104</v>
      </c>
      <c r="AW1710" s="6" t="s">
        <v>104</v>
      </c>
      <c r="AX1710" s="6" t="s">
        <v>21453</v>
      </c>
      <c r="AY1710" s="6" t="s">
        <v>23258</v>
      </c>
      <c r="AZ1710" s="6" t="s">
        <v>104</v>
      </c>
      <c r="BA1710" s="6" t="s">
        <v>104</v>
      </c>
      <c r="BB1710" s="24" t="n">
        <v>0</v>
      </c>
      <c r="BC1710" s="26" t="s">
        <v>24533</v>
      </c>
      <c r="BD1710" s="26"/>
      <c r="BE1710" s="26"/>
      <c r="BF1710" s="26"/>
      <c r="BG1710" s="26" t="s">
        <v>24533</v>
      </c>
      <c r="BH1710" s="26" t="s">
        <v>24533</v>
      </c>
      <c r="BI1710" s="26"/>
      <c r="BJ1710" s="26"/>
      <c r="BK1710" s="26"/>
      <c r="BL1710" s="26"/>
      <c r="BM1710" s="26"/>
      <c r="BN1710" s="26"/>
      <c r="BO1710" s="26"/>
      <c r="BP1710" s="16" t="n">
        <v>45726</v>
      </c>
      <c r="BQ1710" s="28" t="str">
        <f>HYPERLINK("https://organic.ams.usda.gov/Integrity/Certificate.aspx?cid=51&amp;nopid=8241000025")</f>
        <v>https://organic.ams.usda.gov/Integrity/Certificate.aspx?cid=51&amp;nopid=8241000025</v>
      </c>
    </row>
    <row r="1711">
      <c r="A1711" t="s">
        <v>3</v>
      </c>
      <c r="B1711" s="6" t="s">
        <v>11</v>
      </c>
      <c r="C1711" s="6" t="s">
        <v>77</v>
      </c>
      <c r="D1711" s="6" t="s">
        <v>142</v>
      </c>
      <c r="E1711" s="10" t="s">
        <v>1909</v>
      </c>
      <c r="F1711" s="6" t="s">
        <v>4137</v>
      </c>
      <c r="G1711" s="6" t="s">
        <v>104</v>
      </c>
      <c r="H1711" s="6" t="s">
        <v>6442</v>
      </c>
      <c r="I1711" s="6" t="s">
        <v>7894</v>
      </c>
      <c r="J1711" s="6" t="s">
        <v>9367</v>
      </c>
      <c r="K1711" s="6" t="s">
        <v>9714</v>
      </c>
      <c r="L1711" s="16" t="n">
        <v>42116</v>
      </c>
      <c r="M1711" s="16" t="n">
        <v>46021</v>
      </c>
      <c r="N1711" s="6" t="s">
        <v>9714</v>
      </c>
      <c r="O1711" s="16" t="n">
        <v>42116</v>
      </c>
      <c r="P1711" s="6" t="s">
        <v>10179</v>
      </c>
      <c r="Q1711" s="6" t="s">
        <v>104</v>
      </c>
      <c r="R1711" s="6" t="s">
        <v>104</v>
      </c>
      <c r="S1711" s="6" t="s">
        <v>104</v>
      </c>
      <c r="T1711" s="21" t="s">
        <v>104</v>
      </c>
      <c r="U1711" s="6" t="s">
        <v>104</v>
      </c>
      <c r="V1711" s="6" t="s">
        <v>104</v>
      </c>
      <c r="W1711" s="6" t="s">
        <v>104</v>
      </c>
      <c r="X1711" s="6" t="s">
        <v>104</v>
      </c>
      <c r="Y1711" s="21" t="s">
        <v>104</v>
      </c>
      <c r="Z1711" s="6" t="s">
        <v>104</v>
      </c>
      <c r="AA1711" s="6" t="s">
        <v>104</v>
      </c>
      <c r="AB1711" s="6" t="s">
        <v>104</v>
      </c>
      <c r="AC1711" s="6" t="s">
        <v>9714</v>
      </c>
      <c r="AD1711" s="16" t="n">
        <v>42116</v>
      </c>
      <c r="AE1711" s="6" t="s">
        <v>12013</v>
      </c>
      <c r="AF1711" s="6" t="s">
        <v>104</v>
      </c>
      <c r="AG1711" s="6" t="s">
        <v>104</v>
      </c>
      <c r="AH1711" s="6" t="s">
        <v>14720</v>
      </c>
      <c r="AI1711" s="6" t="s">
        <v>104</v>
      </c>
      <c r="AJ1711" s="6" t="s">
        <v>104</v>
      </c>
      <c r="AK1711" s="6" t="s">
        <v>104</v>
      </c>
      <c r="AL1711" s="6" t="s">
        <v>16940</v>
      </c>
      <c r="AM1711" s="6" t="s">
        <v>104</v>
      </c>
      <c r="AN1711" s="6" t="s">
        <v>104</v>
      </c>
      <c r="AO1711" s="6" t="s">
        <v>104</v>
      </c>
      <c r="AP1711" s="6" t="s">
        <v>104</v>
      </c>
      <c r="AQ1711" s="6" t="s">
        <v>104</v>
      </c>
      <c r="AR1711" s="6" t="s">
        <v>104</v>
      </c>
      <c r="AS1711" s="6" t="s">
        <v>104</v>
      </c>
      <c r="AT1711" s="6" t="s">
        <v>104</v>
      </c>
      <c r="AU1711" s="6" t="s">
        <v>104</v>
      </c>
      <c r="AV1711" s="6" t="s">
        <v>104</v>
      </c>
      <c r="AW1711" s="6" t="s">
        <v>104</v>
      </c>
      <c r="AX1711" s="6" t="s">
        <v>21454</v>
      </c>
      <c r="AY1711" s="6" t="s">
        <v>23259</v>
      </c>
      <c r="AZ1711" s="6" t="s">
        <v>104</v>
      </c>
      <c r="BA1711" s="6" t="s">
        <v>104</v>
      </c>
      <c r="BB1711" s="24" t="n">
        <v>7020</v>
      </c>
      <c r="BC1711" s="26"/>
      <c r="BD1711" s="26"/>
      <c r="BE1711" s="26"/>
      <c r="BF1711" s="26"/>
      <c r="BG1711" s="26"/>
      <c r="BH1711" s="26"/>
      <c r="BI1711" s="26"/>
      <c r="BJ1711" s="26"/>
      <c r="BK1711" s="26"/>
      <c r="BL1711" s="26"/>
      <c r="BM1711" s="26"/>
      <c r="BN1711" s="26"/>
      <c r="BO1711" s="26"/>
      <c r="BP1711" s="16" t="n">
        <v>45716</v>
      </c>
      <c r="BQ1711" s="28" t="str">
        <f>HYPERLINK("https://organic.ams.usda.gov/Integrity/Certificate.aspx?cid=21&amp;nopid=1780829201")</f>
        <v>https://organic.ams.usda.gov/Integrity/Certificate.aspx?cid=21&amp;nopid=1780829201</v>
      </c>
    </row>
    <row r="1712">
      <c r="A1712" t="s">
        <v>3</v>
      </c>
      <c r="B1712" s="6" t="s">
        <v>20</v>
      </c>
      <c r="C1712" s="6" t="s">
        <v>86</v>
      </c>
      <c r="D1712" s="6" t="s">
        <v>151</v>
      </c>
      <c r="E1712" s="10" t="s">
        <v>1910</v>
      </c>
      <c r="F1712" s="6" t="s">
        <v>4138</v>
      </c>
      <c r="G1712" s="6" t="s">
        <v>104</v>
      </c>
      <c r="H1712" s="6" t="s">
        <v>6443</v>
      </c>
      <c r="I1712" s="6" t="s">
        <v>7895</v>
      </c>
      <c r="J1712" s="6" t="s">
        <v>9368</v>
      </c>
      <c r="K1712" s="6" t="s">
        <v>9714</v>
      </c>
      <c r="L1712" s="16" t="n">
        <v>44580</v>
      </c>
      <c r="M1712" s="16" t="n">
        <v>45716</v>
      </c>
      <c r="N1712" s="6" t="s">
        <v>104</v>
      </c>
      <c r="O1712" s="21" t="s">
        <v>104</v>
      </c>
      <c r="P1712" s="6" t="s">
        <v>104</v>
      </c>
      <c r="Q1712" s="6" t="s">
        <v>104</v>
      </c>
      <c r="R1712" s="6" t="s">
        <v>104</v>
      </c>
      <c r="S1712" s="6" t="s">
        <v>104</v>
      </c>
      <c r="T1712" s="21" t="s">
        <v>104</v>
      </c>
      <c r="U1712" s="6" t="s">
        <v>104</v>
      </c>
      <c r="V1712" s="6" t="s">
        <v>104</v>
      </c>
      <c r="W1712" s="6" t="s">
        <v>104</v>
      </c>
      <c r="X1712" s="6" t="s">
        <v>104</v>
      </c>
      <c r="Y1712" s="21" t="s">
        <v>104</v>
      </c>
      <c r="Z1712" s="6" t="s">
        <v>104</v>
      </c>
      <c r="AA1712" s="6" t="s">
        <v>104</v>
      </c>
      <c r="AB1712" s="6" t="s">
        <v>104</v>
      </c>
      <c r="AC1712" s="6" t="s">
        <v>9714</v>
      </c>
      <c r="AD1712" s="16" t="n">
        <v>44580</v>
      </c>
      <c r="AE1712" s="6" t="s">
        <v>12014</v>
      </c>
      <c r="AF1712" s="6" t="s">
        <v>104</v>
      </c>
      <c r="AG1712" s="6" t="s">
        <v>13013</v>
      </c>
      <c r="AH1712" s="6" t="s">
        <v>14721</v>
      </c>
      <c r="AI1712" s="6" t="s">
        <v>104</v>
      </c>
      <c r="AJ1712" s="6" t="s">
        <v>15363</v>
      </c>
      <c r="AK1712" s="6" t="s">
        <v>104</v>
      </c>
      <c r="AL1712" s="6" t="s">
        <v>15513</v>
      </c>
      <c r="AM1712" s="6" t="s">
        <v>17427</v>
      </c>
      <c r="AN1712" s="6" t="s">
        <v>104</v>
      </c>
      <c r="AO1712" s="6" t="s">
        <v>104</v>
      </c>
      <c r="AP1712" s="6" t="s">
        <v>104</v>
      </c>
      <c r="AQ1712" s="6" t="s">
        <v>104</v>
      </c>
      <c r="AR1712" s="6" t="s">
        <v>104</v>
      </c>
      <c r="AS1712" s="6" t="s">
        <v>104</v>
      </c>
      <c r="AT1712" s="6" t="s">
        <v>104</v>
      </c>
      <c r="AU1712" s="6" t="s">
        <v>104</v>
      </c>
      <c r="AV1712" s="6" t="s">
        <v>104</v>
      </c>
      <c r="AW1712" s="6" t="s">
        <v>104</v>
      </c>
      <c r="AX1712" s="6" t="s">
        <v>21455</v>
      </c>
      <c r="AY1712" s="6" t="s">
        <v>23260</v>
      </c>
      <c r="AZ1712" s="6" t="s">
        <v>104</v>
      </c>
      <c r="BA1712" s="6" t="s">
        <v>104</v>
      </c>
      <c r="BB1712" s="6" t="s">
        <v>104</v>
      </c>
      <c r="BC1712" s="26"/>
      <c r="BD1712" s="26"/>
      <c r="BE1712" s="26"/>
      <c r="BF1712" s="26"/>
      <c r="BG1712" s="26"/>
      <c r="BH1712" s="26"/>
      <c r="BI1712" s="26"/>
      <c r="BJ1712" s="26"/>
      <c r="BK1712" s="26"/>
      <c r="BL1712" s="26"/>
      <c r="BM1712" s="26"/>
      <c r="BN1712" s="26"/>
      <c r="BO1712" s="26"/>
      <c r="BP1712" s="16" t="n">
        <v>45471</v>
      </c>
      <c r="BQ1712" s="28" t="str">
        <f>HYPERLINK("https://organic.ams.usda.gov/Integrity/Certificate.aspx?cid=17&amp;nopid=4080205151")</f>
        <v>https://organic.ams.usda.gov/Integrity/Certificate.aspx?cid=17&amp;nopid=4080205151</v>
      </c>
    </row>
    <row r="1713">
      <c r="A1713" t="s">
        <v>3</v>
      </c>
      <c r="B1713" s="6" t="s">
        <v>20</v>
      </c>
      <c r="C1713" s="6" t="s">
        <v>86</v>
      </c>
      <c r="D1713" s="6" t="s">
        <v>151</v>
      </c>
      <c r="E1713" s="10" t="s">
        <v>1911</v>
      </c>
      <c r="F1713" s="6" t="s">
        <v>4139</v>
      </c>
      <c r="G1713" s="6" t="s">
        <v>104</v>
      </c>
      <c r="H1713" s="6" t="s">
        <v>6444</v>
      </c>
      <c r="I1713" s="6" t="s">
        <v>7896</v>
      </c>
      <c r="J1713" s="6" t="s">
        <v>9369</v>
      </c>
      <c r="K1713" s="6" t="s">
        <v>9714</v>
      </c>
      <c r="L1713" s="16" t="n">
        <v>45030</v>
      </c>
      <c r="M1713" s="16" t="n">
        <v>45777</v>
      </c>
      <c r="N1713" s="6" t="s">
        <v>104</v>
      </c>
      <c r="O1713" s="21" t="s">
        <v>104</v>
      </c>
      <c r="P1713" s="6" t="s">
        <v>104</v>
      </c>
      <c r="Q1713" s="6" t="s">
        <v>104</v>
      </c>
      <c r="R1713" s="6" t="s">
        <v>104</v>
      </c>
      <c r="S1713" s="6" t="s">
        <v>104</v>
      </c>
      <c r="T1713" s="21" t="s">
        <v>104</v>
      </c>
      <c r="U1713" s="6" t="s">
        <v>104</v>
      </c>
      <c r="V1713" s="6" t="s">
        <v>104</v>
      </c>
      <c r="W1713" s="6" t="s">
        <v>104</v>
      </c>
      <c r="X1713" s="6" t="s">
        <v>104</v>
      </c>
      <c r="Y1713" s="21" t="s">
        <v>104</v>
      </c>
      <c r="Z1713" s="6" t="s">
        <v>104</v>
      </c>
      <c r="AA1713" s="6" t="s">
        <v>104</v>
      </c>
      <c r="AB1713" s="6" t="s">
        <v>104</v>
      </c>
      <c r="AC1713" s="6" t="s">
        <v>9714</v>
      </c>
      <c r="AD1713" s="16" t="n">
        <v>45030</v>
      </c>
      <c r="AE1713" s="6" t="s">
        <v>12015</v>
      </c>
      <c r="AF1713" s="6" t="s">
        <v>104</v>
      </c>
      <c r="AG1713" s="6" t="s">
        <v>13014</v>
      </c>
      <c r="AH1713" s="6" t="s">
        <v>14722</v>
      </c>
      <c r="AI1713" s="6" t="s">
        <v>104</v>
      </c>
      <c r="AJ1713" s="6" t="s">
        <v>16416</v>
      </c>
      <c r="AK1713" s="6" t="s">
        <v>104</v>
      </c>
      <c r="AL1713" s="6" t="s">
        <v>15513</v>
      </c>
      <c r="AM1713" s="6" t="s">
        <v>18128</v>
      </c>
      <c r="AN1713" s="6" t="s">
        <v>104</v>
      </c>
      <c r="AO1713" s="6" t="s">
        <v>104</v>
      </c>
      <c r="AP1713" s="6" t="s">
        <v>104</v>
      </c>
      <c r="AQ1713" s="6" t="s">
        <v>104</v>
      </c>
      <c r="AR1713" s="6" t="s">
        <v>104</v>
      </c>
      <c r="AS1713" s="6" t="s">
        <v>104</v>
      </c>
      <c r="AT1713" s="6" t="s">
        <v>104</v>
      </c>
      <c r="AU1713" s="6" t="s">
        <v>104</v>
      </c>
      <c r="AV1713" s="6" t="s">
        <v>104</v>
      </c>
      <c r="AW1713" s="6" t="s">
        <v>104</v>
      </c>
      <c r="AX1713" s="6" t="s">
        <v>21456</v>
      </c>
      <c r="AY1713" s="6" t="s">
        <v>23261</v>
      </c>
      <c r="AZ1713" s="6" t="s">
        <v>104</v>
      </c>
      <c r="BA1713" s="6" t="s">
        <v>104</v>
      </c>
      <c r="BB1713" s="6" t="s">
        <v>104</v>
      </c>
      <c r="BC1713" s="26"/>
      <c r="BD1713" s="26"/>
      <c r="BE1713" s="26"/>
      <c r="BF1713" s="26"/>
      <c r="BG1713" s="26"/>
      <c r="BH1713" s="26"/>
      <c r="BI1713" s="26"/>
      <c r="BJ1713" s="26"/>
      <c r="BK1713" s="26"/>
      <c r="BL1713" s="26"/>
      <c r="BM1713" s="26"/>
      <c r="BN1713" s="26"/>
      <c r="BO1713" s="26"/>
      <c r="BP1713" s="16" t="n">
        <v>45477</v>
      </c>
      <c r="BQ1713" s="28" t="str">
        <f>HYPERLINK("https://organic.ams.usda.gov/Integrity/Certificate.aspx?cid=17&amp;nopid=4080206620")</f>
        <v>https://organic.ams.usda.gov/Integrity/Certificate.aspx?cid=17&amp;nopid=4080206620</v>
      </c>
    </row>
    <row r="1714">
      <c r="A1714" t="s">
        <v>3</v>
      </c>
      <c r="B1714" s="6" t="s">
        <v>23</v>
      </c>
      <c r="C1714" s="6" t="s">
        <v>89</v>
      </c>
      <c r="D1714" s="6" t="s">
        <v>154</v>
      </c>
      <c r="E1714" s="10" t="s">
        <v>1912</v>
      </c>
      <c r="F1714" s="6" t="s">
        <v>4140</v>
      </c>
      <c r="G1714" s="6" t="s">
        <v>4842</v>
      </c>
      <c r="H1714" s="6" t="s">
        <v>6445</v>
      </c>
      <c r="I1714" s="6" t="s">
        <v>7601</v>
      </c>
      <c r="J1714" s="6" t="s">
        <v>9370</v>
      </c>
      <c r="K1714" s="6" t="s">
        <v>9714</v>
      </c>
      <c r="L1714" s="16" t="n">
        <v>44348</v>
      </c>
      <c r="M1714" s="16" t="n">
        <v>45748</v>
      </c>
      <c r="N1714" s="6" t="s">
        <v>104</v>
      </c>
      <c r="O1714" s="21" t="s">
        <v>104</v>
      </c>
      <c r="P1714" s="6" t="s">
        <v>104</v>
      </c>
      <c r="Q1714" s="6" t="s">
        <v>104</v>
      </c>
      <c r="R1714" s="6" t="s">
        <v>104</v>
      </c>
      <c r="S1714" s="6" t="s">
        <v>104</v>
      </c>
      <c r="T1714" s="21" t="s">
        <v>104</v>
      </c>
      <c r="U1714" s="6" t="s">
        <v>104</v>
      </c>
      <c r="V1714" s="6" t="s">
        <v>104</v>
      </c>
      <c r="W1714" s="6" t="s">
        <v>104</v>
      </c>
      <c r="X1714" s="6" t="s">
        <v>104</v>
      </c>
      <c r="Y1714" s="21" t="s">
        <v>104</v>
      </c>
      <c r="Z1714" s="6" t="s">
        <v>104</v>
      </c>
      <c r="AA1714" s="6" t="s">
        <v>104</v>
      </c>
      <c r="AB1714" s="6" t="s">
        <v>104</v>
      </c>
      <c r="AC1714" s="6" t="s">
        <v>9714</v>
      </c>
      <c r="AD1714" s="16" t="n">
        <v>44348</v>
      </c>
      <c r="AE1714" s="6" t="s">
        <v>12016</v>
      </c>
      <c r="AF1714" s="6" t="s">
        <v>104</v>
      </c>
      <c r="AG1714" s="6" t="s">
        <v>6445</v>
      </c>
      <c r="AH1714" s="6" t="s">
        <v>14723</v>
      </c>
      <c r="AI1714" s="6" t="s">
        <v>104</v>
      </c>
      <c r="AJ1714" s="6" t="s">
        <v>16417</v>
      </c>
      <c r="AK1714" s="6" t="s">
        <v>16714</v>
      </c>
      <c r="AL1714" s="6" t="s">
        <v>16931</v>
      </c>
      <c r="AM1714" s="6" t="s">
        <v>18129</v>
      </c>
      <c r="AN1714" s="6" t="s">
        <v>18494</v>
      </c>
      <c r="AO1714" s="6" t="s">
        <v>18877</v>
      </c>
      <c r="AP1714" s="6" t="s">
        <v>19406</v>
      </c>
      <c r="AQ1714" s="6" t="s">
        <v>104</v>
      </c>
      <c r="AR1714" s="6" t="s">
        <v>16417</v>
      </c>
      <c r="AS1714" s="6" t="s">
        <v>16714</v>
      </c>
      <c r="AT1714" s="6" t="s">
        <v>16931</v>
      </c>
      <c r="AU1714" s="6" t="s">
        <v>18129</v>
      </c>
      <c r="AV1714" s="6" t="s">
        <v>104</v>
      </c>
      <c r="AW1714" s="6" t="s">
        <v>104</v>
      </c>
      <c r="AX1714" s="6" t="s">
        <v>21457</v>
      </c>
      <c r="AY1714" s="6" t="s">
        <v>23262</v>
      </c>
      <c r="AZ1714" s="6" t="s">
        <v>104</v>
      </c>
      <c r="BA1714" s="6" t="s">
        <v>104</v>
      </c>
      <c r="BB1714" s="24" t="n">
        <v>0</v>
      </c>
      <c r="BC1714" s="26"/>
      <c r="BD1714" s="26"/>
      <c r="BE1714" s="26"/>
      <c r="BF1714" s="26"/>
      <c r="BG1714" s="26"/>
      <c r="BH1714" s="26"/>
      <c r="BI1714" s="26"/>
      <c r="BJ1714" s="26"/>
      <c r="BK1714" s="26"/>
      <c r="BL1714" s="26"/>
      <c r="BM1714" s="26"/>
      <c r="BN1714" s="26"/>
      <c r="BO1714" s="26"/>
      <c r="BP1714" s="16" t="n">
        <v>45495</v>
      </c>
      <c r="BQ1714" s="28" t="str">
        <f>HYPERLINK("https://organic.ams.usda.gov/Integrity/Certificate.aspx?cid=45&amp;nopid=9950012939")</f>
        <v>https://organic.ams.usda.gov/Integrity/Certificate.aspx?cid=45&amp;nopid=9950012939</v>
      </c>
    </row>
    <row r="1715">
      <c r="A1715" t="s">
        <v>3</v>
      </c>
      <c r="B1715" s="6" t="s">
        <v>57</v>
      </c>
      <c r="C1715" s="6" t="s">
        <v>123</v>
      </c>
      <c r="D1715" s="6" t="s">
        <v>187</v>
      </c>
      <c r="E1715" s="10" t="s">
        <v>1913</v>
      </c>
      <c r="F1715" s="6" t="s">
        <v>4141</v>
      </c>
      <c r="G1715" s="6" t="s">
        <v>104</v>
      </c>
      <c r="H1715" s="6" t="s">
        <v>6446</v>
      </c>
      <c r="I1715" s="6" t="s">
        <v>7003</v>
      </c>
      <c r="J1715" s="6" t="s">
        <v>9371</v>
      </c>
      <c r="K1715" s="6" t="s">
        <v>9714</v>
      </c>
      <c r="L1715" s="16" t="n">
        <v>45295</v>
      </c>
      <c r="M1715" s="16" t="n">
        <v>45931</v>
      </c>
      <c r="N1715" s="6" t="s">
        <v>104</v>
      </c>
      <c r="O1715" s="21" t="s">
        <v>104</v>
      </c>
      <c r="P1715" s="6" t="s">
        <v>104</v>
      </c>
      <c r="Q1715" s="6" t="s">
        <v>104</v>
      </c>
      <c r="R1715" s="6" t="s">
        <v>104</v>
      </c>
      <c r="S1715" s="6" t="s">
        <v>104</v>
      </c>
      <c r="T1715" s="21" t="s">
        <v>104</v>
      </c>
      <c r="U1715" s="6" t="s">
        <v>104</v>
      </c>
      <c r="V1715" s="6" t="s">
        <v>104</v>
      </c>
      <c r="W1715" s="6" t="s">
        <v>104</v>
      </c>
      <c r="X1715" s="6" t="s">
        <v>104</v>
      </c>
      <c r="Y1715" s="21" t="s">
        <v>104</v>
      </c>
      <c r="Z1715" s="6" t="s">
        <v>104</v>
      </c>
      <c r="AA1715" s="6" t="s">
        <v>104</v>
      </c>
      <c r="AB1715" s="6" t="s">
        <v>104</v>
      </c>
      <c r="AC1715" s="6" t="s">
        <v>9714</v>
      </c>
      <c r="AD1715" s="16" t="n">
        <v>45295</v>
      </c>
      <c r="AE1715" s="6" t="s">
        <v>12017</v>
      </c>
      <c r="AF1715" s="6" t="s">
        <v>104</v>
      </c>
      <c r="AG1715" s="6" t="s">
        <v>104</v>
      </c>
      <c r="AH1715" s="6" t="s">
        <v>14724</v>
      </c>
      <c r="AI1715" s="6" t="s">
        <v>104</v>
      </c>
      <c r="AJ1715" s="6" t="s">
        <v>15906</v>
      </c>
      <c r="AK1715" s="6" t="s">
        <v>16730</v>
      </c>
      <c r="AL1715" s="6" t="s">
        <v>16931</v>
      </c>
      <c r="AM1715" s="6" t="s">
        <v>17539</v>
      </c>
      <c r="AN1715" s="6" t="s">
        <v>17469</v>
      </c>
      <c r="AO1715" s="6" t="s">
        <v>18742</v>
      </c>
      <c r="AP1715" s="6" t="s">
        <v>14724</v>
      </c>
      <c r="AQ1715" s="6" t="s">
        <v>104</v>
      </c>
      <c r="AR1715" s="6" t="s">
        <v>15906</v>
      </c>
      <c r="AS1715" s="6" t="s">
        <v>16730</v>
      </c>
      <c r="AT1715" s="6" t="s">
        <v>16931</v>
      </c>
      <c r="AU1715" s="6" t="s">
        <v>17539</v>
      </c>
      <c r="AV1715" s="6" t="s">
        <v>104</v>
      </c>
      <c r="AW1715" s="6" t="s">
        <v>104</v>
      </c>
      <c r="AX1715" s="6" t="s">
        <v>21458</v>
      </c>
      <c r="AY1715" s="6" t="s">
        <v>23263</v>
      </c>
      <c r="AZ1715" s="6" t="s">
        <v>104</v>
      </c>
      <c r="BA1715" s="6" t="s">
        <v>104</v>
      </c>
      <c r="BB1715" s="6" t="s">
        <v>104</v>
      </c>
      <c r="BC1715" s="26"/>
      <c r="BD1715" s="26"/>
      <c r="BE1715" s="26"/>
      <c r="BF1715" s="26"/>
      <c r="BG1715" s="26"/>
      <c r="BH1715" s="26"/>
      <c r="BI1715" s="26"/>
      <c r="BJ1715" s="26"/>
      <c r="BK1715" s="26"/>
      <c r="BL1715" s="26"/>
      <c r="BM1715" s="26"/>
      <c r="BN1715" s="26"/>
      <c r="BO1715" s="26"/>
      <c r="BP1715" s="16" t="n">
        <v>45735</v>
      </c>
      <c r="BQ1715" s="28" t="str">
        <f>HYPERLINK("https://organic.ams.usda.gov/Integrity/Certificate.aspx?cid=19&amp;nopid=6353068467")</f>
        <v>https://organic.ams.usda.gov/Integrity/Certificate.aspx?cid=19&amp;nopid=6353068467</v>
      </c>
    </row>
    <row r="1716">
      <c r="A1716" t="s">
        <v>3</v>
      </c>
      <c r="B1716" s="6" t="s">
        <v>22</v>
      </c>
      <c r="C1716" s="6" t="s">
        <v>88</v>
      </c>
      <c r="D1716" s="6" t="s">
        <v>153</v>
      </c>
      <c r="E1716" s="10" t="s">
        <v>1914</v>
      </c>
      <c r="F1716" s="6" t="s">
        <v>4142</v>
      </c>
      <c r="G1716" s="6" t="s">
        <v>104</v>
      </c>
      <c r="H1716" s="6" t="s">
        <v>6447</v>
      </c>
      <c r="I1716" s="6" t="s">
        <v>7897</v>
      </c>
      <c r="J1716" s="6" t="s">
        <v>9372</v>
      </c>
      <c r="K1716" s="6" t="s">
        <v>9714</v>
      </c>
      <c r="L1716" s="16" t="n">
        <v>45708</v>
      </c>
      <c r="M1716" s="16" t="n">
        <v>45839</v>
      </c>
      <c r="N1716" s="6" t="s">
        <v>104</v>
      </c>
      <c r="O1716" s="21" t="s">
        <v>104</v>
      </c>
      <c r="P1716" s="6" t="s">
        <v>104</v>
      </c>
      <c r="Q1716" s="6" t="s">
        <v>104</v>
      </c>
      <c r="R1716" s="6" t="s">
        <v>104</v>
      </c>
      <c r="S1716" s="6" t="s">
        <v>104</v>
      </c>
      <c r="T1716" s="21" t="s">
        <v>104</v>
      </c>
      <c r="U1716" s="6" t="s">
        <v>104</v>
      </c>
      <c r="V1716" s="6" t="s">
        <v>104</v>
      </c>
      <c r="W1716" s="6" t="s">
        <v>104</v>
      </c>
      <c r="X1716" s="6" t="s">
        <v>104</v>
      </c>
      <c r="Y1716" s="21" t="s">
        <v>104</v>
      </c>
      <c r="Z1716" s="6" t="s">
        <v>104</v>
      </c>
      <c r="AA1716" s="6" t="s">
        <v>104</v>
      </c>
      <c r="AB1716" s="6" t="s">
        <v>104</v>
      </c>
      <c r="AC1716" s="6" t="s">
        <v>9714</v>
      </c>
      <c r="AD1716" s="16" t="n">
        <v>45708</v>
      </c>
      <c r="AE1716" s="6" t="s">
        <v>12018</v>
      </c>
      <c r="AF1716" s="6" t="s">
        <v>104</v>
      </c>
      <c r="AG1716" s="6" t="s">
        <v>13015</v>
      </c>
      <c r="AH1716" s="6" t="s">
        <v>14725</v>
      </c>
      <c r="AI1716" s="6" t="s">
        <v>104</v>
      </c>
      <c r="AJ1716" s="6" t="s">
        <v>15435</v>
      </c>
      <c r="AK1716" s="6" t="s">
        <v>16370</v>
      </c>
      <c r="AL1716" s="6" t="s">
        <v>16931</v>
      </c>
      <c r="AM1716" s="6" t="s">
        <v>18130</v>
      </c>
      <c r="AN1716" s="6" t="s">
        <v>104</v>
      </c>
      <c r="AO1716" s="6" t="s">
        <v>104</v>
      </c>
      <c r="AP1716" s="6" t="s">
        <v>14725</v>
      </c>
      <c r="AQ1716" s="6" t="s">
        <v>104</v>
      </c>
      <c r="AR1716" s="6" t="s">
        <v>15435</v>
      </c>
      <c r="AS1716" s="6" t="s">
        <v>16370</v>
      </c>
      <c r="AT1716" s="6" t="s">
        <v>16931</v>
      </c>
      <c r="AU1716" s="6" t="s">
        <v>18130</v>
      </c>
      <c r="AV1716" s="6" t="s">
        <v>104</v>
      </c>
      <c r="AW1716" s="6" t="s">
        <v>104</v>
      </c>
      <c r="AX1716" s="6" t="s">
        <v>21459</v>
      </c>
      <c r="AY1716" s="6" t="s">
        <v>23264</v>
      </c>
      <c r="AZ1716" s="6" t="s">
        <v>104</v>
      </c>
      <c r="BA1716" s="6" t="s">
        <v>104</v>
      </c>
      <c r="BB1716" s="6" t="s">
        <v>104</v>
      </c>
      <c r="BC1716" s="26"/>
      <c r="BD1716" s="26"/>
      <c r="BE1716" s="26"/>
      <c r="BF1716" s="26"/>
      <c r="BG1716" s="26" t="s">
        <v>24533</v>
      </c>
      <c r="BH1716" s="26"/>
      <c r="BI1716" s="26"/>
      <c r="BJ1716" s="26"/>
      <c r="BK1716" s="26"/>
      <c r="BL1716" s="26"/>
      <c r="BM1716" s="26"/>
      <c r="BN1716" s="26"/>
      <c r="BO1716" s="26"/>
      <c r="BP1716" s="16" t="n">
        <v>45712</v>
      </c>
      <c r="BQ1716" s="28" t="str">
        <f>HYPERLINK("https://organic.ams.usda.gov/Integrity/Certificate.aspx?cid=72&amp;nopid=5870107491")</f>
        <v>https://organic.ams.usda.gov/Integrity/Certificate.aspx?cid=72&amp;nopid=5870107491</v>
      </c>
    </row>
    <row r="1717">
      <c r="A1717" t="s">
        <v>3</v>
      </c>
      <c r="B1717" s="6" t="s">
        <v>34</v>
      </c>
      <c r="C1717" s="6" t="s">
        <v>100</v>
      </c>
      <c r="D1717" s="6" t="s">
        <v>165</v>
      </c>
      <c r="E1717" s="10" t="s">
        <v>1915</v>
      </c>
      <c r="F1717" s="6" t="s">
        <v>4143</v>
      </c>
      <c r="G1717" s="6" t="s">
        <v>104</v>
      </c>
      <c r="H1717" s="6" t="s">
        <v>6448</v>
      </c>
      <c r="I1717" s="6" t="s">
        <v>7898</v>
      </c>
      <c r="J1717" s="6" t="s">
        <v>9373</v>
      </c>
      <c r="K1717" s="6" t="s">
        <v>9714</v>
      </c>
      <c r="L1717" s="16" t="n">
        <v>45365</v>
      </c>
      <c r="M1717" s="16" t="n">
        <v>45642</v>
      </c>
      <c r="N1717" s="6" t="s">
        <v>104</v>
      </c>
      <c r="O1717" s="21" t="s">
        <v>104</v>
      </c>
      <c r="P1717" s="6" t="s">
        <v>104</v>
      </c>
      <c r="Q1717" s="6" t="s">
        <v>104</v>
      </c>
      <c r="R1717" s="6" t="s">
        <v>104</v>
      </c>
      <c r="S1717" s="6" t="s">
        <v>104</v>
      </c>
      <c r="T1717" s="21" t="s">
        <v>104</v>
      </c>
      <c r="U1717" s="6" t="s">
        <v>104</v>
      </c>
      <c r="V1717" s="6" t="s">
        <v>104</v>
      </c>
      <c r="W1717" s="6" t="s">
        <v>104</v>
      </c>
      <c r="X1717" s="6" t="s">
        <v>104</v>
      </c>
      <c r="Y1717" s="21" t="s">
        <v>104</v>
      </c>
      <c r="Z1717" s="6" t="s">
        <v>104</v>
      </c>
      <c r="AA1717" s="6" t="s">
        <v>104</v>
      </c>
      <c r="AB1717" s="6" t="s">
        <v>104</v>
      </c>
      <c r="AC1717" s="6" t="s">
        <v>9714</v>
      </c>
      <c r="AD1717" s="16" t="n">
        <v>45365</v>
      </c>
      <c r="AE1717" s="6" t="s">
        <v>12019</v>
      </c>
      <c r="AF1717" s="6" t="s">
        <v>104</v>
      </c>
      <c r="AG1717" s="6" t="s">
        <v>13016</v>
      </c>
      <c r="AH1717" s="6" t="s">
        <v>14726</v>
      </c>
      <c r="AI1717" s="6" t="s">
        <v>104</v>
      </c>
      <c r="AJ1717" s="6" t="s">
        <v>15782</v>
      </c>
      <c r="AK1717" s="6" t="s">
        <v>16751</v>
      </c>
      <c r="AL1717" s="6" t="s">
        <v>16931</v>
      </c>
      <c r="AM1717" s="6" t="s">
        <v>18131</v>
      </c>
      <c r="AN1717" s="6" t="s">
        <v>104</v>
      </c>
      <c r="AO1717" s="6" t="s">
        <v>104</v>
      </c>
      <c r="AP1717" s="6" t="s">
        <v>19407</v>
      </c>
      <c r="AQ1717" s="6" t="s">
        <v>104</v>
      </c>
      <c r="AR1717" s="6" t="s">
        <v>19749</v>
      </c>
      <c r="AS1717" s="6" t="s">
        <v>16751</v>
      </c>
      <c r="AT1717" s="6" t="s">
        <v>16931</v>
      </c>
      <c r="AU1717" s="6" t="s">
        <v>20018</v>
      </c>
      <c r="AV1717" s="6" t="s">
        <v>104</v>
      </c>
      <c r="AW1717" s="6" t="s">
        <v>104</v>
      </c>
      <c r="AX1717" s="6" t="s">
        <v>21460</v>
      </c>
      <c r="AY1717" s="6" t="s">
        <v>23265</v>
      </c>
      <c r="AZ1717" s="6" t="s">
        <v>24125</v>
      </c>
      <c r="BA1717" s="6" t="s">
        <v>104</v>
      </c>
      <c r="BB1717" s="6" t="s">
        <v>104</v>
      </c>
      <c r="BC1717" s="26"/>
      <c r="BD1717" s="26"/>
      <c r="BE1717" s="26"/>
      <c r="BF1717" s="26"/>
      <c r="BG1717" s="26" t="s">
        <v>24533</v>
      </c>
      <c r="BH1717" s="26"/>
      <c r="BI1717" s="26"/>
      <c r="BJ1717" s="26"/>
      <c r="BK1717" s="26"/>
      <c r="BL1717" s="26"/>
      <c r="BM1717" s="26"/>
      <c r="BN1717" s="26"/>
      <c r="BO1717" s="26"/>
      <c r="BP1717" s="16" t="n">
        <v>45737</v>
      </c>
      <c r="BQ1717" s="28" t="str">
        <f>HYPERLINK("https://organic.ams.usda.gov/Integrity/Certificate.aspx?cid=71&amp;nopid=5520615205")</f>
        <v>https://organic.ams.usda.gov/Integrity/Certificate.aspx?cid=71&amp;nopid=5520615205</v>
      </c>
    </row>
    <row r="1718">
      <c r="A1718" t="s">
        <v>3</v>
      </c>
      <c r="B1718" s="6" t="s">
        <v>45</v>
      </c>
      <c r="C1718" s="6" t="s">
        <v>111</v>
      </c>
      <c r="D1718" s="6" t="s">
        <v>175</v>
      </c>
      <c r="E1718" s="10" t="s">
        <v>1916</v>
      </c>
      <c r="F1718" s="6" t="s">
        <v>4144</v>
      </c>
      <c r="G1718" s="6" t="s">
        <v>104</v>
      </c>
      <c r="H1718" s="6" t="s">
        <v>6449</v>
      </c>
      <c r="I1718" s="6" t="s">
        <v>7056</v>
      </c>
      <c r="J1718" s="6" t="s">
        <v>9374</v>
      </c>
      <c r="K1718" s="6" t="s">
        <v>9714</v>
      </c>
      <c r="L1718" s="16" t="n">
        <v>45534</v>
      </c>
      <c r="M1718" s="16" t="n">
        <v>46082</v>
      </c>
      <c r="N1718" s="6" t="s">
        <v>104</v>
      </c>
      <c r="O1718" s="21" t="s">
        <v>104</v>
      </c>
      <c r="P1718" s="6" t="s">
        <v>104</v>
      </c>
      <c r="Q1718" s="6" t="s">
        <v>104</v>
      </c>
      <c r="R1718" s="6" t="s">
        <v>104</v>
      </c>
      <c r="S1718" s="6" t="s">
        <v>104</v>
      </c>
      <c r="T1718" s="21" t="s">
        <v>104</v>
      </c>
      <c r="U1718" s="6" t="s">
        <v>104</v>
      </c>
      <c r="V1718" s="6" t="s">
        <v>104</v>
      </c>
      <c r="W1718" s="6" t="s">
        <v>104</v>
      </c>
      <c r="X1718" s="6" t="s">
        <v>104</v>
      </c>
      <c r="Y1718" s="21" t="s">
        <v>104</v>
      </c>
      <c r="Z1718" s="6" t="s">
        <v>104</v>
      </c>
      <c r="AA1718" s="6" t="s">
        <v>104</v>
      </c>
      <c r="AB1718" s="6" t="s">
        <v>104</v>
      </c>
      <c r="AC1718" s="6" t="s">
        <v>9714</v>
      </c>
      <c r="AD1718" s="16" t="n">
        <v>45534</v>
      </c>
      <c r="AE1718" s="6" t="s">
        <v>12020</v>
      </c>
      <c r="AF1718" s="6" t="s">
        <v>104</v>
      </c>
      <c r="AG1718" s="6" t="s">
        <v>4667</v>
      </c>
      <c r="AH1718" s="6" t="s">
        <v>14727</v>
      </c>
      <c r="AI1718" s="6" t="s">
        <v>104</v>
      </c>
      <c r="AJ1718" s="6" t="s">
        <v>16177</v>
      </c>
      <c r="AK1718" s="6" t="s">
        <v>16382</v>
      </c>
      <c r="AL1718" s="6" t="s">
        <v>16931</v>
      </c>
      <c r="AM1718" s="6" t="s">
        <v>18132</v>
      </c>
      <c r="AN1718" s="6" t="s">
        <v>104</v>
      </c>
      <c r="AO1718" s="6" t="s">
        <v>104</v>
      </c>
      <c r="AP1718" s="6" t="s">
        <v>19408</v>
      </c>
      <c r="AQ1718" s="6" t="s">
        <v>104</v>
      </c>
      <c r="AR1718" s="6" t="s">
        <v>16177</v>
      </c>
      <c r="AS1718" s="6" t="s">
        <v>16382</v>
      </c>
      <c r="AT1718" s="6" t="s">
        <v>16931</v>
      </c>
      <c r="AU1718" s="6" t="s">
        <v>18132</v>
      </c>
      <c r="AV1718" s="6" t="s">
        <v>104</v>
      </c>
      <c r="AW1718" s="6" t="s">
        <v>104</v>
      </c>
      <c r="AX1718" s="6" t="s">
        <v>21461</v>
      </c>
      <c r="AY1718" s="6" t="s">
        <v>23266</v>
      </c>
      <c r="AZ1718" s="6" t="s">
        <v>24126</v>
      </c>
      <c r="BA1718" s="6" t="s">
        <v>104</v>
      </c>
      <c r="BB1718" s="6" t="s">
        <v>104</v>
      </c>
      <c r="BC1718" s="26"/>
      <c r="BD1718" s="26"/>
      <c r="BE1718" s="26"/>
      <c r="BF1718" s="26"/>
      <c r="BG1718" s="26" t="s">
        <v>24533</v>
      </c>
      <c r="BH1718" s="26" t="s">
        <v>24533</v>
      </c>
      <c r="BI1718" s="26"/>
      <c r="BJ1718" s="26"/>
      <c r="BK1718" s="26"/>
      <c r="BL1718" s="26" t="s">
        <v>24533</v>
      </c>
      <c r="BM1718" s="26"/>
      <c r="BN1718" s="26"/>
      <c r="BO1718" s="26"/>
      <c r="BP1718" s="16" t="n">
        <v>45739</v>
      </c>
      <c r="BQ1718" s="28" t="str">
        <f>HYPERLINK("https://organic.ams.usda.gov/Integrity/Certificate.aspx?cid=82&amp;nopid=2780003937")</f>
        <v>https://organic.ams.usda.gov/Integrity/Certificate.aspx?cid=82&amp;nopid=2780003937</v>
      </c>
    </row>
    <row r="1719">
      <c r="A1719" t="s">
        <v>3</v>
      </c>
      <c r="B1719" s="6" t="s">
        <v>25</v>
      </c>
      <c r="C1719" s="6" t="s">
        <v>91</v>
      </c>
      <c r="D1719" s="6" t="s">
        <v>156</v>
      </c>
      <c r="E1719" s="10" t="s">
        <v>1917</v>
      </c>
      <c r="F1719" s="6" t="s">
        <v>4145</v>
      </c>
      <c r="G1719" s="6" t="s">
        <v>104</v>
      </c>
      <c r="H1719" s="6" t="s">
        <v>6450</v>
      </c>
      <c r="I1719" s="6" t="s">
        <v>6939</v>
      </c>
      <c r="J1719" s="6" t="s">
        <v>8151</v>
      </c>
      <c r="K1719" s="6" t="s">
        <v>9714</v>
      </c>
      <c r="L1719" s="16" t="n">
        <v>45488</v>
      </c>
      <c r="M1719" s="16" t="n">
        <v>45720</v>
      </c>
      <c r="N1719" s="6" t="s">
        <v>104</v>
      </c>
      <c r="O1719" s="21" t="s">
        <v>104</v>
      </c>
      <c r="P1719" s="6" t="s">
        <v>104</v>
      </c>
      <c r="Q1719" s="6" t="s">
        <v>104</v>
      </c>
      <c r="R1719" s="6" t="s">
        <v>104</v>
      </c>
      <c r="S1719" s="6" t="s">
        <v>104</v>
      </c>
      <c r="T1719" s="21" t="s">
        <v>104</v>
      </c>
      <c r="U1719" s="6" t="s">
        <v>104</v>
      </c>
      <c r="V1719" s="6" t="s">
        <v>104</v>
      </c>
      <c r="W1719" s="6" t="s">
        <v>104</v>
      </c>
      <c r="X1719" s="6" t="s">
        <v>104</v>
      </c>
      <c r="Y1719" s="21" t="s">
        <v>104</v>
      </c>
      <c r="Z1719" s="6" t="s">
        <v>104</v>
      </c>
      <c r="AA1719" s="6" t="s">
        <v>104</v>
      </c>
      <c r="AB1719" s="6" t="s">
        <v>104</v>
      </c>
      <c r="AC1719" s="6" t="s">
        <v>9714</v>
      </c>
      <c r="AD1719" s="16" t="n">
        <v>45488</v>
      </c>
      <c r="AE1719" s="6" t="s">
        <v>12021</v>
      </c>
      <c r="AF1719" s="6" t="s">
        <v>104</v>
      </c>
      <c r="AG1719" s="6" t="s">
        <v>104</v>
      </c>
      <c r="AH1719" s="6" t="s">
        <v>14728</v>
      </c>
      <c r="AI1719" s="6" t="s">
        <v>104</v>
      </c>
      <c r="AJ1719" s="6" t="s">
        <v>16124</v>
      </c>
      <c r="AK1719" s="6" t="s">
        <v>16691</v>
      </c>
      <c r="AL1719" s="6" t="s">
        <v>16935</v>
      </c>
      <c r="AM1719" s="6" t="s">
        <v>5060</v>
      </c>
      <c r="AN1719" s="6" t="s">
        <v>104</v>
      </c>
      <c r="AO1719" s="6" t="s">
        <v>104</v>
      </c>
      <c r="AP1719" s="6" t="s">
        <v>19409</v>
      </c>
      <c r="AQ1719" s="6" t="s">
        <v>104</v>
      </c>
      <c r="AR1719" s="6" t="s">
        <v>16124</v>
      </c>
      <c r="AS1719" s="6" t="s">
        <v>16691</v>
      </c>
      <c r="AT1719" s="6" t="s">
        <v>16935</v>
      </c>
      <c r="AU1719" s="6" t="s">
        <v>5060</v>
      </c>
      <c r="AV1719" s="6" t="s">
        <v>104</v>
      </c>
      <c r="AW1719" s="6" t="s">
        <v>104</v>
      </c>
      <c r="AX1719" s="6" t="s">
        <v>20137</v>
      </c>
      <c r="AY1719" s="6" t="s">
        <v>21875</v>
      </c>
      <c r="AZ1719" s="6" t="s">
        <v>104</v>
      </c>
      <c r="BA1719" s="6" t="s">
        <v>24264</v>
      </c>
      <c r="BB1719" s="6" t="s">
        <v>104</v>
      </c>
      <c r="BC1719" s="26"/>
      <c r="BD1719" s="26"/>
      <c r="BE1719" s="26"/>
      <c r="BF1719" s="26"/>
      <c r="BG1719" s="26"/>
      <c r="BH1719" s="26"/>
      <c r="BI1719" s="26"/>
      <c r="BJ1719" s="26"/>
      <c r="BK1719" s="26"/>
      <c r="BL1719" s="26"/>
      <c r="BM1719" s="26"/>
      <c r="BN1719" s="26"/>
      <c r="BO1719" s="26"/>
      <c r="BP1719" s="16" t="n">
        <v>45488</v>
      </c>
      <c r="BQ1719" s="28" t="str">
        <f>HYPERLINK("https://organic.ams.usda.gov/Integrity/Certificate.aspx?cid=66&amp;nopid=5500007248")</f>
        <v>https://organic.ams.usda.gov/Integrity/Certificate.aspx?cid=66&amp;nopid=5500007248</v>
      </c>
    </row>
    <row r="1720">
      <c r="A1720" t="s">
        <v>3</v>
      </c>
      <c r="B1720" s="6" t="s">
        <v>25</v>
      </c>
      <c r="C1720" s="6" t="s">
        <v>91</v>
      </c>
      <c r="D1720" s="6" t="s">
        <v>156</v>
      </c>
      <c r="E1720" s="10" t="s">
        <v>1918</v>
      </c>
      <c r="F1720" s="6" t="s">
        <v>4145</v>
      </c>
      <c r="G1720" s="6" t="s">
        <v>104</v>
      </c>
      <c r="H1720" s="6" t="s">
        <v>6451</v>
      </c>
      <c r="I1720" s="6" t="s">
        <v>6939</v>
      </c>
      <c r="J1720" s="6" t="s">
        <v>8151</v>
      </c>
      <c r="K1720" s="6" t="s">
        <v>9714</v>
      </c>
      <c r="L1720" s="16" t="n">
        <v>43131</v>
      </c>
      <c r="M1720" s="16" t="n">
        <v>45730</v>
      </c>
      <c r="N1720" s="6" t="s">
        <v>104</v>
      </c>
      <c r="O1720" s="21" t="s">
        <v>104</v>
      </c>
      <c r="P1720" s="6" t="s">
        <v>104</v>
      </c>
      <c r="Q1720" s="6" t="s">
        <v>104</v>
      </c>
      <c r="R1720" s="6" t="s">
        <v>104</v>
      </c>
      <c r="S1720" s="6" t="s">
        <v>104</v>
      </c>
      <c r="T1720" s="21" t="s">
        <v>104</v>
      </c>
      <c r="U1720" s="6" t="s">
        <v>104</v>
      </c>
      <c r="V1720" s="6" t="s">
        <v>104</v>
      </c>
      <c r="W1720" s="6" t="s">
        <v>104</v>
      </c>
      <c r="X1720" s="6" t="s">
        <v>104</v>
      </c>
      <c r="Y1720" s="21" t="s">
        <v>104</v>
      </c>
      <c r="Z1720" s="6" t="s">
        <v>104</v>
      </c>
      <c r="AA1720" s="6" t="s">
        <v>104</v>
      </c>
      <c r="AB1720" s="6" t="s">
        <v>104</v>
      </c>
      <c r="AC1720" s="6" t="s">
        <v>9714</v>
      </c>
      <c r="AD1720" s="16" t="n">
        <v>43131</v>
      </c>
      <c r="AE1720" s="6" t="s">
        <v>12022</v>
      </c>
      <c r="AF1720" s="6" t="s">
        <v>104</v>
      </c>
      <c r="AG1720" s="6" t="s">
        <v>104</v>
      </c>
      <c r="AH1720" s="6" t="s">
        <v>14729</v>
      </c>
      <c r="AI1720" s="6" t="s">
        <v>104</v>
      </c>
      <c r="AJ1720" s="6" t="s">
        <v>16124</v>
      </c>
      <c r="AK1720" s="6" t="s">
        <v>16691</v>
      </c>
      <c r="AL1720" s="6" t="s">
        <v>16935</v>
      </c>
      <c r="AM1720" s="6" t="s">
        <v>5060</v>
      </c>
      <c r="AN1720" s="6" t="s">
        <v>104</v>
      </c>
      <c r="AO1720" s="6" t="s">
        <v>104</v>
      </c>
      <c r="AP1720" s="6" t="s">
        <v>19409</v>
      </c>
      <c r="AQ1720" s="6" t="s">
        <v>104</v>
      </c>
      <c r="AR1720" s="6" t="s">
        <v>16124</v>
      </c>
      <c r="AS1720" s="6" t="s">
        <v>16691</v>
      </c>
      <c r="AT1720" s="6" t="s">
        <v>16935</v>
      </c>
      <c r="AU1720" s="6" t="s">
        <v>5060</v>
      </c>
      <c r="AV1720" s="6" t="s">
        <v>104</v>
      </c>
      <c r="AW1720" s="6" t="s">
        <v>104</v>
      </c>
      <c r="AX1720" s="6" t="s">
        <v>20137</v>
      </c>
      <c r="AY1720" s="6" t="s">
        <v>21875</v>
      </c>
      <c r="AZ1720" s="6" t="s">
        <v>104</v>
      </c>
      <c r="BA1720" s="6" t="s">
        <v>24264</v>
      </c>
      <c r="BB1720" s="6" t="s">
        <v>104</v>
      </c>
      <c r="BC1720" s="26"/>
      <c r="BD1720" s="26"/>
      <c r="BE1720" s="26"/>
      <c r="BF1720" s="26"/>
      <c r="BG1720" s="26"/>
      <c r="BH1720" s="26"/>
      <c r="BI1720" s="26"/>
      <c r="BJ1720" s="26"/>
      <c r="BK1720" s="26"/>
      <c r="BL1720" s="26"/>
      <c r="BM1720" s="26"/>
      <c r="BN1720" s="26"/>
      <c r="BO1720" s="26"/>
      <c r="BP1720" s="16" t="n">
        <v>45519</v>
      </c>
      <c r="BQ1720" s="28" t="str">
        <f>HYPERLINK("https://organic.ams.usda.gov/Integrity/Certificate.aspx?cid=66&amp;nopid=5500005559")</f>
        <v>https://organic.ams.usda.gov/Integrity/Certificate.aspx?cid=66&amp;nopid=5500005559</v>
      </c>
    </row>
    <row r="1721">
      <c r="A1721" t="s">
        <v>3</v>
      </c>
      <c r="B1721" s="6" t="s">
        <v>25</v>
      </c>
      <c r="C1721" s="6" t="s">
        <v>91</v>
      </c>
      <c r="D1721" s="6" t="s">
        <v>156</v>
      </c>
      <c r="E1721" s="10" t="s">
        <v>1919</v>
      </c>
      <c r="F1721" s="6" t="s">
        <v>4145</v>
      </c>
      <c r="G1721" s="6" t="s">
        <v>4827</v>
      </c>
      <c r="H1721" s="6" t="s">
        <v>6452</v>
      </c>
      <c r="I1721" s="6" t="s">
        <v>6939</v>
      </c>
      <c r="J1721" s="6" t="s">
        <v>8151</v>
      </c>
      <c r="K1721" s="6" t="s">
        <v>9714</v>
      </c>
      <c r="L1721" s="16" t="n">
        <v>44270</v>
      </c>
      <c r="M1721" s="16" t="n">
        <v>45719</v>
      </c>
      <c r="N1721" s="6" t="s">
        <v>104</v>
      </c>
      <c r="O1721" s="21" t="s">
        <v>104</v>
      </c>
      <c r="P1721" s="6" t="s">
        <v>104</v>
      </c>
      <c r="Q1721" s="6" t="s">
        <v>104</v>
      </c>
      <c r="R1721" s="6" t="s">
        <v>104</v>
      </c>
      <c r="S1721" s="6" t="s">
        <v>104</v>
      </c>
      <c r="T1721" s="21" t="s">
        <v>104</v>
      </c>
      <c r="U1721" s="6" t="s">
        <v>104</v>
      </c>
      <c r="V1721" s="6" t="s">
        <v>104</v>
      </c>
      <c r="W1721" s="6" t="s">
        <v>104</v>
      </c>
      <c r="X1721" s="6" t="s">
        <v>104</v>
      </c>
      <c r="Y1721" s="21" t="s">
        <v>104</v>
      </c>
      <c r="Z1721" s="6" t="s">
        <v>104</v>
      </c>
      <c r="AA1721" s="6" t="s">
        <v>104</v>
      </c>
      <c r="AB1721" s="6" t="s">
        <v>104</v>
      </c>
      <c r="AC1721" s="6" t="s">
        <v>9714</v>
      </c>
      <c r="AD1721" s="16" t="n">
        <v>44270</v>
      </c>
      <c r="AE1721" s="6" t="s">
        <v>12023</v>
      </c>
      <c r="AF1721" s="6" t="s">
        <v>104</v>
      </c>
      <c r="AG1721" s="6" t="s">
        <v>104</v>
      </c>
      <c r="AH1721" s="6" t="s">
        <v>14225</v>
      </c>
      <c r="AI1721" s="6" t="s">
        <v>104</v>
      </c>
      <c r="AJ1721" s="6" t="s">
        <v>15379</v>
      </c>
      <c r="AK1721" s="6" t="s">
        <v>16691</v>
      </c>
      <c r="AL1721" s="6" t="s">
        <v>16935</v>
      </c>
      <c r="AM1721" s="6" t="s">
        <v>17774</v>
      </c>
      <c r="AN1721" s="6" t="s">
        <v>104</v>
      </c>
      <c r="AO1721" s="6" t="s">
        <v>104</v>
      </c>
      <c r="AP1721" s="6" t="s">
        <v>19409</v>
      </c>
      <c r="AQ1721" s="6" t="s">
        <v>104</v>
      </c>
      <c r="AR1721" s="6" t="s">
        <v>16124</v>
      </c>
      <c r="AS1721" s="6" t="s">
        <v>16691</v>
      </c>
      <c r="AT1721" s="6" t="s">
        <v>16935</v>
      </c>
      <c r="AU1721" s="6" t="s">
        <v>5060</v>
      </c>
      <c r="AV1721" s="6" t="s">
        <v>104</v>
      </c>
      <c r="AW1721" s="6" t="s">
        <v>104</v>
      </c>
      <c r="AX1721" s="6" t="s">
        <v>20137</v>
      </c>
      <c r="AY1721" s="6" t="s">
        <v>21875</v>
      </c>
      <c r="AZ1721" s="6" t="s">
        <v>104</v>
      </c>
      <c r="BA1721" s="6" t="s">
        <v>24264</v>
      </c>
      <c r="BB1721" s="6" t="s">
        <v>104</v>
      </c>
      <c r="BC1721" s="26"/>
      <c r="BD1721" s="26"/>
      <c r="BE1721" s="26"/>
      <c r="BF1721" s="26"/>
      <c r="BG1721" s="26"/>
      <c r="BH1721" s="26"/>
      <c r="BI1721" s="26"/>
      <c r="BJ1721" s="26"/>
      <c r="BK1721" s="26"/>
      <c r="BL1721" s="26"/>
      <c r="BM1721" s="26"/>
      <c r="BN1721" s="26"/>
      <c r="BO1721" s="26"/>
      <c r="BP1721" s="16" t="n">
        <v>45686</v>
      </c>
      <c r="BQ1721" s="28" t="str">
        <f>HYPERLINK("https://organic.ams.usda.gov/Integrity/Certificate.aspx?cid=66&amp;nopid=5500006485")</f>
        <v>https://organic.ams.usda.gov/Integrity/Certificate.aspx?cid=66&amp;nopid=5500006485</v>
      </c>
    </row>
    <row r="1722">
      <c r="A1722" t="s">
        <v>3</v>
      </c>
      <c r="B1722" s="6" t="s">
        <v>25</v>
      </c>
      <c r="C1722" s="6" t="s">
        <v>91</v>
      </c>
      <c r="D1722" s="6" t="s">
        <v>156</v>
      </c>
      <c r="E1722" s="10" t="s">
        <v>1920</v>
      </c>
      <c r="F1722" s="6" t="s">
        <v>4145</v>
      </c>
      <c r="G1722" s="6" t="s">
        <v>4780</v>
      </c>
      <c r="H1722" s="6" t="s">
        <v>6453</v>
      </c>
      <c r="I1722" s="6" t="s">
        <v>6939</v>
      </c>
      <c r="J1722" s="6" t="s">
        <v>8151</v>
      </c>
      <c r="K1722" s="6" t="s">
        <v>9714</v>
      </c>
      <c r="L1722" s="16" t="n">
        <v>42352</v>
      </c>
      <c r="M1722" s="16" t="n">
        <v>45719</v>
      </c>
      <c r="N1722" s="6" t="s">
        <v>104</v>
      </c>
      <c r="O1722" s="21" t="s">
        <v>104</v>
      </c>
      <c r="P1722" s="6" t="s">
        <v>104</v>
      </c>
      <c r="Q1722" s="6" t="s">
        <v>104</v>
      </c>
      <c r="R1722" s="6" t="s">
        <v>104</v>
      </c>
      <c r="S1722" s="6" t="s">
        <v>104</v>
      </c>
      <c r="T1722" s="21" t="s">
        <v>104</v>
      </c>
      <c r="U1722" s="6" t="s">
        <v>104</v>
      </c>
      <c r="V1722" s="6" t="s">
        <v>104</v>
      </c>
      <c r="W1722" s="6" t="s">
        <v>104</v>
      </c>
      <c r="X1722" s="6" t="s">
        <v>104</v>
      </c>
      <c r="Y1722" s="21" t="s">
        <v>104</v>
      </c>
      <c r="Z1722" s="6" t="s">
        <v>104</v>
      </c>
      <c r="AA1722" s="6" t="s">
        <v>104</v>
      </c>
      <c r="AB1722" s="6" t="s">
        <v>104</v>
      </c>
      <c r="AC1722" s="6" t="s">
        <v>9714</v>
      </c>
      <c r="AD1722" s="16" t="n">
        <v>42352</v>
      </c>
      <c r="AE1722" s="6" t="s">
        <v>12023</v>
      </c>
      <c r="AF1722" s="6" t="s">
        <v>104</v>
      </c>
      <c r="AG1722" s="6" t="s">
        <v>104</v>
      </c>
      <c r="AH1722" s="6" t="s">
        <v>14730</v>
      </c>
      <c r="AI1722" s="6" t="s">
        <v>104</v>
      </c>
      <c r="AJ1722" s="6" t="s">
        <v>16124</v>
      </c>
      <c r="AK1722" s="6" t="s">
        <v>16691</v>
      </c>
      <c r="AL1722" s="6" t="s">
        <v>16935</v>
      </c>
      <c r="AM1722" s="6" t="s">
        <v>5060</v>
      </c>
      <c r="AN1722" s="6" t="s">
        <v>104</v>
      </c>
      <c r="AO1722" s="6" t="s">
        <v>104</v>
      </c>
      <c r="AP1722" s="6" t="s">
        <v>19409</v>
      </c>
      <c r="AQ1722" s="6" t="s">
        <v>104</v>
      </c>
      <c r="AR1722" s="6" t="s">
        <v>16124</v>
      </c>
      <c r="AS1722" s="6" t="s">
        <v>16691</v>
      </c>
      <c r="AT1722" s="6" t="s">
        <v>16935</v>
      </c>
      <c r="AU1722" s="6" t="s">
        <v>5060</v>
      </c>
      <c r="AV1722" s="6" t="s">
        <v>104</v>
      </c>
      <c r="AW1722" s="6" t="s">
        <v>104</v>
      </c>
      <c r="AX1722" s="6" t="s">
        <v>20137</v>
      </c>
      <c r="AY1722" s="6" t="s">
        <v>21875</v>
      </c>
      <c r="AZ1722" s="6" t="s">
        <v>104</v>
      </c>
      <c r="BA1722" s="6" t="s">
        <v>24264</v>
      </c>
      <c r="BB1722" s="6" t="s">
        <v>104</v>
      </c>
      <c r="BC1722" s="26"/>
      <c r="BD1722" s="26"/>
      <c r="BE1722" s="26"/>
      <c r="BF1722" s="26"/>
      <c r="BG1722" s="26"/>
      <c r="BH1722" s="26"/>
      <c r="BI1722" s="26"/>
      <c r="BJ1722" s="26"/>
      <c r="BK1722" s="26"/>
      <c r="BL1722" s="26"/>
      <c r="BM1722" s="26"/>
      <c r="BN1722" s="26"/>
      <c r="BO1722" s="26"/>
      <c r="BP1722" s="16" t="n">
        <v>45663</v>
      </c>
      <c r="BQ1722" s="28" t="str">
        <f>HYPERLINK("https://organic.ams.usda.gov/Integrity/Certificate.aspx?cid=66&amp;nopid=5500005037")</f>
        <v>https://organic.ams.usda.gov/Integrity/Certificate.aspx?cid=66&amp;nopid=5500005037</v>
      </c>
    </row>
    <row r="1723">
      <c r="A1723" t="s">
        <v>3</v>
      </c>
      <c r="B1723" s="6" t="s">
        <v>23</v>
      </c>
      <c r="C1723" s="6" t="s">
        <v>89</v>
      </c>
      <c r="D1723" s="6" t="s">
        <v>154</v>
      </c>
      <c r="E1723" s="10" t="s">
        <v>1921</v>
      </c>
      <c r="F1723" s="6" t="s">
        <v>4146</v>
      </c>
      <c r="G1723" s="6" t="s">
        <v>4843</v>
      </c>
      <c r="H1723" s="6" t="s">
        <v>6454</v>
      </c>
      <c r="I1723" s="6" t="s">
        <v>7097</v>
      </c>
      <c r="J1723" s="6" t="s">
        <v>9375</v>
      </c>
      <c r="K1723" s="6" t="s">
        <v>9714</v>
      </c>
      <c r="L1723" s="16" t="n">
        <v>43487</v>
      </c>
      <c r="M1723" s="16" t="n">
        <v>45689</v>
      </c>
      <c r="N1723" s="6" t="s">
        <v>104</v>
      </c>
      <c r="O1723" s="21" t="s">
        <v>104</v>
      </c>
      <c r="P1723" s="6" t="s">
        <v>104</v>
      </c>
      <c r="Q1723" s="6" t="s">
        <v>104</v>
      </c>
      <c r="R1723" s="6" t="s">
        <v>104</v>
      </c>
      <c r="S1723" s="6" t="s">
        <v>104</v>
      </c>
      <c r="T1723" s="21" t="s">
        <v>104</v>
      </c>
      <c r="U1723" s="6" t="s">
        <v>104</v>
      </c>
      <c r="V1723" s="6" t="s">
        <v>104</v>
      </c>
      <c r="W1723" s="6" t="s">
        <v>104</v>
      </c>
      <c r="X1723" s="6" t="s">
        <v>104</v>
      </c>
      <c r="Y1723" s="21" t="s">
        <v>104</v>
      </c>
      <c r="Z1723" s="6" t="s">
        <v>104</v>
      </c>
      <c r="AA1723" s="6" t="s">
        <v>104</v>
      </c>
      <c r="AB1723" s="6" t="s">
        <v>104</v>
      </c>
      <c r="AC1723" s="6" t="s">
        <v>9714</v>
      </c>
      <c r="AD1723" s="16" t="n">
        <v>43487</v>
      </c>
      <c r="AE1723" s="6" t="s">
        <v>12024</v>
      </c>
      <c r="AF1723" s="6" t="s">
        <v>104</v>
      </c>
      <c r="AG1723" s="6" t="s">
        <v>6454</v>
      </c>
      <c r="AH1723" s="6" t="s">
        <v>14731</v>
      </c>
      <c r="AI1723" s="6" t="s">
        <v>104</v>
      </c>
      <c r="AJ1723" s="6" t="s">
        <v>16027</v>
      </c>
      <c r="AK1723" s="6" t="s">
        <v>16714</v>
      </c>
      <c r="AL1723" s="6" t="s">
        <v>16931</v>
      </c>
      <c r="AM1723" s="6" t="s">
        <v>18133</v>
      </c>
      <c r="AN1723" s="6" t="s">
        <v>18503</v>
      </c>
      <c r="AO1723" s="6" t="s">
        <v>18773</v>
      </c>
      <c r="AP1723" s="6" t="s">
        <v>19410</v>
      </c>
      <c r="AQ1723" s="6" t="s">
        <v>104</v>
      </c>
      <c r="AR1723" s="6" t="s">
        <v>7727</v>
      </c>
      <c r="AS1723" s="6" t="s">
        <v>16714</v>
      </c>
      <c r="AT1723" s="6" t="s">
        <v>16931</v>
      </c>
      <c r="AU1723" s="6" t="s">
        <v>20019</v>
      </c>
      <c r="AV1723" s="6" t="s">
        <v>104</v>
      </c>
      <c r="AW1723" s="6" t="s">
        <v>104</v>
      </c>
      <c r="AX1723" s="6" t="s">
        <v>21462</v>
      </c>
      <c r="AY1723" s="6" t="s">
        <v>23267</v>
      </c>
      <c r="AZ1723" s="6" t="s">
        <v>24127</v>
      </c>
      <c r="BA1723" s="6" t="s">
        <v>104</v>
      </c>
      <c r="BB1723" s="24" t="n">
        <v>0</v>
      </c>
      <c r="BC1723" s="26"/>
      <c r="BD1723" s="26"/>
      <c r="BE1723" s="26"/>
      <c r="BF1723" s="26"/>
      <c r="BG1723" s="26"/>
      <c r="BH1723" s="26"/>
      <c r="BI1723" s="26"/>
      <c r="BJ1723" s="26"/>
      <c r="BK1723" s="26"/>
      <c r="BL1723" s="26"/>
      <c r="BM1723" s="26"/>
      <c r="BN1723" s="26"/>
      <c r="BO1723" s="26"/>
      <c r="BP1723" s="16" t="n">
        <v>45708</v>
      </c>
      <c r="BQ1723" s="28" t="str">
        <f>HYPERLINK("https://organic.ams.usda.gov/Integrity/Certificate.aspx?cid=45&amp;nopid=9950010921")</f>
        <v>https://organic.ams.usda.gov/Integrity/Certificate.aspx?cid=45&amp;nopid=9950010921</v>
      </c>
    </row>
    <row r="1724">
      <c r="A1724" t="s">
        <v>3</v>
      </c>
      <c r="B1724" s="6" t="s">
        <v>33</v>
      </c>
      <c r="C1724" s="6" t="s">
        <v>99</v>
      </c>
      <c r="D1724" s="6" t="s">
        <v>164</v>
      </c>
      <c r="E1724" s="10" t="s">
        <v>1922</v>
      </c>
      <c r="F1724" s="6" t="s">
        <v>4147</v>
      </c>
      <c r="G1724" s="6" t="s">
        <v>104</v>
      </c>
      <c r="H1724" s="6" t="s">
        <v>104</v>
      </c>
      <c r="I1724" s="6" t="s">
        <v>7899</v>
      </c>
      <c r="J1724" s="6" t="s">
        <v>9376</v>
      </c>
      <c r="K1724" s="6" t="s">
        <v>9714</v>
      </c>
      <c r="L1724" s="16" t="n">
        <v>44246</v>
      </c>
      <c r="M1724" s="16" t="n">
        <v>45337</v>
      </c>
      <c r="N1724" s="6" t="s">
        <v>104</v>
      </c>
      <c r="O1724" s="21" t="s">
        <v>104</v>
      </c>
      <c r="P1724" s="6" t="s">
        <v>104</v>
      </c>
      <c r="Q1724" s="6" t="s">
        <v>104</v>
      </c>
      <c r="R1724" s="6" t="s">
        <v>104</v>
      </c>
      <c r="S1724" s="6" t="s">
        <v>104</v>
      </c>
      <c r="T1724" s="21" t="s">
        <v>104</v>
      </c>
      <c r="U1724" s="6" t="s">
        <v>104</v>
      </c>
      <c r="V1724" s="6" t="s">
        <v>104</v>
      </c>
      <c r="W1724" s="6" t="s">
        <v>104</v>
      </c>
      <c r="X1724" s="6" t="s">
        <v>104</v>
      </c>
      <c r="Y1724" s="21" t="s">
        <v>104</v>
      </c>
      <c r="Z1724" s="6" t="s">
        <v>104</v>
      </c>
      <c r="AA1724" s="6" t="s">
        <v>104</v>
      </c>
      <c r="AB1724" s="6" t="s">
        <v>104</v>
      </c>
      <c r="AC1724" s="6" t="s">
        <v>9714</v>
      </c>
      <c r="AD1724" s="16" t="n">
        <v>44246</v>
      </c>
      <c r="AE1724" s="6" t="s">
        <v>12025</v>
      </c>
      <c r="AF1724" s="6" t="s">
        <v>104</v>
      </c>
      <c r="AG1724" s="6" t="s">
        <v>104</v>
      </c>
      <c r="AH1724" s="6" t="s">
        <v>14732</v>
      </c>
      <c r="AI1724" s="6" t="s">
        <v>104</v>
      </c>
      <c r="AJ1724" s="6" t="s">
        <v>16418</v>
      </c>
      <c r="AK1724" s="6" t="s">
        <v>16683</v>
      </c>
      <c r="AL1724" s="6" t="s">
        <v>16931</v>
      </c>
      <c r="AM1724" s="6" t="s">
        <v>18134</v>
      </c>
      <c r="AN1724" s="6" t="s">
        <v>18551</v>
      </c>
      <c r="AO1724" s="6" t="s">
        <v>18844</v>
      </c>
      <c r="AP1724" s="6" t="s">
        <v>14732</v>
      </c>
      <c r="AQ1724" s="6" t="s">
        <v>104</v>
      </c>
      <c r="AR1724" s="6" t="s">
        <v>16418</v>
      </c>
      <c r="AS1724" s="6" t="s">
        <v>16683</v>
      </c>
      <c r="AT1724" s="6" t="s">
        <v>16931</v>
      </c>
      <c r="AU1724" s="6" t="s">
        <v>18134</v>
      </c>
      <c r="AV1724" s="6" t="s">
        <v>104</v>
      </c>
      <c r="AW1724" s="6" t="s">
        <v>104</v>
      </c>
      <c r="AX1724" s="6" t="s">
        <v>104</v>
      </c>
      <c r="AY1724" s="6" t="s">
        <v>104</v>
      </c>
      <c r="AZ1724" s="6" t="s">
        <v>104</v>
      </c>
      <c r="BA1724" s="6" t="s">
        <v>24475</v>
      </c>
      <c r="BB1724" s="6" t="s">
        <v>104</v>
      </c>
      <c r="BC1724" s="26"/>
      <c r="BD1724" s="26"/>
      <c r="BE1724" s="26"/>
      <c r="BF1724" s="26"/>
      <c r="BG1724" s="26"/>
      <c r="BH1724" s="26"/>
      <c r="BI1724" s="26"/>
      <c r="BJ1724" s="26"/>
      <c r="BK1724" s="26"/>
      <c r="BL1724" s="26"/>
      <c r="BM1724" s="26"/>
      <c r="BN1724" s="26"/>
      <c r="BO1724" s="26"/>
      <c r="BP1724" s="16" t="n">
        <v>45448</v>
      </c>
      <c r="BQ1724" s="28" t="str">
        <f>HYPERLINK("https://organic.ams.usda.gov/Integrity/Certificate.aspx?cid=46&amp;nopid=3671698741")</f>
        <v>https://organic.ams.usda.gov/Integrity/Certificate.aspx?cid=46&amp;nopid=3671698741</v>
      </c>
    </row>
    <row r="1725">
      <c r="A1725" t="s">
        <v>3</v>
      </c>
      <c r="B1725" s="6" t="s">
        <v>23</v>
      </c>
      <c r="C1725" s="6" t="s">
        <v>89</v>
      </c>
      <c r="D1725" s="6" t="s">
        <v>154</v>
      </c>
      <c r="E1725" s="10" t="s">
        <v>1923</v>
      </c>
      <c r="F1725" s="6" t="s">
        <v>4148</v>
      </c>
      <c r="G1725" s="6" t="s">
        <v>104</v>
      </c>
      <c r="H1725" s="6" t="s">
        <v>6455</v>
      </c>
      <c r="I1725" s="6" t="s">
        <v>7030</v>
      </c>
      <c r="J1725" s="6" t="s">
        <v>9377</v>
      </c>
      <c r="K1725" s="6" t="s">
        <v>9714</v>
      </c>
      <c r="L1725" s="16" t="n">
        <v>42823</v>
      </c>
      <c r="M1725" s="16" t="n">
        <v>45689</v>
      </c>
      <c r="N1725" s="6" t="s">
        <v>104</v>
      </c>
      <c r="O1725" s="21" t="s">
        <v>104</v>
      </c>
      <c r="P1725" s="6" t="s">
        <v>104</v>
      </c>
      <c r="Q1725" s="6" t="s">
        <v>104</v>
      </c>
      <c r="R1725" s="6" t="s">
        <v>104</v>
      </c>
      <c r="S1725" s="6" t="s">
        <v>104</v>
      </c>
      <c r="T1725" s="21" t="s">
        <v>104</v>
      </c>
      <c r="U1725" s="6" t="s">
        <v>104</v>
      </c>
      <c r="V1725" s="6" t="s">
        <v>104</v>
      </c>
      <c r="W1725" s="6" t="s">
        <v>104</v>
      </c>
      <c r="X1725" s="6" t="s">
        <v>104</v>
      </c>
      <c r="Y1725" s="21" t="s">
        <v>104</v>
      </c>
      <c r="Z1725" s="6" t="s">
        <v>104</v>
      </c>
      <c r="AA1725" s="6" t="s">
        <v>104</v>
      </c>
      <c r="AB1725" s="6" t="s">
        <v>104</v>
      </c>
      <c r="AC1725" s="6" t="s">
        <v>9714</v>
      </c>
      <c r="AD1725" s="16" t="n">
        <v>42823</v>
      </c>
      <c r="AE1725" s="6" t="s">
        <v>12026</v>
      </c>
      <c r="AF1725" s="6" t="s">
        <v>104</v>
      </c>
      <c r="AG1725" s="6" t="s">
        <v>6455</v>
      </c>
      <c r="AH1725" s="6" t="s">
        <v>14733</v>
      </c>
      <c r="AI1725" s="6" t="s">
        <v>104</v>
      </c>
      <c r="AJ1725" s="6" t="s">
        <v>16419</v>
      </c>
      <c r="AK1725" s="6" t="s">
        <v>16681</v>
      </c>
      <c r="AL1725" s="6" t="s">
        <v>16931</v>
      </c>
      <c r="AM1725" s="6" t="s">
        <v>18135</v>
      </c>
      <c r="AN1725" s="6" t="s">
        <v>18541</v>
      </c>
      <c r="AO1725" s="6" t="s">
        <v>18878</v>
      </c>
      <c r="AP1725" s="6" t="s">
        <v>104</v>
      </c>
      <c r="AQ1725" s="6" t="s">
        <v>104</v>
      </c>
      <c r="AR1725" s="6" t="s">
        <v>104</v>
      </c>
      <c r="AS1725" s="6" t="s">
        <v>104</v>
      </c>
      <c r="AT1725" s="6" t="s">
        <v>104</v>
      </c>
      <c r="AU1725" s="6" t="s">
        <v>104</v>
      </c>
      <c r="AV1725" s="6" t="s">
        <v>104</v>
      </c>
      <c r="AW1725" s="6" t="s">
        <v>104</v>
      </c>
      <c r="AX1725" s="6" t="s">
        <v>21463</v>
      </c>
      <c r="AY1725" s="6" t="s">
        <v>23268</v>
      </c>
      <c r="AZ1725" s="6" t="s">
        <v>24128</v>
      </c>
      <c r="BA1725" s="6" t="s">
        <v>24261</v>
      </c>
      <c r="BB1725" s="24" t="n">
        <v>0</v>
      </c>
      <c r="BC1725" s="26"/>
      <c r="BD1725" s="26"/>
      <c r="BE1725" s="26"/>
      <c r="BF1725" s="26"/>
      <c r="BG1725" s="26" t="s">
        <v>24533</v>
      </c>
      <c r="BH1725" s="26"/>
      <c r="BI1725" s="26"/>
      <c r="BJ1725" s="26"/>
      <c r="BK1725" s="26"/>
      <c r="BL1725" s="26"/>
      <c r="BM1725" s="26"/>
      <c r="BN1725" s="26" t="s">
        <v>24533</v>
      </c>
      <c r="BO1725" s="26"/>
      <c r="BP1725" s="16" t="n">
        <v>45713</v>
      </c>
      <c r="BQ1725" s="28" t="str">
        <f>HYPERLINK("https://organic.ams.usda.gov/Integrity/Certificate.aspx?cid=45&amp;nopid=9950009082")</f>
        <v>https://organic.ams.usda.gov/Integrity/Certificate.aspx?cid=45&amp;nopid=9950009082</v>
      </c>
    </row>
    <row r="1726">
      <c r="A1726" t="s">
        <v>3</v>
      </c>
      <c r="B1726" s="6" t="s">
        <v>55</v>
      </c>
      <c r="C1726" s="6" t="s">
        <v>121</v>
      </c>
      <c r="D1726" s="6" t="s">
        <v>185</v>
      </c>
      <c r="E1726" s="10" t="s">
        <v>1924</v>
      </c>
      <c r="F1726" s="6" t="s">
        <v>4149</v>
      </c>
      <c r="G1726" s="6" t="s">
        <v>104</v>
      </c>
      <c r="H1726" s="6" t="s">
        <v>6456</v>
      </c>
      <c r="I1726" s="6" t="s">
        <v>7900</v>
      </c>
      <c r="J1726" s="6" t="s">
        <v>7278</v>
      </c>
      <c r="K1726" s="6" t="s">
        <v>9714</v>
      </c>
      <c r="L1726" s="16" t="n">
        <v>43258</v>
      </c>
      <c r="M1726" s="16" t="n">
        <v>45785</v>
      </c>
      <c r="N1726" s="6" t="s">
        <v>104</v>
      </c>
      <c r="O1726" s="21" t="s">
        <v>104</v>
      </c>
      <c r="P1726" s="6" t="s">
        <v>104</v>
      </c>
      <c r="Q1726" s="6" t="s">
        <v>104</v>
      </c>
      <c r="R1726" s="6" t="s">
        <v>104</v>
      </c>
      <c r="S1726" s="6" t="s">
        <v>104</v>
      </c>
      <c r="T1726" s="21" t="s">
        <v>104</v>
      </c>
      <c r="U1726" s="6" t="s">
        <v>104</v>
      </c>
      <c r="V1726" s="6" t="s">
        <v>104</v>
      </c>
      <c r="W1726" s="6" t="s">
        <v>104</v>
      </c>
      <c r="X1726" s="6" t="s">
        <v>104</v>
      </c>
      <c r="Y1726" s="21" t="s">
        <v>104</v>
      </c>
      <c r="Z1726" s="6" t="s">
        <v>104</v>
      </c>
      <c r="AA1726" s="6" t="s">
        <v>104</v>
      </c>
      <c r="AB1726" s="6" t="s">
        <v>104</v>
      </c>
      <c r="AC1726" s="6" t="s">
        <v>9714</v>
      </c>
      <c r="AD1726" s="16" t="n">
        <v>43258</v>
      </c>
      <c r="AE1726" s="6" t="s">
        <v>12027</v>
      </c>
      <c r="AF1726" s="6" t="s">
        <v>104</v>
      </c>
      <c r="AG1726" s="6" t="s">
        <v>6456</v>
      </c>
      <c r="AH1726" s="6" t="s">
        <v>14734</v>
      </c>
      <c r="AI1726" s="6" t="s">
        <v>104</v>
      </c>
      <c r="AJ1726" s="6" t="s">
        <v>16420</v>
      </c>
      <c r="AK1726" s="6" t="s">
        <v>16206</v>
      </c>
      <c r="AL1726" s="6" t="s">
        <v>16958</v>
      </c>
      <c r="AM1726" s="6" t="s">
        <v>18136</v>
      </c>
      <c r="AN1726" s="6" t="s">
        <v>104</v>
      </c>
      <c r="AO1726" s="6" t="s">
        <v>104</v>
      </c>
      <c r="AP1726" s="6" t="s">
        <v>14734</v>
      </c>
      <c r="AQ1726" s="6" t="s">
        <v>104</v>
      </c>
      <c r="AR1726" s="6" t="s">
        <v>16420</v>
      </c>
      <c r="AS1726" s="6" t="s">
        <v>16206</v>
      </c>
      <c r="AT1726" s="6" t="s">
        <v>16958</v>
      </c>
      <c r="AU1726" s="6" t="s">
        <v>18136</v>
      </c>
      <c r="AV1726" s="6" t="s">
        <v>104</v>
      </c>
      <c r="AW1726" s="6" t="s">
        <v>104</v>
      </c>
      <c r="AX1726" s="6" t="s">
        <v>21464</v>
      </c>
      <c r="AY1726" s="6" t="s">
        <v>23269</v>
      </c>
      <c r="AZ1726" s="6" t="s">
        <v>24129</v>
      </c>
      <c r="BA1726" s="6" t="s">
        <v>104</v>
      </c>
      <c r="BB1726" s="6" t="s">
        <v>104</v>
      </c>
      <c r="BC1726" s="26"/>
      <c r="BD1726" s="26"/>
      <c r="BE1726" s="26"/>
      <c r="BF1726" s="26"/>
      <c r="BG1726" s="26"/>
      <c r="BH1726" s="26"/>
      <c r="BI1726" s="26"/>
      <c r="BJ1726" s="26"/>
      <c r="BK1726" s="26"/>
      <c r="BL1726" s="26"/>
      <c r="BM1726" s="26"/>
      <c r="BN1726" s="26"/>
      <c r="BO1726" s="26"/>
      <c r="BP1726" s="16" t="n">
        <v>45701</v>
      </c>
      <c r="BQ1726" s="28" t="str">
        <f>HYPERLINK("https://organic.ams.usda.gov/Integrity/Certificate.aspx?cid=70&amp;nopid=6433491267")</f>
        <v>https://organic.ams.usda.gov/Integrity/Certificate.aspx?cid=70&amp;nopid=6433491267</v>
      </c>
    </row>
    <row r="1727">
      <c r="A1727" t="s">
        <v>3</v>
      </c>
      <c r="B1727" s="6" t="s">
        <v>16</v>
      </c>
      <c r="C1727" s="6" t="s">
        <v>82</v>
      </c>
      <c r="D1727" s="6" t="s">
        <v>147</v>
      </c>
      <c r="E1727" s="10" t="s">
        <v>1925</v>
      </c>
      <c r="F1727" s="6" t="s">
        <v>4150</v>
      </c>
      <c r="G1727" s="6" t="s">
        <v>104</v>
      </c>
      <c r="H1727" s="6" t="s">
        <v>6457</v>
      </c>
      <c r="I1727" s="6" t="s">
        <v>7901</v>
      </c>
      <c r="J1727" s="6" t="s">
        <v>9378</v>
      </c>
      <c r="K1727" s="6" t="s">
        <v>9714</v>
      </c>
      <c r="L1727" s="16" t="n">
        <v>42342</v>
      </c>
      <c r="M1727" s="16" t="n">
        <v>45657</v>
      </c>
      <c r="N1727" s="6" t="s">
        <v>104</v>
      </c>
      <c r="O1727" s="21" t="s">
        <v>104</v>
      </c>
      <c r="P1727" s="6" t="s">
        <v>104</v>
      </c>
      <c r="Q1727" s="6" t="s">
        <v>104</v>
      </c>
      <c r="R1727" s="6" t="s">
        <v>104</v>
      </c>
      <c r="S1727" s="6" t="s">
        <v>104</v>
      </c>
      <c r="T1727" s="21" t="s">
        <v>104</v>
      </c>
      <c r="U1727" s="6" t="s">
        <v>104</v>
      </c>
      <c r="V1727" s="6" t="s">
        <v>104</v>
      </c>
      <c r="W1727" s="6" t="s">
        <v>104</v>
      </c>
      <c r="X1727" s="6" t="s">
        <v>104</v>
      </c>
      <c r="Y1727" s="21" t="s">
        <v>104</v>
      </c>
      <c r="Z1727" s="6" t="s">
        <v>104</v>
      </c>
      <c r="AA1727" s="6" t="s">
        <v>104</v>
      </c>
      <c r="AB1727" s="6" t="s">
        <v>104</v>
      </c>
      <c r="AC1727" s="6" t="s">
        <v>9714</v>
      </c>
      <c r="AD1727" s="16" t="n">
        <v>42342</v>
      </c>
      <c r="AE1727" s="6" t="s">
        <v>12028</v>
      </c>
      <c r="AF1727" s="6" t="s">
        <v>104</v>
      </c>
      <c r="AG1727" s="6" t="s">
        <v>4150</v>
      </c>
      <c r="AH1727" s="6" t="s">
        <v>14735</v>
      </c>
      <c r="AI1727" s="6" t="s">
        <v>104</v>
      </c>
      <c r="AJ1727" s="6" t="s">
        <v>16421</v>
      </c>
      <c r="AK1727" s="6" t="s">
        <v>16684</v>
      </c>
      <c r="AL1727" s="6" t="s">
        <v>16931</v>
      </c>
      <c r="AM1727" s="6" t="s">
        <v>18137</v>
      </c>
      <c r="AN1727" s="6" t="s">
        <v>18486</v>
      </c>
      <c r="AO1727" s="6" t="s">
        <v>18879</v>
      </c>
      <c r="AP1727" s="6" t="s">
        <v>14735</v>
      </c>
      <c r="AQ1727" s="6" t="s">
        <v>104</v>
      </c>
      <c r="AR1727" s="6" t="s">
        <v>16421</v>
      </c>
      <c r="AS1727" s="6" t="s">
        <v>16684</v>
      </c>
      <c r="AT1727" s="6" t="s">
        <v>16931</v>
      </c>
      <c r="AU1727" s="6" t="s">
        <v>18137</v>
      </c>
      <c r="AV1727" s="6" t="s">
        <v>18486</v>
      </c>
      <c r="AW1727" s="6" t="s">
        <v>18879</v>
      </c>
      <c r="AX1727" s="6" t="s">
        <v>21465</v>
      </c>
      <c r="AY1727" s="6" t="s">
        <v>23270</v>
      </c>
      <c r="AZ1727" s="6" t="s">
        <v>104</v>
      </c>
      <c r="BA1727" s="6" t="s">
        <v>104</v>
      </c>
      <c r="BB1727" s="6" t="s">
        <v>104</v>
      </c>
      <c r="BC1727" s="26"/>
      <c r="BD1727" s="26"/>
      <c r="BE1727" s="26"/>
      <c r="BF1727" s="26"/>
      <c r="BG1727" s="26"/>
      <c r="BH1727" s="26"/>
      <c r="BI1727" s="26"/>
      <c r="BJ1727" s="26"/>
      <c r="BK1727" s="26"/>
      <c r="BL1727" s="26"/>
      <c r="BM1727" s="26"/>
      <c r="BN1727" s="26"/>
      <c r="BO1727" s="26"/>
      <c r="BP1727" s="16" t="n">
        <v>45446</v>
      </c>
      <c r="BQ1727" s="28" t="str">
        <f>HYPERLINK("https://organic.ams.usda.gov/Integrity/Certificate.aspx?cid=77&amp;nopid=3510727932")</f>
        <v>https://organic.ams.usda.gov/Integrity/Certificate.aspx?cid=77&amp;nopid=3510727932</v>
      </c>
    </row>
    <row r="1728">
      <c r="A1728" t="s">
        <v>3</v>
      </c>
      <c r="B1728" s="6" t="s">
        <v>13</v>
      </c>
      <c r="C1728" s="6" t="s">
        <v>79</v>
      </c>
      <c r="D1728" s="6" t="s">
        <v>144</v>
      </c>
      <c r="E1728" s="10" t="s">
        <v>1926</v>
      </c>
      <c r="F1728" s="6" t="s">
        <v>4151</v>
      </c>
      <c r="G1728" s="6" t="s">
        <v>104</v>
      </c>
      <c r="H1728" s="6" t="s">
        <v>6458</v>
      </c>
      <c r="I1728" s="6" t="s">
        <v>7902</v>
      </c>
      <c r="J1728" s="6" t="s">
        <v>9379</v>
      </c>
      <c r="K1728" s="6" t="s">
        <v>9714</v>
      </c>
      <c r="L1728" s="16" t="n">
        <v>37375</v>
      </c>
      <c r="M1728" s="16" t="n">
        <v>46113</v>
      </c>
      <c r="N1728" s="6" t="s">
        <v>104</v>
      </c>
      <c r="O1728" s="21" t="s">
        <v>104</v>
      </c>
      <c r="P1728" s="6" t="s">
        <v>104</v>
      </c>
      <c r="Q1728" s="6" t="s">
        <v>104</v>
      </c>
      <c r="R1728" s="6" t="s">
        <v>104</v>
      </c>
      <c r="S1728" s="6" t="s">
        <v>104</v>
      </c>
      <c r="T1728" s="21" t="s">
        <v>104</v>
      </c>
      <c r="U1728" s="6" t="s">
        <v>104</v>
      </c>
      <c r="V1728" s="6" t="s">
        <v>104</v>
      </c>
      <c r="W1728" s="6" t="s">
        <v>104</v>
      </c>
      <c r="X1728" s="6" t="s">
        <v>104</v>
      </c>
      <c r="Y1728" s="21" t="s">
        <v>104</v>
      </c>
      <c r="Z1728" s="6" t="s">
        <v>104</v>
      </c>
      <c r="AA1728" s="6" t="s">
        <v>104</v>
      </c>
      <c r="AB1728" s="6" t="s">
        <v>104</v>
      </c>
      <c r="AC1728" s="6" t="s">
        <v>9714</v>
      </c>
      <c r="AD1728" s="16" t="n">
        <v>37375</v>
      </c>
      <c r="AE1728" s="6" t="s">
        <v>12029</v>
      </c>
      <c r="AF1728" s="6" t="s">
        <v>104</v>
      </c>
      <c r="AG1728" s="6" t="s">
        <v>104</v>
      </c>
      <c r="AH1728" s="6" t="s">
        <v>104</v>
      </c>
      <c r="AI1728" s="6" t="s">
        <v>104</v>
      </c>
      <c r="AJ1728" s="6" t="s">
        <v>104</v>
      </c>
      <c r="AK1728" s="6" t="s">
        <v>104</v>
      </c>
      <c r="AL1728" s="6" t="s">
        <v>104</v>
      </c>
      <c r="AM1728" s="6" t="s">
        <v>104</v>
      </c>
      <c r="AN1728" s="6" t="s">
        <v>104</v>
      </c>
      <c r="AO1728" s="6" t="s">
        <v>104</v>
      </c>
      <c r="AP1728" s="6" t="s">
        <v>19411</v>
      </c>
      <c r="AQ1728" s="6" t="s">
        <v>104</v>
      </c>
      <c r="AR1728" s="6" t="s">
        <v>19750</v>
      </c>
      <c r="AS1728" s="6" t="s">
        <v>16687</v>
      </c>
      <c r="AT1728" s="6" t="s">
        <v>16931</v>
      </c>
      <c r="AU1728" s="6" t="s">
        <v>20020</v>
      </c>
      <c r="AV1728" s="6" t="s">
        <v>18456</v>
      </c>
      <c r="AW1728" s="6" t="s">
        <v>18561</v>
      </c>
      <c r="AX1728" s="6" t="s">
        <v>21466</v>
      </c>
      <c r="AY1728" s="6" t="s">
        <v>23271</v>
      </c>
      <c r="AZ1728" s="6" t="s">
        <v>104</v>
      </c>
      <c r="BA1728" s="6" t="s">
        <v>104</v>
      </c>
      <c r="BB1728" s="6" t="s">
        <v>104</v>
      </c>
      <c r="BC1728" s="26"/>
      <c r="BD1728" s="26"/>
      <c r="BE1728" s="26"/>
      <c r="BF1728" s="26"/>
      <c r="BG1728" s="26"/>
      <c r="BH1728" s="26"/>
      <c r="BI1728" s="26"/>
      <c r="BJ1728" s="26"/>
      <c r="BK1728" s="26"/>
      <c r="BL1728" s="26"/>
      <c r="BM1728" s="26"/>
      <c r="BN1728" s="26"/>
      <c r="BO1728" s="26"/>
      <c r="BP1728" s="16" t="n">
        <v>45738</v>
      </c>
      <c r="BQ1728" s="28" t="str">
        <f>HYPERLINK("https://organic.ams.usda.gov/Integrity/Certificate.aspx?cid=62&amp;nopid=8150000775")</f>
        <v>https://organic.ams.usda.gov/Integrity/Certificate.aspx?cid=62&amp;nopid=8150000775</v>
      </c>
    </row>
    <row r="1729">
      <c r="A1729" t="s">
        <v>3</v>
      </c>
      <c r="B1729" s="6" t="s">
        <v>34</v>
      </c>
      <c r="C1729" s="6" t="s">
        <v>100</v>
      </c>
      <c r="D1729" s="6" t="s">
        <v>165</v>
      </c>
      <c r="E1729" s="10" t="s">
        <v>1927</v>
      </c>
      <c r="F1729" s="6" t="s">
        <v>4152</v>
      </c>
      <c r="G1729" s="6" t="s">
        <v>104</v>
      </c>
      <c r="H1729" s="6" t="s">
        <v>6459</v>
      </c>
      <c r="I1729" s="6" t="s">
        <v>7903</v>
      </c>
      <c r="J1729" s="6" t="s">
        <v>9380</v>
      </c>
      <c r="K1729" s="6" t="s">
        <v>9714</v>
      </c>
      <c r="L1729" s="16" t="n">
        <v>44291</v>
      </c>
      <c r="M1729" s="16" t="n">
        <v>45663</v>
      </c>
      <c r="N1729" s="6" t="s">
        <v>104</v>
      </c>
      <c r="O1729" s="21" t="s">
        <v>104</v>
      </c>
      <c r="P1729" s="6" t="s">
        <v>104</v>
      </c>
      <c r="Q1729" s="6" t="s">
        <v>104</v>
      </c>
      <c r="R1729" s="6" t="s">
        <v>104</v>
      </c>
      <c r="S1729" s="6" t="s">
        <v>104</v>
      </c>
      <c r="T1729" s="21" t="s">
        <v>104</v>
      </c>
      <c r="U1729" s="6" t="s">
        <v>104</v>
      </c>
      <c r="V1729" s="6" t="s">
        <v>104</v>
      </c>
      <c r="W1729" s="6" t="s">
        <v>104</v>
      </c>
      <c r="X1729" s="6" t="s">
        <v>104</v>
      </c>
      <c r="Y1729" s="21" t="s">
        <v>104</v>
      </c>
      <c r="Z1729" s="6" t="s">
        <v>104</v>
      </c>
      <c r="AA1729" s="6" t="s">
        <v>104</v>
      </c>
      <c r="AB1729" s="6" t="s">
        <v>104</v>
      </c>
      <c r="AC1729" s="6" t="s">
        <v>9714</v>
      </c>
      <c r="AD1729" s="16" t="n">
        <v>44291</v>
      </c>
      <c r="AE1729" s="6" t="s">
        <v>12030</v>
      </c>
      <c r="AF1729" s="6" t="s">
        <v>104</v>
      </c>
      <c r="AG1729" s="6" t="s">
        <v>13017</v>
      </c>
      <c r="AH1729" s="6" t="s">
        <v>14736</v>
      </c>
      <c r="AI1729" s="6" t="s">
        <v>104</v>
      </c>
      <c r="AJ1729" s="6" t="s">
        <v>16150</v>
      </c>
      <c r="AK1729" s="6" t="s">
        <v>16775</v>
      </c>
      <c r="AL1729" s="6" t="s">
        <v>16931</v>
      </c>
      <c r="AM1729" s="6" t="s">
        <v>17803</v>
      </c>
      <c r="AN1729" s="6" t="s">
        <v>18478</v>
      </c>
      <c r="AO1729" s="6" t="s">
        <v>18807</v>
      </c>
      <c r="AP1729" s="6" t="s">
        <v>14737</v>
      </c>
      <c r="AQ1729" s="6" t="s">
        <v>104</v>
      </c>
      <c r="AR1729" s="6" t="s">
        <v>16422</v>
      </c>
      <c r="AS1729" s="6" t="s">
        <v>16827</v>
      </c>
      <c r="AT1729" s="6" t="s">
        <v>16931</v>
      </c>
      <c r="AU1729" s="6" t="s">
        <v>18138</v>
      </c>
      <c r="AV1729" s="6" t="s">
        <v>104</v>
      </c>
      <c r="AW1729" s="6" t="s">
        <v>104</v>
      </c>
      <c r="AX1729" s="6" t="s">
        <v>21467</v>
      </c>
      <c r="AY1729" s="6" t="s">
        <v>23272</v>
      </c>
      <c r="AZ1729" s="6" t="s">
        <v>104</v>
      </c>
      <c r="BA1729" s="6" t="s">
        <v>104</v>
      </c>
      <c r="BB1729" s="6" t="s">
        <v>104</v>
      </c>
      <c r="BC1729" s="26"/>
      <c r="BD1729" s="26"/>
      <c r="BE1729" s="26"/>
      <c r="BF1729" s="26"/>
      <c r="BG1729" s="26"/>
      <c r="BH1729" s="26"/>
      <c r="BI1729" s="26"/>
      <c r="BJ1729" s="26"/>
      <c r="BK1729" s="26"/>
      <c r="BL1729" s="26"/>
      <c r="BM1729" s="26"/>
      <c r="BN1729" s="26"/>
      <c r="BO1729" s="26"/>
      <c r="BP1729" s="16" t="n">
        <v>45737</v>
      </c>
      <c r="BQ1729" s="28" t="str">
        <f>HYPERLINK("https://organic.ams.usda.gov/Integrity/Certificate.aspx?cid=71&amp;nopid=5520594996")</f>
        <v>https://organic.ams.usda.gov/Integrity/Certificate.aspx?cid=71&amp;nopid=5520594996</v>
      </c>
    </row>
    <row r="1730">
      <c r="A1730" t="s">
        <v>3</v>
      </c>
      <c r="B1730" s="6" t="s">
        <v>34</v>
      </c>
      <c r="C1730" s="6" t="s">
        <v>100</v>
      </c>
      <c r="D1730" s="6" t="s">
        <v>165</v>
      </c>
      <c r="E1730" s="10" t="s">
        <v>1928</v>
      </c>
      <c r="F1730" s="6" t="s">
        <v>4153</v>
      </c>
      <c r="G1730" s="6" t="s">
        <v>104</v>
      </c>
      <c r="H1730" s="6" t="s">
        <v>6460</v>
      </c>
      <c r="I1730" s="6" t="s">
        <v>7903</v>
      </c>
      <c r="J1730" s="6" t="s">
        <v>9380</v>
      </c>
      <c r="K1730" s="6" t="s">
        <v>9714</v>
      </c>
      <c r="L1730" s="16" t="n">
        <v>37900</v>
      </c>
      <c r="M1730" s="16" t="n">
        <v>45666</v>
      </c>
      <c r="N1730" s="6" t="s">
        <v>104</v>
      </c>
      <c r="O1730" s="21" t="s">
        <v>104</v>
      </c>
      <c r="P1730" s="6" t="s">
        <v>104</v>
      </c>
      <c r="Q1730" s="6" t="s">
        <v>104</v>
      </c>
      <c r="R1730" s="6" t="s">
        <v>104</v>
      </c>
      <c r="S1730" s="6" t="s">
        <v>104</v>
      </c>
      <c r="T1730" s="21" t="s">
        <v>104</v>
      </c>
      <c r="U1730" s="6" t="s">
        <v>104</v>
      </c>
      <c r="V1730" s="6" t="s">
        <v>104</v>
      </c>
      <c r="W1730" s="6" t="s">
        <v>104</v>
      </c>
      <c r="X1730" s="6" t="s">
        <v>104</v>
      </c>
      <c r="Y1730" s="21" t="s">
        <v>104</v>
      </c>
      <c r="Z1730" s="6" t="s">
        <v>104</v>
      </c>
      <c r="AA1730" s="6" t="s">
        <v>104</v>
      </c>
      <c r="AB1730" s="6" t="s">
        <v>104</v>
      </c>
      <c r="AC1730" s="6" t="s">
        <v>9714</v>
      </c>
      <c r="AD1730" s="16" t="n">
        <v>37900</v>
      </c>
      <c r="AE1730" s="6" t="s">
        <v>12031</v>
      </c>
      <c r="AF1730" s="6" t="s">
        <v>104</v>
      </c>
      <c r="AG1730" s="6" t="s">
        <v>13018</v>
      </c>
      <c r="AH1730" s="6" t="s">
        <v>14737</v>
      </c>
      <c r="AI1730" s="6" t="s">
        <v>104</v>
      </c>
      <c r="AJ1730" s="6" t="s">
        <v>16422</v>
      </c>
      <c r="AK1730" s="6" t="s">
        <v>16827</v>
      </c>
      <c r="AL1730" s="6" t="s">
        <v>16931</v>
      </c>
      <c r="AM1730" s="6" t="s">
        <v>18138</v>
      </c>
      <c r="AN1730" s="6" t="s">
        <v>18501</v>
      </c>
      <c r="AO1730" s="6" t="s">
        <v>18880</v>
      </c>
      <c r="AP1730" s="6" t="s">
        <v>14737</v>
      </c>
      <c r="AQ1730" s="6" t="s">
        <v>104</v>
      </c>
      <c r="AR1730" s="6" t="s">
        <v>16422</v>
      </c>
      <c r="AS1730" s="6" t="s">
        <v>16827</v>
      </c>
      <c r="AT1730" s="6" t="s">
        <v>16931</v>
      </c>
      <c r="AU1730" s="6" t="s">
        <v>18138</v>
      </c>
      <c r="AV1730" s="6" t="s">
        <v>104</v>
      </c>
      <c r="AW1730" s="6" t="s">
        <v>104</v>
      </c>
      <c r="AX1730" s="6" t="s">
        <v>20259</v>
      </c>
      <c r="AY1730" s="6" t="s">
        <v>23272</v>
      </c>
      <c r="AZ1730" s="6" t="s">
        <v>104</v>
      </c>
      <c r="BA1730" s="6" t="s">
        <v>104</v>
      </c>
      <c r="BB1730" s="6" t="s">
        <v>104</v>
      </c>
      <c r="BC1730" s="26"/>
      <c r="BD1730" s="26"/>
      <c r="BE1730" s="26" t="s">
        <v>24533</v>
      </c>
      <c r="BF1730" s="26"/>
      <c r="BG1730" s="26"/>
      <c r="BH1730" s="26"/>
      <c r="BI1730" s="26"/>
      <c r="BJ1730" s="26"/>
      <c r="BK1730" s="26"/>
      <c r="BL1730" s="26"/>
      <c r="BM1730" s="26"/>
      <c r="BN1730" s="26"/>
      <c r="BO1730" s="26"/>
      <c r="BP1730" s="16" t="n">
        <v>45737</v>
      </c>
      <c r="BQ1730" s="28" t="str">
        <f>HYPERLINK("https://organic.ams.usda.gov/Integrity/Certificate.aspx?cid=71&amp;nopid=5520030486")</f>
        <v>https://organic.ams.usda.gov/Integrity/Certificate.aspx?cid=71&amp;nopid=5520030486</v>
      </c>
    </row>
    <row r="1731">
      <c r="A1731" t="s">
        <v>3</v>
      </c>
      <c r="B1731" s="6" t="s">
        <v>9</v>
      </c>
      <c r="C1731" s="6" t="s">
        <v>75</v>
      </c>
      <c r="D1731" s="6" t="s">
        <v>140</v>
      </c>
      <c r="E1731" s="10" t="s">
        <v>1929</v>
      </c>
      <c r="F1731" s="6" t="s">
        <v>4154</v>
      </c>
      <c r="G1731" s="6" t="s">
        <v>104</v>
      </c>
      <c r="H1731" s="6" t="s">
        <v>6461</v>
      </c>
      <c r="I1731" s="6" t="s">
        <v>7904</v>
      </c>
      <c r="J1731" s="6" t="s">
        <v>9381</v>
      </c>
      <c r="K1731" s="6" t="s">
        <v>9714</v>
      </c>
      <c r="L1731" s="16" t="n">
        <v>41729</v>
      </c>
      <c r="M1731" s="16" t="n">
        <v>45747</v>
      </c>
      <c r="N1731" s="6" t="s">
        <v>9721</v>
      </c>
      <c r="O1731" s="16" t="n">
        <v>45615</v>
      </c>
      <c r="P1731" s="6" t="s">
        <v>104</v>
      </c>
      <c r="Q1731" s="6" t="s">
        <v>104</v>
      </c>
      <c r="R1731" s="6" t="s">
        <v>104</v>
      </c>
      <c r="S1731" s="6" t="s">
        <v>104</v>
      </c>
      <c r="T1731" s="21" t="s">
        <v>104</v>
      </c>
      <c r="U1731" s="6" t="s">
        <v>104</v>
      </c>
      <c r="V1731" s="6" t="s">
        <v>104</v>
      </c>
      <c r="W1731" s="6" t="s">
        <v>104</v>
      </c>
      <c r="X1731" s="6" t="s">
        <v>104</v>
      </c>
      <c r="Y1731" s="21" t="s">
        <v>104</v>
      </c>
      <c r="Z1731" s="6" t="s">
        <v>104</v>
      </c>
      <c r="AA1731" s="6" t="s">
        <v>104</v>
      </c>
      <c r="AB1731" s="6" t="s">
        <v>104</v>
      </c>
      <c r="AC1731" s="6" t="s">
        <v>9714</v>
      </c>
      <c r="AD1731" s="16" t="n">
        <v>41729</v>
      </c>
      <c r="AE1731" s="6" t="s">
        <v>12032</v>
      </c>
      <c r="AF1731" s="6" t="s">
        <v>104</v>
      </c>
      <c r="AG1731" s="6" t="s">
        <v>104</v>
      </c>
      <c r="AH1731" s="6" t="s">
        <v>14738</v>
      </c>
      <c r="AI1731" s="6" t="s">
        <v>104</v>
      </c>
      <c r="AJ1731" s="6" t="s">
        <v>16423</v>
      </c>
      <c r="AK1731" s="6" t="s">
        <v>16743</v>
      </c>
      <c r="AL1731" s="6" t="s">
        <v>16931</v>
      </c>
      <c r="AM1731" s="6" t="s">
        <v>18139</v>
      </c>
      <c r="AN1731" s="6" t="s">
        <v>104</v>
      </c>
      <c r="AO1731" s="6" t="s">
        <v>104</v>
      </c>
      <c r="AP1731" s="6" t="s">
        <v>104</v>
      </c>
      <c r="AQ1731" s="6" t="s">
        <v>104</v>
      </c>
      <c r="AR1731" s="6" t="s">
        <v>104</v>
      </c>
      <c r="AS1731" s="6" t="s">
        <v>104</v>
      </c>
      <c r="AT1731" s="6" t="s">
        <v>104</v>
      </c>
      <c r="AU1731" s="6" t="s">
        <v>104</v>
      </c>
      <c r="AV1731" s="6" t="s">
        <v>104</v>
      </c>
      <c r="AW1731" s="6" t="s">
        <v>104</v>
      </c>
      <c r="AX1731" s="6" t="s">
        <v>104</v>
      </c>
      <c r="AY1731" s="6" t="s">
        <v>23273</v>
      </c>
      <c r="AZ1731" s="6" t="s">
        <v>104</v>
      </c>
      <c r="BA1731" s="6" t="s">
        <v>104</v>
      </c>
      <c r="BB1731" s="6" t="s">
        <v>104</v>
      </c>
      <c r="BC1731" s="26"/>
      <c r="BD1731" s="26"/>
      <c r="BE1731" s="26"/>
      <c r="BF1731" s="26"/>
      <c r="BG1731" s="26"/>
      <c r="BH1731" s="26"/>
      <c r="BI1731" s="26"/>
      <c r="BJ1731" s="26"/>
      <c r="BK1731" s="26"/>
      <c r="BL1731" s="26"/>
      <c r="BM1731" s="26"/>
      <c r="BN1731" s="26"/>
      <c r="BO1731" s="26"/>
      <c r="BP1731" s="16" t="n">
        <v>45615</v>
      </c>
      <c r="BQ1731" s="28" t="str">
        <f>HYPERLINK("https://organic.ams.usda.gov/Integrity/Certificate.aspx?cid=63&amp;nopid=6220006206")</f>
        <v>https://organic.ams.usda.gov/Integrity/Certificate.aspx?cid=63&amp;nopid=6220006206</v>
      </c>
    </row>
    <row r="1732">
      <c r="A1732" t="s">
        <v>3</v>
      </c>
      <c r="B1732" s="6" t="s">
        <v>32</v>
      </c>
      <c r="C1732" s="6" t="s">
        <v>98</v>
      </c>
      <c r="D1732" s="6" t="s">
        <v>163</v>
      </c>
      <c r="E1732" s="10" t="s">
        <v>1930</v>
      </c>
      <c r="F1732" s="6" t="s">
        <v>4155</v>
      </c>
      <c r="G1732" s="6" t="s">
        <v>104</v>
      </c>
      <c r="H1732" s="6" t="s">
        <v>6462</v>
      </c>
      <c r="I1732" s="6" t="s">
        <v>7260</v>
      </c>
      <c r="J1732" s="6" t="s">
        <v>9382</v>
      </c>
      <c r="K1732" s="6" t="s">
        <v>9714</v>
      </c>
      <c r="L1732" s="16" t="n">
        <v>44390</v>
      </c>
      <c r="M1732" s="16" t="n">
        <v>45839</v>
      </c>
      <c r="N1732" s="6" t="s">
        <v>104</v>
      </c>
      <c r="O1732" s="21" t="s">
        <v>104</v>
      </c>
      <c r="P1732" s="6" t="s">
        <v>104</v>
      </c>
      <c r="Q1732" s="6" t="s">
        <v>104</v>
      </c>
      <c r="R1732" s="6" t="s">
        <v>104</v>
      </c>
      <c r="S1732" s="6" t="s">
        <v>104</v>
      </c>
      <c r="T1732" s="21" t="s">
        <v>104</v>
      </c>
      <c r="U1732" s="6" t="s">
        <v>104</v>
      </c>
      <c r="V1732" s="6" t="s">
        <v>104</v>
      </c>
      <c r="W1732" s="6" t="s">
        <v>104</v>
      </c>
      <c r="X1732" s="6" t="s">
        <v>104</v>
      </c>
      <c r="Y1732" s="21" t="s">
        <v>104</v>
      </c>
      <c r="Z1732" s="6" t="s">
        <v>104</v>
      </c>
      <c r="AA1732" s="6" t="s">
        <v>104</v>
      </c>
      <c r="AB1732" s="6" t="s">
        <v>104</v>
      </c>
      <c r="AC1732" s="6" t="s">
        <v>9714</v>
      </c>
      <c r="AD1732" s="16" t="n">
        <v>44390</v>
      </c>
      <c r="AE1732" s="6" t="s">
        <v>12033</v>
      </c>
      <c r="AF1732" s="6" t="s">
        <v>104</v>
      </c>
      <c r="AG1732" s="6" t="s">
        <v>104</v>
      </c>
      <c r="AH1732" s="6" t="s">
        <v>14739</v>
      </c>
      <c r="AI1732" s="6" t="s">
        <v>104</v>
      </c>
      <c r="AJ1732" s="6" t="s">
        <v>15782</v>
      </c>
      <c r="AK1732" s="6" t="s">
        <v>16714</v>
      </c>
      <c r="AL1732" s="6" t="s">
        <v>16931</v>
      </c>
      <c r="AM1732" s="6" t="s">
        <v>17408</v>
      </c>
      <c r="AN1732" s="6" t="s">
        <v>18481</v>
      </c>
      <c r="AO1732" s="6" t="s">
        <v>18704</v>
      </c>
      <c r="AP1732" s="6" t="s">
        <v>104</v>
      </c>
      <c r="AQ1732" s="6" t="s">
        <v>104</v>
      </c>
      <c r="AR1732" s="6" t="s">
        <v>104</v>
      </c>
      <c r="AS1732" s="6" t="s">
        <v>104</v>
      </c>
      <c r="AT1732" s="6" t="s">
        <v>104</v>
      </c>
      <c r="AU1732" s="6" t="s">
        <v>104</v>
      </c>
      <c r="AV1732" s="6" t="s">
        <v>104</v>
      </c>
      <c r="AW1732" s="6" t="s">
        <v>104</v>
      </c>
      <c r="AX1732" s="6" t="s">
        <v>21468</v>
      </c>
      <c r="AY1732" s="6" t="s">
        <v>23274</v>
      </c>
      <c r="AZ1732" s="6" t="s">
        <v>24130</v>
      </c>
      <c r="BA1732" s="6" t="s">
        <v>104</v>
      </c>
      <c r="BB1732" s="6" t="s">
        <v>104</v>
      </c>
      <c r="BC1732" s="26"/>
      <c r="BD1732" s="26"/>
      <c r="BE1732" s="26" t="s">
        <v>24533</v>
      </c>
      <c r="BF1732" s="26"/>
      <c r="BG1732" s="26"/>
      <c r="BH1732" s="26"/>
      <c r="BI1732" s="26"/>
      <c r="BJ1732" s="26"/>
      <c r="BK1732" s="26"/>
      <c r="BL1732" s="26" t="s">
        <v>24533</v>
      </c>
      <c r="BM1732" s="26"/>
      <c r="BN1732" s="26"/>
      <c r="BO1732" s="26"/>
      <c r="BP1732" s="16" t="n">
        <v>45715</v>
      </c>
      <c r="BQ1732" s="28" t="str">
        <f>HYPERLINK("https://organic.ams.usda.gov/Integrity/Certificate.aspx?cid=64&amp;nopid=8830001585")</f>
        <v>https://organic.ams.usda.gov/Integrity/Certificate.aspx?cid=64&amp;nopid=8830001585</v>
      </c>
    </row>
    <row r="1733">
      <c r="A1733" t="s">
        <v>3</v>
      </c>
      <c r="B1733" s="6" t="s">
        <v>42</v>
      </c>
      <c r="C1733" s="6" t="s">
        <v>108</v>
      </c>
      <c r="D1733" s="6" t="s">
        <v>172</v>
      </c>
      <c r="E1733" s="10" t="s">
        <v>1931</v>
      </c>
      <c r="F1733" s="6" t="s">
        <v>4156</v>
      </c>
      <c r="G1733" s="6" t="s">
        <v>104</v>
      </c>
      <c r="H1733" s="6" t="s">
        <v>6463</v>
      </c>
      <c r="I1733" s="6" t="s">
        <v>7138</v>
      </c>
      <c r="J1733" s="6" t="s">
        <v>9383</v>
      </c>
      <c r="K1733" s="6" t="s">
        <v>9714</v>
      </c>
      <c r="L1733" s="16" t="n">
        <v>44705</v>
      </c>
      <c r="M1733" s="16" t="n">
        <v>45801</v>
      </c>
      <c r="N1733" s="6" t="s">
        <v>104</v>
      </c>
      <c r="O1733" s="21" t="s">
        <v>104</v>
      </c>
      <c r="P1733" s="6" t="s">
        <v>104</v>
      </c>
      <c r="Q1733" s="6" t="s">
        <v>104</v>
      </c>
      <c r="R1733" s="6" t="s">
        <v>104</v>
      </c>
      <c r="S1733" s="6" t="s">
        <v>104</v>
      </c>
      <c r="T1733" s="21" t="s">
        <v>104</v>
      </c>
      <c r="U1733" s="6" t="s">
        <v>104</v>
      </c>
      <c r="V1733" s="6" t="s">
        <v>104</v>
      </c>
      <c r="W1733" s="6" t="s">
        <v>104</v>
      </c>
      <c r="X1733" s="6" t="s">
        <v>104</v>
      </c>
      <c r="Y1733" s="21" t="s">
        <v>104</v>
      </c>
      <c r="Z1733" s="6" t="s">
        <v>104</v>
      </c>
      <c r="AA1733" s="6" t="s">
        <v>104</v>
      </c>
      <c r="AB1733" s="6" t="s">
        <v>104</v>
      </c>
      <c r="AC1733" s="6" t="s">
        <v>9714</v>
      </c>
      <c r="AD1733" s="16" t="n">
        <v>44705</v>
      </c>
      <c r="AE1733" s="6" t="s">
        <v>12034</v>
      </c>
      <c r="AF1733" s="6" t="s">
        <v>104</v>
      </c>
      <c r="AG1733" s="6" t="s">
        <v>6463</v>
      </c>
      <c r="AH1733" s="6" t="s">
        <v>14740</v>
      </c>
      <c r="AI1733" s="6" t="s">
        <v>104</v>
      </c>
      <c r="AJ1733" s="6" t="s">
        <v>16203</v>
      </c>
      <c r="AK1733" s="6" t="s">
        <v>16686</v>
      </c>
      <c r="AL1733" s="6" t="s">
        <v>16931</v>
      </c>
      <c r="AM1733" s="6" t="s">
        <v>18140</v>
      </c>
      <c r="AN1733" s="6" t="s">
        <v>18533</v>
      </c>
      <c r="AO1733" s="6" t="s">
        <v>18881</v>
      </c>
      <c r="AP1733" s="6" t="s">
        <v>14740</v>
      </c>
      <c r="AQ1733" s="6" t="s">
        <v>104</v>
      </c>
      <c r="AR1733" s="6" t="s">
        <v>16203</v>
      </c>
      <c r="AS1733" s="6" t="s">
        <v>16686</v>
      </c>
      <c r="AT1733" s="6" t="s">
        <v>16931</v>
      </c>
      <c r="AU1733" s="6" t="s">
        <v>18140</v>
      </c>
      <c r="AV1733" s="6" t="s">
        <v>104</v>
      </c>
      <c r="AW1733" s="6" t="s">
        <v>104</v>
      </c>
      <c r="AX1733" s="6" t="s">
        <v>21469</v>
      </c>
      <c r="AY1733" s="6" t="s">
        <v>23275</v>
      </c>
      <c r="AZ1733" s="6" t="s">
        <v>104</v>
      </c>
      <c r="BA1733" s="6" t="s">
        <v>104</v>
      </c>
      <c r="BB1733" s="6" t="s">
        <v>104</v>
      </c>
      <c r="BC1733" s="26"/>
      <c r="BD1733" s="26"/>
      <c r="BE1733" s="26"/>
      <c r="BF1733" s="26"/>
      <c r="BG1733" s="26"/>
      <c r="BH1733" s="26"/>
      <c r="BI1733" s="26"/>
      <c r="BJ1733" s="26"/>
      <c r="BK1733" s="26"/>
      <c r="BL1733" s="26"/>
      <c r="BM1733" s="26"/>
      <c r="BN1733" s="26"/>
      <c r="BO1733" s="26"/>
      <c r="BP1733" s="16" t="n">
        <v>45541</v>
      </c>
      <c r="BQ1733" s="28" t="str">
        <f>HYPERLINK("https://organic.ams.usda.gov/Integrity/Certificate.aspx?cid=69&amp;nopid=1560088020")</f>
        <v>https://organic.ams.usda.gov/Integrity/Certificate.aspx?cid=69&amp;nopid=1560088020</v>
      </c>
    </row>
    <row r="1734">
      <c r="A1734" t="s">
        <v>3</v>
      </c>
      <c r="B1734" s="6" t="s">
        <v>18</v>
      </c>
      <c r="C1734" s="6" t="s">
        <v>84</v>
      </c>
      <c r="D1734" s="6" t="s">
        <v>149</v>
      </c>
      <c r="E1734" s="10" t="s">
        <v>1932</v>
      </c>
      <c r="F1734" s="6" t="s">
        <v>4157</v>
      </c>
      <c r="G1734" s="6" t="s">
        <v>104</v>
      </c>
      <c r="H1734" s="6" t="s">
        <v>6464</v>
      </c>
      <c r="I1734" s="6" t="s">
        <v>7905</v>
      </c>
      <c r="J1734" s="6" t="s">
        <v>9384</v>
      </c>
      <c r="K1734" s="6" t="s">
        <v>9714</v>
      </c>
      <c r="L1734" s="16" t="n">
        <v>45596</v>
      </c>
      <c r="M1734" s="16" t="n">
        <v>45961</v>
      </c>
      <c r="N1734" s="6" t="s">
        <v>104</v>
      </c>
      <c r="O1734" s="21" t="s">
        <v>104</v>
      </c>
      <c r="P1734" s="6" t="s">
        <v>104</v>
      </c>
      <c r="Q1734" s="6" t="s">
        <v>104</v>
      </c>
      <c r="R1734" s="6" t="s">
        <v>104</v>
      </c>
      <c r="S1734" s="6" t="s">
        <v>104</v>
      </c>
      <c r="T1734" s="21" t="s">
        <v>104</v>
      </c>
      <c r="U1734" s="6" t="s">
        <v>104</v>
      </c>
      <c r="V1734" s="6" t="s">
        <v>104</v>
      </c>
      <c r="W1734" s="6" t="s">
        <v>104</v>
      </c>
      <c r="X1734" s="6" t="s">
        <v>104</v>
      </c>
      <c r="Y1734" s="21" t="s">
        <v>104</v>
      </c>
      <c r="Z1734" s="6" t="s">
        <v>104</v>
      </c>
      <c r="AA1734" s="6" t="s">
        <v>104</v>
      </c>
      <c r="AB1734" s="6" t="s">
        <v>104</v>
      </c>
      <c r="AC1734" s="6" t="s">
        <v>9714</v>
      </c>
      <c r="AD1734" s="16" t="n">
        <v>45596</v>
      </c>
      <c r="AE1734" s="6" t="s">
        <v>12035</v>
      </c>
      <c r="AF1734" s="6" t="s">
        <v>104</v>
      </c>
      <c r="AG1734" s="6" t="s">
        <v>13019</v>
      </c>
      <c r="AH1734" s="6" t="s">
        <v>14741</v>
      </c>
      <c r="AI1734" s="6" t="s">
        <v>104</v>
      </c>
      <c r="AJ1734" s="6" t="s">
        <v>16424</v>
      </c>
      <c r="AK1734" s="6" t="s">
        <v>16681</v>
      </c>
      <c r="AL1734" s="6" t="s">
        <v>16931</v>
      </c>
      <c r="AM1734" s="6" t="s">
        <v>18141</v>
      </c>
      <c r="AN1734" s="6" t="s">
        <v>104</v>
      </c>
      <c r="AO1734" s="6" t="s">
        <v>104</v>
      </c>
      <c r="AP1734" s="6" t="s">
        <v>19412</v>
      </c>
      <c r="AQ1734" s="6" t="s">
        <v>104</v>
      </c>
      <c r="AR1734" s="6" t="s">
        <v>16153</v>
      </c>
      <c r="AS1734" s="6" t="s">
        <v>16743</v>
      </c>
      <c r="AT1734" s="6" t="s">
        <v>16931</v>
      </c>
      <c r="AU1734" s="6" t="s">
        <v>20021</v>
      </c>
      <c r="AV1734" s="6" t="s">
        <v>104</v>
      </c>
      <c r="AW1734" s="6" t="s">
        <v>104</v>
      </c>
      <c r="AX1734" s="6" t="s">
        <v>21470</v>
      </c>
      <c r="AY1734" s="6" t="s">
        <v>23276</v>
      </c>
      <c r="AZ1734" s="6" t="s">
        <v>104</v>
      </c>
      <c r="BA1734" s="6" t="s">
        <v>104</v>
      </c>
      <c r="BB1734" s="6" t="s">
        <v>104</v>
      </c>
      <c r="BC1734" s="26"/>
      <c r="BD1734" s="26"/>
      <c r="BE1734" s="26"/>
      <c r="BF1734" s="26"/>
      <c r="BG1734" s="26"/>
      <c r="BH1734" s="26"/>
      <c r="BI1734" s="26"/>
      <c r="BJ1734" s="26"/>
      <c r="BK1734" s="26"/>
      <c r="BL1734" s="26"/>
      <c r="BM1734" s="26"/>
      <c r="BN1734" s="26"/>
      <c r="BO1734" s="26"/>
      <c r="BP1734" s="16" t="n">
        <v>45737</v>
      </c>
      <c r="BQ1734" s="28" t="str">
        <f>HYPERLINK("https://organic.ams.usda.gov/Integrity/Certificate.aspx?cid=31&amp;nopid=3928972463")</f>
        <v>https://organic.ams.usda.gov/Integrity/Certificate.aspx?cid=31&amp;nopid=3928972463</v>
      </c>
    </row>
    <row r="1735">
      <c r="A1735" t="s">
        <v>3</v>
      </c>
      <c r="B1735" s="6" t="s">
        <v>23</v>
      </c>
      <c r="C1735" s="6" t="s">
        <v>89</v>
      </c>
      <c r="D1735" s="6" t="s">
        <v>154</v>
      </c>
      <c r="E1735" s="10" t="s">
        <v>1933</v>
      </c>
      <c r="F1735" s="6" t="s">
        <v>4158</v>
      </c>
      <c r="G1735" s="6" t="s">
        <v>104</v>
      </c>
      <c r="H1735" s="6" t="s">
        <v>6465</v>
      </c>
      <c r="I1735" s="6" t="s">
        <v>7051</v>
      </c>
      <c r="J1735" s="6" t="s">
        <v>9385</v>
      </c>
      <c r="K1735" s="6" t="s">
        <v>9714</v>
      </c>
      <c r="L1735" s="16" t="n">
        <v>42772</v>
      </c>
      <c r="M1735" s="18" t="s">
        <v>104</v>
      </c>
      <c r="N1735" s="6" t="s">
        <v>104</v>
      </c>
      <c r="O1735" s="21" t="s">
        <v>104</v>
      </c>
      <c r="P1735" s="6" t="s">
        <v>104</v>
      </c>
      <c r="Q1735" s="6" t="s">
        <v>104</v>
      </c>
      <c r="R1735" s="6" t="s">
        <v>104</v>
      </c>
      <c r="S1735" s="6" t="s">
        <v>104</v>
      </c>
      <c r="T1735" s="21" t="s">
        <v>104</v>
      </c>
      <c r="U1735" s="6" t="s">
        <v>104</v>
      </c>
      <c r="V1735" s="6" t="s">
        <v>104</v>
      </c>
      <c r="W1735" s="6" t="s">
        <v>104</v>
      </c>
      <c r="X1735" s="6" t="s">
        <v>104</v>
      </c>
      <c r="Y1735" s="21" t="s">
        <v>104</v>
      </c>
      <c r="Z1735" s="6" t="s">
        <v>104</v>
      </c>
      <c r="AA1735" s="6" t="s">
        <v>104</v>
      </c>
      <c r="AB1735" s="6" t="s">
        <v>104</v>
      </c>
      <c r="AC1735" s="6" t="s">
        <v>9714</v>
      </c>
      <c r="AD1735" s="16" t="n">
        <v>42772</v>
      </c>
      <c r="AE1735" s="6" t="s">
        <v>12036</v>
      </c>
      <c r="AF1735" s="6" t="s">
        <v>104</v>
      </c>
      <c r="AG1735" s="6" t="s">
        <v>104</v>
      </c>
      <c r="AH1735" s="6" t="s">
        <v>14742</v>
      </c>
      <c r="AI1735" s="6" t="s">
        <v>104</v>
      </c>
      <c r="AJ1735" s="6" t="s">
        <v>15795</v>
      </c>
      <c r="AK1735" s="6" t="s">
        <v>16683</v>
      </c>
      <c r="AL1735" s="6" t="s">
        <v>16931</v>
      </c>
      <c r="AM1735" s="6" t="s">
        <v>17422</v>
      </c>
      <c r="AN1735" s="6" t="s">
        <v>18504</v>
      </c>
      <c r="AO1735" s="6" t="s">
        <v>18709</v>
      </c>
      <c r="AP1735" s="6" t="s">
        <v>19413</v>
      </c>
      <c r="AQ1735" s="6" t="s">
        <v>104</v>
      </c>
      <c r="AR1735" s="6" t="s">
        <v>15795</v>
      </c>
      <c r="AS1735" s="6" t="s">
        <v>16683</v>
      </c>
      <c r="AT1735" s="6" t="s">
        <v>16931</v>
      </c>
      <c r="AU1735" s="6" t="s">
        <v>17422</v>
      </c>
      <c r="AV1735" s="6" t="s">
        <v>104</v>
      </c>
      <c r="AW1735" s="6" t="s">
        <v>104</v>
      </c>
      <c r="AX1735" s="6" t="s">
        <v>104</v>
      </c>
      <c r="AY1735" s="6" t="s">
        <v>104</v>
      </c>
      <c r="AZ1735" s="6" t="s">
        <v>24131</v>
      </c>
      <c r="BA1735" s="6" t="s">
        <v>104</v>
      </c>
      <c r="BB1735" s="6" t="s">
        <v>104</v>
      </c>
      <c r="BC1735" s="26"/>
      <c r="BD1735" s="26"/>
      <c r="BE1735" s="26"/>
      <c r="BF1735" s="26"/>
      <c r="BG1735" s="26"/>
      <c r="BH1735" s="26"/>
      <c r="BI1735" s="26"/>
      <c r="BJ1735" s="26"/>
      <c r="BK1735" s="26"/>
      <c r="BL1735" s="26"/>
      <c r="BM1735" s="26"/>
      <c r="BN1735" s="26"/>
      <c r="BO1735" s="26"/>
      <c r="BP1735" s="16" t="n">
        <v>45292</v>
      </c>
      <c r="BQ1735" s="28" t="str">
        <f>HYPERLINK("https://organic.ams.usda.gov/Integrity/Certificate.aspx?cid=45&amp;nopid=9950009024")</f>
        <v>https://organic.ams.usda.gov/Integrity/Certificate.aspx?cid=45&amp;nopid=9950009024</v>
      </c>
    </row>
    <row r="1736">
      <c r="A1736" t="s">
        <v>3</v>
      </c>
      <c r="B1736" s="6" t="s">
        <v>12</v>
      </c>
      <c r="C1736" s="6" t="s">
        <v>78</v>
      </c>
      <c r="D1736" s="6" t="s">
        <v>143</v>
      </c>
      <c r="E1736" s="10" t="s">
        <v>1934</v>
      </c>
      <c r="F1736" s="6" t="s">
        <v>4159</v>
      </c>
      <c r="G1736" s="6" t="s">
        <v>104</v>
      </c>
      <c r="H1736" s="6" t="s">
        <v>104</v>
      </c>
      <c r="I1736" s="6" t="s">
        <v>7906</v>
      </c>
      <c r="J1736" s="6" t="s">
        <v>9386</v>
      </c>
      <c r="K1736" s="6" t="s">
        <v>9714</v>
      </c>
      <c r="L1736" s="16" t="n">
        <v>44634</v>
      </c>
      <c r="M1736" s="16" t="n">
        <v>45901</v>
      </c>
      <c r="N1736" s="6" t="s">
        <v>104</v>
      </c>
      <c r="O1736" s="21" t="s">
        <v>104</v>
      </c>
      <c r="P1736" s="6" t="s">
        <v>104</v>
      </c>
      <c r="Q1736" s="6" t="s">
        <v>104</v>
      </c>
      <c r="R1736" s="6" t="s">
        <v>104</v>
      </c>
      <c r="S1736" s="6" t="s">
        <v>104</v>
      </c>
      <c r="T1736" s="21" t="s">
        <v>104</v>
      </c>
      <c r="U1736" s="6" t="s">
        <v>104</v>
      </c>
      <c r="V1736" s="6" t="s">
        <v>104</v>
      </c>
      <c r="W1736" s="6" t="s">
        <v>104</v>
      </c>
      <c r="X1736" s="6" t="s">
        <v>104</v>
      </c>
      <c r="Y1736" s="21" t="s">
        <v>104</v>
      </c>
      <c r="Z1736" s="6" t="s">
        <v>104</v>
      </c>
      <c r="AA1736" s="6" t="s">
        <v>104</v>
      </c>
      <c r="AB1736" s="6" t="s">
        <v>104</v>
      </c>
      <c r="AC1736" s="6" t="s">
        <v>9714</v>
      </c>
      <c r="AD1736" s="16" t="n">
        <v>44634</v>
      </c>
      <c r="AE1736" s="6" t="s">
        <v>12037</v>
      </c>
      <c r="AF1736" s="6" t="s">
        <v>104</v>
      </c>
      <c r="AG1736" s="6" t="s">
        <v>104</v>
      </c>
      <c r="AH1736" s="6" t="s">
        <v>14743</v>
      </c>
      <c r="AI1736" s="6" t="s">
        <v>104</v>
      </c>
      <c r="AJ1736" s="6" t="s">
        <v>16425</v>
      </c>
      <c r="AK1736" s="6" t="s">
        <v>16735</v>
      </c>
      <c r="AL1736" s="6" t="s">
        <v>16931</v>
      </c>
      <c r="AM1736" s="6" t="s">
        <v>18142</v>
      </c>
      <c r="AN1736" s="6" t="s">
        <v>104</v>
      </c>
      <c r="AO1736" s="6" t="s">
        <v>104</v>
      </c>
      <c r="AP1736" s="6" t="s">
        <v>14743</v>
      </c>
      <c r="AQ1736" s="6" t="s">
        <v>104</v>
      </c>
      <c r="AR1736" s="6" t="s">
        <v>16425</v>
      </c>
      <c r="AS1736" s="6" t="s">
        <v>16735</v>
      </c>
      <c r="AT1736" s="6" t="s">
        <v>16931</v>
      </c>
      <c r="AU1736" s="6" t="s">
        <v>18142</v>
      </c>
      <c r="AV1736" s="6" t="s">
        <v>104</v>
      </c>
      <c r="AW1736" s="6" t="s">
        <v>104</v>
      </c>
      <c r="AX1736" s="6" t="s">
        <v>104</v>
      </c>
      <c r="AY1736" s="6" t="s">
        <v>23277</v>
      </c>
      <c r="AZ1736" s="6" t="s">
        <v>104</v>
      </c>
      <c r="BA1736" s="6" t="s">
        <v>104</v>
      </c>
      <c r="BB1736" s="6" t="s">
        <v>104</v>
      </c>
      <c r="BC1736" s="26"/>
      <c r="BD1736" s="26"/>
      <c r="BE1736" s="26"/>
      <c r="BF1736" s="26"/>
      <c r="BG1736" s="26"/>
      <c r="BH1736" s="26"/>
      <c r="BI1736" s="26"/>
      <c r="BJ1736" s="26"/>
      <c r="BK1736" s="26"/>
      <c r="BL1736" s="26"/>
      <c r="BM1736" s="26"/>
      <c r="BN1736" s="26"/>
      <c r="BO1736" s="26"/>
      <c r="BP1736" s="16" t="n">
        <v>45628</v>
      </c>
      <c r="BQ1736" s="28" t="str">
        <f>HYPERLINK("https://organic.ams.usda.gov/Integrity/Certificate.aspx?cid=1&amp;nopid=9092202402")</f>
        <v>https://organic.ams.usda.gov/Integrity/Certificate.aspx?cid=1&amp;nopid=9092202402</v>
      </c>
    </row>
    <row r="1737">
      <c r="A1737" t="s">
        <v>3</v>
      </c>
      <c r="B1737" s="6" t="s">
        <v>54</v>
      </c>
      <c r="C1737" s="6" t="s">
        <v>120</v>
      </c>
      <c r="D1737" s="6" t="s">
        <v>184</v>
      </c>
      <c r="E1737" s="10" t="s">
        <v>1935</v>
      </c>
      <c r="F1737" s="6" t="s">
        <v>4160</v>
      </c>
      <c r="G1737" s="6" t="s">
        <v>104</v>
      </c>
      <c r="H1737" s="6" t="s">
        <v>6466</v>
      </c>
      <c r="I1737" s="6" t="s">
        <v>7183</v>
      </c>
      <c r="J1737" s="6" t="s">
        <v>9387</v>
      </c>
      <c r="K1737" s="6" t="s">
        <v>9714</v>
      </c>
      <c r="L1737" s="16" t="n">
        <v>44326</v>
      </c>
      <c r="M1737" s="16" t="n">
        <v>40268</v>
      </c>
      <c r="N1737" s="6" t="s">
        <v>9714</v>
      </c>
      <c r="O1737" s="16" t="n">
        <v>44326</v>
      </c>
      <c r="P1737" s="6" t="s">
        <v>10180</v>
      </c>
      <c r="Q1737" s="6" t="s">
        <v>104</v>
      </c>
      <c r="R1737" s="6" t="s">
        <v>104</v>
      </c>
      <c r="S1737" s="6" t="s">
        <v>104</v>
      </c>
      <c r="T1737" s="21" t="s">
        <v>104</v>
      </c>
      <c r="U1737" s="6" t="s">
        <v>104</v>
      </c>
      <c r="V1737" s="6" t="s">
        <v>104</v>
      </c>
      <c r="W1737" s="6" t="s">
        <v>104</v>
      </c>
      <c r="X1737" s="6" t="s">
        <v>104</v>
      </c>
      <c r="Y1737" s="21" t="s">
        <v>104</v>
      </c>
      <c r="Z1737" s="6" t="s">
        <v>104</v>
      </c>
      <c r="AA1737" s="6" t="s">
        <v>104</v>
      </c>
      <c r="AB1737" s="6" t="s">
        <v>104</v>
      </c>
      <c r="AC1737" s="6" t="s">
        <v>104</v>
      </c>
      <c r="AD1737" s="21" t="s">
        <v>104</v>
      </c>
      <c r="AE1737" s="6" t="s">
        <v>104</v>
      </c>
      <c r="AF1737" s="6" t="s">
        <v>104</v>
      </c>
      <c r="AG1737" s="6" t="s">
        <v>104</v>
      </c>
      <c r="AH1737" s="6" t="s">
        <v>14744</v>
      </c>
      <c r="AI1737" s="6" t="s">
        <v>104</v>
      </c>
      <c r="AJ1737" s="6" t="s">
        <v>16426</v>
      </c>
      <c r="AK1737" s="6" t="s">
        <v>16743</v>
      </c>
      <c r="AL1737" s="6" t="s">
        <v>16931</v>
      </c>
      <c r="AM1737" s="6" t="s">
        <v>18143</v>
      </c>
      <c r="AN1737" s="6" t="s">
        <v>18540</v>
      </c>
      <c r="AO1737" s="6" t="s">
        <v>18882</v>
      </c>
      <c r="AP1737" s="6" t="s">
        <v>104</v>
      </c>
      <c r="AQ1737" s="6" t="s">
        <v>104</v>
      </c>
      <c r="AR1737" s="6" t="s">
        <v>104</v>
      </c>
      <c r="AS1737" s="6" t="s">
        <v>104</v>
      </c>
      <c r="AT1737" s="6" t="s">
        <v>104</v>
      </c>
      <c r="AU1737" s="6" t="s">
        <v>104</v>
      </c>
      <c r="AV1737" s="6" t="s">
        <v>104</v>
      </c>
      <c r="AW1737" s="6" t="s">
        <v>104</v>
      </c>
      <c r="AX1737" s="6" t="s">
        <v>104</v>
      </c>
      <c r="AY1737" s="6" t="s">
        <v>104</v>
      </c>
      <c r="AZ1737" s="6" t="s">
        <v>104</v>
      </c>
      <c r="BA1737" s="6" t="s">
        <v>24323</v>
      </c>
      <c r="BB1737" s="24" t="n">
        <v>1068</v>
      </c>
      <c r="BC1737" s="26"/>
      <c r="BD1737" s="26"/>
      <c r="BE1737" s="26"/>
      <c r="BF1737" s="26"/>
      <c r="BG1737" s="26"/>
      <c r="BH1737" s="26"/>
      <c r="BI1737" s="26"/>
      <c r="BJ1737" s="26"/>
      <c r="BK1737" s="26"/>
      <c r="BL1737" s="26"/>
      <c r="BM1737" s="26"/>
      <c r="BN1737" s="26"/>
      <c r="BO1737" s="26"/>
      <c r="BP1737" s="16" t="n">
        <v>45560</v>
      </c>
      <c r="BQ1737" s="28" t="str">
        <f>HYPERLINK("https://organic.ams.usda.gov/Integrity/Certificate.aspx?cid=60&amp;nopid=2580000030")</f>
        <v>https://organic.ams.usda.gov/Integrity/Certificate.aspx?cid=60&amp;nopid=2580000030</v>
      </c>
    </row>
    <row r="1738">
      <c r="A1738" t="s">
        <v>3</v>
      </c>
      <c r="B1738" s="6" t="s">
        <v>34</v>
      </c>
      <c r="C1738" s="6" t="s">
        <v>100</v>
      </c>
      <c r="D1738" s="6" t="s">
        <v>165</v>
      </c>
      <c r="E1738" s="10" t="s">
        <v>1936</v>
      </c>
      <c r="F1738" s="6" t="s">
        <v>4161</v>
      </c>
      <c r="G1738" s="6" t="s">
        <v>104</v>
      </c>
      <c r="H1738" s="6" t="s">
        <v>6467</v>
      </c>
      <c r="I1738" s="6" t="s">
        <v>7907</v>
      </c>
      <c r="J1738" s="6" t="s">
        <v>9388</v>
      </c>
      <c r="K1738" s="6" t="s">
        <v>9714</v>
      </c>
      <c r="L1738" s="16" t="n">
        <v>45525</v>
      </c>
      <c r="M1738" s="16" t="n">
        <v>45691</v>
      </c>
      <c r="N1738" s="6" t="s">
        <v>104</v>
      </c>
      <c r="O1738" s="21" t="s">
        <v>104</v>
      </c>
      <c r="P1738" s="6" t="s">
        <v>104</v>
      </c>
      <c r="Q1738" s="6" t="s">
        <v>104</v>
      </c>
      <c r="R1738" s="6" t="s">
        <v>104</v>
      </c>
      <c r="S1738" s="6" t="s">
        <v>104</v>
      </c>
      <c r="T1738" s="21" t="s">
        <v>104</v>
      </c>
      <c r="U1738" s="6" t="s">
        <v>104</v>
      </c>
      <c r="V1738" s="6" t="s">
        <v>104</v>
      </c>
      <c r="W1738" s="6" t="s">
        <v>104</v>
      </c>
      <c r="X1738" s="6" t="s">
        <v>104</v>
      </c>
      <c r="Y1738" s="21" t="s">
        <v>104</v>
      </c>
      <c r="Z1738" s="6" t="s">
        <v>104</v>
      </c>
      <c r="AA1738" s="6" t="s">
        <v>104</v>
      </c>
      <c r="AB1738" s="6" t="s">
        <v>104</v>
      </c>
      <c r="AC1738" s="6" t="s">
        <v>9714</v>
      </c>
      <c r="AD1738" s="16" t="n">
        <v>45525</v>
      </c>
      <c r="AE1738" s="6" t="s">
        <v>12038</v>
      </c>
      <c r="AF1738" s="6" t="s">
        <v>104</v>
      </c>
      <c r="AG1738" s="6" t="s">
        <v>13020</v>
      </c>
      <c r="AH1738" s="6" t="s">
        <v>14745</v>
      </c>
      <c r="AI1738" s="6" t="s">
        <v>104</v>
      </c>
      <c r="AJ1738" s="6" t="s">
        <v>16427</v>
      </c>
      <c r="AK1738" s="6" t="s">
        <v>16862</v>
      </c>
      <c r="AL1738" s="6" t="s">
        <v>16958</v>
      </c>
      <c r="AM1738" s="6" t="s">
        <v>18144</v>
      </c>
      <c r="AN1738" s="6" t="s">
        <v>104</v>
      </c>
      <c r="AO1738" s="6" t="s">
        <v>104</v>
      </c>
      <c r="AP1738" s="6" t="s">
        <v>19414</v>
      </c>
      <c r="AQ1738" s="6" t="s">
        <v>104</v>
      </c>
      <c r="AR1738" s="6" t="s">
        <v>19751</v>
      </c>
      <c r="AS1738" s="6" t="s">
        <v>16862</v>
      </c>
      <c r="AT1738" s="6" t="s">
        <v>16958</v>
      </c>
      <c r="AU1738" s="6" t="s">
        <v>20022</v>
      </c>
      <c r="AV1738" s="6" t="s">
        <v>104</v>
      </c>
      <c r="AW1738" s="6" t="s">
        <v>104</v>
      </c>
      <c r="AX1738" s="6" t="s">
        <v>21471</v>
      </c>
      <c r="AY1738" s="6" t="s">
        <v>23278</v>
      </c>
      <c r="AZ1738" s="6" t="s">
        <v>24132</v>
      </c>
      <c r="BA1738" s="6" t="s">
        <v>104</v>
      </c>
      <c r="BB1738" s="6" t="s">
        <v>104</v>
      </c>
      <c r="BC1738" s="26"/>
      <c r="BD1738" s="26"/>
      <c r="BE1738" s="26"/>
      <c r="BF1738" s="26"/>
      <c r="BG1738" s="26"/>
      <c r="BH1738" s="26" t="s">
        <v>24533</v>
      </c>
      <c r="BI1738" s="26"/>
      <c r="BJ1738" s="26"/>
      <c r="BK1738" s="26"/>
      <c r="BL1738" s="26"/>
      <c r="BM1738" s="26"/>
      <c r="BN1738" s="26"/>
      <c r="BO1738" s="26"/>
      <c r="BP1738" s="16" t="n">
        <v>45737</v>
      </c>
      <c r="BQ1738" s="28" t="str">
        <f>HYPERLINK("https://organic.ams.usda.gov/Integrity/Certificate.aspx?cid=71&amp;nopid=5520145906")</f>
        <v>https://organic.ams.usda.gov/Integrity/Certificate.aspx?cid=71&amp;nopid=5520145906</v>
      </c>
    </row>
    <row r="1739">
      <c r="A1739" t="s">
        <v>3</v>
      </c>
      <c r="B1739" s="6" t="s">
        <v>29</v>
      </c>
      <c r="C1739" s="6" t="s">
        <v>95</v>
      </c>
      <c r="D1739" s="6" t="s">
        <v>160</v>
      </c>
      <c r="E1739" s="10" t="s">
        <v>1937</v>
      </c>
      <c r="F1739" s="6" t="s">
        <v>4162</v>
      </c>
      <c r="G1739" s="6" t="s">
        <v>104</v>
      </c>
      <c r="H1739" s="6" t="s">
        <v>6468</v>
      </c>
      <c r="I1739" s="6" t="s">
        <v>104</v>
      </c>
      <c r="J1739" s="6" t="s">
        <v>9389</v>
      </c>
      <c r="K1739" s="6" t="s">
        <v>9714</v>
      </c>
      <c r="L1739" s="16" t="n">
        <v>44532</v>
      </c>
      <c r="M1739" s="16" t="n">
        <v>45778</v>
      </c>
      <c r="N1739" s="6" t="s">
        <v>9714</v>
      </c>
      <c r="O1739" s="16" t="n">
        <v>44532</v>
      </c>
      <c r="P1739" s="6" t="s">
        <v>9944</v>
      </c>
      <c r="Q1739" s="6" t="s">
        <v>104</v>
      </c>
      <c r="R1739" s="6" t="s">
        <v>104</v>
      </c>
      <c r="S1739" s="6" t="s">
        <v>104</v>
      </c>
      <c r="T1739" s="21" t="s">
        <v>104</v>
      </c>
      <c r="U1739" s="6" t="s">
        <v>104</v>
      </c>
      <c r="V1739" s="6" t="s">
        <v>104</v>
      </c>
      <c r="W1739" s="6" t="s">
        <v>104</v>
      </c>
      <c r="X1739" s="6" t="s">
        <v>104</v>
      </c>
      <c r="Y1739" s="21" t="s">
        <v>104</v>
      </c>
      <c r="Z1739" s="6" t="s">
        <v>104</v>
      </c>
      <c r="AA1739" s="6" t="s">
        <v>104</v>
      </c>
      <c r="AB1739" s="6" t="s">
        <v>104</v>
      </c>
      <c r="AC1739" s="6" t="s">
        <v>9714</v>
      </c>
      <c r="AD1739" s="16" t="n">
        <v>44532</v>
      </c>
      <c r="AE1739" s="6" t="s">
        <v>12039</v>
      </c>
      <c r="AF1739" s="6" t="s">
        <v>104</v>
      </c>
      <c r="AG1739" s="6" t="s">
        <v>104</v>
      </c>
      <c r="AH1739" s="6" t="s">
        <v>14746</v>
      </c>
      <c r="AI1739" s="6" t="s">
        <v>15324</v>
      </c>
      <c r="AJ1739" s="6" t="s">
        <v>16428</v>
      </c>
      <c r="AK1739" s="6" t="s">
        <v>104</v>
      </c>
      <c r="AL1739" s="6" t="s">
        <v>16940</v>
      </c>
      <c r="AM1739" s="6" t="s">
        <v>17753</v>
      </c>
      <c r="AN1739" s="6" t="s">
        <v>104</v>
      </c>
      <c r="AO1739" s="6" t="s">
        <v>104</v>
      </c>
      <c r="AP1739" s="6" t="s">
        <v>104</v>
      </c>
      <c r="AQ1739" s="6" t="s">
        <v>104</v>
      </c>
      <c r="AR1739" s="6" t="s">
        <v>104</v>
      </c>
      <c r="AS1739" s="6" t="s">
        <v>104</v>
      </c>
      <c r="AT1739" s="6" t="s">
        <v>104</v>
      </c>
      <c r="AU1739" s="6" t="s">
        <v>104</v>
      </c>
      <c r="AV1739" s="6" t="s">
        <v>104</v>
      </c>
      <c r="AW1739" s="6" t="s">
        <v>104</v>
      </c>
      <c r="AX1739" s="6" t="s">
        <v>21472</v>
      </c>
      <c r="AY1739" s="6" t="s">
        <v>23279</v>
      </c>
      <c r="AZ1739" s="6" t="s">
        <v>104</v>
      </c>
      <c r="BA1739" s="6" t="s">
        <v>104</v>
      </c>
      <c r="BB1739" s="24" t="n">
        <v>18160</v>
      </c>
      <c r="BC1739" s="26"/>
      <c r="BD1739" s="26"/>
      <c r="BE1739" s="26"/>
      <c r="BF1739" s="26"/>
      <c r="BG1739" s="26"/>
      <c r="BH1739" s="26"/>
      <c r="BI1739" s="26"/>
      <c r="BJ1739" s="26"/>
      <c r="BK1739" s="26"/>
      <c r="BL1739" s="26"/>
      <c r="BM1739" s="26"/>
      <c r="BN1739" s="26" t="s">
        <v>24533</v>
      </c>
      <c r="BO1739" s="26"/>
      <c r="BP1739" s="16" t="n">
        <v>45554</v>
      </c>
      <c r="BQ1739" s="28" t="str">
        <f>HYPERLINK("https://organic.ams.usda.gov/Integrity/Certificate.aspx?cid=24&amp;nopid=7880242300")</f>
        <v>https://organic.ams.usda.gov/Integrity/Certificate.aspx?cid=24&amp;nopid=7880242300</v>
      </c>
    </row>
    <row r="1740">
      <c r="A1740" t="s">
        <v>3</v>
      </c>
      <c r="B1740" s="6" t="s">
        <v>17</v>
      </c>
      <c r="C1740" s="6" t="s">
        <v>83</v>
      </c>
      <c r="D1740" s="6" t="s">
        <v>148</v>
      </c>
      <c r="E1740" s="10" t="s">
        <v>1938</v>
      </c>
      <c r="F1740" s="6" t="s">
        <v>4163</v>
      </c>
      <c r="G1740" s="6" t="s">
        <v>104</v>
      </c>
      <c r="H1740" s="6" t="s">
        <v>6469</v>
      </c>
      <c r="I1740" s="6" t="s">
        <v>7908</v>
      </c>
      <c r="J1740" s="6" t="s">
        <v>9390</v>
      </c>
      <c r="K1740" s="6" t="s">
        <v>9714</v>
      </c>
      <c r="L1740" s="16" t="n">
        <v>45393</v>
      </c>
      <c r="M1740" s="16" t="n">
        <v>45689</v>
      </c>
      <c r="N1740" s="6" t="s">
        <v>104</v>
      </c>
      <c r="O1740" s="21" t="s">
        <v>104</v>
      </c>
      <c r="P1740" s="6" t="s">
        <v>104</v>
      </c>
      <c r="Q1740" s="6" t="s">
        <v>104</v>
      </c>
      <c r="R1740" s="6" t="s">
        <v>104</v>
      </c>
      <c r="S1740" s="6" t="s">
        <v>104</v>
      </c>
      <c r="T1740" s="21" t="s">
        <v>104</v>
      </c>
      <c r="U1740" s="6" t="s">
        <v>104</v>
      </c>
      <c r="V1740" s="6" t="s">
        <v>104</v>
      </c>
      <c r="W1740" s="6" t="s">
        <v>104</v>
      </c>
      <c r="X1740" s="6" t="s">
        <v>104</v>
      </c>
      <c r="Y1740" s="21" t="s">
        <v>104</v>
      </c>
      <c r="Z1740" s="6" t="s">
        <v>104</v>
      </c>
      <c r="AA1740" s="6" t="s">
        <v>104</v>
      </c>
      <c r="AB1740" s="6" t="s">
        <v>104</v>
      </c>
      <c r="AC1740" s="6" t="s">
        <v>9714</v>
      </c>
      <c r="AD1740" s="16" t="n">
        <v>45393</v>
      </c>
      <c r="AE1740" s="6" t="s">
        <v>12040</v>
      </c>
      <c r="AF1740" s="6" t="s">
        <v>104</v>
      </c>
      <c r="AG1740" s="6" t="s">
        <v>104</v>
      </c>
      <c r="AH1740" s="6" t="s">
        <v>14747</v>
      </c>
      <c r="AI1740" s="6" t="s">
        <v>15325</v>
      </c>
      <c r="AJ1740" s="6" t="s">
        <v>15802</v>
      </c>
      <c r="AK1740" s="6" t="s">
        <v>16370</v>
      </c>
      <c r="AL1740" s="6" t="s">
        <v>16931</v>
      </c>
      <c r="AM1740" s="6" t="s">
        <v>17266</v>
      </c>
      <c r="AN1740" s="6" t="s">
        <v>104</v>
      </c>
      <c r="AO1740" s="6" t="s">
        <v>104</v>
      </c>
      <c r="AP1740" s="6" t="s">
        <v>19415</v>
      </c>
      <c r="AQ1740" s="6" t="s">
        <v>104</v>
      </c>
      <c r="AR1740" s="6" t="s">
        <v>15697</v>
      </c>
      <c r="AS1740" s="6" t="s">
        <v>15697</v>
      </c>
      <c r="AT1740" s="6" t="s">
        <v>16931</v>
      </c>
      <c r="AU1740" s="6" t="s">
        <v>20023</v>
      </c>
      <c r="AV1740" s="6" t="s">
        <v>104</v>
      </c>
      <c r="AW1740" s="6" t="s">
        <v>104</v>
      </c>
      <c r="AX1740" s="6" t="s">
        <v>21473</v>
      </c>
      <c r="AY1740" s="6" t="s">
        <v>23280</v>
      </c>
      <c r="AZ1740" s="6" t="s">
        <v>104</v>
      </c>
      <c r="BA1740" s="6" t="s">
        <v>104</v>
      </c>
      <c r="BB1740" s="24" t="n">
        <v>0</v>
      </c>
      <c r="BC1740" s="26"/>
      <c r="BD1740" s="26"/>
      <c r="BE1740" s="26"/>
      <c r="BF1740" s="26"/>
      <c r="BG1740" s="26" t="s">
        <v>24533</v>
      </c>
      <c r="BH1740" s="26" t="s">
        <v>24533</v>
      </c>
      <c r="BI1740" s="26"/>
      <c r="BJ1740" s="26"/>
      <c r="BK1740" s="26"/>
      <c r="BL1740" s="26"/>
      <c r="BM1740" s="26"/>
      <c r="BN1740" s="26"/>
      <c r="BO1740" s="26"/>
      <c r="BP1740" s="16" t="n">
        <v>45702</v>
      </c>
      <c r="BQ1740" s="28" t="str">
        <f>HYPERLINK("https://organic.ams.usda.gov/Integrity/Certificate.aspx?cid=51&amp;nopid=8240042524")</f>
        <v>https://organic.ams.usda.gov/Integrity/Certificate.aspx?cid=51&amp;nopid=8240042524</v>
      </c>
    </row>
    <row r="1741">
      <c r="A1741" t="s">
        <v>3</v>
      </c>
      <c r="B1741" s="6" t="s">
        <v>61</v>
      </c>
      <c r="C1741" s="6" t="s">
        <v>127</v>
      </c>
      <c r="D1741" s="6" t="s">
        <v>191</v>
      </c>
      <c r="E1741" s="10" t="s">
        <v>1939</v>
      </c>
      <c r="F1741" s="6" t="s">
        <v>4164</v>
      </c>
      <c r="G1741" s="6" t="s">
        <v>104</v>
      </c>
      <c r="H1741" s="6" t="s">
        <v>6470</v>
      </c>
      <c r="I1741" s="6" t="s">
        <v>7909</v>
      </c>
      <c r="J1741" s="6" t="s">
        <v>9391</v>
      </c>
      <c r="K1741" s="6" t="s">
        <v>9714</v>
      </c>
      <c r="L1741" s="16" t="n">
        <v>44134</v>
      </c>
      <c r="M1741" s="16" t="n">
        <v>45748</v>
      </c>
      <c r="N1741" s="6" t="s">
        <v>9714</v>
      </c>
      <c r="O1741" s="16" t="n">
        <v>44134</v>
      </c>
      <c r="P1741" s="6" t="s">
        <v>10181</v>
      </c>
      <c r="Q1741" s="6" t="s">
        <v>104</v>
      </c>
      <c r="R1741" s="6" t="s">
        <v>6470</v>
      </c>
      <c r="S1741" s="6" t="s">
        <v>104</v>
      </c>
      <c r="T1741" s="21" t="s">
        <v>104</v>
      </c>
      <c r="U1741" s="6" t="s">
        <v>104</v>
      </c>
      <c r="V1741" s="6" t="s">
        <v>104</v>
      </c>
      <c r="W1741" s="6" t="s">
        <v>104</v>
      </c>
      <c r="X1741" s="6" t="s">
        <v>104</v>
      </c>
      <c r="Y1741" s="21" t="s">
        <v>104</v>
      </c>
      <c r="Z1741" s="6" t="s">
        <v>104</v>
      </c>
      <c r="AA1741" s="6" t="s">
        <v>104</v>
      </c>
      <c r="AB1741" s="6" t="s">
        <v>104</v>
      </c>
      <c r="AC1741" s="6" t="s">
        <v>104</v>
      </c>
      <c r="AD1741" s="21" t="s">
        <v>104</v>
      </c>
      <c r="AE1741" s="6" t="s">
        <v>104</v>
      </c>
      <c r="AF1741" s="6" t="s">
        <v>104</v>
      </c>
      <c r="AG1741" s="6" t="s">
        <v>104</v>
      </c>
      <c r="AH1741" s="6" t="s">
        <v>14748</v>
      </c>
      <c r="AI1741" s="6" t="s">
        <v>104</v>
      </c>
      <c r="AJ1741" s="6" t="s">
        <v>16429</v>
      </c>
      <c r="AK1741" s="6" t="s">
        <v>16687</v>
      </c>
      <c r="AL1741" s="6" t="s">
        <v>16931</v>
      </c>
      <c r="AM1741" s="6" t="s">
        <v>18145</v>
      </c>
      <c r="AN1741" s="6" t="s">
        <v>104</v>
      </c>
      <c r="AO1741" s="6" t="s">
        <v>104</v>
      </c>
      <c r="AP1741" s="6" t="s">
        <v>14748</v>
      </c>
      <c r="AQ1741" s="6" t="s">
        <v>104</v>
      </c>
      <c r="AR1741" s="6" t="s">
        <v>16429</v>
      </c>
      <c r="AS1741" s="6" t="s">
        <v>16687</v>
      </c>
      <c r="AT1741" s="6" t="s">
        <v>16931</v>
      </c>
      <c r="AU1741" s="6" t="s">
        <v>18145</v>
      </c>
      <c r="AV1741" s="6" t="s">
        <v>104</v>
      </c>
      <c r="AW1741" s="6" t="s">
        <v>104</v>
      </c>
      <c r="AX1741" s="6" t="s">
        <v>21474</v>
      </c>
      <c r="AY1741" s="6" t="s">
        <v>23281</v>
      </c>
      <c r="AZ1741" s="6" t="s">
        <v>104</v>
      </c>
      <c r="BA1741" s="6" t="s">
        <v>104</v>
      </c>
      <c r="BB1741" s="24" t="n">
        <v>342</v>
      </c>
      <c r="BC1741" s="26"/>
      <c r="BD1741" s="26"/>
      <c r="BE1741" s="26"/>
      <c r="BF1741" s="26"/>
      <c r="BG1741" s="26"/>
      <c r="BH1741" s="26"/>
      <c r="BI1741" s="26"/>
      <c r="BJ1741" s="26"/>
      <c r="BK1741" s="26"/>
      <c r="BL1741" s="26"/>
      <c r="BM1741" s="26"/>
      <c r="BN1741" s="26"/>
      <c r="BO1741" s="26"/>
      <c r="BP1741" s="16" t="n">
        <v>45722</v>
      </c>
      <c r="BQ1741" s="28" t="str">
        <f>HYPERLINK("https://organic.ams.usda.gov/Integrity/Certificate.aspx?cid=83&amp;nopid=4930000101")</f>
        <v>https://organic.ams.usda.gov/Integrity/Certificate.aspx?cid=83&amp;nopid=4930000101</v>
      </c>
    </row>
    <row r="1742">
      <c r="A1742" t="s">
        <v>3</v>
      </c>
      <c r="B1742" s="6" t="s">
        <v>32</v>
      </c>
      <c r="C1742" s="6" t="s">
        <v>98</v>
      </c>
      <c r="D1742" s="6" t="s">
        <v>163</v>
      </c>
      <c r="E1742" s="10" t="s">
        <v>1940</v>
      </c>
      <c r="F1742" s="6" t="s">
        <v>4165</v>
      </c>
      <c r="G1742" s="6" t="s">
        <v>104</v>
      </c>
      <c r="H1742" s="6" t="s">
        <v>6471</v>
      </c>
      <c r="I1742" s="6" t="s">
        <v>7695</v>
      </c>
      <c r="J1742" s="6" t="s">
        <v>8355</v>
      </c>
      <c r="K1742" s="6" t="s">
        <v>9714</v>
      </c>
      <c r="L1742" s="16" t="n">
        <v>44070</v>
      </c>
      <c r="M1742" s="16" t="n">
        <v>45717</v>
      </c>
      <c r="N1742" s="6" t="s">
        <v>9714</v>
      </c>
      <c r="O1742" s="16" t="n">
        <v>44070</v>
      </c>
      <c r="P1742" s="6" t="s">
        <v>10182</v>
      </c>
      <c r="Q1742" s="6" t="s">
        <v>104</v>
      </c>
      <c r="R1742" s="6" t="s">
        <v>104</v>
      </c>
      <c r="S1742" s="6" t="s">
        <v>104</v>
      </c>
      <c r="T1742" s="21" t="s">
        <v>104</v>
      </c>
      <c r="U1742" s="6" t="s">
        <v>104</v>
      </c>
      <c r="V1742" s="6" t="s">
        <v>104</v>
      </c>
      <c r="W1742" s="6" t="s">
        <v>104</v>
      </c>
      <c r="X1742" s="6" t="s">
        <v>104</v>
      </c>
      <c r="Y1742" s="21" t="s">
        <v>104</v>
      </c>
      <c r="Z1742" s="6" t="s">
        <v>104</v>
      </c>
      <c r="AA1742" s="6" t="s">
        <v>104</v>
      </c>
      <c r="AB1742" s="6" t="s">
        <v>104</v>
      </c>
      <c r="AC1742" s="6" t="s">
        <v>9714</v>
      </c>
      <c r="AD1742" s="16" t="n">
        <v>45278</v>
      </c>
      <c r="AE1742" s="6" t="s">
        <v>12041</v>
      </c>
      <c r="AF1742" s="6" t="s">
        <v>104</v>
      </c>
      <c r="AG1742" s="6" t="s">
        <v>104</v>
      </c>
      <c r="AH1742" s="6" t="s">
        <v>14749</v>
      </c>
      <c r="AI1742" s="6" t="s">
        <v>104</v>
      </c>
      <c r="AJ1742" s="6" t="s">
        <v>16430</v>
      </c>
      <c r="AK1742" s="6" t="s">
        <v>16730</v>
      </c>
      <c r="AL1742" s="6" t="s">
        <v>16931</v>
      </c>
      <c r="AM1742" s="6" t="s">
        <v>18146</v>
      </c>
      <c r="AN1742" s="6" t="s">
        <v>18484</v>
      </c>
      <c r="AO1742" s="6" t="s">
        <v>18883</v>
      </c>
      <c r="AP1742" s="6" t="s">
        <v>104</v>
      </c>
      <c r="AQ1742" s="6" t="s">
        <v>104</v>
      </c>
      <c r="AR1742" s="6" t="s">
        <v>104</v>
      </c>
      <c r="AS1742" s="6" t="s">
        <v>104</v>
      </c>
      <c r="AT1742" s="6" t="s">
        <v>104</v>
      </c>
      <c r="AU1742" s="6" t="s">
        <v>104</v>
      </c>
      <c r="AV1742" s="6" t="s">
        <v>104</v>
      </c>
      <c r="AW1742" s="6" t="s">
        <v>104</v>
      </c>
      <c r="AX1742" s="6" t="s">
        <v>21407</v>
      </c>
      <c r="AY1742" s="6" t="s">
        <v>23210</v>
      </c>
      <c r="AZ1742" s="6" t="s">
        <v>104</v>
      </c>
      <c r="BA1742" s="6" t="s">
        <v>104</v>
      </c>
      <c r="BB1742" s="24" t="n">
        <v>2553</v>
      </c>
      <c r="BC1742" s="26"/>
      <c r="BD1742" s="26"/>
      <c r="BE1742" s="26"/>
      <c r="BF1742" s="26"/>
      <c r="BG1742" s="26"/>
      <c r="BH1742" s="26"/>
      <c r="BI1742" s="26"/>
      <c r="BJ1742" s="26"/>
      <c r="BK1742" s="26"/>
      <c r="BL1742" s="26"/>
      <c r="BM1742" s="26"/>
      <c r="BN1742" s="26" t="s">
        <v>24533</v>
      </c>
      <c r="BO1742" s="26"/>
      <c r="BP1742" s="16" t="n">
        <v>45532</v>
      </c>
      <c r="BQ1742" s="28" t="str">
        <f>HYPERLINK("https://organic.ams.usda.gov/Integrity/Certificate.aspx?cid=64&amp;nopid=8830001450")</f>
        <v>https://organic.ams.usda.gov/Integrity/Certificate.aspx?cid=64&amp;nopid=8830001450</v>
      </c>
    </row>
    <row r="1743">
      <c r="A1743" t="s">
        <v>3</v>
      </c>
      <c r="B1743" s="6" t="s">
        <v>32</v>
      </c>
      <c r="C1743" s="6" t="s">
        <v>98</v>
      </c>
      <c r="D1743" s="6" t="s">
        <v>163</v>
      </c>
      <c r="E1743" s="10" t="s">
        <v>1941</v>
      </c>
      <c r="F1743" s="6" t="s">
        <v>4166</v>
      </c>
      <c r="G1743" s="6" t="s">
        <v>104</v>
      </c>
      <c r="H1743" s="6" t="s">
        <v>6472</v>
      </c>
      <c r="I1743" s="6" t="s">
        <v>7625</v>
      </c>
      <c r="J1743" s="6" t="s">
        <v>8355</v>
      </c>
      <c r="K1743" s="6" t="s">
        <v>9714</v>
      </c>
      <c r="L1743" s="16" t="n">
        <v>44029</v>
      </c>
      <c r="M1743" s="16" t="n">
        <v>45717</v>
      </c>
      <c r="N1743" s="6" t="s">
        <v>9714</v>
      </c>
      <c r="O1743" s="16" t="n">
        <v>44029</v>
      </c>
      <c r="P1743" s="6" t="s">
        <v>10183</v>
      </c>
      <c r="Q1743" s="6" t="s">
        <v>104</v>
      </c>
      <c r="R1743" s="6" t="s">
        <v>104</v>
      </c>
      <c r="S1743" s="6" t="s">
        <v>104</v>
      </c>
      <c r="T1743" s="21" t="s">
        <v>104</v>
      </c>
      <c r="U1743" s="6" t="s">
        <v>104</v>
      </c>
      <c r="V1743" s="6" t="s">
        <v>104</v>
      </c>
      <c r="W1743" s="6" t="s">
        <v>104</v>
      </c>
      <c r="X1743" s="6" t="s">
        <v>104</v>
      </c>
      <c r="Y1743" s="21" t="s">
        <v>104</v>
      </c>
      <c r="Z1743" s="6" t="s">
        <v>104</v>
      </c>
      <c r="AA1743" s="6" t="s">
        <v>104</v>
      </c>
      <c r="AB1743" s="6" t="s">
        <v>104</v>
      </c>
      <c r="AC1743" s="6" t="s">
        <v>9714</v>
      </c>
      <c r="AD1743" s="16" t="n">
        <v>45274</v>
      </c>
      <c r="AE1743" s="6" t="s">
        <v>12042</v>
      </c>
      <c r="AF1743" s="6" t="s">
        <v>104</v>
      </c>
      <c r="AG1743" s="6" t="s">
        <v>104</v>
      </c>
      <c r="AH1743" s="6" t="s">
        <v>14750</v>
      </c>
      <c r="AI1743" s="6" t="s">
        <v>104</v>
      </c>
      <c r="AJ1743" s="6" t="s">
        <v>16430</v>
      </c>
      <c r="AK1743" s="6" t="s">
        <v>16730</v>
      </c>
      <c r="AL1743" s="6" t="s">
        <v>16931</v>
      </c>
      <c r="AM1743" s="6" t="s">
        <v>18146</v>
      </c>
      <c r="AN1743" s="6" t="s">
        <v>18484</v>
      </c>
      <c r="AO1743" s="6" t="s">
        <v>18883</v>
      </c>
      <c r="AP1743" s="6" t="s">
        <v>104</v>
      </c>
      <c r="AQ1743" s="6" t="s">
        <v>104</v>
      </c>
      <c r="AR1743" s="6" t="s">
        <v>104</v>
      </c>
      <c r="AS1743" s="6" t="s">
        <v>104</v>
      </c>
      <c r="AT1743" s="6" t="s">
        <v>104</v>
      </c>
      <c r="AU1743" s="6" t="s">
        <v>104</v>
      </c>
      <c r="AV1743" s="6" t="s">
        <v>104</v>
      </c>
      <c r="AW1743" s="6" t="s">
        <v>104</v>
      </c>
      <c r="AX1743" s="6" t="s">
        <v>21475</v>
      </c>
      <c r="AY1743" s="6" t="s">
        <v>23282</v>
      </c>
      <c r="AZ1743" s="6" t="s">
        <v>104</v>
      </c>
      <c r="BA1743" s="6" t="s">
        <v>104</v>
      </c>
      <c r="BB1743" s="24" t="n">
        <v>850</v>
      </c>
      <c r="BC1743" s="26"/>
      <c r="BD1743" s="26"/>
      <c r="BE1743" s="26"/>
      <c r="BF1743" s="26"/>
      <c r="BG1743" s="26"/>
      <c r="BH1743" s="26"/>
      <c r="BI1743" s="26"/>
      <c r="BJ1743" s="26"/>
      <c r="BK1743" s="26"/>
      <c r="BL1743" s="26"/>
      <c r="BM1743" s="26"/>
      <c r="BN1743" s="26" t="s">
        <v>24533</v>
      </c>
      <c r="BO1743" s="26"/>
      <c r="BP1743" s="16" t="n">
        <v>45499</v>
      </c>
      <c r="BQ1743" s="28" t="str">
        <f>HYPERLINK("https://organic.ams.usda.gov/Integrity/Certificate.aspx?cid=64&amp;nopid=8830001451")</f>
        <v>https://organic.ams.usda.gov/Integrity/Certificate.aspx?cid=64&amp;nopid=8830001451</v>
      </c>
    </row>
    <row r="1744">
      <c r="A1744" t="s">
        <v>3</v>
      </c>
      <c r="B1744" s="6" t="s">
        <v>11</v>
      </c>
      <c r="C1744" s="6" t="s">
        <v>77</v>
      </c>
      <c r="D1744" s="6" t="s">
        <v>142</v>
      </c>
      <c r="E1744" s="10" t="s">
        <v>1942</v>
      </c>
      <c r="F1744" s="6" t="s">
        <v>4167</v>
      </c>
      <c r="G1744" s="6" t="s">
        <v>104</v>
      </c>
      <c r="H1744" s="6" t="s">
        <v>1942</v>
      </c>
      <c r="I1744" s="6" t="s">
        <v>7910</v>
      </c>
      <c r="J1744" s="6" t="s">
        <v>104</v>
      </c>
      <c r="K1744" s="6" t="s">
        <v>9714</v>
      </c>
      <c r="L1744" s="16" t="n">
        <v>43473</v>
      </c>
      <c r="M1744" s="16" t="n">
        <v>45910</v>
      </c>
      <c r="N1744" s="6" t="s">
        <v>104</v>
      </c>
      <c r="O1744" s="21" t="s">
        <v>104</v>
      </c>
      <c r="P1744" s="6" t="s">
        <v>104</v>
      </c>
      <c r="Q1744" s="6" t="s">
        <v>104</v>
      </c>
      <c r="R1744" s="6" t="s">
        <v>104</v>
      </c>
      <c r="S1744" s="6" t="s">
        <v>104</v>
      </c>
      <c r="T1744" s="21" t="s">
        <v>104</v>
      </c>
      <c r="U1744" s="6" t="s">
        <v>104</v>
      </c>
      <c r="V1744" s="6" t="s">
        <v>104</v>
      </c>
      <c r="W1744" s="6" t="s">
        <v>104</v>
      </c>
      <c r="X1744" s="6" t="s">
        <v>104</v>
      </c>
      <c r="Y1744" s="21" t="s">
        <v>104</v>
      </c>
      <c r="Z1744" s="6" t="s">
        <v>104</v>
      </c>
      <c r="AA1744" s="6" t="s">
        <v>104</v>
      </c>
      <c r="AB1744" s="6" t="s">
        <v>104</v>
      </c>
      <c r="AC1744" s="6" t="s">
        <v>9714</v>
      </c>
      <c r="AD1744" s="16" t="n">
        <v>43473</v>
      </c>
      <c r="AE1744" s="6" t="s">
        <v>12043</v>
      </c>
      <c r="AF1744" s="6" t="s">
        <v>104</v>
      </c>
      <c r="AG1744" s="6" t="s">
        <v>13021</v>
      </c>
      <c r="AH1744" s="6" t="s">
        <v>14751</v>
      </c>
      <c r="AI1744" s="6" t="s">
        <v>15326</v>
      </c>
      <c r="AJ1744" s="6" t="s">
        <v>15737</v>
      </c>
      <c r="AK1744" s="6" t="s">
        <v>104</v>
      </c>
      <c r="AL1744" s="6" t="s">
        <v>15737</v>
      </c>
      <c r="AM1744" s="6" t="s">
        <v>18147</v>
      </c>
      <c r="AN1744" s="6" t="s">
        <v>104</v>
      </c>
      <c r="AO1744" s="6" t="s">
        <v>104</v>
      </c>
      <c r="AP1744" s="6" t="s">
        <v>14751</v>
      </c>
      <c r="AQ1744" s="6" t="s">
        <v>15326</v>
      </c>
      <c r="AR1744" s="6" t="s">
        <v>15737</v>
      </c>
      <c r="AS1744" s="6" t="s">
        <v>104</v>
      </c>
      <c r="AT1744" s="6" t="s">
        <v>15737</v>
      </c>
      <c r="AU1744" s="6" t="s">
        <v>17357</v>
      </c>
      <c r="AV1744" s="6" t="s">
        <v>104</v>
      </c>
      <c r="AW1744" s="6" t="s">
        <v>104</v>
      </c>
      <c r="AX1744" s="6" t="s">
        <v>21476</v>
      </c>
      <c r="AY1744" s="6" t="s">
        <v>23283</v>
      </c>
      <c r="AZ1744" s="6" t="s">
        <v>104</v>
      </c>
      <c r="BA1744" s="6" t="s">
        <v>104</v>
      </c>
      <c r="BB1744" s="6" t="s">
        <v>104</v>
      </c>
      <c r="BC1744" s="26"/>
      <c r="BD1744" s="26"/>
      <c r="BE1744" s="26"/>
      <c r="BF1744" s="26"/>
      <c r="BG1744" s="26"/>
      <c r="BH1744" s="26"/>
      <c r="BI1744" s="26"/>
      <c r="BJ1744" s="26"/>
      <c r="BK1744" s="26"/>
      <c r="BL1744" s="26"/>
      <c r="BM1744" s="26"/>
      <c r="BN1744" s="26" t="s">
        <v>24533</v>
      </c>
      <c r="BO1744" s="26"/>
      <c r="BP1744" s="16" t="n">
        <v>45728</v>
      </c>
      <c r="BQ1744" s="28" t="str">
        <f>HYPERLINK("https://organic.ams.usda.gov/Integrity/Certificate.aspx?cid=21&amp;nopid=1780862013")</f>
        <v>https://organic.ams.usda.gov/Integrity/Certificate.aspx?cid=21&amp;nopid=1780862013</v>
      </c>
    </row>
    <row r="1745">
      <c r="A1745" t="s">
        <v>3</v>
      </c>
      <c r="B1745" s="6" t="s">
        <v>24</v>
      </c>
      <c r="C1745" s="6" t="s">
        <v>90</v>
      </c>
      <c r="D1745" s="6" t="s">
        <v>155</v>
      </c>
      <c r="E1745" s="10" t="s">
        <v>1943</v>
      </c>
      <c r="F1745" s="6" t="s">
        <v>4168</v>
      </c>
      <c r="G1745" s="6" t="s">
        <v>4844</v>
      </c>
      <c r="H1745" s="6" t="s">
        <v>6473</v>
      </c>
      <c r="I1745" s="6" t="s">
        <v>7911</v>
      </c>
      <c r="J1745" s="6" t="s">
        <v>9392</v>
      </c>
      <c r="K1745" s="6" t="s">
        <v>9714</v>
      </c>
      <c r="L1745" s="16" t="n">
        <v>45615</v>
      </c>
      <c r="M1745" s="16" t="n">
        <v>45868</v>
      </c>
      <c r="N1745" s="6" t="s">
        <v>104</v>
      </c>
      <c r="O1745" s="21" t="s">
        <v>104</v>
      </c>
      <c r="P1745" s="6" t="s">
        <v>104</v>
      </c>
      <c r="Q1745" s="6" t="s">
        <v>104</v>
      </c>
      <c r="R1745" s="6" t="s">
        <v>104</v>
      </c>
      <c r="S1745" s="6" t="s">
        <v>104</v>
      </c>
      <c r="T1745" s="21" t="s">
        <v>104</v>
      </c>
      <c r="U1745" s="6" t="s">
        <v>104</v>
      </c>
      <c r="V1745" s="6" t="s">
        <v>104</v>
      </c>
      <c r="W1745" s="6" t="s">
        <v>104</v>
      </c>
      <c r="X1745" s="6" t="s">
        <v>104</v>
      </c>
      <c r="Y1745" s="21" t="s">
        <v>104</v>
      </c>
      <c r="Z1745" s="6" t="s">
        <v>104</v>
      </c>
      <c r="AA1745" s="6" t="s">
        <v>104</v>
      </c>
      <c r="AB1745" s="6" t="s">
        <v>104</v>
      </c>
      <c r="AC1745" s="6" t="s">
        <v>9714</v>
      </c>
      <c r="AD1745" s="16" t="n">
        <v>45615</v>
      </c>
      <c r="AE1745" s="6" t="s">
        <v>12044</v>
      </c>
      <c r="AF1745" s="6" t="s">
        <v>104</v>
      </c>
      <c r="AG1745" s="6" t="s">
        <v>6473</v>
      </c>
      <c r="AH1745" s="6" t="s">
        <v>14752</v>
      </c>
      <c r="AI1745" s="6" t="s">
        <v>104</v>
      </c>
      <c r="AJ1745" s="6" t="s">
        <v>16431</v>
      </c>
      <c r="AK1745" s="6" t="s">
        <v>16826</v>
      </c>
      <c r="AL1745" s="6" t="s">
        <v>16934</v>
      </c>
      <c r="AM1745" s="6" t="s">
        <v>18148</v>
      </c>
      <c r="AN1745" s="6" t="s">
        <v>104</v>
      </c>
      <c r="AO1745" s="6" t="s">
        <v>104</v>
      </c>
      <c r="AP1745" s="6" t="s">
        <v>14752</v>
      </c>
      <c r="AQ1745" s="6" t="s">
        <v>104</v>
      </c>
      <c r="AR1745" s="6" t="s">
        <v>16431</v>
      </c>
      <c r="AS1745" s="6" t="s">
        <v>16826</v>
      </c>
      <c r="AT1745" s="6" t="s">
        <v>16934</v>
      </c>
      <c r="AU1745" s="6" t="s">
        <v>18148</v>
      </c>
      <c r="AV1745" s="6" t="s">
        <v>104</v>
      </c>
      <c r="AW1745" s="6" t="s">
        <v>104</v>
      </c>
      <c r="AX1745" s="6" t="s">
        <v>21477</v>
      </c>
      <c r="AY1745" s="6" t="s">
        <v>23284</v>
      </c>
      <c r="AZ1745" s="6" t="s">
        <v>104</v>
      </c>
      <c r="BA1745" s="6" t="s">
        <v>24476</v>
      </c>
      <c r="BB1745" s="24" t="n">
        <v>0</v>
      </c>
      <c r="BC1745" s="26"/>
      <c r="BD1745" s="26"/>
      <c r="BE1745" s="26"/>
      <c r="BF1745" s="26"/>
      <c r="BG1745" s="26"/>
      <c r="BH1745" s="26"/>
      <c r="BI1745" s="26"/>
      <c r="BJ1745" s="26"/>
      <c r="BK1745" s="26"/>
      <c r="BL1745" s="26"/>
      <c r="BM1745" s="26"/>
      <c r="BN1745" s="26"/>
      <c r="BO1745" s="26"/>
      <c r="BP1745" s="16" t="n">
        <v>45630</v>
      </c>
      <c r="BQ1745" s="28" t="str">
        <f>HYPERLINK("https://organic.ams.usda.gov/Integrity/Certificate.aspx?cid=7&amp;nopid=3950001276")</f>
        <v>https://organic.ams.usda.gov/Integrity/Certificate.aspx?cid=7&amp;nopid=3950001276</v>
      </c>
    </row>
    <row r="1746">
      <c r="A1746" t="s">
        <v>3</v>
      </c>
      <c r="B1746" s="6" t="s">
        <v>57</v>
      </c>
      <c r="C1746" s="6" t="s">
        <v>123</v>
      </c>
      <c r="D1746" s="6" t="s">
        <v>187</v>
      </c>
      <c r="E1746" s="10" t="s">
        <v>1944</v>
      </c>
      <c r="F1746" s="6" t="s">
        <v>4169</v>
      </c>
      <c r="G1746" s="6" t="s">
        <v>104</v>
      </c>
      <c r="H1746" s="6" t="s">
        <v>6474</v>
      </c>
      <c r="I1746" s="6" t="s">
        <v>6949</v>
      </c>
      <c r="J1746" s="6" t="s">
        <v>9393</v>
      </c>
      <c r="K1746" s="6" t="s">
        <v>9714</v>
      </c>
      <c r="L1746" s="16" t="n">
        <v>38588</v>
      </c>
      <c r="M1746" s="16" t="n">
        <v>45809</v>
      </c>
      <c r="N1746" s="6" t="s">
        <v>9714</v>
      </c>
      <c r="O1746" s="16" t="n">
        <v>38588</v>
      </c>
      <c r="P1746" s="6" t="s">
        <v>10184</v>
      </c>
      <c r="Q1746" s="6" t="s">
        <v>104</v>
      </c>
      <c r="R1746" s="6" t="s">
        <v>104</v>
      </c>
      <c r="S1746" s="6" t="s">
        <v>104</v>
      </c>
      <c r="T1746" s="21" t="s">
        <v>104</v>
      </c>
      <c r="U1746" s="6" t="s">
        <v>104</v>
      </c>
      <c r="V1746" s="6" t="s">
        <v>104</v>
      </c>
      <c r="W1746" s="6" t="s">
        <v>104</v>
      </c>
      <c r="X1746" s="6" t="s">
        <v>104</v>
      </c>
      <c r="Y1746" s="21" t="s">
        <v>104</v>
      </c>
      <c r="Z1746" s="6" t="s">
        <v>104</v>
      </c>
      <c r="AA1746" s="6" t="s">
        <v>104</v>
      </c>
      <c r="AB1746" s="6" t="s">
        <v>104</v>
      </c>
      <c r="AC1746" s="6" t="s">
        <v>104</v>
      </c>
      <c r="AD1746" s="21" t="s">
        <v>104</v>
      </c>
      <c r="AE1746" s="6" t="s">
        <v>104</v>
      </c>
      <c r="AF1746" s="6" t="s">
        <v>104</v>
      </c>
      <c r="AG1746" s="6" t="s">
        <v>104</v>
      </c>
      <c r="AH1746" s="6" t="s">
        <v>14753</v>
      </c>
      <c r="AI1746" s="6" t="s">
        <v>104</v>
      </c>
      <c r="AJ1746" s="6" t="s">
        <v>15942</v>
      </c>
      <c r="AK1746" s="6" t="s">
        <v>16730</v>
      </c>
      <c r="AL1746" s="6" t="s">
        <v>16931</v>
      </c>
      <c r="AM1746" s="6" t="s">
        <v>17578</v>
      </c>
      <c r="AN1746" s="6" t="s">
        <v>18477</v>
      </c>
      <c r="AO1746" s="6" t="s">
        <v>18710</v>
      </c>
      <c r="AP1746" s="6" t="s">
        <v>19416</v>
      </c>
      <c r="AQ1746" s="6" t="s">
        <v>104</v>
      </c>
      <c r="AR1746" s="6" t="s">
        <v>15490</v>
      </c>
      <c r="AS1746" s="6" t="s">
        <v>16730</v>
      </c>
      <c r="AT1746" s="6" t="s">
        <v>16931</v>
      </c>
      <c r="AU1746" s="6" t="s">
        <v>17752</v>
      </c>
      <c r="AV1746" s="6" t="s">
        <v>104</v>
      </c>
      <c r="AW1746" s="6" t="s">
        <v>104</v>
      </c>
      <c r="AX1746" s="6" t="s">
        <v>21478</v>
      </c>
      <c r="AY1746" s="6" t="s">
        <v>23285</v>
      </c>
      <c r="AZ1746" s="6" t="s">
        <v>104</v>
      </c>
      <c r="BA1746" s="6" t="s">
        <v>24477</v>
      </c>
      <c r="BB1746" s="24" t="n">
        <v>3935</v>
      </c>
      <c r="BC1746" s="26"/>
      <c r="BD1746" s="26"/>
      <c r="BE1746" s="26"/>
      <c r="BF1746" s="26"/>
      <c r="BG1746" s="26"/>
      <c r="BH1746" s="26"/>
      <c r="BI1746" s="26"/>
      <c r="BJ1746" s="26"/>
      <c r="BK1746" s="26"/>
      <c r="BL1746" s="26"/>
      <c r="BM1746" s="26"/>
      <c r="BN1746" s="26"/>
      <c r="BO1746" s="26"/>
      <c r="BP1746" s="16" t="n">
        <v>45735</v>
      </c>
      <c r="BQ1746" s="28" t="str">
        <f>HYPERLINK("https://organic.ams.usda.gov/Integrity/Certificate.aspx?cid=19&amp;nopid=6350000208")</f>
        <v>https://organic.ams.usda.gov/Integrity/Certificate.aspx?cid=19&amp;nopid=6350000208</v>
      </c>
    </row>
    <row r="1747">
      <c r="A1747" t="s">
        <v>3</v>
      </c>
      <c r="B1747" s="6" t="s">
        <v>17</v>
      </c>
      <c r="C1747" s="6" t="s">
        <v>83</v>
      </c>
      <c r="D1747" s="6" t="s">
        <v>148</v>
      </c>
      <c r="E1747" s="10" t="s">
        <v>1945</v>
      </c>
      <c r="F1747" s="6" t="s">
        <v>4170</v>
      </c>
      <c r="G1747" s="6" t="s">
        <v>104</v>
      </c>
      <c r="H1747" s="6" t="s">
        <v>6475</v>
      </c>
      <c r="I1747" s="6" t="s">
        <v>7138</v>
      </c>
      <c r="J1747" s="6" t="s">
        <v>9394</v>
      </c>
      <c r="K1747" s="6" t="s">
        <v>9714</v>
      </c>
      <c r="L1747" s="16" t="n">
        <v>42686</v>
      </c>
      <c r="M1747" s="16" t="n">
        <v>45931</v>
      </c>
      <c r="N1747" s="6" t="s">
        <v>104</v>
      </c>
      <c r="O1747" s="21" t="s">
        <v>104</v>
      </c>
      <c r="P1747" s="6" t="s">
        <v>104</v>
      </c>
      <c r="Q1747" s="6" t="s">
        <v>104</v>
      </c>
      <c r="R1747" s="6" t="s">
        <v>104</v>
      </c>
      <c r="S1747" s="6" t="s">
        <v>104</v>
      </c>
      <c r="T1747" s="21" t="s">
        <v>104</v>
      </c>
      <c r="U1747" s="6" t="s">
        <v>104</v>
      </c>
      <c r="V1747" s="6" t="s">
        <v>104</v>
      </c>
      <c r="W1747" s="6" t="s">
        <v>104</v>
      </c>
      <c r="X1747" s="6" t="s">
        <v>104</v>
      </c>
      <c r="Y1747" s="21" t="s">
        <v>104</v>
      </c>
      <c r="Z1747" s="6" t="s">
        <v>104</v>
      </c>
      <c r="AA1747" s="6" t="s">
        <v>104</v>
      </c>
      <c r="AB1747" s="6" t="s">
        <v>104</v>
      </c>
      <c r="AC1747" s="6" t="s">
        <v>9714</v>
      </c>
      <c r="AD1747" s="16" t="n">
        <v>42685</v>
      </c>
      <c r="AE1747" s="6" t="s">
        <v>12045</v>
      </c>
      <c r="AF1747" s="6" t="s">
        <v>104</v>
      </c>
      <c r="AG1747" s="6" t="s">
        <v>104</v>
      </c>
      <c r="AH1747" s="6" t="s">
        <v>14754</v>
      </c>
      <c r="AI1747" s="6" t="s">
        <v>104</v>
      </c>
      <c r="AJ1747" s="6" t="s">
        <v>15663</v>
      </c>
      <c r="AK1747" s="6" t="s">
        <v>16680</v>
      </c>
      <c r="AL1747" s="6" t="s">
        <v>16931</v>
      </c>
      <c r="AM1747" s="6" t="s">
        <v>17280</v>
      </c>
      <c r="AN1747" s="6" t="s">
        <v>104</v>
      </c>
      <c r="AO1747" s="6" t="s">
        <v>104</v>
      </c>
      <c r="AP1747" s="6" t="s">
        <v>14754</v>
      </c>
      <c r="AQ1747" s="6" t="s">
        <v>104</v>
      </c>
      <c r="AR1747" s="6" t="s">
        <v>15663</v>
      </c>
      <c r="AS1747" s="6" t="s">
        <v>16680</v>
      </c>
      <c r="AT1747" s="6" t="s">
        <v>16931</v>
      </c>
      <c r="AU1747" s="6" t="s">
        <v>17280</v>
      </c>
      <c r="AV1747" s="6" t="s">
        <v>18468</v>
      </c>
      <c r="AW1747" s="6" t="s">
        <v>18708</v>
      </c>
      <c r="AX1747" s="6" t="s">
        <v>21479</v>
      </c>
      <c r="AY1747" s="6" t="s">
        <v>23286</v>
      </c>
      <c r="AZ1747" s="6" t="s">
        <v>104</v>
      </c>
      <c r="BA1747" s="6" t="s">
        <v>104</v>
      </c>
      <c r="BB1747" s="24" t="n">
        <v>0</v>
      </c>
      <c r="BC1747" s="26"/>
      <c r="BD1747" s="26"/>
      <c r="BE1747" s="26"/>
      <c r="BF1747" s="26"/>
      <c r="BG1747" s="26"/>
      <c r="BH1747" s="26"/>
      <c r="BI1747" s="26"/>
      <c r="BJ1747" s="26"/>
      <c r="BK1747" s="26"/>
      <c r="BL1747" s="26"/>
      <c r="BM1747" s="26"/>
      <c r="BN1747" s="26"/>
      <c r="BO1747" s="26"/>
      <c r="BP1747" s="16" t="n">
        <v>45706</v>
      </c>
      <c r="BQ1747" s="28" t="str">
        <f>HYPERLINK("https://organic.ams.usda.gov/Integrity/Certificate.aspx?cid=51&amp;nopid=8240111216")</f>
        <v>https://organic.ams.usda.gov/Integrity/Certificate.aspx?cid=51&amp;nopid=8240111216</v>
      </c>
    </row>
    <row r="1748">
      <c r="A1748" t="s">
        <v>3</v>
      </c>
      <c r="B1748" s="6" t="s">
        <v>54</v>
      </c>
      <c r="C1748" s="6" t="s">
        <v>120</v>
      </c>
      <c r="D1748" s="6" t="s">
        <v>184</v>
      </c>
      <c r="E1748" s="10" t="s">
        <v>1946</v>
      </c>
      <c r="F1748" s="6" t="s">
        <v>4171</v>
      </c>
      <c r="G1748" s="6" t="s">
        <v>104</v>
      </c>
      <c r="H1748" s="6" t="s">
        <v>6476</v>
      </c>
      <c r="I1748" s="6" t="s">
        <v>7912</v>
      </c>
      <c r="J1748" s="6" t="s">
        <v>9322</v>
      </c>
      <c r="K1748" s="6" t="s">
        <v>9714</v>
      </c>
      <c r="L1748" s="16" t="n">
        <v>44370</v>
      </c>
      <c r="M1748" s="16" t="n">
        <v>45717</v>
      </c>
      <c r="N1748" s="6" t="s">
        <v>9714</v>
      </c>
      <c r="O1748" s="16" t="n">
        <v>44370</v>
      </c>
      <c r="P1748" s="6" t="s">
        <v>9898</v>
      </c>
      <c r="Q1748" s="6" t="s">
        <v>104</v>
      </c>
      <c r="R1748" s="6" t="s">
        <v>104</v>
      </c>
      <c r="S1748" s="6" t="s">
        <v>104</v>
      </c>
      <c r="T1748" s="21" t="s">
        <v>104</v>
      </c>
      <c r="U1748" s="6" t="s">
        <v>104</v>
      </c>
      <c r="V1748" s="6" t="s">
        <v>104</v>
      </c>
      <c r="W1748" s="6" t="s">
        <v>104</v>
      </c>
      <c r="X1748" s="6" t="s">
        <v>104</v>
      </c>
      <c r="Y1748" s="21" t="s">
        <v>104</v>
      </c>
      <c r="Z1748" s="6" t="s">
        <v>104</v>
      </c>
      <c r="AA1748" s="6" t="s">
        <v>104</v>
      </c>
      <c r="AB1748" s="6" t="s">
        <v>104</v>
      </c>
      <c r="AC1748" s="6" t="s">
        <v>104</v>
      </c>
      <c r="AD1748" s="21" t="s">
        <v>104</v>
      </c>
      <c r="AE1748" s="6" t="s">
        <v>104</v>
      </c>
      <c r="AF1748" s="6" t="s">
        <v>104</v>
      </c>
      <c r="AG1748" s="6" t="s">
        <v>104</v>
      </c>
      <c r="AH1748" s="6" t="s">
        <v>14755</v>
      </c>
      <c r="AI1748" s="6" t="s">
        <v>104</v>
      </c>
      <c r="AJ1748" s="6" t="s">
        <v>16118</v>
      </c>
      <c r="AK1748" s="6" t="s">
        <v>16743</v>
      </c>
      <c r="AL1748" s="6" t="s">
        <v>16931</v>
      </c>
      <c r="AM1748" s="6" t="s">
        <v>17769</v>
      </c>
      <c r="AN1748" s="6" t="s">
        <v>5759</v>
      </c>
      <c r="AO1748" s="6" t="s">
        <v>18624</v>
      </c>
      <c r="AP1748" s="6" t="s">
        <v>104</v>
      </c>
      <c r="AQ1748" s="6" t="s">
        <v>104</v>
      </c>
      <c r="AR1748" s="6" t="s">
        <v>104</v>
      </c>
      <c r="AS1748" s="6" t="s">
        <v>104</v>
      </c>
      <c r="AT1748" s="6" t="s">
        <v>104</v>
      </c>
      <c r="AU1748" s="6" t="s">
        <v>104</v>
      </c>
      <c r="AV1748" s="6" t="s">
        <v>104</v>
      </c>
      <c r="AW1748" s="6" t="s">
        <v>104</v>
      </c>
      <c r="AX1748" s="6" t="s">
        <v>104</v>
      </c>
      <c r="AY1748" s="6" t="s">
        <v>23287</v>
      </c>
      <c r="AZ1748" s="6" t="s">
        <v>104</v>
      </c>
      <c r="BA1748" s="6" t="s">
        <v>24267</v>
      </c>
      <c r="BB1748" s="24" t="n">
        <v>214</v>
      </c>
      <c r="BC1748" s="26"/>
      <c r="BD1748" s="26"/>
      <c r="BE1748" s="26"/>
      <c r="BF1748" s="26"/>
      <c r="BG1748" s="26"/>
      <c r="BH1748" s="26"/>
      <c r="BI1748" s="26"/>
      <c r="BJ1748" s="26"/>
      <c r="BK1748" s="26"/>
      <c r="BL1748" s="26"/>
      <c r="BM1748" s="26"/>
      <c r="BN1748" s="26"/>
      <c r="BO1748" s="26"/>
      <c r="BP1748" s="16" t="n">
        <v>45593</v>
      </c>
      <c r="BQ1748" s="28" t="str">
        <f>HYPERLINK("https://organic.ams.usda.gov/Integrity/Certificate.aspx?cid=60&amp;nopid=2580004142")</f>
        <v>https://organic.ams.usda.gov/Integrity/Certificate.aspx?cid=60&amp;nopid=2580004142</v>
      </c>
    </row>
    <row r="1749">
      <c r="A1749" t="s">
        <v>3</v>
      </c>
      <c r="B1749" s="6" t="s">
        <v>61</v>
      </c>
      <c r="C1749" s="6" t="s">
        <v>127</v>
      </c>
      <c r="D1749" s="6" t="s">
        <v>191</v>
      </c>
      <c r="E1749" s="10" t="s">
        <v>1947</v>
      </c>
      <c r="F1749" s="6" t="s">
        <v>4172</v>
      </c>
      <c r="G1749" s="6" t="s">
        <v>4845</v>
      </c>
      <c r="H1749" s="6" t="s">
        <v>6477</v>
      </c>
      <c r="I1749" s="6" t="s">
        <v>7415</v>
      </c>
      <c r="J1749" s="6" t="s">
        <v>8371</v>
      </c>
      <c r="K1749" s="6" t="s">
        <v>9714</v>
      </c>
      <c r="L1749" s="16" t="n">
        <v>45470</v>
      </c>
      <c r="M1749" s="16" t="n">
        <v>45808</v>
      </c>
      <c r="N1749" s="6" t="s">
        <v>9714</v>
      </c>
      <c r="O1749" s="16" t="n">
        <v>45470</v>
      </c>
      <c r="P1749" s="6" t="s">
        <v>10185</v>
      </c>
      <c r="Q1749" s="6" t="s">
        <v>104</v>
      </c>
      <c r="R1749" s="6" t="s">
        <v>6477</v>
      </c>
      <c r="S1749" s="6" t="s">
        <v>104</v>
      </c>
      <c r="T1749" s="21" t="s">
        <v>104</v>
      </c>
      <c r="U1749" s="6" t="s">
        <v>104</v>
      </c>
      <c r="V1749" s="6" t="s">
        <v>104</v>
      </c>
      <c r="W1749" s="6" t="s">
        <v>104</v>
      </c>
      <c r="X1749" s="6" t="s">
        <v>104</v>
      </c>
      <c r="Y1749" s="21" t="s">
        <v>104</v>
      </c>
      <c r="Z1749" s="6" t="s">
        <v>104</v>
      </c>
      <c r="AA1749" s="6" t="s">
        <v>104</v>
      </c>
      <c r="AB1749" s="6" t="s">
        <v>104</v>
      </c>
      <c r="AC1749" s="6" t="s">
        <v>104</v>
      </c>
      <c r="AD1749" s="21" t="s">
        <v>104</v>
      </c>
      <c r="AE1749" s="6" t="s">
        <v>104</v>
      </c>
      <c r="AF1749" s="6" t="s">
        <v>104</v>
      </c>
      <c r="AG1749" s="6" t="s">
        <v>104</v>
      </c>
      <c r="AH1749" s="6" t="s">
        <v>14756</v>
      </c>
      <c r="AI1749" s="6" t="s">
        <v>104</v>
      </c>
      <c r="AJ1749" s="6" t="s">
        <v>16432</v>
      </c>
      <c r="AK1749" s="6" t="s">
        <v>16687</v>
      </c>
      <c r="AL1749" s="6" t="s">
        <v>16931</v>
      </c>
      <c r="AM1749" s="6" t="s">
        <v>18149</v>
      </c>
      <c r="AN1749" s="6" t="s">
        <v>104</v>
      </c>
      <c r="AO1749" s="6" t="s">
        <v>104</v>
      </c>
      <c r="AP1749" s="6" t="s">
        <v>14756</v>
      </c>
      <c r="AQ1749" s="6" t="s">
        <v>104</v>
      </c>
      <c r="AR1749" s="6" t="s">
        <v>16432</v>
      </c>
      <c r="AS1749" s="6" t="s">
        <v>16687</v>
      </c>
      <c r="AT1749" s="6" t="s">
        <v>16931</v>
      </c>
      <c r="AU1749" s="6" t="s">
        <v>18149</v>
      </c>
      <c r="AV1749" s="6" t="s">
        <v>104</v>
      </c>
      <c r="AW1749" s="6" t="s">
        <v>104</v>
      </c>
      <c r="AX1749" s="6" t="s">
        <v>21480</v>
      </c>
      <c r="AY1749" s="6" t="s">
        <v>23288</v>
      </c>
      <c r="AZ1749" s="6" t="s">
        <v>24133</v>
      </c>
      <c r="BA1749" s="6" t="s">
        <v>104</v>
      </c>
      <c r="BB1749" s="24" t="n">
        <v>710</v>
      </c>
      <c r="BC1749" s="26"/>
      <c r="BD1749" s="26"/>
      <c r="BE1749" s="26"/>
      <c r="BF1749" s="26"/>
      <c r="BG1749" s="26"/>
      <c r="BH1749" s="26"/>
      <c r="BI1749" s="26"/>
      <c r="BJ1749" s="26"/>
      <c r="BK1749" s="26"/>
      <c r="BL1749" s="26"/>
      <c r="BM1749" s="26"/>
      <c r="BN1749" s="26"/>
      <c r="BO1749" s="26"/>
      <c r="BP1749" s="16" t="n">
        <v>45722</v>
      </c>
      <c r="BQ1749" s="28" t="str">
        <f>HYPERLINK("https://organic.ams.usda.gov/Integrity/Certificate.aspx?cid=83&amp;nopid=4930000120")</f>
        <v>https://organic.ams.usda.gov/Integrity/Certificate.aspx?cid=83&amp;nopid=4930000120</v>
      </c>
    </row>
    <row r="1750">
      <c r="A1750" t="s">
        <v>3</v>
      </c>
      <c r="B1750" s="6" t="s">
        <v>55</v>
      </c>
      <c r="C1750" s="6" t="s">
        <v>121</v>
      </c>
      <c r="D1750" s="6" t="s">
        <v>185</v>
      </c>
      <c r="E1750" s="10" t="s">
        <v>1948</v>
      </c>
      <c r="F1750" s="6" t="s">
        <v>4173</v>
      </c>
      <c r="G1750" s="6" t="s">
        <v>104</v>
      </c>
      <c r="H1750" s="6" t="s">
        <v>6478</v>
      </c>
      <c r="I1750" s="6" t="s">
        <v>7913</v>
      </c>
      <c r="J1750" s="6" t="s">
        <v>8284</v>
      </c>
      <c r="K1750" s="6" t="s">
        <v>9714</v>
      </c>
      <c r="L1750" s="16" t="n">
        <v>44137</v>
      </c>
      <c r="M1750" s="16" t="n">
        <v>45537</v>
      </c>
      <c r="N1750" s="6" t="s">
        <v>104</v>
      </c>
      <c r="O1750" s="21" t="s">
        <v>104</v>
      </c>
      <c r="P1750" s="6" t="s">
        <v>104</v>
      </c>
      <c r="Q1750" s="6" t="s">
        <v>104</v>
      </c>
      <c r="R1750" s="6" t="s">
        <v>104</v>
      </c>
      <c r="S1750" s="6" t="s">
        <v>104</v>
      </c>
      <c r="T1750" s="21" t="s">
        <v>104</v>
      </c>
      <c r="U1750" s="6" t="s">
        <v>104</v>
      </c>
      <c r="V1750" s="6" t="s">
        <v>104</v>
      </c>
      <c r="W1750" s="6" t="s">
        <v>104</v>
      </c>
      <c r="X1750" s="6" t="s">
        <v>104</v>
      </c>
      <c r="Y1750" s="21" t="s">
        <v>104</v>
      </c>
      <c r="Z1750" s="6" t="s">
        <v>104</v>
      </c>
      <c r="AA1750" s="6" t="s">
        <v>104</v>
      </c>
      <c r="AB1750" s="6" t="s">
        <v>104</v>
      </c>
      <c r="AC1750" s="6" t="s">
        <v>9714</v>
      </c>
      <c r="AD1750" s="16" t="n">
        <v>44137</v>
      </c>
      <c r="AE1750" s="6" t="s">
        <v>12046</v>
      </c>
      <c r="AF1750" s="6" t="s">
        <v>104</v>
      </c>
      <c r="AG1750" s="6" t="s">
        <v>6478</v>
      </c>
      <c r="AH1750" s="6" t="s">
        <v>14757</v>
      </c>
      <c r="AI1750" s="6" t="s">
        <v>104</v>
      </c>
      <c r="AJ1750" s="6" t="s">
        <v>15362</v>
      </c>
      <c r="AK1750" s="6" t="s">
        <v>16687</v>
      </c>
      <c r="AL1750" s="6" t="s">
        <v>16931</v>
      </c>
      <c r="AM1750" s="6" t="s">
        <v>17068</v>
      </c>
      <c r="AN1750" s="6" t="s">
        <v>18476</v>
      </c>
      <c r="AO1750" s="6" t="s">
        <v>18585</v>
      </c>
      <c r="AP1750" s="6" t="s">
        <v>19417</v>
      </c>
      <c r="AQ1750" s="6" t="s">
        <v>19576</v>
      </c>
      <c r="AR1750" s="6" t="s">
        <v>15948</v>
      </c>
      <c r="AS1750" s="6" t="s">
        <v>16684</v>
      </c>
      <c r="AT1750" s="6" t="s">
        <v>16931</v>
      </c>
      <c r="AU1750" s="6" t="s">
        <v>20024</v>
      </c>
      <c r="AV1750" s="6" t="s">
        <v>104</v>
      </c>
      <c r="AW1750" s="6" t="s">
        <v>104</v>
      </c>
      <c r="AX1750" s="6" t="s">
        <v>21481</v>
      </c>
      <c r="AY1750" s="6" t="s">
        <v>23289</v>
      </c>
      <c r="AZ1750" s="6" t="s">
        <v>24134</v>
      </c>
      <c r="BA1750" s="6" t="s">
        <v>104</v>
      </c>
      <c r="BB1750" s="6" t="s">
        <v>104</v>
      </c>
      <c r="BC1750" s="26"/>
      <c r="BD1750" s="26"/>
      <c r="BE1750" s="26"/>
      <c r="BF1750" s="26"/>
      <c r="BG1750" s="26"/>
      <c r="BH1750" s="26"/>
      <c r="BI1750" s="26"/>
      <c r="BJ1750" s="26"/>
      <c r="BK1750" s="26"/>
      <c r="BL1750" s="26"/>
      <c r="BM1750" s="26"/>
      <c r="BN1750" s="26" t="s">
        <v>24533</v>
      </c>
      <c r="BO1750" s="26"/>
      <c r="BP1750" s="16" t="n">
        <v>45442</v>
      </c>
      <c r="BQ1750" s="28" t="str">
        <f>HYPERLINK("https://organic.ams.usda.gov/Integrity/Certificate.aspx?cid=70&amp;nopid=6436070000")</f>
        <v>https://organic.ams.usda.gov/Integrity/Certificate.aspx?cid=70&amp;nopid=6436070000</v>
      </c>
    </row>
    <row r="1751">
      <c r="A1751" t="s">
        <v>3</v>
      </c>
      <c r="B1751" s="6" t="s">
        <v>34</v>
      </c>
      <c r="C1751" s="6" t="s">
        <v>100</v>
      </c>
      <c r="D1751" s="6" t="s">
        <v>165</v>
      </c>
      <c r="E1751" s="10" t="s">
        <v>1949</v>
      </c>
      <c r="F1751" s="6" t="s">
        <v>4174</v>
      </c>
      <c r="G1751" s="6" t="s">
        <v>104</v>
      </c>
      <c r="H1751" s="6" t="s">
        <v>6479</v>
      </c>
      <c r="I1751" s="6" t="s">
        <v>7914</v>
      </c>
      <c r="J1751" s="6" t="s">
        <v>9139</v>
      </c>
      <c r="K1751" s="6" t="s">
        <v>9714</v>
      </c>
      <c r="L1751" s="16" t="n">
        <v>37375</v>
      </c>
      <c r="M1751" s="16" t="n">
        <v>45908</v>
      </c>
      <c r="N1751" s="6" t="s">
        <v>104</v>
      </c>
      <c r="O1751" s="21" t="s">
        <v>104</v>
      </c>
      <c r="P1751" s="6" t="s">
        <v>104</v>
      </c>
      <c r="Q1751" s="6" t="s">
        <v>104</v>
      </c>
      <c r="R1751" s="6" t="s">
        <v>104</v>
      </c>
      <c r="S1751" s="6" t="s">
        <v>104</v>
      </c>
      <c r="T1751" s="21" t="s">
        <v>104</v>
      </c>
      <c r="U1751" s="6" t="s">
        <v>104</v>
      </c>
      <c r="V1751" s="6" t="s">
        <v>104</v>
      </c>
      <c r="W1751" s="6" t="s">
        <v>104</v>
      </c>
      <c r="X1751" s="6" t="s">
        <v>104</v>
      </c>
      <c r="Y1751" s="21" t="s">
        <v>104</v>
      </c>
      <c r="Z1751" s="6" t="s">
        <v>104</v>
      </c>
      <c r="AA1751" s="6" t="s">
        <v>104</v>
      </c>
      <c r="AB1751" s="6" t="s">
        <v>104</v>
      </c>
      <c r="AC1751" s="6" t="s">
        <v>9714</v>
      </c>
      <c r="AD1751" s="16" t="n">
        <v>37375</v>
      </c>
      <c r="AE1751" s="6" t="s">
        <v>12047</v>
      </c>
      <c r="AF1751" s="6" t="s">
        <v>104</v>
      </c>
      <c r="AG1751" s="6" t="s">
        <v>13022</v>
      </c>
      <c r="AH1751" s="6" t="s">
        <v>14758</v>
      </c>
      <c r="AI1751" s="6" t="s">
        <v>15263</v>
      </c>
      <c r="AJ1751" s="6" t="s">
        <v>16020</v>
      </c>
      <c r="AK1751" s="6" t="s">
        <v>16730</v>
      </c>
      <c r="AL1751" s="6" t="s">
        <v>16931</v>
      </c>
      <c r="AM1751" s="6" t="s">
        <v>17656</v>
      </c>
      <c r="AN1751" s="6" t="s">
        <v>18463</v>
      </c>
      <c r="AO1751" s="6" t="s">
        <v>18596</v>
      </c>
      <c r="AP1751" s="6" t="s">
        <v>14758</v>
      </c>
      <c r="AQ1751" s="6" t="s">
        <v>15263</v>
      </c>
      <c r="AR1751" s="6" t="s">
        <v>16020</v>
      </c>
      <c r="AS1751" s="6" t="s">
        <v>16730</v>
      </c>
      <c r="AT1751" s="6" t="s">
        <v>16931</v>
      </c>
      <c r="AU1751" s="6" t="s">
        <v>17656</v>
      </c>
      <c r="AV1751" s="6" t="s">
        <v>104</v>
      </c>
      <c r="AW1751" s="6" t="s">
        <v>104</v>
      </c>
      <c r="AX1751" s="6" t="s">
        <v>20259</v>
      </c>
      <c r="AY1751" s="6" t="s">
        <v>23290</v>
      </c>
      <c r="AZ1751" s="6" t="s">
        <v>104</v>
      </c>
      <c r="BA1751" s="6" t="s">
        <v>104</v>
      </c>
      <c r="BB1751" s="6" t="s">
        <v>104</v>
      </c>
      <c r="BC1751" s="26"/>
      <c r="BD1751" s="26"/>
      <c r="BE1751" s="26"/>
      <c r="BF1751" s="26"/>
      <c r="BG1751" s="26" t="s">
        <v>24533</v>
      </c>
      <c r="BH1751" s="26"/>
      <c r="BI1751" s="26"/>
      <c r="BJ1751" s="26"/>
      <c r="BK1751" s="26"/>
      <c r="BL1751" s="26"/>
      <c r="BM1751" s="26"/>
      <c r="BN1751" s="26"/>
      <c r="BO1751" s="26"/>
      <c r="BP1751" s="16" t="n">
        <v>45737</v>
      </c>
      <c r="BQ1751" s="28" t="str">
        <f>HYPERLINK("https://organic.ams.usda.gov/Integrity/Certificate.aspx?cid=71&amp;nopid=5520566919")</f>
        <v>https://organic.ams.usda.gov/Integrity/Certificate.aspx?cid=71&amp;nopid=5520566919</v>
      </c>
    </row>
    <row r="1752">
      <c r="A1752" t="s">
        <v>3</v>
      </c>
      <c r="B1752" s="6" t="s">
        <v>54</v>
      </c>
      <c r="C1752" s="6" t="s">
        <v>120</v>
      </c>
      <c r="D1752" s="6" t="s">
        <v>184</v>
      </c>
      <c r="E1752" s="10" t="s">
        <v>1950</v>
      </c>
      <c r="F1752" s="6" t="s">
        <v>4175</v>
      </c>
      <c r="G1752" s="6" t="s">
        <v>104</v>
      </c>
      <c r="H1752" s="6" t="s">
        <v>6480</v>
      </c>
      <c r="I1752" s="6" t="s">
        <v>7915</v>
      </c>
      <c r="J1752" s="6" t="s">
        <v>8391</v>
      </c>
      <c r="K1752" s="6" t="s">
        <v>9714</v>
      </c>
      <c r="L1752" s="16" t="n">
        <v>44027</v>
      </c>
      <c r="M1752" s="16" t="n">
        <v>45717</v>
      </c>
      <c r="N1752" s="6" t="s">
        <v>9714</v>
      </c>
      <c r="O1752" s="16" t="n">
        <v>44027</v>
      </c>
      <c r="P1752" s="6" t="s">
        <v>10186</v>
      </c>
      <c r="Q1752" s="6" t="s">
        <v>104</v>
      </c>
      <c r="R1752" s="6" t="s">
        <v>104</v>
      </c>
      <c r="S1752" s="6" t="s">
        <v>104</v>
      </c>
      <c r="T1752" s="21" t="s">
        <v>104</v>
      </c>
      <c r="U1752" s="6" t="s">
        <v>104</v>
      </c>
      <c r="V1752" s="6" t="s">
        <v>104</v>
      </c>
      <c r="W1752" s="6" t="s">
        <v>104</v>
      </c>
      <c r="X1752" s="6" t="s">
        <v>104</v>
      </c>
      <c r="Y1752" s="21" t="s">
        <v>104</v>
      </c>
      <c r="Z1752" s="6" t="s">
        <v>104</v>
      </c>
      <c r="AA1752" s="6" t="s">
        <v>104</v>
      </c>
      <c r="AB1752" s="6" t="s">
        <v>104</v>
      </c>
      <c r="AC1752" s="6" t="s">
        <v>104</v>
      </c>
      <c r="AD1752" s="21" t="s">
        <v>104</v>
      </c>
      <c r="AE1752" s="6" t="s">
        <v>104</v>
      </c>
      <c r="AF1752" s="6" t="s">
        <v>104</v>
      </c>
      <c r="AG1752" s="6" t="s">
        <v>104</v>
      </c>
      <c r="AH1752" s="6" t="s">
        <v>14759</v>
      </c>
      <c r="AI1752" s="6" t="s">
        <v>104</v>
      </c>
      <c r="AJ1752" s="6" t="s">
        <v>9434</v>
      </c>
      <c r="AK1752" s="6" t="s">
        <v>16743</v>
      </c>
      <c r="AL1752" s="6" t="s">
        <v>16931</v>
      </c>
      <c r="AM1752" s="6" t="s">
        <v>17220</v>
      </c>
      <c r="AN1752" s="6" t="s">
        <v>18489</v>
      </c>
      <c r="AO1752" s="6" t="s">
        <v>18884</v>
      </c>
      <c r="AP1752" s="6" t="s">
        <v>104</v>
      </c>
      <c r="AQ1752" s="6" t="s">
        <v>104</v>
      </c>
      <c r="AR1752" s="6" t="s">
        <v>104</v>
      </c>
      <c r="AS1752" s="6" t="s">
        <v>104</v>
      </c>
      <c r="AT1752" s="6" t="s">
        <v>104</v>
      </c>
      <c r="AU1752" s="6" t="s">
        <v>104</v>
      </c>
      <c r="AV1752" s="6" t="s">
        <v>104</v>
      </c>
      <c r="AW1752" s="6" t="s">
        <v>104</v>
      </c>
      <c r="AX1752" s="6" t="s">
        <v>21482</v>
      </c>
      <c r="AY1752" s="6" t="s">
        <v>23291</v>
      </c>
      <c r="AZ1752" s="6" t="s">
        <v>104</v>
      </c>
      <c r="BA1752" s="6" t="s">
        <v>24267</v>
      </c>
      <c r="BB1752" s="24" t="n">
        <v>637</v>
      </c>
      <c r="BC1752" s="26"/>
      <c r="BD1752" s="26"/>
      <c r="BE1752" s="26"/>
      <c r="BF1752" s="26"/>
      <c r="BG1752" s="26"/>
      <c r="BH1752" s="26"/>
      <c r="BI1752" s="26"/>
      <c r="BJ1752" s="26"/>
      <c r="BK1752" s="26"/>
      <c r="BL1752" s="26"/>
      <c r="BM1752" s="26"/>
      <c r="BN1752" s="26"/>
      <c r="BO1752" s="26"/>
      <c r="BP1752" s="16" t="n">
        <v>45597</v>
      </c>
      <c r="BQ1752" s="28" t="str">
        <f>HYPERLINK("https://organic.ams.usda.gov/Integrity/Certificate.aspx?cid=60&amp;nopid=2580003803")</f>
        <v>https://organic.ams.usda.gov/Integrity/Certificate.aspx?cid=60&amp;nopid=2580003803</v>
      </c>
    </row>
    <row r="1753">
      <c r="A1753" t="s">
        <v>3</v>
      </c>
      <c r="B1753" s="6" t="s">
        <v>47</v>
      </c>
      <c r="C1753" s="6" t="s">
        <v>113</v>
      </c>
      <c r="D1753" s="6" t="s">
        <v>177</v>
      </c>
      <c r="E1753" s="10" t="s">
        <v>1951</v>
      </c>
      <c r="F1753" s="6" t="s">
        <v>4176</v>
      </c>
      <c r="G1753" s="6" t="s">
        <v>104</v>
      </c>
      <c r="H1753" s="6" t="s">
        <v>6481</v>
      </c>
      <c r="I1753" s="6" t="s">
        <v>7916</v>
      </c>
      <c r="J1753" s="6" t="s">
        <v>9395</v>
      </c>
      <c r="K1753" s="6" t="s">
        <v>9714</v>
      </c>
      <c r="L1753" s="16" t="n">
        <v>40765</v>
      </c>
      <c r="M1753" s="16" t="n">
        <v>45792</v>
      </c>
      <c r="N1753" s="6" t="s">
        <v>9714</v>
      </c>
      <c r="O1753" s="16" t="n">
        <v>40765</v>
      </c>
      <c r="P1753" s="6" t="s">
        <v>10187</v>
      </c>
      <c r="Q1753" s="6" t="s">
        <v>104</v>
      </c>
      <c r="R1753" s="6" t="s">
        <v>10423</v>
      </c>
      <c r="S1753" s="6" t="s">
        <v>104</v>
      </c>
      <c r="T1753" s="21" t="s">
        <v>104</v>
      </c>
      <c r="U1753" s="6" t="s">
        <v>104</v>
      </c>
      <c r="V1753" s="6" t="s">
        <v>104</v>
      </c>
      <c r="W1753" s="6" t="s">
        <v>104</v>
      </c>
      <c r="X1753" s="6" t="s">
        <v>104</v>
      </c>
      <c r="Y1753" s="21" t="s">
        <v>104</v>
      </c>
      <c r="Z1753" s="6" t="s">
        <v>104</v>
      </c>
      <c r="AA1753" s="6" t="s">
        <v>104</v>
      </c>
      <c r="AB1753" s="6" t="s">
        <v>104</v>
      </c>
      <c r="AC1753" s="6" t="s">
        <v>9714</v>
      </c>
      <c r="AD1753" s="16" t="n">
        <v>45671</v>
      </c>
      <c r="AE1753" s="6" t="s">
        <v>12048</v>
      </c>
      <c r="AF1753" s="6" t="s">
        <v>104</v>
      </c>
      <c r="AG1753" s="6" t="s">
        <v>10423</v>
      </c>
      <c r="AH1753" s="6" t="s">
        <v>14760</v>
      </c>
      <c r="AI1753" s="6" t="s">
        <v>104</v>
      </c>
      <c r="AJ1753" s="6" t="s">
        <v>16433</v>
      </c>
      <c r="AK1753" s="6" t="s">
        <v>16734</v>
      </c>
      <c r="AL1753" s="6" t="s">
        <v>16931</v>
      </c>
      <c r="AM1753" s="6" t="s">
        <v>18150</v>
      </c>
      <c r="AN1753" s="6" t="s">
        <v>18492</v>
      </c>
      <c r="AO1753" s="6" t="s">
        <v>18885</v>
      </c>
      <c r="AP1753" s="6" t="s">
        <v>14760</v>
      </c>
      <c r="AQ1753" s="6" t="s">
        <v>104</v>
      </c>
      <c r="AR1753" s="6" t="s">
        <v>16433</v>
      </c>
      <c r="AS1753" s="6" t="s">
        <v>16734</v>
      </c>
      <c r="AT1753" s="6" t="s">
        <v>16931</v>
      </c>
      <c r="AU1753" s="6" t="s">
        <v>18150</v>
      </c>
      <c r="AV1753" s="6" t="s">
        <v>104</v>
      </c>
      <c r="AW1753" s="6" t="s">
        <v>104</v>
      </c>
      <c r="AX1753" s="6" t="s">
        <v>21483</v>
      </c>
      <c r="AY1753" s="6" t="s">
        <v>23292</v>
      </c>
      <c r="AZ1753" s="6" t="s">
        <v>24135</v>
      </c>
      <c r="BA1753" s="6" t="s">
        <v>104</v>
      </c>
      <c r="BB1753" s="24" t="n">
        <v>405</v>
      </c>
      <c r="BC1753" s="26"/>
      <c r="BD1753" s="26"/>
      <c r="BE1753" s="26"/>
      <c r="BF1753" s="26"/>
      <c r="BG1753" s="26"/>
      <c r="BH1753" s="26"/>
      <c r="BI1753" s="26"/>
      <c r="BJ1753" s="26"/>
      <c r="BK1753" s="26"/>
      <c r="BL1753" s="26"/>
      <c r="BM1753" s="26"/>
      <c r="BN1753" s="26"/>
      <c r="BO1753" s="26"/>
      <c r="BP1753" s="16" t="n">
        <v>45712</v>
      </c>
      <c r="BQ1753" s="28" t="str">
        <f>HYPERLINK("https://organic.ams.usda.gov/Integrity/Certificate.aspx?cid=47&amp;nopid=7142074185")</f>
        <v>https://organic.ams.usda.gov/Integrity/Certificate.aspx?cid=47&amp;nopid=7142074185</v>
      </c>
    </row>
    <row r="1754">
      <c r="A1754" t="s">
        <v>3</v>
      </c>
      <c r="B1754" s="6" t="s">
        <v>8</v>
      </c>
      <c r="C1754" s="6" t="s">
        <v>74</v>
      </c>
      <c r="D1754" s="6" t="s">
        <v>139</v>
      </c>
      <c r="E1754" s="10" t="s">
        <v>1952</v>
      </c>
      <c r="F1754" s="6" t="s">
        <v>4177</v>
      </c>
      <c r="G1754" s="6" t="s">
        <v>104</v>
      </c>
      <c r="H1754" s="6" t="s">
        <v>1952</v>
      </c>
      <c r="I1754" s="6" t="s">
        <v>7917</v>
      </c>
      <c r="J1754" s="6" t="s">
        <v>9396</v>
      </c>
      <c r="K1754" s="6" t="s">
        <v>9714</v>
      </c>
      <c r="L1754" s="16" t="n">
        <v>45506</v>
      </c>
      <c r="M1754" s="16" t="n">
        <v>45915</v>
      </c>
      <c r="N1754" s="6" t="s">
        <v>9721</v>
      </c>
      <c r="O1754" s="16" t="n">
        <v>45421</v>
      </c>
      <c r="P1754" s="6" t="s">
        <v>104</v>
      </c>
      <c r="Q1754" s="6" t="s">
        <v>104</v>
      </c>
      <c r="R1754" s="6" t="s">
        <v>104</v>
      </c>
      <c r="S1754" s="6" t="s">
        <v>104</v>
      </c>
      <c r="T1754" s="21" t="s">
        <v>104</v>
      </c>
      <c r="U1754" s="6" t="s">
        <v>104</v>
      </c>
      <c r="V1754" s="6" t="s">
        <v>104</v>
      </c>
      <c r="W1754" s="6" t="s">
        <v>104</v>
      </c>
      <c r="X1754" s="6" t="s">
        <v>104</v>
      </c>
      <c r="Y1754" s="21" t="s">
        <v>104</v>
      </c>
      <c r="Z1754" s="6" t="s">
        <v>104</v>
      </c>
      <c r="AA1754" s="6" t="s">
        <v>104</v>
      </c>
      <c r="AB1754" s="6" t="s">
        <v>104</v>
      </c>
      <c r="AC1754" s="6" t="s">
        <v>9714</v>
      </c>
      <c r="AD1754" s="16" t="n">
        <v>45506</v>
      </c>
      <c r="AE1754" s="6" t="s">
        <v>12049</v>
      </c>
      <c r="AF1754" s="6" t="s">
        <v>104</v>
      </c>
      <c r="AG1754" s="6" t="s">
        <v>104</v>
      </c>
      <c r="AH1754" s="6" t="s">
        <v>14761</v>
      </c>
      <c r="AI1754" s="6" t="s">
        <v>15327</v>
      </c>
      <c r="AJ1754" s="6" t="s">
        <v>16434</v>
      </c>
      <c r="AK1754" s="6" t="s">
        <v>16679</v>
      </c>
      <c r="AL1754" s="6" t="s">
        <v>16931</v>
      </c>
      <c r="AM1754" s="6" t="s">
        <v>18151</v>
      </c>
      <c r="AN1754" s="6" t="s">
        <v>5640</v>
      </c>
      <c r="AO1754" s="6" t="s">
        <v>18886</v>
      </c>
      <c r="AP1754" s="6" t="s">
        <v>14761</v>
      </c>
      <c r="AQ1754" s="6" t="s">
        <v>15327</v>
      </c>
      <c r="AR1754" s="6" t="s">
        <v>16434</v>
      </c>
      <c r="AS1754" s="6" t="s">
        <v>16679</v>
      </c>
      <c r="AT1754" s="6" t="s">
        <v>16931</v>
      </c>
      <c r="AU1754" s="6" t="s">
        <v>18151</v>
      </c>
      <c r="AV1754" s="6" t="s">
        <v>104</v>
      </c>
      <c r="AW1754" s="6" t="s">
        <v>104</v>
      </c>
      <c r="AX1754" s="6" t="s">
        <v>21484</v>
      </c>
      <c r="AY1754" s="6" t="s">
        <v>23293</v>
      </c>
      <c r="AZ1754" s="6" t="s">
        <v>104</v>
      </c>
      <c r="BA1754" s="6" t="s">
        <v>104</v>
      </c>
      <c r="BB1754" s="6" t="s">
        <v>104</v>
      </c>
      <c r="BC1754" s="26"/>
      <c r="BD1754" s="26"/>
      <c r="BE1754" s="26"/>
      <c r="BF1754" s="26"/>
      <c r="BG1754" s="26"/>
      <c r="BH1754" s="26"/>
      <c r="BI1754" s="26"/>
      <c r="BJ1754" s="26"/>
      <c r="BK1754" s="26"/>
      <c r="BL1754" s="26"/>
      <c r="BM1754" s="26"/>
      <c r="BN1754" s="26"/>
      <c r="BO1754" s="26"/>
      <c r="BP1754" s="16" t="n">
        <v>45506</v>
      </c>
      <c r="BQ1754" s="28" t="str">
        <f>HYPERLINK("https://organic.ams.usda.gov/Integrity/Certificate.aspx?cid=48&amp;nopid=1460030385")</f>
        <v>https://organic.ams.usda.gov/Integrity/Certificate.aspx?cid=48&amp;nopid=1460030385</v>
      </c>
    </row>
    <row r="1755">
      <c r="A1755" t="s">
        <v>3</v>
      </c>
      <c r="B1755" s="6" t="s">
        <v>13</v>
      </c>
      <c r="C1755" s="6" t="s">
        <v>79</v>
      </c>
      <c r="D1755" s="6" t="s">
        <v>144</v>
      </c>
      <c r="E1755" s="10" t="s">
        <v>1953</v>
      </c>
      <c r="F1755" s="6" t="s">
        <v>4178</v>
      </c>
      <c r="G1755" s="6" t="s">
        <v>104</v>
      </c>
      <c r="H1755" s="6" t="s">
        <v>6482</v>
      </c>
      <c r="I1755" s="6" t="s">
        <v>7918</v>
      </c>
      <c r="J1755" s="6" t="s">
        <v>9397</v>
      </c>
      <c r="K1755" s="6" t="s">
        <v>9714</v>
      </c>
      <c r="L1755" s="16" t="n">
        <v>42320</v>
      </c>
      <c r="M1755" s="16" t="n">
        <v>46113</v>
      </c>
      <c r="N1755" s="6" t="s">
        <v>104</v>
      </c>
      <c r="O1755" s="21" t="s">
        <v>104</v>
      </c>
      <c r="P1755" s="6" t="s">
        <v>104</v>
      </c>
      <c r="Q1755" s="6" t="s">
        <v>104</v>
      </c>
      <c r="R1755" s="6" t="s">
        <v>104</v>
      </c>
      <c r="S1755" s="6" t="s">
        <v>104</v>
      </c>
      <c r="T1755" s="21" t="s">
        <v>104</v>
      </c>
      <c r="U1755" s="6" t="s">
        <v>104</v>
      </c>
      <c r="V1755" s="6" t="s">
        <v>104</v>
      </c>
      <c r="W1755" s="6" t="s">
        <v>104</v>
      </c>
      <c r="X1755" s="6" t="s">
        <v>104</v>
      </c>
      <c r="Y1755" s="21" t="s">
        <v>104</v>
      </c>
      <c r="Z1755" s="6" t="s">
        <v>104</v>
      </c>
      <c r="AA1755" s="6" t="s">
        <v>104</v>
      </c>
      <c r="AB1755" s="6" t="s">
        <v>104</v>
      </c>
      <c r="AC1755" s="6" t="s">
        <v>9714</v>
      </c>
      <c r="AD1755" s="16" t="n">
        <v>42320</v>
      </c>
      <c r="AE1755" s="6" t="s">
        <v>12050</v>
      </c>
      <c r="AF1755" s="6" t="s">
        <v>104</v>
      </c>
      <c r="AG1755" s="6" t="s">
        <v>104</v>
      </c>
      <c r="AH1755" s="6" t="s">
        <v>104</v>
      </c>
      <c r="AI1755" s="6" t="s">
        <v>104</v>
      </c>
      <c r="AJ1755" s="6" t="s">
        <v>104</v>
      </c>
      <c r="AK1755" s="6" t="s">
        <v>104</v>
      </c>
      <c r="AL1755" s="6" t="s">
        <v>104</v>
      </c>
      <c r="AM1755" s="6" t="s">
        <v>104</v>
      </c>
      <c r="AN1755" s="6" t="s">
        <v>104</v>
      </c>
      <c r="AO1755" s="6" t="s">
        <v>104</v>
      </c>
      <c r="AP1755" s="6" t="s">
        <v>19418</v>
      </c>
      <c r="AQ1755" s="6" t="s">
        <v>104</v>
      </c>
      <c r="AR1755" s="6" t="s">
        <v>19752</v>
      </c>
      <c r="AS1755" s="6" t="s">
        <v>16681</v>
      </c>
      <c r="AT1755" s="6" t="s">
        <v>16931</v>
      </c>
      <c r="AU1755" s="6" t="s">
        <v>20025</v>
      </c>
      <c r="AV1755" s="6" t="s">
        <v>5036</v>
      </c>
      <c r="AW1755" s="6" t="s">
        <v>20108</v>
      </c>
      <c r="AX1755" s="6" t="s">
        <v>21485</v>
      </c>
      <c r="AY1755" s="6" t="s">
        <v>23294</v>
      </c>
      <c r="AZ1755" s="6" t="s">
        <v>104</v>
      </c>
      <c r="BA1755" s="6" t="s">
        <v>104</v>
      </c>
      <c r="BB1755" s="6" t="s">
        <v>104</v>
      </c>
      <c r="BC1755" s="26"/>
      <c r="BD1755" s="26"/>
      <c r="BE1755" s="26"/>
      <c r="BF1755" s="26"/>
      <c r="BG1755" s="26"/>
      <c r="BH1755" s="26"/>
      <c r="BI1755" s="26"/>
      <c r="BJ1755" s="26"/>
      <c r="BK1755" s="26"/>
      <c r="BL1755" s="26"/>
      <c r="BM1755" s="26"/>
      <c r="BN1755" s="26"/>
      <c r="BO1755" s="26"/>
      <c r="BP1755" s="16" t="n">
        <v>45730</v>
      </c>
      <c r="BQ1755" s="28" t="str">
        <f>HYPERLINK("https://organic.ams.usda.gov/Integrity/Certificate.aspx?cid=62&amp;nopid=8150000157")</f>
        <v>https://organic.ams.usda.gov/Integrity/Certificate.aspx?cid=62&amp;nopid=8150000157</v>
      </c>
    </row>
    <row r="1756">
      <c r="A1756" t="s">
        <v>3</v>
      </c>
      <c r="B1756" s="6" t="s">
        <v>23</v>
      </c>
      <c r="C1756" s="6" t="s">
        <v>89</v>
      </c>
      <c r="D1756" s="6" t="s">
        <v>154</v>
      </c>
      <c r="E1756" s="10" t="s">
        <v>1954</v>
      </c>
      <c r="F1756" s="6" t="s">
        <v>4179</v>
      </c>
      <c r="G1756" s="6" t="s">
        <v>104</v>
      </c>
      <c r="H1756" s="6" t="s">
        <v>6483</v>
      </c>
      <c r="I1756" s="6" t="s">
        <v>7919</v>
      </c>
      <c r="J1756" s="6" t="s">
        <v>9398</v>
      </c>
      <c r="K1756" s="6" t="s">
        <v>9714</v>
      </c>
      <c r="L1756" s="16" t="n">
        <v>36534</v>
      </c>
      <c r="M1756" s="16" t="n">
        <v>45748</v>
      </c>
      <c r="N1756" s="6" t="s">
        <v>104</v>
      </c>
      <c r="O1756" s="21" t="s">
        <v>104</v>
      </c>
      <c r="P1756" s="6" t="s">
        <v>104</v>
      </c>
      <c r="Q1756" s="6" t="s">
        <v>104</v>
      </c>
      <c r="R1756" s="6" t="s">
        <v>104</v>
      </c>
      <c r="S1756" s="6" t="s">
        <v>104</v>
      </c>
      <c r="T1756" s="21" t="s">
        <v>104</v>
      </c>
      <c r="U1756" s="6" t="s">
        <v>104</v>
      </c>
      <c r="V1756" s="6" t="s">
        <v>104</v>
      </c>
      <c r="W1756" s="6" t="s">
        <v>104</v>
      </c>
      <c r="X1756" s="6" t="s">
        <v>104</v>
      </c>
      <c r="Y1756" s="21" t="s">
        <v>104</v>
      </c>
      <c r="Z1756" s="6" t="s">
        <v>104</v>
      </c>
      <c r="AA1756" s="6" t="s">
        <v>104</v>
      </c>
      <c r="AB1756" s="6" t="s">
        <v>104</v>
      </c>
      <c r="AC1756" s="6" t="s">
        <v>9714</v>
      </c>
      <c r="AD1756" s="16" t="n">
        <v>36534</v>
      </c>
      <c r="AE1756" s="6" t="s">
        <v>12051</v>
      </c>
      <c r="AF1756" s="6" t="s">
        <v>104</v>
      </c>
      <c r="AG1756" s="6" t="s">
        <v>6483</v>
      </c>
      <c r="AH1756" s="6" t="s">
        <v>14762</v>
      </c>
      <c r="AI1756" s="6" t="s">
        <v>104</v>
      </c>
      <c r="AJ1756" s="6" t="s">
        <v>16435</v>
      </c>
      <c r="AK1756" s="6" t="s">
        <v>16714</v>
      </c>
      <c r="AL1756" s="6" t="s">
        <v>16931</v>
      </c>
      <c r="AM1756" s="6" t="s">
        <v>18152</v>
      </c>
      <c r="AN1756" s="6" t="s">
        <v>18534</v>
      </c>
      <c r="AO1756" s="6" t="s">
        <v>18887</v>
      </c>
      <c r="AP1756" s="6" t="s">
        <v>104</v>
      </c>
      <c r="AQ1756" s="6" t="s">
        <v>104</v>
      </c>
      <c r="AR1756" s="6" t="s">
        <v>104</v>
      </c>
      <c r="AS1756" s="6" t="s">
        <v>104</v>
      </c>
      <c r="AT1756" s="6" t="s">
        <v>104</v>
      </c>
      <c r="AU1756" s="6" t="s">
        <v>104</v>
      </c>
      <c r="AV1756" s="6" t="s">
        <v>104</v>
      </c>
      <c r="AW1756" s="6" t="s">
        <v>104</v>
      </c>
      <c r="AX1756" s="6" t="s">
        <v>21486</v>
      </c>
      <c r="AY1756" s="6" t="s">
        <v>23295</v>
      </c>
      <c r="AZ1756" s="6" t="s">
        <v>24136</v>
      </c>
      <c r="BA1756" s="6" t="s">
        <v>24478</v>
      </c>
      <c r="BB1756" s="24" t="n">
        <v>0</v>
      </c>
      <c r="BC1756" s="26"/>
      <c r="BD1756" s="26"/>
      <c r="BE1756" s="26"/>
      <c r="BF1756" s="26"/>
      <c r="BG1756" s="26"/>
      <c r="BH1756" s="26"/>
      <c r="BI1756" s="26"/>
      <c r="BJ1756" s="26"/>
      <c r="BK1756" s="26"/>
      <c r="BL1756" s="26"/>
      <c r="BM1756" s="26"/>
      <c r="BN1756" s="26"/>
      <c r="BO1756" s="26"/>
      <c r="BP1756" s="16" t="n">
        <v>45645</v>
      </c>
      <c r="BQ1756" s="28" t="str">
        <f>HYPERLINK("https://organic.ams.usda.gov/Integrity/Certificate.aspx?cid=45&amp;nopid=9950000206")</f>
        <v>https://organic.ams.usda.gov/Integrity/Certificate.aspx?cid=45&amp;nopid=9950000206</v>
      </c>
    </row>
    <row r="1757">
      <c r="A1757" t="s">
        <v>3</v>
      </c>
      <c r="B1757" s="6" t="s">
        <v>21</v>
      </c>
      <c r="C1757" s="6" t="s">
        <v>87</v>
      </c>
      <c r="D1757" s="6" t="s">
        <v>152</v>
      </c>
      <c r="E1757" s="10" t="s">
        <v>1955</v>
      </c>
      <c r="F1757" s="6" t="s">
        <v>4180</v>
      </c>
      <c r="G1757" s="6" t="s">
        <v>4846</v>
      </c>
      <c r="H1757" s="6" t="s">
        <v>6484</v>
      </c>
      <c r="I1757" s="6" t="s">
        <v>7028</v>
      </c>
      <c r="J1757" s="6" t="s">
        <v>9399</v>
      </c>
      <c r="K1757" s="6" t="s">
        <v>9714</v>
      </c>
      <c r="L1757" s="16" t="n">
        <v>43599</v>
      </c>
      <c r="M1757" s="16" t="n">
        <v>46023</v>
      </c>
      <c r="N1757" s="6" t="s">
        <v>104</v>
      </c>
      <c r="O1757" s="21" t="s">
        <v>104</v>
      </c>
      <c r="P1757" s="6" t="s">
        <v>104</v>
      </c>
      <c r="Q1757" s="6" t="s">
        <v>104</v>
      </c>
      <c r="R1757" s="6" t="s">
        <v>104</v>
      </c>
      <c r="S1757" s="6" t="s">
        <v>104</v>
      </c>
      <c r="T1757" s="21" t="s">
        <v>104</v>
      </c>
      <c r="U1757" s="6" t="s">
        <v>104</v>
      </c>
      <c r="V1757" s="6" t="s">
        <v>104</v>
      </c>
      <c r="W1757" s="6" t="s">
        <v>104</v>
      </c>
      <c r="X1757" s="6" t="s">
        <v>104</v>
      </c>
      <c r="Y1757" s="21" t="s">
        <v>104</v>
      </c>
      <c r="Z1757" s="6" t="s">
        <v>104</v>
      </c>
      <c r="AA1757" s="6" t="s">
        <v>104</v>
      </c>
      <c r="AB1757" s="6" t="s">
        <v>104</v>
      </c>
      <c r="AC1757" s="6" t="s">
        <v>9714</v>
      </c>
      <c r="AD1757" s="16" t="n">
        <v>43599</v>
      </c>
      <c r="AE1757" s="6" t="s">
        <v>12052</v>
      </c>
      <c r="AF1757" s="6" t="s">
        <v>104</v>
      </c>
      <c r="AG1757" s="6" t="s">
        <v>104</v>
      </c>
      <c r="AH1757" s="6" t="s">
        <v>14763</v>
      </c>
      <c r="AI1757" s="6" t="s">
        <v>104</v>
      </c>
      <c r="AJ1757" s="6" t="s">
        <v>15896</v>
      </c>
      <c r="AK1757" s="6" t="s">
        <v>16730</v>
      </c>
      <c r="AL1757" s="6" t="s">
        <v>16931</v>
      </c>
      <c r="AM1757" s="6" t="s">
        <v>18153</v>
      </c>
      <c r="AN1757" s="6" t="s">
        <v>18491</v>
      </c>
      <c r="AO1757" s="6" t="s">
        <v>18739</v>
      </c>
      <c r="AP1757" s="6" t="s">
        <v>19419</v>
      </c>
      <c r="AQ1757" s="6" t="s">
        <v>104</v>
      </c>
      <c r="AR1757" s="6" t="s">
        <v>15896</v>
      </c>
      <c r="AS1757" s="6" t="s">
        <v>16730</v>
      </c>
      <c r="AT1757" s="6" t="s">
        <v>16931</v>
      </c>
      <c r="AU1757" s="6" t="s">
        <v>18153</v>
      </c>
      <c r="AV1757" s="6" t="s">
        <v>104</v>
      </c>
      <c r="AW1757" s="6" t="s">
        <v>104</v>
      </c>
      <c r="AX1757" s="6" t="s">
        <v>21487</v>
      </c>
      <c r="AY1757" s="6" t="s">
        <v>23296</v>
      </c>
      <c r="AZ1757" s="6" t="s">
        <v>24137</v>
      </c>
      <c r="BA1757" s="6" t="s">
        <v>24479</v>
      </c>
      <c r="BB1757" s="6" t="s">
        <v>104</v>
      </c>
      <c r="BC1757" s="26"/>
      <c r="BD1757" s="26"/>
      <c r="BE1757" s="26"/>
      <c r="BF1757" s="26"/>
      <c r="BG1757" s="26"/>
      <c r="BH1757" s="26"/>
      <c r="BI1757" s="26"/>
      <c r="BJ1757" s="26"/>
      <c r="BK1757" s="26"/>
      <c r="BL1757" s="26"/>
      <c r="BM1757" s="26"/>
      <c r="BN1757" s="26"/>
      <c r="BO1757" s="26"/>
      <c r="BP1757" s="16" t="n">
        <v>45712</v>
      </c>
      <c r="BQ1757" s="28" t="str">
        <f>HYPERLINK("https://organic.ams.usda.gov/Integrity/Certificate.aspx?cid=15&amp;nopid=5561005878")</f>
        <v>https://organic.ams.usda.gov/Integrity/Certificate.aspx?cid=15&amp;nopid=5561005878</v>
      </c>
    </row>
    <row r="1758">
      <c r="A1758" t="s">
        <v>3</v>
      </c>
      <c r="B1758" s="6" t="s">
        <v>25</v>
      </c>
      <c r="C1758" s="6" t="s">
        <v>91</v>
      </c>
      <c r="D1758" s="6" t="s">
        <v>156</v>
      </c>
      <c r="E1758" s="10" t="s">
        <v>1956</v>
      </c>
      <c r="F1758" s="6" t="s">
        <v>4181</v>
      </c>
      <c r="G1758" s="6" t="s">
        <v>104</v>
      </c>
      <c r="H1758" s="6" t="s">
        <v>6485</v>
      </c>
      <c r="I1758" s="6" t="s">
        <v>104</v>
      </c>
      <c r="J1758" s="6" t="s">
        <v>104</v>
      </c>
      <c r="K1758" s="6" t="s">
        <v>9714</v>
      </c>
      <c r="L1758" s="16" t="n">
        <v>44981</v>
      </c>
      <c r="M1758" s="16" t="n">
        <v>45637</v>
      </c>
      <c r="N1758" s="6" t="s">
        <v>104</v>
      </c>
      <c r="O1758" s="21" t="s">
        <v>104</v>
      </c>
      <c r="P1758" s="6" t="s">
        <v>104</v>
      </c>
      <c r="Q1758" s="6" t="s">
        <v>104</v>
      </c>
      <c r="R1758" s="6" t="s">
        <v>104</v>
      </c>
      <c r="S1758" s="6" t="s">
        <v>104</v>
      </c>
      <c r="T1758" s="21" t="s">
        <v>104</v>
      </c>
      <c r="U1758" s="6" t="s">
        <v>104</v>
      </c>
      <c r="V1758" s="6" t="s">
        <v>104</v>
      </c>
      <c r="W1758" s="6" t="s">
        <v>104</v>
      </c>
      <c r="X1758" s="6" t="s">
        <v>104</v>
      </c>
      <c r="Y1758" s="21" t="s">
        <v>104</v>
      </c>
      <c r="Z1758" s="6" t="s">
        <v>104</v>
      </c>
      <c r="AA1758" s="6" t="s">
        <v>104</v>
      </c>
      <c r="AB1758" s="6" t="s">
        <v>104</v>
      </c>
      <c r="AC1758" s="6" t="s">
        <v>9714</v>
      </c>
      <c r="AD1758" s="16" t="n">
        <v>44981</v>
      </c>
      <c r="AE1758" s="6" t="s">
        <v>12053</v>
      </c>
      <c r="AF1758" s="6" t="s">
        <v>104</v>
      </c>
      <c r="AG1758" s="6" t="s">
        <v>104</v>
      </c>
      <c r="AH1758" s="6" t="s">
        <v>14764</v>
      </c>
      <c r="AI1758" s="6" t="s">
        <v>104</v>
      </c>
      <c r="AJ1758" s="6" t="s">
        <v>16436</v>
      </c>
      <c r="AK1758" s="6" t="s">
        <v>16691</v>
      </c>
      <c r="AL1758" s="6" t="s">
        <v>16935</v>
      </c>
      <c r="AM1758" s="6" t="s">
        <v>18154</v>
      </c>
      <c r="AN1758" s="6" t="s">
        <v>104</v>
      </c>
      <c r="AO1758" s="6" t="s">
        <v>104</v>
      </c>
      <c r="AP1758" s="6" t="s">
        <v>19420</v>
      </c>
      <c r="AQ1758" s="6" t="s">
        <v>104</v>
      </c>
      <c r="AR1758" s="6" t="s">
        <v>16436</v>
      </c>
      <c r="AS1758" s="6" t="s">
        <v>16691</v>
      </c>
      <c r="AT1758" s="6" t="s">
        <v>16935</v>
      </c>
      <c r="AU1758" s="6" t="s">
        <v>18154</v>
      </c>
      <c r="AV1758" s="6" t="s">
        <v>104</v>
      </c>
      <c r="AW1758" s="6" t="s">
        <v>104</v>
      </c>
      <c r="AX1758" s="6" t="s">
        <v>104</v>
      </c>
      <c r="AY1758" s="6" t="s">
        <v>104</v>
      </c>
      <c r="AZ1758" s="6" t="s">
        <v>104</v>
      </c>
      <c r="BA1758" s="6" t="s">
        <v>104</v>
      </c>
      <c r="BB1758" s="6" t="s">
        <v>104</v>
      </c>
      <c r="BC1758" s="26"/>
      <c r="BD1758" s="26"/>
      <c r="BE1758" s="26"/>
      <c r="BF1758" s="26"/>
      <c r="BG1758" s="26"/>
      <c r="BH1758" s="26"/>
      <c r="BI1758" s="26"/>
      <c r="BJ1758" s="26"/>
      <c r="BK1758" s="26"/>
      <c r="BL1758" s="26"/>
      <c r="BM1758" s="26"/>
      <c r="BN1758" s="26"/>
      <c r="BO1758" s="26"/>
      <c r="BP1758" s="16" t="n">
        <v>45369</v>
      </c>
      <c r="BQ1758" s="28" t="str">
        <f>HYPERLINK("https://organic.ams.usda.gov/Integrity/Certificate.aspx?cid=66&amp;nopid=5500006940")</f>
        <v>https://organic.ams.usda.gov/Integrity/Certificate.aspx?cid=66&amp;nopid=5500006940</v>
      </c>
    </row>
    <row r="1759">
      <c r="A1759" t="s">
        <v>3</v>
      </c>
      <c r="B1759" s="6" t="s">
        <v>11</v>
      </c>
      <c r="C1759" s="6" t="s">
        <v>77</v>
      </c>
      <c r="D1759" s="6" t="s">
        <v>142</v>
      </c>
      <c r="E1759" s="10" t="s">
        <v>1957</v>
      </c>
      <c r="F1759" s="6" t="s">
        <v>4182</v>
      </c>
      <c r="G1759" s="6" t="s">
        <v>104</v>
      </c>
      <c r="H1759" s="6" t="s">
        <v>6486</v>
      </c>
      <c r="I1759" s="6" t="s">
        <v>7920</v>
      </c>
      <c r="J1759" s="6" t="s">
        <v>9400</v>
      </c>
      <c r="K1759" s="6" t="s">
        <v>9714</v>
      </c>
      <c r="L1759" s="16" t="n">
        <v>44736</v>
      </c>
      <c r="M1759" s="16" t="n">
        <v>45765</v>
      </c>
      <c r="N1759" s="6" t="s">
        <v>104</v>
      </c>
      <c r="O1759" s="21" t="s">
        <v>104</v>
      </c>
      <c r="P1759" s="6" t="s">
        <v>104</v>
      </c>
      <c r="Q1759" s="6" t="s">
        <v>104</v>
      </c>
      <c r="R1759" s="6" t="s">
        <v>104</v>
      </c>
      <c r="S1759" s="6" t="s">
        <v>104</v>
      </c>
      <c r="T1759" s="21" t="s">
        <v>104</v>
      </c>
      <c r="U1759" s="6" t="s">
        <v>104</v>
      </c>
      <c r="V1759" s="6" t="s">
        <v>104</v>
      </c>
      <c r="W1759" s="6" t="s">
        <v>104</v>
      </c>
      <c r="X1759" s="6" t="s">
        <v>104</v>
      </c>
      <c r="Y1759" s="21" t="s">
        <v>104</v>
      </c>
      <c r="Z1759" s="6" t="s">
        <v>104</v>
      </c>
      <c r="AA1759" s="6" t="s">
        <v>104</v>
      </c>
      <c r="AB1759" s="6" t="s">
        <v>104</v>
      </c>
      <c r="AC1759" s="6" t="s">
        <v>9714</v>
      </c>
      <c r="AD1759" s="16" t="n">
        <v>44736</v>
      </c>
      <c r="AE1759" s="6" t="s">
        <v>12054</v>
      </c>
      <c r="AF1759" s="6" t="s">
        <v>104</v>
      </c>
      <c r="AG1759" s="6" t="s">
        <v>104</v>
      </c>
      <c r="AH1759" s="6" t="s">
        <v>14765</v>
      </c>
      <c r="AI1759" s="6" t="s">
        <v>15328</v>
      </c>
      <c r="AJ1759" s="6" t="s">
        <v>16437</v>
      </c>
      <c r="AK1759" s="6" t="s">
        <v>16771</v>
      </c>
      <c r="AL1759" s="6" t="s">
        <v>16946</v>
      </c>
      <c r="AM1759" s="6" t="s">
        <v>104</v>
      </c>
      <c r="AN1759" s="6" t="s">
        <v>104</v>
      </c>
      <c r="AO1759" s="6" t="s">
        <v>104</v>
      </c>
      <c r="AP1759" s="6" t="s">
        <v>19421</v>
      </c>
      <c r="AQ1759" s="6" t="s">
        <v>19577</v>
      </c>
      <c r="AR1759" s="6" t="s">
        <v>16437</v>
      </c>
      <c r="AS1759" s="6" t="s">
        <v>16771</v>
      </c>
      <c r="AT1759" s="6" t="s">
        <v>16946</v>
      </c>
      <c r="AU1759" s="6" t="s">
        <v>104</v>
      </c>
      <c r="AV1759" s="6" t="s">
        <v>104</v>
      </c>
      <c r="AW1759" s="6" t="s">
        <v>104</v>
      </c>
      <c r="AX1759" s="6" t="s">
        <v>21488</v>
      </c>
      <c r="AY1759" s="6" t="s">
        <v>23297</v>
      </c>
      <c r="AZ1759" s="6" t="s">
        <v>104</v>
      </c>
      <c r="BA1759" s="6" t="s">
        <v>104</v>
      </c>
      <c r="BB1759" s="6" t="s">
        <v>104</v>
      </c>
      <c r="BC1759" s="26"/>
      <c r="BD1759" s="26"/>
      <c r="BE1759" s="26"/>
      <c r="BF1759" s="26"/>
      <c r="BG1759" s="26"/>
      <c r="BH1759" s="26"/>
      <c r="BI1759" s="26"/>
      <c r="BJ1759" s="26"/>
      <c r="BK1759" s="26"/>
      <c r="BL1759" s="26"/>
      <c r="BM1759" s="26"/>
      <c r="BN1759" s="26"/>
      <c r="BO1759" s="26"/>
      <c r="BP1759" s="16" t="n">
        <v>45527</v>
      </c>
      <c r="BQ1759" s="28" t="str">
        <f>HYPERLINK("https://organic.ams.usda.gov/Integrity/Certificate.aspx?cid=21&amp;nopid=1780887649")</f>
        <v>https://organic.ams.usda.gov/Integrity/Certificate.aspx?cid=21&amp;nopid=1780887649</v>
      </c>
    </row>
    <row r="1760">
      <c r="A1760" t="s">
        <v>3</v>
      </c>
      <c r="B1760" s="6" t="s">
        <v>14</v>
      </c>
      <c r="C1760" s="6" t="s">
        <v>80</v>
      </c>
      <c r="D1760" s="6" t="s">
        <v>145</v>
      </c>
      <c r="E1760" s="10" t="s">
        <v>1958</v>
      </c>
      <c r="F1760" s="6" t="s">
        <v>4183</v>
      </c>
      <c r="G1760" s="6" t="s">
        <v>104</v>
      </c>
      <c r="H1760" s="6" t="s">
        <v>6487</v>
      </c>
      <c r="I1760" s="6" t="s">
        <v>7800</v>
      </c>
      <c r="J1760" s="6" t="s">
        <v>8709</v>
      </c>
      <c r="K1760" s="6" t="s">
        <v>9714</v>
      </c>
      <c r="L1760" s="16" t="n">
        <v>45737</v>
      </c>
      <c r="M1760" s="16" t="n">
        <v>46017</v>
      </c>
      <c r="N1760" s="6" t="s">
        <v>104</v>
      </c>
      <c r="O1760" s="21" t="s">
        <v>104</v>
      </c>
      <c r="P1760" s="6" t="s">
        <v>104</v>
      </c>
      <c r="Q1760" s="6" t="s">
        <v>104</v>
      </c>
      <c r="R1760" s="6" t="s">
        <v>104</v>
      </c>
      <c r="S1760" s="6" t="s">
        <v>104</v>
      </c>
      <c r="T1760" s="21" t="s">
        <v>104</v>
      </c>
      <c r="U1760" s="6" t="s">
        <v>104</v>
      </c>
      <c r="V1760" s="6" t="s">
        <v>104</v>
      </c>
      <c r="W1760" s="6" t="s">
        <v>104</v>
      </c>
      <c r="X1760" s="6" t="s">
        <v>104</v>
      </c>
      <c r="Y1760" s="21" t="s">
        <v>104</v>
      </c>
      <c r="Z1760" s="6" t="s">
        <v>104</v>
      </c>
      <c r="AA1760" s="6" t="s">
        <v>104</v>
      </c>
      <c r="AB1760" s="6" t="s">
        <v>104</v>
      </c>
      <c r="AC1760" s="6" t="s">
        <v>9714</v>
      </c>
      <c r="AD1760" s="16" t="n">
        <v>45737</v>
      </c>
      <c r="AE1760" s="6" t="s">
        <v>12055</v>
      </c>
      <c r="AF1760" s="6" t="s">
        <v>104</v>
      </c>
      <c r="AG1760" s="6" t="s">
        <v>104</v>
      </c>
      <c r="AH1760" s="6" t="s">
        <v>14766</v>
      </c>
      <c r="AI1760" s="6" t="s">
        <v>104</v>
      </c>
      <c r="AJ1760" s="6" t="s">
        <v>16438</v>
      </c>
      <c r="AK1760" s="6" t="s">
        <v>16270</v>
      </c>
      <c r="AL1760" s="6" t="s">
        <v>16932</v>
      </c>
      <c r="AM1760" s="6" t="s">
        <v>17159</v>
      </c>
      <c r="AN1760" s="6" t="s">
        <v>104</v>
      </c>
      <c r="AO1760" s="6" t="s">
        <v>104</v>
      </c>
      <c r="AP1760" s="6" t="s">
        <v>104</v>
      </c>
      <c r="AQ1760" s="6" t="s">
        <v>104</v>
      </c>
      <c r="AR1760" s="6" t="s">
        <v>104</v>
      </c>
      <c r="AS1760" s="6" t="s">
        <v>104</v>
      </c>
      <c r="AT1760" s="6" t="s">
        <v>104</v>
      </c>
      <c r="AU1760" s="6" t="s">
        <v>104</v>
      </c>
      <c r="AV1760" s="6" t="s">
        <v>104</v>
      </c>
      <c r="AW1760" s="6" t="s">
        <v>104</v>
      </c>
      <c r="AX1760" s="6" t="s">
        <v>21489</v>
      </c>
      <c r="AY1760" s="6" t="s">
        <v>23298</v>
      </c>
      <c r="AZ1760" s="6" t="s">
        <v>104</v>
      </c>
      <c r="BA1760" s="6" t="s">
        <v>104</v>
      </c>
      <c r="BB1760" s="6" t="s">
        <v>104</v>
      </c>
      <c r="BC1760" s="26"/>
      <c r="BD1760" s="26"/>
      <c r="BE1760" s="26"/>
      <c r="BF1760" s="26"/>
      <c r="BG1760" s="26"/>
      <c r="BH1760" s="26" t="s">
        <v>24533</v>
      </c>
      <c r="BI1760" s="26"/>
      <c r="BJ1760" s="26"/>
      <c r="BK1760" s="26"/>
      <c r="BL1760" s="26"/>
      <c r="BM1760" s="26"/>
      <c r="BN1760" s="26"/>
      <c r="BO1760" s="26"/>
      <c r="BP1760" s="16" t="n">
        <v>45737</v>
      </c>
      <c r="BQ1760" s="28" t="str">
        <f>HYPERLINK("https://organic.ams.usda.gov/Integrity/Certificate.aspx?cid=89&amp;nopid=4920004052")</f>
        <v>https://organic.ams.usda.gov/Integrity/Certificate.aspx?cid=89&amp;nopid=4920004052</v>
      </c>
    </row>
    <row r="1761">
      <c r="A1761" t="s">
        <v>3</v>
      </c>
      <c r="B1761" s="6" t="s">
        <v>34</v>
      </c>
      <c r="C1761" s="6" t="s">
        <v>100</v>
      </c>
      <c r="D1761" s="6" t="s">
        <v>165</v>
      </c>
      <c r="E1761" s="10" t="s">
        <v>1959</v>
      </c>
      <c r="F1761" s="6" t="s">
        <v>4184</v>
      </c>
      <c r="G1761" s="6" t="s">
        <v>104</v>
      </c>
      <c r="H1761" s="6" t="s">
        <v>6488</v>
      </c>
      <c r="I1761" s="6" t="s">
        <v>6975</v>
      </c>
      <c r="J1761" s="6" t="s">
        <v>8188</v>
      </c>
      <c r="K1761" s="6" t="s">
        <v>9714</v>
      </c>
      <c r="L1761" s="16" t="n">
        <v>37375</v>
      </c>
      <c r="M1761" s="16" t="n">
        <v>45952</v>
      </c>
      <c r="N1761" s="6" t="s">
        <v>104</v>
      </c>
      <c r="O1761" s="21" t="s">
        <v>104</v>
      </c>
      <c r="P1761" s="6" t="s">
        <v>104</v>
      </c>
      <c r="Q1761" s="6" t="s">
        <v>104</v>
      </c>
      <c r="R1761" s="6" t="s">
        <v>104</v>
      </c>
      <c r="S1761" s="6" t="s">
        <v>104</v>
      </c>
      <c r="T1761" s="21" t="s">
        <v>104</v>
      </c>
      <c r="U1761" s="6" t="s">
        <v>104</v>
      </c>
      <c r="V1761" s="6" t="s">
        <v>104</v>
      </c>
      <c r="W1761" s="6" t="s">
        <v>104</v>
      </c>
      <c r="X1761" s="6" t="s">
        <v>104</v>
      </c>
      <c r="Y1761" s="21" t="s">
        <v>104</v>
      </c>
      <c r="Z1761" s="6" t="s">
        <v>104</v>
      </c>
      <c r="AA1761" s="6" t="s">
        <v>104</v>
      </c>
      <c r="AB1761" s="6" t="s">
        <v>104</v>
      </c>
      <c r="AC1761" s="6" t="s">
        <v>9714</v>
      </c>
      <c r="AD1761" s="16" t="n">
        <v>37375</v>
      </c>
      <c r="AE1761" s="6" t="s">
        <v>12056</v>
      </c>
      <c r="AF1761" s="6" t="s">
        <v>104</v>
      </c>
      <c r="AG1761" s="6" t="s">
        <v>13023</v>
      </c>
      <c r="AH1761" s="6" t="s">
        <v>14767</v>
      </c>
      <c r="AI1761" s="6" t="s">
        <v>104</v>
      </c>
      <c r="AJ1761" s="6" t="s">
        <v>15624</v>
      </c>
      <c r="AK1761" s="6" t="s">
        <v>16687</v>
      </c>
      <c r="AL1761" s="6" t="s">
        <v>16931</v>
      </c>
      <c r="AM1761" s="6" t="s">
        <v>17807</v>
      </c>
      <c r="AN1761" s="6" t="s">
        <v>18463</v>
      </c>
      <c r="AO1761" s="6" t="s">
        <v>18809</v>
      </c>
      <c r="AP1761" s="6" t="s">
        <v>18963</v>
      </c>
      <c r="AQ1761" s="6" t="s">
        <v>104</v>
      </c>
      <c r="AR1761" s="6" t="s">
        <v>16278</v>
      </c>
      <c r="AS1761" s="6" t="s">
        <v>16678</v>
      </c>
      <c r="AT1761" s="6" t="s">
        <v>16931</v>
      </c>
      <c r="AU1761" s="6" t="s">
        <v>19809</v>
      </c>
      <c r="AV1761" s="6" t="s">
        <v>104</v>
      </c>
      <c r="AW1761" s="6" t="s">
        <v>104</v>
      </c>
      <c r="AX1761" s="6" t="s">
        <v>21490</v>
      </c>
      <c r="AY1761" s="6" t="s">
        <v>21916</v>
      </c>
      <c r="AZ1761" s="6" t="s">
        <v>104</v>
      </c>
      <c r="BA1761" s="6" t="s">
        <v>104</v>
      </c>
      <c r="BB1761" s="6" t="s">
        <v>104</v>
      </c>
      <c r="BC1761" s="26"/>
      <c r="BD1761" s="26"/>
      <c r="BE1761" s="26"/>
      <c r="BF1761" s="26"/>
      <c r="BG1761" s="26"/>
      <c r="BH1761" s="26"/>
      <c r="BI1761" s="26"/>
      <c r="BJ1761" s="26"/>
      <c r="BK1761" s="26"/>
      <c r="BL1761" s="26"/>
      <c r="BM1761" s="26"/>
      <c r="BN1761" s="26"/>
      <c r="BO1761" s="26"/>
      <c r="BP1761" s="16" t="n">
        <v>45737</v>
      </c>
      <c r="BQ1761" s="28" t="str">
        <f>HYPERLINK("https://organic.ams.usda.gov/Integrity/Certificate.aspx?cid=71&amp;nopid=5520029739")</f>
        <v>https://organic.ams.usda.gov/Integrity/Certificate.aspx?cid=71&amp;nopid=5520029739</v>
      </c>
    </row>
    <row r="1762">
      <c r="A1762" t="s">
        <v>3</v>
      </c>
      <c r="B1762" s="6" t="s">
        <v>21</v>
      </c>
      <c r="C1762" s="6" t="s">
        <v>87</v>
      </c>
      <c r="D1762" s="6" t="s">
        <v>152</v>
      </c>
      <c r="E1762" s="10" t="s">
        <v>1960</v>
      </c>
      <c r="F1762" s="6" t="s">
        <v>4185</v>
      </c>
      <c r="G1762" s="6" t="s">
        <v>104</v>
      </c>
      <c r="H1762" s="6" t="s">
        <v>6489</v>
      </c>
      <c r="I1762" s="6" t="s">
        <v>7253</v>
      </c>
      <c r="J1762" s="6" t="s">
        <v>9401</v>
      </c>
      <c r="K1762" s="6" t="s">
        <v>9714</v>
      </c>
      <c r="L1762" s="16" t="n">
        <v>35747</v>
      </c>
      <c r="M1762" s="16" t="n">
        <v>46023</v>
      </c>
      <c r="N1762" s="6" t="s">
        <v>104</v>
      </c>
      <c r="O1762" s="21" t="s">
        <v>104</v>
      </c>
      <c r="P1762" s="6" t="s">
        <v>104</v>
      </c>
      <c r="Q1762" s="6" t="s">
        <v>104</v>
      </c>
      <c r="R1762" s="6" t="s">
        <v>104</v>
      </c>
      <c r="S1762" s="6" t="s">
        <v>104</v>
      </c>
      <c r="T1762" s="21" t="s">
        <v>104</v>
      </c>
      <c r="U1762" s="6" t="s">
        <v>104</v>
      </c>
      <c r="V1762" s="6" t="s">
        <v>104</v>
      </c>
      <c r="W1762" s="6" t="s">
        <v>104</v>
      </c>
      <c r="X1762" s="6" t="s">
        <v>104</v>
      </c>
      <c r="Y1762" s="21" t="s">
        <v>104</v>
      </c>
      <c r="Z1762" s="6" t="s">
        <v>104</v>
      </c>
      <c r="AA1762" s="6" t="s">
        <v>104</v>
      </c>
      <c r="AB1762" s="6" t="s">
        <v>104</v>
      </c>
      <c r="AC1762" s="6" t="s">
        <v>9714</v>
      </c>
      <c r="AD1762" s="16" t="n">
        <v>35747</v>
      </c>
      <c r="AE1762" s="6" t="s">
        <v>12057</v>
      </c>
      <c r="AF1762" s="6" t="s">
        <v>104</v>
      </c>
      <c r="AG1762" s="6" t="s">
        <v>104</v>
      </c>
      <c r="AH1762" s="6" t="s">
        <v>14768</v>
      </c>
      <c r="AI1762" s="6" t="s">
        <v>104</v>
      </c>
      <c r="AJ1762" s="6" t="s">
        <v>16439</v>
      </c>
      <c r="AK1762" s="6" t="s">
        <v>16775</v>
      </c>
      <c r="AL1762" s="6" t="s">
        <v>16931</v>
      </c>
      <c r="AM1762" s="6" t="s">
        <v>18155</v>
      </c>
      <c r="AN1762" s="6" t="s">
        <v>18490</v>
      </c>
      <c r="AO1762" s="6" t="s">
        <v>18888</v>
      </c>
      <c r="AP1762" s="6" t="s">
        <v>19422</v>
      </c>
      <c r="AQ1762" s="6" t="s">
        <v>19578</v>
      </c>
      <c r="AR1762" s="6" t="s">
        <v>16020</v>
      </c>
      <c r="AS1762" s="6" t="s">
        <v>16730</v>
      </c>
      <c r="AT1762" s="6" t="s">
        <v>16931</v>
      </c>
      <c r="AU1762" s="6" t="s">
        <v>17741</v>
      </c>
      <c r="AV1762" s="6" t="s">
        <v>104</v>
      </c>
      <c r="AW1762" s="6" t="s">
        <v>104</v>
      </c>
      <c r="AX1762" s="6" t="s">
        <v>21491</v>
      </c>
      <c r="AY1762" s="6" t="s">
        <v>23299</v>
      </c>
      <c r="AZ1762" s="6" t="s">
        <v>24138</v>
      </c>
      <c r="BA1762" s="6" t="s">
        <v>24480</v>
      </c>
      <c r="BB1762" s="6" t="s">
        <v>104</v>
      </c>
      <c r="BC1762" s="26"/>
      <c r="BD1762" s="26"/>
      <c r="BE1762" s="26"/>
      <c r="BF1762" s="26"/>
      <c r="BG1762" s="26"/>
      <c r="BH1762" s="26"/>
      <c r="BI1762" s="26"/>
      <c r="BJ1762" s="26"/>
      <c r="BK1762" s="26"/>
      <c r="BL1762" s="26"/>
      <c r="BM1762" s="26"/>
      <c r="BN1762" s="26"/>
      <c r="BO1762" s="26"/>
      <c r="BP1762" s="16" t="n">
        <v>45667</v>
      </c>
      <c r="BQ1762" s="28" t="str">
        <f>HYPERLINK("https://organic.ams.usda.gov/Integrity/Certificate.aspx?cid=15&amp;nopid=5561001655")</f>
        <v>https://organic.ams.usda.gov/Integrity/Certificate.aspx?cid=15&amp;nopid=5561001655</v>
      </c>
    </row>
    <row r="1763">
      <c r="A1763" t="s">
        <v>3</v>
      </c>
      <c r="B1763" s="6" t="s">
        <v>18</v>
      </c>
      <c r="C1763" s="6" t="s">
        <v>84</v>
      </c>
      <c r="D1763" s="6" t="s">
        <v>149</v>
      </c>
      <c r="E1763" s="10" t="s">
        <v>1961</v>
      </c>
      <c r="F1763" s="6" t="s">
        <v>4186</v>
      </c>
      <c r="G1763" s="6" t="s">
        <v>4847</v>
      </c>
      <c r="H1763" s="6" t="s">
        <v>6490</v>
      </c>
      <c r="I1763" s="6" t="s">
        <v>7085</v>
      </c>
      <c r="J1763" s="6" t="s">
        <v>9402</v>
      </c>
      <c r="K1763" s="6" t="s">
        <v>9714</v>
      </c>
      <c r="L1763" s="16" t="n">
        <v>40168</v>
      </c>
      <c r="M1763" s="16" t="n">
        <v>45870</v>
      </c>
      <c r="N1763" s="6" t="s">
        <v>9714</v>
      </c>
      <c r="O1763" s="16" t="n">
        <v>40168</v>
      </c>
      <c r="P1763" s="6" t="s">
        <v>10188</v>
      </c>
      <c r="Q1763" s="6" t="s">
        <v>104</v>
      </c>
      <c r="R1763" s="6" t="s">
        <v>10424</v>
      </c>
      <c r="S1763" s="6" t="s">
        <v>104</v>
      </c>
      <c r="T1763" s="21" t="s">
        <v>104</v>
      </c>
      <c r="U1763" s="6" t="s">
        <v>104</v>
      </c>
      <c r="V1763" s="6" t="s">
        <v>104</v>
      </c>
      <c r="W1763" s="6" t="s">
        <v>104</v>
      </c>
      <c r="X1763" s="6" t="s">
        <v>104</v>
      </c>
      <c r="Y1763" s="21" t="s">
        <v>104</v>
      </c>
      <c r="Z1763" s="6" t="s">
        <v>104</v>
      </c>
      <c r="AA1763" s="6" t="s">
        <v>104</v>
      </c>
      <c r="AB1763" s="6" t="s">
        <v>104</v>
      </c>
      <c r="AC1763" s="6" t="s">
        <v>9714</v>
      </c>
      <c r="AD1763" s="16" t="n">
        <v>44041</v>
      </c>
      <c r="AE1763" s="6" t="s">
        <v>12058</v>
      </c>
      <c r="AF1763" s="6" t="s">
        <v>104</v>
      </c>
      <c r="AG1763" s="6" t="s">
        <v>13024</v>
      </c>
      <c r="AH1763" s="6" t="s">
        <v>14769</v>
      </c>
      <c r="AI1763" s="6" t="s">
        <v>104</v>
      </c>
      <c r="AJ1763" s="6" t="s">
        <v>16440</v>
      </c>
      <c r="AK1763" s="6" t="s">
        <v>16738</v>
      </c>
      <c r="AL1763" s="6" t="s">
        <v>16931</v>
      </c>
      <c r="AM1763" s="6" t="s">
        <v>18156</v>
      </c>
      <c r="AN1763" s="6" t="s">
        <v>18501</v>
      </c>
      <c r="AO1763" s="6" t="s">
        <v>18633</v>
      </c>
      <c r="AP1763" s="6" t="s">
        <v>104</v>
      </c>
      <c r="AQ1763" s="6" t="s">
        <v>104</v>
      </c>
      <c r="AR1763" s="6" t="s">
        <v>104</v>
      </c>
      <c r="AS1763" s="6" t="s">
        <v>104</v>
      </c>
      <c r="AT1763" s="6" t="s">
        <v>104</v>
      </c>
      <c r="AU1763" s="6" t="s">
        <v>104</v>
      </c>
      <c r="AV1763" s="6" t="s">
        <v>104</v>
      </c>
      <c r="AW1763" s="6" t="s">
        <v>104</v>
      </c>
      <c r="AX1763" s="6" t="s">
        <v>21492</v>
      </c>
      <c r="AY1763" s="6" t="s">
        <v>23300</v>
      </c>
      <c r="AZ1763" s="6" t="s">
        <v>104</v>
      </c>
      <c r="BA1763" s="6" t="s">
        <v>24481</v>
      </c>
      <c r="BB1763" s="24" t="n">
        <v>386</v>
      </c>
      <c r="BC1763" s="26"/>
      <c r="BD1763" s="26"/>
      <c r="BE1763" s="26"/>
      <c r="BF1763" s="26"/>
      <c r="BG1763" s="26"/>
      <c r="BH1763" s="26"/>
      <c r="BI1763" s="26"/>
      <c r="BJ1763" s="26"/>
      <c r="BK1763" s="26"/>
      <c r="BL1763" s="26"/>
      <c r="BM1763" s="26"/>
      <c r="BN1763" s="26" t="s">
        <v>24533</v>
      </c>
      <c r="BO1763" s="26"/>
      <c r="BP1763" s="16" t="n">
        <v>45737</v>
      </c>
      <c r="BQ1763" s="28" t="str">
        <f>HYPERLINK("https://organic.ams.usda.gov/Integrity/Certificate.aspx?cid=31&amp;nopid=3920897930")</f>
        <v>https://organic.ams.usda.gov/Integrity/Certificate.aspx?cid=31&amp;nopid=3920897930</v>
      </c>
    </row>
    <row r="1764">
      <c r="A1764" t="s">
        <v>3</v>
      </c>
      <c r="B1764" s="6" t="s">
        <v>14</v>
      </c>
      <c r="C1764" s="6" t="s">
        <v>80</v>
      </c>
      <c r="D1764" s="6" t="s">
        <v>145</v>
      </c>
      <c r="E1764" s="10" t="s">
        <v>1962</v>
      </c>
      <c r="F1764" s="6" t="s">
        <v>4187</v>
      </c>
      <c r="G1764" s="6" t="s">
        <v>104</v>
      </c>
      <c r="H1764" s="6" t="s">
        <v>6491</v>
      </c>
      <c r="I1764" s="6" t="s">
        <v>7921</v>
      </c>
      <c r="J1764" s="6" t="s">
        <v>9403</v>
      </c>
      <c r="K1764" s="6" t="s">
        <v>9714</v>
      </c>
      <c r="L1764" s="16" t="n">
        <v>44642</v>
      </c>
      <c r="M1764" s="16" t="n">
        <v>45640</v>
      </c>
      <c r="N1764" s="6" t="s">
        <v>104</v>
      </c>
      <c r="O1764" s="21" t="s">
        <v>104</v>
      </c>
      <c r="P1764" s="6" t="s">
        <v>104</v>
      </c>
      <c r="Q1764" s="6" t="s">
        <v>104</v>
      </c>
      <c r="R1764" s="6" t="s">
        <v>104</v>
      </c>
      <c r="S1764" s="6" t="s">
        <v>104</v>
      </c>
      <c r="T1764" s="21" t="s">
        <v>104</v>
      </c>
      <c r="U1764" s="6" t="s">
        <v>104</v>
      </c>
      <c r="V1764" s="6" t="s">
        <v>104</v>
      </c>
      <c r="W1764" s="6" t="s">
        <v>104</v>
      </c>
      <c r="X1764" s="6" t="s">
        <v>104</v>
      </c>
      <c r="Y1764" s="21" t="s">
        <v>104</v>
      </c>
      <c r="Z1764" s="6" t="s">
        <v>104</v>
      </c>
      <c r="AA1764" s="6" t="s">
        <v>104</v>
      </c>
      <c r="AB1764" s="6" t="s">
        <v>104</v>
      </c>
      <c r="AC1764" s="6" t="s">
        <v>9714</v>
      </c>
      <c r="AD1764" s="16" t="n">
        <v>44642</v>
      </c>
      <c r="AE1764" s="6" t="s">
        <v>12059</v>
      </c>
      <c r="AF1764" s="6" t="s">
        <v>104</v>
      </c>
      <c r="AG1764" s="6" t="s">
        <v>104</v>
      </c>
      <c r="AH1764" s="6" t="s">
        <v>14770</v>
      </c>
      <c r="AI1764" s="6" t="s">
        <v>104</v>
      </c>
      <c r="AJ1764" s="6" t="s">
        <v>16441</v>
      </c>
      <c r="AK1764" s="6" t="s">
        <v>16697</v>
      </c>
      <c r="AL1764" s="6" t="s">
        <v>16932</v>
      </c>
      <c r="AM1764" s="6" t="s">
        <v>18157</v>
      </c>
      <c r="AN1764" s="6" t="s">
        <v>104</v>
      </c>
      <c r="AO1764" s="6" t="s">
        <v>104</v>
      </c>
      <c r="AP1764" s="6" t="s">
        <v>104</v>
      </c>
      <c r="AQ1764" s="6" t="s">
        <v>104</v>
      </c>
      <c r="AR1764" s="6" t="s">
        <v>104</v>
      </c>
      <c r="AS1764" s="6" t="s">
        <v>104</v>
      </c>
      <c r="AT1764" s="6" t="s">
        <v>104</v>
      </c>
      <c r="AU1764" s="6" t="s">
        <v>104</v>
      </c>
      <c r="AV1764" s="6" t="s">
        <v>104</v>
      </c>
      <c r="AW1764" s="6" t="s">
        <v>104</v>
      </c>
      <c r="AX1764" s="6" t="s">
        <v>21493</v>
      </c>
      <c r="AY1764" s="6" t="s">
        <v>23301</v>
      </c>
      <c r="AZ1764" s="6" t="s">
        <v>104</v>
      </c>
      <c r="BA1764" s="6" t="s">
        <v>104</v>
      </c>
      <c r="BB1764" s="6" t="s">
        <v>104</v>
      </c>
      <c r="BC1764" s="26"/>
      <c r="BD1764" s="26"/>
      <c r="BE1764" s="26"/>
      <c r="BF1764" s="26"/>
      <c r="BG1764" s="26"/>
      <c r="BH1764" s="26"/>
      <c r="BI1764" s="26"/>
      <c r="BJ1764" s="26"/>
      <c r="BK1764" s="26"/>
      <c r="BL1764" s="26"/>
      <c r="BM1764" s="26"/>
      <c r="BN1764" s="26"/>
      <c r="BO1764" s="26"/>
      <c r="BP1764" s="16" t="n">
        <v>45395</v>
      </c>
      <c r="BQ1764" s="28" t="str">
        <f>HYPERLINK("https://organic.ams.usda.gov/Integrity/Certificate.aspx?cid=89&amp;nopid=4920005517")</f>
        <v>https://organic.ams.usda.gov/Integrity/Certificate.aspx?cid=89&amp;nopid=4920005517</v>
      </c>
    </row>
    <row r="1765">
      <c r="A1765" t="s">
        <v>3</v>
      </c>
      <c r="B1765" s="6" t="s">
        <v>14</v>
      </c>
      <c r="C1765" s="6" t="s">
        <v>80</v>
      </c>
      <c r="D1765" s="6" t="s">
        <v>145</v>
      </c>
      <c r="E1765" s="10" t="s">
        <v>1963</v>
      </c>
      <c r="F1765" s="6" t="s">
        <v>4188</v>
      </c>
      <c r="G1765" s="6" t="s">
        <v>104</v>
      </c>
      <c r="H1765" s="6" t="s">
        <v>6492</v>
      </c>
      <c r="I1765" s="6" t="s">
        <v>7526</v>
      </c>
      <c r="J1765" s="6" t="s">
        <v>9252</v>
      </c>
      <c r="K1765" s="6" t="s">
        <v>9714</v>
      </c>
      <c r="L1765" s="16" t="n">
        <v>45663</v>
      </c>
      <c r="M1765" s="16" t="n">
        <v>45891</v>
      </c>
      <c r="N1765" s="6" t="s">
        <v>9714</v>
      </c>
      <c r="O1765" s="16" t="n">
        <v>45663</v>
      </c>
      <c r="P1765" s="6" t="s">
        <v>10189</v>
      </c>
      <c r="Q1765" s="6" t="s">
        <v>104</v>
      </c>
      <c r="R1765" s="6" t="s">
        <v>104</v>
      </c>
      <c r="S1765" s="6" t="s">
        <v>104</v>
      </c>
      <c r="T1765" s="21" t="s">
        <v>104</v>
      </c>
      <c r="U1765" s="6" t="s">
        <v>104</v>
      </c>
      <c r="V1765" s="6" t="s">
        <v>104</v>
      </c>
      <c r="W1765" s="6" t="s">
        <v>104</v>
      </c>
      <c r="X1765" s="6" t="s">
        <v>104</v>
      </c>
      <c r="Y1765" s="21" t="s">
        <v>104</v>
      </c>
      <c r="Z1765" s="6" t="s">
        <v>104</v>
      </c>
      <c r="AA1765" s="6" t="s">
        <v>104</v>
      </c>
      <c r="AB1765" s="6" t="s">
        <v>104</v>
      </c>
      <c r="AC1765" s="6" t="s">
        <v>104</v>
      </c>
      <c r="AD1765" s="21" t="s">
        <v>104</v>
      </c>
      <c r="AE1765" s="6" t="s">
        <v>104</v>
      </c>
      <c r="AF1765" s="6" t="s">
        <v>104</v>
      </c>
      <c r="AG1765" s="6" t="s">
        <v>104</v>
      </c>
      <c r="AH1765" s="6" t="s">
        <v>14771</v>
      </c>
      <c r="AI1765" s="6" t="s">
        <v>104</v>
      </c>
      <c r="AJ1765" s="6" t="s">
        <v>16442</v>
      </c>
      <c r="AK1765" s="6" t="s">
        <v>15885</v>
      </c>
      <c r="AL1765" s="6" t="s">
        <v>16932</v>
      </c>
      <c r="AM1765" s="6" t="s">
        <v>18014</v>
      </c>
      <c r="AN1765" s="6" t="s">
        <v>104</v>
      </c>
      <c r="AO1765" s="6" t="s">
        <v>104</v>
      </c>
      <c r="AP1765" s="6" t="s">
        <v>19423</v>
      </c>
      <c r="AQ1765" s="6" t="s">
        <v>104</v>
      </c>
      <c r="AR1765" s="6" t="s">
        <v>16319</v>
      </c>
      <c r="AS1765" s="6" t="s">
        <v>15885</v>
      </c>
      <c r="AT1765" s="6" t="s">
        <v>16932</v>
      </c>
      <c r="AU1765" s="6" t="s">
        <v>19999</v>
      </c>
      <c r="AV1765" s="6" t="s">
        <v>104</v>
      </c>
      <c r="AW1765" s="6" t="s">
        <v>104</v>
      </c>
      <c r="AX1765" s="6" t="s">
        <v>104</v>
      </c>
      <c r="AY1765" s="6" t="s">
        <v>22596</v>
      </c>
      <c r="AZ1765" s="6" t="s">
        <v>104</v>
      </c>
      <c r="BA1765" s="6" t="s">
        <v>104</v>
      </c>
      <c r="BB1765" s="24" t="n">
        <v>900</v>
      </c>
      <c r="BC1765" s="26"/>
      <c r="BD1765" s="26"/>
      <c r="BE1765" s="26"/>
      <c r="BF1765" s="26"/>
      <c r="BG1765" s="26"/>
      <c r="BH1765" s="26"/>
      <c r="BI1765" s="26"/>
      <c r="BJ1765" s="26"/>
      <c r="BK1765" s="26"/>
      <c r="BL1765" s="26"/>
      <c r="BM1765" s="26"/>
      <c r="BN1765" s="26"/>
      <c r="BO1765" s="26"/>
      <c r="BP1765" s="16" t="n">
        <v>45663</v>
      </c>
      <c r="BQ1765" s="28" t="str">
        <f>HYPERLINK("https://organic.ams.usda.gov/Integrity/Certificate.aspx?cid=89&amp;nopid=4920007050")</f>
        <v>https://organic.ams.usda.gov/Integrity/Certificate.aspx?cid=89&amp;nopid=4920007050</v>
      </c>
    </row>
    <row r="1766">
      <c r="A1766" t="s">
        <v>3</v>
      </c>
      <c r="B1766" s="6" t="s">
        <v>45</v>
      </c>
      <c r="C1766" s="6" t="s">
        <v>111</v>
      </c>
      <c r="D1766" s="6" t="s">
        <v>175</v>
      </c>
      <c r="E1766" s="10" t="s">
        <v>1964</v>
      </c>
      <c r="F1766" s="6" t="s">
        <v>4189</v>
      </c>
      <c r="G1766" s="6" t="s">
        <v>104</v>
      </c>
      <c r="H1766" s="6" t="s">
        <v>6493</v>
      </c>
      <c r="I1766" s="6" t="s">
        <v>7238</v>
      </c>
      <c r="J1766" s="6" t="s">
        <v>9404</v>
      </c>
      <c r="K1766" s="6" t="s">
        <v>9714</v>
      </c>
      <c r="L1766" s="16" t="n">
        <v>44337</v>
      </c>
      <c r="M1766" s="16" t="n">
        <v>46082</v>
      </c>
      <c r="N1766" s="6" t="s">
        <v>9714</v>
      </c>
      <c r="O1766" s="16" t="n">
        <v>44337</v>
      </c>
      <c r="P1766" s="6" t="s">
        <v>10190</v>
      </c>
      <c r="Q1766" s="6" t="s">
        <v>104</v>
      </c>
      <c r="R1766" s="6" t="s">
        <v>4667</v>
      </c>
      <c r="S1766" s="6" t="s">
        <v>104</v>
      </c>
      <c r="T1766" s="21" t="s">
        <v>104</v>
      </c>
      <c r="U1766" s="6" t="s">
        <v>104</v>
      </c>
      <c r="V1766" s="6" t="s">
        <v>104</v>
      </c>
      <c r="W1766" s="6" t="s">
        <v>104</v>
      </c>
      <c r="X1766" s="6" t="s">
        <v>104</v>
      </c>
      <c r="Y1766" s="21" t="s">
        <v>104</v>
      </c>
      <c r="Z1766" s="6" t="s">
        <v>104</v>
      </c>
      <c r="AA1766" s="6" t="s">
        <v>104</v>
      </c>
      <c r="AB1766" s="6" t="s">
        <v>104</v>
      </c>
      <c r="AC1766" s="6" t="s">
        <v>104</v>
      </c>
      <c r="AD1766" s="21" t="s">
        <v>104</v>
      </c>
      <c r="AE1766" s="6" t="s">
        <v>104</v>
      </c>
      <c r="AF1766" s="6" t="s">
        <v>104</v>
      </c>
      <c r="AG1766" s="6" t="s">
        <v>104</v>
      </c>
      <c r="AH1766" s="6" t="s">
        <v>14772</v>
      </c>
      <c r="AI1766" s="6" t="s">
        <v>104</v>
      </c>
      <c r="AJ1766" s="6" t="s">
        <v>16237</v>
      </c>
      <c r="AK1766" s="6" t="s">
        <v>16382</v>
      </c>
      <c r="AL1766" s="6" t="s">
        <v>16931</v>
      </c>
      <c r="AM1766" s="6" t="s">
        <v>17907</v>
      </c>
      <c r="AN1766" s="6" t="s">
        <v>104</v>
      </c>
      <c r="AO1766" s="6" t="s">
        <v>104</v>
      </c>
      <c r="AP1766" s="6" t="s">
        <v>19424</v>
      </c>
      <c r="AQ1766" s="6" t="s">
        <v>104</v>
      </c>
      <c r="AR1766" s="6" t="s">
        <v>16237</v>
      </c>
      <c r="AS1766" s="6" t="s">
        <v>16382</v>
      </c>
      <c r="AT1766" s="6" t="s">
        <v>16931</v>
      </c>
      <c r="AU1766" s="6" t="s">
        <v>17907</v>
      </c>
      <c r="AV1766" s="6" t="s">
        <v>18508</v>
      </c>
      <c r="AW1766" s="6" t="s">
        <v>20098</v>
      </c>
      <c r="AX1766" s="6" t="s">
        <v>21494</v>
      </c>
      <c r="AY1766" s="6" t="s">
        <v>23302</v>
      </c>
      <c r="AZ1766" s="6" t="s">
        <v>24139</v>
      </c>
      <c r="BA1766" s="6" t="s">
        <v>104</v>
      </c>
      <c r="BB1766" s="24" t="n">
        <v>2</v>
      </c>
      <c r="BC1766" s="26"/>
      <c r="BD1766" s="26"/>
      <c r="BE1766" s="26"/>
      <c r="BF1766" s="26"/>
      <c r="BG1766" s="26"/>
      <c r="BH1766" s="26"/>
      <c r="BI1766" s="26"/>
      <c r="BJ1766" s="26"/>
      <c r="BK1766" s="26"/>
      <c r="BL1766" s="26"/>
      <c r="BM1766" s="26"/>
      <c r="BN1766" s="26"/>
      <c r="BO1766" s="26"/>
      <c r="BP1766" s="16" t="n">
        <v>45739</v>
      </c>
      <c r="BQ1766" s="28" t="str">
        <f>HYPERLINK("https://organic.ams.usda.gov/Integrity/Certificate.aspx?cid=82&amp;nopid=2780003765")</f>
        <v>https://organic.ams.usda.gov/Integrity/Certificate.aspx?cid=82&amp;nopid=2780003765</v>
      </c>
    </row>
    <row r="1767">
      <c r="A1767" t="s">
        <v>3</v>
      </c>
      <c r="B1767" s="6" t="s">
        <v>20</v>
      </c>
      <c r="C1767" s="6" t="s">
        <v>86</v>
      </c>
      <c r="D1767" s="6" t="s">
        <v>151</v>
      </c>
      <c r="E1767" s="10" t="s">
        <v>1965</v>
      </c>
      <c r="F1767" s="6" t="s">
        <v>4190</v>
      </c>
      <c r="G1767" s="6" t="s">
        <v>104</v>
      </c>
      <c r="H1767" s="6" t="s">
        <v>6494</v>
      </c>
      <c r="I1767" s="6" t="s">
        <v>7922</v>
      </c>
      <c r="J1767" s="6" t="s">
        <v>7094</v>
      </c>
      <c r="K1767" s="6" t="s">
        <v>9714</v>
      </c>
      <c r="L1767" s="16" t="n">
        <v>45705</v>
      </c>
      <c r="M1767" s="16" t="n">
        <v>46081</v>
      </c>
      <c r="N1767" s="6" t="s">
        <v>104</v>
      </c>
      <c r="O1767" s="21" t="s">
        <v>104</v>
      </c>
      <c r="P1767" s="6" t="s">
        <v>104</v>
      </c>
      <c r="Q1767" s="6" t="s">
        <v>104</v>
      </c>
      <c r="R1767" s="6" t="s">
        <v>104</v>
      </c>
      <c r="S1767" s="6" t="s">
        <v>104</v>
      </c>
      <c r="T1767" s="21" t="s">
        <v>104</v>
      </c>
      <c r="U1767" s="6" t="s">
        <v>104</v>
      </c>
      <c r="V1767" s="6" t="s">
        <v>104</v>
      </c>
      <c r="W1767" s="6" t="s">
        <v>104</v>
      </c>
      <c r="X1767" s="6" t="s">
        <v>104</v>
      </c>
      <c r="Y1767" s="21" t="s">
        <v>104</v>
      </c>
      <c r="Z1767" s="6" t="s">
        <v>104</v>
      </c>
      <c r="AA1767" s="6" t="s">
        <v>104</v>
      </c>
      <c r="AB1767" s="6" t="s">
        <v>104</v>
      </c>
      <c r="AC1767" s="6" t="s">
        <v>9714</v>
      </c>
      <c r="AD1767" s="16" t="n">
        <v>45705</v>
      </c>
      <c r="AE1767" s="6" t="s">
        <v>12060</v>
      </c>
      <c r="AF1767" s="6" t="s">
        <v>104</v>
      </c>
      <c r="AG1767" s="6" t="s">
        <v>13025</v>
      </c>
      <c r="AH1767" s="6" t="s">
        <v>14773</v>
      </c>
      <c r="AI1767" s="6" t="s">
        <v>104</v>
      </c>
      <c r="AJ1767" s="6" t="s">
        <v>16303</v>
      </c>
      <c r="AK1767" s="6" t="s">
        <v>16776</v>
      </c>
      <c r="AL1767" s="6" t="s">
        <v>16766</v>
      </c>
      <c r="AM1767" s="6" t="s">
        <v>17994</v>
      </c>
      <c r="AN1767" s="6" t="s">
        <v>104</v>
      </c>
      <c r="AO1767" s="6" t="s">
        <v>104</v>
      </c>
      <c r="AP1767" s="6" t="s">
        <v>104</v>
      </c>
      <c r="AQ1767" s="6" t="s">
        <v>104</v>
      </c>
      <c r="AR1767" s="6" t="s">
        <v>104</v>
      </c>
      <c r="AS1767" s="6" t="s">
        <v>104</v>
      </c>
      <c r="AT1767" s="6" t="s">
        <v>104</v>
      </c>
      <c r="AU1767" s="6" t="s">
        <v>104</v>
      </c>
      <c r="AV1767" s="6" t="s">
        <v>104</v>
      </c>
      <c r="AW1767" s="6" t="s">
        <v>104</v>
      </c>
      <c r="AX1767" s="6" t="s">
        <v>21495</v>
      </c>
      <c r="AY1767" s="6" t="s">
        <v>23303</v>
      </c>
      <c r="AZ1767" s="6" t="s">
        <v>104</v>
      </c>
      <c r="BA1767" s="6" t="s">
        <v>104</v>
      </c>
      <c r="BB1767" s="6" t="s">
        <v>104</v>
      </c>
      <c r="BC1767" s="26"/>
      <c r="BD1767" s="26"/>
      <c r="BE1767" s="26"/>
      <c r="BF1767" s="26"/>
      <c r="BG1767" s="26"/>
      <c r="BH1767" s="26"/>
      <c r="BI1767" s="26"/>
      <c r="BJ1767" s="26"/>
      <c r="BK1767" s="26"/>
      <c r="BL1767" s="26"/>
      <c r="BM1767" s="26"/>
      <c r="BN1767" s="26"/>
      <c r="BO1767" s="26"/>
      <c r="BP1767" s="16" t="n">
        <v>45707</v>
      </c>
      <c r="BQ1767" s="28" t="str">
        <f>HYPERLINK("https://organic.ams.usda.gov/Integrity/Certificate.aspx?cid=17&amp;nopid=4080208576")</f>
        <v>https://organic.ams.usda.gov/Integrity/Certificate.aspx?cid=17&amp;nopid=4080208576</v>
      </c>
    </row>
    <row r="1768">
      <c r="A1768" t="s">
        <v>3</v>
      </c>
      <c r="B1768" s="6" t="s">
        <v>41</v>
      </c>
      <c r="C1768" s="6" t="s">
        <v>107</v>
      </c>
      <c r="D1768" s="6" t="s">
        <v>171</v>
      </c>
      <c r="E1768" s="10" t="s">
        <v>1966</v>
      </c>
      <c r="F1768" s="6" t="s">
        <v>4191</v>
      </c>
      <c r="G1768" s="6" t="s">
        <v>4848</v>
      </c>
      <c r="H1768" s="6" t="s">
        <v>6495</v>
      </c>
      <c r="I1768" s="6" t="s">
        <v>7923</v>
      </c>
      <c r="J1768" s="6" t="s">
        <v>9405</v>
      </c>
      <c r="K1768" s="6" t="s">
        <v>9714</v>
      </c>
      <c r="L1768" s="16" t="n">
        <v>43045</v>
      </c>
      <c r="M1768" s="16" t="n">
        <v>45901</v>
      </c>
      <c r="N1768" s="6" t="s">
        <v>104</v>
      </c>
      <c r="O1768" s="21" t="s">
        <v>104</v>
      </c>
      <c r="P1768" s="6" t="s">
        <v>104</v>
      </c>
      <c r="Q1768" s="6" t="s">
        <v>104</v>
      </c>
      <c r="R1768" s="6" t="s">
        <v>104</v>
      </c>
      <c r="S1768" s="6" t="s">
        <v>104</v>
      </c>
      <c r="T1768" s="21" t="s">
        <v>104</v>
      </c>
      <c r="U1768" s="6" t="s">
        <v>104</v>
      </c>
      <c r="V1768" s="6" t="s">
        <v>104</v>
      </c>
      <c r="W1768" s="6" t="s">
        <v>104</v>
      </c>
      <c r="X1768" s="6" t="s">
        <v>104</v>
      </c>
      <c r="Y1768" s="21" t="s">
        <v>104</v>
      </c>
      <c r="Z1768" s="6" t="s">
        <v>104</v>
      </c>
      <c r="AA1768" s="6" t="s">
        <v>104</v>
      </c>
      <c r="AB1768" s="6" t="s">
        <v>104</v>
      </c>
      <c r="AC1768" s="6" t="s">
        <v>9714</v>
      </c>
      <c r="AD1768" s="16" t="n">
        <v>43045</v>
      </c>
      <c r="AE1768" s="6" t="s">
        <v>12061</v>
      </c>
      <c r="AF1768" s="6" t="s">
        <v>104</v>
      </c>
      <c r="AG1768" s="6" t="s">
        <v>104</v>
      </c>
      <c r="AH1768" s="6" t="s">
        <v>14774</v>
      </c>
      <c r="AI1768" s="6" t="s">
        <v>104</v>
      </c>
      <c r="AJ1768" s="6" t="s">
        <v>15766</v>
      </c>
      <c r="AK1768" s="6" t="s">
        <v>16686</v>
      </c>
      <c r="AL1768" s="6" t="s">
        <v>16931</v>
      </c>
      <c r="AM1768" s="6" t="s">
        <v>17388</v>
      </c>
      <c r="AN1768" s="6" t="s">
        <v>18460</v>
      </c>
      <c r="AO1768" s="6" t="s">
        <v>18566</v>
      </c>
      <c r="AP1768" s="6" t="s">
        <v>14774</v>
      </c>
      <c r="AQ1768" s="6" t="s">
        <v>104</v>
      </c>
      <c r="AR1768" s="6" t="s">
        <v>15766</v>
      </c>
      <c r="AS1768" s="6" t="s">
        <v>16686</v>
      </c>
      <c r="AT1768" s="6" t="s">
        <v>16931</v>
      </c>
      <c r="AU1768" s="6" t="s">
        <v>17388</v>
      </c>
      <c r="AV1768" s="6" t="s">
        <v>104</v>
      </c>
      <c r="AW1768" s="6" t="s">
        <v>104</v>
      </c>
      <c r="AX1768" s="6" t="s">
        <v>21496</v>
      </c>
      <c r="AY1768" s="6" t="s">
        <v>104</v>
      </c>
      <c r="AZ1768" s="6" t="s">
        <v>104</v>
      </c>
      <c r="BA1768" s="6" t="s">
        <v>104</v>
      </c>
      <c r="BB1768" s="6" t="s">
        <v>104</v>
      </c>
      <c r="BC1768" s="26" t="s">
        <v>24533</v>
      </c>
      <c r="BD1768" s="26"/>
      <c r="BE1768" s="26"/>
      <c r="BF1768" s="26"/>
      <c r="BG1768" s="26" t="s">
        <v>24533</v>
      </c>
      <c r="BH1768" s="26"/>
      <c r="BI1768" s="26"/>
      <c r="BJ1768" s="26"/>
      <c r="BK1768" s="26"/>
      <c r="BL1768" s="26" t="s">
        <v>24533</v>
      </c>
      <c r="BM1768" s="26"/>
      <c r="BN1768" s="26" t="s">
        <v>24533</v>
      </c>
      <c r="BO1768" s="26"/>
      <c r="BP1768" s="16" t="n">
        <v>45737</v>
      </c>
      <c r="BQ1768" s="28" t="str">
        <f>HYPERLINK("https://organic.ams.usda.gov/Integrity/Certificate.aspx?cid=58&amp;nopid=1600002958")</f>
        <v>https://organic.ams.usda.gov/Integrity/Certificate.aspx?cid=58&amp;nopid=1600002958</v>
      </c>
    </row>
    <row r="1769">
      <c r="A1769" t="s">
        <v>3</v>
      </c>
      <c r="B1769" s="6" t="s">
        <v>14</v>
      </c>
      <c r="C1769" s="6" t="s">
        <v>80</v>
      </c>
      <c r="D1769" s="6" t="s">
        <v>145</v>
      </c>
      <c r="E1769" s="10" t="s">
        <v>1967</v>
      </c>
      <c r="F1769" s="6" t="s">
        <v>4192</v>
      </c>
      <c r="G1769" s="6" t="s">
        <v>104</v>
      </c>
      <c r="H1769" s="6" t="s">
        <v>6496</v>
      </c>
      <c r="I1769" s="6" t="s">
        <v>7924</v>
      </c>
      <c r="J1769" s="6" t="s">
        <v>9406</v>
      </c>
      <c r="K1769" s="6" t="s">
        <v>9714</v>
      </c>
      <c r="L1769" s="16" t="n">
        <v>45673</v>
      </c>
      <c r="M1769" s="16" t="n">
        <v>45968</v>
      </c>
      <c r="N1769" s="6" t="s">
        <v>104</v>
      </c>
      <c r="O1769" s="21" t="s">
        <v>104</v>
      </c>
      <c r="P1769" s="6" t="s">
        <v>104</v>
      </c>
      <c r="Q1769" s="6" t="s">
        <v>104</v>
      </c>
      <c r="R1769" s="6" t="s">
        <v>104</v>
      </c>
      <c r="S1769" s="6" t="s">
        <v>104</v>
      </c>
      <c r="T1769" s="21" t="s">
        <v>104</v>
      </c>
      <c r="U1769" s="6" t="s">
        <v>104</v>
      </c>
      <c r="V1769" s="6" t="s">
        <v>104</v>
      </c>
      <c r="W1769" s="6" t="s">
        <v>104</v>
      </c>
      <c r="X1769" s="6" t="s">
        <v>104</v>
      </c>
      <c r="Y1769" s="21" t="s">
        <v>104</v>
      </c>
      <c r="Z1769" s="6" t="s">
        <v>104</v>
      </c>
      <c r="AA1769" s="6" t="s">
        <v>104</v>
      </c>
      <c r="AB1769" s="6" t="s">
        <v>104</v>
      </c>
      <c r="AC1769" s="6" t="s">
        <v>9714</v>
      </c>
      <c r="AD1769" s="16" t="n">
        <v>45673</v>
      </c>
      <c r="AE1769" s="6" t="s">
        <v>12062</v>
      </c>
      <c r="AF1769" s="6" t="s">
        <v>104</v>
      </c>
      <c r="AG1769" s="6" t="s">
        <v>104</v>
      </c>
      <c r="AH1769" s="6" t="s">
        <v>14775</v>
      </c>
      <c r="AI1769" s="6" t="s">
        <v>104</v>
      </c>
      <c r="AJ1769" s="6" t="s">
        <v>15769</v>
      </c>
      <c r="AK1769" s="6" t="s">
        <v>16699</v>
      </c>
      <c r="AL1769" s="6" t="s">
        <v>16932</v>
      </c>
      <c r="AM1769" s="6" t="s">
        <v>18158</v>
      </c>
      <c r="AN1769" s="6" t="s">
        <v>104</v>
      </c>
      <c r="AO1769" s="6" t="s">
        <v>104</v>
      </c>
      <c r="AP1769" s="6" t="s">
        <v>104</v>
      </c>
      <c r="AQ1769" s="6" t="s">
        <v>104</v>
      </c>
      <c r="AR1769" s="6" t="s">
        <v>104</v>
      </c>
      <c r="AS1769" s="6" t="s">
        <v>104</v>
      </c>
      <c r="AT1769" s="6" t="s">
        <v>104</v>
      </c>
      <c r="AU1769" s="6" t="s">
        <v>104</v>
      </c>
      <c r="AV1769" s="6" t="s">
        <v>104</v>
      </c>
      <c r="AW1769" s="6" t="s">
        <v>104</v>
      </c>
      <c r="AX1769" s="6" t="s">
        <v>21497</v>
      </c>
      <c r="AY1769" s="6" t="s">
        <v>23304</v>
      </c>
      <c r="AZ1769" s="6" t="s">
        <v>104</v>
      </c>
      <c r="BA1769" s="6" t="s">
        <v>24272</v>
      </c>
      <c r="BB1769" s="6" t="s">
        <v>104</v>
      </c>
      <c r="BC1769" s="26"/>
      <c r="BD1769" s="26"/>
      <c r="BE1769" s="26"/>
      <c r="BF1769" s="26"/>
      <c r="BG1769" s="26"/>
      <c r="BH1769" s="26" t="s">
        <v>24533</v>
      </c>
      <c r="BI1769" s="26"/>
      <c r="BJ1769" s="26"/>
      <c r="BK1769" s="26"/>
      <c r="BL1769" s="26"/>
      <c r="BM1769" s="26"/>
      <c r="BN1769" s="26" t="s">
        <v>24533</v>
      </c>
      <c r="BO1769" s="26"/>
      <c r="BP1769" s="16" t="n">
        <v>45727</v>
      </c>
      <c r="BQ1769" s="28" t="str">
        <f>HYPERLINK("https://organic.ams.usda.gov/Integrity/Certificate.aspx?cid=89&amp;nopid=4920007197")</f>
        <v>https://organic.ams.usda.gov/Integrity/Certificate.aspx?cid=89&amp;nopid=4920007197</v>
      </c>
    </row>
    <row r="1770">
      <c r="A1770" t="s">
        <v>3</v>
      </c>
      <c r="B1770" s="6" t="s">
        <v>14</v>
      </c>
      <c r="C1770" s="6" t="s">
        <v>80</v>
      </c>
      <c r="D1770" s="6" t="s">
        <v>145</v>
      </c>
      <c r="E1770" s="10" t="s">
        <v>1968</v>
      </c>
      <c r="F1770" s="6" t="s">
        <v>4192</v>
      </c>
      <c r="G1770" s="6" t="s">
        <v>104</v>
      </c>
      <c r="H1770" s="6" t="s">
        <v>6497</v>
      </c>
      <c r="I1770" s="6" t="s">
        <v>7924</v>
      </c>
      <c r="J1770" s="6" t="s">
        <v>9406</v>
      </c>
      <c r="K1770" s="6" t="s">
        <v>9714</v>
      </c>
      <c r="L1770" s="16" t="n">
        <v>45546</v>
      </c>
      <c r="M1770" s="16" t="n">
        <v>45839</v>
      </c>
      <c r="N1770" s="6" t="s">
        <v>104</v>
      </c>
      <c r="O1770" s="21" t="s">
        <v>104</v>
      </c>
      <c r="P1770" s="6" t="s">
        <v>104</v>
      </c>
      <c r="Q1770" s="6" t="s">
        <v>104</v>
      </c>
      <c r="R1770" s="6" t="s">
        <v>104</v>
      </c>
      <c r="S1770" s="6" t="s">
        <v>104</v>
      </c>
      <c r="T1770" s="21" t="s">
        <v>104</v>
      </c>
      <c r="U1770" s="6" t="s">
        <v>104</v>
      </c>
      <c r="V1770" s="6" t="s">
        <v>104</v>
      </c>
      <c r="W1770" s="6" t="s">
        <v>104</v>
      </c>
      <c r="X1770" s="6" t="s">
        <v>104</v>
      </c>
      <c r="Y1770" s="21" t="s">
        <v>104</v>
      </c>
      <c r="Z1770" s="6" t="s">
        <v>104</v>
      </c>
      <c r="AA1770" s="6" t="s">
        <v>104</v>
      </c>
      <c r="AB1770" s="6" t="s">
        <v>104</v>
      </c>
      <c r="AC1770" s="6" t="s">
        <v>9714</v>
      </c>
      <c r="AD1770" s="16" t="n">
        <v>45546</v>
      </c>
      <c r="AE1770" s="6" t="s">
        <v>12063</v>
      </c>
      <c r="AF1770" s="6" t="s">
        <v>104</v>
      </c>
      <c r="AG1770" s="6" t="s">
        <v>104</v>
      </c>
      <c r="AH1770" s="6" t="s">
        <v>14776</v>
      </c>
      <c r="AI1770" s="6" t="s">
        <v>104</v>
      </c>
      <c r="AJ1770" s="6" t="s">
        <v>15769</v>
      </c>
      <c r="AK1770" s="6" t="s">
        <v>16699</v>
      </c>
      <c r="AL1770" s="6" t="s">
        <v>16932</v>
      </c>
      <c r="AM1770" s="6" t="s">
        <v>18159</v>
      </c>
      <c r="AN1770" s="6" t="s">
        <v>104</v>
      </c>
      <c r="AO1770" s="6" t="s">
        <v>104</v>
      </c>
      <c r="AP1770" s="6" t="s">
        <v>104</v>
      </c>
      <c r="AQ1770" s="6" t="s">
        <v>104</v>
      </c>
      <c r="AR1770" s="6" t="s">
        <v>104</v>
      </c>
      <c r="AS1770" s="6" t="s">
        <v>104</v>
      </c>
      <c r="AT1770" s="6" t="s">
        <v>104</v>
      </c>
      <c r="AU1770" s="6" t="s">
        <v>104</v>
      </c>
      <c r="AV1770" s="6" t="s">
        <v>104</v>
      </c>
      <c r="AW1770" s="6" t="s">
        <v>104</v>
      </c>
      <c r="AX1770" s="6" t="s">
        <v>21498</v>
      </c>
      <c r="AY1770" s="6" t="s">
        <v>23304</v>
      </c>
      <c r="AZ1770" s="6" t="s">
        <v>104</v>
      </c>
      <c r="BA1770" s="6" t="s">
        <v>24413</v>
      </c>
      <c r="BB1770" s="6" t="s">
        <v>104</v>
      </c>
      <c r="BC1770" s="26"/>
      <c r="BD1770" s="26"/>
      <c r="BE1770" s="26"/>
      <c r="BF1770" s="26"/>
      <c r="BG1770" s="26"/>
      <c r="BH1770" s="26"/>
      <c r="BI1770" s="26"/>
      <c r="BJ1770" s="26"/>
      <c r="BK1770" s="26"/>
      <c r="BL1770" s="26"/>
      <c r="BM1770" s="26"/>
      <c r="BN1770" s="26"/>
      <c r="BO1770" s="26"/>
      <c r="BP1770" s="16" t="n">
        <v>45558</v>
      </c>
      <c r="BQ1770" s="28" t="str">
        <f>HYPERLINK("https://organic.ams.usda.gov/Integrity/Certificate.aspx?cid=89&amp;nopid=4920007016")</f>
        <v>https://organic.ams.usda.gov/Integrity/Certificate.aspx?cid=89&amp;nopid=4920007016</v>
      </c>
    </row>
    <row r="1771">
      <c r="A1771" t="s">
        <v>3</v>
      </c>
      <c r="B1771" s="6" t="s">
        <v>34</v>
      </c>
      <c r="C1771" s="6" t="s">
        <v>100</v>
      </c>
      <c r="D1771" s="6" t="s">
        <v>165</v>
      </c>
      <c r="E1771" s="10" t="s">
        <v>1969</v>
      </c>
      <c r="F1771" s="6" t="s">
        <v>4193</v>
      </c>
      <c r="G1771" s="6" t="s">
        <v>104</v>
      </c>
      <c r="H1771" s="6" t="s">
        <v>6498</v>
      </c>
      <c r="I1771" s="6" t="s">
        <v>7925</v>
      </c>
      <c r="J1771" s="6" t="s">
        <v>9407</v>
      </c>
      <c r="K1771" s="6" t="s">
        <v>9714</v>
      </c>
      <c r="L1771" s="16" t="n">
        <v>39482</v>
      </c>
      <c r="M1771" s="16" t="n">
        <v>45945</v>
      </c>
      <c r="N1771" s="6" t="s">
        <v>104</v>
      </c>
      <c r="O1771" s="21" t="s">
        <v>104</v>
      </c>
      <c r="P1771" s="6" t="s">
        <v>104</v>
      </c>
      <c r="Q1771" s="6" t="s">
        <v>104</v>
      </c>
      <c r="R1771" s="6" t="s">
        <v>104</v>
      </c>
      <c r="S1771" s="6" t="s">
        <v>104</v>
      </c>
      <c r="T1771" s="21" t="s">
        <v>104</v>
      </c>
      <c r="U1771" s="6" t="s">
        <v>104</v>
      </c>
      <c r="V1771" s="6" t="s">
        <v>104</v>
      </c>
      <c r="W1771" s="6" t="s">
        <v>104</v>
      </c>
      <c r="X1771" s="6" t="s">
        <v>104</v>
      </c>
      <c r="Y1771" s="21" t="s">
        <v>104</v>
      </c>
      <c r="Z1771" s="6" t="s">
        <v>104</v>
      </c>
      <c r="AA1771" s="6" t="s">
        <v>104</v>
      </c>
      <c r="AB1771" s="6" t="s">
        <v>104</v>
      </c>
      <c r="AC1771" s="6" t="s">
        <v>9714</v>
      </c>
      <c r="AD1771" s="16" t="n">
        <v>39482</v>
      </c>
      <c r="AE1771" s="6" t="s">
        <v>12064</v>
      </c>
      <c r="AF1771" s="6" t="s">
        <v>104</v>
      </c>
      <c r="AG1771" s="6" t="s">
        <v>13026</v>
      </c>
      <c r="AH1771" s="6" t="s">
        <v>14777</v>
      </c>
      <c r="AI1771" s="6" t="s">
        <v>104</v>
      </c>
      <c r="AJ1771" s="6" t="s">
        <v>16443</v>
      </c>
      <c r="AK1771" s="6" t="s">
        <v>16687</v>
      </c>
      <c r="AL1771" s="6" t="s">
        <v>16931</v>
      </c>
      <c r="AM1771" s="6" t="s">
        <v>18160</v>
      </c>
      <c r="AN1771" s="6" t="s">
        <v>18517</v>
      </c>
      <c r="AO1771" s="6" t="s">
        <v>18726</v>
      </c>
      <c r="AP1771" s="6" t="s">
        <v>19425</v>
      </c>
      <c r="AQ1771" s="6" t="s">
        <v>104</v>
      </c>
      <c r="AR1771" s="6" t="s">
        <v>16443</v>
      </c>
      <c r="AS1771" s="6" t="s">
        <v>16687</v>
      </c>
      <c r="AT1771" s="6" t="s">
        <v>16931</v>
      </c>
      <c r="AU1771" s="6" t="s">
        <v>18160</v>
      </c>
      <c r="AV1771" s="6" t="s">
        <v>104</v>
      </c>
      <c r="AW1771" s="6" t="s">
        <v>104</v>
      </c>
      <c r="AX1771" s="6" t="s">
        <v>21499</v>
      </c>
      <c r="AY1771" s="6" t="s">
        <v>23305</v>
      </c>
      <c r="AZ1771" s="6" t="s">
        <v>104</v>
      </c>
      <c r="BA1771" s="6" t="s">
        <v>104</v>
      </c>
      <c r="BB1771" s="6" t="s">
        <v>104</v>
      </c>
      <c r="BC1771" s="26"/>
      <c r="BD1771" s="26"/>
      <c r="BE1771" s="26"/>
      <c r="BF1771" s="26"/>
      <c r="BG1771" s="26"/>
      <c r="BH1771" s="26"/>
      <c r="BI1771" s="26"/>
      <c r="BJ1771" s="26"/>
      <c r="BK1771" s="26"/>
      <c r="BL1771" s="26" t="s">
        <v>24533</v>
      </c>
      <c r="BM1771" s="26"/>
      <c r="BN1771" s="26"/>
      <c r="BO1771" s="26"/>
      <c r="BP1771" s="16" t="n">
        <v>45737</v>
      </c>
      <c r="BQ1771" s="28" t="str">
        <f>HYPERLINK("https://organic.ams.usda.gov/Integrity/Certificate.aspx?cid=71&amp;nopid=5520030400")</f>
        <v>https://organic.ams.usda.gov/Integrity/Certificate.aspx?cid=71&amp;nopid=5520030400</v>
      </c>
    </row>
    <row r="1772">
      <c r="A1772" t="s">
        <v>3</v>
      </c>
      <c r="B1772" s="6" t="s">
        <v>51</v>
      </c>
      <c r="C1772" s="6" t="s">
        <v>117</v>
      </c>
      <c r="D1772" s="6" t="s">
        <v>181</v>
      </c>
      <c r="E1772" s="10" t="s">
        <v>1970</v>
      </c>
      <c r="F1772" s="6" t="s">
        <v>4194</v>
      </c>
      <c r="G1772" s="6" t="s">
        <v>104</v>
      </c>
      <c r="H1772" s="6" t="s">
        <v>6499</v>
      </c>
      <c r="I1772" s="6" t="s">
        <v>7926</v>
      </c>
      <c r="J1772" s="6" t="s">
        <v>104</v>
      </c>
      <c r="K1772" s="6" t="s">
        <v>9714</v>
      </c>
      <c r="L1772" s="16" t="n">
        <v>45624</v>
      </c>
      <c r="M1772" s="16" t="n">
        <v>45809</v>
      </c>
      <c r="N1772" s="6" t="s">
        <v>9714</v>
      </c>
      <c r="O1772" s="16" t="n">
        <v>45624</v>
      </c>
      <c r="P1772" s="6" t="s">
        <v>10191</v>
      </c>
      <c r="Q1772" s="6" t="s">
        <v>104</v>
      </c>
      <c r="R1772" s="6" t="s">
        <v>10425</v>
      </c>
      <c r="S1772" s="6" t="s">
        <v>104</v>
      </c>
      <c r="T1772" s="21" t="s">
        <v>104</v>
      </c>
      <c r="U1772" s="6" t="s">
        <v>104</v>
      </c>
      <c r="V1772" s="6" t="s">
        <v>104</v>
      </c>
      <c r="W1772" s="6" t="s">
        <v>104</v>
      </c>
      <c r="X1772" s="6" t="s">
        <v>104</v>
      </c>
      <c r="Y1772" s="21" t="s">
        <v>104</v>
      </c>
      <c r="Z1772" s="6" t="s">
        <v>104</v>
      </c>
      <c r="AA1772" s="6" t="s">
        <v>104</v>
      </c>
      <c r="AB1772" s="6" t="s">
        <v>104</v>
      </c>
      <c r="AC1772" s="6" t="s">
        <v>9714</v>
      </c>
      <c r="AD1772" s="16" t="n">
        <v>45624</v>
      </c>
      <c r="AE1772" s="6" t="s">
        <v>12065</v>
      </c>
      <c r="AF1772" s="6" t="s">
        <v>104</v>
      </c>
      <c r="AG1772" s="6" t="s">
        <v>10425</v>
      </c>
      <c r="AH1772" s="6" t="s">
        <v>14778</v>
      </c>
      <c r="AI1772" s="6" t="s">
        <v>104</v>
      </c>
      <c r="AJ1772" s="6" t="s">
        <v>104</v>
      </c>
      <c r="AK1772" s="6" t="s">
        <v>104</v>
      </c>
      <c r="AL1772" s="6" t="s">
        <v>16932</v>
      </c>
      <c r="AM1772" s="6" t="s">
        <v>18161</v>
      </c>
      <c r="AN1772" s="6" t="s">
        <v>104</v>
      </c>
      <c r="AO1772" s="6" t="s">
        <v>104</v>
      </c>
      <c r="AP1772" s="6" t="s">
        <v>19426</v>
      </c>
      <c r="AQ1772" s="6" t="s">
        <v>104</v>
      </c>
      <c r="AR1772" s="6" t="s">
        <v>104</v>
      </c>
      <c r="AS1772" s="6" t="s">
        <v>104</v>
      </c>
      <c r="AT1772" s="6" t="s">
        <v>16932</v>
      </c>
      <c r="AU1772" s="6" t="s">
        <v>18161</v>
      </c>
      <c r="AV1772" s="6" t="s">
        <v>104</v>
      </c>
      <c r="AW1772" s="6" t="s">
        <v>104</v>
      </c>
      <c r="AX1772" s="6" t="s">
        <v>21500</v>
      </c>
      <c r="AY1772" s="6" t="s">
        <v>23306</v>
      </c>
      <c r="AZ1772" s="6" t="s">
        <v>104</v>
      </c>
      <c r="BA1772" s="6" t="s">
        <v>24482</v>
      </c>
      <c r="BB1772" s="24" t="n">
        <v>3466</v>
      </c>
      <c r="BC1772" s="26"/>
      <c r="BD1772" s="26"/>
      <c r="BE1772" s="26"/>
      <c r="BF1772" s="26"/>
      <c r="BG1772" s="26"/>
      <c r="BH1772" s="26"/>
      <c r="BI1772" s="26"/>
      <c r="BJ1772" s="26"/>
      <c r="BK1772" s="26"/>
      <c r="BL1772" s="26"/>
      <c r="BM1772" s="26"/>
      <c r="BN1772" s="26" t="s">
        <v>24533</v>
      </c>
      <c r="BO1772" s="26" t="s">
        <v>24533</v>
      </c>
      <c r="BP1772" s="16" t="n">
        <v>45629</v>
      </c>
      <c r="BQ1772" s="28" t="str">
        <f>HYPERLINK("https://organic.ams.usda.gov/Integrity/Certificate.aspx?cid=40&amp;nopid=4490004618")</f>
        <v>https://organic.ams.usda.gov/Integrity/Certificate.aspx?cid=40&amp;nopid=4490004618</v>
      </c>
    </row>
    <row r="1773">
      <c r="A1773" t="s">
        <v>3</v>
      </c>
      <c r="B1773" s="6" t="s">
        <v>51</v>
      </c>
      <c r="C1773" s="6" t="s">
        <v>117</v>
      </c>
      <c r="D1773" s="6" t="s">
        <v>181</v>
      </c>
      <c r="E1773" s="10" t="s">
        <v>1971</v>
      </c>
      <c r="F1773" s="6" t="s">
        <v>4195</v>
      </c>
      <c r="G1773" s="6" t="s">
        <v>104</v>
      </c>
      <c r="H1773" s="6" t="s">
        <v>6309</v>
      </c>
      <c r="I1773" s="6" t="s">
        <v>7926</v>
      </c>
      <c r="J1773" s="6" t="s">
        <v>104</v>
      </c>
      <c r="K1773" s="6" t="s">
        <v>9714</v>
      </c>
      <c r="L1773" s="16" t="n">
        <v>45624</v>
      </c>
      <c r="M1773" s="16" t="n">
        <v>45809</v>
      </c>
      <c r="N1773" s="6" t="s">
        <v>9714</v>
      </c>
      <c r="O1773" s="16" t="n">
        <v>45624</v>
      </c>
      <c r="P1773" s="6" t="s">
        <v>10191</v>
      </c>
      <c r="Q1773" s="6" t="s">
        <v>104</v>
      </c>
      <c r="R1773" s="6" t="s">
        <v>10426</v>
      </c>
      <c r="S1773" s="6" t="s">
        <v>104</v>
      </c>
      <c r="T1773" s="21" t="s">
        <v>104</v>
      </c>
      <c r="U1773" s="6" t="s">
        <v>104</v>
      </c>
      <c r="V1773" s="6" t="s">
        <v>104</v>
      </c>
      <c r="W1773" s="6" t="s">
        <v>104</v>
      </c>
      <c r="X1773" s="6" t="s">
        <v>104</v>
      </c>
      <c r="Y1773" s="21" t="s">
        <v>104</v>
      </c>
      <c r="Z1773" s="6" t="s">
        <v>104</v>
      </c>
      <c r="AA1773" s="6" t="s">
        <v>104</v>
      </c>
      <c r="AB1773" s="6" t="s">
        <v>104</v>
      </c>
      <c r="AC1773" s="6" t="s">
        <v>9714</v>
      </c>
      <c r="AD1773" s="16" t="n">
        <v>45624</v>
      </c>
      <c r="AE1773" s="6" t="s">
        <v>10191</v>
      </c>
      <c r="AF1773" s="6" t="s">
        <v>104</v>
      </c>
      <c r="AG1773" s="6" t="s">
        <v>10426</v>
      </c>
      <c r="AH1773" s="6" t="s">
        <v>14778</v>
      </c>
      <c r="AI1773" s="6" t="s">
        <v>104</v>
      </c>
      <c r="AJ1773" s="6" t="s">
        <v>104</v>
      </c>
      <c r="AK1773" s="6" t="s">
        <v>104</v>
      </c>
      <c r="AL1773" s="6" t="s">
        <v>16932</v>
      </c>
      <c r="AM1773" s="6" t="s">
        <v>18161</v>
      </c>
      <c r="AN1773" s="6" t="s">
        <v>104</v>
      </c>
      <c r="AO1773" s="6" t="s">
        <v>104</v>
      </c>
      <c r="AP1773" s="6" t="s">
        <v>19426</v>
      </c>
      <c r="AQ1773" s="6" t="s">
        <v>104</v>
      </c>
      <c r="AR1773" s="6" t="s">
        <v>104</v>
      </c>
      <c r="AS1773" s="6" t="s">
        <v>104</v>
      </c>
      <c r="AT1773" s="6" t="s">
        <v>16932</v>
      </c>
      <c r="AU1773" s="6" t="s">
        <v>18161</v>
      </c>
      <c r="AV1773" s="6" t="s">
        <v>104</v>
      </c>
      <c r="AW1773" s="6" t="s">
        <v>104</v>
      </c>
      <c r="AX1773" s="6" t="s">
        <v>21500</v>
      </c>
      <c r="AY1773" s="6" t="s">
        <v>23306</v>
      </c>
      <c r="AZ1773" s="6" t="s">
        <v>104</v>
      </c>
      <c r="BA1773" s="6" t="s">
        <v>24482</v>
      </c>
      <c r="BB1773" s="24" t="n">
        <v>3407</v>
      </c>
      <c r="BC1773" s="26"/>
      <c r="BD1773" s="26"/>
      <c r="BE1773" s="26"/>
      <c r="BF1773" s="26"/>
      <c r="BG1773" s="26"/>
      <c r="BH1773" s="26"/>
      <c r="BI1773" s="26"/>
      <c r="BJ1773" s="26"/>
      <c r="BK1773" s="26"/>
      <c r="BL1773" s="26"/>
      <c r="BM1773" s="26"/>
      <c r="BN1773" s="26" t="s">
        <v>24533</v>
      </c>
      <c r="BO1773" s="26" t="s">
        <v>24533</v>
      </c>
      <c r="BP1773" s="16" t="n">
        <v>45629</v>
      </c>
      <c r="BQ1773" s="28" t="str">
        <f>HYPERLINK("https://organic.ams.usda.gov/Integrity/Certificate.aspx?cid=40&amp;nopid=4490004619")</f>
        <v>https://organic.ams.usda.gov/Integrity/Certificate.aspx?cid=40&amp;nopid=4490004619</v>
      </c>
    </row>
    <row r="1774">
      <c r="A1774" t="s">
        <v>3</v>
      </c>
      <c r="B1774" s="6" t="s">
        <v>51</v>
      </c>
      <c r="C1774" s="6" t="s">
        <v>117</v>
      </c>
      <c r="D1774" s="6" t="s">
        <v>181</v>
      </c>
      <c r="E1774" s="10" t="s">
        <v>1972</v>
      </c>
      <c r="F1774" s="6" t="s">
        <v>4196</v>
      </c>
      <c r="G1774" s="6" t="s">
        <v>104</v>
      </c>
      <c r="H1774" s="6" t="s">
        <v>6500</v>
      </c>
      <c r="I1774" s="6" t="s">
        <v>7926</v>
      </c>
      <c r="J1774" s="6" t="s">
        <v>104</v>
      </c>
      <c r="K1774" s="6" t="s">
        <v>9714</v>
      </c>
      <c r="L1774" s="16" t="n">
        <v>45624</v>
      </c>
      <c r="M1774" s="16" t="n">
        <v>45809</v>
      </c>
      <c r="N1774" s="6" t="s">
        <v>9714</v>
      </c>
      <c r="O1774" s="16" t="n">
        <v>45624</v>
      </c>
      <c r="P1774" s="6" t="s">
        <v>10191</v>
      </c>
      <c r="Q1774" s="6" t="s">
        <v>104</v>
      </c>
      <c r="R1774" s="6" t="s">
        <v>10427</v>
      </c>
      <c r="S1774" s="6" t="s">
        <v>104</v>
      </c>
      <c r="T1774" s="21" t="s">
        <v>104</v>
      </c>
      <c r="U1774" s="6" t="s">
        <v>104</v>
      </c>
      <c r="V1774" s="6" t="s">
        <v>104</v>
      </c>
      <c r="W1774" s="6" t="s">
        <v>104</v>
      </c>
      <c r="X1774" s="6" t="s">
        <v>104</v>
      </c>
      <c r="Y1774" s="21" t="s">
        <v>104</v>
      </c>
      <c r="Z1774" s="6" t="s">
        <v>104</v>
      </c>
      <c r="AA1774" s="6" t="s">
        <v>104</v>
      </c>
      <c r="AB1774" s="6" t="s">
        <v>104</v>
      </c>
      <c r="AC1774" s="6" t="s">
        <v>9714</v>
      </c>
      <c r="AD1774" s="16" t="n">
        <v>45624</v>
      </c>
      <c r="AE1774" s="6" t="s">
        <v>12065</v>
      </c>
      <c r="AF1774" s="6" t="s">
        <v>104</v>
      </c>
      <c r="AG1774" s="6" t="s">
        <v>10427</v>
      </c>
      <c r="AH1774" s="6" t="s">
        <v>14778</v>
      </c>
      <c r="AI1774" s="6" t="s">
        <v>104</v>
      </c>
      <c r="AJ1774" s="6" t="s">
        <v>104</v>
      </c>
      <c r="AK1774" s="6" t="s">
        <v>104</v>
      </c>
      <c r="AL1774" s="6" t="s">
        <v>16932</v>
      </c>
      <c r="AM1774" s="6" t="s">
        <v>18161</v>
      </c>
      <c r="AN1774" s="6" t="s">
        <v>104</v>
      </c>
      <c r="AO1774" s="6" t="s">
        <v>104</v>
      </c>
      <c r="AP1774" s="6" t="s">
        <v>19426</v>
      </c>
      <c r="AQ1774" s="6" t="s">
        <v>104</v>
      </c>
      <c r="AR1774" s="6" t="s">
        <v>104</v>
      </c>
      <c r="AS1774" s="6" t="s">
        <v>104</v>
      </c>
      <c r="AT1774" s="6" t="s">
        <v>16932</v>
      </c>
      <c r="AU1774" s="6" t="s">
        <v>18161</v>
      </c>
      <c r="AV1774" s="6" t="s">
        <v>104</v>
      </c>
      <c r="AW1774" s="6" t="s">
        <v>104</v>
      </c>
      <c r="AX1774" s="6" t="s">
        <v>21500</v>
      </c>
      <c r="AY1774" s="6" t="s">
        <v>23306</v>
      </c>
      <c r="AZ1774" s="6" t="s">
        <v>104</v>
      </c>
      <c r="BA1774" s="6" t="s">
        <v>24482</v>
      </c>
      <c r="BB1774" s="24" t="n">
        <v>3418</v>
      </c>
      <c r="BC1774" s="26"/>
      <c r="BD1774" s="26"/>
      <c r="BE1774" s="26"/>
      <c r="BF1774" s="26"/>
      <c r="BG1774" s="26"/>
      <c r="BH1774" s="26"/>
      <c r="BI1774" s="26"/>
      <c r="BJ1774" s="26"/>
      <c r="BK1774" s="26"/>
      <c r="BL1774" s="26"/>
      <c r="BM1774" s="26"/>
      <c r="BN1774" s="26" t="s">
        <v>24533</v>
      </c>
      <c r="BO1774" s="26" t="s">
        <v>24533</v>
      </c>
      <c r="BP1774" s="16" t="n">
        <v>45629</v>
      </c>
      <c r="BQ1774" s="28" t="str">
        <f>HYPERLINK("https://organic.ams.usda.gov/Integrity/Certificate.aspx?cid=40&amp;nopid=4490004625")</f>
        <v>https://organic.ams.usda.gov/Integrity/Certificate.aspx?cid=40&amp;nopid=4490004625</v>
      </c>
    </row>
    <row r="1775">
      <c r="A1775" t="s">
        <v>3</v>
      </c>
      <c r="B1775" s="6" t="s">
        <v>51</v>
      </c>
      <c r="C1775" s="6" t="s">
        <v>117</v>
      </c>
      <c r="D1775" s="6" t="s">
        <v>181</v>
      </c>
      <c r="E1775" s="10" t="s">
        <v>1973</v>
      </c>
      <c r="F1775" s="6" t="s">
        <v>4197</v>
      </c>
      <c r="G1775" s="6" t="s">
        <v>104</v>
      </c>
      <c r="H1775" s="6" t="s">
        <v>6501</v>
      </c>
      <c r="I1775" s="6" t="s">
        <v>7926</v>
      </c>
      <c r="J1775" s="6" t="s">
        <v>104</v>
      </c>
      <c r="K1775" s="6" t="s">
        <v>9714</v>
      </c>
      <c r="L1775" s="16" t="n">
        <v>45624</v>
      </c>
      <c r="M1775" s="16" t="n">
        <v>45809</v>
      </c>
      <c r="N1775" s="6" t="s">
        <v>9714</v>
      </c>
      <c r="O1775" s="16" t="n">
        <v>45624</v>
      </c>
      <c r="P1775" s="6" t="s">
        <v>10191</v>
      </c>
      <c r="Q1775" s="6" t="s">
        <v>104</v>
      </c>
      <c r="R1775" s="6" t="s">
        <v>10428</v>
      </c>
      <c r="S1775" s="6" t="s">
        <v>104</v>
      </c>
      <c r="T1775" s="21" t="s">
        <v>104</v>
      </c>
      <c r="U1775" s="6" t="s">
        <v>104</v>
      </c>
      <c r="V1775" s="6" t="s">
        <v>104</v>
      </c>
      <c r="W1775" s="6" t="s">
        <v>104</v>
      </c>
      <c r="X1775" s="6" t="s">
        <v>104</v>
      </c>
      <c r="Y1775" s="21" t="s">
        <v>104</v>
      </c>
      <c r="Z1775" s="6" t="s">
        <v>104</v>
      </c>
      <c r="AA1775" s="6" t="s">
        <v>104</v>
      </c>
      <c r="AB1775" s="6" t="s">
        <v>104</v>
      </c>
      <c r="AC1775" s="6" t="s">
        <v>9714</v>
      </c>
      <c r="AD1775" s="16" t="n">
        <v>45624</v>
      </c>
      <c r="AE1775" s="6" t="s">
        <v>10191</v>
      </c>
      <c r="AF1775" s="6" t="s">
        <v>104</v>
      </c>
      <c r="AG1775" s="6" t="s">
        <v>10428</v>
      </c>
      <c r="AH1775" s="6" t="s">
        <v>14778</v>
      </c>
      <c r="AI1775" s="6" t="s">
        <v>104</v>
      </c>
      <c r="AJ1775" s="6" t="s">
        <v>104</v>
      </c>
      <c r="AK1775" s="6" t="s">
        <v>104</v>
      </c>
      <c r="AL1775" s="6" t="s">
        <v>16932</v>
      </c>
      <c r="AM1775" s="6" t="s">
        <v>18161</v>
      </c>
      <c r="AN1775" s="6" t="s">
        <v>104</v>
      </c>
      <c r="AO1775" s="6" t="s">
        <v>104</v>
      </c>
      <c r="AP1775" s="6" t="s">
        <v>19426</v>
      </c>
      <c r="AQ1775" s="6" t="s">
        <v>104</v>
      </c>
      <c r="AR1775" s="6" t="s">
        <v>104</v>
      </c>
      <c r="AS1775" s="6" t="s">
        <v>104</v>
      </c>
      <c r="AT1775" s="6" t="s">
        <v>16932</v>
      </c>
      <c r="AU1775" s="6" t="s">
        <v>18161</v>
      </c>
      <c r="AV1775" s="6" t="s">
        <v>104</v>
      </c>
      <c r="AW1775" s="6" t="s">
        <v>104</v>
      </c>
      <c r="AX1775" s="6" t="s">
        <v>21500</v>
      </c>
      <c r="AY1775" s="6" t="s">
        <v>23306</v>
      </c>
      <c r="AZ1775" s="6" t="s">
        <v>104</v>
      </c>
      <c r="BA1775" s="6" t="s">
        <v>24482</v>
      </c>
      <c r="BB1775" s="24" t="n">
        <v>3565</v>
      </c>
      <c r="BC1775" s="26"/>
      <c r="BD1775" s="26"/>
      <c r="BE1775" s="26"/>
      <c r="BF1775" s="26"/>
      <c r="BG1775" s="26"/>
      <c r="BH1775" s="26"/>
      <c r="BI1775" s="26"/>
      <c r="BJ1775" s="26"/>
      <c r="BK1775" s="26"/>
      <c r="BL1775" s="26"/>
      <c r="BM1775" s="26"/>
      <c r="BN1775" s="26" t="s">
        <v>24533</v>
      </c>
      <c r="BO1775" s="26" t="s">
        <v>24533</v>
      </c>
      <c r="BP1775" s="16" t="n">
        <v>45629</v>
      </c>
      <c r="BQ1775" s="28" t="str">
        <f>HYPERLINK("https://organic.ams.usda.gov/Integrity/Certificate.aspx?cid=40&amp;nopid=4490004626")</f>
        <v>https://organic.ams.usda.gov/Integrity/Certificate.aspx?cid=40&amp;nopid=4490004626</v>
      </c>
    </row>
    <row r="1776">
      <c r="A1776" t="s">
        <v>3</v>
      </c>
      <c r="B1776" s="6" t="s">
        <v>27</v>
      </c>
      <c r="C1776" s="6" t="s">
        <v>93</v>
      </c>
      <c r="D1776" s="6" t="s">
        <v>158</v>
      </c>
      <c r="E1776" s="10" t="s">
        <v>1974</v>
      </c>
      <c r="F1776" s="6" t="s">
        <v>4198</v>
      </c>
      <c r="G1776" s="6" t="s">
        <v>104</v>
      </c>
      <c r="H1776" s="6" t="s">
        <v>6502</v>
      </c>
      <c r="I1776" s="6" t="s">
        <v>7927</v>
      </c>
      <c r="J1776" s="6" t="s">
        <v>9408</v>
      </c>
      <c r="K1776" s="6" t="s">
        <v>9714</v>
      </c>
      <c r="L1776" s="16" t="n">
        <v>45147</v>
      </c>
      <c r="M1776" s="16" t="n">
        <v>45351</v>
      </c>
      <c r="N1776" s="6" t="s">
        <v>9714</v>
      </c>
      <c r="O1776" s="16" t="n">
        <v>45147</v>
      </c>
      <c r="P1776" s="6" t="s">
        <v>10192</v>
      </c>
      <c r="Q1776" s="6" t="s">
        <v>104</v>
      </c>
      <c r="R1776" s="6" t="s">
        <v>10429</v>
      </c>
      <c r="S1776" s="6" t="s">
        <v>104</v>
      </c>
      <c r="T1776" s="21" t="s">
        <v>104</v>
      </c>
      <c r="U1776" s="6" t="s">
        <v>104</v>
      </c>
      <c r="V1776" s="6" t="s">
        <v>104</v>
      </c>
      <c r="W1776" s="6" t="s">
        <v>104</v>
      </c>
      <c r="X1776" s="6" t="s">
        <v>104</v>
      </c>
      <c r="Y1776" s="21" t="s">
        <v>104</v>
      </c>
      <c r="Z1776" s="6" t="s">
        <v>104</v>
      </c>
      <c r="AA1776" s="6" t="s">
        <v>104</v>
      </c>
      <c r="AB1776" s="6" t="s">
        <v>104</v>
      </c>
      <c r="AC1776" s="6" t="s">
        <v>104</v>
      </c>
      <c r="AD1776" s="21" t="s">
        <v>104</v>
      </c>
      <c r="AE1776" s="6" t="s">
        <v>104</v>
      </c>
      <c r="AF1776" s="6" t="s">
        <v>104</v>
      </c>
      <c r="AG1776" s="6" t="s">
        <v>104</v>
      </c>
      <c r="AH1776" s="6" t="s">
        <v>14779</v>
      </c>
      <c r="AI1776" s="6" t="s">
        <v>104</v>
      </c>
      <c r="AJ1776" s="6" t="s">
        <v>16444</v>
      </c>
      <c r="AK1776" s="6" t="s">
        <v>16270</v>
      </c>
      <c r="AL1776" s="6" t="s">
        <v>16932</v>
      </c>
      <c r="AM1776" s="6" t="s">
        <v>18162</v>
      </c>
      <c r="AN1776" s="6" t="s">
        <v>104</v>
      </c>
      <c r="AO1776" s="6" t="s">
        <v>104</v>
      </c>
      <c r="AP1776" s="6" t="s">
        <v>19427</v>
      </c>
      <c r="AQ1776" s="6" t="s">
        <v>104</v>
      </c>
      <c r="AR1776" s="6" t="s">
        <v>15387</v>
      </c>
      <c r="AS1776" s="6" t="s">
        <v>104</v>
      </c>
      <c r="AT1776" s="6" t="s">
        <v>16932</v>
      </c>
      <c r="AU1776" s="6" t="s">
        <v>18173</v>
      </c>
      <c r="AV1776" s="6" t="s">
        <v>104</v>
      </c>
      <c r="AW1776" s="6" t="s">
        <v>104</v>
      </c>
      <c r="AX1776" s="6" t="s">
        <v>20948</v>
      </c>
      <c r="AY1776" s="6" t="s">
        <v>23307</v>
      </c>
      <c r="AZ1776" s="6" t="s">
        <v>104</v>
      </c>
      <c r="BA1776" s="6" t="s">
        <v>104</v>
      </c>
      <c r="BB1776" s="24" t="n">
        <v>2170</v>
      </c>
      <c r="BC1776" s="26"/>
      <c r="BD1776" s="26"/>
      <c r="BE1776" s="26"/>
      <c r="BF1776" s="26"/>
      <c r="BG1776" s="26"/>
      <c r="BH1776" s="26"/>
      <c r="BI1776" s="26"/>
      <c r="BJ1776" s="26"/>
      <c r="BK1776" s="26"/>
      <c r="BL1776" s="26"/>
      <c r="BM1776" s="26"/>
      <c r="BN1776" s="26"/>
      <c r="BO1776" s="26" t="s">
        <v>24533</v>
      </c>
      <c r="BP1776" s="16" t="n">
        <v>45503</v>
      </c>
      <c r="BQ1776" s="28" t="str">
        <f>HYPERLINK("https://organic.ams.usda.gov/Integrity/Certificate.aspx?cid=93&amp;nopid=6369518398")</f>
        <v>https://organic.ams.usda.gov/Integrity/Certificate.aspx?cid=93&amp;nopid=6369518398</v>
      </c>
    </row>
    <row r="1777">
      <c r="A1777" t="s">
        <v>3</v>
      </c>
      <c r="B1777" s="6" t="s">
        <v>29</v>
      </c>
      <c r="C1777" s="6" t="s">
        <v>95</v>
      </c>
      <c r="D1777" s="6" t="s">
        <v>160</v>
      </c>
      <c r="E1777" s="10" t="s">
        <v>1975</v>
      </c>
      <c r="F1777" s="6" t="s">
        <v>4199</v>
      </c>
      <c r="G1777" s="6" t="s">
        <v>104</v>
      </c>
      <c r="H1777" s="6" t="s">
        <v>6503</v>
      </c>
      <c r="I1777" s="6" t="s">
        <v>104</v>
      </c>
      <c r="J1777" s="6" t="s">
        <v>9409</v>
      </c>
      <c r="K1777" s="6" t="s">
        <v>9714</v>
      </c>
      <c r="L1777" s="16" t="n">
        <v>44628</v>
      </c>
      <c r="M1777" s="16" t="n">
        <v>45870</v>
      </c>
      <c r="N1777" s="6" t="s">
        <v>104</v>
      </c>
      <c r="O1777" s="21" t="s">
        <v>104</v>
      </c>
      <c r="P1777" s="6" t="s">
        <v>104</v>
      </c>
      <c r="Q1777" s="6" t="s">
        <v>104</v>
      </c>
      <c r="R1777" s="6" t="s">
        <v>104</v>
      </c>
      <c r="S1777" s="6" t="s">
        <v>104</v>
      </c>
      <c r="T1777" s="21" t="s">
        <v>104</v>
      </c>
      <c r="U1777" s="6" t="s">
        <v>104</v>
      </c>
      <c r="V1777" s="6" t="s">
        <v>104</v>
      </c>
      <c r="W1777" s="6" t="s">
        <v>104</v>
      </c>
      <c r="X1777" s="6" t="s">
        <v>104</v>
      </c>
      <c r="Y1777" s="21" t="s">
        <v>104</v>
      </c>
      <c r="Z1777" s="6" t="s">
        <v>104</v>
      </c>
      <c r="AA1777" s="6" t="s">
        <v>104</v>
      </c>
      <c r="AB1777" s="6" t="s">
        <v>104</v>
      </c>
      <c r="AC1777" s="6" t="s">
        <v>9714</v>
      </c>
      <c r="AD1777" s="16" t="n">
        <v>44628</v>
      </c>
      <c r="AE1777" s="6" t="s">
        <v>12066</v>
      </c>
      <c r="AF1777" s="6" t="s">
        <v>104</v>
      </c>
      <c r="AG1777" s="6" t="s">
        <v>104</v>
      </c>
      <c r="AH1777" s="6" t="s">
        <v>14780</v>
      </c>
      <c r="AI1777" s="6" t="s">
        <v>104</v>
      </c>
      <c r="AJ1777" s="6" t="s">
        <v>16445</v>
      </c>
      <c r="AK1777" s="6" t="s">
        <v>16699</v>
      </c>
      <c r="AL1777" s="6" t="s">
        <v>16932</v>
      </c>
      <c r="AM1777" s="6" t="s">
        <v>18163</v>
      </c>
      <c r="AN1777" s="6" t="s">
        <v>104</v>
      </c>
      <c r="AO1777" s="6" t="s">
        <v>104</v>
      </c>
      <c r="AP1777" s="6" t="s">
        <v>104</v>
      </c>
      <c r="AQ1777" s="6" t="s">
        <v>104</v>
      </c>
      <c r="AR1777" s="6" t="s">
        <v>104</v>
      </c>
      <c r="AS1777" s="6" t="s">
        <v>104</v>
      </c>
      <c r="AT1777" s="6" t="s">
        <v>104</v>
      </c>
      <c r="AU1777" s="6" t="s">
        <v>104</v>
      </c>
      <c r="AV1777" s="6" t="s">
        <v>104</v>
      </c>
      <c r="AW1777" s="6" t="s">
        <v>104</v>
      </c>
      <c r="AX1777" s="6" t="s">
        <v>21501</v>
      </c>
      <c r="AY1777" s="6" t="s">
        <v>23308</v>
      </c>
      <c r="AZ1777" s="6" t="s">
        <v>104</v>
      </c>
      <c r="BA1777" s="6" t="s">
        <v>104</v>
      </c>
      <c r="BB1777" s="24" t="n">
        <v>0</v>
      </c>
      <c r="BC1777" s="26"/>
      <c r="BD1777" s="26"/>
      <c r="BE1777" s="26"/>
      <c r="BF1777" s="26"/>
      <c r="BG1777" s="26"/>
      <c r="BH1777" s="26"/>
      <c r="BI1777" s="26"/>
      <c r="BJ1777" s="26"/>
      <c r="BK1777" s="26"/>
      <c r="BL1777" s="26"/>
      <c r="BM1777" s="26"/>
      <c r="BN1777" s="26"/>
      <c r="BO1777" s="26"/>
      <c r="BP1777" s="16" t="n">
        <v>45738</v>
      </c>
      <c r="BQ1777" s="28" t="str">
        <f>HYPERLINK("https://organic.ams.usda.gov/Integrity/Certificate.aspx?cid=24&amp;nopid=7880180531")</f>
        <v>https://organic.ams.usda.gov/Integrity/Certificate.aspx?cid=24&amp;nopid=7880180531</v>
      </c>
    </row>
    <row r="1778">
      <c r="A1778" t="s">
        <v>3</v>
      </c>
      <c r="B1778" s="6" t="s">
        <v>14</v>
      </c>
      <c r="C1778" s="6" t="s">
        <v>80</v>
      </c>
      <c r="D1778" s="6" t="s">
        <v>145</v>
      </c>
      <c r="E1778" s="10" t="s">
        <v>1976</v>
      </c>
      <c r="F1778" s="6" t="s">
        <v>4200</v>
      </c>
      <c r="G1778" s="6" t="s">
        <v>104</v>
      </c>
      <c r="H1778" s="6" t="s">
        <v>6504</v>
      </c>
      <c r="I1778" s="6" t="s">
        <v>7928</v>
      </c>
      <c r="J1778" s="6" t="s">
        <v>9410</v>
      </c>
      <c r="K1778" s="6" t="s">
        <v>9714</v>
      </c>
      <c r="L1778" s="16" t="n">
        <v>44799</v>
      </c>
      <c r="M1778" s="16" t="n">
        <v>45798</v>
      </c>
      <c r="N1778" s="6" t="s">
        <v>104</v>
      </c>
      <c r="O1778" s="21" t="s">
        <v>104</v>
      </c>
      <c r="P1778" s="6" t="s">
        <v>104</v>
      </c>
      <c r="Q1778" s="6" t="s">
        <v>104</v>
      </c>
      <c r="R1778" s="6" t="s">
        <v>104</v>
      </c>
      <c r="S1778" s="6" t="s">
        <v>104</v>
      </c>
      <c r="T1778" s="21" t="s">
        <v>104</v>
      </c>
      <c r="U1778" s="6" t="s">
        <v>104</v>
      </c>
      <c r="V1778" s="6" t="s">
        <v>104</v>
      </c>
      <c r="W1778" s="6" t="s">
        <v>104</v>
      </c>
      <c r="X1778" s="6" t="s">
        <v>104</v>
      </c>
      <c r="Y1778" s="21" t="s">
        <v>104</v>
      </c>
      <c r="Z1778" s="6" t="s">
        <v>104</v>
      </c>
      <c r="AA1778" s="6" t="s">
        <v>104</v>
      </c>
      <c r="AB1778" s="6" t="s">
        <v>104</v>
      </c>
      <c r="AC1778" s="6" t="s">
        <v>9714</v>
      </c>
      <c r="AD1778" s="16" t="n">
        <v>44799</v>
      </c>
      <c r="AE1778" s="6" t="s">
        <v>12067</v>
      </c>
      <c r="AF1778" s="6" t="s">
        <v>104</v>
      </c>
      <c r="AG1778" s="6" t="s">
        <v>104</v>
      </c>
      <c r="AH1778" s="6" t="s">
        <v>14781</v>
      </c>
      <c r="AI1778" s="6" t="s">
        <v>104</v>
      </c>
      <c r="AJ1778" s="6" t="s">
        <v>15769</v>
      </c>
      <c r="AK1778" s="6" t="s">
        <v>16699</v>
      </c>
      <c r="AL1778" s="6" t="s">
        <v>16932</v>
      </c>
      <c r="AM1778" s="6" t="s">
        <v>17580</v>
      </c>
      <c r="AN1778" s="6" t="s">
        <v>104</v>
      </c>
      <c r="AO1778" s="6" t="s">
        <v>104</v>
      </c>
      <c r="AP1778" s="6" t="s">
        <v>104</v>
      </c>
      <c r="AQ1778" s="6" t="s">
        <v>104</v>
      </c>
      <c r="AR1778" s="6" t="s">
        <v>104</v>
      </c>
      <c r="AS1778" s="6" t="s">
        <v>104</v>
      </c>
      <c r="AT1778" s="6" t="s">
        <v>104</v>
      </c>
      <c r="AU1778" s="6" t="s">
        <v>104</v>
      </c>
      <c r="AV1778" s="6" t="s">
        <v>104</v>
      </c>
      <c r="AW1778" s="6" t="s">
        <v>104</v>
      </c>
      <c r="AX1778" s="6" t="s">
        <v>21502</v>
      </c>
      <c r="AY1778" s="6" t="s">
        <v>23309</v>
      </c>
      <c r="AZ1778" s="6" t="s">
        <v>104</v>
      </c>
      <c r="BA1778" s="6" t="s">
        <v>24267</v>
      </c>
      <c r="BB1778" s="6" t="s">
        <v>104</v>
      </c>
      <c r="BC1778" s="26"/>
      <c r="BD1778" s="26"/>
      <c r="BE1778" s="26"/>
      <c r="BF1778" s="26"/>
      <c r="BG1778" s="26"/>
      <c r="BH1778" s="26"/>
      <c r="BI1778" s="26"/>
      <c r="BJ1778" s="26"/>
      <c r="BK1778" s="26"/>
      <c r="BL1778" s="26"/>
      <c r="BM1778" s="26"/>
      <c r="BN1778" s="26"/>
      <c r="BO1778" s="26"/>
      <c r="BP1778" s="16" t="n">
        <v>45636</v>
      </c>
      <c r="BQ1778" s="28" t="str">
        <f>HYPERLINK("https://organic.ams.usda.gov/Integrity/Certificate.aspx?cid=89&amp;nopid=4920002686")</f>
        <v>https://organic.ams.usda.gov/Integrity/Certificate.aspx?cid=89&amp;nopid=4920002686</v>
      </c>
    </row>
    <row r="1779">
      <c r="A1779" t="s">
        <v>3</v>
      </c>
      <c r="B1779" s="6" t="s">
        <v>14</v>
      </c>
      <c r="C1779" s="6" t="s">
        <v>80</v>
      </c>
      <c r="D1779" s="6" t="s">
        <v>145</v>
      </c>
      <c r="E1779" s="10" t="s">
        <v>1977</v>
      </c>
      <c r="F1779" s="6" t="s">
        <v>4200</v>
      </c>
      <c r="G1779" s="6" t="s">
        <v>104</v>
      </c>
      <c r="H1779" s="6" t="s">
        <v>6505</v>
      </c>
      <c r="I1779" s="6" t="s">
        <v>7526</v>
      </c>
      <c r="J1779" s="6" t="s">
        <v>9252</v>
      </c>
      <c r="K1779" s="6" t="s">
        <v>9714</v>
      </c>
      <c r="L1779" s="16" t="n">
        <v>45296</v>
      </c>
      <c r="M1779" s="16" t="n">
        <v>45949</v>
      </c>
      <c r="N1779" s="6" t="s">
        <v>104</v>
      </c>
      <c r="O1779" s="21" t="s">
        <v>104</v>
      </c>
      <c r="P1779" s="6" t="s">
        <v>104</v>
      </c>
      <c r="Q1779" s="6" t="s">
        <v>104</v>
      </c>
      <c r="R1779" s="6" t="s">
        <v>104</v>
      </c>
      <c r="S1779" s="6" t="s">
        <v>104</v>
      </c>
      <c r="T1779" s="21" t="s">
        <v>104</v>
      </c>
      <c r="U1779" s="6" t="s">
        <v>104</v>
      </c>
      <c r="V1779" s="6" t="s">
        <v>104</v>
      </c>
      <c r="W1779" s="6" t="s">
        <v>104</v>
      </c>
      <c r="X1779" s="6" t="s">
        <v>104</v>
      </c>
      <c r="Y1779" s="21" t="s">
        <v>104</v>
      </c>
      <c r="Z1779" s="6" t="s">
        <v>104</v>
      </c>
      <c r="AA1779" s="6" t="s">
        <v>104</v>
      </c>
      <c r="AB1779" s="6" t="s">
        <v>104</v>
      </c>
      <c r="AC1779" s="6" t="s">
        <v>9714</v>
      </c>
      <c r="AD1779" s="16" t="n">
        <v>45296</v>
      </c>
      <c r="AE1779" s="6" t="s">
        <v>12068</v>
      </c>
      <c r="AF1779" s="6" t="s">
        <v>104</v>
      </c>
      <c r="AG1779" s="6" t="s">
        <v>104</v>
      </c>
      <c r="AH1779" s="6" t="s">
        <v>14782</v>
      </c>
      <c r="AI1779" s="6" t="s">
        <v>104</v>
      </c>
      <c r="AJ1779" s="6" t="s">
        <v>16319</v>
      </c>
      <c r="AK1779" s="6" t="s">
        <v>15885</v>
      </c>
      <c r="AL1779" s="6" t="s">
        <v>16932</v>
      </c>
      <c r="AM1779" s="6" t="s">
        <v>18164</v>
      </c>
      <c r="AN1779" s="6" t="s">
        <v>104</v>
      </c>
      <c r="AO1779" s="6" t="s">
        <v>104</v>
      </c>
      <c r="AP1779" s="6" t="s">
        <v>19423</v>
      </c>
      <c r="AQ1779" s="6" t="s">
        <v>104</v>
      </c>
      <c r="AR1779" s="6" t="s">
        <v>16319</v>
      </c>
      <c r="AS1779" s="6" t="s">
        <v>15885</v>
      </c>
      <c r="AT1779" s="6" t="s">
        <v>16932</v>
      </c>
      <c r="AU1779" s="6" t="s">
        <v>19999</v>
      </c>
      <c r="AV1779" s="6" t="s">
        <v>104</v>
      </c>
      <c r="AW1779" s="6" t="s">
        <v>104</v>
      </c>
      <c r="AX1779" s="6" t="s">
        <v>21503</v>
      </c>
      <c r="AY1779" s="6" t="s">
        <v>22596</v>
      </c>
      <c r="AZ1779" s="6" t="s">
        <v>104</v>
      </c>
      <c r="BA1779" s="6" t="s">
        <v>24267</v>
      </c>
      <c r="BB1779" s="6" t="s">
        <v>104</v>
      </c>
      <c r="BC1779" s="26"/>
      <c r="BD1779" s="26"/>
      <c r="BE1779" s="26"/>
      <c r="BF1779" s="26"/>
      <c r="BG1779" s="26"/>
      <c r="BH1779" s="26"/>
      <c r="BI1779" s="26"/>
      <c r="BJ1779" s="26"/>
      <c r="BK1779" s="26"/>
      <c r="BL1779" s="26"/>
      <c r="BM1779" s="26"/>
      <c r="BN1779" s="26"/>
      <c r="BO1779" s="26"/>
      <c r="BP1779" s="16" t="n">
        <v>45730</v>
      </c>
      <c r="BQ1779" s="28" t="str">
        <f>HYPERLINK("https://organic.ams.usda.gov/Integrity/Certificate.aspx?cid=89&amp;nopid=4920006675")</f>
        <v>https://organic.ams.usda.gov/Integrity/Certificate.aspx?cid=89&amp;nopid=4920006675</v>
      </c>
    </row>
    <row r="1780">
      <c r="A1780" t="s">
        <v>3</v>
      </c>
      <c r="B1780" s="6" t="s">
        <v>6</v>
      </c>
      <c r="C1780" s="6" t="s">
        <v>72</v>
      </c>
      <c r="D1780" s="6" t="s">
        <v>137</v>
      </c>
      <c r="E1780" s="10" t="s">
        <v>1978</v>
      </c>
      <c r="F1780" s="6" t="s">
        <v>4201</v>
      </c>
      <c r="G1780" s="6" t="s">
        <v>104</v>
      </c>
      <c r="H1780" s="6" t="s">
        <v>6506</v>
      </c>
      <c r="I1780" s="6" t="s">
        <v>7929</v>
      </c>
      <c r="J1780" s="6" t="s">
        <v>9411</v>
      </c>
      <c r="K1780" s="6" t="s">
        <v>9714</v>
      </c>
      <c r="L1780" s="16" t="n">
        <v>45618</v>
      </c>
      <c r="M1780" s="16" t="n">
        <v>45940</v>
      </c>
      <c r="N1780" s="6" t="s">
        <v>104</v>
      </c>
      <c r="O1780" s="21" t="s">
        <v>104</v>
      </c>
      <c r="P1780" s="6" t="s">
        <v>104</v>
      </c>
      <c r="Q1780" s="6" t="s">
        <v>104</v>
      </c>
      <c r="R1780" s="6" t="s">
        <v>104</v>
      </c>
      <c r="S1780" s="6" t="s">
        <v>104</v>
      </c>
      <c r="T1780" s="21" t="s">
        <v>104</v>
      </c>
      <c r="U1780" s="6" t="s">
        <v>104</v>
      </c>
      <c r="V1780" s="6" t="s">
        <v>104</v>
      </c>
      <c r="W1780" s="6" t="s">
        <v>104</v>
      </c>
      <c r="X1780" s="6" t="s">
        <v>104</v>
      </c>
      <c r="Y1780" s="21" t="s">
        <v>104</v>
      </c>
      <c r="Z1780" s="6" t="s">
        <v>104</v>
      </c>
      <c r="AA1780" s="6" t="s">
        <v>104</v>
      </c>
      <c r="AB1780" s="6" t="s">
        <v>104</v>
      </c>
      <c r="AC1780" s="6" t="s">
        <v>9714</v>
      </c>
      <c r="AD1780" s="16" t="n">
        <v>45618</v>
      </c>
      <c r="AE1780" s="6" t="s">
        <v>12069</v>
      </c>
      <c r="AF1780" s="6" t="s">
        <v>104</v>
      </c>
      <c r="AG1780" s="6" t="s">
        <v>13027</v>
      </c>
      <c r="AH1780" s="6" t="s">
        <v>14783</v>
      </c>
      <c r="AI1780" s="6" t="s">
        <v>104</v>
      </c>
      <c r="AJ1780" s="6" t="s">
        <v>16446</v>
      </c>
      <c r="AK1780" s="6" t="s">
        <v>15885</v>
      </c>
      <c r="AL1780" s="6" t="s">
        <v>16932</v>
      </c>
      <c r="AM1780" s="6" t="s">
        <v>18165</v>
      </c>
      <c r="AN1780" s="6" t="s">
        <v>104</v>
      </c>
      <c r="AO1780" s="6" t="s">
        <v>104</v>
      </c>
      <c r="AP1780" s="6" t="s">
        <v>104</v>
      </c>
      <c r="AQ1780" s="6" t="s">
        <v>104</v>
      </c>
      <c r="AR1780" s="6" t="s">
        <v>104</v>
      </c>
      <c r="AS1780" s="6" t="s">
        <v>104</v>
      </c>
      <c r="AT1780" s="6" t="s">
        <v>104</v>
      </c>
      <c r="AU1780" s="6" t="s">
        <v>104</v>
      </c>
      <c r="AV1780" s="6" t="s">
        <v>104</v>
      </c>
      <c r="AW1780" s="6" t="s">
        <v>104</v>
      </c>
      <c r="AX1780" s="6" t="s">
        <v>21504</v>
      </c>
      <c r="AY1780" s="6" t="s">
        <v>22596</v>
      </c>
      <c r="AZ1780" s="6" t="s">
        <v>104</v>
      </c>
      <c r="BA1780" s="6" t="s">
        <v>24483</v>
      </c>
      <c r="BB1780" s="6" t="s">
        <v>104</v>
      </c>
      <c r="BC1780" s="26"/>
      <c r="BD1780" s="26"/>
      <c r="BE1780" s="26"/>
      <c r="BF1780" s="26"/>
      <c r="BG1780" s="26"/>
      <c r="BH1780" s="26"/>
      <c r="BI1780" s="26"/>
      <c r="BJ1780" s="26"/>
      <c r="BK1780" s="26"/>
      <c r="BL1780" s="26"/>
      <c r="BM1780" s="26"/>
      <c r="BN1780" s="26"/>
      <c r="BO1780" s="26"/>
      <c r="BP1780" s="16" t="n">
        <v>45737</v>
      </c>
      <c r="BQ1780" s="28" t="str">
        <f>HYPERLINK("https://organic.ams.usda.gov/Integrity/Certificate.aspx?cid=32&amp;nopid=2230011662")</f>
        <v>https://organic.ams.usda.gov/Integrity/Certificate.aspx?cid=32&amp;nopid=2230011662</v>
      </c>
    </row>
    <row r="1781">
      <c r="A1781" t="s">
        <v>3</v>
      </c>
      <c r="B1781" s="6" t="s">
        <v>45</v>
      </c>
      <c r="C1781" s="6" t="s">
        <v>111</v>
      </c>
      <c r="D1781" s="6" t="s">
        <v>175</v>
      </c>
      <c r="E1781" s="10" t="s">
        <v>1979</v>
      </c>
      <c r="F1781" s="6" t="s">
        <v>4202</v>
      </c>
      <c r="G1781" s="6" t="s">
        <v>104</v>
      </c>
      <c r="H1781" s="6" t="s">
        <v>6507</v>
      </c>
      <c r="I1781" s="6" t="s">
        <v>7022</v>
      </c>
      <c r="J1781" s="6" t="s">
        <v>9412</v>
      </c>
      <c r="K1781" s="6" t="s">
        <v>9714</v>
      </c>
      <c r="L1781" s="16" t="n">
        <v>37375</v>
      </c>
      <c r="M1781" s="16" t="n">
        <v>46082</v>
      </c>
      <c r="N1781" s="6" t="s">
        <v>104</v>
      </c>
      <c r="O1781" s="21" t="s">
        <v>104</v>
      </c>
      <c r="P1781" s="6" t="s">
        <v>104</v>
      </c>
      <c r="Q1781" s="6" t="s">
        <v>104</v>
      </c>
      <c r="R1781" s="6" t="s">
        <v>104</v>
      </c>
      <c r="S1781" s="6" t="s">
        <v>104</v>
      </c>
      <c r="T1781" s="21" t="s">
        <v>104</v>
      </c>
      <c r="U1781" s="6" t="s">
        <v>104</v>
      </c>
      <c r="V1781" s="6" t="s">
        <v>104</v>
      </c>
      <c r="W1781" s="6" t="s">
        <v>104</v>
      </c>
      <c r="X1781" s="6" t="s">
        <v>104</v>
      </c>
      <c r="Y1781" s="21" t="s">
        <v>104</v>
      </c>
      <c r="Z1781" s="6" t="s">
        <v>104</v>
      </c>
      <c r="AA1781" s="6" t="s">
        <v>104</v>
      </c>
      <c r="AB1781" s="6" t="s">
        <v>104</v>
      </c>
      <c r="AC1781" s="6" t="s">
        <v>9714</v>
      </c>
      <c r="AD1781" s="16" t="n">
        <v>37375</v>
      </c>
      <c r="AE1781" s="6" t="s">
        <v>12070</v>
      </c>
      <c r="AF1781" s="6" t="s">
        <v>104</v>
      </c>
      <c r="AG1781" s="6" t="s">
        <v>4667</v>
      </c>
      <c r="AH1781" s="6" t="s">
        <v>14784</v>
      </c>
      <c r="AI1781" s="6" t="s">
        <v>104</v>
      </c>
      <c r="AJ1781" s="6" t="s">
        <v>7127</v>
      </c>
      <c r="AK1781" s="6" t="s">
        <v>16382</v>
      </c>
      <c r="AL1781" s="6" t="s">
        <v>16931</v>
      </c>
      <c r="AM1781" s="6" t="s">
        <v>18166</v>
      </c>
      <c r="AN1781" s="6" t="s">
        <v>104</v>
      </c>
      <c r="AO1781" s="6" t="s">
        <v>104</v>
      </c>
      <c r="AP1781" s="6" t="s">
        <v>14784</v>
      </c>
      <c r="AQ1781" s="6" t="s">
        <v>104</v>
      </c>
      <c r="AR1781" s="6" t="s">
        <v>7127</v>
      </c>
      <c r="AS1781" s="6" t="s">
        <v>16382</v>
      </c>
      <c r="AT1781" s="6" t="s">
        <v>16931</v>
      </c>
      <c r="AU1781" s="6" t="s">
        <v>18166</v>
      </c>
      <c r="AV1781" s="6" t="s">
        <v>5429</v>
      </c>
      <c r="AW1781" s="6" t="s">
        <v>18724</v>
      </c>
      <c r="AX1781" s="6" t="s">
        <v>21505</v>
      </c>
      <c r="AY1781" s="6" t="s">
        <v>23310</v>
      </c>
      <c r="AZ1781" s="6" t="s">
        <v>104</v>
      </c>
      <c r="BA1781" s="6" t="s">
        <v>104</v>
      </c>
      <c r="BB1781" s="6" t="s">
        <v>104</v>
      </c>
      <c r="BC1781" s="26"/>
      <c r="BD1781" s="26"/>
      <c r="BE1781" s="26" t="s">
        <v>24533</v>
      </c>
      <c r="BF1781" s="26"/>
      <c r="BG1781" s="26"/>
      <c r="BH1781" s="26"/>
      <c r="BI1781" s="26"/>
      <c r="BJ1781" s="26"/>
      <c r="BK1781" s="26"/>
      <c r="BL1781" s="26"/>
      <c r="BM1781" s="26"/>
      <c r="BN1781" s="26"/>
      <c r="BO1781" s="26"/>
      <c r="BP1781" s="16" t="n">
        <v>45739</v>
      </c>
      <c r="BQ1781" s="28" t="str">
        <f>HYPERLINK("https://organic.ams.usda.gov/Integrity/Certificate.aspx?cid=82&amp;nopid=2780093464")</f>
        <v>https://organic.ams.usda.gov/Integrity/Certificate.aspx?cid=82&amp;nopid=2780093464</v>
      </c>
    </row>
    <row r="1782">
      <c r="A1782" t="s">
        <v>3</v>
      </c>
      <c r="B1782" s="6" t="s">
        <v>41</v>
      </c>
      <c r="C1782" s="6" t="s">
        <v>107</v>
      </c>
      <c r="D1782" s="6" t="s">
        <v>171</v>
      </c>
      <c r="E1782" s="10" t="s">
        <v>1980</v>
      </c>
      <c r="F1782" s="6" t="s">
        <v>4203</v>
      </c>
      <c r="G1782" s="6" t="s">
        <v>4849</v>
      </c>
      <c r="H1782" s="6" t="s">
        <v>6508</v>
      </c>
      <c r="I1782" s="6" t="s">
        <v>7138</v>
      </c>
      <c r="J1782" s="6" t="s">
        <v>8131</v>
      </c>
      <c r="K1782" s="6" t="s">
        <v>9714</v>
      </c>
      <c r="L1782" s="16" t="n">
        <v>42906</v>
      </c>
      <c r="M1782" s="16" t="n">
        <v>46157</v>
      </c>
      <c r="N1782" s="6" t="s">
        <v>9714</v>
      </c>
      <c r="O1782" s="16" t="n">
        <v>42906</v>
      </c>
      <c r="P1782" s="6" t="s">
        <v>10193</v>
      </c>
      <c r="Q1782" s="6" t="s">
        <v>104</v>
      </c>
      <c r="R1782" s="6" t="s">
        <v>104</v>
      </c>
      <c r="S1782" s="6" t="s">
        <v>104</v>
      </c>
      <c r="T1782" s="21" t="s">
        <v>104</v>
      </c>
      <c r="U1782" s="6" t="s">
        <v>104</v>
      </c>
      <c r="V1782" s="6" t="s">
        <v>104</v>
      </c>
      <c r="W1782" s="6" t="s">
        <v>104</v>
      </c>
      <c r="X1782" s="6" t="s">
        <v>104</v>
      </c>
      <c r="Y1782" s="21" t="s">
        <v>104</v>
      </c>
      <c r="Z1782" s="6" t="s">
        <v>104</v>
      </c>
      <c r="AA1782" s="6" t="s">
        <v>104</v>
      </c>
      <c r="AB1782" s="6" t="s">
        <v>104</v>
      </c>
      <c r="AC1782" s="6" t="s">
        <v>9714</v>
      </c>
      <c r="AD1782" s="16" t="n">
        <v>42906</v>
      </c>
      <c r="AE1782" s="6" t="s">
        <v>12071</v>
      </c>
      <c r="AF1782" s="6" t="s">
        <v>104</v>
      </c>
      <c r="AG1782" s="6" t="s">
        <v>104</v>
      </c>
      <c r="AH1782" s="6" t="s">
        <v>14785</v>
      </c>
      <c r="AI1782" s="6" t="s">
        <v>104</v>
      </c>
      <c r="AJ1782" s="6" t="s">
        <v>16447</v>
      </c>
      <c r="AK1782" s="6" t="s">
        <v>16706</v>
      </c>
      <c r="AL1782" s="6" t="s">
        <v>16931</v>
      </c>
      <c r="AM1782" s="6" t="s">
        <v>18167</v>
      </c>
      <c r="AN1782" s="6" t="s">
        <v>18476</v>
      </c>
      <c r="AO1782" s="6" t="s">
        <v>18660</v>
      </c>
      <c r="AP1782" s="6" t="s">
        <v>14785</v>
      </c>
      <c r="AQ1782" s="6" t="s">
        <v>104</v>
      </c>
      <c r="AR1782" s="6" t="s">
        <v>16447</v>
      </c>
      <c r="AS1782" s="6" t="s">
        <v>16706</v>
      </c>
      <c r="AT1782" s="6" t="s">
        <v>16931</v>
      </c>
      <c r="AU1782" s="6" t="s">
        <v>18167</v>
      </c>
      <c r="AV1782" s="6" t="s">
        <v>104</v>
      </c>
      <c r="AW1782" s="6" t="s">
        <v>104</v>
      </c>
      <c r="AX1782" s="6" t="s">
        <v>21506</v>
      </c>
      <c r="AY1782" s="6" t="s">
        <v>23311</v>
      </c>
      <c r="AZ1782" s="6" t="s">
        <v>104</v>
      </c>
      <c r="BA1782" s="6" t="s">
        <v>104</v>
      </c>
      <c r="BB1782" s="24" t="n">
        <v>132</v>
      </c>
      <c r="BC1782" s="26" t="s">
        <v>24533</v>
      </c>
      <c r="BD1782" s="26"/>
      <c r="BE1782" s="26"/>
      <c r="BF1782" s="26"/>
      <c r="BG1782" s="26"/>
      <c r="BH1782" s="26"/>
      <c r="BI1782" s="26"/>
      <c r="BJ1782" s="26"/>
      <c r="BK1782" s="26"/>
      <c r="BL1782" s="26"/>
      <c r="BM1782" s="26"/>
      <c r="BN1782" s="26"/>
      <c r="BO1782" s="26"/>
      <c r="BP1782" s="16" t="n">
        <v>45737</v>
      </c>
      <c r="BQ1782" s="28" t="str">
        <f>HYPERLINK("https://organic.ams.usda.gov/Integrity/Certificate.aspx?cid=58&amp;nopid=1600002901")</f>
        <v>https://organic.ams.usda.gov/Integrity/Certificate.aspx?cid=58&amp;nopid=1600002901</v>
      </c>
    </row>
    <row r="1783">
      <c r="A1783" t="s">
        <v>3</v>
      </c>
      <c r="B1783" s="6" t="s">
        <v>58</v>
      </c>
      <c r="C1783" s="6" t="s">
        <v>124</v>
      </c>
      <c r="D1783" s="6" t="s">
        <v>188</v>
      </c>
      <c r="E1783" s="10" t="s">
        <v>1981</v>
      </c>
      <c r="F1783" s="6" t="s">
        <v>4204</v>
      </c>
      <c r="G1783" s="6" t="s">
        <v>104</v>
      </c>
      <c r="H1783" s="6" t="s">
        <v>6509</v>
      </c>
      <c r="I1783" s="6" t="s">
        <v>7930</v>
      </c>
      <c r="J1783" s="6" t="s">
        <v>9413</v>
      </c>
      <c r="K1783" s="6" t="s">
        <v>9714</v>
      </c>
      <c r="L1783" s="16" t="n">
        <v>42521</v>
      </c>
      <c r="M1783" s="16" t="n">
        <v>45946</v>
      </c>
      <c r="N1783" s="6" t="s">
        <v>104</v>
      </c>
      <c r="O1783" s="21" t="s">
        <v>104</v>
      </c>
      <c r="P1783" s="6" t="s">
        <v>104</v>
      </c>
      <c r="Q1783" s="6" t="s">
        <v>104</v>
      </c>
      <c r="R1783" s="6" t="s">
        <v>104</v>
      </c>
      <c r="S1783" s="6" t="s">
        <v>104</v>
      </c>
      <c r="T1783" s="21" t="s">
        <v>104</v>
      </c>
      <c r="U1783" s="6" t="s">
        <v>104</v>
      </c>
      <c r="V1783" s="6" t="s">
        <v>104</v>
      </c>
      <c r="W1783" s="6" t="s">
        <v>104</v>
      </c>
      <c r="X1783" s="6" t="s">
        <v>104</v>
      </c>
      <c r="Y1783" s="21" t="s">
        <v>104</v>
      </c>
      <c r="Z1783" s="6" t="s">
        <v>104</v>
      </c>
      <c r="AA1783" s="6" t="s">
        <v>104</v>
      </c>
      <c r="AB1783" s="6" t="s">
        <v>104</v>
      </c>
      <c r="AC1783" s="6" t="s">
        <v>9714</v>
      </c>
      <c r="AD1783" s="16" t="n">
        <v>42521</v>
      </c>
      <c r="AE1783" s="6" t="s">
        <v>12072</v>
      </c>
      <c r="AF1783" s="6" t="s">
        <v>104</v>
      </c>
      <c r="AG1783" s="6" t="s">
        <v>13028</v>
      </c>
      <c r="AH1783" s="6" t="s">
        <v>14786</v>
      </c>
      <c r="AI1783" s="6" t="s">
        <v>104</v>
      </c>
      <c r="AJ1783" s="6" t="s">
        <v>104</v>
      </c>
      <c r="AK1783" s="6" t="s">
        <v>16885</v>
      </c>
      <c r="AL1783" s="6" t="s">
        <v>16943</v>
      </c>
      <c r="AM1783" s="6" t="s">
        <v>18168</v>
      </c>
      <c r="AN1783" s="6" t="s">
        <v>104</v>
      </c>
      <c r="AO1783" s="6" t="s">
        <v>104</v>
      </c>
      <c r="AP1783" s="6" t="s">
        <v>14786</v>
      </c>
      <c r="AQ1783" s="6" t="s">
        <v>104</v>
      </c>
      <c r="AR1783" s="6" t="s">
        <v>104</v>
      </c>
      <c r="AS1783" s="6" t="s">
        <v>16885</v>
      </c>
      <c r="AT1783" s="6" t="s">
        <v>16943</v>
      </c>
      <c r="AU1783" s="6" t="s">
        <v>18168</v>
      </c>
      <c r="AV1783" s="6" t="s">
        <v>104</v>
      </c>
      <c r="AW1783" s="6" t="s">
        <v>104</v>
      </c>
      <c r="AX1783" s="6" t="s">
        <v>21507</v>
      </c>
      <c r="AY1783" s="6" t="s">
        <v>23312</v>
      </c>
      <c r="AZ1783" s="6" t="s">
        <v>104</v>
      </c>
      <c r="BA1783" s="6" t="s">
        <v>104</v>
      </c>
      <c r="BB1783" s="6" t="s">
        <v>104</v>
      </c>
      <c r="BC1783" s="26"/>
      <c r="BD1783" s="26"/>
      <c r="BE1783" s="26"/>
      <c r="BF1783" s="26"/>
      <c r="BG1783" s="26"/>
      <c r="BH1783" s="26"/>
      <c r="BI1783" s="26"/>
      <c r="BJ1783" s="26"/>
      <c r="BK1783" s="26"/>
      <c r="BL1783" s="26"/>
      <c r="BM1783" s="26"/>
      <c r="BN1783" s="26"/>
      <c r="BO1783" s="26"/>
      <c r="BP1783" s="16" t="n">
        <v>45582</v>
      </c>
      <c r="BQ1783" s="28" t="str">
        <f>HYPERLINK("https://organic.ams.usda.gov/Integrity/Certificate.aspx?cid=16&amp;nopid=7281690724")</f>
        <v>https://organic.ams.usda.gov/Integrity/Certificate.aspx?cid=16&amp;nopid=7281690724</v>
      </c>
    </row>
    <row r="1784">
      <c r="A1784" t="s">
        <v>3</v>
      </c>
      <c r="B1784" s="6" t="s">
        <v>27</v>
      </c>
      <c r="C1784" s="6" t="s">
        <v>93</v>
      </c>
      <c r="D1784" s="6" t="s">
        <v>158</v>
      </c>
      <c r="E1784" s="10" t="s">
        <v>1982</v>
      </c>
      <c r="F1784" s="6" t="s">
        <v>4205</v>
      </c>
      <c r="G1784" s="6" t="s">
        <v>104</v>
      </c>
      <c r="H1784" s="6" t="s">
        <v>6510</v>
      </c>
      <c r="I1784" s="6" t="s">
        <v>7412</v>
      </c>
      <c r="J1784" s="6" t="s">
        <v>8709</v>
      </c>
      <c r="K1784" s="6" t="s">
        <v>9714</v>
      </c>
      <c r="L1784" s="16" t="n">
        <v>45046</v>
      </c>
      <c r="M1784" s="16" t="n">
        <v>45688</v>
      </c>
      <c r="N1784" s="6" t="s">
        <v>9714</v>
      </c>
      <c r="O1784" s="16" t="n">
        <v>45046</v>
      </c>
      <c r="P1784" s="6" t="s">
        <v>10194</v>
      </c>
      <c r="Q1784" s="6" t="s">
        <v>104</v>
      </c>
      <c r="R1784" s="6" t="s">
        <v>10430</v>
      </c>
      <c r="S1784" s="6" t="s">
        <v>104</v>
      </c>
      <c r="T1784" s="21" t="s">
        <v>104</v>
      </c>
      <c r="U1784" s="6" t="s">
        <v>104</v>
      </c>
      <c r="V1784" s="6" t="s">
        <v>104</v>
      </c>
      <c r="W1784" s="6" t="s">
        <v>104</v>
      </c>
      <c r="X1784" s="6" t="s">
        <v>104</v>
      </c>
      <c r="Y1784" s="21" t="s">
        <v>104</v>
      </c>
      <c r="Z1784" s="6" t="s">
        <v>104</v>
      </c>
      <c r="AA1784" s="6" t="s">
        <v>104</v>
      </c>
      <c r="AB1784" s="6" t="s">
        <v>104</v>
      </c>
      <c r="AC1784" s="6" t="s">
        <v>104</v>
      </c>
      <c r="AD1784" s="21" t="s">
        <v>104</v>
      </c>
      <c r="AE1784" s="6" t="s">
        <v>104</v>
      </c>
      <c r="AF1784" s="6" t="s">
        <v>104</v>
      </c>
      <c r="AG1784" s="6" t="s">
        <v>104</v>
      </c>
      <c r="AH1784" s="6" t="s">
        <v>14787</v>
      </c>
      <c r="AI1784" s="6" t="s">
        <v>104</v>
      </c>
      <c r="AJ1784" s="6" t="s">
        <v>16448</v>
      </c>
      <c r="AK1784" s="6" t="s">
        <v>16802</v>
      </c>
      <c r="AL1784" s="6" t="s">
        <v>16932</v>
      </c>
      <c r="AM1784" s="6" t="s">
        <v>17630</v>
      </c>
      <c r="AN1784" s="6" t="s">
        <v>104</v>
      </c>
      <c r="AO1784" s="6" t="s">
        <v>104</v>
      </c>
      <c r="AP1784" s="6" t="s">
        <v>19195</v>
      </c>
      <c r="AQ1784" s="6" t="s">
        <v>104</v>
      </c>
      <c r="AR1784" s="6" t="s">
        <v>15836</v>
      </c>
      <c r="AS1784" s="6" t="s">
        <v>16802</v>
      </c>
      <c r="AT1784" s="6" t="s">
        <v>16932</v>
      </c>
      <c r="AU1784" s="6" t="s">
        <v>19922</v>
      </c>
      <c r="AV1784" s="6" t="s">
        <v>104</v>
      </c>
      <c r="AW1784" s="6" t="s">
        <v>104</v>
      </c>
      <c r="AX1784" s="6" t="s">
        <v>21508</v>
      </c>
      <c r="AY1784" s="6" t="s">
        <v>22643</v>
      </c>
      <c r="AZ1784" s="6" t="s">
        <v>104</v>
      </c>
      <c r="BA1784" s="6" t="s">
        <v>24355</v>
      </c>
      <c r="BB1784" s="24" t="n">
        <v>1363</v>
      </c>
      <c r="BC1784" s="26"/>
      <c r="BD1784" s="26"/>
      <c r="BE1784" s="26"/>
      <c r="BF1784" s="26"/>
      <c r="BG1784" s="26"/>
      <c r="BH1784" s="26"/>
      <c r="BI1784" s="26"/>
      <c r="BJ1784" s="26"/>
      <c r="BK1784" s="26"/>
      <c r="BL1784" s="26"/>
      <c r="BM1784" s="26"/>
      <c r="BN1784" s="26"/>
      <c r="BO1784" s="26" t="s">
        <v>24533</v>
      </c>
      <c r="BP1784" s="16" t="n">
        <v>45468</v>
      </c>
      <c r="BQ1784" s="28" t="str">
        <f>HYPERLINK("https://organic.ams.usda.gov/Integrity/Certificate.aspx?cid=93&amp;nopid=6361078460")</f>
        <v>https://organic.ams.usda.gov/Integrity/Certificate.aspx?cid=93&amp;nopid=6361078460</v>
      </c>
    </row>
    <row r="1785">
      <c r="A1785" t="s">
        <v>3</v>
      </c>
      <c r="B1785" s="6" t="s">
        <v>32</v>
      </c>
      <c r="C1785" s="6" t="s">
        <v>98</v>
      </c>
      <c r="D1785" s="6" t="s">
        <v>163</v>
      </c>
      <c r="E1785" s="10" t="s">
        <v>1983</v>
      </c>
      <c r="F1785" s="6" t="s">
        <v>4206</v>
      </c>
      <c r="G1785" s="6" t="s">
        <v>104</v>
      </c>
      <c r="H1785" s="6" t="s">
        <v>6511</v>
      </c>
      <c r="I1785" s="6" t="s">
        <v>7931</v>
      </c>
      <c r="J1785" s="6" t="s">
        <v>8522</v>
      </c>
      <c r="K1785" s="6" t="s">
        <v>9714</v>
      </c>
      <c r="L1785" s="16" t="n">
        <v>45443</v>
      </c>
      <c r="M1785" s="16" t="n">
        <v>45748</v>
      </c>
      <c r="N1785" s="6" t="s">
        <v>104</v>
      </c>
      <c r="O1785" s="21" t="s">
        <v>104</v>
      </c>
      <c r="P1785" s="6" t="s">
        <v>104</v>
      </c>
      <c r="Q1785" s="6" t="s">
        <v>104</v>
      </c>
      <c r="R1785" s="6" t="s">
        <v>104</v>
      </c>
      <c r="S1785" s="6" t="s">
        <v>104</v>
      </c>
      <c r="T1785" s="21" t="s">
        <v>104</v>
      </c>
      <c r="U1785" s="6" t="s">
        <v>104</v>
      </c>
      <c r="V1785" s="6" t="s">
        <v>104</v>
      </c>
      <c r="W1785" s="6" t="s">
        <v>104</v>
      </c>
      <c r="X1785" s="6" t="s">
        <v>104</v>
      </c>
      <c r="Y1785" s="21" t="s">
        <v>104</v>
      </c>
      <c r="Z1785" s="6" t="s">
        <v>104</v>
      </c>
      <c r="AA1785" s="6" t="s">
        <v>104</v>
      </c>
      <c r="AB1785" s="6" t="s">
        <v>104</v>
      </c>
      <c r="AC1785" s="6" t="s">
        <v>9714</v>
      </c>
      <c r="AD1785" s="16" t="n">
        <v>45443</v>
      </c>
      <c r="AE1785" s="6" t="s">
        <v>12073</v>
      </c>
      <c r="AF1785" s="6" t="s">
        <v>104</v>
      </c>
      <c r="AG1785" s="6" t="s">
        <v>104</v>
      </c>
      <c r="AH1785" s="6" t="s">
        <v>14788</v>
      </c>
      <c r="AI1785" s="6" t="s">
        <v>104</v>
      </c>
      <c r="AJ1785" s="6" t="s">
        <v>16449</v>
      </c>
      <c r="AK1785" s="6" t="s">
        <v>16725</v>
      </c>
      <c r="AL1785" s="6" t="s">
        <v>16931</v>
      </c>
      <c r="AM1785" s="6" t="s">
        <v>18169</v>
      </c>
      <c r="AN1785" s="6" t="s">
        <v>104</v>
      </c>
      <c r="AO1785" s="6" t="s">
        <v>104</v>
      </c>
      <c r="AP1785" s="6" t="s">
        <v>104</v>
      </c>
      <c r="AQ1785" s="6" t="s">
        <v>104</v>
      </c>
      <c r="AR1785" s="6" t="s">
        <v>104</v>
      </c>
      <c r="AS1785" s="6" t="s">
        <v>104</v>
      </c>
      <c r="AT1785" s="6" t="s">
        <v>104</v>
      </c>
      <c r="AU1785" s="6" t="s">
        <v>104</v>
      </c>
      <c r="AV1785" s="6" t="s">
        <v>104</v>
      </c>
      <c r="AW1785" s="6" t="s">
        <v>104</v>
      </c>
      <c r="AX1785" s="6" t="s">
        <v>21509</v>
      </c>
      <c r="AY1785" s="6" t="s">
        <v>23313</v>
      </c>
      <c r="AZ1785" s="6" t="s">
        <v>104</v>
      </c>
      <c r="BA1785" s="6" t="s">
        <v>104</v>
      </c>
      <c r="BB1785" s="6" t="s">
        <v>104</v>
      </c>
      <c r="BC1785" s="26" t="s">
        <v>24533</v>
      </c>
      <c r="BD1785" s="26"/>
      <c r="BE1785" s="26"/>
      <c r="BF1785" s="26"/>
      <c r="BG1785" s="26" t="s">
        <v>24533</v>
      </c>
      <c r="BH1785" s="26"/>
      <c r="BI1785" s="26"/>
      <c r="BJ1785" s="26"/>
      <c r="BK1785" s="26"/>
      <c r="BL1785" s="26"/>
      <c r="BM1785" s="26"/>
      <c r="BN1785" s="26"/>
      <c r="BO1785" s="26"/>
      <c r="BP1785" s="16" t="n">
        <v>45443</v>
      </c>
      <c r="BQ1785" s="28" t="str">
        <f>HYPERLINK("https://organic.ams.usda.gov/Integrity/Certificate.aspx?cid=64&amp;nopid=8830001778")</f>
        <v>https://organic.ams.usda.gov/Integrity/Certificate.aspx?cid=64&amp;nopid=8830001778</v>
      </c>
    </row>
    <row r="1786">
      <c r="A1786" t="s">
        <v>3</v>
      </c>
      <c r="B1786" s="6" t="s">
        <v>11</v>
      </c>
      <c r="C1786" s="6" t="s">
        <v>77</v>
      </c>
      <c r="D1786" s="6" t="s">
        <v>142</v>
      </c>
      <c r="E1786" s="10" t="s">
        <v>1984</v>
      </c>
      <c r="F1786" s="6" t="s">
        <v>4207</v>
      </c>
      <c r="G1786" s="6" t="s">
        <v>104</v>
      </c>
      <c r="H1786" s="6" t="s">
        <v>6512</v>
      </c>
      <c r="I1786" s="6" t="s">
        <v>7932</v>
      </c>
      <c r="J1786" s="6" t="s">
        <v>9414</v>
      </c>
      <c r="K1786" s="6" t="s">
        <v>9714</v>
      </c>
      <c r="L1786" s="16" t="n">
        <v>40466</v>
      </c>
      <c r="M1786" s="16" t="n">
        <v>46001</v>
      </c>
      <c r="N1786" s="6" t="s">
        <v>104</v>
      </c>
      <c r="O1786" s="21" t="s">
        <v>104</v>
      </c>
      <c r="P1786" s="6" t="s">
        <v>104</v>
      </c>
      <c r="Q1786" s="6" t="s">
        <v>104</v>
      </c>
      <c r="R1786" s="6" t="s">
        <v>104</v>
      </c>
      <c r="S1786" s="6" t="s">
        <v>104</v>
      </c>
      <c r="T1786" s="21" t="s">
        <v>104</v>
      </c>
      <c r="U1786" s="6" t="s">
        <v>104</v>
      </c>
      <c r="V1786" s="6" t="s">
        <v>104</v>
      </c>
      <c r="W1786" s="6" t="s">
        <v>104</v>
      </c>
      <c r="X1786" s="6" t="s">
        <v>104</v>
      </c>
      <c r="Y1786" s="21" t="s">
        <v>104</v>
      </c>
      <c r="Z1786" s="6" t="s">
        <v>104</v>
      </c>
      <c r="AA1786" s="6" t="s">
        <v>104</v>
      </c>
      <c r="AB1786" s="6" t="s">
        <v>104</v>
      </c>
      <c r="AC1786" s="6" t="s">
        <v>9714</v>
      </c>
      <c r="AD1786" s="16" t="n">
        <v>40466</v>
      </c>
      <c r="AE1786" s="6" t="s">
        <v>12074</v>
      </c>
      <c r="AF1786" s="6" t="s">
        <v>104</v>
      </c>
      <c r="AG1786" s="6" t="s">
        <v>104</v>
      </c>
      <c r="AH1786" s="6" t="s">
        <v>14789</v>
      </c>
      <c r="AI1786" s="6" t="s">
        <v>104</v>
      </c>
      <c r="AJ1786" s="6" t="s">
        <v>104</v>
      </c>
      <c r="AK1786" s="6" t="s">
        <v>104</v>
      </c>
      <c r="AL1786" s="6" t="s">
        <v>16961</v>
      </c>
      <c r="AM1786" s="6" t="s">
        <v>104</v>
      </c>
      <c r="AN1786" s="6" t="s">
        <v>104</v>
      </c>
      <c r="AO1786" s="6" t="s">
        <v>104</v>
      </c>
      <c r="AP1786" s="6" t="s">
        <v>104</v>
      </c>
      <c r="AQ1786" s="6" t="s">
        <v>104</v>
      </c>
      <c r="AR1786" s="6" t="s">
        <v>104</v>
      </c>
      <c r="AS1786" s="6" t="s">
        <v>104</v>
      </c>
      <c r="AT1786" s="6" t="s">
        <v>104</v>
      </c>
      <c r="AU1786" s="6" t="s">
        <v>104</v>
      </c>
      <c r="AV1786" s="6" t="s">
        <v>104</v>
      </c>
      <c r="AW1786" s="6" t="s">
        <v>104</v>
      </c>
      <c r="AX1786" s="6" t="s">
        <v>21510</v>
      </c>
      <c r="AY1786" s="6" t="s">
        <v>23314</v>
      </c>
      <c r="AZ1786" s="6" t="s">
        <v>104</v>
      </c>
      <c r="BA1786" s="6" t="s">
        <v>104</v>
      </c>
      <c r="BB1786" s="6" t="s">
        <v>104</v>
      </c>
      <c r="BC1786" s="26"/>
      <c r="BD1786" s="26"/>
      <c r="BE1786" s="26"/>
      <c r="BF1786" s="26"/>
      <c r="BG1786" s="26"/>
      <c r="BH1786" s="26"/>
      <c r="BI1786" s="26"/>
      <c r="BJ1786" s="26"/>
      <c r="BK1786" s="26"/>
      <c r="BL1786" s="26"/>
      <c r="BM1786" s="26"/>
      <c r="BN1786" s="26"/>
      <c r="BO1786" s="26"/>
      <c r="BP1786" s="16" t="n">
        <v>45679</v>
      </c>
      <c r="BQ1786" s="28" t="str">
        <f>HYPERLINK("https://organic.ams.usda.gov/Integrity/Certificate.aspx?cid=21&amp;nopid=1780816015")</f>
        <v>https://organic.ams.usda.gov/Integrity/Certificate.aspx?cid=21&amp;nopid=1780816015</v>
      </c>
    </row>
    <row r="1787">
      <c r="A1787" t="s">
        <v>3</v>
      </c>
      <c r="B1787" s="6" t="s">
        <v>24</v>
      </c>
      <c r="C1787" s="6" t="s">
        <v>90</v>
      </c>
      <c r="D1787" s="6" t="s">
        <v>155</v>
      </c>
      <c r="E1787" s="10" t="s">
        <v>1985</v>
      </c>
      <c r="F1787" s="6" t="s">
        <v>4208</v>
      </c>
      <c r="G1787" s="6" t="s">
        <v>4667</v>
      </c>
      <c r="H1787" s="6" t="s">
        <v>6513</v>
      </c>
      <c r="I1787" s="6" t="s">
        <v>7933</v>
      </c>
      <c r="J1787" s="6" t="s">
        <v>9415</v>
      </c>
      <c r="K1787" s="6" t="s">
        <v>9714</v>
      </c>
      <c r="L1787" s="16" t="n">
        <v>42566</v>
      </c>
      <c r="M1787" s="16" t="n">
        <v>45688</v>
      </c>
      <c r="N1787" s="6" t="s">
        <v>104</v>
      </c>
      <c r="O1787" s="21" t="s">
        <v>104</v>
      </c>
      <c r="P1787" s="6" t="s">
        <v>104</v>
      </c>
      <c r="Q1787" s="6" t="s">
        <v>104</v>
      </c>
      <c r="R1787" s="6" t="s">
        <v>104</v>
      </c>
      <c r="S1787" s="6" t="s">
        <v>104</v>
      </c>
      <c r="T1787" s="21" t="s">
        <v>104</v>
      </c>
      <c r="U1787" s="6" t="s">
        <v>104</v>
      </c>
      <c r="V1787" s="6" t="s">
        <v>104</v>
      </c>
      <c r="W1787" s="6" t="s">
        <v>104</v>
      </c>
      <c r="X1787" s="6" t="s">
        <v>104</v>
      </c>
      <c r="Y1787" s="21" t="s">
        <v>104</v>
      </c>
      <c r="Z1787" s="6" t="s">
        <v>104</v>
      </c>
      <c r="AA1787" s="6" t="s">
        <v>104</v>
      </c>
      <c r="AB1787" s="6" t="s">
        <v>104</v>
      </c>
      <c r="AC1787" s="6" t="s">
        <v>9714</v>
      </c>
      <c r="AD1787" s="16" t="n">
        <v>42566</v>
      </c>
      <c r="AE1787" s="6" t="s">
        <v>12075</v>
      </c>
      <c r="AF1787" s="6" t="s">
        <v>104</v>
      </c>
      <c r="AG1787" s="6" t="s">
        <v>6513</v>
      </c>
      <c r="AH1787" s="6" t="s">
        <v>14790</v>
      </c>
      <c r="AI1787" s="6" t="s">
        <v>104</v>
      </c>
      <c r="AJ1787" s="6" t="s">
        <v>16450</v>
      </c>
      <c r="AK1787" s="6" t="s">
        <v>16826</v>
      </c>
      <c r="AL1787" s="6" t="s">
        <v>16934</v>
      </c>
      <c r="AM1787" s="6" t="s">
        <v>18148</v>
      </c>
      <c r="AN1787" s="6" t="s">
        <v>104</v>
      </c>
      <c r="AO1787" s="6" t="s">
        <v>104</v>
      </c>
      <c r="AP1787" s="6" t="s">
        <v>19428</v>
      </c>
      <c r="AQ1787" s="6" t="s">
        <v>104</v>
      </c>
      <c r="AR1787" s="6" t="s">
        <v>19753</v>
      </c>
      <c r="AS1787" s="6" t="s">
        <v>16826</v>
      </c>
      <c r="AT1787" s="6" t="s">
        <v>16934</v>
      </c>
      <c r="AU1787" s="6" t="s">
        <v>20026</v>
      </c>
      <c r="AV1787" s="6" t="s">
        <v>104</v>
      </c>
      <c r="AW1787" s="6" t="s">
        <v>104</v>
      </c>
      <c r="AX1787" s="6" t="s">
        <v>21511</v>
      </c>
      <c r="AY1787" s="6" t="s">
        <v>23315</v>
      </c>
      <c r="AZ1787" s="6" t="s">
        <v>24140</v>
      </c>
      <c r="BA1787" s="6" t="s">
        <v>24262</v>
      </c>
      <c r="BB1787" s="24" t="n">
        <v>0</v>
      </c>
      <c r="BC1787" s="26"/>
      <c r="BD1787" s="26"/>
      <c r="BE1787" s="26"/>
      <c r="BF1787" s="26"/>
      <c r="BG1787" s="26"/>
      <c r="BH1787" s="26"/>
      <c r="BI1787" s="26"/>
      <c r="BJ1787" s="26"/>
      <c r="BK1787" s="26"/>
      <c r="BL1787" s="26"/>
      <c r="BM1787" s="26"/>
      <c r="BN1787" s="26"/>
      <c r="BO1787" s="26"/>
      <c r="BP1787" s="16" t="n">
        <v>45586</v>
      </c>
      <c r="BQ1787" s="28" t="str">
        <f>HYPERLINK("https://organic.ams.usda.gov/Integrity/Certificate.aspx?cid=7&amp;nopid=3950000364")</f>
        <v>https://organic.ams.usda.gov/Integrity/Certificate.aspx?cid=7&amp;nopid=3950000364</v>
      </c>
    </row>
    <row r="1788">
      <c r="A1788" t="s">
        <v>3</v>
      </c>
      <c r="B1788" s="6" t="s">
        <v>22</v>
      </c>
      <c r="C1788" s="6" t="s">
        <v>88</v>
      </c>
      <c r="D1788" s="6" t="s">
        <v>153</v>
      </c>
      <c r="E1788" s="10" t="s">
        <v>1986</v>
      </c>
      <c r="F1788" s="6" t="s">
        <v>4209</v>
      </c>
      <c r="G1788" s="6" t="s">
        <v>104</v>
      </c>
      <c r="H1788" s="6" t="s">
        <v>6514</v>
      </c>
      <c r="I1788" s="6" t="s">
        <v>7934</v>
      </c>
      <c r="J1788" s="6" t="s">
        <v>9416</v>
      </c>
      <c r="K1788" s="6" t="s">
        <v>9714</v>
      </c>
      <c r="L1788" s="16" t="n">
        <v>45363</v>
      </c>
      <c r="M1788" s="16" t="n">
        <v>46024</v>
      </c>
      <c r="N1788" s="6" t="s">
        <v>104</v>
      </c>
      <c r="O1788" s="21" t="s">
        <v>104</v>
      </c>
      <c r="P1788" s="6" t="s">
        <v>104</v>
      </c>
      <c r="Q1788" s="6" t="s">
        <v>104</v>
      </c>
      <c r="R1788" s="6" t="s">
        <v>104</v>
      </c>
      <c r="S1788" s="6" t="s">
        <v>104</v>
      </c>
      <c r="T1788" s="21" t="s">
        <v>104</v>
      </c>
      <c r="U1788" s="6" t="s">
        <v>104</v>
      </c>
      <c r="V1788" s="6" t="s">
        <v>104</v>
      </c>
      <c r="W1788" s="6" t="s">
        <v>104</v>
      </c>
      <c r="X1788" s="6" t="s">
        <v>104</v>
      </c>
      <c r="Y1788" s="21" t="s">
        <v>104</v>
      </c>
      <c r="Z1788" s="6" t="s">
        <v>104</v>
      </c>
      <c r="AA1788" s="6" t="s">
        <v>104</v>
      </c>
      <c r="AB1788" s="6" t="s">
        <v>104</v>
      </c>
      <c r="AC1788" s="6" t="s">
        <v>9714</v>
      </c>
      <c r="AD1788" s="16" t="n">
        <v>45363</v>
      </c>
      <c r="AE1788" s="6" t="s">
        <v>12076</v>
      </c>
      <c r="AF1788" s="6" t="s">
        <v>104</v>
      </c>
      <c r="AG1788" s="6" t="s">
        <v>13029</v>
      </c>
      <c r="AH1788" s="6" t="s">
        <v>14791</v>
      </c>
      <c r="AI1788" s="6" t="s">
        <v>15329</v>
      </c>
      <c r="AJ1788" s="6" t="s">
        <v>16451</v>
      </c>
      <c r="AK1788" s="6" t="s">
        <v>16370</v>
      </c>
      <c r="AL1788" s="6" t="s">
        <v>16931</v>
      </c>
      <c r="AM1788" s="6" t="s">
        <v>18170</v>
      </c>
      <c r="AN1788" s="6" t="s">
        <v>104</v>
      </c>
      <c r="AO1788" s="6" t="s">
        <v>104</v>
      </c>
      <c r="AP1788" s="6" t="s">
        <v>19429</v>
      </c>
      <c r="AQ1788" s="6" t="s">
        <v>104</v>
      </c>
      <c r="AR1788" s="6" t="s">
        <v>16451</v>
      </c>
      <c r="AS1788" s="6" t="s">
        <v>16370</v>
      </c>
      <c r="AT1788" s="6" t="s">
        <v>16931</v>
      </c>
      <c r="AU1788" s="6" t="s">
        <v>20027</v>
      </c>
      <c r="AV1788" s="6" t="s">
        <v>104</v>
      </c>
      <c r="AW1788" s="6" t="s">
        <v>104</v>
      </c>
      <c r="AX1788" s="6" t="s">
        <v>21512</v>
      </c>
      <c r="AY1788" s="6" t="s">
        <v>23316</v>
      </c>
      <c r="AZ1788" s="6" t="s">
        <v>24141</v>
      </c>
      <c r="BA1788" s="6" t="s">
        <v>104</v>
      </c>
      <c r="BB1788" s="6" t="s">
        <v>104</v>
      </c>
      <c r="BC1788" s="26"/>
      <c r="BD1788" s="26"/>
      <c r="BE1788" s="26"/>
      <c r="BF1788" s="26"/>
      <c r="BG1788" s="26" t="s">
        <v>24533</v>
      </c>
      <c r="BH1788" s="26"/>
      <c r="BI1788" s="26"/>
      <c r="BJ1788" s="26"/>
      <c r="BK1788" s="26"/>
      <c r="BL1788" s="26"/>
      <c r="BM1788" s="26"/>
      <c r="BN1788" s="26" t="s">
        <v>24533</v>
      </c>
      <c r="BO1788" s="26"/>
      <c r="BP1788" s="16" t="n">
        <v>45663</v>
      </c>
      <c r="BQ1788" s="28" t="str">
        <f>HYPERLINK("https://organic.ams.usda.gov/Integrity/Certificate.aspx?cid=72&amp;nopid=5870107033")</f>
        <v>https://organic.ams.usda.gov/Integrity/Certificate.aspx?cid=72&amp;nopid=5870107033</v>
      </c>
    </row>
    <row r="1789">
      <c r="A1789" t="s">
        <v>3</v>
      </c>
      <c r="B1789" s="6" t="s">
        <v>22</v>
      </c>
      <c r="C1789" s="6" t="s">
        <v>88</v>
      </c>
      <c r="D1789" s="6" t="s">
        <v>153</v>
      </c>
      <c r="E1789" s="10" t="s">
        <v>1987</v>
      </c>
      <c r="F1789" s="6" t="s">
        <v>4210</v>
      </c>
      <c r="G1789" s="6" t="s">
        <v>104</v>
      </c>
      <c r="H1789" s="6" t="s">
        <v>6515</v>
      </c>
      <c r="I1789" s="6" t="s">
        <v>7935</v>
      </c>
      <c r="J1789" s="6" t="s">
        <v>9417</v>
      </c>
      <c r="K1789" s="6" t="s">
        <v>9714</v>
      </c>
      <c r="L1789" s="16" t="n">
        <v>45645</v>
      </c>
      <c r="M1789" s="16" t="n">
        <v>45748</v>
      </c>
      <c r="N1789" s="6" t="s">
        <v>104</v>
      </c>
      <c r="O1789" s="21" t="s">
        <v>104</v>
      </c>
      <c r="P1789" s="6" t="s">
        <v>104</v>
      </c>
      <c r="Q1789" s="6" t="s">
        <v>104</v>
      </c>
      <c r="R1789" s="6" t="s">
        <v>104</v>
      </c>
      <c r="S1789" s="6" t="s">
        <v>104</v>
      </c>
      <c r="T1789" s="21" t="s">
        <v>104</v>
      </c>
      <c r="U1789" s="6" t="s">
        <v>104</v>
      </c>
      <c r="V1789" s="6" t="s">
        <v>104</v>
      </c>
      <c r="W1789" s="6" t="s">
        <v>104</v>
      </c>
      <c r="X1789" s="6" t="s">
        <v>104</v>
      </c>
      <c r="Y1789" s="21" t="s">
        <v>104</v>
      </c>
      <c r="Z1789" s="6" t="s">
        <v>104</v>
      </c>
      <c r="AA1789" s="6" t="s">
        <v>104</v>
      </c>
      <c r="AB1789" s="6" t="s">
        <v>104</v>
      </c>
      <c r="AC1789" s="6" t="s">
        <v>9714</v>
      </c>
      <c r="AD1789" s="16" t="n">
        <v>45645</v>
      </c>
      <c r="AE1789" s="6" t="s">
        <v>12077</v>
      </c>
      <c r="AF1789" s="6" t="s">
        <v>104</v>
      </c>
      <c r="AG1789" s="6" t="s">
        <v>13030</v>
      </c>
      <c r="AH1789" s="6" t="s">
        <v>14792</v>
      </c>
      <c r="AI1789" s="6" t="s">
        <v>104</v>
      </c>
      <c r="AJ1789" s="6" t="s">
        <v>16452</v>
      </c>
      <c r="AK1789" s="6" t="s">
        <v>16370</v>
      </c>
      <c r="AL1789" s="6" t="s">
        <v>16931</v>
      </c>
      <c r="AM1789" s="6" t="s">
        <v>18171</v>
      </c>
      <c r="AN1789" s="6" t="s">
        <v>104</v>
      </c>
      <c r="AO1789" s="6" t="s">
        <v>104</v>
      </c>
      <c r="AP1789" s="6" t="s">
        <v>14792</v>
      </c>
      <c r="AQ1789" s="6" t="s">
        <v>104</v>
      </c>
      <c r="AR1789" s="6" t="s">
        <v>16452</v>
      </c>
      <c r="AS1789" s="6" t="s">
        <v>16370</v>
      </c>
      <c r="AT1789" s="6" t="s">
        <v>16931</v>
      </c>
      <c r="AU1789" s="6" t="s">
        <v>18171</v>
      </c>
      <c r="AV1789" s="6" t="s">
        <v>104</v>
      </c>
      <c r="AW1789" s="6" t="s">
        <v>104</v>
      </c>
      <c r="AX1789" s="6" t="s">
        <v>21513</v>
      </c>
      <c r="AY1789" s="6" t="s">
        <v>23317</v>
      </c>
      <c r="AZ1789" s="6" t="s">
        <v>104</v>
      </c>
      <c r="BA1789" s="6" t="s">
        <v>104</v>
      </c>
      <c r="BB1789" s="6" t="s">
        <v>104</v>
      </c>
      <c r="BC1789" s="26"/>
      <c r="BD1789" s="26"/>
      <c r="BE1789" s="26"/>
      <c r="BF1789" s="26"/>
      <c r="BG1789" s="26" t="s">
        <v>24533</v>
      </c>
      <c r="BH1789" s="26"/>
      <c r="BI1789" s="26"/>
      <c r="BJ1789" s="26"/>
      <c r="BK1789" s="26"/>
      <c r="BL1789" s="26" t="s">
        <v>24533</v>
      </c>
      <c r="BM1789" s="26"/>
      <c r="BN1789" s="26"/>
      <c r="BO1789" s="26"/>
      <c r="BP1789" s="16" t="n">
        <v>45663</v>
      </c>
      <c r="BQ1789" s="28" t="str">
        <f>HYPERLINK("https://organic.ams.usda.gov/Integrity/Certificate.aspx?cid=72&amp;nopid=5870107234")</f>
        <v>https://organic.ams.usda.gov/Integrity/Certificate.aspx?cid=72&amp;nopid=5870107234</v>
      </c>
    </row>
    <row r="1790">
      <c r="A1790" t="s">
        <v>3</v>
      </c>
      <c r="B1790" s="6" t="s">
        <v>14</v>
      </c>
      <c r="C1790" s="6" t="s">
        <v>80</v>
      </c>
      <c r="D1790" s="6" t="s">
        <v>145</v>
      </c>
      <c r="E1790" s="10" t="s">
        <v>1988</v>
      </c>
      <c r="F1790" s="6" t="s">
        <v>4211</v>
      </c>
      <c r="G1790" s="6" t="s">
        <v>104</v>
      </c>
      <c r="H1790" s="6" t="s">
        <v>6516</v>
      </c>
      <c r="I1790" s="6" t="s">
        <v>7936</v>
      </c>
      <c r="J1790" s="6" t="s">
        <v>9418</v>
      </c>
      <c r="K1790" s="6" t="s">
        <v>9714</v>
      </c>
      <c r="L1790" s="16" t="n">
        <v>45121</v>
      </c>
      <c r="M1790" s="16" t="n">
        <v>45772</v>
      </c>
      <c r="N1790" s="6" t="s">
        <v>104</v>
      </c>
      <c r="O1790" s="21" t="s">
        <v>104</v>
      </c>
      <c r="P1790" s="6" t="s">
        <v>104</v>
      </c>
      <c r="Q1790" s="6" t="s">
        <v>104</v>
      </c>
      <c r="R1790" s="6" t="s">
        <v>104</v>
      </c>
      <c r="S1790" s="6" t="s">
        <v>104</v>
      </c>
      <c r="T1790" s="21" t="s">
        <v>104</v>
      </c>
      <c r="U1790" s="6" t="s">
        <v>104</v>
      </c>
      <c r="V1790" s="6" t="s">
        <v>104</v>
      </c>
      <c r="W1790" s="6" t="s">
        <v>104</v>
      </c>
      <c r="X1790" s="6" t="s">
        <v>104</v>
      </c>
      <c r="Y1790" s="21" t="s">
        <v>104</v>
      </c>
      <c r="Z1790" s="6" t="s">
        <v>104</v>
      </c>
      <c r="AA1790" s="6" t="s">
        <v>104</v>
      </c>
      <c r="AB1790" s="6" t="s">
        <v>104</v>
      </c>
      <c r="AC1790" s="6" t="s">
        <v>9714</v>
      </c>
      <c r="AD1790" s="16" t="n">
        <v>45121</v>
      </c>
      <c r="AE1790" s="6" t="s">
        <v>12078</v>
      </c>
      <c r="AF1790" s="6" t="s">
        <v>104</v>
      </c>
      <c r="AG1790" s="6" t="s">
        <v>104</v>
      </c>
      <c r="AH1790" s="6" t="s">
        <v>14793</v>
      </c>
      <c r="AI1790" s="6" t="s">
        <v>104</v>
      </c>
      <c r="AJ1790" s="6" t="s">
        <v>15993</v>
      </c>
      <c r="AK1790" s="6" t="s">
        <v>16886</v>
      </c>
      <c r="AL1790" s="6" t="s">
        <v>16932</v>
      </c>
      <c r="AM1790" s="6" t="s">
        <v>17631</v>
      </c>
      <c r="AN1790" s="6" t="s">
        <v>104</v>
      </c>
      <c r="AO1790" s="6" t="s">
        <v>104</v>
      </c>
      <c r="AP1790" s="6" t="s">
        <v>104</v>
      </c>
      <c r="AQ1790" s="6" t="s">
        <v>104</v>
      </c>
      <c r="AR1790" s="6" t="s">
        <v>104</v>
      </c>
      <c r="AS1790" s="6" t="s">
        <v>104</v>
      </c>
      <c r="AT1790" s="6" t="s">
        <v>104</v>
      </c>
      <c r="AU1790" s="6" t="s">
        <v>104</v>
      </c>
      <c r="AV1790" s="6" t="s">
        <v>104</v>
      </c>
      <c r="AW1790" s="6" t="s">
        <v>104</v>
      </c>
      <c r="AX1790" s="6" t="s">
        <v>21514</v>
      </c>
      <c r="AY1790" s="6" t="s">
        <v>23318</v>
      </c>
      <c r="AZ1790" s="6" t="s">
        <v>104</v>
      </c>
      <c r="BA1790" s="6" t="s">
        <v>24259</v>
      </c>
      <c r="BB1790" s="6" t="s">
        <v>104</v>
      </c>
      <c r="BC1790" s="26"/>
      <c r="BD1790" s="26"/>
      <c r="BE1790" s="26"/>
      <c r="BF1790" s="26"/>
      <c r="BG1790" s="26"/>
      <c r="BH1790" s="26"/>
      <c r="BI1790" s="26"/>
      <c r="BJ1790" s="26"/>
      <c r="BK1790" s="26"/>
      <c r="BL1790" s="26"/>
      <c r="BM1790" s="26"/>
      <c r="BN1790" s="26"/>
      <c r="BO1790" s="26"/>
      <c r="BP1790" s="16" t="n">
        <v>45525</v>
      </c>
      <c r="BQ1790" s="28" t="str">
        <f>HYPERLINK("https://organic.ams.usda.gov/Integrity/Certificate.aspx?cid=89&amp;nopid=4920004304")</f>
        <v>https://organic.ams.usda.gov/Integrity/Certificate.aspx?cid=89&amp;nopid=4920004304</v>
      </c>
    </row>
    <row r="1791">
      <c r="A1791" t="s">
        <v>3</v>
      </c>
      <c r="B1791" s="6" t="s">
        <v>14</v>
      </c>
      <c r="C1791" s="6" t="s">
        <v>80</v>
      </c>
      <c r="D1791" s="6" t="s">
        <v>145</v>
      </c>
      <c r="E1791" s="10" t="s">
        <v>1989</v>
      </c>
      <c r="F1791" s="6" t="s">
        <v>4212</v>
      </c>
      <c r="G1791" s="6" t="s">
        <v>104</v>
      </c>
      <c r="H1791" s="6" t="s">
        <v>6517</v>
      </c>
      <c r="I1791" s="6" t="s">
        <v>7936</v>
      </c>
      <c r="J1791" s="6" t="s">
        <v>9418</v>
      </c>
      <c r="K1791" s="6" t="s">
        <v>9714</v>
      </c>
      <c r="L1791" s="16" t="n">
        <v>45121</v>
      </c>
      <c r="M1791" s="16" t="n">
        <v>45773</v>
      </c>
      <c r="N1791" s="6" t="s">
        <v>104</v>
      </c>
      <c r="O1791" s="21" t="s">
        <v>104</v>
      </c>
      <c r="P1791" s="6" t="s">
        <v>104</v>
      </c>
      <c r="Q1791" s="6" t="s">
        <v>104</v>
      </c>
      <c r="R1791" s="6" t="s">
        <v>104</v>
      </c>
      <c r="S1791" s="6" t="s">
        <v>104</v>
      </c>
      <c r="T1791" s="21" t="s">
        <v>104</v>
      </c>
      <c r="U1791" s="6" t="s">
        <v>104</v>
      </c>
      <c r="V1791" s="6" t="s">
        <v>104</v>
      </c>
      <c r="W1791" s="6" t="s">
        <v>104</v>
      </c>
      <c r="X1791" s="6" t="s">
        <v>104</v>
      </c>
      <c r="Y1791" s="21" t="s">
        <v>104</v>
      </c>
      <c r="Z1791" s="6" t="s">
        <v>104</v>
      </c>
      <c r="AA1791" s="6" t="s">
        <v>104</v>
      </c>
      <c r="AB1791" s="6" t="s">
        <v>104</v>
      </c>
      <c r="AC1791" s="6" t="s">
        <v>9714</v>
      </c>
      <c r="AD1791" s="16" t="n">
        <v>45121</v>
      </c>
      <c r="AE1791" s="6" t="s">
        <v>12079</v>
      </c>
      <c r="AF1791" s="6" t="s">
        <v>104</v>
      </c>
      <c r="AG1791" s="6" t="s">
        <v>104</v>
      </c>
      <c r="AH1791" s="6" t="s">
        <v>14794</v>
      </c>
      <c r="AI1791" s="6" t="s">
        <v>104</v>
      </c>
      <c r="AJ1791" s="6" t="s">
        <v>16453</v>
      </c>
      <c r="AK1791" s="6" t="s">
        <v>16886</v>
      </c>
      <c r="AL1791" s="6" t="s">
        <v>16932</v>
      </c>
      <c r="AM1791" s="6" t="s">
        <v>18172</v>
      </c>
      <c r="AN1791" s="6" t="s">
        <v>104</v>
      </c>
      <c r="AO1791" s="6" t="s">
        <v>104</v>
      </c>
      <c r="AP1791" s="6" t="s">
        <v>104</v>
      </c>
      <c r="AQ1791" s="6" t="s">
        <v>104</v>
      </c>
      <c r="AR1791" s="6" t="s">
        <v>104</v>
      </c>
      <c r="AS1791" s="6" t="s">
        <v>104</v>
      </c>
      <c r="AT1791" s="6" t="s">
        <v>104</v>
      </c>
      <c r="AU1791" s="6" t="s">
        <v>104</v>
      </c>
      <c r="AV1791" s="6" t="s">
        <v>104</v>
      </c>
      <c r="AW1791" s="6" t="s">
        <v>104</v>
      </c>
      <c r="AX1791" s="6" t="s">
        <v>21514</v>
      </c>
      <c r="AY1791" s="6" t="s">
        <v>23318</v>
      </c>
      <c r="AZ1791" s="6" t="s">
        <v>104</v>
      </c>
      <c r="BA1791" s="6" t="s">
        <v>24323</v>
      </c>
      <c r="BB1791" s="6" t="s">
        <v>104</v>
      </c>
      <c r="BC1791" s="26"/>
      <c r="BD1791" s="26"/>
      <c r="BE1791" s="26"/>
      <c r="BF1791" s="26"/>
      <c r="BG1791" s="26"/>
      <c r="BH1791" s="26"/>
      <c r="BI1791" s="26"/>
      <c r="BJ1791" s="26"/>
      <c r="BK1791" s="26"/>
      <c r="BL1791" s="26"/>
      <c r="BM1791" s="26"/>
      <c r="BN1791" s="26"/>
      <c r="BO1791" s="26"/>
      <c r="BP1791" s="16" t="n">
        <v>45533</v>
      </c>
      <c r="BQ1791" s="28" t="str">
        <f>HYPERLINK("https://organic.ams.usda.gov/Integrity/Certificate.aspx?cid=89&amp;nopid=4920004305")</f>
        <v>https://organic.ams.usda.gov/Integrity/Certificate.aspx?cid=89&amp;nopid=4920004305</v>
      </c>
    </row>
    <row r="1792">
      <c r="A1792" t="s">
        <v>3</v>
      </c>
      <c r="B1792" s="6" t="s">
        <v>14</v>
      </c>
      <c r="C1792" s="6" t="s">
        <v>80</v>
      </c>
      <c r="D1792" s="6" t="s">
        <v>145</v>
      </c>
      <c r="E1792" s="10" t="s">
        <v>1990</v>
      </c>
      <c r="F1792" s="6" t="s">
        <v>4213</v>
      </c>
      <c r="G1792" s="6" t="s">
        <v>104</v>
      </c>
      <c r="H1792" s="6" t="s">
        <v>6518</v>
      </c>
      <c r="I1792" s="6" t="s">
        <v>7937</v>
      </c>
      <c r="J1792" s="6" t="s">
        <v>9326</v>
      </c>
      <c r="K1792" s="6" t="s">
        <v>9714</v>
      </c>
      <c r="L1792" s="16" t="n">
        <v>44964</v>
      </c>
      <c r="M1792" s="16" t="n">
        <v>45937</v>
      </c>
      <c r="N1792" s="6" t="s">
        <v>104</v>
      </c>
      <c r="O1792" s="21" t="s">
        <v>104</v>
      </c>
      <c r="P1792" s="6" t="s">
        <v>104</v>
      </c>
      <c r="Q1792" s="6" t="s">
        <v>104</v>
      </c>
      <c r="R1792" s="6" t="s">
        <v>104</v>
      </c>
      <c r="S1792" s="6" t="s">
        <v>104</v>
      </c>
      <c r="T1792" s="21" t="s">
        <v>104</v>
      </c>
      <c r="U1792" s="6" t="s">
        <v>104</v>
      </c>
      <c r="V1792" s="6" t="s">
        <v>104</v>
      </c>
      <c r="W1792" s="6" t="s">
        <v>104</v>
      </c>
      <c r="X1792" s="6" t="s">
        <v>104</v>
      </c>
      <c r="Y1792" s="21" t="s">
        <v>104</v>
      </c>
      <c r="Z1792" s="6" t="s">
        <v>104</v>
      </c>
      <c r="AA1792" s="6" t="s">
        <v>104</v>
      </c>
      <c r="AB1792" s="6" t="s">
        <v>104</v>
      </c>
      <c r="AC1792" s="6" t="s">
        <v>9714</v>
      </c>
      <c r="AD1792" s="16" t="n">
        <v>44964</v>
      </c>
      <c r="AE1792" s="6" t="s">
        <v>12080</v>
      </c>
      <c r="AF1792" s="6" t="s">
        <v>104</v>
      </c>
      <c r="AG1792" s="6" t="s">
        <v>104</v>
      </c>
      <c r="AH1792" s="6" t="s">
        <v>14795</v>
      </c>
      <c r="AI1792" s="6" t="s">
        <v>104</v>
      </c>
      <c r="AJ1792" s="6" t="s">
        <v>15387</v>
      </c>
      <c r="AK1792" s="6" t="s">
        <v>16270</v>
      </c>
      <c r="AL1792" s="6" t="s">
        <v>16932</v>
      </c>
      <c r="AM1792" s="6" t="s">
        <v>18173</v>
      </c>
      <c r="AN1792" s="6" t="s">
        <v>104</v>
      </c>
      <c r="AO1792" s="6" t="s">
        <v>104</v>
      </c>
      <c r="AP1792" s="6" t="s">
        <v>104</v>
      </c>
      <c r="AQ1792" s="6" t="s">
        <v>104</v>
      </c>
      <c r="AR1792" s="6" t="s">
        <v>104</v>
      </c>
      <c r="AS1792" s="6" t="s">
        <v>104</v>
      </c>
      <c r="AT1792" s="6" t="s">
        <v>104</v>
      </c>
      <c r="AU1792" s="6" t="s">
        <v>104</v>
      </c>
      <c r="AV1792" s="6" t="s">
        <v>104</v>
      </c>
      <c r="AW1792" s="6" t="s">
        <v>104</v>
      </c>
      <c r="AX1792" s="6" t="s">
        <v>21515</v>
      </c>
      <c r="AY1792" s="6" t="s">
        <v>23319</v>
      </c>
      <c r="AZ1792" s="6" t="s">
        <v>104</v>
      </c>
      <c r="BA1792" s="6" t="s">
        <v>24267</v>
      </c>
      <c r="BB1792" s="6" t="s">
        <v>104</v>
      </c>
      <c r="BC1792" s="26"/>
      <c r="BD1792" s="26"/>
      <c r="BE1792" s="26"/>
      <c r="BF1792" s="26"/>
      <c r="BG1792" s="26"/>
      <c r="BH1792" s="26"/>
      <c r="BI1792" s="26"/>
      <c r="BJ1792" s="26"/>
      <c r="BK1792" s="26"/>
      <c r="BL1792" s="26"/>
      <c r="BM1792" s="26"/>
      <c r="BN1792" s="26"/>
      <c r="BO1792" s="26"/>
      <c r="BP1792" s="16" t="n">
        <v>45681</v>
      </c>
      <c r="BQ1792" s="28" t="str">
        <f>HYPERLINK("https://organic.ams.usda.gov/Integrity/Certificate.aspx?cid=89&amp;nopid=4920002086")</f>
        <v>https://organic.ams.usda.gov/Integrity/Certificate.aspx?cid=89&amp;nopid=4920002086</v>
      </c>
    </row>
    <row r="1793">
      <c r="A1793" t="s">
        <v>3</v>
      </c>
      <c r="B1793" s="6" t="s">
        <v>27</v>
      </c>
      <c r="C1793" s="6" t="s">
        <v>93</v>
      </c>
      <c r="D1793" s="6" t="s">
        <v>158</v>
      </c>
      <c r="E1793" s="10" t="s">
        <v>1991</v>
      </c>
      <c r="F1793" s="6" t="s">
        <v>4214</v>
      </c>
      <c r="G1793" s="6" t="s">
        <v>104</v>
      </c>
      <c r="H1793" s="6" t="s">
        <v>6519</v>
      </c>
      <c r="I1793" s="6" t="s">
        <v>7669</v>
      </c>
      <c r="J1793" s="6" t="s">
        <v>9057</v>
      </c>
      <c r="K1793" s="6" t="s">
        <v>9714</v>
      </c>
      <c r="L1793" s="16" t="n">
        <v>45648</v>
      </c>
      <c r="M1793" s="16" t="n">
        <v>45716</v>
      </c>
      <c r="N1793" s="6" t="s">
        <v>9714</v>
      </c>
      <c r="O1793" s="16" t="n">
        <v>45648</v>
      </c>
      <c r="P1793" s="6" t="s">
        <v>10195</v>
      </c>
      <c r="Q1793" s="6" t="s">
        <v>104</v>
      </c>
      <c r="R1793" s="6" t="s">
        <v>10431</v>
      </c>
      <c r="S1793" s="6" t="s">
        <v>104</v>
      </c>
      <c r="T1793" s="21" t="s">
        <v>104</v>
      </c>
      <c r="U1793" s="6" t="s">
        <v>104</v>
      </c>
      <c r="V1793" s="6" t="s">
        <v>104</v>
      </c>
      <c r="W1793" s="6" t="s">
        <v>104</v>
      </c>
      <c r="X1793" s="6" t="s">
        <v>104</v>
      </c>
      <c r="Y1793" s="21" t="s">
        <v>104</v>
      </c>
      <c r="Z1793" s="6" t="s">
        <v>104</v>
      </c>
      <c r="AA1793" s="6" t="s">
        <v>104</v>
      </c>
      <c r="AB1793" s="6" t="s">
        <v>104</v>
      </c>
      <c r="AC1793" s="6" t="s">
        <v>104</v>
      </c>
      <c r="AD1793" s="21" t="s">
        <v>104</v>
      </c>
      <c r="AE1793" s="6" t="s">
        <v>104</v>
      </c>
      <c r="AF1793" s="6" t="s">
        <v>104</v>
      </c>
      <c r="AG1793" s="6" t="s">
        <v>104</v>
      </c>
      <c r="AH1793" s="6" t="s">
        <v>14538</v>
      </c>
      <c r="AI1793" s="6" t="s">
        <v>104</v>
      </c>
      <c r="AJ1793" s="6" t="s">
        <v>16313</v>
      </c>
      <c r="AK1793" s="6" t="s">
        <v>16270</v>
      </c>
      <c r="AL1793" s="6" t="s">
        <v>16932</v>
      </c>
      <c r="AM1793" s="6" t="s">
        <v>18005</v>
      </c>
      <c r="AN1793" s="6" t="s">
        <v>104</v>
      </c>
      <c r="AO1793" s="6" t="s">
        <v>104</v>
      </c>
      <c r="AP1793" s="6" t="s">
        <v>19359</v>
      </c>
      <c r="AQ1793" s="6" t="s">
        <v>104</v>
      </c>
      <c r="AR1793" s="6" t="s">
        <v>16108</v>
      </c>
      <c r="AS1793" s="6" t="s">
        <v>16685</v>
      </c>
      <c r="AT1793" s="6" t="s">
        <v>16932</v>
      </c>
      <c r="AU1793" s="6" t="s">
        <v>17928</v>
      </c>
      <c r="AV1793" s="6" t="s">
        <v>104</v>
      </c>
      <c r="AW1793" s="6" t="s">
        <v>104</v>
      </c>
      <c r="AX1793" s="6" t="s">
        <v>21303</v>
      </c>
      <c r="AY1793" s="6" t="s">
        <v>22880</v>
      </c>
      <c r="AZ1793" s="6" t="s">
        <v>24076</v>
      </c>
      <c r="BA1793" s="6" t="s">
        <v>104</v>
      </c>
      <c r="BB1793" s="24" t="n">
        <v>1905</v>
      </c>
      <c r="BC1793" s="26"/>
      <c r="BD1793" s="26"/>
      <c r="BE1793" s="26"/>
      <c r="BF1793" s="26"/>
      <c r="BG1793" s="26"/>
      <c r="BH1793" s="26"/>
      <c r="BI1793" s="26"/>
      <c r="BJ1793" s="26"/>
      <c r="BK1793" s="26"/>
      <c r="BL1793" s="26"/>
      <c r="BM1793" s="26"/>
      <c r="BN1793" s="26"/>
      <c r="BO1793" s="26" t="s">
        <v>24533</v>
      </c>
      <c r="BP1793" s="16" t="n">
        <v>45663</v>
      </c>
      <c r="BQ1793" s="28" t="str">
        <f>HYPERLINK("https://organic.ams.usda.gov/Integrity/Certificate.aspx?cid=93&amp;nopid=6368847503")</f>
        <v>https://organic.ams.usda.gov/Integrity/Certificate.aspx?cid=93&amp;nopid=6368847503</v>
      </c>
    </row>
    <row r="1794">
      <c r="A1794" t="s">
        <v>3</v>
      </c>
      <c r="B1794" s="6" t="s">
        <v>11</v>
      </c>
      <c r="C1794" s="6" t="s">
        <v>77</v>
      </c>
      <c r="D1794" s="6" t="s">
        <v>142</v>
      </c>
      <c r="E1794" s="10" t="s">
        <v>1992</v>
      </c>
      <c r="F1794" s="6" t="s">
        <v>4215</v>
      </c>
      <c r="G1794" s="6" t="s">
        <v>104</v>
      </c>
      <c r="H1794" s="6" t="s">
        <v>1992</v>
      </c>
      <c r="I1794" s="6" t="s">
        <v>7351</v>
      </c>
      <c r="J1794" s="6" t="s">
        <v>9419</v>
      </c>
      <c r="K1794" s="6" t="s">
        <v>9714</v>
      </c>
      <c r="L1794" s="16" t="n">
        <v>45212</v>
      </c>
      <c r="M1794" s="16" t="n">
        <v>45837</v>
      </c>
      <c r="N1794" s="6" t="s">
        <v>104</v>
      </c>
      <c r="O1794" s="21" t="s">
        <v>104</v>
      </c>
      <c r="P1794" s="6" t="s">
        <v>104</v>
      </c>
      <c r="Q1794" s="6" t="s">
        <v>104</v>
      </c>
      <c r="R1794" s="6" t="s">
        <v>104</v>
      </c>
      <c r="S1794" s="6" t="s">
        <v>104</v>
      </c>
      <c r="T1794" s="21" t="s">
        <v>104</v>
      </c>
      <c r="U1794" s="6" t="s">
        <v>104</v>
      </c>
      <c r="V1794" s="6" t="s">
        <v>104</v>
      </c>
      <c r="W1794" s="6" t="s">
        <v>104</v>
      </c>
      <c r="X1794" s="6" t="s">
        <v>104</v>
      </c>
      <c r="Y1794" s="21" t="s">
        <v>104</v>
      </c>
      <c r="Z1794" s="6" t="s">
        <v>104</v>
      </c>
      <c r="AA1794" s="6" t="s">
        <v>104</v>
      </c>
      <c r="AB1794" s="6" t="s">
        <v>104</v>
      </c>
      <c r="AC1794" s="6" t="s">
        <v>9714</v>
      </c>
      <c r="AD1794" s="16" t="n">
        <v>45212</v>
      </c>
      <c r="AE1794" s="6" t="s">
        <v>12081</v>
      </c>
      <c r="AF1794" s="6" t="s">
        <v>104</v>
      </c>
      <c r="AG1794" s="6" t="s">
        <v>13031</v>
      </c>
      <c r="AH1794" s="6" t="s">
        <v>14796</v>
      </c>
      <c r="AI1794" s="6" t="s">
        <v>104</v>
      </c>
      <c r="AJ1794" s="6" t="s">
        <v>16454</v>
      </c>
      <c r="AK1794" s="6" t="s">
        <v>15885</v>
      </c>
      <c r="AL1794" s="6" t="s">
        <v>16932</v>
      </c>
      <c r="AM1794" s="6" t="s">
        <v>18174</v>
      </c>
      <c r="AN1794" s="6" t="s">
        <v>104</v>
      </c>
      <c r="AO1794" s="6" t="s">
        <v>104</v>
      </c>
      <c r="AP1794" s="6" t="s">
        <v>14796</v>
      </c>
      <c r="AQ1794" s="6" t="s">
        <v>104</v>
      </c>
      <c r="AR1794" s="6" t="s">
        <v>16454</v>
      </c>
      <c r="AS1794" s="6" t="s">
        <v>15885</v>
      </c>
      <c r="AT1794" s="6" t="s">
        <v>16932</v>
      </c>
      <c r="AU1794" s="6" t="s">
        <v>18174</v>
      </c>
      <c r="AV1794" s="6" t="s">
        <v>104</v>
      </c>
      <c r="AW1794" s="6" t="s">
        <v>104</v>
      </c>
      <c r="AX1794" s="6" t="s">
        <v>104</v>
      </c>
      <c r="AY1794" s="6" t="s">
        <v>23320</v>
      </c>
      <c r="AZ1794" s="6" t="s">
        <v>104</v>
      </c>
      <c r="BA1794" s="6" t="s">
        <v>104</v>
      </c>
      <c r="BB1794" s="6" t="s">
        <v>104</v>
      </c>
      <c r="BC1794" s="26"/>
      <c r="BD1794" s="26"/>
      <c r="BE1794" s="26"/>
      <c r="BF1794" s="26"/>
      <c r="BG1794" s="26"/>
      <c r="BH1794" s="26"/>
      <c r="BI1794" s="26"/>
      <c r="BJ1794" s="26"/>
      <c r="BK1794" s="26"/>
      <c r="BL1794" s="26"/>
      <c r="BM1794" s="26"/>
      <c r="BN1794" s="26" t="s">
        <v>24533</v>
      </c>
      <c r="BO1794" s="26"/>
      <c r="BP1794" s="16" t="n">
        <v>45693</v>
      </c>
      <c r="BQ1794" s="28" t="str">
        <f>HYPERLINK("https://organic.ams.usda.gov/Integrity/Certificate.aspx?cid=21&amp;nopid=1780895774")</f>
        <v>https://organic.ams.usda.gov/Integrity/Certificate.aspx?cid=21&amp;nopid=1780895774</v>
      </c>
    </row>
    <row r="1795">
      <c r="A1795" t="s">
        <v>3</v>
      </c>
      <c r="B1795" s="6" t="s">
        <v>65</v>
      </c>
      <c r="C1795" s="6" t="s">
        <v>131</v>
      </c>
      <c r="D1795" s="6" t="s">
        <v>195</v>
      </c>
      <c r="E1795" s="10" t="s">
        <v>1993</v>
      </c>
      <c r="F1795" s="6" t="s">
        <v>4216</v>
      </c>
      <c r="G1795" s="6" t="s">
        <v>104</v>
      </c>
      <c r="H1795" s="6" t="s">
        <v>6520</v>
      </c>
      <c r="I1795" s="6" t="s">
        <v>7938</v>
      </c>
      <c r="J1795" s="6" t="s">
        <v>9420</v>
      </c>
      <c r="K1795" s="6" t="s">
        <v>9714</v>
      </c>
      <c r="L1795" s="16" t="n">
        <v>43595</v>
      </c>
      <c r="M1795" s="16" t="n">
        <v>45689</v>
      </c>
      <c r="N1795" s="6" t="s">
        <v>104</v>
      </c>
      <c r="O1795" s="21" t="s">
        <v>104</v>
      </c>
      <c r="P1795" s="6" t="s">
        <v>104</v>
      </c>
      <c r="Q1795" s="6" t="s">
        <v>104</v>
      </c>
      <c r="R1795" s="6" t="s">
        <v>104</v>
      </c>
      <c r="S1795" s="6" t="s">
        <v>104</v>
      </c>
      <c r="T1795" s="21" t="s">
        <v>104</v>
      </c>
      <c r="U1795" s="6" t="s">
        <v>104</v>
      </c>
      <c r="V1795" s="6" t="s">
        <v>104</v>
      </c>
      <c r="W1795" s="6" t="s">
        <v>104</v>
      </c>
      <c r="X1795" s="6" t="s">
        <v>104</v>
      </c>
      <c r="Y1795" s="21" t="s">
        <v>104</v>
      </c>
      <c r="Z1795" s="6" t="s">
        <v>104</v>
      </c>
      <c r="AA1795" s="6" t="s">
        <v>104</v>
      </c>
      <c r="AB1795" s="6" t="s">
        <v>104</v>
      </c>
      <c r="AC1795" s="6" t="s">
        <v>9714</v>
      </c>
      <c r="AD1795" s="16" t="n">
        <v>43595</v>
      </c>
      <c r="AE1795" s="6" t="s">
        <v>12082</v>
      </c>
      <c r="AF1795" s="6" t="s">
        <v>104</v>
      </c>
      <c r="AG1795" s="6" t="s">
        <v>13032</v>
      </c>
      <c r="AH1795" s="6" t="s">
        <v>14797</v>
      </c>
      <c r="AI1795" s="6" t="s">
        <v>104</v>
      </c>
      <c r="AJ1795" s="6" t="s">
        <v>104</v>
      </c>
      <c r="AK1795" s="6" t="s">
        <v>104</v>
      </c>
      <c r="AL1795" s="6" t="s">
        <v>16938</v>
      </c>
      <c r="AM1795" s="6" t="s">
        <v>18175</v>
      </c>
      <c r="AN1795" s="6" t="s">
        <v>104</v>
      </c>
      <c r="AO1795" s="6" t="s">
        <v>104</v>
      </c>
      <c r="AP1795" s="6" t="s">
        <v>14797</v>
      </c>
      <c r="AQ1795" s="6" t="s">
        <v>104</v>
      </c>
      <c r="AR1795" s="6" t="s">
        <v>104</v>
      </c>
      <c r="AS1795" s="6" t="s">
        <v>104</v>
      </c>
      <c r="AT1795" s="6" t="s">
        <v>16938</v>
      </c>
      <c r="AU1795" s="6" t="s">
        <v>18175</v>
      </c>
      <c r="AV1795" s="6" t="s">
        <v>104</v>
      </c>
      <c r="AW1795" s="6" t="s">
        <v>104</v>
      </c>
      <c r="AX1795" s="6" t="s">
        <v>21516</v>
      </c>
      <c r="AY1795" s="6" t="s">
        <v>23321</v>
      </c>
      <c r="AZ1795" s="6" t="s">
        <v>104</v>
      </c>
      <c r="BA1795" s="6" t="s">
        <v>104</v>
      </c>
      <c r="BB1795" s="6" t="s">
        <v>104</v>
      </c>
      <c r="BC1795" s="26"/>
      <c r="BD1795" s="26"/>
      <c r="BE1795" s="26"/>
      <c r="BF1795" s="26"/>
      <c r="BG1795" s="26"/>
      <c r="BH1795" s="26" t="s">
        <v>24533</v>
      </c>
      <c r="BI1795" s="26"/>
      <c r="BJ1795" s="26"/>
      <c r="BK1795" s="26"/>
      <c r="BL1795" s="26"/>
      <c r="BM1795" s="26"/>
      <c r="BN1795" s="26"/>
      <c r="BO1795" s="26"/>
      <c r="BP1795" s="16" t="n">
        <v>45537</v>
      </c>
      <c r="BQ1795" s="28" t="str">
        <f>HYPERLINK("https://organic.ams.usda.gov/Integrity/Certificate.aspx?cid=27&amp;nopid=9963216001")</f>
        <v>https://organic.ams.usda.gov/Integrity/Certificate.aspx?cid=27&amp;nopid=9963216001</v>
      </c>
    </row>
    <row r="1796">
      <c r="A1796" t="s">
        <v>3</v>
      </c>
      <c r="B1796" s="6" t="s">
        <v>12</v>
      </c>
      <c r="C1796" s="6" t="s">
        <v>78</v>
      </c>
      <c r="D1796" s="6" t="s">
        <v>143</v>
      </c>
      <c r="E1796" s="10" t="s">
        <v>1994</v>
      </c>
      <c r="F1796" s="6" t="s">
        <v>4217</v>
      </c>
      <c r="G1796" s="6" t="s">
        <v>104</v>
      </c>
      <c r="H1796" s="6" t="s">
        <v>104</v>
      </c>
      <c r="I1796" s="6" t="s">
        <v>7939</v>
      </c>
      <c r="J1796" s="6" t="s">
        <v>9421</v>
      </c>
      <c r="K1796" s="6" t="s">
        <v>9714</v>
      </c>
      <c r="L1796" s="16" t="n">
        <v>44372</v>
      </c>
      <c r="M1796" s="16" t="n">
        <v>45717</v>
      </c>
      <c r="N1796" s="6" t="s">
        <v>104</v>
      </c>
      <c r="O1796" s="21" t="s">
        <v>104</v>
      </c>
      <c r="P1796" s="6" t="s">
        <v>104</v>
      </c>
      <c r="Q1796" s="6" t="s">
        <v>104</v>
      </c>
      <c r="R1796" s="6" t="s">
        <v>104</v>
      </c>
      <c r="S1796" s="6" t="s">
        <v>104</v>
      </c>
      <c r="T1796" s="21" t="s">
        <v>104</v>
      </c>
      <c r="U1796" s="6" t="s">
        <v>104</v>
      </c>
      <c r="V1796" s="6" t="s">
        <v>104</v>
      </c>
      <c r="W1796" s="6" t="s">
        <v>104</v>
      </c>
      <c r="X1796" s="6" t="s">
        <v>104</v>
      </c>
      <c r="Y1796" s="21" t="s">
        <v>104</v>
      </c>
      <c r="Z1796" s="6" t="s">
        <v>104</v>
      </c>
      <c r="AA1796" s="6" t="s">
        <v>104</v>
      </c>
      <c r="AB1796" s="6" t="s">
        <v>104</v>
      </c>
      <c r="AC1796" s="6" t="s">
        <v>9714</v>
      </c>
      <c r="AD1796" s="16" t="n">
        <v>44372</v>
      </c>
      <c r="AE1796" s="6" t="s">
        <v>12083</v>
      </c>
      <c r="AF1796" s="6" t="s">
        <v>104</v>
      </c>
      <c r="AG1796" s="6" t="s">
        <v>104</v>
      </c>
      <c r="AH1796" s="6" t="s">
        <v>14798</v>
      </c>
      <c r="AI1796" s="6" t="s">
        <v>104</v>
      </c>
      <c r="AJ1796" s="6" t="s">
        <v>16455</v>
      </c>
      <c r="AK1796" s="6" t="s">
        <v>16720</v>
      </c>
      <c r="AL1796" s="6" t="s">
        <v>16931</v>
      </c>
      <c r="AM1796" s="6" t="s">
        <v>18176</v>
      </c>
      <c r="AN1796" s="6" t="s">
        <v>18466</v>
      </c>
      <c r="AO1796" s="6" t="s">
        <v>18675</v>
      </c>
      <c r="AP1796" s="6" t="s">
        <v>14798</v>
      </c>
      <c r="AQ1796" s="6" t="s">
        <v>104</v>
      </c>
      <c r="AR1796" s="6" t="s">
        <v>16455</v>
      </c>
      <c r="AS1796" s="6" t="s">
        <v>16720</v>
      </c>
      <c r="AT1796" s="6" t="s">
        <v>16931</v>
      </c>
      <c r="AU1796" s="6" t="s">
        <v>18176</v>
      </c>
      <c r="AV1796" s="6" t="s">
        <v>104</v>
      </c>
      <c r="AW1796" s="6" t="s">
        <v>104</v>
      </c>
      <c r="AX1796" s="6" t="s">
        <v>104</v>
      </c>
      <c r="AY1796" s="6" t="s">
        <v>23322</v>
      </c>
      <c r="AZ1796" s="6" t="s">
        <v>104</v>
      </c>
      <c r="BA1796" s="6" t="s">
        <v>104</v>
      </c>
      <c r="BB1796" s="6" t="s">
        <v>104</v>
      </c>
      <c r="BC1796" s="26"/>
      <c r="BD1796" s="26"/>
      <c r="BE1796" s="26"/>
      <c r="BF1796" s="26"/>
      <c r="BG1796" s="26"/>
      <c r="BH1796" s="26"/>
      <c r="BI1796" s="26"/>
      <c r="BJ1796" s="26"/>
      <c r="BK1796" s="26"/>
      <c r="BL1796" s="26"/>
      <c r="BM1796" s="26"/>
      <c r="BN1796" s="26"/>
      <c r="BO1796" s="26"/>
      <c r="BP1796" s="16" t="n">
        <v>45616</v>
      </c>
      <c r="BQ1796" s="28" t="str">
        <f>HYPERLINK("https://organic.ams.usda.gov/Integrity/Certificate.aspx?cid=1&amp;nopid=9092113802")</f>
        <v>https://organic.ams.usda.gov/Integrity/Certificate.aspx?cid=1&amp;nopid=9092113802</v>
      </c>
    </row>
    <row r="1797">
      <c r="A1797" t="s">
        <v>3</v>
      </c>
      <c r="B1797" s="6" t="s">
        <v>45</v>
      </c>
      <c r="C1797" s="6" t="s">
        <v>111</v>
      </c>
      <c r="D1797" s="6" t="s">
        <v>175</v>
      </c>
      <c r="E1797" s="10" t="s">
        <v>1995</v>
      </c>
      <c r="F1797" s="6" t="s">
        <v>4218</v>
      </c>
      <c r="G1797" s="6" t="s">
        <v>104</v>
      </c>
      <c r="H1797" s="6" t="s">
        <v>6521</v>
      </c>
      <c r="I1797" s="6" t="s">
        <v>7592</v>
      </c>
      <c r="J1797" s="6" t="s">
        <v>9422</v>
      </c>
      <c r="K1797" s="6" t="s">
        <v>9714</v>
      </c>
      <c r="L1797" s="16" t="n">
        <v>43655</v>
      </c>
      <c r="M1797" s="16" t="n">
        <v>46082</v>
      </c>
      <c r="N1797" s="6" t="s">
        <v>104</v>
      </c>
      <c r="O1797" s="21" t="s">
        <v>104</v>
      </c>
      <c r="P1797" s="6" t="s">
        <v>104</v>
      </c>
      <c r="Q1797" s="6" t="s">
        <v>104</v>
      </c>
      <c r="R1797" s="6" t="s">
        <v>104</v>
      </c>
      <c r="S1797" s="6" t="s">
        <v>104</v>
      </c>
      <c r="T1797" s="21" t="s">
        <v>104</v>
      </c>
      <c r="U1797" s="6" t="s">
        <v>104</v>
      </c>
      <c r="V1797" s="6" t="s">
        <v>104</v>
      </c>
      <c r="W1797" s="6" t="s">
        <v>104</v>
      </c>
      <c r="X1797" s="6" t="s">
        <v>104</v>
      </c>
      <c r="Y1797" s="21" t="s">
        <v>104</v>
      </c>
      <c r="Z1797" s="6" t="s">
        <v>104</v>
      </c>
      <c r="AA1797" s="6" t="s">
        <v>104</v>
      </c>
      <c r="AB1797" s="6" t="s">
        <v>104</v>
      </c>
      <c r="AC1797" s="6" t="s">
        <v>9714</v>
      </c>
      <c r="AD1797" s="16" t="n">
        <v>43655</v>
      </c>
      <c r="AE1797" s="6" t="s">
        <v>12084</v>
      </c>
      <c r="AF1797" s="6" t="s">
        <v>104</v>
      </c>
      <c r="AG1797" s="6" t="s">
        <v>4667</v>
      </c>
      <c r="AH1797" s="6" t="s">
        <v>14799</v>
      </c>
      <c r="AI1797" s="6" t="s">
        <v>104</v>
      </c>
      <c r="AJ1797" s="6" t="s">
        <v>15782</v>
      </c>
      <c r="AK1797" s="6" t="s">
        <v>16382</v>
      </c>
      <c r="AL1797" s="6" t="s">
        <v>16931</v>
      </c>
      <c r="AM1797" s="6" t="s">
        <v>17956</v>
      </c>
      <c r="AN1797" s="6" t="s">
        <v>104</v>
      </c>
      <c r="AO1797" s="6" t="s">
        <v>104</v>
      </c>
      <c r="AP1797" s="6" t="s">
        <v>14799</v>
      </c>
      <c r="AQ1797" s="6" t="s">
        <v>104</v>
      </c>
      <c r="AR1797" s="6" t="s">
        <v>15782</v>
      </c>
      <c r="AS1797" s="6" t="s">
        <v>16382</v>
      </c>
      <c r="AT1797" s="6" t="s">
        <v>16931</v>
      </c>
      <c r="AU1797" s="6" t="s">
        <v>17956</v>
      </c>
      <c r="AV1797" s="6" t="s">
        <v>18538</v>
      </c>
      <c r="AW1797" s="6" t="s">
        <v>18890</v>
      </c>
      <c r="AX1797" s="6" t="s">
        <v>21517</v>
      </c>
      <c r="AY1797" s="6" t="s">
        <v>23323</v>
      </c>
      <c r="AZ1797" s="6" t="s">
        <v>104</v>
      </c>
      <c r="BA1797" s="6" t="s">
        <v>104</v>
      </c>
      <c r="BB1797" s="6" t="s">
        <v>104</v>
      </c>
      <c r="BC1797" s="26"/>
      <c r="BD1797" s="26"/>
      <c r="BE1797" s="26" t="s">
        <v>24533</v>
      </c>
      <c r="BF1797" s="26"/>
      <c r="BG1797" s="26"/>
      <c r="BH1797" s="26"/>
      <c r="BI1797" s="26"/>
      <c r="BJ1797" s="26"/>
      <c r="BK1797" s="26"/>
      <c r="BL1797" s="26"/>
      <c r="BM1797" s="26"/>
      <c r="BN1797" s="26"/>
      <c r="BO1797" s="26"/>
      <c r="BP1797" s="16" t="n">
        <v>45739</v>
      </c>
      <c r="BQ1797" s="28" t="str">
        <f>HYPERLINK("https://organic.ams.usda.gov/Integrity/Certificate.aspx?cid=82&amp;nopid=2780003646")</f>
        <v>https://organic.ams.usda.gov/Integrity/Certificate.aspx?cid=82&amp;nopid=2780003646</v>
      </c>
    </row>
    <row r="1798">
      <c r="A1798" t="s">
        <v>3</v>
      </c>
      <c r="B1798" s="6" t="s">
        <v>36</v>
      </c>
      <c r="C1798" s="6" t="s">
        <v>102</v>
      </c>
      <c r="D1798" s="6" t="s">
        <v>167</v>
      </c>
      <c r="E1798" s="10" t="s">
        <v>1996</v>
      </c>
      <c r="F1798" s="6" t="s">
        <v>4219</v>
      </c>
      <c r="G1798" s="6" t="s">
        <v>4850</v>
      </c>
      <c r="H1798" s="6" t="s">
        <v>6522</v>
      </c>
      <c r="I1798" s="6" t="s">
        <v>7940</v>
      </c>
      <c r="J1798" s="6" t="s">
        <v>9423</v>
      </c>
      <c r="K1798" s="6" t="s">
        <v>9714</v>
      </c>
      <c r="L1798" s="16" t="n">
        <v>45101</v>
      </c>
      <c r="M1798" s="16" t="n">
        <v>45808</v>
      </c>
      <c r="N1798" s="6" t="s">
        <v>104</v>
      </c>
      <c r="O1798" s="21" t="s">
        <v>104</v>
      </c>
      <c r="P1798" s="6" t="s">
        <v>104</v>
      </c>
      <c r="Q1798" s="6" t="s">
        <v>104</v>
      </c>
      <c r="R1798" s="6" t="s">
        <v>104</v>
      </c>
      <c r="S1798" s="6" t="s">
        <v>104</v>
      </c>
      <c r="T1798" s="21" t="s">
        <v>104</v>
      </c>
      <c r="U1798" s="6" t="s">
        <v>104</v>
      </c>
      <c r="V1798" s="6" t="s">
        <v>104</v>
      </c>
      <c r="W1798" s="6" t="s">
        <v>104</v>
      </c>
      <c r="X1798" s="6" t="s">
        <v>104</v>
      </c>
      <c r="Y1798" s="21" t="s">
        <v>104</v>
      </c>
      <c r="Z1798" s="6" t="s">
        <v>104</v>
      </c>
      <c r="AA1798" s="6" t="s">
        <v>104</v>
      </c>
      <c r="AB1798" s="6" t="s">
        <v>104</v>
      </c>
      <c r="AC1798" s="6" t="s">
        <v>9714</v>
      </c>
      <c r="AD1798" s="16" t="n">
        <v>45101</v>
      </c>
      <c r="AE1798" s="6" t="s">
        <v>12085</v>
      </c>
      <c r="AF1798" s="6" t="s">
        <v>104</v>
      </c>
      <c r="AG1798" s="6" t="s">
        <v>104</v>
      </c>
      <c r="AH1798" s="6" t="s">
        <v>14800</v>
      </c>
      <c r="AI1798" s="6" t="s">
        <v>104</v>
      </c>
      <c r="AJ1798" s="6" t="s">
        <v>15376</v>
      </c>
      <c r="AK1798" s="6" t="s">
        <v>16705</v>
      </c>
      <c r="AL1798" s="6" t="s">
        <v>16931</v>
      </c>
      <c r="AM1798" s="6" t="s">
        <v>18177</v>
      </c>
      <c r="AN1798" s="6" t="s">
        <v>18464</v>
      </c>
      <c r="AO1798" s="6" t="s">
        <v>18756</v>
      </c>
      <c r="AP1798" s="6" t="s">
        <v>19430</v>
      </c>
      <c r="AQ1798" s="6" t="s">
        <v>104</v>
      </c>
      <c r="AR1798" s="6" t="s">
        <v>15376</v>
      </c>
      <c r="AS1798" s="6" t="s">
        <v>16705</v>
      </c>
      <c r="AT1798" s="6" t="s">
        <v>16931</v>
      </c>
      <c r="AU1798" s="6" t="s">
        <v>18177</v>
      </c>
      <c r="AV1798" s="6" t="s">
        <v>104</v>
      </c>
      <c r="AW1798" s="6" t="s">
        <v>104</v>
      </c>
      <c r="AX1798" s="6" t="s">
        <v>21518</v>
      </c>
      <c r="AY1798" s="6" t="s">
        <v>23324</v>
      </c>
      <c r="AZ1798" s="6" t="s">
        <v>24142</v>
      </c>
      <c r="BA1798" s="6" t="s">
        <v>24484</v>
      </c>
      <c r="BB1798" s="6" t="s">
        <v>104</v>
      </c>
      <c r="BC1798" s="26"/>
      <c r="BD1798" s="26"/>
      <c r="BE1798" s="26" t="s">
        <v>24533</v>
      </c>
      <c r="BF1798" s="26"/>
      <c r="BG1798" s="26"/>
      <c r="BH1798" s="26"/>
      <c r="BI1798" s="26"/>
      <c r="BJ1798" s="26"/>
      <c r="BK1798" s="26"/>
      <c r="BL1798" s="26"/>
      <c r="BM1798" s="26"/>
      <c r="BN1798" s="26"/>
      <c r="BO1798" s="26"/>
      <c r="BP1798" s="16" t="n">
        <v>45729</v>
      </c>
      <c r="BQ1798" s="28" t="str">
        <f>HYPERLINK("https://organic.ams.usda.gov/Integrity/Certificate.aspx?cid=61&amp;nopid=7270001730")</f>
        <v>https://organic.ams.usda.gov/Integrity/Certificate.aspx?cid=61&amp;nopid=7270001730</v>
      </c>
    </row>
    <row r="1799">
      <c r="A1799" t="s">
        <v>3</v>
      </c>
      <c r="B1799" s="6" t="s">
        <v>29</v>
      </c>
      <c r="C1799" s="6" t="s">
        <v>95</v>
      </c>
      <c r="D1799" s="6" t="s">
        <v>160</v>
      </c>
      <c r="E1799" s="10" t="s">
        <v>1997</v>
      </c>
      <c r="F1799" s="6" t="s">
        <v>4220</v>
      </c>
      <c r="G1799" s="6" t="s">
        <v>104</v>
      </c>
      <c r="H1799" s="6" t="s">
        <v>6523</v>
      </c>
      <c r="I1799" s="6" t="s">
        <v>104</v>
      </c>
      <c r="J1799" s="6" t="s">
        <v>9424</v>
      </c>
      <c r="K1799" s="6" t="s">
        <v>9714</v>
      </c>
      <c r="L1799" s="16" t="n">
        <v>44209</v>
      </c>
      <c r="M1799" s="16" t="n">
        <v>46054</v>
      </c>
      <c r="N1799" s="6" t="s">
        <v>9714</v>
      </c>
      <c r="O1799" s="16" t="n">
        <v>44209</v>
      </c>
      <c r="P1799" s="6" t="s">
        <v>10196</v>
      </c>
      <c r="Q1799" s="6" t="s">
        <v>104</v>
      </c>
      <c r="R1799" s="6" t="s">
        <v>104</v>
      </c>
      <c r="S1799" s="6" t="s">
        <v>104</v>
      </c>
      <c r="T1799" s="21" t="s">
        <v>104</v>
      </c>
      <c r="U1799" s="6" t="s">
        <v>104</v>
      </c>
      <c r="V1799" s="6" t="s">
        <v>104</v>
      </c>
      <c r="W1799" s="6" t="s">
        <v>104</v>
      </c>
      <c r="X1799" s="6" t="s">
        <v>104</v>
      </c>
      <c r="Y1799" s="21" t="s">
        <v>104</v>
      </c>
      <c r="Z1799" s="6" t="s">
        <v>104</v>
      </c>
      <c r="AA1799" s="6" t="s">
        <v>104</v>
      </c>
      <c r="AB1799" s="6" t="s">
        <v>104</v>
      </c>
      <c r="AC1799" s="6" t="s">
        <v>104</v>
      </c>
      <c r="AD1799" s="21" t="s">
        <v>104</v>
      </c>
      <c r="AE1799" s="6" t="s">
        <v>104</v>
      </c>
      <c r="AF1799" s="6" t="s">
        <v>104</v>
      </c>
      <c r="AG1799" s="6" t="s">
        <v>104</v>
      </c>
      <c r="AH1799" s="6" t="s">
        <v>14801</v>
      </c>
      <c r="AI1799" s="6" t="s">
        <v>104</v>
      </c>
      <c r="AJ1799" s="6" t="s">
        <v>7686</v>
      </c>
      <c r="AK1799" s="6" t="s">
        <v>16738</v>
      </c>
      <c r="AL1799" s="6" t="s">
        <v>16931</v>
      </c>
      <c r="AM1799" s="6" t="s">
        <v>18178</v>
      </c>
      <c r="AN1799" s="6" t="s">
        <v>18500</v>
      </c>
      <c r="AO1799" s="6" t="s">
        <v>18778</v>
      </c>
      <c r="AP1799" s="6" t="s">
        <v>104</v>
      </c>
      <c r="AQ1799" s="6" t="s">
        <v>104</v>
      </c>
      <c r="AR1799" s="6" t="s">
        <v>104</v>
      </c>
      <c r="AS1799" s="6" t="s">
        <v>104</v>
      </c>
      <c r="AT1799" s="6" t="s">
        <v>104</v>
      </c>
      <c r="AU1799" s="6" t="s">
        <v>104</v>
      </c>
      <c r="AV1799" s="6" t="s">
        <v>104</v>
      </c>
      <c r="AW1799" s="6" t="s">
        <v>104</v>
      </c>
      <c r="AX1799" s="6" t="s">
        <v>21519</v>
      </c>
      <c r="AY1799" s="6" t="s">
        <v>23325</v>
      </c>
      <c r="AZ1799" s="6" t="s">
        <v>104</v>
      </c>
      <c r="BA1799" s="6" t="s">
        <v>24269</v>
      </c>
      <c r="BB1799" s="24" t="n">
        <v>1393</v>
      </c>
      <c r="BC1799" s="26"/>
      <c r="BD1799" s="26"/>
      <c r="BE1799" s="26"/>
      <c r="BF1799" s="26"/>
      <c r="BG1799" s="26"/>
      <c r="BH1799" s="26"/>
      <c r="BI1799" s="26"/>
      <c r="BJ1799" s="26"/>
      <c r="BK1799" s="26"/>
      <c r="BL1799" s="26"/>
      <c r="BM1799" s="26"/>
      <c r="BN1799" s="26"/>
      <c r="BO1799" s="26"/>
      <c r="BP1799" s="16" t="n">
        <v>45690</v>
      </c>
      <c r="BQ1799" s="28" t="str">
        <f>HYPERLINK("https://organic.ams.usda.gov/Integrity/Certificate.aspx?cid=24&amp;nopid=7881680950")</f>
        <v>https://organic.ams.usda.gov/Integrity/Certificate.aspx?cid=24&amp;nopid=7881680950</v>
      </c>
    </row>
    <row r="1800">
      <c r="A1800" t="s">
        <v>3</v>
      </c>
      <c r="B1800" s="6" t="s">
        <v>57</v>
      </c>
      <c r="C1800" s="6" t="s">
        <v>123</v>
      </c>
      <c r="D1800" s="6" t="s">
        <v>187</v>
      </c>
      <c r="E1800" s="10" t="s">
        <v>1998</v>
      </c>
      <c r="F1800" s="6" t="s">
        <v>4221</v>
      </c>
      <c r="G1800" s="6" t="s">
        <v>4851</v>
      </c>
      <c r="H1800" s="6" t="s">
        <v>6524</v>
      </c>
      <c r="I1800" s="6" t="s">
        <v>7040</v>
      </c>
      <c r="J1800" s="6" t="s">
        <v>9425</v>
      </c>
      <c r="K1800" s="6" t="s">
        <v>9714</v>
      </c>
      <c r="L1800" s="16" t="n">
        <v>41083</v>
      </c>
      <c r="M1800" s="16" t="n">
        <v>45809</v>
      </c>
      <c r="N1800" s="6" t="s">
        <v>9714</v>
      </c>
      <c r="O1800" s="16" t="n">
        <v>41083</v>
      </c>
      <c r="P1800" s="6" t="s">
        <v>10197</v>
      </c>
      <c r="Q1800" s="6" t="s">
        <v>104</v>
      </c>
      <c r="R1800" s="6" t="s">
        <v>104</v>
      </c>
      <c r="S1800" s="6" t="s">
        <v>104</v>
      </c>
      <c r="T1800" s="21" t="s">
        <v>104</v>
      </c>
      <c r="U1800" s="6" t="s">
        <v>104</v>
      </c>
      <c r="V1800" s="6" t="s">
        <v>104</v>
      </c>
      <c r="W1800" s="6" t="s">
        <v>104</v>
      </c>
      <c r="X1800" s="6" t="s">
        <v>104</v>
      </c>
      <c r="Y1800" s="21" t="s">
        <v>104</v>
      </c>
      <c r="Z1800" s="6" t="s">
        <v>104</v>
      </c>
      <c r="AA1800" s="6" t="s">
        <v>104</v>
      </c>
      <c r="AB1800" s="6" t="s">
        <v>104</v>
      </c>
      <c r="AC1800" s="6" t="s">
        <v>104</v>
      </c>
      <c r="AD1800" s="21" t="s">
        <v>104</v>
      </c>
      <c r="AE1800" s="6" t="s">
        <v>104</v>
      </c>
      <c r="AF1800" s="6" t="s">
        <v>104</v>
      </c>
      <c r="AG1800" s="6" t="s">
        <v>104</v>
      </c>
      <c r="AH1800" s="6" t="s">
        <v>14802</v>
      </c>
      <c r="AI1800" s="6" t="s">
        <v>104</v>
      </c>
      <c r="AJ1800" s="6" t="s">
        <v>15797</v>
      </c>
      <c r="AK1800" s="6" t="s">
        <v>16730</v>
      </c>
      <c r="AL1800" s="6" t="s">
        <v>16931</v>
      </c>
      <c r="AM1800" s="6" t="s">
        <v>17425</v>
      </c>
      <c r="AN1800" s="6" t="s">
        <v>18477</v>
      </c>
      <c r="AO1800" s="6" t="s">
        <v>18710</v>
      </c>
      <c r="AP1800" s="6" t="s">
        <v>14802</v>
      </c>
      <c r="AQ1800" s="6" t="s">
        <v>104</v>
      </c>
      <c r="AR1800" s="6" t="s">
        <v>15797</v>
      </c>
      <c r="AS1800" s="6" t="s">
        <v>16730</v>
      </c>
      <c r="AT1800" s="6" t="s">
        <v>16931</v>
      </c>
      <c r="AU1800" s="6" t="s">
        <v>17425</v>
      </c>
      <c r="AV1800" s="6" t="s">
        <v>104</v>
      </c>
      <c r="AW1800" s="6" t="s">
        <v>104</v>
      </c>
      <c r="AX1800" s="6" t="s">
        <v>21520</v>
      </c>
      <c r="AY1800" s="6" t="s">
        <v>23326</v>
      </c>
      <c r="AZ1800" s="6" t="s">
        <v>104</v>
      </c>
      <c r="BA1800" s="6" t="s">
        <v>104</v>
      </c>
      <c r="BB1800" s="24" t="n">
        <v>3078</v>
      </c>
      <c r="BC1800" s="26"/>
      <c r="BD1800" s="26"/>
      <c r="BE1800" s="26"/>
      <c r="BF1800" s="26"/>
      <c r="BG1800" s="26"/>
      <c r="BH1800" s="26"/>
      <c r="BI1800" s="26"/>
      <c r="BJ1800" s="26"/>
      <c r="BK1800" s="26"/>
      <c r="BL1800" s="26"/>
      <c r="BM1800" s="26"/>
      <c r="BN1800" s="26"/>
      <c r="BO1800" s="26"/>
      <c r="BP1800" s="16" t="n">
        <v>45735</v>
      </c>
      <c r="BQ1800" s="28" t="str">
        <f>HYPERLINK("https://organic.ams.usda.gov/Integrity/Certificate.aspx?cid=19&amp;nopid=6350000385")</f>
        <v>https://organic.ams.usda.gov/Integrity/Certificate.aspx?cid=19&amp;nopid=6350000385</v>
      </c>
    </row>
    <row r="1801">
      <c r="A1801" t="s">
        <v>3</v>
      </c>
      <c r="B1801" s="6" t="s">
        <v>18</v>
      </c>
      <c r="C1801" s="6" t="s">
        <v>84</v>
      </c>
      <c r="D1801" s="6" t="s">
        <v>149</v>
      </c>
      <c r="E1801" s="10" t="s">
        <v>1999</v>
      </c>
      <c r="F1801" s="6" t="s">
        <v>4222</v>
      </c>
      <c r="G1801" s="6" t="s">
        <v>104</v>
      </c>
      <c r="H1801" s="6" t="s">
        <v>6525</v>
      </c>
      <c r="I1801" s="6" t="s">
        <v>7941</v>
      </c>
      <c r="J1801" s="6" t="s">
        <v>9426</v>
      </c>
      <c r="K1801" s="6" t="s">
        <v>9714</v>
      </c>
      <c r="L1801" s="16" t="n">
        <v>38135</v>
      </c>
      <c r="M1801" s="16" t="n">
        <v>45870</v>
      </c>
      <c r="N1801" s="6" t="s">
        <v>9714</v>
      </c>
      <c r="O1801" s="16" t="n">
        <v>38135</v>
      </c>
      <c r="P1801" s="6" t="s">
        <v>10198</v>
      </c>
      <c r="Q1801" s="6" t="s">
        <v>104</v>
      </c>
      <c r="R1801" s="6" t="s">
        <v>10432</v>
      </c>
      <c r="S1801" s="6" t="s">
        <v>104</v>
      </c>
      <c r="T1801" s="21" t="s">
        <v>104</v>
      </c>
      <c r="U1801" s="6" t="s">
        <v>104</v>
      </c>
      <c r="V1801" s="6" t="s">
        <v>104</v>
      </c>
      <c r="W1801" s="6" t="s">
        <v>104</v>
      </c>
      <c r="X1801" s="6" t="s">
        <v>104</v>
      </c>
      <c r="Y1801" s="21" t="s">
        <v>104</v>
      </c>
      <c r="Z1801" s="6" t="s">
        <v>104</v>
      </c>
      <c r="AA1801" s="6" t="s">
        <v>104</v>
      </c>
      <c r="AB1801" s="6" t="s">
        <v>104</v>
      </c>
      <c r="AC1801" s="6" t="s">
        <v>9714</v>
      </c>
      <c r="AD1801" s="16" t="n">
        <v>41458</v>
      </c>
      <c r="AE1801" s="6" t="s">
        <v>12086</v>
      </c>
      <c r="AF1801" s="6" t="s">
        <v>104</v>
      </c>
      <c r="AG1801" s="6" t="s">
        <v>10432</v>
      </c>
      <c r="AH1801" s="6" t="s">
        <v>14803</v>
      </c>
      <c r="AI1801" s="6" t="s">
        <v>104</v>
      </c>
      <c r="AJ1801" s="6" t="s">
        <v>16456</v>
      </c>
      <c r="AK1801" s="6" t="s">
        <v>16791</v>
      </c>
      <c r="AL1801" s="6" t="s">
        <v>16931</v>
      </c>
      <c r="AM1801" s="6" t="s">
        <v>18179</v>
      </c>
      <c r="AN1801" s="6" t="s">
        <v>18462</v>
      </c>
      <c r="AO1801" s="6" t="s">
        <v>18889</v>
      </c>
      <c r="AP1801" s="6" t="s">
        <v>104</v>
      </c>
      <c r="AQ1801" s="6" t="s">
        <v>104</v>
      </c>
      <c r="AR1801" s="6" t="s">
        <v>104</v>
      </c>
      <c r="AS1801" s="6" t="s">
        <v>104</v>
      </c>
      <c r="AT1801" s="6" t="s">
        <v>104</v>
      </c>
      <c r="AU1801" s="6" t="s">
        <v>104</v>
      </c>
      <c r="AV1801" s="6" t="s">
        <v>104</v>
      </c>
      <c r="AW1801" s="6" t="s">
        <v>104</v>
      </c>
      <c r="AX1801" s="6" t="s">
        <v>21521</v>
      </c>
      <c r="AY1801" s="6" t="s">
        <v>23327</v>
      </c>
      <c r="AZ1801" s="6" t="s">
        <v>104</v>
      </c>
      <c r="BA1801" s="6" t="s">
        <v>104</v>
      </c>
      <c r="BB1801" s="24" t="n">
        <v>1058</v>
      </c>
      <c r="BC1801" s="26" t="s">
        <v>24533</v>
      </c>
      <c r="BD1801" s="26"/>
      <c r="BE1801" s="26"/>
      <c r="BF1801" s="26"/>
      <c r="BG1801" s="26"/>
      <c r="BH1801" s="26"/>
      <c r="BI1801" s="26"/>
      <c r="BJ1801" s="26"/>
      <c r="BK1801" s="26"/>
      <c r="BL1801" s="26"/>
      <c r="BM1801" s="26"/>
      <c r="BN1801" s="26"/>
      <c r="BO1801" s="26"/>
      <c r="BP1801" s="16" t="n">
        <v>45737</v>
      </c>
      <c r="BQ1801" s="28" t="str">
        <f>HYPERLINK("https://organic.ams.usda.gov/Integrity/Certificate.aspx?cid=31&amp;nopid=3920897008")</f>
        <v>https://organic.ams.usda.gov/Integrity/Certificate.aspx?cid=31&amp;nopid=3920897008</v>
      </c>
    </row>
    <row r="1802">
      <c r="A1802" t="s">
        <v>3</v>
      </c>
      <c r="B1802" s="6" t="s">
        <v>9</v>
      </c>
      <c r="C1802" s="6" t="s">
        <v>75</v>
      </c>
      <c r="D1802" s="6" t="s">
        <v>140</v>
      </c>
      <c r="E1802" s="10" t="s">
        <v>2000</v>
      </c>
      <c r="F1802" s="6" t="s">
        <v>4223</v>
      </c>
      <c r="G1802" s="6" t="s">
        <v>104</v>
      </c>
      <c r="H1802" s="6" t="s">
        <v>6526</v>
      </c>
      <c r="I1802" s="6" t="s">
        <v>6991</v>
      </c>
      <c r="J1802" s="6" t="s">
        <v>7281</v>
      </c>
      <c r="K1802" s="6" t="s">
        <v>9714</v>
      </c>
      <c r="L1802" s="16" t="n">
        <v>45513</v>
      </c>
      <c r="M1802" s="16" t="n">
        <v>45878</v>
      </c>
      <c r="N1802" s="6" t="s">
        <v>104</v>
      </c>
      <c r="O1802" s="21" t="s">
        <v>104</v>
      </c>
      <c r="P1802" s="6" t="s">
        <v>104</v>
      </c>
      <c r="Q1802" s="6" t="s">
        <v>104</v>
      </c>
      <c r="R1802" s="6" t="s">
        <v>104</v>
      </c>
      <c r="S1802" s="6" t="s">
        <v>104</v>
      </c>
      <c r="T1802" s="21" t="s">
        <v>104</v>
      </c>
      <c r="U1802" s="6" t="s">
        <v>104</v>
      </c>
      <c r="V1802" s="6" t="s">
        <v>104</v>
      </c>
      <c r="W1802" s="6" t="s">
        <v>104</v>
      </c>
      <c r="X1802" s="6" t="s">
        <v>104</v>
      </c>
      <c r="Y1802" s="21" t="s">
        <v>104</v>
      </c>
      <c r="Z1802" s="6" t="s">
        <v>104</v>
      </c>
      <c r="AA1802" s="6" t="s">
        <v>104</v>
      </c>
      <c r="AB1802" s="6" t="s">
        <v>104</v>
      </c>
      <c r="AC1802" s="6" t="s">
        <v>9714</v>
      </c>
      <c r="AD1802" s="16" t="n">
        <v>45513</v>
      </c>
      <c r="AE1802" s="6" t="s">
        <v>12087</v>
      </c>
      <c r="AF1802" s="6" t="s">
        <v>104</v>
      </c>
      <c r="AG1802" s="6" t="s">
        <v>104</v>
      </c>
      <c r="AH1802" s="6" t="s">
        <v>14804</v>
      </c>
      <c r="AI1802" s="6" t="s">
        <v>104</v>
      </c>
      <c r="AJ1802" s="6" t="s">
        <v>15417</v>
      </c>
      <c r="AK1802" s="6" t="s">
        <v>16687</v>
      </c>
      <c r="AL1802" s="6" t="s">
        <v>16931</v>
      </c>
      <c r="AM1802" s="6" t="s">
        <v>17044</v>
      </c>
      <c r="AN1802" s="6" t="s">
        <v>104</v>
      </c>
      <c r="AO1802" s="6" t="s">
        <v>104</v>
      </c>
      <c r="AP1802" s="6" t="s">
        <v>104</v>
      </c>
      <c r="AQ1802" s="6" t="s">
        <v>104</v>
      </c>
      <c r="AR1802" s="6" t="s">
        <v>104</v>
      </c>
      <c r="AS1802" s="6" t="s">
        <v>104</v>
      </c>
      <c r="AT1802" s="6" t="s">
        <v>104</v>
      </c>
      <c r="AU1802" s="6" t="s">
        <v>104</v>
      </c>
      <c r="AV1802" s="6" t="s">
        <v>104</v>
      </c>
      <c r="AW1802" s="6" t="s">
        <v>104</v>
      </c>
      <c r="AX1802" s="6" t="s">
        <v>21522</v>
      </c>
      <c r="AY1802" s="6" t="s">
        <v>23328</v>
      </c>
      <c r="AZ1802" s="6" t="s">
        <v>104</v>
      </c>
      <c r="BA1802" s="6" t="s">
        <v>104</v>
      </c>
      <c r="BB1802" s="6" t="s">
        <v>104</v>
      </c>
      <c r="BC1802" s="26"/>
      <c r="BD1802" s="26"/>
      <c r="BE1802" s="26"/>
      <c r="BF1802" s="26"/>
      <c r="BG1802" s="26" t="s">
        <v>24533</v>
      </c>
      <c r="BH1802" s="26"/>
      <c r="BI1802" s="26"/>
      <c r="BJ1802" s="26"/>
      <c r="BK1802" s="26"/>
      <c r="BL1802" s="26"/>
      <c r="BM1802" s="26"/>
      <c r="BN1802" s="26"/>
      <c r="BO1802" s="26"/>
      <c r="BP1802" s="16" t="n">
        <v>45517</v>
      </c>
      <c r="BQ1802" s="28" t="str">
        <f>HYPERLINK("https://organic.ams.usda.gov/Integrity/Certificate.aspx?cid=63&amp;nopid=6220008133")</f>
        <v>https://organic.ams.usda.gov/Integrity/Certificate.aspx?cid=63&amp;nopid=6220008133</v>
      </c>
    </row>
    <row r="1803">
      <c r="A1803" t="s">
        <v>3</v>
      </c>
      <c r="B1803" s="6" t="s">
        <v>12</v>
      </c>
      <c r="C1803" s="6" t="s">
        <v>78</v>
      </c>
      <c r="D1803" s="6" t="s">
        <v>143</v>
      </c>
      <c r="E1803" s="10" t="s">
        <v>2001</v>
      </c>
      <c r="F1803" s="6" t="s">
        <v>4224</v>
      </c>
      <c r="G1803" s="6" t="s">
        <v>104</v>
      </c>
      <c r="H1803" s="6" t="s">
        <v>104</v>
      </c>
      <c r="I1803" s="6" t="s">
        <v>7942</v>
      </c>
      <c r="J1803" s="6" t="s">
        <v>9427</v>
      </c>
      <c r="K1803" s="6" t="s">
        <v>9714</v>
      </c>
      <c r="L1803" s="16" t="n">
        <v>44418</v>
      </c>
      <c r="M1803" s="16" t="n">
        <v>45717</v>
      </c>
      <c r="N1803" s="6" t="s">
        <v>104</v>
      </c>
      <c r="O1803" s="21" t="s">
        <v>104</v>
      </c>
      <c r="P1803" s="6" t="s">
        <v>104</v>
      </c>
      <c r="Q1803" s="6" t="s">
        <v>104</v>
      </c>
      <c r="R1803" s="6" t="s">
        <v>104</v>
      </c>
      <c r="S1803" s="6" t="s">
        <v>104</v>
      </c>
      <c r="T1803" s="21" t="s">
        <v>104</v>
      </c>
      <c r="U1803" s="6" t="s">
        <v>104</v>
      </c>
      <c r="V1803" s="6" t="s">
        <v>104</v>
      </c>
      <c r="W1803" s="6" t="s">
        <v>104</v>
      </c>
      <c r="X1803" s="6" t="s">
        <v>104</v>
      </c>
      <c r="Y1803" s="21" t="s">
        <v>104</v>
      </c>
      <c r="Z1803" s="6" t="s">
        <v>104</v>
      </c>
      <c r="AA1803" s="6" t="s">
        <v>104</v>
      </c>
      <c r="AB1803" s="6" t="s">
        <v>104</v>
      </c>
      <c r="AC1803" s="6" t="s">
        <v>9714</v>
      </c>
      <c r="AD1803" s="16" t="n">
        <v>45149</v>
      </c>
      <c r="AE1803" s="6" t="s">
        <v>12088</v>
      </c>
      <c r="AF1803" s="6" t="s">
        <v>104</v>
      </c>
      <c r="AG1803" s="6" t="s">
        <v>13033</v>
      </c>
      <c r="AH1803" s="6" t="s">
        <v>14805</v>
      </c>
      <c r="AI1803" s="6" t="s">
        <v>104</v>
      </c>
      <c r="AJ1803" s="6" t="s">
        <v>15782</v>
      </c>
      <c r="AK1803" s="6" t="s">
        <v>16382</v>
      </c>
      <c r="AL1803" s="6" t="s">
        <v>16931</v>
      </c>
      <c r="AM1803" s="6" t="s">
        <v>17956</v>
      </c>
      <c r="AN1803" s="6" t="s">
        <v>18538</v>
      </c>
      <c r="AO1803" s="6" t="s">
        <v>18890</v>
      </c>
      <c r="AP1803" s="6" t="s">
        <v>14805</v>
      </c>
      <c r="AQ1803" s="6" t="s">
        <v>104</v>
      </c>
      <c r="AR1803" s="6" t="s">
        <v>15782</v>
      </c>
      <c r="AS1803" s="6" t="s">
        <v>16382</v>
      </c>
      <c r="AT1803" s="6" t="s">
        <v>16931</v>
      </c>
      <c r="AU1803" s="6" t="s">
        <v>17956</v>
      </c>
      <c r="AV1803" s="6" t="s">
        <v>104</v>
      </c>
      <c r="AW1803" s="6" t="s">
        <v>104</v>
      </c>
      <c r="AX1803" s="6" t="s">
        <v>104</v>
      </c>
      <c r="AY1803" s="6" t="s">
        <v>23329</v>
      </c>
      <c r="AZ1803" s="6" t="s">
        <v>104</v>
      </c>
      <c r="BA1803" s="6" t="s">
        <v>104</v>
      </c>
      <c r="BB1803" s="6" t="s">
        <v>104</v>
      </c>
      <c r="BC1803" s="26"/>
      <c r="BD1803" s="26"/>
      <c r="BE1803" s="26"/>
      <c r="BF1803" s="26"/>
      <c r="BG1803" s="26"/>
      <c r="BH1803" s="26"/>
      <c r="BI1803" s="26"/>
      <c r="BJ1803" s="26"/>
      <c r="BK1803" s="26"/>
      <c r="BL1803" s="26"/>
      <c r="BM1803" s="26"/>
      <c r="BN1803" s="26"/>
      <c r="BO1803" s="26"/>
      <c r="BP1803" s="16" t="n">
        <v>45715</v>
      </c>
      <c r="BQ1803" s="28" t="str">
        <f>HYPERLINK("https://organic.ams.usda.gov/Integrity/Certificate.aspx?cid=1&amp;nopid=9092117402")</f>
        <v>https://organic.ams.usda.gov/Integrity/Certificate.aspx?cid=1&amp;nopid=9092117402</v>
      </c>
    </row>
    <row r="1804">
      <c r="A1804" t="s">
        <v>3</v>
      </c>
      <c r="B1804" s="6" t="s">
        <v>12</v>
      </c>
      <c r="C1804" s="6" t="s">
        <v>78</v>
      </c>
      <c r="D1804" s="6" t="s">
        <v>143</v>
      </c>
      <c r="E1804" s="10" t="s">
        <v>2002</v>
      </c>
      <c r="F1804" s="6" t="s">
        <v>4225</v>
      </c>
      <c r="G1804" s="6" t="s">
        <v>104</v>
      </c>
      <c r="H1804" s="6" t="s">
        <v>104</v>
      </c>
      <c r="I1804" s="6" t="s">
        <v>7942</v>
      </c>
      <c r="J1804" s="6" t="s">
        <v>9427</v>
      </c>
      <c r="K1804" s="6" t="s">
        <v>9714</v>
      </c>
      <c r="L1804" s="16" t="n">
        <v>45408</v>
      </c>
      <c r="M1804" s="16" t="n">
        <v>45672</v>
      </c>
      <c r="N1804" s="6" t="s">
        <v>104</v>
      </c>
      <c r="O1804" s="21" t="s">
        <v>104</v>
      </c>
      <c r="P1804" s="6" t="s">
        <v>104</v>
      </c>
      <c r="Q1804" s="6" t="s">
        <v>104</v>
      </c>
      <c r="R1804" s="6" t="s">
        <v>104</v>
      </c>
      <c r="S1804" s="6" t="s">
        <v>104</v>
      </c>
      <c r="T1804" s="21" t="s">
        <v>104</v>
      </c>
      <c r="U1804" s="6" t="s">
        <v>104</v>
      </c>
      <c r="V1804" s="6" t="s">
        <v>104</v>
      </c>
      <c r="W1804" s="6" t="s">
        <v>104</v>
      </c>
      <c r="X1804" s="6" t="s">
        <v>104</v>
      </c>
      <c r="Y1804" s="21" t="s">
        <v>104</v>
      </c>
      <c r="Z1804" s="6" t="s">
        <v>104</v>
      </c>
      <c r="AA1804" s="6" t="s">
        <v>104</v>
      </c>
      <c r="AB1804" s="6" t="s">
        <v>104</v>
      </c>
      <c r="AC1804" s="6" t="s">
        <v>9714</v>
      </c>
      <c r="AD1804" s="16" t="n">
        <v>45408</v>
      </c>
      <c r="AE1804" s="6" t="s">
        <v>12089</v>
      </c>
      <c r="AF1804" s="6" t="s">
        <v>104</v>
      </c>
      <c r="AG1804" s="6" t="s">
        <v>13034</v>
      </c>
      <c r="AH1804" s="6" t="s">
        <v>14806</v>
      </c>
      <c r="AI1804" s="6" t="s">
        <v>104</v>
      </c>
      <c r="AJ1804" s="6" t="s">
        <v>15438</v>
      </c>
      <c r="AK1804" s="6" t="s">
        <v>16743</v>
      </c>
      <c r="AL1804" s="6" t="s">
        <v>16931</v>
      </c>
      <c r="AM1804" s="6" t="s">
        <v>18180</v>
      </c>
      <c r="AN1804" s="6" t="s">
        <v>104</v>
      </c>
      <c r="AO1804" s="6" t="s">
        <v>104</v>
      </c>
      <c r="AP1804" s="6" t="s">
        <v>19431</v>
      </c>
      <c r="AQ1804" s="6" t="s">
        <v>104</v>
      </c>
      <c r="AR1804" s="6" t="s">
        <v>15782</v>
      </c>
      <c r="AS1804" s="6" t="s">
        <v>16382</v>
      </c>
      <c r="AT1804" s="6" t="s">
        <v>16931</v>
      </c>
      <c r="AU1804" s="6" t="s">
        <v>17956</v>
      </c>
      <c r="AV1804" s="6" t="s">
        <v>104</v>
      </c>
      <c r="AW1804" s="6" t="s">
        <v>104</v>
      </c>
      <c r="AX1804" s="6" t="s">
        <v>104</v>
      </c>
      <c r="AY1804" s="6" t="s">
        <v>23329</v>
      </c>
      <c r="AZ1804" s="6" t="s">
        <v>104</v>
      </c>
      <c r="BA1804" s="6" t="s">
        <v>104</v>
      </c>
      <c r="BB1804" s="6" t="s">
        <v>104</v>
      </c>
      <c r="BC1804" s="26"/>
      <c r="BD1804" s="26"/>
      <c r="BE1804" s="26"/>
      <c r="BF1804" s="26"/>
      <c r="BG1804" s="26"/>
      <c r="BH1804" s="26"/>
      <c r="BI1804" s="26"/>
      <c r="BJ1804" s="26"/>
      <c r="BK1804" s="26"/>
      <c r="BL1804" s="26"/>
      <c r="BM1804" s="26"/>
      <c r="BN1804" s="26"/>
      <c r="BO1804" s="26"/>
      <c r="BP1804" s="16" t="n">
        <v>45715</v>
      </c>
      <c r="BQ1804" s="28" t="str">
        <f>HYPERLINK("https://organic.ams.usda.gov/Integrity/Certificate.aspx?cid=1&amp;nopid=9092408001")</f>
        <v>https://organic.ams.usda.gov/Integrity/Certificate.aspx?cid=1&amp;nopid=9092408001</v>
      </c>
    </row>
    <row r="1805">
      <c r="A1805" t="s">
        <v>3</v>
      </c>
      <c r="B1805" s="6" t="s">
        <v>21</v>
      </c>
      <c r="C1805" s="6" t="s">
        <v>87</v>
      </c>
      <c r="D1805" s="6" t="s">
        <v>152</v>
      </c>
      <c r="E1805" s="10" t="s">
        <v>2003</v>
      </c>
      <c r="F1805" s="6" t="s">
        <v>4226</v>
      </c>
      <c r="G1805" s="6" t="s">
        <v>4852</v>
      </c>
      <c r="H1805" s="6" t="s">
        <v>6527</v>
      </c>
      <c r="I1805" s="6" t="s">
        <v>7943</v>
      </c>
      <c r="J1805" s="6" t="s">
        <v>9428</v>
      </c>
      <c r="K1805" s="6" t="s">
        <v>9714</v>
      </c>
      <c r="L1805" s="16" t="n">
        <v>40581</v>
      </c>
      <c r="M1805" s="16" t="n">
        <v>46023</v>
      </c>
      <c r="N1805" s="6" t="s">
        <v>9721</v>
      </c>
      <c r="O1805" s="16" t="n">
        <v>43626</v>
      </c>
      <c r="P1805" s="6" t="s">
        <v>104</v>
      </c>
      <c r="Q1805" s="6" t="s">
        <v>104</v>
      </c>
      <c r="R1805" s="6" t="s">
        <v>104</v>
      </c>
      <c r="S1805" s="6" t="s">
        <v>104</v>
      </c>
      <c r="T1805" s="21" t="s">
        <v>104</v>
      </c>
      <c r="U1805" s="6" t="s">
        <v>104</v>
      </c>
      <c r="V1805" s="6" t="s">
        <v>104</v>
      </c>
      <c r="W1805" s="6" t="s">
        <v>104</v>
      </c>
      <c r="X1805" s="6" t="s">
        <v>104</v>
      </c>
      <c r="Y1805" s="21" t="s">
        <v>104</v>
      </c>
      <c r="Z1805" s="6" t="s">
        <v>104</v>
      </c>
      <c r="AA1805" s="6" t="s">
        <v>104</v>
      </c>
      <c r="AB1805" s="6" t="s">
        <v>104</v>
      </c>
      <c r="AC1805" s="6" t="s">
        <v>9714</v>
      </c>
      <c r="AD1805" s="16" t="n">
        <v>40581</v>
      </c>
      <c r="AE1805" s="6" t="s">
        <v>12090</v>
      </c>
      <c r="AF1805" s="6" t="s">
        <v>104</v>
      </c>
      <c r="AG1805" s="6" t="s">
        <v>104</v>
      </c>
      <c r="AH1805" s="6" t="s">
        <v>14807</v>
      </c>
      <c r="AI1805" s="6" t="s">
        <v>104</v>
      </c>
      <c r="AJ1805" s="6" t="s">
        <v>16457</v>
      </c>
      <c r="AK1805" s="6" t="s">
        <v>16687</v>
      </c>
      <c r="AL1805" s="6" t="s">
        <v>16931</v>
      </c>
      <c r="AM1805" s="6" t="s">
        <v>18181</v>
      </c>
      <c r="AN1805" s="6" t="s">
        <v>18517</v>
      </c>
      <c r="AO1805" s="6" t="s">
        <v>18726</v>
      </c>
      <c r="AP1805" s="6" t="s">
        <v>14807</v>
      </c>
      <c r="AQ1805" s="6" t="s">
        <v>104</v>
      </c>
      <c r="AR1805" s="6" t="s">
        <v>16457</v>
      </c>
      <c r="AS1805" s="6" t="s">
        <v>16687</v>
      </c>
      <c r="AT1805" s="6" t="s">
        <v>16931</v>
      </c>
      <c r="AU1805" s="6" t="s">
        <v>18181</v>
      </c>
      <c r="AV1805" s="6" t="s">
        <v>104</v>
      </c>
      <c r="AW1805" s="6" t="s">
        <v>104</v>
      </c>
      <c r="AX1805" s="6" t="s">
        <v>21523</v>
      </c>
      <c r="AY1805" s="6" t="s">
        <v>23330</v>
      </c>
      <c r="AZ1805" s="6" t="s">
        <v>24143</v>
      </c>
      <c r="BA1805" s="6" t="s">
        <v>24485</v>
      </c>
      <c r="BB1805" s="6" t="s">
        <v>104</v>
      </c>
      <c r="BC1805" s="26" t="s">
        <v>24533</v>
      </c>
      <c r="BD1805" s="26"/>
      <c r="BE1805" s="26"/>
      <c r="BF1805" s="26"/>
      <c r="BG1805" s="26" t="s">
        <v>24533</v>
      </c>
      <c r="BH1805" s="26"/>
      <c r="BI1805" s="26"/>
      <c r="BJ1805" s="26"/>
      <c r="BK1805" s="26"/>
      <c r="BL1805" s="26"/>
      <c r="BM1805" s="26"/>
      <c r="BN1805" s="26"/>
      <c r="BO1805" s="26"/>
      <c r="BP1805" s="16" t="n">
        <v>45721</v>
      </c>
      <c r="BQ1805" s="28" t="str">
        <f>HYPERLINK("https://organic.ams.usda.gov/Integrity/Certificate.aspx?cid=15&amp;nopid=5561002576")</f>
        <v>https://organic.ams.usda.gov/Integrity/Certificate.aspx?cid=15&amp;nopid=5561002576</v>
      </c>
    </row>
    <row r="1806">
      <c r="A1806" t="s">
        <v>3</v>
      </c>
      <c r="B1806" s="6" t="s">
        <v>45</v>
      </c>
      <c r="C1806" s="6" t="s">
        <v>111</v>
      </c>
      <c r="D1806" s="6" t="s">
        <v>175</v>
      </c>
      <c r="E1806" s="10" t="s">
        <v>2004</v>
      </c>
      <c r="F1806" s="6" t="s">
        <v>4227</v>
      </c>
      <c r="G1806" s="6" t="s">
        <v>104</v>
      </c>
      <c r="H1806" s="6" t="s">
        <v>6528</v>
      </c>
      <c r="I1806" s="6" t="s">
        <v>7215</v>
      </c>
      <c r="J1806" s="6" t="s">
        <v>9429</v>
      </c>
      <c r="K1806" s="6" t="s">
        <v>9714</v>
      </c>
      <c r="L1806" s="16" t="n">
        <v>40785</v>
      </c>
      <c r="M1806" s="16" t="n">
        <v>46082</v>
      </c>
      <c r="N1806" s="6" t="s">
        <v>104</v>
      </c>
      <c r="O1806" s="21" t="s">
        <v>104</v>
      </c>
      <c r="P1806" s="6" t="s">
        <v>104</v>
      </c>
      <c r="Q1806" s="6" t="s">
        <v>104</v>
      </c>
      <c r="R1806" s="6" t="s">
        <v>104</v>
      </c>
      <c r="S1806" s="6" t="s">
        <v>104</v>
      </c>
      <c r="T1806" s="21" t="s">
        <v>104</v>
      </c>
      <c r="U1806" s="6" t="s">
        <v>104</v>
      </c>
      <c r="V1806" s="6" t="s">
        <v>104</v>
      </c>
      <c r="W1806" s="6" t="s">
        <v>104</v>
      </c>
      <c r="X1806" s="6" t="s">
        <v>104</v>
      </c>
      <c r="Y1806" s="21" t="s">
        <v>104</v>
      </c>
      <c r="Z1806" s="6" t="s">
        <v>104</v>
      </c>
      <c r="AA1806" s="6" t="s">
        <v>104</v>
      </c>
      <c r="AB1806" s="6" t="s">
        <v>104</v>
      </c>
      <c r="AC1806" s="6" t="s">
        <v>9714</v>
      </c>
      <c r="AD1806" s="16" t="n">
        <v>40785</v>
      </c>
      <c r="AE1806" s="6" t="s">
        <v>12091</v>
      </c>
      <c r="AF1806" s="6" t="s">
        <v>104</v>
      </c>
      <c r="AG1806" s="6" t="s">
        <v>4667</v>
      </c>
      <c r="AH1806" s="6" t="s">
        <v>14808</v>
      </c>
      <c r="AI1806" s="6" t="s">
        <v>104</v>
      </c>
      <c r="AJ1806" s="6" t="s">
        <v>7127</v>
      </c>
      <c r="AK1806" s="6" t="s">
        <v>16382</v>
      </c>
      <c r="AL1806" s="6" t="s">
        <v>16931</v>
      </c>
      <c r="AM1806" s="6" t="s">
        <v>18166</v>
      </c>
      <c r="AN1806" s="6" t="s">
        <v>104</v>
      </c>
      <c r="AO1806" s="6" t="s">
        <v>104</v>
      </c>
      <c r="AP1806" s="6" t="s">
        <v>19432</v>
      </c>
      <c r="AQ1806" s="6" t="s">
        <v>104</v>
      </c>
      <c r="AR1806" s="6" t="s">
        <v>7127</v>
      </c>
      <c r="AS1806" s="6" t="s">
        <v>16382</v>
      </c>
      <c r="AT1806" s="6" t="s">
        <v>16931</v>
      </c>
      <c r="AU1806" s="6" t="s">
        <v>18166</v>
      </c>
      <c r="AV1806" s="6" t="s">
        <v>5429</v>
      </c>
      <c r="AW1806" s="6" t="s">
        <v>18724</v>
      </c>
      <c r="AX1806" s="6" t="s">
        <v>21524</v>
      </c>
      <c r="AY1806" s="6" t="s">
        <v>23331</v>
      </c>
      <c r="AZ1806" s="6" t="s">
        <v>104</v>
      </c>
      <c r="BA1806" s="6" t="s">
        <v>104</v>
      </c>
      <c r="BB1806" s="6" t="s">
        <v>104</v>
      </c>
      <c r="BC1806" s="26"/>
      <c r="BD1806" s="26"/>
      <c r="BE1806" s="26" t="s">
        <v>24533</v>
      </c>
      <c r="BF1806" s="26"/>
      <c r="BG1806" s="26"/>
      <c r="BH1806" s="26"/>
      <c r="BI1806" s="26"/>
      <c r="BJ1806" s="26"/>
      <c r="BK1806" s="26"/>
      <c r="BL1806" s="26"/>
      <c r="BM1806" s="26"/>
      <c r="BN1806" s="26"/>
      <c r="BO1806" s="26"/>
      <c r="BP1806" s="16" t="n">
        <v>45739</v>
      </c>
      <c r="BQ1806" s="28" t="str">
        <f>HYPERLINK("https://organic.ams.usda.gov/Integrity/Certificate.aspx?cid=82&amp;nopid=2780002635")</f>
        <v>https://organic.ams.usda.gov/Integrity/Certificate.aspx?cid=82&amp;nopid=2780002635</v>
      </c>
    </row>
    <row r="1807">
      <c r="A1807" t="s">
        <v>3</v>
      </c>
      <c r="B1807" s="6" t="s">
        <v>57</v>
      </c>
      <c r="C1807" s="6" t="s">
        <v>123</v>
      </c>
      <c r="D1807" s="6" t="s">
        <v>187</v>
      </c>
      <c r="E1807" s="10" t="s">
        <v>2005</v>
      </c>
      <c r="F1807" s="6" t="s">
        <v>4228</v>
      </c>
      <c r="G1807" s="6" t="s">
        <v>104</v>
      </c>
      <c r="H1807" s="6" t="s">
        <v>6529</v>
      </c>
      <c r="I1807" s="6" t="s">
        <v>7944</v>
      </c>
      <c r="J1807" s="6" t="s">
        <v>9430</v>
      </c>
      <c r="K1807" s="6" t="s">
        <v>9714</v>
      </c>
      <c r="L1807" s="16" t="n">
        <v>37825</v>
      </c>
      <c r="M1807" s="16" t="n">
        <v>45809</v>
      </c>
      <c r="N1807" s="6" t="s">
        <v>9714</v>
      </c>
      <c r="O1807" s="16" t="n">
        <v>37825</v>
      </c>
      <c r="P1807" s="6" t="s">
        <v>10199</v>
      </c>
      <c r="Q1807" s="6" t="s">
        <v>104</v>
      </c>
      <c r="R1807" s="6" t="s">
        <v>104</v>
      </c>
      <c r="S1807" s="6" t="s">
        <v>104</v>
      </c>
      <c r="T1807" s="21" t="s">
        <v>104</v>
      </c>
      <c r="U1807" s="6" t="s">
        <v>104</v>
      </c>
      <c r="V1807" s="6" t="s">
        <v>104</v>
      </c>
      <c r="W1807" s="6" t="s">
        <v>104</v>
      </c>
      <c r="X1807" s="6" t="s">
        <v>104</v>
      </c>
      <c r="Y1807" s="21" t="s">
        <v>104</v>
      </c>
      <c r="Z1807" s="6" t="s">
        <v>104</v>
      </c>
      <c r="AA1807" s="6" t="s">
        <v>104</v>
      </c>
      <c r="AB1807" s="6" t="s">
        <v>104</v>
      </c>
      <c r="AC1807" s="6" t="s">
        <v>104</v>
      </c>
      <c r="AD1807" s="21" t="s">
        <v>104</v>
      </c>
      <c r="AE1807" s="6" t="s">
        <v>104</v>
      </c>
      <c r="AF1807" s="6" t="s">
        <v>104</v>
      </c>
      <c r="AG1807" s="6" t="s">
        <v>104</v>
      </c>
      <c r="AH1807" s="6" t="s">
        <v>14809</v>
      </c>
      <c r="AI1807" s="6" t="s">
        <v>104</v>
      </c>
      <c r="AJ1807" s="6" t="s">
        <v>15942</v>
      </c>
      <c r="AK1807" s="6" t="s">
        <v>16730</v>
      </c>
      <c r="AL1807" s="6" t="s">
        <v>16931</v>
      </c>
      <c r="AM1807" s="6" t="s">
        <v>17578</v>
      </c>
      <c r="AN1807" s="6" t="s">
        <v>18477</v>
      </c>
      <c r="AO1807" s="6" t="s">
        <v>18710</v>
      </c>
      <c r="AP1807" s="6" t="s">
        <v>14809</v>
      </c>
      <c r="AQ1807" s="6" t="s">
        <v>104</v>
      </c>
      <c r="AR1807" s="6" t="s">
        <v>15942</v>
      </c>
      <c r="AS1807" s="6" t="s">
        <v>16730</v>
      </c>
      <c r="AT1807" s="6" t="s">
        <v>16931</v>
      </c>
      <c r="AU1807" s="6" t="s">
        <v>17578</v>
      </c>
      <c r="AV1807" s="6" t="s">
        <v>104</v>
      </c>
      <c r="AW1807" s="6" t="s">
        <v>104</v>
      </c>
      <c r="AX1807" s="6" t="s">
        <v>21525</v>
      </c>
      <c r="AY1807" s="6" t="s">
        <v>23332</v>
      </c>
      <c r="AZ1807" s="6" t="s">
        <v>104</v>
      </c>
      <c r="BA1807" s="6" t="s">
        <v>104</v>
      </c>
      <c r="BB1807" s="24" t="n">
        <v>700</v>
      </c>
      <c r="BC1807" s="26"/>
      <c r="BD1807" s="26"/>
      <c r="BE1807" s="26"/>
      <c r="BF1807" s="26"/>
      <c r="BG1807" s="26"/>
      <c r="BH1807" s="26"/>
      <c r="BI1807" s="26"/>
      <c r="BJ1807" s="26"/>
      <c r="BK1807" s="26"/>
      <c r="BL1807" s="26"/>
      <c r="BM1807" s="26"/>
      <c r="BN1807" s="26"/>
      <c r="BO1807" s="26"/>
      <c r="BP1807" s="16" t="n">
        <v>45735</v>
      </c>
      <c r="BQ1807" s="28" t="str">
        <f>HYPERLINK("https://organic.ams.usda.gov/Integrity/Certificate.aspx?cid=19&amp;nopid=6350000215")</f>
        <v>https://organic.ams.usda.gov/Integrity/Certificate.aspx?cid=19&amp;nopid=6350000215</v>
      </c>
    </row>
    <row r="1808">
      <c r="A1808" t="s">
        <v>3</v>
      </c>
      <c r="B1808" s="6" t="s">
        <v>7</v>
      </c>
      <c r="C1808" s="6" t="s">
        <v>73</v>
      </c>
      <c r="D1808" s="6" t="s">
        <v>138</v>
      </c>
      <c r="E1808" s="10" t="s">
        <v>2006</v>
      </c>
      <c r="F1808" s="6" t="s">
        <v>4229</v>
      </c>
      <c r="G1808" s="6" t="s">
        <v>4853</v>
      </c>
      <c r="H1808" s="6" t="s">
        <v>6530</v>
      </c>
      <c r="I1808" s="6" t="s">
        <v>7903</v>
      </c>
      <c r="J1808" s="6" t="s">
        <v>9431</v>
      </c>
      <c r="K1808" s="6" t="s">
        <v>9714</v>
      </c>
      <c r="L1808" s="16" t="n">
        <v>43795</v>
      </c>
      <c r="M1808" s="16" t="n">
        <v>45931</v>
      </c>
      <c r="N1808" s="6" t="s">
        <v>104</v>
      </c>
      <c r="O1808" s="21" t="s">
        <v>104</v>
      </c>
      <c r="P1808" s="6" t="s">
        <v>104</v>
      </c>
      <c r="Q1808" s="6" t="s">
        <v>104</v>
      </c>
      <c r="R1808" s="6" t="s">
        <v>104</v>
      </c>
      <c r="S1808" s="6" t="s">
        <v>104</v>
      </c>
      <c r="T1808" s="21" t="s">
        <v>104</v>
      </c>
      <c r="U1808" s="6" t="s">
        <v>104</v>
      </c>
      <c r="V1808" s="6" t="s">
        <v>104</v>
      </c>
      <c r="W1808" s="6" t="s">
        <v>104</v>
      </c>
      <c r="X1808" s="6" t="s">
        <v>104</v>
      </c>
      <c r="Y1808" s="21" t="s">
        <v>104</v>
      </c>
      <c r="Z1808" s="6" t="s">
        <v>104</v>
      </c>
      <c r="AA1808" s="6" t="s">
        <v>104</v>
      </c>
      <c r="AB1808" s="6" t="s">
        <v>104</v>
      </c>
      <c r="AC1808" s="6" t="s">
        <v>9714</v>
      </c>
      <c r="AD1808" s="16" t="n">
        <v>43795</v>
      </c>
      <c r="AE1808" s="6" t="s">
        <v>12092</v>
      </c>
      <c r="AF1808" s="6" t="s">
        <v>104</v>
      </c>
      <c r="AG1808" s="6" t="s">
        <v>104</v>
      </c>
      <c r="AH1808" s="6" t="s">
        <v>14810</v>
      </c>
      <c r="AI1808" s="6" t="s">
        <v>104</v>
      </c>
      <c r="AJ1808" s="6" t="s">
        <v>16458</v>
      </c>
      <c r="AK1808" s="6" t="s">
        <v>16678</v>
      </c>
      <c r="AL1808" s="6" t="s">
        <v>16931</v>
      </c>
      <c r="AM1808" s="6" t="s">
        <v>18182</v>
      </c>
      <c r="AN1808" s="6" t="s">
        <v>18510</v>
      </c>
      <c r="AO1808" s="6" t="s">
        <v>18891</v>
      </c>
      <c r="AP1808" s="6" t="s">
        <v>19433</v>
      </c>
      <c r="AQ1808" s="6" t="s">
        <v>104</v>
      </c>
      <c r="AR1808" s="6" t="s">
        <v>16458</v>
      </c>
      <c r="AS1808" s="6" t="s">
        <v>16678</v>
      </c>
      <c r="AT1808" s="6" t="s">
        <v>16931</v>
      </c>
      <c r="AU1808" s="6" t="s">
        <v>18182</v>
      </c>
      <c r="AV1808" s="6" t="s">
        <v>18510</v>
      </c>
      <c r="AW1808" s="6" t="s">
        <v>18891</v>
      </c>
      <c r="AX1808" s="6" t="s">
        <v>21526</v>
      </c>
      <c r="AY1808" s="6" t="s">
        <v>23333</v>
      </c>
      <c r="AZ1808" s="6" t="s">
        <v>104</v>
      </c>
      <c r="BA1808" s="6" t="s">
        <v>104</v>
      </c>
      <c r="BB1808" s="24" t="n">
        <v>0</v>
      </c>
      <c r="BC1808" s="26"/>
      <c r="BD1808" s="26"/>
      <c r="BE1808" s="26"/>
      <c r="BF1808" s="26"/>
      <c r="BG1808" s="26"/>
      <c r="BH1808" s="26"/>
      <c r="BI1808" s="26"/>
      <c r="BJ1808" s="26"/>
      <c r="BK1808" s="26"/>
      <c r="BL1808" s="26"/>
      <c r="BM1808" s="26"/>
      <c r="BN1808" s="26"/>
      <c r="BO1808" s="26"/>
      <c r="BP1808" s="16" t="n">
        <v>45730</v>
      </c>
      <c r="BQ1808" s="28" t="str">
        <f>HYPERLINK("https://organic.ams.usda.gov/Integrity/Certificate.aspx?cid=33&amp;nopid=2170038896")</f>
        <v>https://organic.ams.usda.gov/Integrity/Certificate.aspx?cid=33&amp;nopid=2170038896</v>
      </c>
    </row>
    <row r="1809">
      <c r="A1809" t="s">
        <v>3</v>
      </c>
      <c r="B1809" s="6" t="s">
        <v>34</v>
      </c>
      <c r="C1809" s="6" t="s">
        <v>100</v>
      </c>
      <c r="D1809" s="6" t="s">
        <v>165</v>
      </c>
      <c r="E1809" s="10" t="s">
        <v>2007</v>
      </c>
      <c r="F1809" s="6" t="s">
        <v>4230</v>
      </c>
      <c r="G1809" s="6" t="s">
        <v>104</v>
      </c>
      <c r="H1809" s="6" t="s">
        <v>6531</v>
      </c>
      <c r="I1809" s="6" t="s">
        <v>7861</v>
      </c>
      <c r="J1809" s="6" t="s">
        <v>7592</v>
      </c>
      <c r="K1809" s="6" t="s">
        <v>9714</v>
      </c>
      <c r="L1809" s="16" t="n">
        <v>45568</v>
      </c>
      <c r="M1809" s="16" t="n">
        <v>45838</v>
      </c>
      <c r="N1809" s="6" t="s">
        <v>104</v>
      </c>
      <c r="O1809" s="21" t="s">
        <v>104</v>
      </c>
      <c r="P1809" s="6" t="s">
        <v>104</v>
      </c>
      <c r="Q1809" s="6" t="s">
        <v>104</v>
      </c>
      <c r="R1809" s="6" t="s">
        <v>104</v>
      </c>
      <c r="S1809" s="6" t="s">
        <v>104</v>
      </c>
      <c r="T1809" s="21" t="s">
        <v>104</v>
      </c>
      <c r="U1809" s="6" t="s">
        <v>104</v>
      </c>
      <c r="V1809" s="6" t="s">
        <v>104</v>
      </c>
      <c r="W1809" s="6" t="s">
        <v>104</v>
      </c>
      <c r="X1809" s="6" t="s">
        <v>104</v>
      </c>
      <c r="Y1809" s="21" t="s">
        <v>104</v>
      </c>
      <c r="Z1809" s="6" t="s">
        <v>104</v>
      </c>
      <c r="AA1809" s="6" t="s">
        <v>104</v>
      </c>
      <c r="AB1809" s="6" t="s">
        <v>104</v>
      </c>
      <c r="AC1809" s="6" t="s">
        <v>9714</v>
      </c>
      <c r="AD1809" s="16" t="n">
        <v>45568</v>
      </c>
      <c r="AE1809" s="6" t="s">
        <v>12093</v>
      </c>
      <c r="AF1809" s="6" t="s">
        <v>104</v>
      </c>
      <c r="AG1809" s="6" t="s">
        <v>13035</v>
      </c>
      <c r="AH1809" s="6" t="s">
        <v>14811</v>
      </c>
      <c r="AI1809" s="6" t="s">
        <v>104</v>
      </c>
      <c r="AJ1809" s="6" t="s">
        <v>16459</v>
      </c>
      <c r="AK1809" s="6" t="s">
        <v>16206</v>
      </c>
      <c r="AL1809" s="6" t="s">
        <v>16958</v>
      </c>
      <c r="AM1809" s="6" t="s">
        <v>18183</v>
      </c>
      <c r="AN1809" s="6" t="s">
        <v>104</v>
      </c>
      <c r="AO1809" s="6" t="s">
        <v>104</v>
      </c>
      <c r="AP1809" s="6" t="s">
        <v>14811</v>
      </c>
      <c r="AQ1809" s="6" t="s">
        <v>104</v>
      </c>
      <c r="AR1809" s="6" t="s">
        <v>16459</v>
      </c>
      <c r="AS1809" s="6" t="s">
        <v>16206</v>
      </c>
      <c r="AT1809" s="6" t="s">
        <v>16958</v>
      </c>
      <c r="AU1809" s="6" t="s">
        <v>18183</v>
      </c>
      <c r="AV1809" s="6" t="s">
        <v>104</v>
      </c>
      <c r="AW1809" s="6" t="s">
        <v>104</v>
      </c>
      <c r="AX1809" s="6" t="s">
        <v>21527</v>
      </c>
      <c r="AY1809" s="6" t="s">
        <v>23334</v>
      </c>
      <c r="AZ1809" s="6" t="s">
        <v>104</v>
      </c>
      <c r="BA1809" s="6" t="s">
        <v>104</v>
      </c>
      <c r="BB1809" s="6" t="s">
        <v>104</v>
      </c>
      <c r="BC1809" s="26"/>
      <c r="BD1809" s="26"/>
      <c r="BE1809" s="26"/>
      <c r="BF1809" s="26"/>
      <c r="BG1809" s="26"/>
      <c r="BH1809" s="26"/>
      <c r="BI1809" s="26"/>
      <c r="BJ1809" s="26"/>
      <c r="BK1809" s="26"/>
      <c r="BL1809" s="26"/>
      <c r="BM1809" s="26"/>
      <c r="BN1809" s="26"/>
      <c r="BO1809" s="26"/>
      <c r="BP1809" s="16" t="n">
        <v>45737</v>
      </c>
      <c r="BQ1809" s="28" t="str">
        <f>HYPERLINK("https://organic.ams.usda.gov/Integrity/Certificate.aspx?cid=71&amp;nopid=5520048128")</f>
        <v>https://organic.ams.usda.gov/Integrity/Certificate.aspx?cid=71&amp;nopid=5520048128</v>
      </c>
    </row>
    <row r="1810">
      <c r="A1810" t="s">
        <v>3</v>
      </c>
      <c r="B1810" s="6" t="s">
        <v>49</v>
      </c>
      <c r="C1810" s="6" t="s">
        <v>115</v>
      </c>
      <c r="D1810" s="6" t="s">
        <v>179</v>
      </c>
      <c r="E1810" s="10" t="s">
        <v>2008</v>
      </c>
      <c r="F1810" s="6" t="s">
        <v>4231</v>
      </c>
      <c r="G1810" s="6" t="s">
        <v>104</v>
      </c>
      <c r="H1810" s="6" t="s">
        <v>6532</v>
      </c>
      <c r="I1810" s="6" t="s">
        <v>104</v>
      </c>
      <c r="J1810" s="6" t="s">
        <v>104</v>
      </c>
      <c r="K1810" s="6" t="s">
        <v>9714</v>
      </c>
      <c r="L1810" s="16" t="n">
        <v>45547</v>
      </c>
      <c r="M1810" s="16" t="n">
        <v>45814</v>
      </c>
      <c r="N1810" s="6" t="s">
        <v>104</v>
      </c>
      <c r="O1810" s="21" t="s">
        <v>104</v>
      </c>
      <c r="P1810" s="6" t="s">
        <v>104</v>
      </c>
      <c r="Q1810" s="6" t="s">
        <v>104</v>
      </c>
      <c r="R1810" s="6" t="s">
        <v>104</v>
      </c>
      <c r="S1810" s="6" t="s">
        <v>104</v>
      </c>
      <c r="T1810" s="21" t="s">
        <v>104</v>
      </c>
      <c r="U1810" s="6" t="s">
        <v>104</v>
      </c>
      <c r="V1810" s="6" t="s">
        <v>104</v>
      </c>
      <c r="W1810" s="6" t="s">
        <v>104</v>
      </c>
      <c r="X1810" s="6" t="s">
        <v>104</v>
      </c>
      <c r="Y1810" s="21" t="s">
        <v>104</v>
      </c>
      <c r="Z1810" s="6" t="s">
        <v>104</v>
      </c>
      <c r="AA1810" s="6" t="s">
        <v>104</v>
      </c>
      <c r="AB1810" s="6" t="s">
        <v>104</v>
      </c>
      <c r="AC1810" s="6" t="s">
        <v>9714</v>
      </c>
      <c r="AD1810" s="16" t="n">
        <v>45547</v>
      </c>
      <c r="AE1810" s="6" t="s">
        <v>12094</v>
      </c>
      <c r="AF1810" s="6" t="s">
        <v>104</v>
      </c>
      <c r="AG1810" s="6" t="s">
        <v>13036</v>
      </c>
      <c r="AH1810" s="6" t="s">
        <v>14812</v>
      </c>
      <c r="AI1810" s="6" t="s">
        <v>104</v>
      </c>
      <c r="AJ1810" s="6" t="s">
        <v>16222</v>
      </c>
      <c r="AK1810" s="6" t="s">
        <v>16791</v>
      </c>
      <c r="AL1810" s="6" t="s">
        <v>16931</v>
      </c>
      <c r="AM1810" s="6" t="s">
        <v>17889</v>
      </c>
      <c r="AN1810" s="6" t="s">
        <v>104</v>
      </c>
      <c r="AO1810" s="6" t="s">
        <v>104</v>
      </c>
      <c r="AP1810" s="6" t="s">
        <v>104</v>
      </c>
      <c r="AQ1810" s="6" t="s">
        <v>104</v>
      </c>
      <c r="AR1810" s="6" t="s">
        <v>104</v>
      </c>
      <c r="AS1810" s="6" t="s">
        <v>104</v>
      </c>
      <c r="AT1810" s="6" t="s">
        <v>104</v>
      </c>
      <c r="AU1810" s="6" t="s">
        <v>104</v>
      </c>
      <c r="AV1810" s="6" t="s">
        <v>104</v>
      </c>
      <c r="AW1810" s="6" t="s">
        <v>104</v>
      </c>
      <c r="AX1810" s="6" t="s">
        <v>21528</v>
      </c>
      <c r="AY1810" s="6" t="s">
        <v>23335</v>
      </c>
      <c r="AZ1810" s="6" t="s">
        <v>104</v>
      </c>
      <c r="BA1810" s="6" t="s">
        <v>104</v>
      </c>
      <c r="BB1810" s="24" t="n">
        <v>0</v>
      </c>
      <c r="BC1810" s="26"/>
      <c r="BD1810" s="26"/>
      <c r="BE1810" s="26"/>
      <c r="BF1810" s="26"/>
      <c r="BG1810" s="26"/>
      <c r="BH1810" s="26"/>
      <c r="BI1810" s="26"/>
      <c r="BJ1810" s="26"/>
      <c r="BK1810" s="26"/>
      <c r="BL1810" s="26"/>
      <c r="BM1810" s="26"/>
      <c r="BN1810" s="26"/>
      <c r="BO1810" s="26"/>
      <c r="BP1810" s="16" t="n">
        <v>45547</v>
      </c>
      <c r="BQ1810" s="28" t="str">
        <f>HYPERLINK("https://organic.ams.usda.gov/Integrity/Certificate.aspx?cid=12&amp;nopid=8699694718")</f>
        <v>https://organic.ams.usda.gov/Integrity/Certificate.aspx?cid=12&amp;nopid=8699694718</v>
      </c>
    </row>
    <row r="1811">
      <c r="A1811" t="s">
        <v>3</v>
      </c>
      <c r="B1811" s="6" t="s">
        <v>11</v>
      </c>
      <c r="C1811" s="6" t="s">
        <v>77</v>
      </c>
      <c r="D1811" s="6" t="s">
        <v>142</v>
      </c>
      <c r="E1811" s="10" t="s">
        <v>2009</v>
      </c>
      <c r="F1811" s="6" t="s">
        <v>4232</v>
      </c>
      <c r="G1811" s="6" t="s">
        <v>104</v>
      </c>
      <c r="H1811" s="6" t="s">
        <v>6533</v>
      </c>
      <c r="I1811" s="6" t="s">
        <v>7945</v>
      </c>
      <c r="J1811" s="6" t="s">
        <v>9432</v>
      </c>
      <c r="K1811" s="6" t="s">
        <v>9714</v>
      </c>
      <c r="L1811" s="16" t="n">
        <v>42800</v>
      </c>
      <c r="M1811" s="16" t="n">
        <v>45853</v>
      </c>
      <c r="N1811" s="6" t="s">
        <v>104</v>
      </c>
      <c r="O1811" s="21" t="s">
        <v>104</v>
      </c>
      <c r="P1811" s="6" t="s">
        <v>104</v>
      </c>
      <c r="Q1811" s="6" t="s">
        <v>104</v>
      </c>
      <c r="R1811" s="6" t="s">
        <v>104</v>
      </c>
      <c r="S1811" s="6" t="s">
        <v>104</v>
      </c>
      <c r="T1811" s="21" t="s">
        <v>104</v>
      </c>
      <c r="U1811" s="6" t="s">
        <v>104</v>
      </c>
      <c r="V1811" s="6" t="s">
        <v>104</v>
      </c>
      <c r="W1811" s="6" t="s">
        <v>104</v>
      </c>
      <c r="X1811" s="6" t="s">
        <v>104</v>
      </c>
      <c r="Y1811" s="21" t="s">
        <v>104</v>
      </c>
      <c r="Z1811" s="6" t="s">
        <v>104</v>
      </c>
      <c r="AA1811" s="6" t="s">
        <v>104</v>
      </c>
      <c r="AB1811" s="6" t="s">
        <v>104</v>
      </c>
      <c r="AC1811" s="6" t="s">
        <v>9714</v>
      </c>
      <c r="AD1811" s="16" t="n">
        <v>45519</v>
      </c>
      <c r="AE1811" s="6" t="s">
        <v>12095</v>
      </c>
      <c r="AF1811" s="6" t="s">
        <v>104</v>
      </c>
      <c r="AG1811" s="6" t="s">
        <v>104</v>
      </c>
      <c r="AH1811" s="6" t="s">
        <v>14813</v>
      </c>
      <c r="AI1811" s="6" t="s">
        <v>104</v>
      </c>
      <c r="AJ1811" s="6" t="s">
        <v>15383</v>
      </c>
      <c r="AK1811" s="6" t="s">
        <v>15373</v>
      </c>
      <c r="AL1811" s="6" t="s">
        <v>16933</v>
      </c>
      <c r="AM1811" s="6" t="s">
        <v>104</v>
      </c>
      <c r="AN1811" s="6" t="s">
        <v>104</v>
      </c>
      <c r="AO1811" s="6" t="s">
        <v>104</v>
      </c>
      <c r="AP1811" s="6" t="s">
        <v>19434</v>
      </c>
      <c r="AQ1811" s="6" t="s">
        <v>104</v>
      </c>
      <c r="AR1811" s="6" t="s">
        <v>15383</v>
      </c>
      <c r="AS1811" s="6" t="s">
        <v>15383</v>
      </c>
      <c r="AT1811" s="6" t="s">
        <v>16933</v>
      </c>
      <c r="AU1811" s="6" t="s">
        <v>20028</v>
      </c>
      <c r="AV1811" s="6" t="s">
        <v>104</v>
      </c>
      <c r="AW1811" s="6" t="s">
        <v>104</v>
      </c>
      <c r="AX1811" s="6" t="s">
        <v>21529</v>
      </c>
      <c r="AY1811" s="6" t="s">
        <v>23336</v>
      </c>
      <c r="AZ1811" s="6" t="s">
        <v>104</v>
      </c>
      <c r="BA1811" s="6" t="s">
        <v>24486</v>
      </c>
      <c r="BB1811" s="24" t="n">
        <v>0</v>
      </c>
      <c r="BC1811" s="26"/>
      <c r="BD1811" s="26"/>
      <c r="BE1811" s="26"/>
      <c r="BF1811" s="26"/>
      <c r="BG1811" s="26"/>
      <c r="BH1811" s="26"/>
      <c r="BI1811" s="26"/>
      <c r="BJ1811" s="26"/>
      <c r="BK1811" s="26"/>
      <c r="BL1811" s="26"/>
      <c r="BM1811" s="26"/>
      <c r="BN1811" s="26"/>
      <c r="BO1811" s="26"/>
      <c r="BP1811" s="16" t="n">
        <v>45519</v>
      </c>
      <c r="BQ1811" s="28" t="str">
        <f>HYPERLINK("https://organic.ams.usda.gov/Integrity/Certificate.aspx?cid=21&amp;nopid=1780817984")</f>
        <v>https://organic.ams.usda.gov/Integrity/Certificate.aspx?cid=21&amp;nopid=1780817984</v>
      </c>
    </row>
    <row r="1812">
      <c r="A1812" t="s">
        <v>3</v>
      </c>
      <c r="B1812" s="6" t="s">
        <v>14</v>
      </c>
      <c r="C1812" s="6" t="s">
        <v>80</v>
      </c>
      <c r="D1812" s="6" t="s">
        <v>145</v>
      </c>
      <c r="E1812" s="10" t="s">
        <v>2010</v>
      </c>
      <c r="F1812" s="6" t="s">
        <v>4233</v>
      </c>
      <c r="G1812" s="6" t="s">
        <v>104</v>
      </c>
      <c r="H1812" s="6" t="s">
        <v>6534</v>
      </c>
      <c r="I1812" s="6" t="s">
        <v>104</v>
      </c>
      <c r="J1812" s="6" t="s">
        <v>104</v>
      </c>
      <c r="K1812" s="6" t="s">
        <v>9714</v>
      </c>
      <c r="L1812" s="16" t="n">
        <v>44845</v>
      </c>
      <c r="M1812" s="16" t="n">
        <v>45850</v>
      </c>
      <c r="N1812" s="6" t="s">
        <v>104</v>
      </c>
      <c r="O1812" s="21" t="s">
        <v>104</v>
      </c>
      <c r="P1812" s="6" t="s">
        <v>104</v>
      </c>
      <c r="Q1812" s="6" t="s">
        <v>104</v>
      </c>
      <c r="R1812" s="6" t="s">
        <v>104</v>
      </c>
      <c r="S1812" s="6" t="s">
        <v>104</v>
      </c>
      <c r="T1812" s="21" t="s">
        <v>104</v>
      </c>
      <c r="U1812" s="6" t="s">
        <v>104</v>
      </c>
      <c r="V1812" s="6" t="s">
        <v>104</v>
      </c>
      <c r="W1812" s="6" t="s">
        <v>104</v>
      </c>
      <c r="X1812" s="6" t="s">
        <v>104</v>
      </c>
      <c r="Y1812" s="21" t="s">
        <v>104</v>
      </c>
      <c r="Z1812" s="6" t="s">
        <v>104</v>
      </c>
      <c r="AA1812" s="6" t="s">
        <v>104</v>
      </c>
      <c r="AB1812" s="6" t="s">
        <v>104</v>
      </c>
      <c r="AC1812" s="6" t="s">
        <v>9714</v>
      </c>
      <c r="AD1812" s="16" t="n">
        <v>44845</v>
      </c>
      <c r="AE1812" s="6" t="s">
        <v>12096</v>
      </c>
      <c r="AF1812" s="6" t="s">
        <v>104</v>
      </c>
      <c r="AG1812" s="6" t="s">
        <v>104</v>
      </c>
      <c r="AH1812" s="6" t="s">
        <v>14814</v>
      </c>
      <c r="AI1812" s="6" t="s">
        <v>104</v>
      </c>
      <c r="AJ1812" s="6" t="s">
        <v>15769</v>
      </c>
      <c r="AK1812" s="6" t="s">
        <v>16699</v>
      </c>
      <c r="AL1812" s="6" t="s">
        <v>16932</v>
      </c>
      <c r="AM1812" s="6" t="s">
        <v>18184</v>
      </c>
      <c r="AN1812" s="6" t="s">
        <v>104</v>
      </c>
      <c r="AO1812" s="6" t="s">
        <v>104</v>
      </c>
      <c r="AP1812" s="6" t="s">
        <v>104</v>
      </c>
      <c r="AQ1812" s="6" t="s">
        <v>104</v>
      </c>
      <c r="AR1812" s="6" t="s">
        <v>104</v>
      </c>
      <c r="AS1812" s="6" t="s">
        <v>104</v>
      </c>
      <c r="AT1812" s="6" t="s">
        <v>104</v>
      </c>
      <c r="AU1812" s="6" t="s">
        <v>104</v>
      </c>
      <c r="AV1812" s="6" t="s">
        <v>104</v>
      </c>
      <c r="AW1812" s="6" t="s">
        <v>104</v>
      </c>
      <c r="AX1812" s="6" t="s">
        <v>21530</v>
      </c>
      <c r="AY1812" s="6" t="s">
        <v>104</v>
      </c>
      <c r="AZ1812" s="6" t="s">
        <v>104</v>
      </c>
      <c r="BA1812" s="6" t="s">
        <v>24267</v>
      </c>
      <c r="BB1812" s="6" t="s">
        <v>104</v>
      </c>
      <c r="BC1812" s="26"/>
      <c r="BD1812" s="26"/>
      <c r="BE1812" s="26"/>
      <c r="BF1812" s="26"/>
      <c r="BG1812" s="26"/>
      <c r="BH1812" s="26"/>
      <c r="BI1812" s="26"/>
      <c r="BJ1812" s="26"/>
      <c r="BK1812" s="26"/>
      <c r="BL1812" s="26"/>
      <c r="BM1812" s="26"/>
      <c r="BN1812" s="26"/>
      <c r="BO1812" s="26"/>
      <c r="BP1812" s="16" t="n">
        <v>45726</v>
      </c>
      <c r="BQ1812" s="28" t="str">
        <f>HYPERLINK("https://organic.ams.usda.gov/Integrity/Certificate.aspx?cid=89&amp;nopid=4920006031")</f>
        <v>https://organic.ams.usda.gov/Integrity/Certificate.aspx?cid=89&amp;nopid=4920006031</v>
      </c>
    </row>
    <row r="1813">
      <c r="A1813" t="s">
        <v>3</v>
      </c>
      <c r="B1813" s="6" t="s">
        <v>34</v>
      </c>
      <c r="C1813" s="6" t="s">
        <v>100</v>
      </c>
      <c r="D1813" s="6" t="s">
        <v>165</v>
      </c>
      <c r="E1813" s="10" t="s">
        <v>2011</v>
      </c>
      <c r="F1813" s="6" t="s">
        <v>4234</v>
      </c>
      <c r="G1813" s="6" t="s">
        <v>104</v>
      </c>
      <c r="H1813" s="6" t="s">
        <v>6535</v>
      </c>
      <c r="I1813" s="6" t="s">
        <v>7327</v>
      </c>
      <c r="J1813" s="6" t="s">
        <v>8594</v>
      </c>
      <c r="K1813" s="6" t="s">
        <v>9714</v>
      </c>
      <c r="L1813" s="16" t="n">
        <v>45552</v>
      </c>
      <c r="M1813" s="16" t="n">
        <v>45660</v>
      </c>
      <c r="N1813" s="6" t="s">
        <v>104</v>
      </c>
      <c r="O1813" s="21" t="s">
        <v>104</v>
      </c>
      <c r="P1813" s="6" t="s">
        <v>104</v>
      </c>
      <c r="Q1813" s="6" t="s">
        <v>104</v>
      </c>
      <c r="R1813" s="6" t="s">
        <v>104</v>
      </c>
      <c r="S1813" s="6" t="s">
        <v>104</v>
      </c>
      <c r="T1813" s="21" t="s">
        <v>104</v>
      </c>
      <c r="U1813" s="6" t="s">
        <v>104</v>
      </c>
      <c r="V1813" s="6" t="s">
        <v>104</v>
      </c>
      <c r="W1813" s="6" t="s">
        <v>104</v>
      </c>
      <c r="X1813" s="6" t="s">
        <v>104</v>
      </c>
      <c r="Y1813" s="21" t="s">
        <v>104</v>
      </c>
      <c r="Z1813" s="6" t="s">
        <v>104</v>
      </c>
      <c r="AA1813" s="6" t="s">
        <v>104</v>
      </c>
      <c r="AB1813" s="6" t="s">
        <v>104</v>
      </c>
      <c r="AC1813" s="6" t="s">
        <v>9714</v>
      </c>
      <c r="AD1813" s="16" t="n">
        <v>45552</v>
      </c>
      <c r="AE1813" s="6" t="s">
        <v>12097</v>
      </c>
      <c r="AF1813" s="6" t="s">
        <v>104</v>
      </c>
      <c r="AG1813" s="6" t="s">
        <v>13037</v>
      </c>
      <c r="AH1813" s="6" t="s">
        <v>14815</v>
      </c>
      <c r="AI1813" s="6" t="s">
        <v>104</v>
      </c>
      <c r="AJ1813" s="6" t="s">
        <v>16460</v>
      </c>
      <c r="AK1813" s="6" t="s">
        <v>16370</v>
      </c>
      <c r="AL1813" s="6" t="s">
        <v>16931</v>
      </c>
      <c r="AM1813" s="6" t="s">
        <v>18185</v>
      </c>
      <c r="AN1813" s="6" t="s">
        <v>104</v>
      </c>
      <c r="AO1813" s="6" t="s">
        <v>104</v>
      </c>
      <c r="AP1813" s="6" t="s">
        <v>14815</v>
      </c>
      <c r="AQ1813" s="6" t="s">
        <v>104</v>
      </c>
      <c r="AR1813" s="6" t="s">
        <v>16460</v>
      </c>
      <c r="AS1813" s="6" t="s">
        <v>16370</v>
      </c>
      <c r="AT1813" s="6" t="s">
        <v>16931</v>
      </c>
      <c r="AU1813" s="6" t="s">
        <v>18185</v>
      </c>
      <c r="AV1813" s="6" t="s">
        <v>104</v>
      </c>
      <c r="AW1813" s="6" t="s">
        <v>104</v>
      </c>
      <c r="AX1813" s="6" t="s">
        <v>20583</v>
      </c>
      <c r="AY1813" s="6" t="s">
        <v>104</v>
      </c>
      <c r="AZ1813" s="6" t="s">
        <v>24144</v>
      </c>
      <c r="BA1813" s="6" t="s">
        <v>104</v>
      </c>
      <c r="BB1813" s="6" t="s">
        <v>104</v>
      </c>
      <c r="BC1813" s="26"/>
      <c r="BD1813" s="26"/>
      <c r="BE1813" s="26"/>
      <c r="BF1813" s="26"/>
      <c r="BG1813" s="26"/>
      <c r="BH1813" s="26"/>
      <c r="BI1813" s="26"/>
      <c r="BJ1813" s="26"/>
      <c r="BK1813" s="26"/>
      <c r="BL1813" s="26"/>
      <c r="BM1813" s="26"/>
      <c r="BN1813" s="26"/>
      <c r="BO1813" s="26"/>
      <c r="BP1813" s="16" t="n">
        <v>45737</v>
      </c>
      <c r="BQ1813" s="28" t="str">
        <f>HYPERLINK("https://organic.ams.usda.gov/Integrity/Certificate.aspx?cid=71&amp;nopid=5520834980")</f>
        <v>https://organic.ams.usda.gov/Integrity/Certificate.aspx?cid=71&amp;nopid=5520834980</v>
      </c>
    </row>
    <row r="1814">
      <c r="A1814" t="s">
        <v>3</v>
      </c>
      <c r="B1814" s="6" t="s">
        <v>29</v>
      </c>
      <c r="C1814" s="6" t="s">
        <v>95</v>
      </c>
      <c r="D1814" s="6" t="s">
        <v>160</v>
      </c>
      <c r="E1814" s="10" t="s">
        <v>2012</v>
      </c>
      <c r="F1814" s="6" t="s">
        <v>4235</v>
      </c>
      <c r="G1814" s="6" t="s">
        <v>104</v>
      </c>
      <c r="H1814" s="6" t="s">
        <v>6536</v>
      </c>
      <c r="I1814" s="6" t="s">
        <v>104</v>
      </c>
      <c r="J1814" s="6" t="s">
        <v>9433</v>
      </c>
      <c r="K1814" s="6" t="s">
        <v>9714</v>
      </c>
      <c r="L1814" s="16" t="n">
        <v>43665</v>
      </c>
      <c r="M1814" s="16" t="n">
        <v>46054</v>
      </c>
      <c r="N1814" s="6" t="s">
        <v>104</v>
      </c>
      <c r="O1814" s="21" t="s">
        <v>104</v>
      </c>
      <c r="P1814" s="6" t="s">
        <v>104</v>
      </c>
      <c r="Q1814" s="6" t="s">
        <v>104</v>
      </c>
      <c r="R1814" s="6" t="s">
        <v>104</v>
      </c>
      <c r="S1814" s="6" t="s">
        <v>104</v>
      </c>
      <c r="T1814" s="21" t="s">
        <v>104</v>
      </c>
      <c r="U1814" s="6" t="s">
        <v>104</v>
      </c>
      <c r="V1814" s="6" t="s">
        <v>104</v>
      </c>
      <c r="W1814" s="6" t="s">
        <v>104</v>
      </c>
      <c r="X1814" s="6" t="s">
        <v>104</v>
      </c>
      <c r="Y1814" s="21" t="s">
        <v>104</v>
      </c>
      <c r="Z1814" s="6" t="s">
        <v>104</v>
      </c>
      <c r="AA1814" s="6" t="s">
        <v>104</v>
      </c>
      <c r="AB1814" s="6" t="s">
        <v>104</v>
      </c>
      <c r="AC1814" s="6" t="s">
        <v>9714</v>
      </c>
      <c r="AD1814" s="16" t="n">
        <v>43665</v>
      </c>
      <c r="AE1814" s="6" t="s">
        <v>12098</v>
      </c>
      <c r="AF1814" s="6" t="s">
        <v>104</v>
      </c>
      <c r="AG1814" s="6" t="s">
        <v>104</v>
      </c>
      <c r="AH1814" s="6" t="s">
        <v>14816</v>
      </c>
      <c r="AI1814" s="6" t="s">
        <v>104</v>
      </c>
      <c r="AJ1814" s="6" t="s">
        <v>16461</v>
      </c>
      <c r="AK1814" s="6" t="s">
        <v>16887</v>
      </c>
      <c r="AL1814" s="6" t="s">
        <v>16930</v>
      </c>
      <c r="AM1814" s="6" t="s">
        <v>18186</v>
      </c>
      <c r="AN1814" s="6" t="s">
        <v>104</v>
      </c>
      <c r="AO1814" s="6" t="s">
        <v>104</v>
      </c>
      <c r="AP1814" s="6" t="s">
        <v>104</v>
      </c>
      <c r="AQ1814" s="6" t="s">
        <v>104</v>
      </c>
      <c r="AR1814" s="6" t="s">
        <v>104</v>
      </c>
      <c r="AS1814" s="6" t="s">
        <v>104</v>
      </c>
      <c r="AT1814" s="6" t="s">
        <v>104</v>
      </c>
      <c r="AU1814" s="6" t="s">
        <v>104</v>
      </c>
      <c r="AV1814" s="6" t="s">
        <v>104</v>
      </c>
      <c r="AW1814" s="6" t="s">
        <v>104</v>
      </c>
      <c r="AX1814" s="6" t="s">
        <v>21531</v>
      </c>
      <c r="AY1814" s="6" t="s">
        <v>23337</v>
      </c>
      <c r="AZ1814" s="6" t="s">
        <v>104</v>
      </c>
      <c r="BA1814" s="6" t="s">
        <v>104</v>
      </c>
      <c r="BB1814" s="24" t="n">
        <v>0</v>
      </c>
      <c r="BC1814" s="26"/>
      <c r="BD1814" s="26"/>
      <c r="BE1814" s="26"/>
      <c r="BF1814" s="26"/>
      <c r="BG1814" s="26"/>
      <c r="BH1814" s="26"/>
      <c r="BI1814" s="26"/>
      <c r="BJ1814" s="26"/>
      <c r="BK1814" s="26"/>
      <c r="BL1814" s="26"/>
      <c r="BM1814" s="26"/>
      <c r="BN1814" s="26"/>
      <c r="BO1814" s="26"/>
      <c r="BP1814" s="16" t="n">
        <v>45690</v>
      </c>
      <c r="BQ1814" s="28" t="str">
        <f>HYPERLINK("https://organic.ams.usda.gov/Integrity/Certificate.aspx?cid=24&amp;nopid=7881360120")</f>
        <v>https://organic.ams.usda.gov/Integrity/Certificate.aspx?cid=24&amp;nopid=7881360120</v>
      </c>
    </row>
    <row r="1815">
      <c r="A1815" t="s">
        <v>3</v>
      </c>
      <c r="B1815" s="6" t="s">
        <v>44</v>
      </c>
      <c r="C1815" s="6" t="s">
        <v>110</v>
      </c>
      <c r="D1815" s="6" t="s">
        <v>174</v>
      </c>
      <c r="E1815" s="10" t="s">
        <v>2013</v>
      </c>
      <c r="F1815" s="6" t="s">
        <v>4236</v>
      </c>
      <c r="G1815" s="6" t="s">
        <v>104</v>
      </c>
      <c r="H1815" s="6" t="s">
        <v>6537</v>
      </c>
      <c r="I1815" s="6" t="s">
        <v>7343</v>
      </c>
      <c r="J1815" s="6" t="s">
        <v>8990</v>
      </c>
      <c r="K1815" s="6" t="s">
        <v>9714</v>
      </c>
      <c r="L1815" s="16" t="n">
        <v>44090</v>
      </c>
      <c r="M1815" s="16" t="n">
        <v>45672</v>
      </c>
      <c r="N1815" s="6" t="s">
        <v>104</v>
      </c>
      <c r="O1815" s="21" t="s">
        <v>104</v>
      </c>
      <c r="P1815" s="6" t="s">
        <v>104</v>
      </c>
      <c r="Q1815" s="6" t="s">
        <v>104</v>
      </c>
      <c r="R1815" s="6" t="s">
        <v>104</v>
      </c>
      <c r="S1815" s="6" t="s">
        <v>104</v>
      </c>
      <c r="T1815" s="21" t="s">
        <v>104</v>
      </c>
      <c r="U1815" s="6" t="s">
        <v>104</v>
      </c>
      <c r="V1815" s="6" t="s">
        <v>104</v>
      </c>
      <c r="W1815" s="6" t="s">
        <v>104</v>
      </c>
      <c r="X1815" s="6" t="s">
        <v>104</v>
      </c>
      <c r="Y1815" s="21" t="s">
        <v>104</v>
      </c>
      <c r="Z1815" s="6" t="s">
        <v>104</v>
      </c>
      <c r="AA1815" s="6" t="s">
        <v>104</v>
      </c>
      <c r="AB1815" s="6" t="s">
        <v>104</v>
      </c>
      <c r="AC1815" s="6" t="s">
        <v>9714</v>
      </c>
      <c r="AD1815" s="16" t="n">
        <v>44090</v>
      </c>
      <c r="AE1815" s="6" t="s">
        <v>12099</v>
      </c>
      <c r="AF1815" s="6" t="s">
        <v>104</v>
      </c>
      <c r="AG1815" s="6" t="s">
        <v>104</v>
      </c>
      <c r="AH1815" s="6" t="s">
        <v>14817</v>
      </c>
      <c r="AI1815" s="6" t="s">
        <v>104</v>
      </c>
      <c r="AJ1815" s="6" t="s">
        <v>15667</v>
      </c>
      <c r="AK1815" s="6" t="s">
        <v>15697</v>
      </c>
      <c r="AL1815" s="6" t="s">
        <v>16931</v>
      </c>
      <c r="AM1815" s="6" t="s">
        <v>17285</v>
      </c>
      <c r="AN1815" s="6" t="s">
        <v>18491</v>
      </c>
      <c r="AO1815" s="6" t="s">
        <v>18659</v>
      </c>
      <c r="AP1815" s="6" t="s">
        <v>14589</v>
      </c>
      <c r="AQ1815" s="6" t="s">
        <v>104</v>
      </c>
      <c r="AR1815" s="6" t="s">
        <v>15667</v>
      </c>
      <c r="AS1815" s="6" t="s">
        <v>15697</v>
      </c>
      <c r="AT1815" s="6" t="s">
        <v>16931</v>
      </c>
      <c r="AU1815" s="6" t="s">
        <v>17285</v>
      </c>
      <c r="AV1815" s="6" t="s">
        <v>104</v>
      </c>
      <c r="AW1815" s="6" t="s">
        <v>104</v>
      </c>
      <c r="AX1815" s="6" t="s">
        <v>21341</v>
      </c>
      <c r="AY1815" s="6" t="s">
        <v>104</v>
      </c>
      <c r="AZ1815" s="6" t="s">
        <v>104</v>
      </c>
      <c r="BA1815" s="6" t="s">
        <v>104</v>
      </c>
      <c r="BB1815" s="24" t="n">
        <v>0</v>
      </c>
      <c r="BC1815" s="26"/>
      <c r="BD1815" s="26"/>
      <c r="BE1815" s="26" t="s">
        <v>24533</v>
      </c>
      <c r="BF1815" s="26"/>
      <c r="BG1815" s="26"/>
      <c r="BH1815" s="26"/>
      <c r="BI1815" s="26"/>
      <c r="BJ1815" s="26"/>
      <c r="BK1815" s="26"/>
      <c r="BL1815" s="26"/>
      <c r="BM1815" s="26"/>
      <c r="BN1815" s="26"/>
      <c r="BO1815" s="26"/>
      <c r="BP1815" s="16" t="n">
        <v>45603</v>
      </c>
      <c r="BQ1815" s="28" t="str">
        <f>HYPERLINK("https://organic.ams.usda.gov/Integrity/Certificate.aspx?cid=57&amp;nopid=3252020085")</f>
        <v>https://organic.ams.usda.gov/Integrity/Certificate.aspx?cid=57&amp;nopid=3252020085</v>
      </c>
    </row>
    <row r="1816">
      <c r="A1816" t="s">
        <v>3</v>
      </c>
      <c r="B1816" s="6" t="s">
        <v>54</v>
      </c>
      <c r="C1816" s="6" t="s">
        <v>120</v>
      </c>
      <c r="D1816" s="6" t="s">
        <v>184</v>
      </c>
      <c r="E1816" s="10" t="s">
        <v>2014</v>
      </c>
      <c r="F1816" s="6" t="s">
        <v>4237</v>
      </c>
      <c r="G1816" s="6" t="s">
        <v>104</v>
      </c>
      <c r="H1816" s="6" t="s">
        <v>6538</v>
      </c>
      <c r="I1816" s="6" t="s">
        <v>7946</v>
      </c>
      <c r="J1816" s="6" t="s">
        <v>7000</v>
      </c>
      <c r="K1816" s="6" t="s">
        <v>9714</v>
      </c>
      <c r="L1816" s="16" t="n">
        <v>45645</v>
      </c>
      <c r="M1816" s="16" t="n">
        <v>45809</v>
      </c>
      <c r="N1816" s="6" t="s">
        <v>104</v>
      </c>
      <c r="O1816" s="21" t="s">
        <v>104</v>
      </c>
      <c r="P1816" s="6" t="s">
        <v>104</v>
      </c>
      <c r="Q1816" s="6" t="s">
        <v>104</v>
      </c>
      <c r="R1816" s="6" t="s">
        <v>104</v>
      </c>
      <c r="S1816" s="6" t="s">
        <v>104</v>
      </c>
      <c r="T1816" s="21" t="s">
        <v>104</v>
      </c>
      <c r="U1816" s="6" t="s">
        <v>104</v>
      </c>
      <c r="V1816" s="6" t="s">
        <v>104</v>
      </c>
      <c r="W1816" s="6" t="s">
        <v>104</v>
      </c>
      <c r="X1816" s="6" t="s">
        <v>104</v>
      </c>
      <c r="Y1816" s="21" t="s">
        <v>104</v>
      </c>
      <c r="Z1816" s="6" t="s">
        <v>104</v>
      </c>
      <c r="AA1816" s="6" t="s">
        <v>104</v>
      </c>
      <c r="AB1816" s="6" t="s">
        <v>104</v>
      </c>
      <c r="AC1816" s="6" t="s">
        <v>9714</v>
      </c>
      <c r="AD1816" s="16" t="n">
        <v>45645</v>
      </c>
      <c r="AE1816" s="6" t="s">
        <v>12100</v>
      </c>
      <c r="AF1816" s="6" t="s">
        <v>104</v>
      </c>
      <c r="AG1816" s="6" t="s">
        <v>104</v>
      </c>
      <c r="AH1816" s="6" t="s">
        <v>14818</v>
      </c>
      <c r="AI1816" s="6" t="s">
        <v>104</v>
      </c>
      <c r="AJ1816" s="6" t="s">
        <v>15721</v>
      </c>
      <c r="AK1816" s="6" t="s">
        <v>16687</v>
      </c>
      <c r="AL1816" s="6" t="s">
        <v>16931</v>
      </c>
      <c r="AM1816" s="6" t="s">
        <v>17700</v>
      </c>
      <c r="AN1816" s="6" t="s">
        <v>104</v>
      </c>
      <c r="AO1816" s="6" t="s">
        <v>104</v>
      </c>
      <c r="AP1816" s="6" t="s">
        <v>19435</v>
      </c>
      <c r="AQ1816" s="6" t="s">
        <v>104</v>
      </c>
      <c r="AR1816" s="6" t="s">
        <v>19692</v>
      </c>
      <c r="AS1816" s="6" t="s">
        <v>16687</v>
      </c>
      <c r="AT1816" s="6" t="s">
        <v>16931</v>
      </c>
      <c r="AU1816" s="6" t="s">
        <v>20029</v>
      </c>
      <c r="AV1816" s="6" t="s">
        <v>104</v>
      </c>
      <c r="AW1816" s="6" t="s">
        <v>104</v>
      </c>
      <c r="AX1816" s="6" t="s">
        <v>104</v>
      </c>
      <c r="AY1816" s="6" t="s">
        <v>23338</v>
      </c>
      <c r="AZ1816" s="6" t="s">
        <v>104</v>
      </c>
      <c r="BA1816" s="6" t="s">
        <v>104</v>
      </c>
      <c r="BB1816" s="6" t="s">
        <v>104</v>
      </c>
      <c r="BC1816" s="26"/>
      <c r="BD1816" s="26"/>
      <c r="BE1816" s="26"/>
      <c r="BF1816" s="26"/>
      <c r="BG1816" s="26" t="s">
        <v>24533</v>
      </c>
      <c r="BH1816" s="26"/>
      <c r="BI1816" s="26"/>
      <c r="BJ1816" s="26"/>
      <c r="BK1816" s="26"/>
      <c r="BL1816" s="26"/>
      <c r="BM1816" s="26"/>
      <c r="BN1816" s="26"/>
      <c r="BO1816" s="26"/>
      <c r="BP1816" s="16" t="n">
        <v>45646</v>
      </c>
      <c r="BQ1816" s="28" t="str">
        <f>HYPERLINK("https://organic.ams.usda.gov/Integrity/Certificate.aspx?cid=60&amp;nopid=2580007022")</f>
        <v>https://organic.ams.usda.gov/Integrity/Certificate.aspx?cid=60&amp;nopid=2580007022</v>
      </c>
    </row>
    <row r="1817">
      <c r="A1817" t="s">
        <v>3</v>
      </c>
      <c r="B1817" s="6" t="s">
        <v>13</v>
      </c>
      <c r="C1817" s="6" t="s">
        <v>79</v>
      </c>
      <c r="D1817" s="6" t="s">
        <v>144</v>
      </c>
      <c r="E1817" s="10" t="s">
        <v>2015</v>
      </c>
      <c r="F1817" s="6" t="s">
        <v>4238</v>
      </c>
      <c r="G1817" s="6" t="s">
        <v>104</v>
      </c>
      <c r="H1817" s="6" t="s">
        <v>6539</v>
      </c>
      <c r="I1817" s="6" t="s">
        <v>7947</v>
      </c>
      <c r="J1817" s="6" t="s">
        <v>9434</v>
      </c>
      <c r="K1817" s="6" t="s">
        <v>9714</v>
      </c>
      <c r="L1817" s="16" t="n">
        <v>37375</v>
      </c>
      <c r="M1817" s="16" t="n">
        <v>45748</v>
      </c>
      <c r="N1817" s="6" t="s">
        <v>104</v>
      </c>
      <c r="O1817" s="21" t="s">
        <v>104</v>
      </c>
      <c r="P1817" s="6" t="s">
        <v>104</v>
      </c>
      <c r="Q1817" s="6" t="s">
        <v>104</v>
      </c>
      <c r="R1817" s="6" t="s">
        <v>104</v>
      </c>
      <c r="S1817" s="6" t="s">
        <v>104</v>
      </c>
      <c r="T1817" s="21" t="s">
        <v>104</v>
      </c>
      <c r="U1817" s="6" t="s">
        <v>104</v>
      </c>
      <c r="V1817" s="6" t="s">
        <v>104</v>
      </c>
      <c r="W1817" s="6" t="s">
        <v>104</v>
      </c>
      <c r="X1817" s="6" t="s">
        <v>104</v>
      </c>
      <c r="Y1817" s="21" t="s">
        <v>104</v>
      </c>
      <c r="Z1817" s="6" t="s">
        <v>104</v>
      </c>
      <c r="AA1817" s="6" t="s">
        <v>104</v>
      </c>
      <c r="AB1817" s="6" t="s">
        <v>104</v>
      </c>
      <c r="AC1817" s="6" t="s">
        <v>9714</v>
      </c>
      <c r="AD1817" s="16" t="n">
        <v>37375</v>
      </c>
      <c r="AE1817" s="6" t="s">
        <v>12101</v>
      </c>
      <c r="AF1817" s="6" t="s">
        <v>104</v>
      </c>
      <c r="AG1817" s="6" t="s">
        <v>104</v>
      </c>
      <c r="AH1817" s="6" t="s">
        <v>104</v>
      </c>
      <c r="AI1817" s="6" t="s">
        <v>104</v>
      </c>
      <c r="AJ1817" s="6" t="s">
        <v>104</v>
      </c>
      <c r="AK1817" s="6" t="s">
        <v>104</v>
      </c>
      <c r="AL1817" s="6" t="s">
        <v>104</v>
      </c>
      <c r="AM1817" s="6" t="s">
        <v>104</v>
      </c>
      <c r="AN1817" s="6" t="s">
        <v>104</v>
      </c>
      <c r="AO1817" s="6" t="s">
        <v>104</v>
      </c>
      <c r="AP1817" s="6" t="s">
        <v>19436</v>
      </c>
      <c r="AQ1817" s="6" t="s">
        <v>104</v>
      </c>
      <c r="AR1817" s="6" t="s">
        <v>15971</v>
      </c>
      <c r="AS1817" s="6" t="s">
        <v>16743</v>
      </c>
      <c r="AT1817" s="6" t="s">
        <v>16931</v>
      </c>
      <c r="AU1817" s="6" t="s">
        <v>20030</v>
      </c>
      <c r="AV1817" s="6" t="s">
        <v>18457</v>
      </c>
      <c r="AW1817" s="6" t="s">
        <v>18566</v>
      </c>
      <c r="AX1817" s="6" t="s">
        <v>21532</v>
      </c>
      <c r="AY1817" s="6" t="s">
        <v>23339</v>
      </c>
      <c r="AZ1817" s="6" t="s">
        <v>24145</v>
      </c>
      <c r="BA1817" s="6" t="s">
        <v>104</v>
      </c>
      <c r="BB1817" s="6" t="s">
        <v>104</v>
      </c>
      <c r="BC1817" s="26"/>
      <c r="BD1817" s="26"/>
      <c r="BE1817" s="26" t="s">
        <v>24533</v>
      </c>
      <c r="BF1817" s="26"/>
      <c r="BG1817" s="26"/>
      <c r="BH1817" s="26"/>
      <c r="BI1817" s="26"/>
      <c r="BJ1817" s="26"/>
      <c r="BK1817" s="26"/>
      <c r="BL1817" s="26"/>
      <c r="BM1817" s="26"/>
      <c r="BN1817" s="26"/>
      <c r="BO1817" s="26"/>
      <c r="BP1817" s="16" t="n">
        <v>45733</v>
      </c>
      <c r="BQ1817" s="28" t="str">
        <f>HYPERLINK("https://organic.ams.usda.gov/Integrity/Certificate.aspx?cid=62&amp;nopid=8150001276")</f>
        <v>https://organic.ams.usda.gov/Integrity/Certificate.aspx?cid=62&amp;nopid=8150001276</v>
      </c>
    </row>
    <row r="1818">
      <c r="A1818" t="s">
        <v>3</v>
      </c>
      <c r="B1818" s="6" t="s">
        <v>31</v>
      </c>
      <c r="C1818" s="6" t="s">
        <v>97</v>
      </c>
      <c r="D1818" s="6" t="s">
        <v>162</v>
      </c>
      <c r="E1818" s="10" t="s">
        <v>2016</v>
      </c>
      <c r="F1818" s="6" t="s">
        <v>4239</v>
      </c>
      <c r="G1818" s="6" t="s">
        <v>104</v>
      </c>
      <c r="H1818" s="6" t="s">
        <v>6540</v>
      </c>
      <c r="I1818" s="6" t="s">
        <v>7948</v>
      </c>
      <c r="J1818" s="6" t="s">
        <v>7753</v>
      </c>
      <c r="K1818" s="6" t="s">
        <v>9714</v>
      </c>
      <c r="L1818" s="16" t="n">
        <v>45288</v>
      </c>
      <c r="M1818" s="16" t="n">
        <v>45654</v>
      </c>
      <c r="N1818" s="6" t="s">
        <v>104</v>
      </c>
      <c r="O1818" s="21" t="s">
        <v>104</v>
      </c>
      <c r="P1818" s="6" t="s">
        <v>104</v>
      </c>
      <c r="Q1818" s="6" t="s">
        <v>104</v>
      </c>
      <c r="R1818" s="6" t="s">
        <v>104</v>
      </c>
      <c r="S1818" s="6" t="s">
        <v>104</v>
      </c>
      <c r="T1818" s="21" t="s">
        <v>104</v>
      </c>
      <c r="U1818" s="6" t="s">
        <v>104</v>
      </c>
      <c r="V1818" s="6" t="s">
        <v>104</v>
      </c>
      <c r="W1818" s="6" t="s">
        <v>104</v>
      </c>
      <c r="X1818" s="6" t="s">
        <v>104</v>
      </c>
      <c r="Y1818" s="21" t="s">
        <v>104</v>
      </c>
      <c r="Z1818" s="6" t="s">
        <v>104</v>
      </c>
      <c r="AA1818" s="6" t="s">
        <v>104</v>
      </c>
      <c r="AB1818" s="6" t="s">
        <v>104</v>
      </c>
      <c r="AC1818" s="6" t="s">
        <v>9714</v>
      </c>
      <c r="AD1818" s="16" t="n">
        <v>45288</v>
      </c>
      <c r="AE1818" s="6" t="s">
        <v>12102</v>
      </c>
      <c r="AF1818" s="6" t="s">
        <v>104</v>
      </c>
      <c r="AG1818" s="6" t="s">
        <v>13038</v>
      </c>
      <c r="AH1818" s="6" t="s">
        <v>14819</v>
      </c>
      <c r="AI1818" s="6" t="s">
        <v>104</v>
      </c>
      <c r="AJ1818" s="6" t="s">
        <v>16462</v>
      </c>
      <c r="AK1818" s="6" t="s">
        <v>16795</v>
      </c>
      <c r="AL1818" s="6" t="s">
        <v>16966</v>
      </c>
      <c r="AM1818" s="6" t="s">
        <v>18187</v>
      </c>
      <c r="AN1818" s="6" t="s">
        <v>104</v>
      </c>
      <c r="AO1818" s="6" t="s">
        <v>104</v>
      </c>
      <c r="AP1818" s="6" t="s">
        <v>14819</v>
      </c>
      <c r="AQ1818" s="6" t="s">
        <v>104</v>
      </c>
      <c r="AR1818" s="6" t="s">
        <v>16462</v>
      </c>
      <c r="AS1818" s="6" t="s">
        <v>16795</v>
      </c>
      <c r="AT1818" s="6" t="s">
        <v>16966</v>
      </c>
      <c r="AU1818" s="6" t="s">
        <v>18187</v>
      </c>
      <c r="AV1818" s="6" t="s">
        <v>104</v>
      </c>
      <c r="AW1818" s="6" t="s">
        <v>104</v>
      </c>
      <c r="AX1818" s="6" t="s">
        <v>21533</v>
      </c>
      <c r="AY1818" s="6" t="s">
        <v>23340</v>
      </c>
      <c r="AZ1818" s="6" t="s">
        <v>104</v>
      </c>
      <c r="BA1818" s="6" t="s">
        <v>104</v>
      </c>
      <c r="BB1818" s="6" t="s">
        <v>104</v>
      </c>
      <c r="BC1818" s="26"/>
      <c r="BD1818" s="26"/>
      <c r="BE1818" s="26"/>
      <c r="BF1818" s="26"/>
      <c r="BG1818" s="26"/>
      <c r="BH1818" s="26"/>
      <c r="BI1818" s="26"/>
      <c r="BJ1818" s="26"/>
      <c r="BK1818" s="26"/>
      <c r="BL1818" s="26"/>
      <c r="BM1818" s="26"/>
      <c r="BN1818" s="26"/>
      <c r="BO1818" s="26"/>
      <c r="BP1818" s="16" t="n">
        <v>45358</v>
      </c>
      <c r="BQ1818" s="28" t="str">
        <f>HYPERLINK("https://organic.ams.usda.gov/Integrity/Certificate.aspx?cid=43&amp;nopid=3530231054")</f>
        <v>https://organic.ams.usda.gov/Integrity/Certificate.aspx?cid=43&amp;nopid=3530231054</v>
      </c>
    </row>
    <row r="1819">
      <c r="A1819" t="s">
        <v>3</v>
      </c>
      <c r="B1819" s="6" t="s">
        <v>13</v>
      </c>
      <c r="C1819" s="6" t="s">
        <v>79</v>
      </c>
      <c r="D1819" s="6" t="s">
        <v>144</v>
      </c>
      <c r="E1819" s="10" t="s">
        <v>2017</v>
      </c>
      <c r="F1819" s="6" t="s">
        <v>4240</v>
      </c>
      <c r="G1819" s="6" t="s">
        <v>104</v>
      </c>
      <c r="H1819" s="6" t="s">
        <v>6541</v>
      </c>
      <c r="I1819" s="6" t="s">
        <v>7949</v>
      </c>
      <c r="J1819" s="6" t="s">
        <v>9435</v>
      </c>
      <c r="K1819" s="6" t="s">
        <v>9714</v>
      </c>
      <c r="L1819" s="16" t="n">
        <v>44740</v>
      </c>
      <c r="M1819" s="16" t="n">
        <v>46023</v>
      </c>
      <c r="N1819" s="6" t="s">
        <v>104</v>
      </c>
      <c r="O1819" s="21" t="s">
        <v>104</v>
      </c>
      <c r="P1819" s="6" t="s">
        <v>104</v>
      </c>
      <c r="Q1819" s="6" t="s">
        <v>104</v>
      </c>
      <c r="R1819" s="6" t="s">
        <v>104</v>
      </c>
      <c r="S1819" s="6" t="s">
        <v>104</v>
      </c>
      <c r="T1819" s="21" t="s">
        <v>104</v>
      </c>
      <c r="U1819" s="6" t="s">
        <v>104</v>
      </c>
      <c r="V1819" s="6" t="s">
        <v>104</v>
      </c>
      <c r="W1819" s="6" t="s">
        <v>104</v>
      </c>
      <c r="X1819" s="6" t="s">
        <v>104</v>
      </c>
      <c r="Y1819" s="21" t="s">
        <v>104</v>
      </c>
      <c r="Z1819" s="6" t="s">
        <v>104</v>
      </c>
      <c r="AA1819" s="6" t="s">
        <v>104</v>
      </c>
      <c r="AB1819" s="6" t="s">
        <v>104</v>
      </c>
      <c r="AC1819" s="6" t="s">
        <v>9714</v>
      </c>
      <c r="AD1819" s="16" t="n">
        <v>44740</v>
      </c>
      <c r="AE1819" s="6" t="s">
        <v>12103</v>
      </c>
      <c r="AF1819" s="6" t="s">
        <v>104</v>
      </c>
      <c r="AG1819" s="6" t="s">
        <v>104</v>
      </c>
      <c r="AH1819" s="6" t="s">
        <v>104</v>
      </c>
      <c r="AI1819" s="6" t="s">
        <v>104</v>
      </c>
      <c r="AJ1819" s="6" t="s">
        <v>104</v>
      </c>
      <c r="AK1819" s="6" t="s">
        <v>104</v>
      </c>
      <c r="AL1819" s="6" t="s">
        <v>104</v>
      </c>
      <c r="AM1819" s="6" t="s">
        <v>104</v>
      </c>
      <c r="AN1819" s="6" t="s">
        <v>104</v>
      </c>
      <c r="AO1819" s="6" t="s">
        <v>104</v>
      </c>
      <c r="AP1819" s="6" t="s">
        <v>19437</v>
      </c>
      <c r="AQ1819" s="6" t="s">
        <v>104</v>
      </c>
      <c r="AR1819" s="6" t="s">
        <v>7005</v>
      </c>
      <c r="AS1819" s="6" t="s">
        <v>16684</v>
      </c>
      <c r="AT1819" s="6" t="s">
        <v>16931</v>
      </c>
      <c r="AU1819" s="6" t="s">
        <v>20031</v>
      </c>
      <c r="AV1819" s="6" t="s">
        <v>18528</v>
      </c>
      <c r="AW1819" s="6" t="s">
        <v>18740</v>
      </c>
      <c r="AX1819" s="6" t="s">
        <v>21534</v>
      </c>
      <c r="AY1819" s="6" t="s">
        <v>23341</v>
      </c>
      <c r="AZ1819" s="6" t="s">
        <v>104</v>
      </c>
      <c r="BA1819" s="6" t="s">
        <v>104</v>
      </c>
      <c r="BB1819" s="6" t="s">
        <v>104</v>
      </c>
      <c r="BC1819" s="26"/>
      <c r="BD1819" s="26"/>
      <c r="BE1819" s="26"/>
      <c r="BF1819" s="26"/>
      <c r="BG1819" s="26"/>
      <c r="BH1819" s="26" t="s">
        <v>24533</v>
      </c>
      <c r="BI1819" s="26"/>
      <c r="BJ1819" s="26"/>
      <c r="BK1819" s="26"/>
      <c r="BL1819" s="26" t="s">
        <v>24533</v>
      </c>
      <c r="BM1819" s="26"/>
      <c r="BN1819" s="26"/>
      <c r="BO1819" s="26"/>
      <c r="BP1819" s="16" t="n">
        <v>45709</v>
      </c>
      <c r="BQ1819" s="28" t="str">
        <f>HYPERLINK("https://organic.ams.usda.gov/Integrity/Certificate.aspx?cid=62&amp;nopid=8150019679")</f>
        <v>https://organic.ams.usda.gov/Integrity/Certificate.aspx?cid=62&amp;nopid=8150019679</v>
      </c>
    </row>
    <row r="1820">
      <c r="A1820" t="s">
        <v>3</v>
      </c>
      <c r="B1820" s="6" t="s">
        <v>25</v>
      </c>
      <c r="C1820" s="6" t="s">
        <v>91</v>
      </c>
      <c r="D1820" s="6" t="s">
        <v>156</v>
      </c>
      <c r="E1820" s="10" t="s">
        <v>2018</v>
      </c>
      <c r="F1820" s="6" t="s">
        <v>4241</v>
      </c>
      <c r="G1820" s="6" t="s">
        <v>104</v>
      </c>
      <c r="H1820" s="6" t="s">
        <v>6542</v>
      </c>
      <c r="I1820" s="6" t="s">
        <v>6982</v>
      </c>
      <c r="J1820" s="6" t="s">
        <v>8196</v>
      </c>
      <c r="K1820" s="6" t="s">
        <v>9714</v>
      </c>
      <c r="L1820" s="16" t="n">
        <v>44778</v>
      </c>
      <c r="M1820" s="16" t="n">
        <v>45717</v>
      </c>
      <c r="N1820" s="6" t="s">
        <v>104</v>
      </c>
      <c r="O1820" s="21" t="s">
        <v>104</v>
      </c>
      <c r="P1820" s="6" t="s">
        <v>104</v>
      </c>
      <c r="Q1820" s="6" t="s">
        <v>104</v>
      </c>
      <c r="R1820" s="6" t="s">
        <v>104</v>
      </c>
      <c r="S1820" s="6" t="s">
        <v>104</v>
      </c>
      <c r="T1820" s="21" t="s">
        <v>104</v>
      </c>
      <c r="U1820" s="6" t="s">
        <v>104</v>
      </c>
      <c r="V1820" s="6" t="s">
        <v>104</v>
      </c>
      <c r="W1820" s="6" t="s">
        <v>104</v>
      </c>
      <c r="X1820" s="6" t="s">
        <v>104</v>
      </c>
      <c r="Y1820" s="21" t="s">
        <v>104</v>
      </c>
      <c r="Z1820" s="6" t="s">
        <v>104</v>
      </c>
      <c r="AA1820" s="6" t="s">
        <v>104</v>
      </c>
      <c r="AB1820" s="6" t="s">
        <v>104</v>
      </c>
      <c r="AC1820" s="6" t="s">
        <v>9714</v>
      </c>
      <c r="AD1820" s="16" t="n">
        <v>44778</v>
      </c>
      <c r="AE1820" s="6" t="s">
        <v>12104</v>
      </c>
      <c r="AF1820" s="6" t="s">
        <v>104</v>
      </c>
      <c r="AG1820" s="6" t="s">
        <v>104</v>
      </c>
      <c r="AH1820" s="6" t="s">
        <v>14820</v>
      </c>
      <c r="AI1820" s="6" t="s">
        <v>104</v>
      </c>
      <c r="AJ1820" s="6" t="s">
        <v>16463</v>
      </c>
      <c r="AK1820" s="6" t="s">
        <v>16708</v>
      </c>
      <c r="AL1820" s="6" t="s">
        <v>16935</v>
      </c>
      <c r="AM1820" s="6" t="s">
        <v>18188</v>
      </c>
      <c r="AN1820" s="6" t="s">
        <v>104</v>
      </c>
      <c r="AO1820" s="6" t="s">
        <v>104</v>
      </c>
      <c r="AP1820" s="6" t="s">
        <v>13691</v>
      </c>
      <c r="AQ1820" s="6" t="s">
        <v>104</v>
      </c>
      <c r="AR1820" s="6" t="s">
        <v>15746</v>
      </c>
      <c r="AS1820" s="6" t="s">
        <v>16708</v>
      </c>
      <c r="AT1820" s="6" t="s">
        <v>16935</v>
      </c>
      <c r="AU1820" s="6" t="s">
        <v>17366</v>
      </c>
      <c r="AV1820" s="6" t="s">
        <v>104</v>
      </c>
      <c r="AW1820" s="6" t="s">
        <v>104</v>
      </c>
      <c r="AX1820" s="6" t="s">
        <v>104</v>
      </c>
      <c r="AY1820" s="6" t="s">
        <v>23342</v>
      </c>
      <c r="AZ1820" s="6" t="s">
        <v>104</v>
      </c>
      <c r="BA1820" s="6" t="s">
        <v>24264</v>
      </c>
      <c r="BB1820" s="6" t="s">
        <v>104</v>
      </c>
      <c r="BC1820" s="26"/>
      <c r="BD1820" s="26"/>
      <c r="BE1820" s="26"/>
      <c r="BF1820" s="26"/>
      <c r="BG1820" s="26"/>
      <c r="BH1820" s="26"/>
      <c r="BI1820" s="26"/>
      <c r="BJ1820" s="26"/>
      <c r="BK1820" s="26"/>
      <c r="BL1820" s="26"/>
      <c r="BM1820" s="26"/>
      <c r="BN1820" s="26"/>
      <c r="BO1820" s="26"/>
      <c r="BP1820" s="16" t="n">
        <v>45637</v>
      </c>
      <c r="BQ1820" s="28" t="str">
        <f>HYPERLINK("https://organic.ams.usda.gov/Integrity/Certificate.aspx?cid=66&amp;nopid=5500006790")</f>
        <v>https://organic.ams.usda.gov/Integrity/Certificate.aspx?cid=66&amp;nopid=5500006790</v>
      </c>
    </row>
    <row r="1821">
      <c r="A1821" t="s">
        <v>3</v>
      </c>
      <c r="B1821" s="6" t="s">
        <v>32</v>
      </c>
      <c r="C1821" s="6" t="s">
        <v>98</v>
      </c>
      <c r="D1821" s="6" t="s">
        <v>163</v>
      </c>
      <c r="E1821" s="10" t="s">
        <v>2019</v>
      </c>
      <c r="F1821" s="6" t="s">
        <v>4242</v>
      </c>
      <c r="G1821" s="6" t="s">
        <v>104</v>
      </c>
      <c r="H1821" s="6" t="s">
        <v>6543</v>
      </c>
      <c r="I1821" s="6" t="s">
        <v>7950</v>
      </c>
      <c r="J1821" s="6" t="s">
        <v>9436</v>
      </c>
      <c r="K1821" s="6" t="s">
        <v>9714</v>
      </c>
      <c r="L1821" s="16" t="n">
        <v>45572</v>
      </c>
      <c r="M1821" s="16" t="n">
        <v>45689</v>
      </c>
      <c r="N1821" s="6" t="s">
        <v>104</v>
      </c>
      <c r="O1821" s="21" t="s">
        <v>104</v>
      </c>
      <c r="P1821" s="6" t="s">
        <v>104</v>
      </c>
      <c r="Q1821" s="6" t="s">
        <v>104</v>
      </c>
      <c r="R1821" s="6" t="s">
        <v>104</v>
      </c>
      <c r="S1821" s="6" t="s">
        <v>104</v>
      </c>
      <c r="T1821" s="21" t="s">
        <v>104</v>
      </c>
      <c r="U1821" s="6" t="s">
        <v>104</v>
      </c>
      <c r="V1821" s="6" t="s">
        <v>104</v>
      </c>
      <c r="W1821" s="6" t="s">
        <v>104</v>
      </c>
      <c r="X1821" s="6" t="s">
        <v>104</v>
      </c>
      <c r="Y1821" s="21" t="s">
        <v>104</v>
      </c>
      <c r="Z1821" s="6" t="s">
        <v>104</v>
      </c>
      <c r="AA1821" s="6" t="s">
        <v>104</v>
      </c>
      <c r="AB1821" s="6" t="s">
        <v>104</v>
      </c>
      <c r="AC1821" s="6" t="s">
        <v>9714</v>
      </c>
      <c r="AD1821" s="16" t="n">
        <v>45572</v>
      </c>
      <c r="AE1821" s="6" t="s">
        <v>12105</v>
      </c>
      <c r="AF1821" s="6" t="s">
        <v>104</v>
      </c>
      <c r="AG1821" s="6" t="s">
        <v>104</v>
      </c>
      <c r="AH1821" s="6" t="s">
        <v>14821</v>
      </c>
      <c r="AI1821" s="6" t="s">
        <v>104</v>
      </c>
      <c r="AJ1821" s="6" t="s">
        <v>15633</v>
      </c>
      <c r="AK1821" s="6" t="s">
        <v>16684</v>
      </c>
      <c r="AL1821" s="6" t="s">
        <v>16931</v>
      </c>
      <c r="AM1821" s="6" t="s">
        <v>18189</v>
      </c>
      <c r="AN1821" s="6" t="s">
        <v>18503</v>
      </c>
      <c r="AO1821" s="6" t="s">
        <v>18581</v>
      </c>
      <c r="AP1821" s="6" t="s">
        <v>104</v>
      </c>
      <c r="AQ1821" s="6" t="s">
        <v>104</v>
      </c>
      <c r="AR1821" s="6" t="s">
        <v>104</v>
      </c>
      <c r="AS1821" s="6" t="s">
        <v>104</v>
      </c>
      <c r="AT1821" s="6" t="s">
        <v>104</v>
      </c>
      <c r="AU1821" s="6" t="s">
        <v>104</v>
      </c>
      <c r="AV1821" s="6" t="s">
        <v>104</v>
      </c>
      <c r="AW1821" s="6" t="s">
        <v>104</v>
      </c>
      <c r="AX1821" s="6" t="s">
        <v>21535</v>
      </c>
      <c r="AY1821" s="6" t="s">
        <v>23343</v>
      </c>
      <c r="AZ1821" s="6" t="s">
        <v>104</v>
      </c>
      <c r="BA1821" s="6" t="s">
        <v>104</v>
      </c>
      <c r="BB1821" s="6" t="s">
        <v>104</v>
      </c>
      <c r="BC1821" s="26"/>
      <c r="BD1821" s="26"/>
      <c r="BE1821" s="26"/>
      <c r="BF1821" s="26"/>
      <c r="BG1821" s="26"/>
      <c r="BH1821" s="26"/>
      <c r="BI1821" s="26"/>
      <c r="BJ1821" s="26"/>
      <c r="BK1821" s="26"/>
      <c r="BL1821" s="26"/>
      <c r="BM1821" s="26"/>
      <c r="BN1821" s="26"/>
      <c r="BO1821" s="26"/>
      <c r="BP1821" s="16" t="n">
        <v>45573</v>
      </c>
      <c r="BQ1821" s="28" t="str">
        <f>HYPERLINK("https://organic.ams.usda.gov/Integrity/Certificate.aspx?cid=64&amp;nopid=8830001016")</f>
        <v>https://organic.ams.usda.gov/Integrity/Certificate.aspx?cid=64&amp;nopid=8830001016</v>
      </c>
    </row>
    <row r="1822">
      <c r="A1822" t="s">
        <v>3</v>
      </c>
      <c r="B1822" s="6" t="s">
        <v>32</v>
      </c>
      <c r="C1822" s="6" t="s">
        <v>98</v>
      </c>
      <c r="D1822" s="6" t="s">
        <v>163</v>
      </c>
      <c r="E1822" s="10" t="s">
        <v>2020</v>
      </c>
      <c r="F1822" s="6" t="s">
        <v>4243</v>
      </c>
      <c r="G1822" s="6" t="s">
        <v>104</v>
      </c>
      <c r="H1822" s="6" t="s">
        <v>6544</v>
      </c>
      <c r="I1822" s="6" t="s">
        <v>7950</v>
      </c>
      <c r="J1822" s="6" t="s">
        <v>8417</v>
      </c>
      <c r="K1822" s="6" t="s">
        <v>9714</v>
      </c>
      <c r="L1822" s="16" t="n">
        <v>42191</v>
      </c>
      <c r="M1822" s="16" t="n">
        <v>45444</v>
      </c>
      <c r="N1822" s="6" t="s">
        <v>104</v>
      </c>
      <c r="O1822" s="21" t="s">
        <v>104</v>
      </c>
      <c r="P1822" s="6" t="s">
        <v>104</v>
      </c>
      <c r="Q1822" s="6" t="s">
        <v>104</v>
      </c>
      <c r="R1822" s="6" t="s">
        <v>104</v>
      </c>
      <c r="S1822" s="6" t="s">
        <v>104</v>
      </c>
      <c r="T1822" s="21" t="s">
        <v>104</v>
      </c>
      <c r="U1822" s="6" t="s">
        <v>104</v>
      </c>
      <c r="V1822" s="6" t="s">
        <v>104</v>
      </c>
      <c r="W1822" s="6" t="s">
        <v>104</v>
      </c>
      <c r="X1822" s="6" t="s">
        <v>104</v>
      </c>
      <c r="Y1822" s="21" t="s">
        <v>104</v>
      </c>
      <c r="Z1822" s="6" t="s">
        <v>104</v>
      </c>
      <c r="AA1822" s="6" t="s">
        <v>104</v>
      </c>
      <c r="AB1822" s="6" t="s">
        <v>104</v>
      </c>
      <c r="AC1822" s="6" t="s">
        <v>9714</v>
      </c>
      <c r="AD1822" s="16" t="n">
        <v>42191</v>
      </c>
      <c r="AE1822" s="6" t="s">
        <v>12106</v>
      </c>
      <c r="AF1822" s="6" t="s">
        <v>104</v>
      </c>
      <c r="AG1822" s="6" t="s">
        <v>104</v>
      </c>
      <c r="AH1822" s="6" t="s">
        <v>14822</v>
      </c>
      <c r="AI1822" s="6" t="s">
        <v>104</v>
      </c>
      <c r="AJ1822" s="6" t="s">
        <v>15506</v>
      </c>
      <c r="AK1822" s="6" t="s">
        <v>16686</v>
      </c>
      <c r="AL1822" s="6" t="s">
        <v>16931</v>
      </c>
      <c r="AM1822" s="6" t="s">
        <v>17844</v>
      </c>
      <c r="AN1822" s="6" t="s">
        <v>18460</v>
      </c>
      <c r="AO1822" s="6" t="s">
        <v>18566</v>
      </c>
      <c r="AP1822" s="6" t="s">
        <v>104</v>
      </c>
      <c r="AQ1822" s="6" t="s">
        <v>104</v>
      </c>
      <c r="AR1822" s="6" t="s">
        <v>104</v>
      </c>
      <c r="AS1822" s="6" t="s">
        <v>104</v>
      </c>
      <c r="AT1822" s="6" t="s">
        <v>104</v>
      </c>
      <c r="AU1822" s="6" t="s">
        <v>104</v>
      </c>
      <c r="AV1822" s="6" t="s">
        <v>104</v>
      </c>
      <c r="AW1822" s="6" t="s">
        <v>104</v>
      </c>
      <c r="AX1822" s="6" t="s">
        <v>21536</v>
      </c>
      <c r="AY1822" s="6" t="s">
        <v>23343</v>
      </c>
      <c r="AZ1822" s="6" t="s">
        <v>104</v>
      </c>
      <c r="BA1822" s="6" t="s">
        <v>104</v>
      </c>
      <c r="BB1822" s="6" t="s">
        <v>104</v>
      </c>
      <c r="BC1822" s="26"/>
      <c r="BD1822" s="26"/>
      <c r="BE1822" s="26" t="s">
        <v>24533</v>
      </c>
      <c r="BF1822" s="26"/>
      <c r="BG1822" s="26"/>
      <c r="BH1822" s="26"/>
      <c r="BI1822" s="26"/>
      <c r="BJ1822" s="26"/>
      <c r="BK1822" s="26"/>
      <c r="BL1822" s="26"/>
      <c r="BM1822" s="26"/>
      <c r="BN1822" s="26"/>
      <c r="BO1822" s="26"/>
      <c r="BP1822" s="16" t="n">
        <v>45476</v>
      </c>
      <c r="BQ1822" s="28" t="str">
        <f>HYPERLINK("https://organic.ams.usda.gov/Integrity/Certificate.aspx?cid=64&amp;nopid=8830000530")</f>
        <v>https://organic.ams.usda.gov/Integrity/Certificate.aspx?cid=64&amp;nopid=8830000530</v>
      </c>
    </row>
    <row r="1823">
      <c r="A1823" t="s">
        <v>3</v>
      </c>
      <c r="B1823" s="6" t="s">
        <v>32</v>
      </c>
      <c r="C1823" s="6" t="s">
        <v>98</v>
      </c>
      <c r="D1823" s="6" t="s">
        <v>163</v>
      </c>
      <c r="E1823" s="10" t="s">
        <v>2021</v>
      </c>
      <c r="F1823" s="6" t="s">
        <v>4243</v>
      </c>
      <c r="G1823" s="6" t="s">
        <v>104</v>
      </c>
      <c r="H1823" s="6" t="s">
        <v>6545</v>
      </c>
      <c r="I1823" s="6" t="s">
        <v>7586</v>
      </c>
      <c r="J1823" s="6" t="s">
        <v>9437</v>
      </c>
      <c r="K1823" s="6" t="s">
        <v>9714</v>
      </c>
      <c r="L1823" s="16" t="n">
        <v>45414</v>
      </c>
      <c r="M1823" s="16" t="n">
        <v>45717</v>
      </c>
      <c r="N1823" s="6" t="s">
        <v>104</v>
      </c>
      <c r="O1823" s="21" t="s">
        <v>104</v>
      </c>
      <c r="P1823" s="6" t="s">
        <v>104</v>
      </c>
      <c r="Q1823" s="6" t="s">
        <v>104</v>
      </c>
      <c r="R1823" s="6" t="s">
        <v>104</v>
      </c>
      <c r="S1823" s="6" t="s">
        <v>104</v>
      </c>
      <c r="T1823" s="21" t="s">
        <v>104</v>
      </c>
      <c r="U1823" s="6" t="s">
        <v>104</v>
      </c>
      <c r="V1823" s="6" t="s">
        <v>104</v>
      </c>
      <c r="W1823" s="6" t="s">
        <v>104</v>
      </c>
      <c r="X1823" s="6" t="s">
        <v>104</v>
      </c>
      <c r="Y1823" s="21" t="s">
        <v>104</v>
      </c>
      <c r="Z1823" s="6" t="s">
        <v>104</v>
      </c>
      <c r="AA1823" s="6" t="s">
        <v>104</v>
      </c>
      <c r="AB1823" s="6" t="s">
        <v>104</v>
      </c>
      <c r="AC1823" s="6" t="s">
        <v>9714</v>
      </c>
      <c r="AD1823" s="16" t="n">
        <v>45414</v>
      </c>
      <c r="AE1823" s="6" t="s">
        <v>12107</v>
      </c>
      <c r="AF1823" s="6" t="s">
        <v>104</v>
      </c>
      <c r="AG1823" s="6" t="s">
        <v>104</v>
      </c>
      <c r="AH1823" s="6" t="s">
        <v>14823</v>
      </c>
      <c r="AI1823" s="6" t="s">
        <v>104</v>
      </c>
      <c r="AJ1823" s="6" t="s">
        <v>16464</v>
      </c>
      <c r="AK1823" s="6" t="s">
        <v>16687</v>
      </c>
      <c r="AL1823" s="6" t="s">
        <v>16931</v>
      </c>
      <c r="AM1823" s="6" t="s">
        <v>18190</v>
      </c>
      <c r="AN1823" s="6" t="s">
        <v>104</v>
      </c>
      <c r="AO1823" s="6" t="s">
        <v>104</v>
      </c>
      <c r="AP1823" s="6" t="s">
        <v>104</v>
      </c>
      <c r="AQ1823" s="6" t="s">
        <v>104</v>
      </c>
      <c r="AR1823" s="6" t="s">
        <v>104</v>
      </c>
      <c r="AS1823" s="6" t="s">
        <v>104</v>
      </c>
      <c r="AT1823" s="6" t="s">
        <v>104</v>
      </c>
      <c r="AU1823" s="6" t="s">
        <v>104</v>
      </c>
      <c r="AV1823" s="6" t="s">
        <v>104</v>
      </c>
      <c r="AW1823" s="6" t="s">
        <v>104</v>
      </c>
      <c r="AX1823" s="6" t="s">
        <v>21537</v>
      </c>
      <c r="AY1823" s="6" t="s">
        <v>23343</v>
      </c>
      <c r="AZ1823" s="6" t="s">
        <v>104</v>
      </c>
      <c r="BA1823" s="6" t="s">
        <v>104</v>
      </c>
      <c r="BB1823" s="6" t="s">
        <v>104</v>
      </c>
      <c r="BC1823" s="26" t="s">
        <v>24533</v>
      </c>
      <c r="BD1823" s="26"/>
      <c r="BE1823" s="26"/>
      <c r="BF1823" s="26"/>
      <c r="BG1823" s="26"/>
      <c r="BH1823" s="26" t="s">
        <v>24533</v>
      </c>
      <c r="BI1823" s="26"/>
      <c r="BJ1823" s="26"/>
      <c r="BK1823" s="26"/>
      <c r="BL1823" s="26"/>
      <c r="BM1823" s="26"/>
      <c r="BN1823" s="26"/>
      <c r="BO1823" s="26"/>
      <c r="BP1823" s="16" t="n">
        <v>45476</v>
      </c>
      <c r="BQ1823" s="28" t="str">
        <f>HYPERLINK("https://organic.ams.usda.gov/Integrity/Certificate.aspx?cid=64&amp;nopid=8830001763")</f>
        <v>https://organic.ams.usda.gov/Integrity/Certificate.aspx?cid=64&amp;nopid=8830001763</v>
      </c>
    </row>
    <row r="1824">
      <c r="A1824" t="s">
        <v>3</v>
      </c>
      <c r="B1824" s="6" t="s">
        <v>36</v>
      </c>
      <c r="C1824" s="6" t="s">
        <v>102</v>
      </c>
      <c r="D1824" s="6" t="s">
        <v>167</v>
      </c>
      <c r="E1824" s="10" t="s">
        <v>2022</v>
      </c>
      <c r="F1824" s="6" t="s">
        <v>4244</v>
      </c>
      <c r="G1824" s="6" t="s">
        <v>104</v>
      </c>
      <c r="H1824" s="6" t="s">
        <v>6546</v>
      </c>
      <c r="I1824" s="6" t="s">
        <v>7705</v>
      </c>
      <c r="J1824" s="6" t="s">
        <v>9438</v>
      </c>
      <c r="K1824" s="6" t="s">
        <v>9714</v>
      </c>
      <c r="L1824" s="16" t="n">
        <v>45486</v>
      </c>
      <c r="M1824" s="16" t="n">
        <v>45808</v>
      </c>
      <c r="N1824" s="6" t="s">
        <v>9714</v>
      </c>
      <c r="O1824" s="16" t="n">
        <v>45486</v>
      </c>
      <c r="P1824" s="6" t="s">
        <v>10200</v>
      </c>
      <c r="Q1824" s="6" t="s">
        <v>104</v>
      </c>
      <c r="R1824" s="6" t="s">
        <v>104</v>
      </c>
      <c r="S1824" s="6" t="s">
        <v>104</v>
      </c>
      <c r="T1824" s="21" t="s">
        <v>104</v>
      </c>
      <c r="U1824" s="6" t="s">
        <v>104</v>
      </c>
      <c r="V1824" s="6" t="s">
        <v>104</v>
      </c>
      <c r="W1824" s="6" t="s">
        <v>104</v>
      </c>
      <c r="X1824" s="6" t="s">
        <v>104</v>
      </c>
      <c r="Y1824" s="21" t="s">
        <v>104</v>
      </c>
      <c r="Z1824" s="6" t="s">
        <v>104</v>
      </c>
      <c r="AA1824" s="6" t="s">
        <v>104</v>
      </c>
      <c r="AB1824" s="6" t="s">
        <v>104</v>
      </c>
      <c r="AC1824" s="6" t="s">
        <v>9714</v>
      </c>
      <c r="AD1824" s="16" t="n">
        <v>45486</v>
      </c>
      <c r="AE1824" s="6" t="s">
        <v>12108</v>
      </c>
      <c r="AF1824" s="6" t="s">
        <v>104</v>
      </c>
      <c r="AG1824" s="6" t="s">
        <v>104</v>
      </c>
      <c r="AH1824" s="6" t="s">
        <v>14824</v>
      </c>
      <c r="AI1824" s="6" t="s">
        <v>104</v>
      </c>
      <c r="AJ1824" s="6" t="s">
        <v>16413</v>
      </c>
      <c r="AK1824" s="6" t="s">
        <v>16687</v>
      </c>
      <c r="AL1824" s="6" t="s">
        <v>16931</v>
      </c>
      <c r="AM1824" s="6" t="s">
        <v>18191</v>
      </c>
      <c r="AN1824" s="6" t="s">
        <v>104</v>
      </c>
      <c r="AO1824" s="6" t="s">
        <v>104</v>
      </c>
      <c r="AP1824" s="6" t="s">
        <v>19438</v>
      </c>
      <c r="AQ1824" s="6" t="s">
        <v>104</v>
      </c>
      <c r="AR1824" s="6" t="s">
        <v>16413</v>
      </c>
      <c r="AS1824" s="6" t="s">
        <v>16687</v>
      </c>
      <c r="AT1824" s="6" t="s">
        <v>16931</v>
      </c>
      <c r="AU1824" s="6" t="s">
        <v>18124</v>
      </c>
      <c r="AV1824" s="6" t="s">
        <v>104</v>
      </c>
      <c r="AW1824" s="6" t="s">
        <v>104</v>
      </c>
      <c r="AX1824" s="6" t="s">
        <v>21538</v>
      </c>
      <c r="AY1824" s="6" t="s">
        <v>23344</v>
      </c>
      <c r="AZ1824" s="6" t="s">
        <v>104</v>
      </c>
      <c r="BA1824" s="6" t="s">
        <v>104</v>
      </c>
      <c r="BB1824" s="24" t="n">
        <v>476</v>
      </c>
      <c r="BC1824" s="26"/>
      <c r="BD1824" s="26"/>
      <c r="BE1824" s="26"/>
      <c r="BF1824" s="26"/>
      <c r="BG1824" s="26"/>
      <c r="BH1824" s="26"/>
      <c r="BI1824" s="26"/>
      <c r="BJ1824" s="26"/>
      <c r="BK1824" s="26"/>
      <c r="BL1824" s="26"/>
      <c r="BM1824" s="26"/>
      <c r="BN1824" s="26"/>
      <c r="BO1824" s="26"/>
      <c r="BP1824" s="16" t="n">
        <v>45729</v>
      </c>
      <c r="BQ1824" s="28" t="str">
        <f>HYPERLINK("https://organic.ams.usda.gov/Integrity/Certificate.aspx?cid=61&amp;nopid=7270001752")</f>
        <v>https://organic.ams.usda.gov/Integrity/Certificate.aspx?cid=61&amp;nopid=7270001752</v>
      </c>
    </row>
    <row r="1825">
      <c r="A1825" t="s">
        <v>3</v>
      </c>
      <c r="B1825" s="6" t="s">
        <v>20</v>
      </c>
      <c r="C1825" s="6" t="s">
        <v>86</v>
      </c>
      <c r="D1825" s="6" t="s">
        <v>151</v>
      </c>
      <c r="E1825" s="10" t="s">
        <v>2023</v>
      </c>
      <c r="F1825" s="6" t="s">
        <v>4245</v>
      </c>
      <c r="G1825" s="6" t="s">
        <v>104</v>
      </c>
      <c r="H1825" s="6" t="s">
        <v>6547</v>
      </c>
      <c r="I1825" s="6" t="s">
        <v>7206</v>
      </c>
      <c r="J1825" s="6" t="s">
        <v>9439</v>
      </c>
      <c r="K1825" s="6" t="s">
        <v>9714</v>
      </c>
      <c r="L1825" s="16" t="n">
        <v>45645</v>
      </c>
      <c r="M1825" s="16" t="n">
        <v>45961</v>
      </c>
      <c r="N1825" s="6" t="s">
        <v>104</v>
      </c>
      <c r="O1825" s="21" t="s">
        <v>104</v>
      </c>
      <c r="P1825" s="6" t="s">
        <v>104</v>
      </c>
      <c r="Q1825" s="6" t="s">
        <v>104</v>
      </c>
      <c r="R1825" s="6" t="s">
        <v>104</v>
      </c>
      <c r="S1825" s="6" t="s">
        <v>104</v>
      </c>
      <c r="T1825" s="21" t="s">
        <v>104</v>
      </c>
      <c r="U1825" s="6" t="s">
        <v>104</v>
      </c>
      <c r="V1825" s="6" t="s">
        <v>104</v>
      </c>
      <c r="W1825" s="6" t="s">
        <v>104</v>
      </c>
      <c r="X1825" s="6" t="s">
        <v>104</v>
      </c>
      <c r="Y1825" s="21" t="s">
        <v>104</v>
      </c>
      <c r="Z1825" s="6" t="s">
        <v>104</v>
      </c>
      <c r="AA1825" s="6" t="s">
        <v>104</v>
      </c>
      <c r="AB1825" s="6" t="s">
        <v>104</v>
      </c>
      <c r="AC1825" s="6" t="s">
        <v>9714</v>
      </c>
      <c r="AD1825" s="16" t="n">
        <v>45645</v>
      </c>
      <c r="AE1825" s="6" t="s">
        <v>12109</v>
      </c>
      <c r="AF1825" s="6" t="s">
        <v>104</v>
      </c>
      <c r="AG1825" s="6" t="s">
        <v>13039</v>
      </c>
      <c r="AH1825" s="6" t="s">
        <v>14825</v>
      </c>
      <c r="AI1825" s="6" t="s">
        <v>104</v>
      </c>
      <c r="AJ1825" s="6" t="s">
        <v>16303</v>
      </c>
      <c r="AK1825" s="6" t="s">
        <v>16776</v>
      </c>
      <c r="AL1825" s="6" t="s">
        <v>16766</v>
      </c>
      <c r="AM1825" s="6" t="s">
        <v>104</v>
      </c>
      <c r="AN1825" s="6" t="s">
        <v>104</v>
      </c>
      <c r="AO1825" s="6" t="s">
        <v>104</v>
      </c>
      <c r="AP1825" s="6" t="s">
        <v>104</v>
      </c>
      <c r="AQ1825" s="6" t="s">
        <v>104</v>
      </c>
      <c r="AR1825" s="6" t="s">
        <v>104</v>
      </c>
      <c r="AS1825" s="6" t="s">
        <v>104</v>
      </c>
      <c r="AT1825" s="6" t="s">
        <v>104</v>
      </c>
      <c r="AU1825" s="6" t="s">
        <v>104</v>
      </c>
      <c r="AV1825" s="6" t="s">
        <v>104</v>
      </c>
      <c r="AW1825" s="6" t="s">
        <v>104</v>
      </c>
      <c r="AX1825" s="6" t="s">
        <v>104</v>
      </c>
      <c r="AY1825" s="6" t="s">
        <v>104</v>
      </c>
      <c r="AZ1825" s="6" t="s">
        <v>24071</v>
      </c>
      <c r="BA1825" s="6" t="s">
        <v>24487</v>
      </c>
      <c r="BB1825" s="6" t="s">
        <v>104</v>
      </c>
      <c r="BC1825" s="26"/>
      <c r="BD1825" s="26"/>
      <c r="BE1825" s="26"/>
      <c r="BF1825" s="26"/>
      <c r="BG1825" s="26"/>
      <c r="BH1825" s="26"/>
      <c r="BI1825" s="26"/>
      <c r="BJ1825" s="26"/>
      <c r="BK1825" s="26"/>
      <c r="BL1825" s="26"/>
      <c r="BM1825" s="26"/>
      <c r="BN1825" s="26"/>
      <c r="BO1825" s="26"/>
      <c r="BP1825" s="16" t="n">
        <v>45678</v>
      </c>
      <c r="BQ1825" s="28" t="str">
        <f>HYPERLINK("https://organic.ams.usda.gov/Integrity/Certificate.aspx?cid=17&amp;nopid=4084530948")</f>
        <v>https://organic.ams.usda.gov/Integrity/Certificate.aspx?cid=17&amp;nopid=4084530948</v>
      </c>
    </row>
    <row r="1826">
      <c r="A1826" t="s">
        <v>3</v>
      </c>
      <c r="B1826" s="6" t="s">
        <v>18</v>
      </c>
      <c r="C1826" s="6" t="s">
        <v>84</v>
      </c>
      <c r="D1826" s="6" t="s">
        <v>149</v>
      </c>
      <c r="E1826" s="10" t="s">
        <v>2024</v>
      </c>
      <c r="F1826" s="6" t="s">
        <v>4246</v>
      </c>
      <c r="G1826" s="6" t="s">
        <v>104</v>
      </c>
      <c r="H1826" s="6" t="s">
        <v>6548</v>
      </c>
      <c r="I1826" s="6" t="s">
        <v>7138</v>
      </c>
      <c r="J1826" s="6" t="s">
        <v>9440</v>
      </c>
      <c r="K1826" s="6" t="s">
        <v>9714</v>
      </c>
      <c r="L1826" s="16" t="n">
        <v>40472</v>
      </c>
      <c r="M1826" s="16" t="n">
        <v>45870</v>
      </c>
      <c r="N1826" s="6" t="s">
        <v>9714</v>
      </c>
      <c r="O1826" s="16" t="n">
        <v>40472</v>
      </c>
      <c r="P1826" s="6" t="s">
        <v>10201</v>
      </c>
      <c r="Q1826" s="6" t="s">
        <v>104</v>
      </c>
      <c r="R1826" s="6" t="s">
        <v>10433</v>
      </c>
      <c r="S1826" s="6" t="s">
        <v>9714</v>
      </c>
      <c r="T1826" s="16" t="n">
        <v>40472</v>
      </c>
      <c r="U1826" s="6" t="s">
        <v>10500</v>
      </c>
      <c r="V1826" s="6" t="s">
        <v>104</v>
      </c>
      <c r="W1826" s="6" t="s">
        <v>10433</v>
      </c>
      <c r="X1826" s="6" t="s">
        <v>104</v>
      </c>
      <c r="Y1826" s="21" t="s">
        <v>104</v>
      </c>
      <c r="Z1826" s="6" t="s">
        <v>104</v>
      </c>
      <c r="AA1826" s="6" t="s">
        <v>104</v>
      </c>
      <c r="AB1826" s="6" t="s">
        <v>104</v>
      </c>
      <c r="AC1826" s="6" t="s">
        <v>9714</v>
      </c>
      <c r="AD1826" s="16" t="n">
        <v>42338</v>
      </c>
      <c r="AE1826" s="6" t="s">
        <v>12110</v>
      </c>
      <c r="AF1826" s="6" t="s">
        <v>104</v>
      </c>
      <c r="AG1826" s="6" t="s">
        <v>13040</v>
      </c>
      <c r="AH1826" s="6" t="s">
        <v>14826</v>
      </c>
      <c r="AI1826" s="6" t="s">
        <v>104</v>
      </c>
      <c r="AJ1826" s="6" t="s">
        <v>16465</v>
      </c>
      <c r="AK1826" s="6" t="s">
        <v>16738</v>
      </c>
      <c r="AL1826" s="6" t="s">
        <v>16931</v>
      </c>
      <c r="AM1826" s="6" t="s">
        <v>18192</v>
      </c>
      <c r="AN1826" s="6" t="s">
        <v>18551</v>
      </c>
      <c r="AO1826" s="6" t="s">
        <v>18892</v>
      </c>
      <c r="AP1826" s="6" t="s">
        <v>104</v>
      </c>
      <c r="AQ1826" s="6" t="s">
        <v>104</v>
      </c>
      <c r="AR1826" s="6" t="s">
        <v>104</v>
      </c>
      <c r="AS1826" s="6" t="s">
        <v>104</v>
      </c>
      <c r="AT1826" s="6" t="s">
        <v>104</v>
      </c>
      <c r="AU1826" s="6" t="s">
        <v>104</v>
      </c>
      <c r="AV1826" s="6" t="s">
        <v>104</v>
      </c>
      <c r="AW1826" s="6" t="s">
        <v>104</v>
      </c>
      <c r="AX1826" s="6" t="s">
        <v>21539</v>
      </c>
      <c r="AY1826" s="6" t="s">
        <v>23345</v>
      </c>
      <c r="AZ1826" s="6" t="s">
        <v>104</v>
      </c>
      <c r="BA1826" s="6" t="s">
        <v>104</v>
      </c>
      <c r="BB1826" s="24" t="n">
        <v>146</v>
      </c>
      <c r="BC1826" s="26"/>
      <c r="BD1826" s="26"/>
      <c r="BE1826" s="26"/>
      <c r="BF1826" s="26"/>
      <c r="BG1826" s="26"/>
      <c r="BH1826" s="26"/>
      <c r="BI1826" s="26"/>
      <c r="BJ1826" s="26"/>
      <c r="BK1826" s="26"/>
      <c r="BL1826" s="26"/>
      <c r="BM1826" s="26"/>
      <c r="BN1826" s="26"/>
      <c r="BO1826" s="26"/>
      <c r="BP1826" s="16" t="n">
        <v>45737</v>
      </c>
      <c r="BQ1826" s="28" t="str">
        <f>HYPERLINK("https://organic.ams.usda.gov/Integrity/Certificate.aspx?cid=31&amp;nopid=3928971002")</f>
        <v>https://organic.ams.usda.gov/Integrity/Certificate.aspx?cid=31&amp;nopid=3928971002</v>
      </c>
    </row>
    <row r="1827">
      <c r="A1827" t="s">
        <v>3</v>
      </c>
      <c r="B1827" s="6" t="s">
        <v>54</v>
      </c>
      <c r="C1827" s="6" t="s">
        <v>120</v>
      </c>
      <c r="D1827" s="6" t="s">
        <v>184</v>
      </c>
      <c r="E1827" s="10" t="s">
        <v>2025</v>
      </c>
      <c r="F1827" s="6" t="s">
        <v>4247</v>
      </c>
      <c r="G1827" s="6" t="s">
        <v>104</v>
      </c>
      <c r="H1827" s="6" t="s">
        <v>6549</v>
      </c>
      <c r="I1827" s="6" t="s">
        <v>7487</v>
      </c>
      <c r="J1827" s="6" t="s">
        <v>9441</v>
      </c>
      <c r="K1827" s="6" t="s">
        <v>9714</v>
      </c>
      <c r="L1827" s="16" t="n">
        <v>45681</v>
      </c>
      <c r="M1827" s="16" t="n">
        <v>45809</v>
      </c>
      <c r="N1827" s="6" t="s">
        <v>104</v>
      </c>
      <c r="O1827" s="21" t="s">
        <v>104</v>
      </c>
      <c r="P1827" s="6" t="s">
        <v>104</v>
      </c>
      <c r="Q1827" s="6" t="s">
        <v>104</v>
      </c>
      <c r="R1827" s="6" t="s">
        <v>104</v>
      </c>
      <c r="S1827" s="6" t="s">
        <v>104</v>
      </c>
      <c r="T1827" s="21" t="s">
        <v>104</v>
      </c>
      <c r="U1827" s="6" t="s">
        <v>104</v>
      </c>
      <c r="V1827" s="6" t="s">
        <v>104</v>
      </c>
      <c r="W1827" s="6" t="s">
        <v>104</v>
      </c>
      <c r="X1827" s="6" t="s">
        <v>104</v>
      </c>
      <c r="Y1827" s="21" t="s">
        <v>104</v>
      </c>
      <c r="Z1827" s="6" t="s">
        <v>104</v>
      </c>
      <c r="AA1827" s="6" t="s">
        <v>104</v>
      </c>
      <c r="AB1827" s="6" t="s">
        <v>104</v>
      </c>
      <c r="AC1827" s="6" t="s">
        <v>9714</v>
      </c>
      <c r="AD1827" s="16" t="n">
        <v>45681</v>
      </c>
      <c r="AE1827" s="6" t="s">
        <v>12111</v>
      </c>
      <c r="AF1827" s="6" t="s">
        <v>104</v>
      </c>
      <c r="AG1827" s="6" t="s">
        <v>104</v>
      </c>
      <c r="AH1827" s="6" t="s">
        <v>14827</v>
      </c>
      <c r="AI1827" s="6" t="s">
        <v>104</v>
      </c>
      <c r="AJ1827" s="6" t="s">
        <v>16466</v>
      </c>
      <c r="AK1827" s="6" t="s">
        <v>16888</v>
      </c>
      <c r="AL1827" s="6" t="s">
        <v>16958</v>
      </c>
      <c r="AM1827" s="6" t="s">
        <v>18193</v>
      </c>
      <c r="AN1827" s="6" t="s">
        <v>104</v>
      </c>
      <c r="AO1827" s="6" t="s">
        <v>104</v>
      </c>
      <c r="AP1827" s="6" t="s">
        <v>104</v>
      </c>
      <c r="AQ1827" s="6" t="s">
        <v>104</v>
      </c>
      <c r="AR1827" s="6" t="s">
        <v>104</v>
      </c>
      <c r="AS1827" s="6" t="s">
        <v>104</v>
      </c>
      <c r="AT1827" s="6" t="s">
        <v>104</v>
      </c>
      <c r="AU1827" s="6" t="s">
        <v>104</v>
      </c>
      <c r="AV1827" s="6" t="s">
        <v>104</v>
      </c>
      <c r="AW1827" s="6" t="s">
        <v>104</v>
      </c>
      <c r="AX1827" s="6" t="s">
        <v>21540</v>
      </c>
      <c r="AY1827" s="6" t="s">
        <v>23346</v>
      </c>
      <c r="AZ1827" s="6" t="s">
        <v>104</v>
      </c>
      <c r="BA1827" s="6" t="s">
        <v>24267</v>
      </c>
      <c r="BB1827" s="6" t="s">
        <v>104</v>
      </c>
      <c r="BC1827" s="26"/>
      <c r="BD1827" s="26"/>
      <c r="BE1827" s="26"/>
      <c r="BF1827" s="26"/>
      <c r="BG1827" s="26"/>
      <c r="BH1827" s="26" t="s">
        <v>24533</v>
      </c>
      <c r="BI1827" s="26"/>
      <c r="BJ1827" s="26"/>
      <c r="BK1827" s="26"/>
      <c r="BL1827" s="26"/>
      <c r="BM1827" s="26"/>
      <c r="BN1827" s="26"/>
      <c r="BO1827" s="26"/>
      <c r="BP1827" s="16" t="n">
        <v>45684</v>
      </c>
      <c r="BQ1827" s="28" t="str">
        <f>HYPERLINK("https://organic.ams.usda.gov/Integrity/Certificate.aspx?cid=60&amp;nopid=2580007008")</f>
        <v>https://organic.ams.usda.gov/Integrity/Certificate.aspx?cid=60&amp;nopid=2580007008</v>
      </c>
    </row>
    <row r="1828">
      <c r="A1828" t="s">
        <v>3</v>
      </c>
      <c r="B1828" s="6" t="s">
        <v>11</v>
      </c>
      <c r="C1828" s="6" t="s">
        <v>77</v>
      </c>
      <c r="D1828" s="6" t="s">
        <v>142</v>
      </c>
      <c r="E1828" s="10" t="s">
        <v>2026</v>
      </c>
      <c r="F1828" s="6" t="s">
        <v>4248</v>
      </c>
      <c r="G1828" s="6" t="s">
        <v>104</v>
      </c>
      <c r="H1828" s="6" t="s">
        <v>104</v>
      </c>
      <c r="I1828" s="6" t="s">
        <v>7373</v>
      </c>
      <c r="J1828" s="6" t="s">
        <v>8656</v>
      </c>
      <c r="K1828" s="6" t="s">
        <v>9714</v>
      </c>
      <c r="L1828" s="16" t="n">
        <v>45250</v>
      </c>
      <c r="M1828" s="16" t="n">
        <v>45616</v>
      </c>
      <c r="N1828" s="6" t="s">
        <v>104</v>
      </c>
      <c r="O1828" s="21" t="s">
        <v>104</v>
      </c>
      <c r="P1828" s="6" t="s">
        <v>104</v>
      </c>
      <c r="Q1828" s="6" t="s">
        <v>104</v>
      </c>
      <c r="R1828" s="6" t="s">
        <v>104</v>
      </c>
      <c r="S1828" s="6" t="s">
        <v>104</v>
      </c>
      <c r="T1828" s="21" t="s">
        <v>104</v>
      </c>
      <c r="U1828" s="6" t="s">
        <v>104</v>
      </c>
      <c r="V1828" s="6" t="s">
        <v>104</v>
      </c>
      <c r="W1828" s="6" t="s">
        <v>104</v>
      </c>
      <c r="X1828" s="6" t="s">
        <v>104</v>
      </c>
      <c r="Y1828" s="21" t="s">
        <v>104</v>
      </c>
      <c r="Z1828" s="6" t="s">
        <v>104</v>
      </c>
      <c r="AA1828" s="6" t="s">
        <v>104</v>
      </c>
      <c r="AB1828" s="6" t="s">
        <v>104</v>
      </c>
      <c r="AC1828" s="6" t="s">
        <v>9714</v>
      </c>
      <c r="AD1828" s="16" t="n">
        <v>45250</v>
      </c>
      <c r="AE1828" s="6" t="s">
        <v>12112</v>
      </c>
      <c r="AF1828" s="6" t="s">
        <v>104</v>
      </c>
      <c r="AG1828" s="6" t="s">
        <v>104</v>
      </c>
      <c r="AH1828" s="6" t="s">
        <v>14828</v>
      </c>
      <c r="AI1828" s="6" t="s">
        <v>104</v>
      </c>
      <c r="AJ1828" s="6" t="s">
        <v>104</v>
      </c>
      <c r="AK1828" s="6" t="s">
        <v>104</v>
      </c>
      <c r="AL1828" s="6" t="s">
        <v>16940</v>
      </c>
      <c r="AM1828" s="6" t="s">
        <v>104</v>
      </c>
      <c r="AN1828" s="6" t="s">
        <v>104</v>
      </c>
      <c r="AO1828" s="6" t="s">
        <v>104</v>
      </c>
      <c r="AP1828" s="6" t="s">
        <v>104</v>
      </c>
      <c r="AQ1828" s="6" t="s">
        <v>104</v>
      </c>
      <c r="AR1828" s="6" t="s">
        <v>104</v>
      </c>
      <c r="AS1828" s="6" t="s">
        <v>104</v>
      </c>
      <c r="AT1828" s="6" t="s">
        <v>104</v>
      </c>
      <c r="AU1828" s="6" t="s">
        <v>104</v>
      </c>
      <c r="AV1828" s="6" t="s">
        <v>104</v>
      </c>
      <c r="AW1828" s="6" t="s">
        <v>104</v>
      </c>
      <c r="AX1828" s="6" t="s">
        <v>21541</v>
      </c>
      <c r="AY1828" s="6" t="s">
        <v>22418</v>
      </c>
      <c r="AZ1828" s="6" t="s">
        <v>104</v>
      </c>
      <c r="BA1828" s="6" t="s">
        <v>104</v>
      </c>
      <c r="BB1828" s="6" t="s">
        <v>104</v>
      </c>
      <c r="BC1828" s="26"/>
      <c r="BD1828" s="26"/>
      <c r="BE1828" s="26"/>
      <c r="BF1828" s="26"/>
      <c r="BG1828" s="26"/>
      <c r="BH1828" s="26"/>
      <c r="BI1828" s="26"/>
      <c r="BJ1828" s="26"/>
      <c r="BK1828" s="26"/>
      <c r="BL1828" s="26"/>
      <c r="BM1828" s="26"/>
      <c r="BN1828" s="26"/>
      <c r="BO1828" s="26"/>
      <c r="BP1828" s="16" t="n">
        <v>45574</v>
      </c>
      <c r="BQ1828" s="28" t="str">
        <f>HYPERLINK("https://organic.ams.usda.gov/Integrity/Certificate.aspx?cid=21&amp;nopid=1780895085")</f>
        <v>https://organic.ams.usda.gov/Integrity/Certificate.aspx?cid=21&amp;nopid=1780895085</v>
      </c>
    </row>
    <row r="1829">
      <c r="A1829" t="s">
        <v>3</v>
      </c>
      <c r="B1829" s="6" t="s">
        <v>11</v>
      </c>
      <c r="C1829" s="6" t="s">
        <v>77</v>
      </c>
      <c r="D1829" s="6" t="s">
        <v>142</v>
      </c>
      <c r="E1829" s="10" t="s">
        <v>2027</v>
      </c>
      <c r="F1829" s="6" t="s">
        <v>4249</v>
      </c>
      <c r="G1829" s="6" t="s">
        <v>104</v>
      </c>
      <c r="H1829" s="6" t="s">
        <v>104</v>
      </c>
      <c r="I1829" s="6" t="s">
        <v>7951</v>
      </c>
      <c r="J1829" s="6" t="s">
        <v>9442</v>
      </c>
      <c r="K1829" s="6" t="s">
        <v>9714</v>
      </c>
      <c r="L1829" s="16" t="n">
        <v>43564</v>
      </c>
      <c r="M1829" s="16" t="n">
        <v>45765</v>
      </c>
      <c r="N1829" s="6" t="s">
        <v>9714</v>
      </c>
      <c r="O1829" s="16" t="n">
        <v>43564</v>
      </c>
      <c r="P1829" s="6" t="s">
        <v>10127</v>
      </c>
      <c r="Q1829" s="6" t="s">
        <v>104</v>
      </c>
      <c r="R1829" s="6" t="s">
        <v>104</v>
      </c>
      <c r="S1829" s="6" t="s">
        <v>104</v>
      </c>
      <c r="T1829" s="21" t="s">
        <v>104</v>
      </c>
      <c r="U1829" s="6" t="s">
        <v>104</v>
      </c>
      <c r="V1829" s="6" t="s">
        <v>104</v>
      </c>
      <c r="W1829" s="6" t="s">
        <v>104</v>
      </c>
      <c r="X1829" s="6" t="s">
        <v>104</v>
      </c>
      <c r="Y1829" s="21" t="s">
        <v>104</v>
      </c>
      <c r="Z1829" s="6" t="s">
        <v>104</v>
      </c>
      <c r="AA1829" s="6" t="s">
        <v>104</v>
      </c>
      <c r="AB1829" s="6" t="s">
        <v>104</v>
      </c>
      <c r="AC1829" s="6" t="s">
        <v>9714</v>
      </c>
      <c r="AD1829" s="16" t="n">
        <v>43564</v>
      </c>
      <c r="AE1829" s="6" t="s">
        <v>12113</v>
      </c>
      <c r="AF1829" s="6" t="s">
        <v>104</v>
      </c>
      <c r="AG1829" s="6" t="s">
        <v>104</v>
      </c>
      <c r="AH1829" s="6" t="s">
        <v>14829</v>
      </c>
      <c r="AI1829" s="6" t="s">
        <v>104</v>
      </c>
      <c r="AJ1829" s="6" t="s">
        <v>104</v>
      </c>
      <c r="AK1829" s="6" t="s">
        <v>104</v>
      </c>
      <c r="AL1829" s="6" t="s">
        <v>16940</v>
      </c>
      <c r="AM1829" s="6" t="s">
        <v>104</v>
      </c>
      <c r="AN1829" s="6" t="s">
        <v>104</v>
      </c>
      <c r="AO1829" s="6" t="s">
        <v>104</v>
      </c>
      <c r="AP1829" s="6" t="s">
        <v>104</v>
      </c>
      <c r="AQ1829" s="6" t="s">
        <v>104</v>
      </c>
      <c r="AR1829" s="6" t="s">
        <v>104</v>
      </c>
      <c r="AS1829" s="6" t="s">
        <v>104</v>
      </c>
      <c r="AT1829" s="6" t="s">
        <v>104</v>
      </c>
      <c r="AU1829" s="6" t="s">
        <v>104</v>
      </c>
      <c r="AV1829" s="6" t="s">
        <v>104</v>
      </c>
      <c r="AW1829" s="6" t="s">
        <v>104</v>
      </c>
      <c r="AX1829" s="6" t="s">
        <v>21542</v>
      </c>
      <c r="AY1829" s="6" t="s">
        <v>23347</v>
      </c>
      <c r="AZ1829" s="6" t="s">
        <v>104</v>
      </c>
      <c r="BA1829" s="6" t="s">
        <v>104</v>
      </c>
      <c r="BB1829" s="24" t="n">
        <v>9013</v>
      </c>
      <c r="BC1829" s="26"/>
      <c r="BD1829" s="26"/>
      <c r="BE1829" s="26"/>
      <c r="BF1829" s="26"/>
      <c r="BG1829" s="26"/>
      <c r="BH1829" s="26"/>
      <c r="BI1829" s="26"/>
      <c r="BJ1829" s="26"/>
      <c r="BK1829" s="26"/>
      <c r="BL1829" s="26"/>
      <c r="BM1829" s="26"/>
      <c r="BN1829" s="26"/>
      <c r="BO1829" s="26"/>
      <c r="BP1829" s="16" t="n">
        <v>45505</v>
      </c>
      <c r="BQ1829" s="28" t="str">
        <f>HYPERLINK("https://organic.ams.usda.gov/Integrity/Certificate.aspx?cid=21&amp;nopid=1780858741")</f>
        <v>https://organic.ams.usda.gov/Integrity/Certificate.aspx?cid=21&amp;nopid=1780858741</v>
      </c>
    </row>
    <row r="1830">
      <c r="A1830" t="s">
        <v>3</v>
      </c>
      <c r="B1830" s="6" t="s">
        <v>11</v>
      </c>
      <c r="C1830" s="6" t="s">
        <v>77</v>
      </c>
      <c r="D1830" s="6" t="s">
        <v>142</v>
      </c>
      <c r="E1830" s="10" t="s">
        <v>2028</v>
      </c>
      <c r="F1830" s="6" t="s">
        <v>4250</v>
      </c>
      <c r="G1830" s="6" t="s">
        <v>104</v>
      </c>
      <c r="H1830" s="6" t="s">
        <v>104</v>
      </c>
      <c r="I1830" s="6" t="s">
        <v>7952</v>
      </c>
      <c r="J1830" s="6" t="s">
        <v>9443</v>
      </c>
      <c r="K1830" s="6" t="s">
        <v>9714</v>
      </c>
      <c r="L1830" s="16" t="n">
        <v>38733</v>
      </c>
      <c r="M1830" s="16" t="n">
        <v>45717</v>
      </c>
      <c r="N1830" s="6" t="s">
        <v>104</v>
      </c>
      <c r="O1830" s="21" t="s">
        <v>104</v>
      </c>
      <c r="P1830" s="6" t="s">
        <v>104</v>
      </c>
      <c r="Q1830" s="6" t="s">
        <v>104</v>
      </c>
      <c r="R1830" s="6" t="s">
        <v>104</v>
      </c>
      <c r="S1830" s="6" t="s">
        <v>104</v>
      </c>
      <c r="T1830" s="21" t="s">
        <v>104</v>
      </c>
      <c r="U1830" s="6" t="s">
        <v>104</v>
      </c>
      <c r="V1830" s="6" t="s">
        <v>104</v>
      </c>
      <c r="W1830" s="6" t="s">
        <v>104</v>
      </c>
      <c r="X1830" s="6" t="s">
        <v>104</v>
      </c>
      <c r="Y1830" s="21" t="s">
        <v>104</v>
      </c>
      <c r="Z1830" s="6" t="s">
        <v>104</v>
      </c>
      <c r="AA1830" s="6" t="s">
        <v>104</v>
      </c>
      <c r="AB1830" s="6" t="s">
        <v>104</v>
      </c>
      <c r="AC1830" s="6" t="s">
        <v>9714</v>
      </c>
      <c r="AD1830" s="16" t="n">
        <v>38733</v>
      </c>
      <c r="AE1830" s="6" t="s">
        <v>12114</v>
      </c>
      <c r="AF1830" s="6" t="s">
        <v>104</v>
      </c>
      <c r="AG1830" s="6" t="s">
        <v>104</v>
      </c>
      <c r="AH1830" s="6" t="s">
        <v>14830</v>
      </c>
      <c r="AI1830" s="6" t="s">
        <v>104</v>
      </c>
      <c r="AJ1830" s="6" t="s">
        <v>104</v>
      </c>
      <c r="AK1830" s="6" t="s">
        <v>104</v>
      </c>
      <c r="AL1830" s="6" t="s">
        <v>16940</v>
      </c>
      <c r="AM1830" s="6" t="s">
        <v>104</v>
      </c>
      <c r="AN1830" s="6" t="s">
        <v>104</v>
      </c>
      <c r="AO1830" s="6" t="s">
        <v>104</v>
      </c>
      <c r="AP1830" s="6" t="s">
        <v>104</v>
      </c>
      <c r="AQ1830" s="6" t="s">
        <v>104</v>
      </c>
      <c r="AR1830" s="6" t="s">
        <v>104</v>
      </c>
      <c r="AS1830" s="6" t="s">
        <v>104</v>
      </c>
      <c r="AT1830" s="6" t="s">
        <v>104</v>
      </c>
      <c r="AU1830" s="6" t="s">
        <v>104</v>
      </c>
      <c r="AV1830" s="6" t="s">
        <v>104</v>
      </c>
      <c r="AW1830" s="6" t="s">
        <v>104</v>
      </c>
      <c r="AX1830" s="6" t="s">
        <v>21543</v>
      </c>
      <c r="AY1830" s="6" t="s">
        <v>23348</v>
      </c>
      <c r="AZ1830" s="6" t="s">
        <v>104</v>
      </c>
      <c r="BA1830" s="6" t="s">
        <v>104</v>
      </c>
      <c r="BB1830" s="6" t="s">
        <v>104</v>
      </c>
      <c r="BC1830" s="26"/>
      <c r="BD1830" s="26"/>
      <c r="BE1830" s="26"/>
      <c r="BF1830" s="26"/>
      <c r="BG1830" s="26"/>
      <c r="BH1830" s="26"/>
      <c r="BI1830" s="26"/>
      <c r="BJ1830" s="26"/>
      <c r="BK1830" s="26"/>
      <c r="BL1830" s="26"/>
      <c r="BM1830" s="26"/>
      <c r="BN1830" s="26"/>
      <c r="BO1830" s="26"/>
      <c r="BP1830" s="16" t="n">
        <v>45472</v>
      </c>
      <c r="BQ1830" s="28" t="str">
        <f>HYPERLINK("https://organic.ams.usda.gov/Integrity/Certificate.aspx?cid=21&amp;nopid=1780803344")</f>
        <v>https://organic.ams.usda.gov/Integrity/Certificate.aspx?cid=21&amp;nopid=1780803344</v>
      </c>
    </row>
    <row r="1831">
      <c r="A1831" t="s">
        <v>3</v>
      </c>
      <c r="B1831" s="6" t="s">
        <v>55</v>
      </c>
      <c r="C1831" s="6" t="s">
        <v>121</v>
      </c>
      <c r="D1831" s="6" t="s">
        <v>185</v>
      </c>
      <c r="E1831" s="10" t="s">
        <v>2029</v>
      </c>
      <c r="F1831" s="6" t="s">
        <v>4251</v>
      </c>
      <c r="G1831" s="6" t="s">
        <v>104</v>
      </c>
      <c r="H1831" s="6" t="s">
        <v>6550</v>
      </c>
      <c r="I1831" s="6" t="s">
        <v>7722</v>
      </c>
      <c r="J1831" s="6" t="s">
        <v>9444</v>
      </c>
      <c r="K1831" s="6" t="s">
        <v>9714</v>
      </c>
      <c r="L1831" s="16" t="n">
        <v>45714</v>
      </c>
      <c r="M1831" s="16" t="n">
        <v>46017</v>
      </c>
      <c r="N1831" s="6" t="s">
        <v>104</v>
      </c>
      <c r="O1831" s="21" t="s">
        <v>104</v>
      </c>
      <c r="P1831" s="6" t="s">
        <v>104</v>
      </c>
      <c r="Q1831" s="6" t="s">
        <v>104</v>
      </c>
      <c r="R1831" s="6" t="s">
        <v>104</v>
      </c>
      <c r="S1831" s="6" t="s">
        <v>104</v>
      </c>
      <c r="T1831" s="21" t="s">
        <v>104</v>
      </c>
      <c r="U1831" s="6" t="s">
        <v>104</v>
      </c>
      <c r="V1831" s="6" t="s">
        <v>104</v>
      </c>
      <c r="W1831" s="6" t="s">
        <v>104</v>
      </c>
      <c r="X1831" s="6" t="s">
        <v>104</v>
      </c>
      <c r="Y1831" s="21" t="s">
        <v>104</v>
      </c>
      <c r="Z1831" s="6" t="s">
        <v>104</v>
      </c>
      <c r="AA1831" s="6" t="s">
        <v>104</v>
      </c>
      <c r="AB1831" s="6" t="s">
        <v>104</v>
      </c>
      <c r="AC1831" s="6" t="s">
        <v>9714</v>
      </c>
      <c r="AD1831" s="16" t="n">
        <v>45714</v>
      </c>
      <c r="AE1831" s="6" t="s">
        <v>12115</v>
      </c>
      <c r="AF1831" s="6" t="s">
        <v>104</v>
      </c>
      <c r="AG1831" s="6" t="s">
        <v>6550</v>
      </c>
      <c r="AH1831" s="6" t="s">
        <v>14831</v>
      </c>
      <c r="AI1831" s="6" t="s">
        <v>104</v>
      </c>
      <c r="AJ1831" s="6" t="s">
        <v>15586</v>
      </c>
      <c r="AK1831" s="6" t="s">
        <v>16889</v>
      </c>
      <c r="AL1831" s="6" t="s">
        <v>16958</v>
      </c>
      <c r="AM1831" s="6" t="s">
        <v>18194</v>
      </c>
      <c r="AN1831" s="6" t="s">
        <v>104</v>
      </c>
      <c r="AO1831" s="6" t="s">
        <v>104</v>
      </c>
      <c r="AP1831" s="6" t="s">
        <v>14831</v>
      </c>
      <c r="AQ1831" s="6" t="s">
        <v>104</v>
      </c>
      <c r="AR1831" s="6" t="s">
        <v>15586</v>
      </c>
      <c r="AS1831" s="6" t="s">
        <v>16889</v>
      </c>
      <c r="AT1831" s="6" t="s">
        <v>16958</v>
      </c>
      <c r="AU1831" s="6" t="s">
        <v>18194</v>
      </c>
      <c r="AV1831" s="6" t="s">
        <v>104</v>
      </c>
      <c r="AW1831" s="6" t="s">
        <v>104</v>
      </c>
      <c r="AX1831" s="6" t="s">
        <v>21544</v>
      </c>
      <c r="AY1831" s="6" t="s">
        <v>23349</v>
      </c>
      <c r="AZ1831" s="6" t="s">
        <v>24146</v>
      </c>
      <c r="BA1831" s="6" t="s">
        <v>24363</v>
      </c>
      <c r="BB1831" s="6" t="s">
        <v>104</v>
      </c>
      <c r="BC1831" s="26"/>
      <c r="BD1831" s="26"/>
      <c r="BE1831" s="26"/>
      <c r="BF1831" s="26"/>
      <c r="BG1831" s="26" t="s">
        <v>24533</v>
      </c>
      <c r="BH1831" s="26"/>
      <c r="BI1831" s="26"/>
      <c r="BJ1831" s="26"/>
      <c r="BK1831" s="26"/>
      <c r="BL1831" s="26"/>
      <c r="BM1831" s="26"/>
      <c r="BN1831" s="26"/>
      <c r="BO1831" s="26"/>
      <c r="BP1831" s="16" t="n">
        <v>45728</v>
      </c>
      <c r="BQ1831" s="28" t="str">
        <f>HYPERLINK("https://organic.ams.usda.gov/Integrity/Certificate.aspx?cid=70&amp;nopid=6436001680")</f>
        <v>https://organic.ams.usda.gov/Integrity/Certificate.aspx?cid=70&amp;nopid=6436001680</v>
      </c>
    </row>
    <row r="1832">
      <c r="A1832" t="s">
        <v>3</v>
      </c>
      <c r="B1832" s="6" t="s">
        <v>11</v>
      </c>
      <c r="C1832" s="6" t="s">
        <v>77</v>
      </c>
      <c r="D1832" s="6" t="s">
        <v>142</v>
      </c>
      <c r="E1832" s="10" t="s">
        <v>2030</v>
      </c>
      <c r="F1832" s="6" t="s">
        <v>4252</v>
      </c>
      <c r="G1832" s="6" t="s">
        <v>104</v>
      </c>
      <c r="H1832" s="6" t="s">
        <v>6551</v>
      </c>
      <c r="I1832" s="6" t="s">
        <v>7953</v>
      </c>
      <c r="J1832" s="6" t="s">
        <v>9445</v>
      </c>
      <c r="K1832" s="6" t="s">
        <v>9714</v>
      </c>
      <c r="L1832" s="16" t="n">
        <v>41109</v>
      </c>
      <c r="M1832" s="16" t="n">
        <v>45731</v>
      </c>
      <c r="N1832" s="6" t="s">
        <v>9714</v>
      </c>
      <c r="O1832" s="16" t="n">
        <v>41109</v>
      </c>
      <c r="P1832" s="6" t="s">
        <v>10202</v>
      </c>
      <c r="Q1832" s="6" t="s">
        <v>104</v>
      </c>
      <c r="R1832" s="6" t="s">
        <v>104</v>
      </c>
      <c r="S1832" s="6" t="s">
        <v>104</v>
      </c>
      <c r="T1832" s="21" t="s">
        <v>104</v>
      </c>
      <c r="U1832" s="6" t="s">
        <v>104</v>
      </c>
      <c r="V1832" s="6" t="s">
        <v>104</v>
      </c>
      <c r="W1832" s="6" t="s">
        <v>104</v>
      </c>
      <c r="X1832" s="6" t="s">
        <v>104</v>
      </c>
      <c r="Y1832" s="21" t="s">
        <v>104</v>
      </c>
      <c r="Z1832" s="6" t="s">
        <v>104</v>
      </c>
      <c r="AA1832" s="6" t="s">
        <v>104</v>
      </c>
      <c r="AB1832" s="6" t="s">
        <v>104</v>
      </c>
      <c r="AC1832" s="6" t="s">
        <v>9714</v>
      </c>
      <c r="AD1832" s="16" t="n">
        <v>41109</v>
      </c>
      <c r="AE1832" s="6" t="s">
        <v>12116</v>
      </c>
      <c r="AF1832" s="6" t="s">
        <v>104</v>
      </c>
      <c r="AG1832" s="6" t="s">
        <v>104</v>
      </c>
      <c r="AH1832" s="6" t="s">
        <v>14832</v>
      </c>
      <c r="AI1832" s="6" t="s">
        <v>104</v>
      </c>
      <c r="AJ1832" s="6" t="s">
        <v>104</v>
      </c>
      <c r="AK1832" s="6" t="s">
        <v>104</v>
      </c>
      <c r="AL1832" s="6" t="s">
        <v>16940</v>
      </c>
      <c r="AM1832" s="6" t="s">
        <v>104</v>
      </c>
      <c r="AN1832" s="6" t="s">
        <v>104</v>
      </c>
      <c r="AO1832" s="6" t="s">
        <v>104</v>
      </c>
      <c r="AP1832" s="6" t="s">
        <v>104</v>
      </c>
      <c r="AQ1832" s="6" t="s">
        <v>104</v>
      </c>
      <c r="AR1832" s="6" t="s">
        <v>104</v>
      </c>
      <c r="AS1832" s="6" t="s">
        <v>104</v>
      </c>
      <c r="AT1832" s="6" t="s">
        <v>104</v>
      </c>
      <c r="AU1832" s="6" t="s">
        <v>104</v>
      </c>
      <c r="AV1832" s="6" t="s">
        <v>104</v>
      </c>
      <c r="AW1832" s="6" t="s">
        <v>104</v>
      </c>
      <c r="AX1832" s="6" t="s">
        <v>21545</v>
      </c>
      <c r="AY1832" s="6" t="s">
        <v>23350</v>
      </c>
      <c r="AZ1832" s="6" t="s">
        <v>104</v>
      </c>
      <c r="BA1832" s="6" t="s">
        <v>104</v>
      </c>
      <c r="BB1832" s="24" t="n">
        <v>5211</v>
      </c>
      <c r="BC1832" s="26"/>
      <c r="BD1832" s="26"/>
      <c r="BE1832" s="26"/>
      <c r="BF1832" s="26"/>
      <c r="BG1832" s="26"/>
      <c r="BH1832" s="26"/>
      <c r="BI1832" s="26"/>
      <c r="BJ1832" s="26"/>
      <c r="BK1832" s="26"/>
      <c r="BL1832" s="26"/>
      <c r="BM1832" s="26"/>
      <c r="BN1832" s="26"/>
      <c r="BO1832" s="26" t="s">
        <v>24533</v>
      </c>
      <c r="BP1832" s="16" t="n">
        <v>45723</v>
      </c>
      <c r="BQ1832" s="28" t="str">
        <f>HYPERLINK("https://organic.ams.usda.gov/Integrity/Certificate.aspx?cid=21&amp;nopid=1780801879")</f>
        <v>https://organic.ams.usda.gov/Integrity/Certificate.aspx?cid=21&amp;nopid=1780801879</v>
      </c>
    </row>
    <row r="1833">
      <c r="A1833" t="s">
        <v>3</v>
      </c>
      <c r="B1833" s="6" t="s">
        <v>11</v>
      </c>
      <c r="C1833" s="6" t="s">
        <v>77</v>
      </c>
      <c r="D1833" s="6" t="s">
        <v>142</v>
      </c>
      <c r="E1833" s="10" t="s">
        <v>2031</v>
      </c>
      <c r="F1833" s="6" t="s">
        <v>4253</v>
      </c>
      <c r="G1833" s="6" t="s">
        <v>104</v>
      </c>
      <c r="H1833" s="6" t="s">
        <v>6552</v>
      </c>
      <c r="I1833" s="6" t="s">
        <v>7954</v>
      </c>
      <c r="J1833" s="6" t="s">
        <v>9446</v>
      </c>
      <c r="K1833" s="6" t="s">
        <v>9714</v>
      </c>
      <c r="L1833" s="16" t="n">
        <v>42986</v>
      </c>
      <c r="M1833" s="16" t="n">
        <v>45931</v>
      </c>
      <c r="N1833" s="6" t="s">
        <v>9714</v>
      </c>
      <c r="O1833" s="16" t="n">
        <v>42986</v>
      </c>
      <c r="P1833" s="6" t="s">
        <v>10203</v>
      </c>
      <c r="Q1833" s="6" t="s">
        <v>104</v>
      </c>
      <c r="R1833" s="6" t="s">
        <v>104</v>
      </c>
      <c r="S1833" s="6" t="s">
        <v>104</v>
      </c>
      <c r="T1833" s="21" t="s">
        <v>104</v>
      </c>
      <c r="U1833" s="6" t="s">
        <v>104</v>
      </c>
      <c r="V1833" s="6" t="s">
        <v>104</v>
      </c>
      <c r="W1833" s="6" t="s">
        <v>104</v>
      </c>
      <c r="X1833" s="6" t="s">
        <v>104</v>
      </c>
      <c r="Y1833" s="21" t="s">
        <v>104</v>
      </c>
      <c r="Z1833" s="6" t="s">
        <v>104</v>
      </c>
      <c r="AA1833" s="6" t="s">
        <v>104</v>
      </c>
      <c r="AB1833" s="6" t="s">
        <v>104</v>
      </c>
      <c r="AC1833" s="6" t="s">
        <v>9714</v>
      </c>
      <c r="AD1833" s="16" t="n">
        <v>42986</v>
      </c>
      <c r="AE1833" s="6" t="s">
        <v>12117</v>
      </c>
      <c r="AF1833" s="6" t="s">
        <v>104</v>
      </c>
      <c r="AG1833" s="6" t="s">
        <v>104</v>
      </c>
      <c r="AH1833" s="6" t="s">
        <v>14833</v>
      </c>
      <c r="AI1833" s="6" t="s">
        <v>104</v>
      </c>
      <c r="AJ1833" s="6" t="s">
        <v>16467</v>
      </c>
      <c r="AK1833" s="6" t="s">
        <v>104</v>
      </c>
      <c r="AL1833" s="6" t="s">
        <v>16933</v>
      </c>
      <c r="AM1833" s="6" t="s">
        <v>104</v>
      </c>
      <c r="AN1833" s="6" t="s">
        <v>104</v>
      </c>
      <c r="AO1833" s="6" t="s">
        <v>104</v>
      </c>
      <c r="AP1833" s="6" t="s">
        <v>14833</v>
      </c>
      <c r="AQ1833" s="6" t="s">
        <v>104</v>
      </c>
      <c r="AR1833" s="6" t="s">
        <v>19754</v>
      </c>
      <c r="AS1833" s="6" t="s">
        <v>16467</v>
      </c>
      <c r="AT1833" s="6" t="s">
        <v>16933</v>
      </c>
      <c r="AU1833" s="6" t="s">
        <v>20032</v>
      </c>
      <c r="AV1833" s="6" t="s">
        <v>104</v>
      </c>
      <c r="AW1833" s="6" t="s">
        <v>104</v>
      </c>
      <c r="AX1833" s="6" t="s">
        <v>21546</v>
      </c>
      <c r="AY1833" s="6" t="s">
        <v>23351</v>
      </c>
      <c r="AZ1833" s="6" t="s">
        <v>104</v>
      </c>
      <c r="BA1833" s="6" t="s">
        <v>104</v>
      </c>
      <c r="BB1833" s="24" t="n">
        <v>41</v>
      </c>
      <c r="BC1833" s="26"/>
      <c r="BD1833" s="26"/>
      <c r="BE1833" s="26"/>
      <c r="BF1833" s="26"/>
      <c r="BG1833" s="26"/>
      <c r="BH1833" s="26"/>
      <c r="BI1833" s="26"/>
      <c r="BJ1833" s="26"/>
      <c r="BK1833" s="26"/>
      <c r="BL1833" s="26"/>
      <c r="BM1833" s="26"/>
      <c r="BN1833" s="26"/>
      <c r="BO1833" s="26"/>
      <c r="BP1833" s="16" t="n">
        <v>45684</v>
      </c>
      <c r="BQ1833" s="28" t="str">
        <f>HYPERLINK("https://organic.ams.usda.gov/Integrity/Certificate.aspx?cid=21&amp;nopid=1780814800")</f>
        <v>https://organic.ams.usda.gov/Integrity/Certificate.aspx?cid=21&amp;nopid=1780814800</v>
      </c>
    </row>
    <row r="1834">
      <c r="A1834" t="s">
        <v>3</v>
      </c>
      <c r="B1834" s="6" t="s">
        <v>49</v>
      </c>
      <c r="C1834" s="6" t="s">
        <v>115</v>
      </c>
      <c r="D1834" s="6" t="s">
        <v>179</v>
      </c>
      <c r="E1834" s="10" t="s">
        <v>2032</v>
      </c>
      <c r="F1834" s="6" t="s">
        <v>4254</v>
      </c>
      <c r="G1834" s="6" t="s">
        <v>104</v>
      </c>
      <c r="H1834" s="6" t="s">
        <v>6553</v>
      </c>
      <c r="I1834" s="6" t="s">
        <v>104</v>
      </c>
      <c r="J1834" s="6" t="s">
        <v>104</v>
      </c>
      <c r="K1834" s="6" t="s">
        <v>9714</v>
      </c>
      <c r="L1834" s="16" t="n">
        <v>44924</v>
      </c>
      <c r="M1834" s="16" t="n">
        <v>45910</v>
      </c>
      <c r="N1834" s="6" t="s">
        <v>104</v>
      </c>
      <c r="O1834" s="21" t="s">
        <v>104</v>
      </c>
      <c r="P1834" s="6" t="s">
        <v>104</v>
      </c>
      <c r="Q1834" s="6" t="s">
        <v>104</v>
      </c>
      <c r="R1834" s="6" t="s">
        <v>104</v>
      </c>
      <c r="S1834" s="6" t="s">
        <v>104</v>
      </c>
      <c r="T1834" s="21" t="s">
        <v>104</v>
      </c>
      <c r="U1834" s="6" t="s">
        <v>104</v>
      </c>
      <c r="V1834" s="6" t="s">
        <v>104</v>
      </c>
      <c r="W1834" s="6" t="s">
        <v>104</v>
      </c>
      <c r="X1834" s="6" t="s">
        <v>104</v>
      </c>
      <c r="Y1834" s="21" t="s">
        <v>104</v>
      </c>
      <c r="Z1834" s="6" t="s">
        <v>104</v>
      </c>
      <c r="AA1834" s="6" t="s">
        <v>104</v>
      </c>
      <c r="AB1834" s="6" t="s">
        <v>104</v>
      </c>
      <c r="AC1834" s="6" t="s">
        <v>9714</v>
      </c>
      <c r="AD1834" s="16" t="n">
        <v>44924</v>
      </c>
      <c r="AE1834" s="6" t="s">
        <v>12118</v>
      </c>
      <c r="AF1834" s="6" t="s">
        <v>104</v>
      </c>
      <c r="AG1834" s="6" t="s">
        <v>13041</v>
      </c>
      <c r="AH1834" s="6" t="s">
        <v>14834</v>
      </c>
      <c r="AI1834" s="6" t="s">
        <v>104</v>
      </c>
      <c r="AJ1834" s="6" t="s">
        <v>16468</v>
      </c>
      <c r="AK1834" s="6" t="s">
        <v>104</v>
      </c>
      <c r="AL1834" s="6" t="s">
        <v>16766</v>
      </c>
      <c r="AM1834" s="6" t="s">
        <v>18195</v>
      </c>
      <c r="AN1834" s="6" t="s">
        <v>104</v>
      </c>
      <c r="AO1834" s="6" t="s">
        <v>104</v>
      </c>
      <c r="AP1834" s="6" t="s">
        <v>104</v>
      </c>
      <c r="AQ1834" s="6" t="s">
        <v>104</v>
      </c>
      <c r="AR1834" s="6" t="s">
        <v>104</v>
      </c>
      <c r="AS1834" s="6" t="s">
        <v>104</v>
      </c>
      <c r="AT1834" s="6" t="s">
        <v>104</v>
      </c>
      <c r="AU1834" s="6" t="s">
        <v>104</v>
      </c>
      <c r="AV1834" s="6" t="s">
        <v>104</v>
      </c>
      <c r="AW1834" s="6" t="s">
        <v>104</v>
      </c>
      <c r="AX1834" s="6" t="s">
        <v>104</v>
      </c>
      <c r="AY1834" s="6" t="s">
        <v>104</v>
      </c>
      <c r="AZ1834" s="6" t="s">
        <v>104</v>
      </c>
      <c r="BA1834" s="6" t="s">
        <v>104</v>
      </c>
      <c r="BB1834" s="24" t="n">
        <v>0</v>
      </c>
      <c r="BC1834" s="26"/>
      <c r="BD1834" s="26"/>
      <c r="BE1834" s="26"/>
      <c r="BF1834" s="26"/>
      <c r="BG1834" s="26"/>
      <c r="BH1834" s="26"/>
      <c r="BI1834" s="26"/>
      <c r="BJ1834" s="26"/>
      <c r="BK1834" s="26"/>
      <c r="BL1834" s="26"/>
      <c r="BM1834" s="26"/>
      <c r="BN1834" s="26"/>
      <c r="BO1834" s="26"/>
      <c r="BP1834" s="16" t="n">
        <v>45677</v>
      </c>
      <c r="BQ1834" s="28" t="str">
        <f>HYPERLINK("https://organic.ams.usda.gov/Integrity/Certificate.aspx?cid=12&amp;nopid=8699694324")</f>
        <v>https://organic.ams.usda.gov/Integrity/Certificate.aspx?cid=12&amp;nopid=8699694324</v>
      </c>
    </row>
    <row r="1835">
      <c r="A1835" t="s">
        <v>3</v>
      </c>
      <c r="B1835" s="6" t="s">
        <v>20</v>
      </c>
      <c r="C1835" s="6" t="s">
        <v>86</v>
      </c>
      <c r="D1835" s="6" t="s">
        <v>151</v>
      </c>
      <c r="E1835" s="10" t="s">
        <v>2033</v>
      </c>
      <c r="F1835" s="6" t="s">
        <v>4255</v>
      </c>
      <c r="G1835" s="6" t="s">
        <v>104</v>
      </c>
      <c r="H1835" s="6" t="s">
        <v>6554</v>
      </c>
      <c r="I1835" s="6" t="s">
        <v>7955</v>
      </c>
      <c r="J1835" s="6" t="s">
        <v>7278</v>
      </c>
      <c r="K1835" s="6" t="s">
        <v>9714</v>
      </c>
      <c r="L1835" s="16" t="n">
        <v>45524</v>
      </c>
      <c r="M1835" s="16" t="n">
        <v>45860</v>
      </c>
      <c r="N1835" s="6" t="s">
        <v>104</v>
      </c>
      <c r="O1835" s="21" t="s">
        <v>104</v>
      </c>
      <c r="P1835" s="6" t="s">
        <v>104</v>
      </c>
      <c r="Q1835" s="6" t="s">
        <v>104</v>
      </c>
      <c r="R1835" s="6" t="s">
        <v>104</v>
      </c>
      <c r="S1835" s="6" t="s">
        <v>104</v>
      </c>
      <c r="T1835" s="21" t="s">
        <v>104</v>
      </c>
      <c r="U1835" s="6" t="s">
        <v>104</v>
      </c>
      <c r="V1835" s="6" t="s">
        <v>104</v>
      </c>
      <c r="W1835" s="6" t="s">
        <v>104</v>
      </c>
      <c r="X1835" s="6" t="s">
        <v>104</v>
      </c>
      <c r="Y1835" s="21" t="s">
        <v>104</v>
      </c>
      <c r="Z1835" s="6" t="s">
        <v>104</v>
      </c>
      <c r="AA1835" s="6" t="s">
        <v>104</v>
      </c>
      <c r="AB1835" s="6" t="s">
        <v>104</v>
      </c>
      <c r="AC1835" s="6" t="s">
        <v>9714</v>
      </c>
      <c r="AD1835" s="16" t="n">
        <v>45524</v>
      </c>
      <c r="AE1835" s="6" t="s">
        <v>12119</v>
      </c>
      <c r="AF1835" s="6" t="s">
        <v>104</v>
      </c>
      <c r="AG1835" s="6" t="s">
        <v>13042</v>
      </c>
      <c r="AH1835" s="6" t="s">
        <v>14835</v>
      </c>
      <c r="AI1835" s="6" t="s">
        <v>104</v>
      </c>
      <c r="AJ1835" s="6" t="s">
        <v>104</v>
      </c>
      <c r="AK1835" s="6" t="s">
        <v>16093</v>
      </c>
      <c r="AL1835" s="6" t="s">
        <v>16766</v>
      </c>
      <c r="AM1835" s="6" t="s">
        <v>104</v>
      </c>
      <c r="AN1835" s="6" t="s">
        <v>104</v>
      </c>
      <c r="AO1835" s="6" t="s">
        <v>104</v>
      </c>
      <c r="AP1835" s="6" t="s">
        <v>104</v>
      </c>
      <c r="AQ1835" s="6" t="s">
        <v>104</v>
      </c>
      <c r="AR1835" s="6" t="s">
        <v>104</v>
      </c>
      <c r="AS1835" s="6" t="s">
        <v>104</v>
      </c>
      <c r="AT1835" s="6" t="s">
        <v>104</v>
      </c>
      <c r="AU1835" s="6" t="s">
        <v>104</v>
      </c>
      <c r="AV1835" s="6" t="s">
        <v>104</v>
      </c>
      <c r="AW1835" s="6" t="s">
        <v>104</v>
      </c>
      <c r="AX1835" s="6" t="s">
        <v>21547</v>
      </c>
      <c r="AY1835" s="6" t="s">
        <v>23352</v>
      </c>
      <c r="AZ1835" s="6" t="s">
        <v>104</v>
      </c>
      <c r="BA1835" s="6" t="s">
        <v>104</v>
      </c>
      <c r="BB1835" s="6" t="s">
        <v>104</v>
      </c>
      <c r="BC1835" s="26"/>
      <c r="BD1835" s="26"/>
      <c r="BE1835" s="26"/>
      <c r="BF1835" s="26"/>
      <c r="BG1835" s="26"/>
      <c r="BH1835" s="26"/>
      <c r="BI1835" s="26"/>
      <c r="BJ1835" s="26"/>
      <c r="BK1835" s="26"/>
      <c r="BL1835" s="26"/>
      <c r="BM1835" s="26"/>
      <c r="BN1835" s="26"/>
      <c r="BO1835" s="26"/>
      <c r="BP1835" s="16" t="n">
        <v>45525</v>
      </c>
      <c r="BQ1835" s="28" t="str">
        <f>HYPERLINK("https://organic.ams.usda.gov/Integrity/Certificate.aspx?cid=17&amp;nopid=4080208163")</f>
        <v>https://organic.ams.usda.gov/Integrity/Certificate.aspx?cid=17&amp;nopid=4080208163</v>
      </c>
    </row>
    <row r="1836">
      <c r="A1836" t="s">
        <v>3</v>
      </c>
      <c r="B1836" s="6" t="s">
        <v>24</v>
      </c>
      <c r="C1836" s="6" t="s">
        <v>90</v>
      </c>
      <c r="D1836" s="6" t="s">
        <v>155</v>
      </c>
      <c r="E1836" s="10" t="s">
        <v>2034</v>
      </c>
      <c r="F1836" s="6" t="s">
        <v>4256</v>
      </c>
      <c r="G1836" s="6" t="s">
        <v>104</v>
      </c>
      <c r="H1836" s="6" t="s">
        <v>6555</v>
      </c>
      <c r="I1836" s="6" t="s">
        <v>7956</v>
      </c>
      <c r="J1836" s="6" t="s">
        <v>9447</v>
      </c>
      <c r="K1836" s="6" t="s">
        <v>9714</v>
      </c>
      <c r="L1836" s="16" t="n">
        <v>45540</v>
      </c>
      <c r="M1836" s="16" t="n">
        <v>45807</v>
      </c>
      <c r="N1836" s="6" t="s">
        <v>104</v>
      </c>
      <c r="O1836" s="21" t="s">
        <v>104</v>
      </c>
      <c r="P1836" s="6" t="s">
        <v>104</v>
      </c>
      <c r="Q1836" s="6" t="s">
        <v>104</v>
      </c>
      <c r="R1836" s="6" t="s">
        <v>104</v>
      </c>
      <c r="S1836" s="6" t="s">
        <v>104</v>
      </c>
      <c r="T1836" s="21" t="s">
        <v>104</v>
      </c>
      <c r="U1836" s="6" t="s">
        <v>104</v>
      </c>
      <c r="V1836" s="6" t="s">
        <v>104</v>
      </c>
      <c r="W1836" s="6" t="s">
        <v>104</v>
      </c>
      <c r="X1836" s="6" t="s">
        <v>104</v>
      </c>
      <c r="Y1836" s="21" t="s">
        <v>104</v>
      </c>
      <c r="Z1836" s="6" t="s">
        <v>104</v>
      </c>
      <c r="AA1836" s="6" t="s">
        <v>104</v>
      </c>
      <c r="AB1836" s="6" t="s">
        <v>104</v>
      </c>
      <c r="AC1836" s="6" t="s">
        <v>9714</v>
      </c>
      <c r="AD1836" s="16" t="n">
        <v>45540</v>
      </c>
      <c r="AE1836" s="6" t="s">
        <v>12120</v>
      </c>
      <c r="AF1836" s="6" t="s">
        <v>104</v>
      </c>
      <c r="AG1836" s="6" t="s">
        <v>6555</v>
      </c>
      <c r="AH1836" s="6" t="s">
        <v>14836</v>
      </c>
      <c r="AI1836" s="6" t="s">
        <v>104</v>
      </c>
      <c r="AJ1836" s="6" t="s">
        <v>16469</v>
      </c>
      <c r="AK1836" s="6" t="s">
        <v>16093</v>
      </c>
      <c r="AL1836" s="6" t="s">
        <v>16766</v>
      </c>
      <c r="AM1836" s="6" t="s">
        <v>18196</v>
      </c>
      <c r="AN1836" s="6" t="s">
        <v>104</v>
      </c>
      <c r="AO1836" s="6" t="s">
        <v>104</v>
      </c>
      <c r="AP1836" s="6" t="s">
        <v>14836</v>
      </c>
      <c r="AQ1836" s="6" t="s">
        <v>104</v>
      </c>
      <c r="AR1836" s="6" t="s">
        <v>16469</v>
      </c>
      <c r="AS1836" s="6" t="s">
        <v>16093</v>
      </c>
      <c r="AT1836" s="6" t="s">
        <v>16766</v>
      </c>
      <c r="AU1836" s="6" t="s">
        <v>18196</v>
      </c>
      <c r="AV1836" s="6" t="s">
        <v>104</v>
      </c>
      <c r="AW1836" s="6" t="s">
        <v>104</v>
      </c>
      <c r="AX1836" s="6" t="s">
        <v>21548</v>
      </c>
      <c r="AY1836" s="6" t="s">
        <v>22602</v>
      </c>
      <c r="AZ1836" s="6" t="s">
        <v>104</v>
      </c>
      <c r="BA1836" s="6" t="s">
        <v>24306</v>
      </c>
      <c r="BB1836" s="6" t="s">
        <v>104</v>
      </c>
      <c r="BC1836" s="26"/>
      <c r="BD1836" s="26"/>
      <c r="BE1836" s="26"/>
      <c r="BF1836" s="26"/>
      <c r="BG1836" s="26"/>
      <c r="BH1836" s="26"/>
      <c r="BI1836" s="26"/>
      <c r="BJ1836" s="26"/>
      <c r="BK1836" s="26"/>
      <c r="BL1836" s="26"/>
      <c r="BM1836" s="26"/>
      <c r="BN1836" s="26"/>
      <c r="BO1836" s="26"/>
      <c r="BP1836" s="16" t="n">
        <v>45715</v>
      </c>
      <c r="BQ1836" s="28" t="str">
        <f>HYPERLINK("https://organic.ams.usda.gov/Integrity/Certificate.aspx?cid=7&amp;nopid=3950001199")</f>
        <v>https://organic.ams.usda.gov/Integrity/Certificate.aspx?cid=7&amp;nopid=3950001199</v>
      </c>
    </row>
    <row r="1837">
      <c r="A1837" t="s">
        <v>3</v>
      </c>
      <c r="B1837" s="6" t="s">
        <v>6</v>
      </c>
      <c r="C1837" s="6" t="s">
        <v>72</v>
      </c>
      <c r="D1837" s="6" t="s">
        <v>137</v>
      </c>
      <c r="E1837" s="10" t="s">
        <v>2035</v>
      </c>
      <c r="F1837" s="6" t="s">
        <v>4257</v>
      </c>
      <c r="G1837" s="6" t="s">
        <v>104</v>
      </c>
      <c r="H1837" s="6" t="s">
        <v>6556</v>
      </c>
      <c r="I1837" s="6" t="s">
        <v>7445</v>
      </c>
      <c r="J1837" s="6" t="s">
        <v>9448</v>
      </c>
      <c r="K1837" s="6" t="s">
        <v>9714</v>
      </c>
      <c r="L1837" s="16" t="n">
        <v>44211</v>
      </c>
      <c r="M1837" s="16" t="n">
        <v>45737</v>
      </c>
      <c r="N1837" s="6" t="s">
        <v>104</v>
      </c>
      <c r="O1837" s="21" t="s">
        <v>104</v>
      </c>
      <c r="P1837" s="6" t="s">
        <v>104</v>
      </c>
      <c r="Q1837" s="6" t="s">
        <v>104</v>
      </c>
      <c r="R1837" s="6" t="s">
        <v>104</v>
      </c>
      <c r="S1837" s="6" t="s">
        <v>104</v>
      </c>
      <c r="T1837" s="21" t="s">
        <v>104</v>
      </c>
      <c r="U1837" s="6" t="s">
        <v>104</v>
      </c>
      <c r="V1837" s="6" t="s">
        <v>104</v>
      </c>
      <c r="W1837" s="6" t="s">
        <v>104</v>
      </c>
      <c r="X1837" s="6" t="s">
        <v>104</v>
      </c>
      <c r="Y1837" s="21" t="s">
        <v>104</v>
      </c>
      <c r="Z1837" s="6" t="s">
        <v>104</v>
      </c>
      <c r="AA1837" s="6" t="s">
        <v>104</v>
      </c>
      <c r="AB1837" s="6" t="s">
        <v>104</v>
      </c>
      <c r="AC1837" s="6" t="s">
        <v>9714</v>
      </c>
      <c r="AD1837" s="16" t="n">
        <v>44211</v>
      </c>
      <c r="AE1837" s="6" t="s">
        <v>12121</v>
      </c>
      <c r="AF1837" s="6" t="s">
        <v>104</v>
      </c>
      <c r="AG1837" s="6" t="s">
        <v>13043</v>
      </c>
      <c r="AH1837" s="6" t="s">
        <v>14837</v>
      </c>
      <c r="AI1837" s="6" t="s">
        <v>104</v>
      </c>
      <c r="AJ1837" s="6" t="s">
        <v>16470</v>
      </c>
      <c r="AK1837" s="6" t="s">
        <v>16890</v>
      </c>
      <c r="AL1837" s="6" t="s">
        <v>16766</v>
      </c>
      <c r="AM1837" s="6" t="s">
        <v>18197</v>
      </c>
      <c r="AN1837" s="6" t="s">
        <v>104</v>
      </c>
      <c r="AO1837" s="6" t="s">
        <v>104</v>
      </c>
      <c r="AP1837" s="6" t="s">
        <v>104</v>
      </c>
      <c r="AQ1837" s="6" t="s">
        <v>104</v>
      </c>
      <c r="AR1837" s="6" t="s">
        <v>104</v>
      </c>
      <c r="AS1837" s="6" t="s">
        <v>104</v>
      </c>
      <c r="AT1837" s="6" t="s">
        <v>104</v>
      </c>
      <c r="AU1837" s="6" t="s">
        <v>104</v>
      </c>
      <c r="AV1837" s="6" t="s">
        <v>104</v>
      </c>
      <c r="AW1837" s="6" t="s">
        <v>104</v>
      </c>
      <c r="AX1837" s="6" t="s">
        <v>104</v>
      </c>
      <c r="AY1837" s="6" t="s">
        <v>23353</v>
      </c>
      <c r="AZ1837" s="6" t="s">
        <v>104</v>
      </c>
      <c r="BA1837" s="6" t="s">
        <v>24258</v>
      </c>
      <c r="BB1837" s="6" t="s">
        <v>104</v>
      </c>
      <c r="BC1837" s="26"/>
      <c r="BD1837" s="26"/>
      <c r="BE1837" s="26"/>
      <c r="BF1837" s="26"/>
      <c r="BG1837" s="26"/>
      <c r="BH1837" s="26"/>
      <c r="BI1837" s="26"/>
      <c r="BJ1837" s="26"/>
      <c r="BK1837" s="26"/>
      <c r="BL1837" s="26"/>
      <c r="BM1837" s="26"/>
      <c r="BN1837" s="26"/>
      <c r="BO1837" s="26"/>
      <c r="BP1837" s="16" t="n">
        <v>45737</v>
      </c>
      <c r="BQ1837" s="28" t="str">
        <f>HYPERLINK("https://organic.ams.usda.gov/Integrity/Certificate.aspx?cid=32&amp;nopid=2230008335")</f>
        <v>https://organic.ams.usda.gov/Integrity/Certificate.aspx?cid=32&amp;nopid=2230008335</v>
      </c>
    </row>
    <row r="1838">
      <c r="A1838" t="s">
        <v>3</v>
      </c>
      <c r="B1838" s="6" t="s">
        <v>29</v>
      </c>
      <c r="C1838" s="6" t="s">
        <v>95</v>
      </c>
      <c r="D1838" s="6" t="s">
        <v>160</v>
      </c>
      <c r="E1838" s="10" t="s">
        <v>2036</v>
      </c>
      <c r="F1838" s="6" t="s">
        <v>4258</v>
      </c>
      <c r="G1838" s="6" t="s">
        <v>104</v>
      </c>
      <c r="H1838" s="6" t="s">
        <v>6557</v>
      </c>
      <c r="I1838" s="6" t="s">
        <v>104</v>
      </c>
      <c r="J1838" s="6" t="s">
        <v>9449</v>
      </c>
      <c r="K1838" s="6" t="s">
        <v>9714</v>
      </c>
      <c r="L1838" s="16" t="n">
        <v>45630</v>
      </c>
      <c r="M1838" s="16" t="n">
        <v>45870</v>
      </c>
      <c r="N1838" s="6" t="s">
        <v>9714</v>
      </c>
      <c r="O1838" s="16" t="n">
        <v>45630</v>
      </c>
      <c r="P1838" s="6" t="s">
        <v>10204</v>
      </c>
      <c r="Q1838" s="6" t="s">
        <v>104</v>
      </c>
      <c r="R1838" s="6" t="s">
        <v>104</v>
      </c>
      <c r="S1838" s="6" t="s">
        <v>104</v>
      </c>
      <c r="T1838" s="21" t="s">
        <v>104</v>
      </c>
      <c r="U1838" s="6" t="s">
        <v>104</v>
      </c>
      <c r="V1838" s="6" t="s">
        <v>104</v>
      </c>
      <c r="W1838" s="6" t="s">
        <v>104</v>
      </c>
      <c r="X1838" s="6" t="s">
        <v>104</v>
      </c>
      <c r="Y1838" s="21" t="s">
        <v>104</v>
      </c>
      <c r="Z1838" s="6" t="s">
        <v>104</v>
      </c>
      <c r="AA1838" s="6" t="s">
        <v>104</v>
      </c>
      <c r="AB1838" s="6" t="s">
        <v>104</v>
      </c>
      <c r="AC1838" s="6" t="s">
        <v>9714</v>
      </c>
      <c r="AD1838" s="16" t="n">
        <v>45630</v>
      </c>
      <c r="AE1838" s="6" t="s">
        <v>12122</v>
      </c>
      <c r="AF1838" s="6" t="s">
        <v>104</v>
      </c>
      <c r="AG1838" s="6" t="s">
        <v>104</v>
      </c>
      <c r="AH1838" s="6" t="s">
        <v>14838</v>
      </c>
      <c r="AI1838" s="6" t="s">
        <v>104</v>
      </c>
      <c r="AJ1838" s="6" t="s">
        <v>16471</v>
      </c>
      <c r="AK1838" s="6" t="s">
        <v>16890</v>
      </c>
      <c r="AL1838" s="6" t="s">
        <v>16766</v>
      </c>
      <c r="AM1838" s="6" t="s">
        <v>104</v>
      </c>
      <c r="AN1838" s="6" t="s">
        <v>104</v>
      </c>
      <c r="AO1838" s="6" t="s">
        <v>104</v>
      </c>
      <c r="AP1838" s="6" t="s">
        <v>104</v>
      </c>
      <c r="AQ1838" s="6" t="s">
        <v>104</v>
      </c>
      <c r="AR1838" s="6" t="s">
        <v>104</v>
      </c>
      <c r="AS1838" s="6" t="s">
        <v>104</v>
      </c>
      <c r="AT1838" s="6" t="s">
        <v>104</v>
      </c>
      <c r="AU1838" s="6" t="s">
        <v>104</v>
      </c>
      <c r="AV1838" s="6" t="s">
        <v>104</v>
      </c>
      <c r="AW1838" s="6" t="s">
        <v>104</v>
      </c>
      <c r="AX1838" s="6" t="s">
        <v>21549</v>
      </c>
      <c r="AY1838" s="6" t="s">
        <v>23354</v>
      </c>
      <c r="AZ1838" s="6" t="s">
        <v>104</v>
      </c>
      <c r="BA1838" s="6" t="s">
        <v>104</v>
      </c>
      <c r="BB1838" s="24" t="n">
        <v>0</v>
      </c>
      <c r="BC1838" s="26"/>
      <c r="BD1838" s="26"/>
      <c r="BE1838" s="26"/>
      <c r="BF1838" s="26"/>
      <c r="BG1838" s="26"/>
      <c r="BH1838" s="26"/>
      <c r="BI1838" s="26"/>
      <c r="BJ1838" s="26"/>
      <c r="BK1838" s="26"/>
      <c r="BL1838" s="26"/>
      <c r="BM1838" s="26"/>
      <c r="BN1838" s="26"/>
      <c r="BO1838" s="26"/>
      <c r="BP1838" s="16" t="n">
        <v>45697</v>
      </c>
      <c r="BQ1838" s="28" t="str">
        <f>HYPERLINK("https://organic.ams.usda.gov/Integrity/Certificate.aspx?cid=24&amp;nopid=7880298354")</f>
        <v>https://organic.ams.usda.gov/Integrity/Certificate.aspx?cid=24&amp;nopid=7880298354</v>
      </c>
    </row>
    <row r="1839">
      <c r="A1839" t="s">
        <v>3</v>
      </c>
      <c r="B1839" s="6" t="s">
        <v>54</v>
      </c>
      <c r="C1839" s="6" t="s">
        <v>120</v>
      </c>
      <c r="D1839" s="6" t="s">
        <v>184</v>
      </c>
      <c r="E1839" s="10" t="s">
        <v>2037</v>
      </c>
      <c r="F1839" s="6" t="s">
        <v>4259</v>
      </c>
      <c r="G1839" s="6" t="s">
        <v>104</v>
      </c>
      <c r="H1839" s="6" t="s">
        <v>6558</v>
      </c>
      <c r="I1839" s="6" t="s">
        <v>7739</v>
      </c>
      <c r="J1839" s="6" t="s">
        <v>9450</v>
      </c>
      <c r="K1839" s="6" t="s">
        <v>9714</v>
      </c>
      <c r="L1839" s="16" t="n">
        <v>45693</v>
      </c>
      <c r="M1839" s="16" t="n">
        <v>45809</v>
      </c>
      <c r="N1839" s="6" t="s">
        <v>104</v>
      </c>
      <c r="O1839" s="21" t="s">
        <v>104</v>
      </c>
      <c r="P1839" s="6" t="s">
        <v>104</v>
      </c>
      <c r="Q1839" s="6" t="s">
        <v>104</v>
      </c>
      <c r="R1839" s="6" t="s">
        <v>104</v>
      </c>
      <c r="S1839" s="6" t="s">
        <v>104</v>
      </c>
      <c r="T1839" s="21" t="s">
        <v>104</v>
      </c>
      <c r="U1839" s="6" t="s">
        <v>104</v>
      </c>
      <c r="V1839" s="6" t="s">
        <v>104</v>
      </c>
      <c r="W1839" s="6" t="s">
        <v>104</v>
      </c>
      <c r="X1839" s="6" t="s">
        <v>104</v>
      </c>
      <c r="Y1839" s="21" t="s">
        <v>104</v>
      </c>
      <c r="Z1839" s="6" t="s">
        <v>104</v>
      </c>
      <c r="AA1839" s="6" t="s">
        <v>104</v>
      </c>
      <c r="AB1839" s="6" t="s">
        <v>104</v>
      </c>
      <c r="AC1839" s="6" t="s">
        <v>9714</v>
      </c>
      <c r="AD1839" s="16" t="n">
        <v>45693</v>
      </c>
      <c r="AE1839" s="6" t="s">
        <v>12123</v>
      </c>
      <c r="AF1839" s="6" t="s">
        <v>104</v>
      </c>
      <c r="AG1839" s="6" t="s">
        <v>104</v>
      </c>
      <c r="AH1839" s="6" t="s">
        <v>14839</v>
      </c>
      <c r="AI1839" s="6" t="s">
        <v>104</v>
      </c>
      <c r="AJ1839" s="6" t="s">
        <v>16472</v>
      </c>
      <c r="AK1839" s="6" t="s">
        <v>16687</v>
      </c>
      <c r="AL1839" s="6" t="s">
        <v>16931</v>
      </c>
      <c r="AM1839" s="6" t="s">
        <v>18198</v>
      </c>
      <c r="AN1839" s="6" t="s">
        <v>104</v>
      </c>
      <c r="AO1839" s="6" t="s">
        <v>104</v>
      </c>
      <c r="AP1839" s="6" t="s">
        <v>19439</v>
      </c>
      <c r="AQ1839" s="6" t="s">
        <v>104</v>
      </c>
      <c r="AR1839" s="6" t="s">
        <v>16472</v>
      </c>
      <c r="AS1839" s="6" t="s">
        <v>16687</v>
      </c>
      <c r="AT1839" s="6" t="s">
        <v>16931</v>
      </c>
      <c r="AU1839" s="6" t="s">
        <v>18198</v>
      </c>
      <c r="AV1839" s="6" t="s">
        <v>104</v>
      </c>
      <c r="AW1839" s="6" t="s">
        <v>104</v>
      </c>
      <c r="AX1839" s="6" t="s">
        <v>21550</v>
      </c>
      <c r="AY1839" s="6" t="s">
        <v>23355</v>
      </c>
      <c r="AZ1839" s="6" t="s">
        <v>24147</v>
      </c>
      <c r="BA1839" s="6" t="s">
        <v>104</v>
      </c>
      <c r="BB1839" s="6" t="s">
        <v>104</v>
      </c>
      <c r="BC1839" s="26"/>
      <c r="BD1839" s="26"/>
      <c r="BE1839" s="26"/>
      <c r="BF1839" s="26"/>
      <c r="BG1839" s="26" t="s">
        <v>24533</v>
      </c>
      <c r="BH1839" s="26"/>
      <c r="BI1839" s="26"/>
      <c r="BJ1839" s="26"/>
      <c r="BK1839" s="26"/>
      <c r="BL1839" s="26"/>
      <c r="BM1839" s="26"/>
      <c r="BN1839" s="26"/>
      <c r="BO1839" s="26"/>
      <c r="BP1839" s="16" t="n">
        <v>45693</v>
      </c>
      <c r="BQ1839" s="28" t="str">
        <f>HYPERLINK("https://organic.ams.usda.gov/Integrity/Certificate.aspx?cid=60&amp;nopid=2580006752")</f>
        <v>https://organic.ams.usda.gov/Integrity/Certificate.aspx?cid=60&amp;nopid=2580006752</v>
      </c>
    </row>
    <row r="1840">
      <c r="A1840" t="s">
        <v>3</v>
      </c>
      <c r="B1840" s="6" t="s">
        <v>29</v>
      </c>
      <c r="C1840" s="6" t="s">
        <v>95</v>
      </c>
      <c r="D1840" s="6" t="s">
        <v>160</v>
      </c>
      <c r="E1840" s="10" t="s">
        <v>2038</v>
      </c>
      <c r="F1840" s="6" t="s">
        <v>4260</v>
      </c>
      <c r="G1840" s="6" t="s">
        <v>104</v>
      </c>
      <c r="H1840" s="6" t="s">
        <v>6559</v>
      </c>
      <c r="I1840" s="6" t="s">
        <v>104</v>
      </c>
      <c r="J1840" s="6" t="s">
        <v>9451</v>
      </c>
      <c r="K1840" s="6" t="s">
        <v>9714</v>
      </c>
      <c r="L1840" s="16" t="n">
        <v>45663</v>
      </c>
      <c r="M1840" s="16" t="n">
        <v>45870</v>
      </c>
      <c r="N1840" s="6" t="s">
        <v>104</v>
      </c>
      <c r="O1840" s="21" t="s">
        <v>104</v>
      </c>
      <c r="P1840" s="6" t="s">
        <v>104</v>
      </c>
      <c r="Q1840" s="6" t="s">
        <v>104</v>
      </c>
      <c r="R1840" s="6" t="s">
        <v>104</v>
      </c>
      <c r="S1840" s="6" t="s">
        <v>104</v>
      </c>
      <c r="T1840" s="21" t="s">
        <v>104</v>
      </c>
      <c r="U1840" s="6" t="s">
        <v>104</v>
      </c>
      <c r="V1840" s="6" t="s">
        <v>104</v>
      </c>
      <c r="W1840" s="6" t="s">
        <v>104</v>
      </c>
      <c r="X1840" s="6" t="s">
        <v>104</v>
      </c>
      <c r="Y1840" s="21" t="s">
        <v>104</v>
      </c>
      <c r="Z1840" s="6" t="s">
        <v>104</v>
      </c>
      <c r="AA1840" s="6" t="s">
        <v>104</v>
      </c>
      <c r="AB1840" s="6" t="s">
        <v>104</v>
      </c>
      <c r="AC1840" s="6" t="s">
        <v>9714</v>
      </c>
      <c r="AD1840" s="16" t="n">
        <v>45663</v>
      </c>
      <c r="AE1840" s="6" t="s">
        <v>12124</v>
      </c>
      <c r="AF1840" s="6" t="s">
        <v>104</v>
      </c>
      <c r="AG1840" s="6" t="s">
        <v>104</v>
      </c>
      <c r="AH1840" s="6" t="s">
        <v>14840</v>
      </c>
      <c r="AI1840" s="6" t="s">
        <v>104</v>
      </c>
      <c r="AJ1840" s="6" t="s">
        <v>104</v>
      </c>
      <c r="AK1840" s="6" t="s">
        <v>16773</v>
      </c>
      <c r="AL1840" s="6" t="s">
        <v>16932</v>
      </c>
      <c r="AM1840" s="6" t="s">
        <v>18199</v>
      </c>
      <c r="AN1840" s="6" t="s">
        <v>104</v>
      </c>
      <c r="AO1840" s="6" t="s">
        <v>104</v>
      </c>
      <c r="AP1840" s="6" t="s">
        <v>104</v>
      </c>
      <c r="AQ1840" s="6" t="s">
        <v>104</v>
      </c>
      <c r="AR1840" s="6" t="s">
        <v>104</v>
      </c>
      <c r="AS1840" s="6" t="s">
        <v>104</v>
      </c>
      <c r="AT1840" s="6" t="s">
        <v>104</v>
      </c>
      <c r="AU1840" s="6" t="s">
        <v>104</v>
      </c>
      <c r="AV1840" s="6" t="s">
        <v>104</v>
      </c>
      <c r="AW1840" s="6" t="s">
        <v>104</v>
      </c>
      <c r="AX1840" s="6" t="s">
        <v>21551</v>
      </c>
      <c r="AY1840" s="6" t="s">
        <v>23356</v>
      </c>
      <c r="AZ1840" s="6" t="s">
        <v>104</v>
      </c>
      <c r="BA1840" s="6" t="s">
        <v>24269</v>
      </c>
      <c r="BB1840" s="24" t="n">
        <v>0</v>
      </c>
      <c r="BC1840" s="26"/>
      <c r="BD1840" s="26"/>
      <c r="BE1840" s="26"/>
      <c r="BF1840" s="26"/>
      <c r="BG1840" s="26"/>
      <c r="BH1840" s="26"/>
      <c r="BI1840" s="26"/>
      <c r="BJ1840" s="26"/>
      <c r="BK1840" s="26"/>
      <c r="BL1840" s="26"/>
      <c r="BM1840" s="26"/>
      <c r="BN1840" s="26"/>
      <c r="BO1840" s="26"/>
      <c r="BP1840" s="16" t="n">
        <v>45738</v>
      </c>
      <c r="BQ1840" s="28" t="str">
        <f>HYPERLINK("https://organic.ams.usda.gov/Integrity/Certificate.aspx?cid=24&amp;nopid=7880186011")</f>
        <v>https://organic.ams.usda.gov/Integrity/Certificate.aspx?cid=24&amp;nopid=7880186011</v>
      </c>
    </row>
    <row r="1841">
      <c r="A1841" t="s">
        <v>3</v>
      </c>
      <c r="B1841" s="6" t="s">
        <v>11</v>
      </c>
      <c r="C1841" s="6" t="s">
        <v>77</v>
      </c>
      <c r="D1841" s="6" t="s">
        <v>142</v>
      </c>
      <c r="E1841" s="10" t="s">
        <v>2039</v>
      </c>
      <c r="F1841" s="6" t="s">
        <v>4261</v>
      </c>
      <c r="G1841" s="6" t="s">
        <v>104</v>
      </c>
      <c r="H1841" s="6" t="s">
        <v>2039</v>
      </c>
      <c r="I1841" s="6" t="s">
        <v>7692</v>
      </c>
      <c r="J1841" s="6" t="s">
        <v>9085</v>
      </c>
      <c r="K1841" s="6" t="s">
        <v>9714</v>
      </c>
      <c r="L1841" s="16" t="n">
        <v>44699</v>
      </c>
      <c r="M1841" s="16" t="n">
        <v>45765</v>
      </c>
      <c r="N1841" s="6" t="s">
        <v>104</v>
      </c>
      <c r="O1841" s="21" t="s">
        <v>104</v>
      </c>
      <c r="P1841" s="6" t="s">
        <v>104</v>
      </c>
      <c r="Q1841" s="6" t="s">
        <v>104</v>
      </c>
      <c r="R1841" s="6" t="s">
        <v>104</v>
      </c>
      <c r="S1841" s="6" t="s">
        <v>104</v>
      </c>
      <c r="T1841" s="21" t="s">
        <v>104</v>
      </c>
      <c r="U1841" s="6" t="s">
        <v>104</v>
      </c>
      <c r="V1841" s="6" t="s">
        <v>104</v>
      </c>
      <c r="W1841" s="6" t="s">
        <v>104</v>
      </c>
      <c r="X1841" s="6" t="s">
        <v>104</v>
      </c>
      <c r="Y1841" s="21" t="s">
        <v>104</v>
      </c>
      <c r="Z1841" s="6" t="s">
        <v>104</v>
      </c>
      <c r="AA1841" s="6" t="s">
        <v>104</v>
      </c>
      <c r="AB1841" s="6" t="s">
        <v>104</v>
      </c>
      <c r="AC1841" s="6" t="s">
        <v>9714</v>
      </c>
      <c r="AD1841" s="16" t="n">
        <v>44699</v>
      </c>
      <c r="AE1841" s="6" t="s">
        <v>12125</v>
      </c>
      <c r="AF1841" s="6" t="s">
        <v>104</v>
      </c>
      <c r="AG1841" s="6" t="s">
        <v>13044</v>
      </c>
      <c r="AH1841" s="6" t="s">
        <v>14841</v>
      </c>
      <c r="AI1841" s="6" t="s">
        <v>104</v>
      </c>
      <c r="AJ1841" s="6" t="s">
        <v>16182</v>
      </c>
      <c r="AK1841" s="6" t="s">
        <v>15885</v>
      </c>
      <c r="AL1841" s="6" t="s">
        <v>16932</v>
      </c>
      <c r="AM1841" s="6" t="s">
        <v>17842</v>
      </c>
      <c r="AN1841" s="6" t="s">
        <v>104</v>
      </c>
      <c r="AO1841" s="6" t="s">
        <v>104</v>
      </c>
      <c r="AP1841" s="6" t="s">
        <v>14841</v>
      </c>
      <c r="AQ1841" s="6" t="s">
        <v>104</v>
      </c>
      <c r="AR1841" s="6" t="s">
        <v>16182</v>
      </c>
      <c r="AS1841" s="6" t="s">
        <v>15885</v>
      </c>
      <c r="AT1841" s="6" t="s">
        <v>16932</v>
      </c>
      <c r="AU1841" s="6" t="s">
        <v>17842</v>
      </c>
      <c r="AV1841" s="6" t="s">
        <v>104</v>
      </c>
      <c r="AW1841" s="6" t="s">
        <v>104</v>
      </c>
      <c r="AX1841" s="6" t="s">
        <v>21113</v>
      </c>
      <c r="AY1841" s="6" t="s">
        <v>23357</v>
      </c>
      <c r="AZ1841" s="6" t="s">
        <v>104</v>
      </c>
      <c r="BA1841" s="6" t="s">
        <v>104</v>
      </c>
      <c r="BB1841" s="6" t="s">
        <v>104</v>
      </c>
      <c r="BC1841" s="26"/>
      <c r="BD1841" s="26"/>
      <c r="BE1841" s="26"/>
      <c r="BF1841" s="26"/>
      <c r="BG1841" s="26"/>
      <c r="BH1841" s="26"/>
      <c r="BI1841" s="26"/>
      <c r="BJ1841" s="26"/>
      <c r="BK1841" s="26"/>
      <c r="BL1841" s="26"/>
      <c r="BM1841" s="26"/>
      <c r="BN1841" s="26"/>
      <c r="BO1841" s="26"/>
      <c r="BP1841" s="16" t="n">
        <v>45477</v>
      </c>
      <c r="BQ1841" s="28" t="str">
        <f>HYPERLINK("https://organic.ams.usda.gov/Integrity/Certificate.aspx?cid=21&amp;nopid=1780851287")</f>
        <v>https://organic.ams.usda.gov/Integrity/Certificate.aspx?cid=21&amp;nopid=1780851287</v>
      </c>
    </row>
    <row r="1842">
      <c r="A1842" t="s">
        <v>3</v>
      </c>
      <c r="B1842" s="6" t="s">
        <v>42</v>
      </c>
      <c r="C1842" s="6" t="s">
        <v>108</v>
      </c>
      <c r="D1842" s="6" t="s">
        <v>172</v>
      </c>
      <c r="E1842" s="10" t="s">
        <v>2040</v>
      </c>
      <c r="F1842" s="6" t="s">
        <v>4262</v>
      </c>
      <c r="G1842" s="6" t="s">
        <v>104</v>
      </c>
      <c r="H1842" s="6" t="s">
        <v>6560</v>
      </c>
      <c r="I1842" s="6" t="s">
        <v>7957</v>
      </c>
      <c r="J1842" s="6" t="s">
        <v>9452</v>
      </c>
      <c r="K1842" s="6" t="s">
        <v>9714</v>
      </c>
      <c r="L1842" s="16" t="n">
        <v>45573</v>
      </c>
      <c r="M1842" s="16" t="n">
        <v>45938</v>
      </c>
      <c r="N1842" s="6" t="s">
        <v>104</v>
      </c>
      <c r="O1842" s="21" t="s">
        <v>104</v>
      </c>
      <c r="P1842" s="6" t="s">
        <v>104</v>
      </c>
      <c r="Q1842" s="6" t="s">
        <v>104</v>
      </c>
      <c r="R1842" s="6" t="s">
        <v>104</v>
      </c>
      <c r="S1842" s="6" t="s">
        <v>104</v>
      </c>
      <c r="T1842" s="21" t="s">
        <v>104</v>
      </c>
      <c r="U1842" s="6" t="s">
        <v>104</v>
      </c>
      <c r="V1842" s="6" t="s">
        <v>104</v>
      </c>
      <c r="W1842" s="6" t="s">
        <v>104</v>
      </c>
      <c r="X1842" s="6" t="s">
        <v>104</v>
      </c>
      <c r="Y1842" s="21" t="s">
        <v>104</v>
      </c>
      <c r="Z1842" s="6" t="s">
        <v>104</v>
      </c>
      <c r="AA1842" s="6" t="s">
        <v>104</v>
      </c>
      <c r="AB1842" s="6" t="s">
        <v>104</v>
      </c>
      <c r="AC1842" s="6" t="s">
        <v>9714</v>
      </c>
      <c r="AD1842" s="16" t="n">
        <v>45573</v>
      </c>
      <c r="AE1842" s="6" t="s">
        <v>12126</v>
      </c>
      <c r="AF1842" s="6" t="s">
        <v>104</v>
      </c>
      <c r="AG1842" s="6" t="s">
        <v>6560</v>
      </c>
      <c r="AH1842" s="6" t="s">
        <v>14842</v>
      </c>
      <c r="AI1842" s="6" t="s">
        <v>104</v>
      </c>
      <c r="AJ1842" s="6" t="s">
        <v>15542</v>
      </c>
      <c r="AK1842" s="6" t="s">
        <v>16687</v>
      </c>
      <c r="AL1842" s="6" t="s">
        <v>16931</v>
      </c>
      <c r="AM1842" s="6" t="s">
        <v>17969</v>
      </c>
      <c r="AN1842" s="6" t="s">
        <v>104</v>
      </c>
      <c r="AO1842" s="6" t="s">
        <v>104</v>
      </c>
      <c r="AP1842" s="6" t="s">
        <v>14842</v>
      </c>
      <c r="AQ1842" s="6" t="s">
        <v>104</v>
      </c>
      <c r="AR1842" s="6" t="s">
        <v>15542</v>
      </c>
      <c r="AS1842" s="6" t="s">
        <v>16687</v>
      </c>
      <c r="AT1842" s="6" t="s">
        <v>16931</v>
      </c>
      <c r="AU1842" s="6" t="s">
        <v>17969</v>
      </c>
      <c r="AV1842" s="6" t="s">
        <v>104</v>
      </c>
      <c r="AW1842" s="6" t="s">
        <v>104</v>
      </c>
      <c r="AX1842" s="6" t="s">
        <v>21552</v>
      </c>
      <c r="AY1842" s="6" t="s">
        <v>23358</v>
      </c>
      <c r="AZ1842" s="6" t="s">
        <v>104</v>
      </c>
      <c r="BA1842" s="6" t="s">
        <v>104</v>
      </c>
      <c r="BB1842" s="6" t="s">
        <v>104</v>
      </c>
      <c r="BC1842" s="26"/>
      <c r="BD1842" s="26"/>
      <c r="BE1842" s="26"/>
      <c r="BF1842" s="26"/>
      <c r="BG1842" s="26" t="s">
        <v>24533</v>
      </c>
      <c r="BH1842" s="26"/>
      <c r="BI1842" s="26"/>
      <c r="BJ1842" s="26"/>
      <c r="BK1842" s="26"/>
      <c r="BL1842" s="26"/>
      <c r="BM1842" s="26"/>
      <c r="BN1842" s="26" t="s">
        <v>24533</v>
      </c>
      <c r="BO1842" s="26"/>
      <c r="BP1842" s="16" t="n">
        <v>45575</v>
      </c>
      <c r="BQ1842" s="28" t="str">
        <f>HYPERLINK("https://organic.ams.usda.gov/Integrity/Certificate.aspx?cid=69&amp;nopid=1560013380")</f>
        <v>https://organic.ams.usda.gov/Integrity/Certificate.aspx?cid=69&amp;nopid=1560013380</v>
      </c>
    </row>
    <row r="1843">
      <c r="A1843" t="s">
        <v>3</v>
      </c>
      <c r="B1843" s="6" t="s">
        <v>14</v>
      </c>
      <c r="C1843" s="6" t="s">
        <v>80</v>
      </c>
      <c r="D1843" s="6" t="s">
        <v>145</v>
      </c>
      <c r="E1843" s="10" t="s">
        <v>2041</v>
      </c>
      <c r="F1843" s="6" t="s">
        <v>4263</v>
      </c>
      <c r="G1843" s="6" t="s">
        <v>104</v>
      </c>
      <c r="H1843" s="6" t="s">
        <v>6561</v>
      </c>
      <c r="I1843" s="6" t="s">
        <v>7958</v>
      </c>
      <c r="J1843" s="6" t="s">
        <v>9453</v>
      </c>
      <c r="K1843" s="6" t="s">
        <v>9714</v>
      </c>
      <c r="L1843" s="16" t="n">
        <v>44768</v>
      </c>
      <c r="M1843" s="16" t="n">
        <v>45755</v>
      </c>
      <c r="N1843" s="6" t="s">
        <v>104</v>
      </c>
      <c r="O1843" s="21" t="s">
        <v>104</v>
      </c>
      <c r="P1843" s="6" t="s">
        <v>104</v>
      </c>
      <c r="Q1843" s="6" t="s">
        <v>104</v>
      </c>
      <c r="R1843" s="6" t="s">
        <v>104</v>
      </c>
      <c r="S1843" s="6" t="s">
        <v>104</v>
      </c>
      <c r="T1843" s="21" t="s">
        <v>104</v>
      </c>
      <c r="U1843" s="6" t="s">
        <v>104</v>
      </c>
      <c r="V1843" s="6" t="s">
        <v>104</v>
      </c>
      <c r="W1843" s="6" t="s">
        <v>104</v>
      </c>
      <c r="X1843" s="6" t="s">
        <v>104</v>
      </c>
      <c r="Y1843" s="21" t="s">
        <v>104</v>
      </c>
      <c r="Z1843" s="6" t="s">
        <v>104</v>
      </c>
      <c r="AA1843" s="6" t="s">
        <v>104</v>
      </c>
      <c r="AB1843" s="6" t="s">
        <v>104</v>
      </c>
      <c r="AC1843" s="6" t="s">
        <v>9714</v>
      </c>
      <c r="AD1843" s="16" t="n">
        <v>44768</v>
      </c>
      <c r="AE1843" s="6" t="s">
        <v>12127</v>
      </c>
      <c r="AF1843" s="6" t="s">
        <v>104</v>
      </c>
      <c r="AG1843" s="6" t="s">
        <v>104</v>
      </c>
      <c r="AH1843" s="6" t="s">
        <v>14843</v>
      </c>
      <c r="AI1843" s="6" t="s">
        <v>104</v>
      </c>
      <c r="AJ1843" s="6" t="s">
        <v>16473</v>
      </c>
      <c r="AK1843" s="6" t="s">
        <v>16773</v>
      </c>
      <c r="AL1843" s="6" t="s">
        <v>16932</v>
      </c>
      <c r="AM1843" s="6" t="s">
        <v>18200</v>
      </c>
      <c r="AN1843" s="6" t="s">
        <v>104</v>
      </c>
      <c r="AO1843" s="6" t="s">
        <v>104</v>
      </c>
      <c r="AP1843" s="6" t="s">
        <v>104</v>
      </c>
      <c r="AQ1843" s="6" t="s">
        <v>104</v>
      </c>
      <c r="AR1843" s="6" t="s">
        <v>104</v>
      </c>
      <c r="AS1843" s="6" t="s">
        <v>104</v>
      </c>
      <c r="AT1843" s="6" t="s">
        <v>104</v>
      </c>
      <c r="AU1843" s="6" t="s">
        <v>104</v>
      </c>
      <c r="AV1843" s="6" t="s">
        <v>104</v>
      </c>
      <c r="AW1843" s="6" t="s">
        <v>104</v>
      </c>
      <c r="AX1843" s="6" t="s">
        <v>21553</v>
      </c>
      <c r="AY1843" s="6" t="s">
        <v>23359</v>
      </c>
      <c r="AZ1843" s="6" t="s">
        <v>104</v>
      </c>
      <c r="BA1843" s="6" t="s">
        <v>24267</v>
      </c>
      <c r="BB1843" s="6" t="s">
        <v>104</v>
      </c>
      <c r="BC1843" s="26"/>
      <c r="BD1843" s="26"/>
      <c r="BE1843" s="26"/>
      <c r="BF1843" s="26"/>
      <c r="BG1843" s="26"/>
      <c r="BH1843" s="26"/>
      <c r="BI1843" s="26"/>
      <c r="BJ1843" s="26"/>
      <c r="BK1843" s="26"/>
      <c r="BL1843" s="26"/>
      <c r="BM1843" s="26"/>
      <c r="BN1843" s="26"/>
      <c r="BO1843" s="26"/>
      <c r="BP1843" s="16" t="n">
        <v>45640</v>
      </c>
      <c r="BQ1843" s="28" t="str">
        <f>HYPERLINK("https://organic.ams.usda.gov/Integrity/Certificate.aspx?cid=89&amp;nopid=4920005617")</f>
        <v>https://organic.ams.usda.gov/Integrity/Certificate.aspx?cid=89&amp;nopid=4920005617</v>
      </c>
    </row>
    <row r="1844">
      <c r="A1844" t="s">
        <v>3</v>
      </c>
      <c r="B1844" s="6" t="s">
        <v>6</v>
      </c>
      <c r="C1844" s="6" t="s">
        <v>72</v>
      </c>
      <c r="D1844" s="6" t="s">
        <v>137</v>
      </c>
      <c r="E1844" s="10" t="s">
        <v>2042</v>
      </c>
      <c r="F1844" s="6" t="s">
        <v>4264</v>
      </c>
      <c r="G1844" s="6" t="s">
        <v>104</v>
      </c>
      <c r="H1844" s="6" t="s">
        <v>6562</v>
      </c>
      <c r="I1844" s="6" t="s">
        <v>7281</v>
      </c>
      <c r="J1844" s="6" t="s">
        <v>9454</v>
      </c>
      <c r="K1844" s="6" t="s">
        <v>9714</v>
      </c>
      <c r="L1844" s="16" t="n">
        <v>45476</v>
      </c>
      <c r="M1844" s="16" t="n">
        <v>45820</v>
      </c>
      <c r="N1844" s="6" t="s">
        <v>104</v>
      </c>
      <c r="O1844" s="21" t="s">
        <v>104</v>
      </c>
      <c r="P1844" s="6" t="s">
        <v>104</v>
      </c>
      <c r="Q1844" s="6" t="s">
        <v>104</v>
      </c>
      <c r="R1844" s="6" t="s">
        <v>104</v>
      </c>
      <c r="S1844" s="6" t="s">
        <v>104</v>
      </c>
      <c r="T1844" s="21" t="s">
        <v>104</v>
      </c>
      <c r="U1844" s="6" t="s">
        <v>104</v>
      </c>
      <c r="V1844" s="6" t="s">
        <v>104</v>
      </c>
      <c r="W1844" s="6" t="s">
        <v>104</v>
      </c>
      <c r="X1844" s="6" t="s">
        <v>104</v>
      </c>
      <c r="Y1844" s="21" t="s">
        <v>104</v>
      </c>
      <c r="Z1844" s="6" t="s">
        <v>104</v>
      </c>
      <c r="AA1844" s="6" t="s">
        <v>104</v>
      </c>
      <c r="AB1844" s="6" t="s">
        <v>104</v>
      </c>
      <c r="AC1844" s="6" t="s">
        <v>9714</v>
      </c>
      <c r="AD1844" s="16" t="n">
        <v>45476</v>
      </c>
      <c r="AE1844" s="6" t="s">
        <v>12128</v>
      </c>
      <c r="AF1844" s="6" t="s">
        <v>104</v>
      </c>
      <c r="AG1844" s="6" t="s">
        <v>13045</v>
      </c>
      <c r="AH1844" s="6" t="s">
        <v>14844</v>
      </c>
      <c r="AI1844" s="6" t="s">
        <v>104</v>
      </c>
      <c r="AJ1844" s="6" t="s">
        <v>16474</v>
      </c>
      <c r="AK1844" s="6" t="s">
        <v>15707</v>
      </c>
      <c r="AL1844" s="6" t="s">
        <v>16766</v>
      </c>
      <c r="AM1844" s="6" t="s">
        <v>104</v>
      </c>
      <c r="AN1844" s="6" t="s">
        <v>104</v>
      </c>
      <c r="AO1844" s="6" t="s">
        <v>104</v>
      </c>
      <c r="AP1844" s="6" t="s">
        <v>104</v>
      </c>
      <c r="AQ1844" s="6" t="s">
        <v>104</v>
      </c>
      <c r="AR1844" s="6" t="s">
        <v>104</v>
      </c>
      <c r="AS1844" s="6" t="s">
        <v>104</v>
      </c>
      <c r="AT1844" s="6" t="s">
        <v>104</v>
      </c>
      <c r="AU1844" s="6" t="s">
        <v>104</v>
      </c>
      <c r="AV1844" s="6" t="s">
        <v>104</v>
      </c>
      <c r="AW1844" s="6" t="s">
        <v>104</v>
      </c>
      <c r="AX1844" s="6" t="s">
        <v>21554</v>
      </c>
      <c r="AY1844" s="6" t="s">
        <v>23360</v>
      </c>
      <c r="AZ1844" s="6" t="s">
        <v>104</v>
      </c>
      <c r="BA1844" s="6" t="s">
        <v>24258</v>
      </c>
      <c r="BB1844" s="6" t="s">
        <v>104</v>
      </c>
      <c r="BC1844" s="26"/>
      <c r="BD1844" s="26"/>
      <c r="BE1844" s="26"/>
      <c r="BF1844" s="26"/>
      <c r="BG1844" s="26"/>
      <c r="BH1844" s="26"/>
      <c r="BI1844" s="26"/>
      <c r="BJ1844" s="26"/>
      <c r="BK1844" s="26"/>
      <c r="BL1844" s="26"/>
      <c r="BM1844" s="26"/>
      <c r="BN1844" s="26"/>
      <c r="BO1844" s="26"/>
      <c r="BP1844" s="16" t="n">
        <v>45737</v>
      </c>
      <c r="BQ1844" s="28" t="str">
        <f>HYPERLINK("https://organic.ams.usda.gov/Integrity/Certificate.aspx?cid=32&amp;nopid=2230011328")</f>
        <v>https://organic.ams.usda.gov/Integrity/Certificate.aspx?cid=32&amp;nopid=2230011328</v>
      </c>
    </row>
    <row r="1845">
      <c r="A1845" t="s">
        <v>3</v>
      </c>
      <c r="B1845" s="6" t="s">
        <v>44</v>
      </c>
      <c r="C1845" s="6" t="s">
        <v>110</v>
      </c>
      <c r="D1845" s="6" t="s">
        <v>174</v>
      </c>
      <c r="E1845" s="10" t="s">
        <v>2043</v>
      </c>
      <c r="F1845" s="6" t="s">
        <v>4265</v>
      </c>
      <c r="G1845" s="6" t="s">
        <v>4854</v>
      </c>
      <c r="H1845" s="6" t="s">
        <v>6563</v>
      </c>
      <c r="I1845" s="6" t="s">
        <v>6933</v>
      </c>
      <c r="J1845" s="6" t="s">
        <v>9455</v>
      </c>
      <c r="K1845" s="6" t="s">
        <v>9714</v>
      </c>
      <c r="L1845" s="16" t="n">
        <v>37966</v>
      </c>
      <c r="M1845" s="16" t="n">
        <v>46037</v>
      </c>
      <c r="N1845" s="6" t="s">
        <v>104</v>
      </c>
      <c r="O1845" s="21" t="s">
        <v>104</v>
      </c>
      <c r="P1845" s="6" t="s">
        <v>104</v>
      </c>
      <c r="Q1845" s="6" t="s">
        <v>104</v>
      </c>
      <c r="R1845" s="6" t="s">
        <v>104</v>
      </c>
      <c r="S1845" s="6" t="s">
        <v>104</v>
      </c>
      <c r="T1845" s="21" t="s">
        <v>104</v>
      </c>
      <c r="U1845" s="6" t="s">
        <v>104</v>
      </c>
      <c r="V1845" s="6" t="s">
        <v>104</v>
      </c>
      <c r="W1845" s="6" t="s">
        <v>104</v>
      </c>
      <c r="X1845" s="6" t="s">
        <v>104</v>
      </c>
      <c r="Y1845" s="21" t="s">
        <v>104</v>
      </c>
      <c r="Z1845" s="6" t="s">
        <v>104</v>
      </c>
      <c r="AA1845" s="6" t="s">
        <v>104</v>
      </c>
      <c r="AB1845" s="6" t="s">
        <v>104</v>
      </c>
      <c r="AC1845" s="6" t="s">
        <v>9714</v>
      </c>
      <c r="AD1845" s="16" t="n">
        <v>37966</v>
      </c>
      <c r="AE1845" s="6" t="s">
        <v>12129</v>
      </c>
      <c r="AF1845" s="6" t="s">
        <v>104</v>
      </c>
      <c r="AG1845" s="6" t="s">
        <v>104</v>
      </c>
      <c r="AH1845" s="6" t="s">
        <v>14845</v>
      </c>
      <c r="AI1845" s="6" t="s">
        <v>104</v>
      </c>
      <c r="AJ1845" s="6" t="s">
        <v>8454</v>
      </c>
      <c r="AK1845" s="6" t="s">
        <v>15697</v>
      </c>
      <c r="AL1845" s="6" t="s">
        <v>16931</v>
      </c>
      <c r="AM1845" s="6" t="s">
        <v>18201</v>
      </c>
      <c r="AN1845" s="6" t="s">
        <v>18477</v>
      </c>
      <c r="AO1845" s="6" t="s">
        <v>18893</v>
      </c>
      <c r="AP1845" s="6" t="s">
        <v>14845</v>
      </c>
      <c r="AQ1845" s="6" t="s">
        <v>104</v>
      </c>
      <c r="AR1845" s="6" t="s">
        <v>8454</v>
      </c>
      <c r="AS1845" s="6" t="s">
        <v>15697</v>
      </c>
      <c r="AT1845" s="6" t="s">
        <v>16931</v>
      </c>
      <c r="AU1845" s="6" t="s">
        <v>18201</v>
      </c>
      <c r="AV1845" s="6" t="s">
        <v>104</v>
      </c>
      <c r="AW1845" s="6" t="s">
        <v>104</v>
      </c>
      <c r="AX1845" s="6" t="s">
        <v>21555</v>
      </c>
      <c r="AY1845" s="6" t="s">
        <v>23361</v>
      </c>
      <c r="AZ1845" s="6" t="s">
        <v>24148</v>
      </c>
      <c r="BA1845" s="6" t="s">
        <v>104</v>
      </c>
      <c r="BB1845" s="24" t="n">
        <v>0</v>
      </c>
      <c r="BC1845" s="26"/>
      <c r="BD1845" s="26"/>
      <c r="BE1845" s="26"/>
      <c r="BF1845" s="26"/>
      <c r="BG1845" s="26" t="s">
        <v>24533</v>
      </c>
      <c r="BH1845" s="26"/>
      <c r="BI1845" s="26"/>
      <c r="BJ1845" s="26"/>
      <c r="BK1845" s="26"/>
      <c r="BL1845" s="26"/>
      <c r="BM1845" s="26"/>
      <c r="BN1845" s="26" t="s">
        <v>24533</v>
      </c>
      <c r="BO1845" s="26"/>
      <c r="BP1845" s="16" t="n">
        <v>45715</v>
      </c>
      <c r="BQ1845" s="28" t="str">
        <f>HYPERLINK("https://organic.ams.usda.gov/Integrity/Certificate.aspx?cid=57&amp;nopid=3250200350")</f>
        <v>https://organic.ams.usda.gov/Integrity/Certificate.aspx?cid=57&amp;nopid=3250200350</v>
      </c>
    </row>
    <row r="1846">
      <c r="A1846" t="s">
        <v>3</v>
      </c>
      <c r="B1846" s="6" t="s">
        <v>18</v>
      </c>
      <c r="C1846" s="6" t="s">
        <v>84</v>
      </c>
      <c r="D1846" s="6" t="s">
        <v>149</v>
      </c>
      <c r="E1846" s="10" t="s">
        <v>2044</v>
      </c>
      <c r="F1846" s="6" t="s">
        <v>4266</v>
      </c>
      <c r="G1846" s="6" t="s">
        <v>104</v>
      </c>
      <c r="H1846" s="6" t="s">
        <v>6564</v>
      </c>
      <c r="I1846" s="6" t="s">
        <v>7636</v>
      </c>
      <c r="J1846" s="6" t="s">
        <v>9456</v>
      </c>
      <c r="K1846" s="6" t="s">
        <v>9714</v>
      </c>
      <c r="L1846" s="16" t="n">
        <v>45659</v>
      </c>
      <c r="M1846" s="16" t="n">
        <v>45962</v>
      </c>
      <c r="N1846" s="6" t="s">
        <v>104</v>
      </c>
      <c r="O1846" s="21" t="s">
        <v>104</v>
      </c>
      <c r="P1846" s="6" t="s">
        <v>104</v>
      </c>
      <c r="Q1846" s="6" t="s">
        <v>104</v>
      </c>
      <c r="R1846" s="6" t="s">
        <v>104</v>
      </c>
      <c r="S1846" s="6" t="s">
        <v>104</v>
      </c>
      <c r="T1846" s="21" t="s">
        <v>104</v>
      </c>
      <c r="U1846" s="6" t="s">
        <v>104</v>
      </c>
      <c r="V1846" s="6" t="s">
        <v>104</v>
      </c>
      <c r="W1846" s="6" t="s">
        <v>104</v>
      </c>
      <c r="X1846" s="6" t="s">
        <v>104</v>
      </c>
      <c r="Y1846" s="21" t="s">
        <v>104</v>
      </c>
      <c r="Z1846" s="6" t="s">
        <v>104</v>
      </c>
      <c r="AA1846" s="6" t="s">
        <v>104</v>
      </c>
      <c r="AB1846" s="6" t="s">
        <v>104</v>
      </c>
      <c r="AC1846" s="6" t="s">
        <v>9714</v>
      </c>
      <c r="AD1846" s="16" t="n">
        <v>45659</v>
      </c>
      <c r="AE1846" s="6" t="s">
        <v>12130</v>
      </c>
      <c r="AF1846" s="6" t="s">
        <v>104</v>
      </c>
      <c r="AG1846" s="6" t="s">
        <v>13046</v>
      </c>
      <c r="AH1846" s="6" t="s">
        <v>14846</v>
      </c>
      <c r="AI1846" s="6" t="s">
        <v>104</v>
      </c>
      <c r="AJ1846" s="6" t="s">
        <v>16475</v>
      </c>
      <c r="AK1846" s="6" t="s">
        <v>16686</v>
      </c>
      <c r="AL1846" s="6" t="s">
        <v>16931</v>
      </c>
      <c r="AM1846" s="6" t="s">
        <v>18202</v>
      </c>
      <c r="AN1846" s="6" t="s">
        <v>104</v>
      </c>
      <c r="AO1846" s="6" t="s">
        <v>104</v>
      </c>
      <c r="AP1846" s="6" t="s">
        <v>19440</v>
      </c>
      <c r="AQ1846" s="6" t="s">
        <v>104</v>
      </c>
      <c r="AR1846" s="6" t="s">
        <v>16475</v>
      </c>
      <c r="AS1846" s="6" t="s">
        <v>16686</v>
      </c>
      <c r="AT1846" s="6" t="s">
        <v>16931</v>
      </c>
      <c r="AU1846" s="6" t="s">
        <v>20033</v>
      </c>
      <c r="AV1846" s="6" t="s">
        <v>104</v>
      </c>
      <c r="AW1846" s="6" t="s">
        <v>104</v>
      </c>
      <c r="AX1846" s="6" t="s">
        <v>21556</v>
      </c>
      <c r="AY1846" s="6" t="s">
        <v>23362</v>
      </c>
      <c r="AZ1846" s="6" t="s">
        <v>104</v>
      </c>
      <c r="BA1846" s="6" t="s">
        <v>104</v>
      </c>
      <c r="BB1846" s="6" t="s">
        <v>104</v>
      </c>
      <c r="BC1846" s="26"/>
      <c r="BD1846" s="26"/>
      <c r="BE1846" s="26"/>
      <c r="BF1846" s="26"/>
      <c r="BG1846" s="26"/>
      <c r="BH1846" s="26"/>
      <c r="BI1846" s="26"/>
      <c r="BJ1846" s="26"/>
      <c r="BK1846" s="26"/>
      <c r="BL1846" s="26"/>
      <c r="BM1846" s="26"/>
      <c r="BN1846" s="26"/>
      <c r="BO1846" s="26"/>
      <c r="BP1846" s="16" t="n">
        <v>45737</v>
      </c>
      <c r="BQ1846" s="28" t="str">
        <f>HYPERLINK("https://organic.ams.usda.gov/Integrity/Certificate.aspx?cid=31&amp;nopid=3928972486")</f>
        <v>https://organic.ams.usda.gov/Integrity/Certificate.aspx?cid=31&amp;nopid=3928972486</v>
      </c>
    </row>
    <row r="1847">
      <c r="A1847" t="s">
        <v>3</v>
      </c>
      <c r="B1847" s="6" t="s">
        <v>14</v>
      </c>
      <c r="C1847" s="6" t="s">
        <v>80</v>
      </c>
      <c r="D1847" s="6" t="s">
        <v>145</v>
      </c>
      <c r="E1847" s="10" t="s">
        <v>2045</v>
      </c>
      <c r="F1847" s="6" t="s">
        <v>4267</v>
      </c>
      <c r="G1847" s="6" t="s">
        <v>104</v>
      </c>
      <c r="H1847" s="6" t="s">
        <v>6565</v>
      </c>
      <c r="I1847" s="6" t="s">
        <v>7959</v>
      </c>
      <c r="J1847" s="6" t="s">
        <v>9457</v>
      </c>
      <c r="K1847" s="6" t="s">
        <v>9714</v>
      </c>
      <c r="L1847" s="16" t="n">
        <v>45268</v>
      </c>
      <c r="M1847" s="16" t="n">
        <v>45557</v>
      </c>
      <c r="N1847" s="6" t="s">
        <v>104</v>
      </c>
      <c r="O1847" s="21" t="s">
        <v>104</v>
      </c>
      <c r="P1847" s="6" t="s">
        <v>104</v>
      </c>
      <c r="Q1847" s="6" t="s">
        <v>104</v>
      </c>
      <c r="R1847" s="6" t="s">
        <v>104</v>
      </c>
      <c r="S1847" s="6" t="s">
        <v>104</v>
      </c>
      <c r="T1847" s="21" t="s">
        <v>104</v>
      </c>
      <c r="U1847" s="6" t="s">
        <v>104</v>
      </c>
      <c r="V1847" s="6" t="s">
        <v>104</v>
      </c>
      <c r="W1847" s="6" t="s">
        <v>104</v>
      </c>
      <c r="X1847" s="6" t="s">
        <v>104</v>
      </c>
      <c r="Y1847" s="21" t="s">
        <v>104</v>
      </c>
      <c r="Z1847" s="6" t="s">
        <v>104</v>
      </c>
      <c r="AA1847" s="6" t="s">
        <v>104</v>
      </c>
      <c r="AB1847" s="6" t="s">
        <v>104</v>
      </c>
      <c r="AC1847" s="6" t="s">
        <v>9714</v>
      </c>
      <c r="AD1847" s="16" t="n">
        <v>45268</v>
      </c>
      <c r="AE1847" s="6" t="s">
        <v>12131</v>
      </c>
      <c r="AF1847" s="6" t="s">
        <v>104</v>
      </c>
      <c r="AG1847" s="6" t="s">
        <v>104</v>
      </c>
      <c r="AH1847" s="6" t="s">
        <v>14847</v>
      </c>
      <c r="AI1847" s="6" t="s">
        <v>104</v>
      </c>
      <c r="AJ1847" s="6" t="s">
        <v>15769</v>
      </c>
      <c r="AK1847" s="6" t="s">
        <v>16699</v>
      </c>
      <c r="AL1847" s="6" t="s">
        <v>16932</v>
      </c>
      <c r="AM1847" s="6" t="s">
        <v>17580</v>
      </c>
      <c r="AN1847" s="6" t="s">
        <v>104</v>
      </c>
      <c r="AO1847" s="6" t="s">
        <v>104</v>
      </c>
      <c r="AP1847" s="6" t="s">
        <v>104</v>
      </c>
      <c r="AQ1847" s="6" t="s">
        <v>104</v>
      </c>
      <c r="AR1847" s="6" t="s">
        <v>104</v>
      </c>
      <c r="AS1847" s="6" t="s">
        <v>104</v>
      </c>
      <c r="AT1847" s="6" t="s">
        <v>104</v>
      </c>
      <c r="AU1847" s="6" t="s">
        <v>104</v>
      </c>
      <c r="AV1847" s="6" t="s">
        <v>104</v>
      </c>
      <c r="AW1847" s="6" t="s">
        <v>104</v>
      </c>
      <c r="AX1847" s="6" t="s">
        <v>21557</v>
      </c>
      <c r="AY1847" s="6" t="s">
        <v>23363</v>
      </c>
      <c r="AZ1847" s="6" t="s">
        <v>104</v>
      </c>
      <c r="BA1847" s="6" t="s">
        <v>24272</v>
      </c>
      <c r="BB1847" s="6" t="s">
        <v>104</v>
      </c>
      <c r="BC1847" s="26"/>
      <c r="BD1847" s="26"/>
      <c r="BE1847" s="26"/>
      <c r="BF1847" s="26"/>
      <c r="BG1847" s="26"/>
      <c r="BH1847" s="26"/>
      <c r="BI1847" s="26"/>
      <c r="BJ1847" s="26"/>
      <c r="BK1847" s="26"/>
      <c r="BL1847" s="26"/>
      <c r="BM1847" s="26"/>
      <c r="BN1847" s="26"/>
      <c r="BO1847" s="26"/>
      <c r="BP1847" s="16" t="n">
        <v>45724</v>
      </c>
      <c r="BQ1847" s="28" t="str">
        <f>HYPERLINK("https://organic.ams.usda.gov/Integrity/Certificate.aspx?cid=89&amp;nopid=4920006640")</f>
        <v>https://organic.ams.usda.gov/Integrity/Certificate.aspx?cid=89&amp;nopid=4920006640</v>
      </c>
    </row>
    <row r="1848">
      <c r="A1848" t="s">
        <v>3</v>
      </c>
      <c r="B1848" s="6" t="s">
        <v>53</v>
      </c>
      <c r="C1848" s="6" t="s">
        <v>119</v>
      </c>
      <c r="D1848" s="6" t="s">
        <v>183</v>
      </c>
      <c r="E1848" s="10" t="s">
        <v>2046</v>
      </c>
      <c r="F1848" s="6" t="s">
        <v>4268</v>
      </c>
      <c r="G1848" s="6" t="s">
        <v>104</v>
      </c>
      <c r="H1848" s="6" t="s">
        <v>104</v>
      </c>
      <c r="I1848" s="6" t="s">
        <v>7960</v>
      </c>
      <c r="J1848" s="6" t="s">
        <v>9458</v>
      </c>
      <c r="K1848" s="6" t="s">
        <v>9714</v>
      </c>
      <c r="L1848" s="16" t="n">
        <v>45021</v>
      </c>
      <c r="M1848" s="16" t="n">
        <v>45752</v>
      </c>
      <c r="N1848" s="6" t="s">
        <v>104</v>
      </c>
      <c r="O1848" s="21" t="s">
        <v>104</v>
      </c>
      <c r="P1848" s="6" t="s">
        <v>104</v>
      </c>
      <c r="Q1848" s="6" t="s">
        <v>104</v>
      </c>
      <c r="R1848" s="6" t="s">
        <v>104</v>
      </c>
      <c r="S1848" s="6" t="s">
        <v>104</v>
      </c>
      <c r="T1848" s="21" t="s">
        <v>104</v>
      </c>
      <c r="U1848" s="6" t="s">
        <v>104</v>
      </c>
      <c r="V1848" s="6" t="s">
        <v>104</v>
      </c>
      <c r="W1848" s="6" t="s">
        <v>104</v>
      </c>
      <c r="X1848" s="6" t="s">
        <v>104</v>
      </c>
      <c r="Y1848" s="21" t="s">
        <v>104</v>
      </c>
      <c r="Z1848" s="6" t="s">
        <v>104</v>
      </c>
      <c r="AA1848" s="6" t="s">
        <v>104</v>
      </c>
      <c r="AB1848" s="6" t="s">
        <v>104</v>
      </c>
      <c r="AC1848" s="6" t="s">
        <v>9714</v>
      </c>
      <c r="AD1848" s="16" t="n">
        <v>45021</v>
      </c>
      <c r="AE1848" s="6" t="s">
        <v>12132</v>
      </c>
      <c r="AF1848" s="6" t="s">
        <v>104</v>
      </c>
      <c r="AG1848" s="6" t="s">
        <v>104</v>
      </c>
      <c r="AH1848" s="6" t="s">
        <v>14848</v>
      </c>
      <c r="AI1848" s="6" t="s">
        <v>104</v>
      </c>
      <c r="AJ1848" s="6" t="s">
        <v>7308</v>
      </c>
      <c r="AK1848" s="6" t="s">
        <v>16725</v>
      </c>
      <c r="AL1848" s="6" t="s">
        <v>16931</v>
      </c>
      <c r="AM1848" s="6" t="s">
        <v>18203</v>
      </c>
      <c r="AN1848" s="6" t="s">
        <v>18465</v>
      </c>
      <c r="AO1848" s="6" t="s">
        <v>18894</v>
      </c>
      <c r="AP1848" s="6" t="s">
        <v>104</v>
      </c>
      <c r="AQ1848" s="6" t="s">
        <v>104</v>
      </c>
      <c r="AR1848" s="6" t="s">
        <v>104</v>
      </c>
      <c r="AS1848" s="6" t="s">
        <v>104</v>
      </c>
      <c r="AT1848" s="6" t="s">
        <v>104</v>
      </c>
      <c r="AU1848" s="6" t="s">
        <v>104</v>
      </c>
      <c r="AV1848" s="6" t="s">
        <v>104</v>
      </c>
      <c r="AW1848" s="6" t="s">
        <v>104</v>
      </c>
      <c r="AX1848" s="6" t="s">
        <v>104</v>
      </c>
      <c r="AY1848" s="6" t="s">
        <v>23364</v>
      </c>
      <c r="AZ1848" s="6" t="s">
        <v>104</v>
      </c>
      <c r="BA1848" s="6" t="s">
        <v>104</v>
      </c>
      <c r="BB1848" s="6" t="s">
        <v>104</v>
      </c>
      <c r="BC1848" s="26"/>
      <c r="BD1848" s="26"/>
      <c r="BE1848" s="26"/>
      <c r="BF1848" s="26"/>
      <c r="BG1848" s="26"/>
      <c r="BH1848" s="26"/>
      <c r="BI1848" s="26"/>
      <c r="BJ1848" s="26"/>
      <c r="BK1848" s="26"/>
      <c r="BL1848" s="26"/>
      <c r="BM1848" s="26"/>
      <c r="BN1848" s="26"/>
      <c r="BO1848" s="26"/>
      <c r="BP1848" s="16" t="n">
        <v>45597</v>
      </c>
      <c r="BQ1848" s="28" t="str">
        <f>HYPERLINK("https://organic.ams.usda.gov/Integrity/Certificate.aspx?cid=74&amp;nopid=5350000262")</f>
        <v>https://organic.ams.usda.gov/Integrity/Certificate.aspx?cid=74&amp;nopid=5350000262</v>
      </c>
    </row>
    <row r="1849">
      <c r="A1849" t="s">
        <v>3</v>
      </c>
      <c r="B1849" s="6" t="s">
        <v>29</v>
      </c>
      <c r="C1849" s="6" t="s">
        <v>95</v>
      </c>
      <c r="D1849" s="6" t="s">
        <v>160</v>
      </c>
      <c r="E1849" s="10" t="s">
        <v>2047</v>
      </c>
      <c r="F1849" s="6" t="s">
        <v>4269</v>
      </c>
      <c r="G1849" s="6" t="s">
        <v>104</v>
      </c>
      <c r="H1849" s="6" t="s">
        <v>6566</v>
      </c>
      <c r="I1849" s="6" t="s">
        <v>104</v>
      </c>
      <c r="J1849" s="6" t="s">
        <v>104</v>
      </c>
      <c r="K1849" s="6" t="s">
        <v>9714</v>
      </c>
      <c r="L1849" s="16" t="n">
        <v>45553</v>
      </c>
      <c r="M1849" s="16" t="n">
        <v>45778</v>
      </c>
      <c r="N1849" s="6" t="s">
        <v>104</v>
      </c>
      <c r="O1849" s="21" t="s">
        <v>104</v>
      </c>
      <c r="P1849" s="6" t="s">
        <v>104</v>
      </c>
      <c r="Q1849" s="6" t="s">
        <v>104</v>
      </c>
      <c r="R1849" s="6" t="s">
        <v>104</v>
      </c>
      <c r="S1849" s="6" t="s">
        <v>104</v>
      </c>
      <c r="T1849" s="21" t="s">
        <v>104</v>
      </c>
      <c r="U1849" s="6" t="s">
        <v>104</v>
      </c>
      <c r="V1849" s="6" t="s">
        <v>104</v>
      </c>
      <c r="W1849" s="6" t="s">
        <v>104</v>
      </c>
      <c r="X1849" s="6" t="s">
        <v>104</v>
      </c>
      <c r="Y1849" s="21" t="s">
        <v>104</v>
      </c>
      <c r="Z1849" s="6" t="s">
        <v>104</v>
      </c>
      <c r="AA1849" s="6" t="s">
        <v>104</v>
      </c>
      <c r="AB1849" s="6" t="s">
        <v>104</v>
      </c>
      <c r="AC1849" s="6" t="s">
        <v>9714</v>
      </c>
      <c r="AD1849" s="16" t="n">
        <v>45553</v>
      </c>
      <c r="AE1849" s="6" t="s">
        <v>12133</v>
      </c>
      <c r="AF1849" s="6" t="s">
        <v>104</v>
      </c>
      <c r="AG1849" s="6" t="s">
        <v>104</v>
      </c>
      <c r="AH1849" s="6" t="s">
        <v>14849</v>
      </c>
      <c r="AI1849" s="6" t="s">
        <v>104</v>
      </c>
      <c r="AJ1849" s="6" t="s">
        <v>104</v>
      </c>
      <c r="AK1849" s="6" t="s">
        <v>16891</v>
      </c>
      <c r="AL1849" s="6" t="s">
        <v>16932</v>
      </c>
      <c r="AM1849" s="6" t="s">
        <v>18204</v>
      </c>
      <c r="AN1849" s="6" t="s">
        <v>104</v>
      </c>
      <c r="AO1849" s="6" t="s">
        <v>104</v>
      </c>
      <c r="AP1849" s="6" t="s">
        <v>104</v>
      </c>
      <c r="AQ1849" s="6" t="s">
        <v>104</v>
      </c>
      <c r="AR1849" s="6" t="s">
        <v>104</v>
      </c>
      <c r="AS1849" s="6" t="s">
        <v>104</v>
      </c>
      <c r="AT1849" s="6" t="s">
        <v>104</v>
      </c>
      <c r="AU1849" s="6" t="s">
        <v>104</v>
      </c>
      <c r="AV1849" s="6" t="s">
        <v>104</v>
      </c>
      <c r="AW1849" s="6" t="s">
        <v>104</v>
      </c>
      <c r="AX1849" s="6" t="s">
        <v>104</v>
      </c>
      <c r="AY1849" s="6" t="s">
        <v>23365</v>
      </c>
      <c r="AZ1849" s="6" t="s">
        <v>104</v>
      </c>
      <c r="BA1849" s="6" t="s">
        <v>104</v>
      </c>
      <c r="BB1849" s="24" t="n">
        <v>0</v>
      </c>
      <c r="BC1849" s="26"/>
      <c r="BD1849" s="26"/>
      <c r="BE1849" s="26"/>
      <c r="BF1849" s="26"/>
      <c r="BG1849" s="26"/>
      <c r="BH1849" s="26"/>
      <c r="BI1849" s="26"/>
      <c r="BJ1849" s="26"/>
      <c r="BK1849" s="26"/>
      <c r="BL1849" s="26"/>
      <c r="BM1849" s="26"/>
      <c r="BN1849" s="26"/>
      <c r="BO1849" s="26"/>
      <c r="BP1849" s="16" t="n">
        <v>45554</v>
      </c>
      <c r="BQ1849" s="28" t="str">
        <f>HYPERLINK("https://organic.ams.usda.gov/Integrity/Certificate.aspx?cid=24&amp;nopid=7880296171")</f>
        <v>https://organic.ams.usda.gov/Integrity/Certificate.aspx?cid=24&amp;nopid=7880296171</v>
      </c>
    </row>
    <row r="1850">
      <c r="A1850" t="s">
        <v>3</v>
      </c>
      <c r="B1850" s="6" t="s">
        <v>11</v>
      </c>
      <c r="C1850" s="6" t="s">
        <v>77</v>
      </c>
      <c r="D1850" s="6" t="s">
        <v>142</v>
      </c>
      <c r="E1850" s="10" t="s">
        <v>2048</v>
      </c>
      <c r="F1850" s="6" t="s">
        <v>4270</v>
      </c>
      <c r="G1850" s="6" t="s">
        <v>104</v>
      </c>
      <c r="H1850" s="6" t="s">
        <v>2048</v>
      </c>
      <c r="I1850" s="6" t="s">
        <v>7961</v>
      </c>
      <c r="J1850" s="6" t="s">
        <v>8604</v>
      </c>
      <c r="K1850" s="6" t="s">
        <v>9714</v>
      </c>
      <c r="L1850" s="16" t="n">
        <v>44790</v>
      </c>
      <c r="M1850" s="16" t="n">
        <v>45858</v>
      </c>
      <c r="N1850" s="6" t="s">
        <v>104</v>
      </c>
      <c r="O1850" s="21" t="s">
        <v>104</v>
      </c>
      <c r="P1850" s="6" t="s">
        <v>104</v>
      </c>
      <c r="Q1850" s="6" t="s">
        <v>104</v>
      </c>
      <c r="R1850" s="6" t="s">
        <v>104</v>
      </c>
      <c r="S1850" s="6" t="s">
        <v>104</v>
      </c>
      <c r="T1850" s="21" t="s">
        <v>104</v>
      </c>
      <c r="U1850" s="6" t="s">
        <v>104</v>
      </c>
      <c r="V1850" s="6" t="s">
        <v>104</v>
      </c>
      <c r="W1850" s="6" t="s">
        <v>104</v>
      </c>
      <c r="X1850" s="6" t="s">
        <v>104</v>
      </c>
      <c r="Y1850" s="21" t="s">
        <v>104</v>
      </c>
      <c r="Z1850" s="6" t="s">
        <v>104</v>
      </c>
      <c r="AA1850" s="6" t="s">
        <v>104</v>
      </c>
      <c r="AB1850" s="6" t="s">
        <v>104</v>
      </c>
      <c r="AC1850" s="6" t="s">
        <v>9714</v>
      </c>
      <c r="AD1850" s="16" t="n">
        <v>44790</v>
      </c>
      <c r="AE1850" s="6" t="s">
        <v>12134</v>
      </c>
      <c r="AF1850" s="6" t="s">
        <v>104</v>
      </c>
      <c r="AG1850" s="6" t="s">
        <v>13047</v>
      </c>
      <c r="AH1850" s="6" t="s">
        <v>14850</v>
      </c>
      <c r="AI1850" s="6" t="s">
        <v>104</v>
      </c>
      <c r="AJ1850" s="6" t="s">
        <v>16399</v>
      </c>
      <c r="AK1850" s="6" t="s">
        <v>16882</v>
      </c>
      <c r="AL1850" s="6" t="s">
        <v>16932</v>
      </c>
      <c r="AM1850" s="6" t="s">
        <v>18205</v>
      </c>
      <c r="AN1850" s="6" t="s">
        <v>104</v>
      </c>
      <c r="AO1850" s="6" t="s">
        <v>104</v>
      </c>
      <c r="AP1850" s="6" t="s">
        <v>14850</v>
      </c>
      <c r="AQ1850" s="6" t="s">
        <v>104</v>
      </c>
      <c r="AR1850" s="6" t="s">
        <v>16399</v>
      </c>
      <c r="AS1850" s="6" t="s">
        <v>16882</v>
      </c>
      <c r="AT1850" s="6" t="s">
        <v>16932</v>
      </c>
      <c r="AU1850" s="6" t="s">
        <v>18205</v>
      </c>
      <c r="AV1850" s="6" t="s">
        <v>104</v>
      </c>
      <c r="AW1850" s="6" t="s">
        <v>104</v>
      </c>
      <c r="AX1850" s="6" t="s">
        <v>21558</v>
      </c>
      <c r="AY1850" s="6" t="s">
        <v>23366</v>
      </c>
      <c r="AZ1850" s="6" t="s">
        <v>104</v>
      </c>
      <c r="BA1850" s="6" t="s">
        <v>104</v>
      </c>
      <c r="BB1850" s="6" t="s">
        <v>104</v>
      </c>
      <c r="BC1850" s="26"/>
      <c r="BD1850" s="26"/>
      <c r="BE1850" s="26"/>
      <c r="BF1850" s="26"/>
      <c r="BG1850" s="26"/>
      <c r="BH1850" s="26"/>
      <c r="BI1850" s="26"/>
      <c r="BJ1850" s="26"/>
      <c r="BK1850" s="26"/>
      <c r="BL1850" s="26"/>
      <c r="BM1850" s="26"/>
      <c r="BN1850" s="26" t="s">
        <v>24533</v>
      </c>
      <c r="BO1850" s="26"/>
      <c r="BP1850" s="16" t="n">
        <v>45593</v>
      </c>
      <c r="BQ1850" s="28" t="str">
        <f>HYPERLINK("https://organic.ams.usda.gov/Integrity/Certificate.aspx?cid=21&amp;nopid=1780889632")</f>
        <v>https://organic.ams.usda.gov/Integrity/Certificate.aspx?cid=21&amp;nopid=1780889632</v>
      </c>
    </row>
    <row r="1851">
      <c r="A1851" t="s">
        <v>3</v>
      </c>
      <c r="B1851" s="6" t="s">
        <v>29</v>
      </c>
      <c r="C1851" s="6" t="s">
        <v>95</v>
      </c>
      <c r="D1851" s="6" t="s">
        <v>160</v>
      </c>
      <c r="E1851" s="10" t="s">
        <v>2049</v>
      </c>
      <c r="F1851" s="6" t="s">
        <v>4270</v>
      </c>
      <c r="G1851" s="6" t="s">
        <v>104</v>
      </c>
      <c r="H1851" s="6" t="s">
        <v>6567</v>
      </c>
      <c r="I1851" s="6" t="s">
        <v>104</v>
      </c>
      <c r="J1851" s="6" t="s">
        <v>9459</v>
      </c>
      <c r="K1851" s="6" t="s">
        <v>9714</v>
      </c>
      <c r="L1851" s="16" t="n">
        <v>44579</v>
      </c>
      <c r="M1851" s="16" t="n">
        <v>45870</v>
      </c>
      <c r="N1851" s="6" t="s">
        <v>104</v>
      </c>
      <c r="O1851" s="21" t="s">
        <v>104</v>
      </c>
      <c r="P1851" s="6" t="s">
        <v>104</v>
      </c>
      <c r="Q1851" s="6" t="s">
        <v>104</v>
      </c>
      <c r="R1851" s="6" t="s">
        <v>104</v>
      </c>
      <c r="S1851" s="6" t="s">
        <v>104</v>
      </c>
      <c r="T1851" s="21" t="s">
        <v>104</v>
      </c>
      <c r="U1851" s="6" t="s">
        <v>104</v>
      </c>
      <c r="V1851" s="6" t="s">
        <v>104</v>
      </c>
      <c r="W1851" s="6" t="s">
        <v>104</v>
      </c>
      <c r="X1851" s="6" t="s">
        <v>104</v>
      </c>
      <c r="Y1851" s="21" t="s">
        <v>104</v>
      </c>
      <c r="Z1851" s="6" t="s">
        <v>104</v>
      </c>
      <c r="AA1851" s="6" t="s">
        <v>104</v>
      </c>
      <c r="AB1851" s="6" t="s">
        <v>104</v>
      </c>
      <c r="AC1851" s="6" t="s">
        <v>9714</v>
      </c>
      <c r="AD1851" s="16" t="n">
        <v>44579</v>
      </c>
      <c r="AE1851" s="6" t="s">
        <v>12135</v>
      </c>
      <c r="AF1851" s="6" t="s">
        <v>104</v>
      </c>
      <c r="AG1851" s="6" t="s">
        <v>104</v>
      </c>
      <c r="AH1851" s="6" t="s">
        <v>14851</v>
      </c>
      <c r="AI1851" s="6" t="s">
        <v>104</v>
      </c>
      <c r="AJ1851" s="6" t="s">
        <v>104</v>
      </c>
      <c r="AK1851" s="6" t="s">
        <v>16685</v>
      </c>
      <c r="AL1851" s="6" t="s">
        <v>16932</v>
      </c>
      <c r="AM1851" s="6" t="s">
        <v>18206</v>
      </c>
      <c r="AN1851" s="6" t="s">
        <v>104</v>
      </c>
      <c r="AO1851" s="6" t="s">
        <v>104</v>
      </c>
      <c r="AP1851" s="6" t="s">
        <v>104</v>
      </c>
      <c r="AQ1851" s="6" t="s">
        <v>104</v>
      </c>
      <c r="AR1851" s="6" t="s">
        <v>104</v>
      </c>
      <c r="AS1851" s="6" t="s">
        <v>104</v>
      </c>
      <c r="AT1851" s="6" t="s">
        <v>104</v>
      </c>
      <c r="AU1851" s="6" t="s">
        <v>104</v>
      </c>
      <c r="AV1851" s="6" t="s">
        <v>104</v>
      </c>
      <c r="AW1851" s="6" t="s">
        <v>104</v>
      </c>
      <c r="AX1851" s="6" t="s">
        <v>21559</v>
      </c>
      <c r="AY1851" s="6" t="s">
        <v>23367</v>
      </c>
      <c r="AZ1851" s="6" t="s">
        <v>104</v>
      </c>
      <c r="BA1851" s="6" t="s">
        <v>104</v>
      </c>
      <c r="BB1851" s="24" t="n">
        <v>0</v>
      </c>
      <c r="BC1851" s="26"/>
      <c r="BD1851" s="26"/>
      <c r="BE1851" s="26"/>
      <c r="BF1851" s="26"/>
      <c r="BG1851" s="26"/>
      <c r="BH1851" s="26"/>
      <c r="BI1851" s="26"/>
      <c r="BJ1851" s="26"/>
      <c r="BK1851" s="26"/>
      <c r="BL1851" s="26"/>
      <c r="BM1851" s="26"/>
      <c r="BN1851" s="26"/>
      <c r="BO1851" s="26"/>
      <c r="BP1851" s="16" t="n">
        <v>45659</v>
      </c>
      <c r="BQ1851" s="28" t="str">
        <f>HYPERLINK("https://organic.ams.usda.gov/Integrity/Certificate.aspx?cid=24&amp;nopid=7880221613")</f>
        <v>https://organic.ams.usda.gov/Integrity/Certificate.aspx?cid=24&amp;nopid=7880221613</v>
      </c>
    </row>
    <row r="1852">
      <c r="A1852" t="s">
        <v>3</v>
      </c>
      <c r="B1852" s="6" t="s">
        <v>14</v>
      </c>
      <c r="C1852" s="6" t="s">
        <v>80</v>
      </c>
      <c r="D1852" s="6" t="s">
        <v>145</v>
      </c>
      <c r="E1852" s="10" t="s">
        <v>2050</v>
      </c>
      <c r="F1852" s="6" t="s">
        <v>4271</v>
      </c>
      <c r="G1852" s="6" t="s">
        <v>4855</v>
      </c>
      <c r="H1852" s="6" t="s">
        <v>6568</v>
      </c>
      <c r="I1852" s="6" t="s">
        <v>7962</v>
      </c>
      <c r="J1852" s="6" t="s">
        <v>9460</v>
      </c>
      <c r="K1852" s="6" t="s">
        <v>9714</v>
      </c>
      <c r="L1852" s="16" t="n">
        <v>44582</v>
      </c>
      <c r="M1852" s="16" t="n">
        <v>45887</v>
      </c>
      <c r="N1852" s="6" t="s">
        <v>9714</v>
      </c>
      <c r="O1852" s="16" t="n">
        <v>44582</v>
      </c>
      <c r="P1852" s="6" t="s">
        <v>10205</v>
      </c>
      <c r="Q1852" s="6" t="s">
        <v>104</v>
      </c>
      <c r="R1852" s="6" t="s">
        <v>104</v>
      </c>
      <c r="S1852" s="6" t="s">
        <v>104</v>
      </c>
      <c r="T1852" s="21" t="s">
        <v>104</v>
      </c>
      <c r="U1852" s="6" t="s">
        <v>104</v>
      </c>
      <c r="V1852" s="6" t="s">
        <v>104</v>
      </c>
      <c r="W1852" s="6" t="s">
        <v>104</v>
      </c>
      <c r="X1852" s="6" t="s">
        <v>104</v>
      </c>
      <c r="Y1852" s="21" t="s">
        <v>104</v>
      </c>
      <c r="Z1852" s="6" t="s">
        <v>104</v>
      </c>
      <c r="AA1852" s="6" t="s">
        <v>104</v>
      </c>
      <c r="AB1852" s="6" t="s">
        <v>104</v>
      </c>
      <c r="AC1852" s="6" t="s">
        <v>104</v>
      </c>
      <c r="AD1852" s="21" t="s">
        <v>104</v>
      </c>
      <c r="AE1852" s="6" t="s">
        <v>104</v>
      </c>
      <c r="AF1852" s="6" t="s">
        <v>104</v>
      </c>
      <c r="AG1852" s="6" t="s">
        <v>104</v>
      </c>
      <c r="AH1852" s="6" t="s">
        <v>14852</v>
      </c>
      <c r="AI1852" s="6" t="s">
        <v>104</v>
      </c>
      <c r="AJ1852" s="6" t="s">
        <v>16476</v>
      </c>
      <c r="AK1852" s="6" t="s">
        <v>16270</v>
      </c>
      <c r="AL1852" s="6" t="s">
        <v>16932</v>
      </c>
      <c r="AM1852" s="6" t="s">
        <v>18207</v>
      </c>
      <c r="AN1852" s="6" t="s">
        <v>104</v>
      </c>
      <c r="AO1852" s="6" t="s">
        <v>104</v>
      </c>
      <c r="AP1852" s="6" t="s">
        <v>19441</v>
      </c>
      <c r="AQ1852" s="6" t="s">
        <v>104</v>
      </c>
      <c r="AR1852" s="6" t="s">
        <v>19755</v>
      </c>
      <c r="AS1852" s="6" t="s">
        <v>16270</v>
      </c>
      <c r="AT1852" s="6" t="s">
        <v>16932</v>
      </c>
      <c r="AU1852" s="6" t="s">
        <v>18207</v>
      </c>
      <c r="AV1852" s="6" t="s">
        <v>104</v>
      </c>
      <c r="AW1852" s="6" t="s">
        <v>104</v>
      </c>
      <c r="AX1852" s="6" t="s">
        <v>104</v>
      </c>
      <c r="AY1852" s="6" t="s">
        <v>23368</v>
      </c>
      <c r="AZ1852" s="6" t="s">
        <v>104</v>
      </c>
      <c r="BA1852" s="6" t="s">
        <v>24267</v>
      </c>
      <c r="BB1852" s="24" t="n">
        <v>1967</v>
      </c>
      <c r="BC1852" s="26"/>
      <c r="BD1852" s="26"/>
      <c r="BE1852" s="26"/>
      <c r="BF1852" s="26"/>
      <c r="BG1852" s="26"/>
      <c r="BH1852" s="26"/>
      <c r="BI1852" s="26"/>
      <c r="BJ1852" s="26"/>
      <c r="BK1852" s="26"/>
      <c r="BL1852" s="26"/>
      <c r="BM1852" s="26"/>
      <c r="BN1852" s="26"/>
      <c r="BO1852" s="26"/>
      <c r="BP1852" s="16" t="n">
        <v>45682</v>
      </c>
      <c r="BQ1852" s="28" t="str">
        <f>HYPERLINK("https://organic.ams.usda.gov/Integrity/Certificate.aspx?cid=89&amp;nopid=4920005361")</f>
        <v>https://organic.ams.usda.gov/Integrity/Certificate.aspx?cid=89&amp;nopid=4920005361</v>
      </c>
    </row>
    <row r="1853">
      <c r="A1853" t="s">
        <v>3</v>
      </c>
      <c r="B1853" s="6" t="s">
        <v>14</v>
      </c>
      <c r="C1853" s="6" t="s">
        <v>80</v>
      </c>
      <c r="D1853" s="6" t="s">
        <v>145</v>
      </c>
      <c r="E1853" s="10" t="s">
        <v>2051</v>
      </c>
      <c r="F1853" s="6" t="s">
        <v>4272</v>
      </c>
      <c r="G1853" s="6" t="s">
        <v>104</v>
      </c>
      <c r="H1853" s="6" t="s">
        <v>6569</v>
      </c>
      <c r="I1853" s="6" t="s">
        <v>7962</v>
      </c>
      <c r="J1853" s="6" t="s">
        <v>9460</v>
      </c>
      <c r="K1853" s="6" t="s">
        <v>9714</v>
      </c>
      <c r="L1853" s="16" t="n">
        <v>44607</v>
      </c>
      <c r="M1853" s="16" t="n">
        <v>45520</v>
      </c>
      <c r="N1853" s="6" t="s">
        <v>9714</v>
      </c>
      <c r="O1853" s="16" t="n">
        <v>44607</v>
      </c>
      <c r="P1853" s="6" t="s">
        <v>10205</v>
      </c>
      <c r="Q1853" s="6" t="s">
        <v>104</v>
      </c>
      <c r="R1853" s="6" t="s">
        <v>104</v>
      </c>
      <c r="S1853" s="6" t="s">
        <v>104</v>
      </c>
      <c r="T1853" s="21" t="s">
        <v>104</v>
      </c>
      <c r="U1853" s="6" t="s">
        <v>104</v>
      </c>
      <c r="V1853" s="6" t="s">
        <v>104</v>
      </c>
      <c r="W1853" s="6" t="s">
        <v>104</v>
      </c>
      <c r="X1853" s="6" t="s">
        <v>104</v>
      </c>
      <c r="Y1853" s="21" t="s">
        <v>104</v>
      </c>
      <c r="Z1853" s="6" t="s">
        <v>104</v>
      </c>
      <c r="AA1853" s="6" t="s">
        <v>104</v>
      </c>
      <c r="AB1853" s="6" t="s">
        <v>104</v>
      </c>
      <c r="AC1853" s="6" t="s">
        <v>104</v>
      </c>
      <c r="AD1853" s="21" t="s">
        <v>104</v>
      </c>
      <c r="AE1853" s="6" t="s">
        <v>104</v>
      </c>
      <c r="AF1853" s="6" t="s">
        <v>104</v>
      </c>
      <c r="AG1853" s="6" t="s">
        <v>104</v>
      </c>
      <c r="AH1853" s="6" t="s">
        <v>14853</v>
      </c>
      <c r="AI1853" s="6" t="s">
        <v>104</v>
      </c>
      <c r="AJ1853" s="6" t="s">
        <v>16477</v>
      </c>
      <c r="AK1853" s="6" t="s">
        <v>16270</v>
      </c>
      <c r="AL1853" s="6" t="s">
        <v>16932</v>
      </c>
      <c r="AM1853" s="6" t="s">
        <v>18207</v>
      </c>
      <c r="AN1853" s="6" t="s">
        <v>104</v>
      </c>
      <c r="AO1853" s="6" t="s">
        <v>104</v>
      </c>
      <c r="AP1853" s="6" t="s">
        <v>19442</v>
      </c>
      <c r="AQ1853" s="6" t="s">
        <v>104</v>
      </c>
      <c r="AR1853" s="6" t="s">
        <v>16477</v>
      </c>
      <c r="AS1853" s="6" t="s">
        <v>16270</v>
      </c>
      <c r="AT1853" s="6" t="s">
        <v>16932</v>
      </c>
      <c r="AU1853" s="6" t="s">
        <v>18207</v>
      </c>
      <c r="AV1853" s="6" t="s">
        <v>104</v>
      </c>
      <c r="AW1853" s="6" t="s">
        <v>104</v>
      </c>
      <c r="AX1853" s="6" t="s">
        <v>21560</v>
      </c>
      <c r="AY1853" s="6" t="s">
        <v>23368</v>
      </c>
      <c r="AZ1853" s="6" t="s">
        <v>104</v>
      </c>
      <c r="BA1853" s="6" t="s">
        <v>24319</v>
      </c>
      <c r="BB1853" s="24" t="n">
        <v>4461</v>
      </c>
      <c r="BC1853" s="26"/>
      <c r="BD1853" s="26"/>
      <c r="BE1853" s="26"/>
      <c r="BF1853" s="26"/>
      <c r="BG1853" s="26"/>
      <c r="BH1853" s="26"/>
      <c r="BI1853" s="26"/>
      <c r="BJ1853" s="26"/>
      <c r="BK1853" s="26"/>
      <c r="BL1853" s="26"/>
      <c r="BM1853" s="26"/>
      <c r="BN1853" s="26"/>
      <c r="BO1853" s="26"/>
      <c r="BP1853" s="16" t="n">
        <v>45370</v>
      </c>
      <c r="BQ1853" s="28" t="str">
        <f>HYPERLINK("https://organic.ams.usda.gov/Integrity/Certificate.aspx?cid=89&amp;nopid=4920004416")</f>
        <v>https://organic.ams.usda.gov/Integrity/Certificate.aspx?cid=89&amp;nopid=4920004416</v>
      </c>
    </row>
    <row r="1854">
      <c r="A1854" t="s">
        <v>3</v>
      </c>
      <c r="B1854" s="6" t="s">
        <v>6</v>
      </c>
      <c r="C1854" s="6" t="s">
        <v>72</v>
      </c>
      <c r="D1854" s="6" t="s">
        <v>137</v>
      </c>
      <c r="E1854" s="10" t="s">
        <v>2052</v>
      </c>
      <c r="F1854" s="6" t="s">
        <v>4273</v>
      </c>
      <c r="G1854" s="6" t="s">
        <v>104</v>
      </c>
      <c r="H1854" s="6" t="s">
        <v>6570</v>
      </c>
      <c r="I1854" s="6" t="s">
        <v>7929</v>
      </c>
      <c r="J1854" s="6" t="s">
        <v>9411</v>
      </c>
      <c r="K1854" s="6" t="s">
        <v>9714</v>
      </c>
      <c r="L1854" s="16" t="n">
        <v>45603</v>
      </c>
      <c r="M1854" s="16" t="n">
        <v>45910</v>
      </c>
      <c r="N1854" s="6" t="s">
        <v>104</v>
      </c>
      <c r="O1854" s="21" t="s">
        <v>104</v>
      </c>
      <c r="P1854" s="6" t="s">
        <v>104</v>
      </c>
      <c r="Q1854" s="6" t="s">
        <v>104</v>
      </c>
      <c r="R1854" s="6" t="s">
        <v>104</v>
      </c>
      <c r="S1854" s="6" t="s">
        <v>104</v>
      </c>
      <c r="T1854" s="21" t="s">
        <v>104</v>
      </c>
      <c r="U1854" s="6" t="s">
        <v>104</v>
      </c>
      <c r="V1854" s="6" t="s">
        <v>104</v>
      </c>
      <c r="W1854" s="6" t="s">
        <v>104</v>
      </c>
      <c r="X1854" s="6" t="s">
        <v>104</v>
      </c>
      <c r="Y1854" s="21" t="s">
        <v>104</v>
      </c>
      <c r="Z1854" s="6" t="s">
        <v>104</v>
      </c>
      <c r="AA1854" s="6" t="s">
        <v>104</v>
      </c>
      <c r="AB1854" s="6" t="s">
        <v>104</v>
      </c>
      <c r="AC1854" s="6" t="s">
        <v>9714</v>
      </c>
      <c r="AD1854" s="16" t="n">
        <v>45603</v>
      </c>
      <c r="AE1854" s="6" t="s">
        <v>12136</v>
      </c>
      <c r="AF1854" s="6" t="s">
        <v>104</v>
      </c>
      <c r="AG1854" s="6" t="s">
        <v>13048</v>
      </c>
      <c r="AH1854" s="6" t="s">
        <v>14854</v>
      </c>
      <c r="AI1854" s="6" t="s">
        <v>104</v>
      </c>
      <c r="AJ1854" s="6" t="s">
        <v>16478</v>
      </c>
      <c r="AK1854" s="6" t="s">
        <v>15885</v>
      </c>
      <c r="AL1854" s="6" t="s">
        <v>16932</v>
      </c>
      <c r="AM1854" s="6" t="s">
        <v>18208</v>
      </c>
      <c r="AN1854" s="6" t="s">
        <v>104</v>
      </c>
      <c r="AO1854" s="6" t="s">
        <v>104</v>
      </c>
      <c r="AP1854" s="6" t="s">
        <v>104</v>
      </c>
      <c r="AQ1854" s="6" t="s">
        <v>104</v>
      </c>
      <c r="AR1854" s="6" t="s">
        <v>104</v>
      </c>
      <c r="AS1854" s="6" t="s">
        <v>104</v>
      </c>
      <c r="AT1854" s="6" t="s">
        <v>104</v>
      </c>
      <c r="AU1854" s="6" t="s">
        <v>104</v>
      </c>
      <c r="AV1854" s="6" t="s">
        <v>104</v>
      </c>
      <c r="AW1854" s="6" t="s">
        <v>104</v>
      </c>
      <c r="AX1854" s="6" t="s">
        <v>21561</v>
      </c>
      <c r="AY1854" s="6" t="s">
        <v>22596</v>
      </c>
      <c r="AZ1854" s="6" t="s">
        <v>104</v>
      </c>
      <c r="BA1854" s="6" t="s">
        <v>24258</v>
      </c>
      <c r="BB1854" s="6" t="s">
        <v>104</v>
      </c>
      <c r="BC1854" s="26"/>
      <c r="BD1854" s="26"/>
      <c r="BE1854" s="26"/>
      <c r="BF1854" s="26"/>
      <c r="BG1854" s="26"/>
      <c r="BH1854" s="26"/>
      <c r="BI1854" s="26"/>
      <c r="BJ1854" s="26"/>
      <c r="BK1854" s="26"/>
      <c r="BL1854" s="26"/>
      <c r="BM1854" s="26"/>
      <c r="BN1854" s="26"/>
      <c r="BO1854" s="26"/>
      <c r="BP1854" s="16" t="n">
        <v>45737</v>
      </c>
      <c r="BQ1854" s="28" t="str">
        <f>HYPERLINK("https://organic.ams.usda.gov/Integrity/Certificate.aspx?cid=32&amp;nopid=2230011670")</f>
        <v>https://organic.ams.usda.gov/Integrity/Certificate.aspx?cid=32&amp;nopid=2230011670</v>
      </c>
    </row>
    <row r="1855">
      <c r="A1855" t="s">
        <v>3</v>
      </c>
      <c r="B1855" s="6" t="s">
        <v>14</v>
      </c>
      <c r="C1855" s="6" t="s">
        <v>80</v>
      </c>
      <c r="D1855" s="6" t="s">
        <v>145</v>
      </c>
      <c r="E1855" s="10" t="s">
        <v>2053</v>
      </c>
      <c r="F1855" s="6" t="s">
        <v>4274</v>
      </c>
      <c r="G1855" s="6" t="s">
        <v>104</v>
      </c>
      <c r="H1855" s="6" t="s">
        <v>6571</v>
      </c>
      <c r="I1855" s="6" t="s">
        <v>7962</v>
      </c>
      <c r="J1855" s="6" t="s">
        <v>9460</v>
      </c>
      <c r="K1855" s="6" t="s">
        <v>9714</v>
      </c>
      <c r="L1855" s="16" t="n">
        <v>45392</v>
      </c>
      <c r="M1855" s="16" t="n">
        <v>45690</v>
      </c>
      <c r="N1855" s="6" t="s">
        <v>104</v>
      </c>
      <c r="O1855" s="21" t="s">
        <v>104</v>
      </c>
      <c r="P1855" s="6" t="s">
        <v>104</v>
      </c>
      <c r="Q1855" s="6" t="s">
        <v>104</v>
      </c>
      <c r="R1855" s="6" t="s">
        <v>104</v>
      </c>
      <c r="S1855" s="6" t="s">
        <v>104</v>
      </c>
      <c r="T1855" s="21" t="s">
        <v>104</v>
      </c>
      <c r="U1855" s="6" t="s">
        <v>104</v>
      </c>
      <c r="V1855" s="6" t="s">
        <v>104</v>
      </c>
      <c r="W1855" s="6" t="s">
        <v>104</v>
      </c>
      <c r="X1855" s="6" t="s">
        <v>104</v>
      </c>
      <c r="Y1855" s="21" t="s">
        <v>104</v>
      </c>
      <c r="Z1855" s="6" t="s">
        <v>104</v>
      </c>
      <c r="AA1855" s="6" t="s">
        <v>104</v>
      </c>
      <c r="AB1855" s="6" t="s">
        <v>104</v>
      </c>
      <c r="AC1855" s="6" t="s">
        <v>9714</v>
      </c>
      <c r="AD1855" s="16" t="n">
        <v>45392</v>
      </c>
      <c r="AE1855" s="6" t="s">
        <v>12137</v>
      </c>
      <c r="AF1855" s="6" t="s">
        <v>104</v>
      </c>
      <c r="AG1855" s="6" t="s">
        <v>104</v>
      </c>
      <c r="AH1855" s="6" t="s">
        <v>14855</v>
      </c>
      <c r="AI1855" s="6" t="s">
        <v>104</v>
      </c>
      <c r="AJ1855" s="6" t="s">
        <v>16479</v>
      </c>
      <c r="AK1855" s="6" t="s">
        <v>16773</v>
      </c>
      <c r="AL1855" s="6" t="s">
        <v>16932</v>
      </c>
      <c r="AM1855" s="6" t="s">
        <v>18209</v>
      </c>
      <c r="AN1855" s="6" t="s">
        <v>104</v>
      </c>
      <c r="AO1855" s="6" t="s">
        <v>104</v>
      </c>
      <c r="AP1855" s="6" t="s">
        <v>104</v>
      </c>
      <c r="AQ1855" s="6" t="s">
        <v>104</v>
      </c>
      <c r="AR1855" s="6" t="s">
        <v>104</v>
      </c>
      <c r="AS1855" s="6" t="s">
        <v>104</v>
      </c>
      <c r="AT1855" s="6" t="s">
        <v>104</v>
      </c>
      <c r="AU1855" s="6" t="s">
        <v>104</v>
      </c>
      <c r="AV1855" s="6" t="s">
        <v>104</v>
      </c>
      <c r="AW1855" s="6" t="s">
        <v>104</v>
      </c>
      <c r="AX1855" s="6" t="s">
        <v>104</v>
      </c>
      <c r="AY1855" s="6" t="s">
        <v>23368</v>
      </c>
      <c r="AZ1855" s="6" t="s">
        <v>104</v>
      </c>
      <c r="BA1855" s="6" t="s">
        <v>24259</v>
      </c>
      <c r="BB1855" s="6" t="s">
        <v>104</v>
      </c>
      <c r="BC1855" s="26"/>
      <c r="BD1855" s="26"/>
      <c r="BE1855" s="26"/>
      <c r="BF1855" s="26"/>
      <c r="BG1855" s="26"/>
      <c r="BH1855" s="26"/>
      <c r="BI1855" s="26"/>
      <c r="BJ1855" s="26"/>
      <c r="BK1855" s="26"/>
      <c r="BL1855" s="26"/>
      <c r="BM1855" s="26"/>
      <c r="BN1855" s="26" t="s">
        <v>24533</v>
      </c>
      <c r="BO1855" s="26"/>
      <c r="BP1855" s="16" t="n">
        <v>45392</v>
      </c>
      <c r="BQ1855" s="28" t="str">
        <f>HYPERLINK("https://organic.ams.usda.gov/Integrity/Certificate.aspx?cid=89&amp;nopid=4920006791")</f>
        <v>https://organic.ams.usda.gov/Integrity/Certificate.aspx?cid=89&amp;nopid=4920006791</v>
      </c>
    </row>
    <row r="1856">
      <c r="A1856" t="s">
        <v>3</v>
      </c>
      <c r="B1856" s="6" t="s">
        <v>49</v>
      </c>
      <c r="C1856" s="6" t="s">
        <v>115</v>
      </c>
      <c r="D1856" s="6" t="s">
        <v>179</v>
      </c>
      <c r="E1856" s="10" t="s">
        <v>2054</v>
      </c>
      <c r="F1856" s="6" t="s">
        <v>4275</v>
      </c>
      <c r="G1856" s="6" t="s">
        <v>104</v>
      </c>
      <c r="H1856" s="6" t="s">
        <v>6572</v>
      </c>
      <c r="I1856" s="6" t="s">
        <v>104</v>
      </c>
      <c r="J1856" s="6" t="s">
        <v>104</v>
      </c>
      <c r="K1856" s="6" t="s">
        <v>9714</v>
      </c>
      <c r="L1856" s="16" t="n">
        <v>45338</v>
      </c>
      <c r="M1856" s="16" t="n">
        <v>45555</v>
      </c>
      <c r="N1856" s="6" t="s">
        <v>104</v>
      </c>
      <c r="O1856" s="21" t="s">
        <v>104</v>
      </c>
      <c r="P1856" s="6" t="s">
        <v>104</v>
      </c>
      <c r="Q1856" s="6" t="s">
        <v>104</v>
      </c>
      <c r="R1856" s="6" t="s">
        <v>104</v>
      </c>
      <c r="S1856" s="6" t="s">
        <v>104</v>
      </c>
      <c r="T1856" s="21" t="s">
        <v>104</v>
      </c>
      <c r="U1856" s="6" t="s">
        <v>104</v>
      </c>
      <c r="V1856" s="6" t="s">
        <v>104</v>
      </c>
      <c r="W1856" s="6" t="s">
        <v>104</v>
      </c>
      <c r="X1856" s="6" t="s">
        <v>104</v>
      </c>
      <c r="Y1856" s="21" t="s">
        <v>104</v>
      </c>
      <c r="Z1856" s="6" t="s">
        <v>104</v>
      </c>
      <c r="AA1856" s="6" t="s">
        <v>104</v>
      </c>
      <c r="AB1856" s="6" t="s">
        <v>104</v>
      </c>
      <c r="AC1856" s="6" t="s">
        <v>9714</v>
      </c>
      <c r="AD1856" s="16" t="n">
        <v>45338</v>
      </c>
      <c r="AE1856" s="6" t="s">
        <v>12138</v>
      </c>
      <c r="AF1856" s="6" t="s">
        <v>104</v>
      </c>
      <c r="AG1856" s="6" t="s">
        <v>13049</v>
      </c>
      <c r="AH1856" s="6" t="s">
        <v>14856</v>
      </c>
      <c r="AI1856" s="6" t="s">
        <v>104</v>
      </c>
      <c r="AJ1856" s="6" t="s">
        <v>15398</v>
      </c>
      <c r="AK1856" s="6" t="s">
        <v>104</v>
      </c>
      <c r="AL1856" s="6" t="s">
        <v>16932</v>
      </c>
      <c r="AM1856" s="6" t="s">
        <v>18210</v>
      </c>
      <c r="AN1856" s="6" t="s">
        <v>104</v>
      </c>
      <c r="AO1856" s="6" t="s">
        <v>104</v>
      </c>
      <c r="AP1856" s="6" t="s">
        <v>104</v>
      </c>
      <c r="AQ1856" s="6" t="s">
        <v>104</v>
      </c>
      <c r="AR1856" s="6" t="s">
        <v>104</v>
      </c>
      <c r="AS1856" s="6" t="s">
        <v>104</v>
      </c>
      <c r="AT1856" s="6" t="s">
        <v>104</v>
      </c>
      <c r="AU1856" s="6" t="s">
        <v>104</v>
      </c>
      <c r="AV1856" s="6" t="s">
        <v>104</v>
      </c>
      <c r="AW1856" s="6" t="s">
        <v>104</v>
      </c>
      <c r="AX1856" s="6" t="s">
        <v>104</v>
      </c>
      <c r="AY1856" s="6" t="s">
        <v>23369</v>
      </c>
      <c r="AZ1856" s="6" t="s">
        <v>104</v>
      </c>
      <c r="BA1856" s="6" t="s">
        <v>104</v>
      </c>
      <c r="BB1856" s="24" t="n">
        <v>0</v>
      </c>
      <c r="BC1856" s="26"/>
      <c r="BD1856" s="26"/>
      <c r="BE1856" s="26"/>
      <c r="BF1856" s="26"/>
      <c r="BG1856" s="26"/>
      <c r="BH1856" s="26"/>
      <c r="BI1856" s="26"/>
      <c r="BJ1856" s="26"/>
      <c r="BK1856" s="26"/>
      <c r="BL1856" s="26"/>
      <c r="BM1856" s="26"/>
      <c r="BN1856" s="26"/>
      <c r="BO1856" s="26"/>
      <c r="BP1856" s="16" t="n">
        <v>45429</v>
      </c>
      <c r="BQ1856" s="28" t="str">
        <f>HYPERLINK("https://organic.ams.usda.gov/Integrity/Certificate.aspx?cid=12&amp;nopid=8699694483")</f>
        <v>https://organic.ams.usda.gov/Integrity/Certificate.aspx?cid=12&amp;nopid=8699694483</v>
      </c>
    </row>
    <row r="1857">
      <c r="A1857" t="s">
        <v>3</v>
      </c>
      <c r="B1857" s="6" t="s">
        <v>20</v>
      </c>
      <c r="C1857" s="6" t="s">
        <v>86</v>
      </c>
      <c r="D1857" s="6" t="s">
        <v>151</v>
      </c>
      <c r="E1857" s="10" t="s">
        <v>2055</v>
      </c>
      <c r="F1857" s="6" t="s">
        <v>4276</v>
      </c>
      <c r="G1857" s="6" t="s">
        <v>104</v>
      </c>
      <c r="H1857" s="6" t="s">
        <v>6573</v>
      </c>
      <c r="I1857" s="6" t="s">
        <v>7963</v>
      </c>
      <c r="J1857" s="6" t="s">
        <v>7281</v>
      </c>
      <c r="K1857" s="6" t="s">
        <v>9714</v>
      </c>
      <c r="L1857" s="16" t="n">
        <v>45520</v>
      </c>
      <c r="M1857" s="16" t="n">
        <v>45881</v>
      </c>
      <c r="N1857" s="6" t="s">
        <v>9714</v>
      </c>
      <c r="O1857" s="16" t="n">
        <v>45520</v>
      </c>
      <c r="P1857" s="6" t="s">
        <v>10206</v>
      </c>
      <c r="Q1857" s="6" t="s">
        <v>104</v>
      </c>
      <c r="R1857" s="6" t="s">
        <v>10434</v>
      </c>
      <c r="S1857" s="6" t="s">
        <v>104</v>
      </c>
      <c r="T1857" s="21" t="s">
        <v>104</v>
      </c>
      <c r="U1857" s="6" t="s">
        <v>104</v>
      </c>
      <c r="V1857" s="6" t="s">
        <v>104</v>
      </c>
      <c r="W1857" s="6" t="s">
        <v>104</v>
      </c>
      <c r="X1857" s="6" t="s">
        <v>104</v>
      </c>
      <c r="Y1857" s="21" t="s">
        <v>104</v>
      </c>
      <c r="Z1857" s="6" t="s">
        <v>104</v>
      </c>
      <c r="AA1857" s="6" t="s">
        <v>104</v>
      </c>
      <c r="AB1857" s="6" t="s">
        <v>104</v>
      </c>
      <c r="AC1857" s="6" t="s">
        <v>9714</v>
      </c>
      <c r="AD1857" s="16" t="n">
        <v>45520</v>
      </c>
      <c r="AE1857" s="6" t="s">
        <v>12139</v>
      </c>
      <c r="AF1857" s="6" t="s">
        <v>104</v>
      </c>
      <c r="AG1857" s="6" t="s">
        <v>10434</v>
      </c>
      <c r="AH1857" s="6" t="s">
        <v>14857</v>
      </c>
      <c r="AI1857" s="6" t="s">
        <v>104</v>
      </c>
      <c r="AJ1857" s="6" t="s">
        <v>16480</v>
      </c>
      <c r="AK1857" s="6" t="s">
        <v>16892</v>
      </c>
      <c r="AL1857" s="6" t="s">
        <v>16766</v>
      </c>
      <c r="AM1857" s="6" t="s">
        <v>18211</v>
      </c>
      <c r="AN1857" s="6" t="s">
        <v>104</v>
      </c>
      <c r="AO1857" s="6" t="s">
        <v>104</v>
      </c>
      <c r="AP1857" s="6" t="s">
        <v>104</v>
      </c>
      <c r="AQ1857" s="6" t="s">
        <v>104</v>
      </c>
      <c r="AR1857" s="6" t="s">
        <v>104</v>
      </c>
      <c r="AS1857" s="6" t="s">
        <v>104</v>
      </c>
      <c r="AT1857" s="6" t="s">
        <v>104</v>
      </c>
      <c r="AU1857" s="6" t="s">
        <v>104</v>
      </c>
      <c r="AV1857" s="6" t="s">
        <v>104</v>
      </c>
      <c r="AW1857" s="6" t="s">
        <v>104</v>
      </c>
      <c r="AX1857" s="6" t="s">
        <v>21562</v>
      </c>
      <c r="AY1857" s="6" t="s">
        <v>23370</v>
      </c>
      <c r="AZ1857" s="6" t="s">
        <v>104</v>
      </c>
      <c r="BA1857" s="6" t="s">
        <v>24488</v>
      </c>
      <c r="BB1857" s="24" t="n">
        <v>178</v>
      </c>
      <c r="BC1857" s="26"/>
      <c r="BD1857" s="26"/>
      <c r="BE1857" s="26"/>
      <c r="BF1857" s="26"/>
      <c r="BG1857" s="26"/>
      <c r="BH1857" s="26"/>
      <c r="BI1857" s="26"/>
      <c r="BJ1857" s="26"/>
      <c r="BK1857" s="26"/>
      <c r="BL1857" s="26"/>
      <c r="BM1857" s="26"/>
      <c r="BN1857" s="26"/>
      <c r="BO1857" s="26"/>
      <c r="BP1857" s="16" t="n">
        <v>45565</v>
      </c>
      <c r="BQ1857" s="28" t="str">
        <f>HYPERLINK("https://organic.ams.usda.gov/Integrity/Certificate.aspx?cid=17&amp;nopid=4087185546")</f>
        <v>https://organic.ams.usda.gov/Integrity/Certificate.aspx?cid=17&amp;nopid=4087185546</v>
      </c>
    </row>
    <row r="1858">
      <c r="A1858" t="s">
        <v>3</v>
      </c>
      <c r="B1858" s="6" t="s">
        <v>20</v>
      </c>
      <c r="C1858" s="6" t="s">
        <v>86</v>
      </c>
      <c r="D1858" s="6" t="s">
        <v>151</v>
      </c>
      <c r="E1858" s="10" t="s">
        <v>2056</v>
      </c>
      <c r="F1858" s="6" t="s">
        <v>4277</v>
      </c>
      <c r="G1858" s="6" t="s">
        <v>104</v>
      </c>
      <c r="H1858" s="6" t="s">
        <v>6574</v>
      </c>
      <c r="I1858" s="6" t="s">
        <v>7964</v>
      </c>
      <c r="J1858" s="6" t="s">
        <v>7202</v>
      </c>
      <c r="K1858" s="6" t="s">
        <v>9714</v>
      </c>
      <c r="L1858" s="16" t="n">
        <v>42094</v>
      </c>
      <c r="M1858" s="16" t="n">
        <v>46081</v>
      </c>
      <c r="N1858" s="6" t="s">
        <v>104</v>
      </c>
      <c r="O1858" s="21" t="s">
        <v>104</v>
      </c>
      <c r="P1858" s="6" t="s">
        <v>104</v>
      </c>
      <c r="Q1858" s="6" t="s">
        <v>104</v>
      </c>
      <c r="R1858" s="6" t="s">
        <v>104</v>
      </c>
      <c r="S1858" s="6" t="s">
        <v>104</v>
      </c>
      <c r="T1858" s="21" t="s">
        <v>104</v>
      </c>
      <c r="U1858" s="6" t="s">
        <v>104</v>
      </c>
      <c r="V1858" s="6" t="s">
        <v>104</v>
      </c>
      <c r="W1858" s="6" t="s">
        <v>104</v>
      </c>
      <c r="X1858" s="6" t="s">
        <v>104</v>
      </c>
      <c r="Y1858" s="21" t="s">
        <v>104</v>
      </c>
      <c r="Z1858" s="6" t="s">
        <v>104</v>
      </c>
      <c r="AA1858" s="6" t="s">
        <v>104</v>
      </c>
      <c r="AB1858" s="6" t="s">
        <v>104</v>
      </c>
      <c r="AC1858" s="6" t="s">
        <v>9714</v>
      </c>
      <c r="AD1858" s="16" t="n">
        <v>42094</v>
      </c>
      <c r="AE1858" s="6" t="s">
        <v>12140</v>
      </c>
      <c r="AF1858" s="6" t="s">
        <v>104</v>
      </c>
      <c r="AG1858" s="6" t="s">
        <v>13050</v>
      </c>
      <c r="AH1858" s="6" t="s">
        <v>14858</v>
      </c>
      <c r="AI1858" s="6" t="s">
        <v>104</v>
      </c>
      <c r="AJ1858" s="6" t="s">
        <v>16481</v>
      </c>
      <c r="AK1858" s="6" t="s">
        <v>16892</v>
      </c>
      <c r="AL1858" s="6" t="s">
        <v>16766</v>
      </c>
      <c r="AM1858" s="6" t="s">
        <v>18212</v>
      </c>
      <c r="AN1858" s="6" t="s">
        <v>104</v>
      </c>
      <c r="AO1858" s="6" t="s">
        <v>104</v>
      </c>
      <c r="AP1858" s="6" t="s">
        <v>104</v>
      </c>
      <c r="AQ1858" s="6" t="s">
        <v>104</v>
      </c>
      <c r="AR1858" s="6" t="s">
        <v>104</v>
      </c>
      <c r="AS1858" s="6" t="s">
        <v>104</v>
      </c>
      <c r="AT1858" s="6" t="s">
        <v>104</v>
      </c>
      <c r="AU1858" s="6" t="s">
        <v>104</v>
      </c>
      <c r="AV1858" s="6" t="s">
        <v>104</v>
      </c>
      <c r="AW1858" s="6" t="s">
        <v>104</v>
      </c>
      <c r="AX1858" s="6" t="s">
        <v>21563</v>
      </c>
      <c r="AY1858" s="6" t="s">
        <v>23371</v>
      </c>
      <c r="AZ1858" s="6" t="s">
        <v>24149</v>
      </c>
      <c r="BA1858" s="6" t="s">
        <v>24489</v>
      </c>
      <c r="BB1858" s="6" t="s">
        <v>104</v>
      </c>
      <c r="BC1858" s="26"/>
      <c r="BD1858" s="26"/>
      <c r="BE1858" s="26"/>
      <c r="BF1858" s="26"/>
      <c r="BG1858" s="26"/>
      <c r="BH1858" s="26"/>
      <c r="BI1858" s="26"/>
      <c r="BJ1858" s="26"/>
      <c r="BK1858" s="26"/>
      <c r="BL1858" s="26"/>
      <c r="BM1858" s="26"/>
      <c r="BN1858" s="26"/>
      <c r="BO1858" s="26"/>
      <c r="BP1858" s="16" t="n">
        <v>45734</v>
      </c>
      <c r="BQ1858" s="28" t="str">
        <f>HYPERLINK("https://organic.ams.usda.gov/Integrity/Certificate.aspx?cid=17&amp;nopid=4080800246")</f>
        <v>https://organic.ams.usda.gov/Integrity/Certificate.aspx?cid=17&amp;nopid=4080800246</v>
      </c>
    </row>
    <row r="1859">
      <c r="A1859" t="s">
        <v>3</v>
      </c>
      <c r="B1859" s="6" t="s">
        <v>14</v>
      </c>
      <c r="C1859" s="6" t="s">
        <v>80</v>
      </c>
      <c r="D1859" s="6" t="s">
        <v>145</v>
      </c>
      <c r="E1859" s="10" t="s">
        <v>2057</v>
      </c>
      <c r="F1859" s="6" t="s">
        <v>4278</v>
      </c>
      <c r="G1859" s="6" t="s">
        <v>104</v>
      </c>
      <c r="H1859" s="6" t="s">
        <v>6575</v>
      </c>
      <c r="I1859" s="6" t="s">
        <v>7965</v>
      </c>
      <c r="J1859" s="6" t="s">
        <v>9461</v>
      </c>
      <c r="K1859" s="6" t="s">
        <v>9714</v>
      </c>
      <c r="L1859" s="16" t="n">
        <v>44718</v>
      </c>
      <c r="M1859" s="16" t="n">
        <v>45752</v>
      </c>
      <c r="N1859" s="6" t="s">
        <v>104</v>
      </c>
      <c r="O1859" s="21" t="s">
        <v>104</v>
      </c>
      <c r="P1859" s="6" t="s">
        <v>104</v>
      </c>
      <c r="Q1859" s="6" t="s">
        <v>104</v>
      </c>
      <c r="R1859" s="6" t="s">
        <v>104</v>
      </c>
      <c r="S1859" s="6" t="s">
        <v>104</v>
      </c>
      <c r="T1859" s="21" t="s">
        <v>104</v>
      </c>
      <c r="U1859" s="6" t="s">
        <v>104</v>
      </c>
      <c r="V1859" s="6" t="s">
        <v>104</v>
      </c>
      <c r="W1859" s="6" t="s">
        <v>104</v>
      </c>
      <c r="X1859" s="6" t="s">
        <v>104</v>
      </c>
      <c r="Y1859" s="21" t="s">
        <v>104</v>
      </c>
      <c r="Z1859" s="6" t="s">
        <v>104</v>
      </c>
      <c r="AA1859" s="6" t="s">
        <v>104</v>
      </c>
      <c r="AB1859" s="6" t="s">
        <v>104</v>
      </c>
      <c r="AC1859" s="6" t="s">
        <v>9714</v>
      </c>
      <c r="AD1859" s="16" t="n">
        <v>44718</v>
      </c>
      <c r="AE1859" s="6" t="s">
        <v>12141</v>
      </c>
      <c r="AF1859" s="6" t="s">
        <v>104</v>
      </c>
      <c r="AG1859" s="6" t="s">
        <v>104</v>
      </c>
      <c r="AH1859" s="6" t="s">
        <v>14859</v>
      </c>
      <c r="AI1859" s="6" t="s">
        <v>104</v>
      </c>
      <c r="AJ1859" s="6" t="s">
        <v>16482</v>
      </c>
      <c r="AK1859" s="6" t="s">
        <v>15885</v>
      </c>
      <c r="AL1859" s="6" t="s">
        <v>16932</v>
      </c>
      <c r="AM1859" s="6" t="s">
        <v>18213</v>
      </c>
      <c r="AN1859" s="6" t="s">
        <v>104</v>
      </c>
      <c r="AO1859" s="6" t="s">
        <v>104</v>
      </c>
      <c r="AP1859" s="6" t="s">
        <v>104</v>
      </c>
      <c r="AQ1859" s="6" t="s">
        <v>104</v>
      </c>
      <c r="AR1859" s="6" t="s">
        <v>104</v>
      </c>
      <c r="AS1859" s="6" t="s">
        <v>104</v>
      </c>
      <c r="AT1859" s="6" t="s">
        <v>104</v>
      </c>
      <c r="AU1859" s="6" t="s">
        <v>104</v>
      </c>
      <c r="AV1859" s="6" t="s">
        <v>104</v>
      </c>
      <c r="AW1859" s="6" t="s">
        <v>104</v>
      </c>
      <c r="AX1859" s="6" t="s">
        <v>21564</v>
      </c>
      <c r="AY1859" s="6" t="s">
        <v>23372</v>
      </c>
      <c r="AZ1859" s="6" t="s">
        <v>104</v>
      </c>
      <c r="BA1859" s="6" t="s">
        <v>24259</v>
      </c>
      <c r="BB1859" s="6" t="s">
        <v>104</v>
      </c>
      <c r="BC1859" s="26"/>
      <c r="BD1859" s="26"/>
      <c r="BE1859" s="26"/>
      <c r="BF1859" s="26"/>
      <c r="BG1859" s="26"/>
      <c r="BH1859" s="26"/>
      <c r="BI1859" s="26"/>
      <c r="BJ1859" s="26"/>
      <c r="BK1859" s="26"/>
      <c r="BL1859" s="26"/>
      <c r="BM1859" s="26"/>
      <c r="BN1859" s="26"/>
      <c r="BO1859" s="26"/>
      <c r="BP1859" s="16" t="n">
        <v>45514</v>
      </c>
      <c r="BQ1859" s="28" t="str">
        <f>HYPERLINK("https://organic.ams.usda.gov/Integrity/Certificate.aspx?cid=89&amp;nopid=4920005576")</f>
        <v>https://organic.ams.usda.gov/Integrity/Certificate.aspx?cid=89&amp;nopid=4920005576</v>
      </c>
    </row>
    <row r="1860">
      <c r="A1860" t="s">
        <v>3</v>
      </c>
      <c r="B1860" s="6" t="s">
        <v>12</v>
      </c>
      <c r="C1860" s="6" t="s">
        <v>78</v>
      </c>
      <c r="D1860" s="6" t="s">
        <v>143</v>
      </c>
      <c r="E1860" s="10" t="s">
        <v>2058</v>
      </c>
      <c r="F1860" s="6" t="s">
        <v>4279</v>
      </c>
      <c r="G1860" s="6" t="s">
        <v>104</v>
      </c>
      <c r="H1860" s="6" t="s">
        <v>104</v>
      </c>
      <c r="I1860" s="6" t="s">
        <v>7966</v>
      </c>
      <c r="J1860" s="6" t="s">
        <v>9462</v>
      </c>
      <c r="K1860" s="6" t="s">
        <v>9714</v>
      </c>
      <c r="L1860" s="16" t="n">
        <v>44636</v>
      </c>
      <c r="M1860" s="16" t="n">
        <v>46006</v>
      </c>
      <c r="N1860" s="6" t="s">
        <v>104</v>
      </c>
      <c r="O1860" s="21" t="s">
        <v>104</v>
      </c>
      <c r="P1860" s="6" t="s">
        <v>104</v>
      </c>
      <c r="Q1860" s="6" t="s">
        <v>104</v>
      </c>
      <c r="R1860" s="6" t="s">
        <v>104</v>
      </c>
      <c r="S1860" s="6" t="s">
        <v>104</v>
      </c>
      <c r="T1860" s="21" t="s">
        <v>104</v>
      </c>
      <c r="U1860" s="6" t="s">
        <v>104</v>
      </c>
      <c r="V1860" s="6" t="s">
        <v>104</v>
      </c>
      <c r="W1860" s="6" t="s">
        <v>104</v>
      </c>
      <c r="X1860" s="6" t="s">
        <v>104</v>
      </c>
      <c r="Y1860" s="21" t="s">
        <v>104</v>
      </c>
      <c r="Z1860" s="6" t="s">
        <v>104</v>
      </c>
      <c r="AA1860" s="6" t="s">
        <v>104</v>
      </c>
      <c r="AB1860" s="6" t="s">
        <v>104</v>
      </c>
      <c r="AC1860" s="6" t="s">
        <v>9714</v>
      </c>
      <c r="AD1860" s="16" t="n">
        <v>44636</v>
      </c>
      <c r="AE1860" s="6" t="s">
        <v>12142</v>
      </c>
      <c r="AF1860" s="6" t="s">
        <v>104</v>
      </c>
      <c r="AG1860" s="6" t="s">
        <v>104</v>
      </c>
      <c r="AH1860" s="6" t="s">
        <v>14860</v>
      </c>
      <c r="AI1860" s="6" t="s">
        <v>104</v>
      </c>
      <c r="AJ1860" s="6" t="s">
        <v>15531</v>
      </c>
      <c r="AK1860" s="6" t="s">
        <v>16687</v>
      </c>
      <c r="AL1860" s="6" t="s">
        <v>16931</v>
      </c>
      <c r="AM1860" s="6" t="s">
        <v>17148</v>
      </c>
      <c r="AN1860" s="6" t="s">
        <v>18484</v>
      </c>
      <c r="AO1860" s="6" t="s">
        <v>18597</v>
      </c>
      <c r="AP1860" s="6" t="s">
        <v>14860</v>
      </c>
      <c r="AQ1860" s="6" t="s">
        <v>104</v>
      </c>
      <c r="AR1860" s="6" t="s">
        <v>15531</v>
      </c>
      <c r="AS1860" s="6" t="s">
        <v>16687</v>
      </c>
      <c r="AT1860" s="6" t="s">
        <v>16931</v>
      </c>
      <c r="AU1860" s="6" t="s">
        <v>17148</v>
      </c>
      <c r="AV1860" s="6" t="s">
        <v>104</v>
      </c>
      <c r="AW1860" s="6" t="s">
        <v>104</v>
      </c>
      <c r="AX1860" s="6" t="s">
        <v>104</v>
      </c>
      <c r="AY1860" s="6" t="s">
        <v>23373</v>
      </c>
      <c r="AZ1860" s="6" t="s">
        <v>104</v>
      </c>
      <c r="BA1860" s="6" t="s">
        <v>104</v>
      </c>
      <c r="BB1860" s="6" t="s">
        <v>104</v>
      </c>
      <c r="BC1860" s="26"/>
      <c r="BD1860" s="26"/>
      <c r="BE1860" s="26"/>
      <c r="BF1860" s="26"/>
      <c r="BG1860" s="26"/>
      <c r="BH1860" s="26"/>
      <c r="BI1860" s="26"/>
      <c r="BJ1860" s="26"/>
      <c r="BK1860" s="26"/>
      <c r="BL1860" s="26"/>
      <c r="BM1860" s="26"/>
      <c r="BN1860" s="26"/>
      <c r="BO1860" s="26"/>
      <c r="BP1860" s="16" t="n">
        <v>45628</v>
      </c>
      <c r="BQ1860" s="28" t="str">
        <f>HYPERLINK("https://organic.ams.usda.gov/Integrity/Certificate.aspx?cid=1&amp;nopid=9092134902")</f>
        <v>https://organic.ams.usda.gov/Integrity/Certificate.aspx?cid=1&amp;nopid=9092134902</v>
      </c>
    </row>
    <row r="1861">
      <c r="A1861" t="s">
        <v>3</v>
      </c>
      <c r="B1861" s="6" t="s">
        <v>34</v>
      </c>
      <c r="C1861" s="6" t="s">
        <v>100</v>
      </c>
      <c r="D1861" s="6" t="s">
        <v>165</v>
      </c>
      <c r="E1861" s="10" t="s">
        <v>2059</v>
      </c>
      <c r="F1861" s="6" t="s">
        <v>4280</v>
      </c>
      <c r="G1861" s="6" t="s">
        <v>104</v>
      </c>
      <c r="H1861" s="6" t="s">
        <v>6576</v>
      </c>
      <c r="I1861" s="6" t="s">
        <v>7967</v>
      </c>
      <c r="J1861" s="6" t="s">
        <v>9463</v>
      </c>
      <c r="K1861" s="6" t="s">
        <v>9714</v>
      </c>
      <c r="L1861" s="16" t="n">
        <v>45022</v>
      </c>
      <c r="M1861" s="16" t="n">
        <v>45980</v>
      </c>
      <c r="N1861" s="6" t="s">
        <v>104</v>
      </c>
      <c r="O1861" s="21" t="s">
        <v>104</v>
      </c>
      <c r="P1861" s="6" t="s">
        <v>104</v>
      </c>
      <c r="Q1861" s="6" t="s">
        <v>104</v>
      </c>
      <c r="R1861" s="6" t="s">
        <v>104</v>
      </c>
      <c r="S1861" s="6" t="s">
        <v>104</v>
      </c>
      <c r="T1861" s="21" t="s">
        <v>104</v>
      </c>
      <c r="U1861" s="6" t="s">
        <v>104</v>
      </c>
      <c r="V1861" s="6" t="s">
        <v>104</v>
      </c>
      <c r="W1861" s="6" t="s">
        <v>104</v>
      </c>
      <c r="X1861" s="6" t="s">
        <v>104</v>
      </c>
      <c r="Y1861" s="21" t="s">
        <v>104</v>
      </c>
      <c r="Z1861" s="6" t="s">
        <v>104</v>
      </c>
      <c r="AA1861" s="6" t="s">
        <v>104</v>
      </c>
      <c r="AB1861" s="6" t="s">
        <v>104</v>
      </c>
      <c r="AC1861" s="6" t="s">
        <v>9714</v>
      </c>
      <c r="AD1861" s="16" t="n">
        <v>45022</v>
      </c>
      <c r="AE1861" s="6" t="s">
        <v>12143</v>
      </c>
      <c r="AF1861" s="6" t="s">
        <v>104</v>
      </c>
      <c r="AG1861" s="6" t="s">
        <v>13051</v>
      </c>
      <c r="AH1861" s="6" t="s">
        <v>14861</v>
      </c>
      <c r="AI1861" s="6" t="s">
        <v>104</v>
      </c>
      <c r="AJ1861" s="6" t="s">
        <v>16483</v>
      </c>
      <c r="AK1861" s="6" t="s">
        <v>16710</v>
      </c>
      <c r="AL1861" s="6" t="s">
        <v>16931</v>
      </c>
      <c r="AM1861" s="6" t="s">
        <v>18214</v>
      </c>
      <c r="AN1861" s="6" t="s">
        <v>18471</v>
      </c>
      <c r="AO1861" s="6" t="s">
        <v>18632</v>
      </c>
      <c r="AP1861" s="6" t="s">
        <v>14861</v>
      </c>
      <c r="AQ1861" s="6" t="s">
        <v>104</v>
      </c>
      <c r="AR1861" s="6" t="s">
        <v>16483</v>
      </c>
      <c r="AS1861" s="6" t="s">
        <v>16710</v>
      </c>
      <c r="AT1861" s="6" t="s">
        <v>16931</v>
      </c>
      <c r="AU1861" s="6" t="s">
        <v>18214</v>
      </c>
      <c r="AV1861" s="6" t="s">
        <v>104</v>
      </c>
      <c r="AW1861" s="6" t="s">
        <v>104</v>
      </c>
      <c r="AX1861" s="6" t="s">
        <v>21565</v>
      </c>
      <c r="AY1861" s="6" t="s">
        <v>23374</v>
      </c>
      <c r="AZ1861" s="6" t="s">
        <v>24150</v>
      </c>
      <c r="BA1861" s="6" t="s">
        <v>104</v>
      </c>
      <c r="BB1861" s="6" t="s">
        <v>104</v>
      </c>
      <c r="BC1861" s="26"/>
      <c r="BD1861" s="26"/>
      <c r="BE1861" s="26" t="s">
        <v>24533</v>
      </c>
      <c r="BF1861" s="26"/>
      <c r="BG1861" s="26"/>
      <c r="BH1861" s="26"/>
      <c r="BI1861" s="26"/>
      <c r="BJ1861" s="26"/>
      <c r="BK1861" s="26"/>
      <c r="BL1861" s="26"/>
      <c r="BM1861" s="26"/>
      <c r="BN1861" s="26"/>
      <c r="BO1861" s="26"/>
      <c r="BP1861" s="16" t="n">
        <v>45737</v>
      </c>
      <c r="BQ1861" s="28" t="str">
        <f>HYPERLINK("https://organic.ams.usda.gov/Integrity/Certificate.aspx?cid=71&amp;nopid=5520727385")</f>
        <v>https://organic.ams.usda.gov/Integrity/Certificate.aspx?cid=71&amp;nopid=5520727385</v>
      </c>
    </row>
    <row r="1862">
      <c r="A1862" t="s">
        <v>3</v>
      </c>
      <c r="B1862" s="6" t="s">
        <v>11</v>
      </c>
      <c r="C1862" s="6" t="s">
        <v>77</v>
      </c>
      <c r="D1862" s="6" t="s">
        <v>142</v>
      </c>
      <c r="E1862" s="10" t="s">
        <v>2060</v>
      </c>
      <c r="F1862" s="6" t="s">
        <v>4281</v>
      </c>
      <c r="G1862" s="6" t="s">
        <v>104</v>
      </c>
      <c r="H1862" s="6" t="s">
        <v>6577</v>
      </c>
      <c r="I1862" s="6" t="s">
        <v>7968</v>
      </c>
      <c r="J1862" s="6" t="s">
        <v>9464</v>
      </c>
      <c r="K1862" s="6" t="s">
        <v>9714</v>
      </c>
      <c r="L1862" s="16" t="n">
        <v>45125</v>
      </c>
      <c r="M1862" s="16" t="n">
        <v>45856</v>
      </c>
      <c r="N1862" s="6" t="s">
        <v>104</v>
      </c>
      <c r="O1862" s="21" t="s">
        <v>104</v>
      </c>
      <c r="P1862" s="6" t="s">
        <v>104</v>
      </c>
      <c r="Q1862" s="6" t="s">
        <v>104</v>
      </c>
      <c r="R1862" s="6" t="s">
        <v>104</v>
      </c>
      <c r="S1862" s="6" t="s">
        <v>104</v>
      </c>
      <c r="T1862" s="21" t="s">
        <v>104</v>
      </c>
      <c r="U1862" s="6" t="s">
        <v>104</v>
      </c>
      <c r="V1862" s="6" t="s">
        <v>104</v>
      </c>
      <c r="W1862" s="6" t="s">
        <v>104</v>
      </c>
      <c r="X1862" s="6" t="s">
        <v>104</v>
      </c>
      <c r="Y1862" s="21" t="s">
        <v>104</v>
      </c>
      <c r="Z1862" s="6" t="s">
        <v>104</v>
      </c>
      <c r="AA1862" s="6" t="s">
        <v>104</v>
      </c>
      <c r="AB1862" s="6" t="s">
        <v>104</v>
      </c>
      <c r="AC1862" s="6" t="s">
        <v>9714</v>
      </c>
      <c r="AD1862" s="16" t="n">
        <v>45125</v>
      </c>
      <c r="AE1862" s="6" t="s">
        <v>12144</v>
      </c>
      <c r="AF1862" s="6" t="s">
        <v>104</v>
      </c>
      <c r="AG1862" s="6" t="s">
        <v>104</v>
      </c>
      <c r="AH1862" s="6" t="s">
        <v>14862</v>
      </c>
      <c r="AI1862" s="6" t="s">
        <v>15330</v>
      </c>
      <c r="AJ1862" s="6" t="s">
        <v>15443</v>
      </c>
      <c r="AK1862" s="6" t="s">
        <v>104</v>
      </c>
      <c r="AL1862" s="6" t="s">
        <v>16945</v>
      </c>
      <c r="AM1862" s="6" t="s">
        <v>18215</v>
      </c>
      <c r="AN1862" s="6" t="s">
        <v>104</v>
      </c>
      <c r="AO1862" s="6" t="s">
        <v>104</v>
      </c>
      <c r="AP1862" s="6" t="s">
        <v>14862</v>
      </c>
      <c r="AQ1862" s="6" t="s">
        <v>15330</v>
      </c>
      <c r="AR1862" s="6" t="s">
        <v>15443</v>
      </c>
      <c r="AS1862" s="6" t="s">
        <v>104</v>
      </c>
      <c r="AT1862" s="6" t="s">
        <v>16945</v>
      </c>
      <c r="AU1862" s="6" t="s">
        <v>18215</v>
      </c>
      <c r="AV1862" s="6" t="s">
        <v>104</v>
      </c>
      <c r="AW1862" s="6" t="s">
        <v>104</v>
      </c>
      <c r="AX1862" s="6" t="s">
        <v>21566</v>
      </c>
      <c r="AY1862" s="6" t="s">
        <v>23375</v>
      </c>
      <c r="AZ1862" s="6" t="s">
        <v>24151</v>
      </c>
      <c r="BA1862" s="6" t="s">
        <v>104</v>
      </c>
      <c r="BB1862" s="6" t="s">
        <v>104</v>
      </c>
      <c r="BC1862" s="26"/>
      <c r="BD1862" s="26"/>
      <c r="BE1862" s="26"/>
      <c r="BF1862" s="26"/>
      <c r="BG1862" s="26"/>
      <c r="BH1862" s="26"/>
      <c r="BI1862" s="26"/>
      <c r="BJ1862" s="26"/>
      <c r="BK1862" s="26"/>
      <c r="BL1862" s="26"/>
      <c r="BM1862" s="26"/>
      <c r="BN1862" s="26"/>
      <c r="BO1862" s="26"/>
      <c r="BP1862" s="16" t="n">
        <v>45527</v>
      </c>
      <c r="BQ1862" s="28" t="str">
        <f>HYPERLINK("https://organic.ams.usda.gov/Integrity/Certificate.aspx?cid=21&amp;nopid=1780835586")</f>
        <v>https://organic.ams.usda.gov/Integrity/Certificate.aspx?cid=21&amp;nopid=1780835586</v>
      </c>
    </row>
    <row r="1863">
      <c r="A1863" t="s">
        <v>3</v>
      </c>
      <c r="B1863" s="6" t="s">
        <v>35</v>
      </c>
      <c r="C1863" s="6" t="s">
        <v>101</v>
      </c>
      <c r="D1863" s="6" t="s">
        <v>166</v>
      </c>
      <c r="E1863" s="10" t="s">
        <v>2061</v>
      </c>
      <c r="F1863" s="6" t="s">
        <v>4282</v>
      </c>
      <c r="G1863" s="6" t="s">
        <v>4856</v>
      </c>
      <c r="H1863" s="6" t="s">
        <v>6578</v>
      </c>
      <c r="I1863" s="6" t="s">
        <v>7969</v>
      </c>
      <c r="J1863" s="6" t="s">
        <v>9465</v>
      </c>
      <c r="K1863" s="6" t="s">
        <v>9714</v>
      </c>
      <c r="L1863" s="16" t="n">
        <v>44866</v>
      </c>
      <c r="M1863" s="16" t="n">
        <v>46081</v>
      </c>
      <c r="N1863" s="6" t="s">
        <v>104</v>
      </c>
      <c r="O1863" s="21" t="s">
        <v>104</v>
      </c>
      <c r="P1863" s="6" t="s">
        <v>104</v>
      </c>
      <c r="Q1863" s="6" t="s">
        <v>104</v>
      </c>
      <c r="R1863" s="6" t="s">
        <v>104</v>
      </c>
      <c r="S1863" s="6" t="s">
        <v>104</v>
      </c>
      <c r="T1863" s="21" t="s">
        <v>104</v>
      </c>
      <c r="U1863" s="6" t="s">
        <v>104</v>
      </c>
      <c r="V1863" s="6" t="s">
        <v>104</v>
      </c>
      <c r="W1863" s="6" t="s">
        <v>104</v>
      </c>
      <c r="X1863" s="6" t="s">
        <v>104</v>
      </c>
      <c r="Y1863" s="21" t="s">
        <v>104</v>
      </c>
      <c r="Z1863" s="6" t="s">
        <v>104</v>
      </c>
      <c r="AA1863" s="6" t="s">
        <v>104</v>
      </c>
      <c r="AB1863" s="6" t="s">
        <v>104</v>
      </c>
      <c r="AC1863" s="6" t="s">
        <v>9714</v>
      </c>
      <c r="AD1863" s="16" t="n">
        <v>44866</v>
      </c>
      <c r="AE1863" s="6" t="s">
        <v>12145</v>
      </c>
      <c r="AF1863" s="6" t="s">
        <v>104</v>
      </c>
      <c r="AG1863" s="6" t="s">
        <v>13052</v>
      </c>
      <c r="AH1863" s="6" t="s">
        <v>14863</v>
      </c>
      <c r="AI1863" s="6" t="s">
        <v>104</v>
      </c>
      <c r="AJ1863" s="6" t="s">
        <v>15462</v>
      </c>
      <c r="AK1863" s="6" t="s">
        <v>104</v>
      </c>
      <c r="AL1863" s="6" t="s">
        <v>16936</v>
      </c>
      <c r="AM1863" s="6" t="s">
        <v>18216</v>
      </c>
      <c r="AN1863" s="6" t="s">
        <v>104</v>
      </c>
      <c r="AO1863" s="6" t="s">
        <v>104</v>
      </c>
      <c r="AP1863" s="6" t="s">
        <v>14863</v>
      </c>
      <c r="AQ1863" s="6" t="s">
        <v>104</v>
      </c>
      <c r="AR1863" s="6" t="s">
        <v>15462</v>
      </c>
      <c r="AS1863" s="6" t="s">
        <v>104</v>
      </c>
      <c r="AT1863" s="6" t="s">
        <v>16936</v>
      </c>
      <c r="AU1863" s="6" t="s">
        <v>18216</v>
      </c>
      <c r="AV1863" s="6" t="s">
        <v>104</v>
      </c>
      <c r="AW1863" s="6" t="s">
        <v>104</v>
      </c>
      <c r="AX1863" s="6" t="s">
        <v>21567</v>
      </c>
      <c r="AY1863" s="6" t="s">
        <v>23376</v>
      </c>
      <c r="AZ1863" s="6" t="s">
        <v>24152</v>
      </c>
      <c r="BA1863" s="6" t="s">
        <v>24490</v>
      </c>
      <c r="BB1863" s="6" t="s">
        <v>104</v>
      </c>
      <c r="BC1863" s="26"/>
      <c r="BD1863" s="26"/>
      <c r="BE1863" s="26" t="s">
        <v>24533</v>
      </c>
      <c r="BF1863" s="26"/>
      <c r="BG1863" s="26" t="s">
        <v>24533</v>
      </c>
      <c r="BH1863" s="26"/>
      <c r="BI1863" s="26"/>
      <c r="BJ1863" s="26"/>
      <c r="BK1863" s="26"/>
      <c r="BL1863" s="26"/>
      <c r="BM1863" s="26"/>
      <c r="BN1863" s="26"/>
      <c r="BO1863" s="26"/>
      <c r="BP1863" s="16" t="n">
        <v>45720</v>
      </c>
      <c r="BQ1863" s="28" t="str">
        <f>HYPERLINK("https://organic.ams.usda.gov/Integrity/Certificate.aspx?cid=84&amp;nopid=5380000691")</f>
        <v>https://organic.ams.usda.gov/Integrity/Certificate.aspx?cid=84&amp;nopid=5380000691</v>
      </c>
    </row>
    <row r="1864">
      <c r="A1864" t="s">
        <v>3</v>
      </c>
      <c r="B1864" s="6" t="s">
        <v>28</v>
      </c>
      <c r="C1864" s="6" t="s">
        <v>94</v>
      </c>
      <c r="D1864" s="6" t="s">
        <v>159</v>
      </c>
      <c r="E1864" s="10" t="s">
        <v>2062</v>
      </c>
      <c r="F1864" s="6" t="s">
        <v>4283</v>
      </c>
      <c r="G1864" s="6" t="s">
        <v>104</v>
      </c>
      <c r="H1864" s="6" t="s">
        <v>6579</v>
      </c>
      <c r="I1864" s="6" t="s">
        <v>7970</v>
      </c>
      <c r="J1864" s="6" t="s">
        <v>9466</v>
      </c>
      <c r="K1864" s="6" t="s">
        <v>9714</v>
      </c>
      <c r="L1864" s="16" t="n">
        <v>43811</v>
      </c>
      <c r="M1864" s="16" t="n">
        <v>45748</v>
      </c>
      <c r="N1864" s="6" t="s">
        <v>104</v>
      </c>
      <c r="O1864" s="21" t="s">
        <v>104</v>
      </c>
      <c r="P1864" s="6" t="s">
        <v>104</v>
      </c>
      <c r="Q1864" s="6" t="s">
        <v>104</v>
      </c>
      <c r="R1864" s="6" t="s">
        <v>104</v>
      </c>
      <c r="S1864" s="6" t="s">
        <v>104</v>
      </c>
      <c r="T1864" s="21" t="s">
        <v>104</v>
      </c>
      <c r="U1864" s="6" t="s">
        <v>104</v>
      </c>
      <c r="V1864" s="6" t="s">
        <v>104</v>
      </c>
      <c r="W1864" s="6" t="s">
        <v>104</v>
      </c>
      <c r="X1864" s="6" t="s">
        <v>104</v>
      </c>
      <c r="Y1864" s="21" t="s">
        <v>104</v>
      </c>
      <c r="Z1864" s="6" t="s">
        <v>104</v>
      </c>
      <c r="AA1864" s="6" t="s">
        <v>104</v>
      </c>
      <c r="AB1864" s="6" t="s">
        <v>104</v>
      </c>
      <c r="AC1864" s="6" t="s">
        <v>9714</v>
      </c>
      <c r="AD1864" s="16" t="n">
        <v>43811</v>
      </c>
      <c r="AE1864" s="6" t="s">
        <v>12146</v>
      </c>
      <c r="AF1864" s="6" t="s">
        <v>104</v>
      </c>
      <c r="AG1864" s="6" t="s">
        <v>13053</v>
      </c>
      <c r="AH1864" s="6" t="s">
        <v>14864</v>
      </c>
      <c r="AI1864" s="6" t="s">
        <v>104</v>
      </c>
      <c r="AJ1864" s="6" t="s">
        <v>16484</v>
      </c>
      <c r="AK1864" s="6" t="s">
        <v>104</v>
      </c>
      <c r="AL1864" s="6" t="s">
        <v>16898</v>
      </c>
      <c r="AM1864" s="6" t="s">
        <v>104</v>
      </c>
      <c r="AN1864" s="6" t="s">
        <v>104</v>
      </c>
      <c r="AO1864" s="6" t="s">
        <v>104</v>
      </c>
      <c r="AP1864" s="6" t="s">
        <v>104</v>
      </c>
      <c r="AQ1864" s="6" t="s">
        <v>104</v>
      </c>
      <c r="AR1864" s="6" t="s">
        <v>104</v>
      </c>
      <c r="AS1864" s="6" t="s">
        <v>104</v>
      </c>
      <c r="AT1864" s="6" t="s">
        <v>104</v>
      </c>
      <c r="AU1864" s="6" t="s">
        <v>104</v>
      </c>
      <c r="AV1864" s="6" t="s">
        <v>104</v>
      </c>
      <c r="AW1864" s="6" t="s">
        <v>104</v>
      </c>
      <c r="AX1864" s="6" t="s">
        <v>21568</v>
      </c>
      <c r="AY1864" s="6" t="s">
        <v>23377</v>
      </c>
      <c r="AZ1864" s="6" t="s">
        <v>104</v>
      </c>
      <c r="BA1864" s="6" t="s">
        <v>24491</v>
      </c>
      <c r="BB1864" s="6" t="s">
        <v>104</v>
      </c>
      <c r="BC1864" s="26"/>
      <c r="BD1864" s="26"/>
      <c r="BE1864" s="26"/>
      <c r="BF1864" s="26"/>
      <c r="BG1864" s="26"/>
      <c r="BH1864" s="26"/>
      <c r="BI1864" s="26"/>
      <c r="BJ1864" s="26"/>
      <c r="BK1864" s="26"/>
      <c r="BL1864" s="26"/>
      <c r="BM1864" s="26"/>
      <c r="BN1864" s="26"/>
      <c r="BO1864" s="26"/>
      <c r="BP1864" s="16" t="n">
        <v>45708</v>
      </c>
      <c r="BQ1864" s="28" t="str">
        <f>HYPERLINK("https://organic.ams.usda.gov/Integrity/Certificate.aspx?cid=11&amp;nopid=4791087965")</f>
        <v>https://organic.ams.usda.gov/Integrity/Certificate.aspx?cid=11&amp;nopid=4791087965</v>
      </c>
    </row>
    <row r="1865">
      <c r="A1865" t="s">
        <v>3</v>
      </c>
      <c r="B1865" s="6" t="s">
        <v>18</v>
      </c>
      <c r="C1865" s="6" t="s">
        <v>84</v>
      </c>
      <c r="D1865" s="6" t="s">
        <v>149</v>
      </c>
      <c r="E1865" s="10" t="s">
        <v>2063</v>
      </c>
      <c r="F1865" s="6" t="s">
        <v>4284</v>
      </c>
      <c r="G1865" s="6" t="s">
        <v>104</v>
      </c>
      <c r="H1865" s="6" t="s">
        <v>6580</v>
      </c>
      <c r="I1865" s="6" t="s">
        <v>7794</v>
      </c>
      <c r="J1865" s="6" t="s">
        <v>9467</v>
      </c>
      <c r="K1865" s="6" t="s">
        <v>9714</v>
      </c>
      <c r="L1865" s="16" t="n">
        <v>40210</v>
      </c>
      <c r="M1865" s="16" t="n">
        <v>45911</v>
      </c>
      <c r="N1865" s="6" t="s">
        <v>104</v>
      </c>
      <c r="O1865" s="21" t="s">
        <v>104</v>
      </c>
      <c r="P1865" s="6" t="s">
        <v>104</v>
      </c>
      <c r="Q1865" s="6" t="s">
        <v>104</v>
      </c>
      <c r="R1865" s="6" t="s">
        <v>104</v>
      </c>
      <c r="S1865" s="6" t="s">
        <v>104</v>
      </c>
      <c r="T1865" s="21" t="s">
        <v>104</v>
      </c>
      <c r="U1865" s="6" t="s">
        <v>104</v>
      </c>
      <c r="V1865" s="6" t="s">
        <v>104</v>
      </c>
      <c r="W1865" s="6" t="s">
        <v>104</v>
      </c>
      <c r="X1865" s="6" t="s">
        <v>104</v>
      </c>
      <c r="Y1865" s="21" t="s">
        <v>104</v>
      </c>
      <c r="Z1865" s="6" t="s">
        <v>104</v>
      </c>
      <c r="AA1865" s="6" t="s">
        <v>104</v>
      </c>
      <c r="AB1865" s="6" t="s">
        <v>104</v>
      </c>
      <c r="AC1865" s="6" t="s">
        <v>9714</v>
      </c>
      <c r="AD1865" s="16" t="n">
        <v>40210</v>
      </c>
      <c r="AE1865" s="6" t="s">
        <v>12147</v>
      </c>
      <c r="AF1865" s="6" t="s">
        <v>104</v>
      </c>
      <c r="AG1865" s="6" t="s">
        <v>13054</v>
      </c>
      <c r="AH1865" s="6" t="s">
        <v>14865</v>
      </c>
      <c r="AI1865" s="6" t="s">
        <v>104</v>
      </c>
      <c r="AJ1865" s="6" t="s">
        <v>15376</v>
      </c>
      <c r="AK1865" s="6" t="s">
        <v>16706</v>
      </c>
      <c r="AL1865" s="6" t="s">
        <v>16931</v>
      </c>
      <c r="AM1865" s="6" t="s">
        <v>18217</v>
      </c>
      <c r="AN1865" s="6" t="s">
        <v>18509</v>
      </c>
      <c r="AO1865" s="6" t="s">
        <v>18895</v>
      </c>
      <c r="AP1865" s="6" t="s">
        <v>19443</v>
      </c>
      <c r="AQ1865" s="6" t="s">
        <v>104</v>
      </c>
      <c r="AR1865" s="6" t="s">
        <v>15376</v>
      </c>
      <c r="AS1865" s="6" t="s">
        <v>16706</v>
      </c>
      <c r="AT1865" s="6" t="s">
        <v>16931</v>
      </c>
      <c r="AU1865" s="6" t="s">
        <v>18217</v>
      </c>
      <c r="AV1865" s="6" t="s">
        <v>104</v>
      </c>
      <c r="AW1865" s="6" t="s">
        <v>104</v>
      </c>
      <c r="AX1865" s="6" t="s">
        <v>21569</v>
      </c>
      <c r="AY1865" s="6" t="s">
        <v>23378</v>
      </c>
      <c r="AZ1865" s="6" t="s">
        <v>104</v>
      </c>
      <c r="BA1865" s="6" t="s">
        <v>24492</v>
      </c>
      <c r="BB1865" s="6" t="s">
        <v>104</v>
      </c>
      <c r="BC1865" s="26"/>
      <c r="BD1865" s="26"/>
      <c r="BE1865" s="26"/>
      <c r="BF1865" s="26"/>
      <c r="BG1865" s="26"/>
      <c r="BH1865" s="26"/>
      <c r="BI1865" s="26"/>
      <c r="BJ1865" s="26"/>
      <c r="BK1865" s="26"/>
      <c r="BL1865" s="26"/>
      <c r="BM1865" s="26"/>
      <c r="BN1865" s="26"/>
      <c r="BO1865" s="26"/>
      <c r="BP1865" s="16" t="n">
        <v>45737</v>
      </c>
      <c r="BQ1865" s="28" t="str">
        <f>HYPERLINK("https://organic.ams.usda.gov/Integrity/Certificate.aspx?cid=31&amp;nopid=3920897941")</f>
        <v>https://organic.ams.usda.gov/Integrity/Certificate.aspx?cid=31&amp;nopid=3920897941</v>
      </c>
    </row>
    <row r="1866">
      <c r="A1866" t="s">
        <v>3</v>
      </c>
      <c r="B1866" s="6" t="s">
        <v>11</v>
      </c>
      <c r="C1866" s="6" t="s">
        <v>77</v>
      </c>
      <c r="D1866" s="6" t="s">
        <v>142</v>
      </c>
      <c r="E1866" s="10" t="s">
        <v>2064</v>
      </c>
      <c r="F1866" s="6" t="s">
        <v>4285</v>
      </c>
      <c r="G1866" s="6" t="s">
        <v>104</v>
      </c>
      <c r="H1866" s="6" t="s">
        <v>6581</v>
      </c>
      <c r="I1866" s="6" t="s">
        <v>7971</v>
      </c>
      <c r="J1866" s="6" t="s">
        <v>9468</v>
      </c>
      <c r="K1866" s="6" t="s">
        <v>9714</v>
      </c>
      <c r="L1866" s="16" t="n">
        <v>44242</v>
      </c>
      <c r="M1866" s="16" t="n">
        <v>45819</v>
      </c>
      <c r="N1866" s="6" t="s">
        <v>104</v>
      </c>
      <c r="O1866" s="21" t="s">
        <v>104</v>
      </c>
      <c r="P1866" s="6" t="s">
        <v>104</v>
      </c>
      <c r="Q1866" s="6" t="s">
        <v>104</v>
      </c>
      <c r="R1866" s="6" t="s">
        <v>104</v>
      </c>
      <c r="S1866" s="6" t="s">
        <v>104</v>
      </c>
      <c r="T1866" s="21" t="s">
        <v>104</v>
      </c>
      <c r="U1866" s="6" t="s">
        <v>104</v>
      </c>
      <c r="V1866" s="6" t="s">
        <v>104</v>
      </c>
      <c r="W1866" s="6" t="s">
        <v>104</v>
      </c>
      <c r="X1866" s="6" t="s">
        <v>104</v>
      </c>
      <c r="Y1866" s="21" t="s">
        <v>104</v>
      </c>
      <c r="Z1866" s="6" t="s">
        <v>104</v>
      </c>
      <c r="AA1866" s="6" t="s">
        <v>104</v>
      </c>
      <c r="AB1866" s="6" t="s">
        <v>104</v>
      </c>
      <c r="AC1866" s="6" t="s">
        <v>9714</v>
      </c>
      <c r="AD1866" s="16" t="n">
        <v>45524</v>
      </c>
      <c r="AE1866" s="6" t="s">
        <v>12148</v>
      </c>
      <c r="AF1866" s="6" t="s">
        <v>104</v>
      </c>
      <c r="AG1866" s="6" t="s">
        <v>104</v>
      </c>
      <c r="AH1866" s="6" t="s">
        <v>14866</v>
      </c>
      <c r="AI1866" s="6" t="s">
        <v>104</v>
      </c>
      <c r="AJ1866" s="6" t="s">
        <v>15383</v>
      </c>
      <c r="AK1866" s="6" t="s">
        <v>15383</v>
      </c>
      <c r="AL1866" s="6" t="s">
        <v>16933</v>
      </c>
      <c r="AM1866" s="6" t="s">
        <v>104</v>
      </c>
      <c r="AN1866" s="6" t="s">
        <v>104</v>
      </c>
      <c r="AO1866" s="6" t="s">
        <v>104</v>
      </c>
      <c r="AP1866" s="6" t="s">
        <v>104</v>
      </c>
      <c r="AQ1866" s="6" t="s">
        <v>104</v>
      </c>
      <c r="AR1866" s="6" t="s">
        <v>104</v>
      </c>
      <c r="AS1866" s="6" t="s">
        <v>104</v>
      </c>
      <c r="AT1866" s="6" t="s">
        <v>104</v>
      </c>
      <c r="AU1866" s="6" t="s">
        <v>104</v>
      </c>
      <c r="AV1866" s="6" t="s">
        <v>104</v>
      </c>
      <c r="AW1866" s="6" t="s">
        <v>104</v>
      </c>
      <c r="AX1866" s="6" t="s">
        <v>104</v>
      </c>
      <c r="AY1866" s="6" t="s">
        <v>23379</v>
      </c>
      <c r="AZ1866" s="6" t="s">
        <v>104</v>
      </c>
      <c r="BA1866" s="6" t="s">
        <v>24493</v>
      </c>
      <c r="BB1866" s="24" t="n">
        <v>0</v>
      </c>
      <c r="BC1866" s="26"/>
      <c r="BD1866" s="26"/>
      <c r="BE1866" s="26"/>
      <c r="BF1866" s="26"/>
      <c r="BG1866" s="26"/>
      <c r="BH1866" s="26" t="s">
        <v>24533</v>
      </c>
      <c r="BI1866" s="26"/>
      <c r="BJ1866" s="26"/>
      <c r="BK1866" s="26"/>
      <c r="BL1866" s="26"/>
      <c r="BM1866" s="26"/>
      <c r="BN1866" s="26"/>
      <c r="BO1866" s="26"/>
      <c r="BP1866" s="16" t="n">
        <v>45629</v>
      </c>
      <c r="BQ1866" s="28" t="str">
        <f>HYPERLINK("https://organic.ams.usda.gov/Integrity/Certificate.aspx?cid=21&amp;nopid=1780876165")</f>
        <v>https://organic.ams.usda.gov/Integrity/Certificate.aspx?cid=21&amp;nopid=1780876165</v>
      </c>
    </row>
    <row r="1867">
      <c r="A1867" t="s">
        <v>3</v>
      </c>
      <c r="B1867" s="6" t="s">
        <v>12</v>
      </c>
      <c r="C1867" s="6" t="s">
        <v>78</v>
      </c>
      <c r="D1867" s="6" t="s">
        <v>143</v>
      </c>
      <c r="E1867" s="10" t="s">
        <v>2065</v>
      </c>
      <c r="F1867" s="6" t="s">
        <v>4286</v>
      </c>
      <c r="G1867" s="6" t="s">
        <v>104</v>
      </c>
      <c r="H1867" s="6" t="s">
        <v>104</v>
      </c>
      <c r="I1867" s="6" t="s">
        <v>7972</v>
      </c>
      <c r="J1867" s="6" t="s">
        <v>9469</v>
      </c>
      <c r="K1867" s="6" t="s">
        <v>9714</v>
      </c>
      <c r="L1867" s="16" t="n">
        <v>44077</v>
      </c>
      <c r="M1867" s="16" t="n">
        <v>45882</v>
      </c>
      <c r="N1867" s="6" t="s">
        <v>104</v>
      </c>
      <c r="O1867" s="21" t="s">
        <v>104</v>
      </c>
      <c r="P1867" s="6" t="s">
        <v>104</v>
      </c>
      <c r="Q1867" s="6" t="s">
        <v>104</v>
      </c>
      <c r="R1867" s="6" t="s">
        <v>104</v>
      </c>
      <c r="S1867" s="6" t="s">
        <v>104</v>
      </c>
      <c r="T1867" s="21" t="s">
        <v>104</v>
      </c>
      <c r="U1867" s="6" t="s">
        <v>104</v>
      </c>
      <c r="V1867" s="6" t="s">
        <v>104</v>
      </c>
      <c r="W1867" s="6" t="s">
        <v>104</v>
      </c>
      <c r="X1867" s="6" t="s">
        <v>104</v>
      </c>
      <c r="Y1867" s="21" t="s">
        <v>104</v>
      </c>
      <c r="Z1867" s="6" t="s">
        <v>104</v>
      </c>
      <c r="AA1867" s="6" t="s">
        <v>104</v>
      </c>
      <c r="AB1867" s="6" t="s">
        <v>104</v>
      </c>
      <c r="AC1867" s="6" t="s">
        <v>9714</v>
      </c>
      <c r="AD1867" s="16" t="n">
        <v>44077</v>
      </c>
      <c r="AE1867" s="6" t="s">
        <v>12149</v>
      </c>
      <c r="AF1867" s="6" t="s">
        <v>104</v>
      </c>
      <c r="AG1867" s="6" t="s">
        <v>13055</v>
      </c>
      <c r="AH1867" s="6" t="s">
        <v>14867</v>
      </c>
      <c r="AI1867" s="6" t="s">
        <v>104</v>
      </c>
      <c r="AJ1867" s="6" t="s">
        <v>16485</v>
      </c>
      <c r="AK1867" s="6" t="s">
        <v>16337</v>
      </c>
      <c r="AL1867" s="6" t="s">
        <v>16931</v>
      </c>
      <c r="AM1867" s="6" t="s">
        <v>18218</v>
      </c>
      <c r="AN1867" s="6" t="s">
        <v>18465</v>
      </c>
      <c r="AO1867" s="6" t="s">
        <v>18896</v>
      </c>
      <c r="AP1867" s="6" t="s">
        <v>19444</v>
      </c>
      <c r="AQ1867" s="6" t="s">
        <v>104</v>
      </c>
      <c r="AR1867" s="6" t="s">
        <v>19756</v>
      </c>
      <c r="AS1867" s="6" t="s">
        <v>16686</v>
      </c>
      <c r="AT1867" s="6" t="s">
        <v>16931</v>
      </c>
      <c r="AU1867" s="6" t="s">
        <v>20034</v>
      </c>
      <c r="AV1867" s="6" t="s">
        <v>104</v>
      </c>
      <c r="AW1867" s="6" t="s">
        <v>104</v>
      </c>
      <c r="AX1867" s="6" t="s">
        <v>104</v>
      </c>
      <c r="AY1867" s="6" t="s">
        <v>23380</v>
      </c>
      <c r="AZ1867" s="6" t="s">
        <v>104</v>
      </c>
      <c r="BA1867" s="6" t="s">
        <v>104</v>
      </c>
      <c r="BB1867" s="6" t="s">
        <v>104</v>
      </c>
      <c r="BC1867" s="26"/>
      <c r="BD1867" s="26"/>
      <c r="BE1867" s="26"/>
      <c r="BF1867" s="26"/>
      <c r="BG1867" s="26"/>
      <c r="BH1867" s="26"/>
      <c r="BI1867" s="26"/>
      <c r="BJ1867" s="26"/>
      <c r="BK1867" s="26"/>
      <c r="BL1867" s="26"/>
      <c r="BM1867" s="26"/>
      <c r="BN1867" s="26"/>
      <c r="BO1867" s="26"/>
      <c r="BP1867" s="16" t="n">
        <v>45723</v>
      </c>
      <c r="BQ1867" s="28" t="str">
        <f>HYPERLINK("https://organic.ams.usda.gov/Integrity/Certificate.aspx?cid=1&amp;nopid=9092022601")</f>
        <v>https://organic.ams.usda.gov/Integrity/Certificate.aspx?cid=1&amp;nopid=9092022601</v>
      </c>
    </row>
    <row r="1868">
      <c r="A1868" t="s">
        <v>3</v>
      </c>
      <c r="B1868" s="6" t="s">
        <v>20</v>
      </c>
      <c r="C1868" s="6" t="s">
        <v>86</v>
      </c>
      <c r="D1868" s="6" t="s">
        <v>151</v>
      </c>
      <c r="E1868" s="10" t="s">
        <v>2066</v>
      </c>
      <c r="F1868" s="6" t="s">
        <v>4287</v>
      </c>
      <c r="G1868" s="6" t="s">
        <v>104</v>
      </c>
      <c r="H1868" s="6" t="s">
        <v>6582</v>
      </c>
      <c r="I1868" s="6" t="s">
        <v>7973</v>
      </c>
      <c r="J1868" s="6" t="s">
        <v>9470</v>
      </c>
      <c r="K1868" s="6" t="s">
        <v>9714</v>
      </c>
      <c r="L1868" s="16" t="n">
        <v>41435</v>
      </c>
      <c r="M1868" s="16" t="n">
        <v>45808</v>
      </c>
      <c r="N1868" s="6" t="s">
        <v>9714</v>
      </c>
      <c r="O1868" s="16" t="n">
        <v>41435</v>
      </c>
      <c r="P1868" s="6" t="s">
        <v>9777</v>
      </c>
      <c r="Q1868" s="6" t="s">
        <v>104</v>
      </c>
      <c r="R1868" s="6" t="s">
        <v>10435</v>
      </c>
      <c r="S1868" s="6" t="s">
        <v>104</v>
      </c>
      <c r="T1868" s="21" t="s">
        <v>104</v>
      </c>
      <c r="U1868" s="6" t="s">
        <v>104</v>
      </c>
      <c r="V1868" s="6" t="s">
        <v>104</v>
      </c>
      <c r="W1868" s="6" t="s">
        <v>104</v>
      </c>
      <c r="X1868" s="6" t="s">
        <v>104</v>
      </c>
      <c r="Y1868" s="21" t="s">
        <v>104</v>
      </c>
      <c r="Z1868" s="6" t="s">
        <v>104</v>
      </c>
      <c r="AA1868" s="6" t="s">
        <v>104</v>
      </c>
      <c r="AB1868" s="6" t="s">
        <v>104</v>
      </c>
      <c r="AC1868" s="6" t="s">
        <v>9714</v>
      </c>
      <c r="AD1868" s="16" t="n">
        <v>41435</v>
      </c>
      <c r="AE1868" s="6" t="s">
        <v>12150</v>
      </c>
      <c r="AF1868" s="6" t="s">
        <v>104</v>
      </c>
      <c r="AG1868" s="6" t="s">
        <v>10435</v>
      </c>
      <c r="AH1868" s="6" t="s">
        <v>14868</v>
      </c>
      <c r="AI1868" s="6" t="s">
        <v>104</v>
      </c>
      <c r="AJ1868" s="6" t="s">
        <v>16486</v>
      </c>
      <c r="AK1868" s="6" t="s">
        <v>15482</v>
      </c>
      <c r="AL1868" s="6" t="s">
        <v>16939</v>
      </c>
      <c r="AM1868" s="6" t="s">
        <v>104</v>
      </c>
      <c r="AN1868" s="6" t="s">
        <v>104</v>
      </c>
      <c r="AO1868" s="6" t="s">
        <v>104</v>
      </c>
      <c r="AP1868" s="6" t="s">
        <v>104</v>
      </c>
      <c r="AQ1868" s="6" t="s">
        <v>104</v>
      </c>
      <c r="AR1868" s="6" t="s">
        <v>104</v>
      </c>
      <c r="AS1868" s="6" t="s">
        <v>104</v>
      </c>
      <c r="AT1868" s="6" t="s">
        <v>104</v>
      </c>
      <c r="AU1868" s="6" t="s">
        <v>104</v>
      </c>
      <c r="AV1868" s="6" t="s">
        <v>104</v>
      </c>
      <c r="AW1868" s="6" t="s">
        <v>104</v>
      </c>
      <c r="AX1868" s="6" t="s">
        <v>21570</v>
      </c>
      <c r="AY1868" s="6" t="s">
        <v>23381</v>
      </c>
      <c r="AZ1868" s="6" t="s">
        <v>24153</v>
      </c>
      <c r="BA1868" s="6" t="s">
        <v>104</v>
      </c>
      <c r="BB1868" s="24" t="n">
        <v>4541</v>
      </c>
      <c r="BC1868" s="26"/>
      <c r="BD1868" s="26"/>
      <c r="BE1868" s="26"/>
      <c r="BF1868" s="26"/>
      <c r="BG1868" s="26"/>
      <c r="BH1868" s="26"/>
      <c r="BI1868" s="26"/>
      <c r="BJ1868" s="26"/>
      <c r="BK1868" s="26"/>
      <c r="BL1868" s="26"/>
      <c r="BM1868" s="26"/>
      <c r="BN1868" s="26"/>
      <c r="BO1868" s="26" t="s">
        <v>24533</v>
      </c>
      <c r="BP1868" s="16" t="n">
        <v>45488</v>
      </c>
      <c r="BQ1868" s="28" t="str">
        <f>HYPERLINK("https://organic.ams.usda.gov/Integrity/Certificate.aspx?cid=17&amp;nopid=4080400083")</f>
        <v>https://organic.ams.usda.gov/Integrity/Certificate.aspx?cid=17&amp;nopid=4080400083</v>
      </c>
    </row>
    <row r="1869">
      <c r="A1869" t="s">
        <v>3</v>
      </c>
      <c r="B1869" s="6" t="s">
        <v>23</v>
      </c>
      <c r="C1869" s="6" t="s">
        <v>89</v>
      </c>
      <c r="D1869" s="6" t="s">
        <v>154</v>
      </c>
      <c r="E1869" s="10" t="s">
        <v>2067</v>
      </c>
      <c r="F1869" s="6" t="s">
        <v>4288</v>
      </c>
      <c r="G1869" s="6" t="s">
        <v>104</v>
      </c>
      <c r="H1869" s="6" t="s">
        <v>6583</v>
      </c>
      <c r="I1869" s="6" t="s">
        <v>7974</v>
      </c>
      <c r="J1869" s="6" t="s">
        <v>9471</v>
      </c>
      <c r="K1869" s="6" t="s">
        <v>9714</v>
      </c>
      <c r="L1869" s="16" t="n">
        <v>42233</v>
      </c>
      <c r="M1869" s="16" t="n">
        <v>45748</v>
      </c>
      <c r="N1869" s="6" t="s">
        <v>104</v>
      </c>
      <c r="O1869" s="21" t="s">
        <v>104</v>
      </c>
      <c r="P1869" s="6" t="s">
        <v>104</v>
      </c>
      <c r="Q1869" s="6" t="s">
        <v>104</v>
      </c>
      <c r="R1869" s="6" t="s">
        <v>104</v>
      </c>
      <c r="S1869" s="6" t="s">
        <v>104</v>
      </c>
      <c r="T1869" s="21" t="s">
        <v>104</v>
      </c>
      <c r="U1869" s="6" t="s">
        <v>104</v>
      </c>
      <c r="V1869" s="6" t="s">
        <v>104</v>
      </c>
      <c r="W1869" s="6" t="s">
        <v>104</v>
      </c>
      <c r="X1869" s="6" t="s">
        <v>104</v>
      </c>
      <c r="Y1869" s="21" t="s">
        <v>104</v>
      </c>
      <c r="Z1869" s="6" t="s">
        <v>104</v>
      </c>
      <c r="AA1869" s="6" t="s">
        <v>104</v>
      </c>
      <c r="AB1869" s="6" t="s">
        <v>104</v>
      </c>
      <c r="AC1869" s="6" t="s">
        <v>9714</v>
      </c>
      <c r="AD1869" s="16" t="n">
        <v>42233</v>
      </c>
      <c r="AE1869" s="6" t="s">
        <v>12151</v>
      </c>
      <c r="AF1869" s="6" t="s">
        <v>104</v>
      </c>
      <c r="AG1869" s="6" t="s">
        <v>6583</v>
      </c>
      <c r="AH1869" s="6" t="s">
        <v>14869</v>
      </c>
      <c r="AI1869" s="6" t="s">
        <v>104</v>
      </c>
      <c r="AJ1869" s="6" t="s">
        <v>16487</v>
      </c>
      <c r="AK1869" s="6" t="s">
        <v>16683</v>
      </c>
      <c r="AL1869" s="6" t="s">
        <v>16931</v>
      </c>
      <c r="AM1869" s="6" t="s">
        <v>18219</v>
      </c>
      <c r="AN1869" s="6" t="s">
        <v>18521</v>
      </c>
      <c r="AO1869" s="6" t="s">
        <v>18695</v>
      </c>
      <c r="AP1869" s="6" t="s">
        <v>14869</v>
      </c>
      <c r="AQ1869" s="6" t="s">
        <v>104</v>
      </c>
      <c r="AR1869" s="6" t="s">
        <v>16487</v>
      </c>
      <c r="AS1869" s="6" t="s">
        <v>16683</v>
      </c>
      <c r="AT1869" s="6" t="s">
        <v>16931</v>
      </c>
      <c r="AU1869" s="6" t="s">
        <v>18219</v>
      </c>
      <c r="AV1869" s="6" t="s">
        <v>104</v>
      </c>
      <c r="AW1869" s="6" t="s">
        <v>104</v>
      </c>
      <c r="AX1869" s="6" t="s">
        <v>21571</v>
      </c>
      <c r="AY1869" s="6" t="s">
        <v>23382</v>
      </c>
      <c r="AZ1869" s="6" t="s">
        <v>24154</v>
      </c>
      <c r="BA1869" s="6" t="s">
        <v>24261</v>
      </c>
      <c r="BB1869" s="24" t="n">
        <v>0</v>
      </c>
      <c r="BC1869" s="26" t="s">
        <v>24533</v>
      </c>
      <c r="BD1869" s="26"/>
      <c r="BE1869" s="26"/>
      <c r="BF1869" s="26"/>
      <c r="BG1869" s="26"/>
      <c r="BH1869" s="26" t="s">
        <v>24533</v>
      </c>
      <c r="BI1869" s="26"/>
      <c r="BJ1869" s="26"/>
      <c r="BK1869" s="26"/>
      <c r="BL1869" s="26"/>
      <c r="BM1869" s="26"/>
      <c r="BN1869" s="26"/>
      <c r="BO1869" s="26"/>
      <c r="BP1869" s="16" t="n">
        <v>45568</v>
      </c>
      <c r="BQ1869" s="28" t="str">
        <f>HYPERLINK("https://organic.ams.usda.gov/Integrity/Certificate.aspx?cid=45&amp;nopid=9950008644")</f>
        <v>https://organic.ams.usda.gov/Integrity/Certificate.aspx?cid=45&amp;nopid=9950008644</v>
      </c>
    </row>
    <row r="1870">
      <c r="A1870" t="s">
        <v>3</v>
      </c>
      <c r="B1870" s="6" t="s">
        <v>23</v>
      </c>
      <c r="C1870" s="6" t="s">
        <v>89</v>
      </c>
      <c r="D1870" s="6" t="s">
        <v>154</v>
      </c>
      <c r="E1870" s="10" t="s">
        <v>2068</v>
      </c>
      <c r="F1870" s="6" t="s">
        <v>4289</v>
      </c>
      <c r="G1870" s="6" t="s">
        <v>104</v>
      </c>
      <c r="H1870" s="6" t="s">
        <v>6584</v>
      </c>
      <c r="I1870" s="6" t="s">
        <v>4289</v>
      </c>
      <c r="J1870" s="6" t="s">
        <v>104</v>
      </c>
      <c r="K1870" s="6" t="s">
        <v>9714</v>
      </c>
      <c r="L1870" s="16" t="n">
        <v>42233</v>
      </c>
      <c r="M1870" s="16" t="n">
        <v>45748</v>
      </c>
      <c r="N1870" s="6" t="s">
        <v>104</v>
      </c>
      <c r="O1870" s="21" t="s">
        <v>104</v>
      </c>
      <c r="P1870" s="6" t="s">
        <v>104</v>
      </c>
      <c r="Q1870" s="6" t="s">
        <v>104</v>
      </c>
      <c r="R1870" s="6" t="s">
        <v>104</v>
      </c>
      <c r="S1870" s="6" t="s">
        <v>104</v>
      </c>
      <c r="T1870" s="21" t="s">
        <v>104</v>
      </c>
      <c r="U1870" s="6" t="s">
        <v>104</v>
      </c>
      <c r="V1870" s="6" t="s">
        <v>104</v>
      </c>
      <c r="W1870" s="6" t="s">
        <v>104</v>
      </c>
      <c r="X1870" s="6" t="s">
        <v>104</v>
      </c>
      <c r="Y1870" s="21" t="s">
        <v>104</v>
      </c>
      <c r="Z1870" s="6" t="s">
        <v>104</v>
      </c>
      <c r="AA1870" s="6" t="s">
        <v>104</v>
      </c>
      <c r="AB1870" s="6" t="s">
        <v>104</v>
      </c>
      <c r="AC1870" s="6" t="s">
        <v>9714</v>
      </c>
      <c r="AD1870" s="16" t="n">
        <v>42233</v>
      </c>
      <c r="AE1870" s="6" t="s">
        <v>12152</v>
      </c>
      <c r="AF1870" s="6" t="s">
        <v>104</v>
      </c>
      <c r="AG1870" s="6" t="s">
        <v>6584</v>
      </c>
      <c r="AH1870" s="6" t="s">
        <v>14869</v>
      </c>
      <c r="AI1870" s="6" t="s">
        <v>104</v>
      </c>
      <c r="AJ1870" s="6" t="s">
        <v>16487</v>
      </c>
      <c r="AK1870" s="6" t="s">
        <v>16683</v>
      </c>
      <c r="AL1870" s="6" t="s">
        <v>16931</v>
      </c>
      <c r="AM1870" s="6" t="s">
        <v>18219</v>
      </c>
      <c r="AN1870" s="6" t="s">
        <v>18521</v>
      </c>
      <c r="AO1870" s="6" t="s">
        <v>18695</v>
      </c>
      <c r="AP1870" s="6" t="s">
        <v>14869</v>
      </c>
      <c r="AQ1870" s="6" t="s">
        <v>104</v>
      </c>
      <c r="AR1870" s="6" t="s">
        <v>16487</v>
      </c>
      <c r="AS1870" s="6" t="s">
        <v>16683</v>
      </c>
      <c r="AT1870" s="6" t="s">
        <v>16931</v>
      </c>
      <c r="AU1870" s="6" t="s">
        <v>18219</v>
      </c>
      <c r="AV1870" s="6" t="s">
        <v>104</v>
      </c>
      <c r="AW1870" s="6" t="s">
        <v>104</v>
      </c>
      <c r="AX1870" s="6" t="s">
        <v>21571</v>
      </c>
      <c r="AY1870" s="6" t="s">
        <v>23382</v>
      </c>
      <c r="AZ1870" s="6" t="s">
        <v>104</v>
      </c>
      <c r="BA1870" s="6" t="s">
        <v>104</v>
      </c>
      <c r="BB1870" s="24" t="n">
        <v>0</v>
      </c>
      <c r="BC1870" s="26" t="s">
        <v>24533</v>
      </c>
      <c r="BD1870" s="26"/>
      <c r="BE1870" s="26"/>
      <c r="BF1870" s="26"/>
      <c r="BG1870" s="26"/>
      <c r="BH1870" s="26" t="s">
        <v>24533</v>
      </c>
      <c r="BI1870" s="26"/>
      <c r="BJ1870" s="26"/>
      <c r="BK1870" s="26"/>
      <c r="BL1870" s="26"/>
      <c r="BM1870" s="26"/>
      <c r="BN1870" s="26"/>
      <c r="BO1870" s="26"/>
      <c r="BP1870" s="16" t="n">
        <v>45492</v>
      </c>
      <c r="BQ1870" s="28" t="str">
        <f>HYPERLINK("https://organic.ams.usda.gov/Integrity/Certificate.aspx?cid=45&amp;nopid=9955108644")</f>
        <v>https://organic.ams.usda.gov/Integrity/Certificate.aspx?cid=45&amp;nopid=9955108644</v>
      </c>
    </row>
    <row r="1871">
      <c r="A1871" t="s">
        <v>3</v>
      </c>
      <c r="B1871" s="6" t="s">
        <v>17</v>
      </c>
      <c r="C1871" s="6" t="s">
        <v>83</v>
      </c>
      <c r="D1871" s="6" t="s">
        <v>148</v>
      </c>
      <c r="E1871" s="10" t="s">
        <v>2069</v>
      </c>
      <c r="F1871" s="6" t="s">
        <v>4290</v>
      </c>
      <c r="G1871" s="6" t="s">
        <v>104</v>
      </c>
      <c r="H1871" s="6" t="s">
        <v>6585</v>
      </c>
      <c r="I1871" s="6" t="s">
        <v>7975</v>
      </c>
      <c r="J1871" s="6" t="s">
        <v>9472</v>
      </c>
      <c r="K1871" s="6" t="s">
        <v>9714</v>
      </c>
      <c r="L1871" s="16" t="n">
        <v>42186</v>
      </c>
      <c r="M1871" s="16" t="n">
        <v>45809</v>
      </c>
      <c r="N1871" s="6" t="s">
        <v>104</v>
      </c>
      <c r="O1871" s="21" t="s">
        <v>104</v>
      </c>
      <c r="P1871" s="6" t="s">
        <v>104</v>
      </c>
      <c r="Q1871" s="6" t="s">
        <v>104</v>
      </c>
      <c r="R1871" s="6" t="s">
        <v>104</v>
      </c>
      <c r="S1871" s="6" t="s">
        <v>104</v>
      </c>
      <c r="T1871" s="21" t="s">
        <v>104</v>
      </c>
      <c r="U1871" s="6" t="s">
        <v>104</v>
      </c>
      <c r="V1871" s="6" t="s">
        <v>104</v>
      </c>
      <c r="W1871" s="6" t="s">
        <v>104</v>
      </c>
      <c r="X1871" s="6" t="s">
        <v>104</v>
      </c>
      <c r="Y1871" s="21" t="s">
        <v>104</v>
      </c>
      <c r="Z1871" s="6" t="s">
        <v>104</v>
      </c>
      <c r="AA1871" s="6" t="s">
        <v>104</v>
      </c>
      <c r="AB1871" s="6" t="s">
        <v>104</v>
      </c>
      <c r="AC1871" s="6" t="s">
        <v>9714</v>
      </c>
      <c r="AD1871" s="16" t="n">
        <v>42186</v>
      </c>
      <c r="AE1871" s="6" t="s">
        <v>12153</v>
      </c>
      <c r="AF1871" s="6" t="s">
        <v>104</v>
      </c>
      <c r="AG1871" s="6" t="s">
        <v>104</v>
      </c>
      <c r="AH1871" s="6" t="s">
        <v>14870</v>
      </c>
      <c r="AI1871" s="6" t="s">
        <v>104</v>
      </c>
      <c r="AJ1871" s="6" t="s">
        <v>16411</v>
      </c>
      <c r="AK1871" s="6" t="s">
        <v>16680</v>
      </c>
      <c r="AL1871" s="6" t="s">
        <v>16931</v>
      </c>
      <c r="AM1871" s="6" t="s">
        <v>18220</v>
      </c>
      <c r="AN1871" s="6" t="s">
        <v>18523</v>
      </c>
      <c r="AO1871" s="6" t="s">
        <v>18827</v>
      </c>
      <c r="AP1871" s="6" t="s">
        <v>14870</v>
      </c>
      <c r="AQ1871" s="6" t="s">
        <v>104</v>
      </c>
      <c r="AR1871" s="6" t="s">
        <v>16411</v>
      </c>
      <c r="AS1871" s="6" t="s">
        <v>16680</v>
      </c>
      <c r="AT1871" s="6" t="s">
        <v>16931</v>
      </c>
      <c r="AU1871" s="6" t="s">
        <v>18220</v>
      </c>
      <c r="AV1871" s="6" t="s">
        <v>104</v>
      </c>
      <c r="AW1871" s="6" t="s">
        <v>104</v>
      </c>
      <c r="AX1871" s="6" t="s">
        <v>21572</v>
      </c>
      <c r="AY1871" s="6" t="s">
        <v>23383</v>
      </c>
      <c r="AZ1871" s="6" t="s">
        <v>104</v>
      </c>
      <c r="BA1871" s="6" t="s">
        <v>104</v>
      </c>
      <c r="BB1871" s="24" t="n">
        <v>0</v>
      </c>
      <c r="BC1871" s="26"/>
      <c r="BD1871" s="26"/>
      <c r="BE1871" s="26"/>
      <c r="BF1871" s="26"/>
      <c r="BG1871" s="26"/>
      <c r="BH1871" s="26"/>
      <c r="BI1871" s="26"/>
      <c r="BJ1871" s="26"/>
      <c r="BK1871" s="26"/>
      <c r="BL1871" s="26"/>
      <c r="BM1871" s="26"/>
      <c r="BN1871" s="26"/>
      <c r="BO1871" s="26"/>
      <c r="BP1871" s="16" t="n">
        <v>45709</v>
      </c>
      <c r="BQ1871" s="28" t="str">
        <f>HYPERLINK("https://organic.ams.usda.gov/Integrity/Certificate.aspx?cid=51&amp;nopid=8240070115")</f>
        <v>https://organic.ams.usda.gov/Integrity/Certificate.aspx?cid=51&amp;nopid=8240070115</v>
      </c>
    </row>
    <row r="1872">
      <c r="A1872" t="s">
        <v>3</v>
      </c>
      <c r="B1872" s="6" t="s">
        <v>20</v>
      </c>
      <c r="C1872" s="6" t="s">
        <v>86</v>
      </c>
      <c r="D1872" s="6" t="s">
        <v>151</v>
      </c>
      <c r="E1872" s="10" t="s">
        <v>2070</v>
      </c>
      <c r="F1872" s="6" t="s">
        <v>4291</v>
      </c>
      <c r="G1872" s="6" t="s">
        <v>104</v>
      </c>
      <c r="H1872" s="6" t="s">
        <v>6586</v>
      </c>
      <c r="I1872" s="6" t="s">
        <v>7976</v>
      </c>
      <c r="J1872" s="6" t="s">
        <v>9473</v>
      </c>
      <c r="K1872" s="6" t="s">
        <v>9714</v>
      </c>
      <c r="L1872" s="16" t="n">
        <v>40669</v>
      </c>
      <c r="M1872" s="16" t="n">
        <v>45777</v>
      </c>
      <c r="N1872" s="6" t="s">
        <v>9714</v>
      </c>
      <c r="O1872" s="16" t="n">
        <v>40669</v>
      </c>
      <c r="P1872" s="6" t="s">
        <v>10207</v>
      </c>
      <c r="Q1872" s="6" t="s">
        <v>104</v>
      </c>
      <c r="R1872" s="6" t="s">
        <v>10436</v>
      </c>
      <c r="S1872" s="6" t="s">
        <v>104</v>
      </c>
      <c r="T1872" s="21" t="s">
        <v>104</v>
      </c>
      <c r="U1872" s="6" t="s">
        <v>104</v>
      </c>
      <c r="V1872" s="6" t="s">
        <v>104</v>
      </c>
      <c r="W1872" s="6" t="s">
        <v>104</v>
      </c>
      <c r="X1872" s="6" t="s">
        <v>104</v>
      </c>
      <c r="Y1872" s="21" t="s">
        <v>104</v>
      </c>
      <c r="Z1872" s="6" t="s">
        <v>104</v>
      </c>
      <c r="AA1872" s="6" t="s">
        <v>104</v>
      </c>
      <c r="AB1872" s="6" t="s">
        <v>104</v>
      </c>
      <c r="AC1872" s="6" t="s">
        <v>9714</v>
      </c>
      <c r="AD1872" s="16" t="n">
        <v>40669</v>
      </c>
      <c r="AE1872" s="6" t="s">
        <v>12154</v>
      </c>
      <c r="AF1872" s="6" t="s">
        <v>104</v>
      </c>
      <c r="AG1872" s="6" t="s">
        <v>10436</v>
      </c>
      <c r="AH1872" s="6" t="s">
        <v>14871</v>
      </c>
      <c r="AI1872" s="6" t="s">
        <v>104</v>
      </c>
      <c r="AJ1872" s="6" t="s">
        <v>15453</v>
      </c>
      <c r="AK1872" s="6" t="s">
        <v>15661</v>
      </c>
      <c r="AL1872" s="6" t="s">
        <v>16939</v>
      </c>
      <c r="AM1872" s="6" t="s">
        <v>104</v>
      </c>
      <c r="AN1872" s="6" t="s">
        <v>104</v>
      </c>
      <c r="AO1872" s="6" t="s">
        <v>104</v>
      </c>
      <c r="AP1872" s="6" t="s">
        <v>104</v>
      </c>
      <c r="AQ1872" s="6" t="s">
        <v>104</v>
      </c>
      <c r="AR1872" s="6" t="s">
        <v>104</v>
      </c>
      <c r="AS1872" s="6" t="s">
        <v>104</v>
      </c>
      <c r="AT1872" s="6" t="s">
        <v>104</v>
      </c>
      <c r="AU1872" s="6" t="s">
        <v>104</v>
      </c>
      <c r="AV1872" s="6" t="s">
        <v>104</v>
      </c>
      <c r="AW1872" s="6" t="s">
        <v>104</v>
      </c>
      <c r="AX1872" s="6" t="s">
        <v>21573</v>
      </c>
      <c r="AY1872" s="6" t="s">
        <v>23384</v>
      </c>
      <c r="AZ1872" s="6" t="s">
        <v>24155</v>
      </c>
      <c r="BA1872" s="6" t="s">
        <v>104</v>
      </c>
      <c r="BB1872" s="24" t="n">
        <v>2230</v>
      </c>
      <c r="BC1872" s="26"/>
      <c r="BD1872" s="26"/>
      <c r="BE1872" s="26"/>
      <c r="BF1872" s="26"/>
      <c r="BG1872" s="26"/>
      <c r="BH1872" s="26"/>
      <c r="BI1872" s="26"/>
      <c r="BJ1872" s="26"/>
      <c r="BK1872" s="26"/>
      <c r="BL1872" s="26"/>
      <c r="BM1872" s="26"/>
      <c r="BN1872" s="26"/>
      <c r="BO1872" s="26" t="s">
        <v>24533</v>
      </c>
      <c r="BP1872" s="16" t="n">
        <v>45544</v>
      </c>
      <c r="BQ1872" s="28" t="str">
        <f>HYPERLINK("https://organic.ams.usda.gov/Integrity/Certificate.aspx?cid=17&amp;nopid=4080400085")</f>
        <v>https://organic.ams.usda.gov/Integrity/Certificate.aspx?cid=17&amp;nopid=4080400085</v>
      </c>
    </row>
    <row r="1873">
      <c r="A1873" t="s">
        <v>3</v>
      </c>
      <c r="B1873" s="6" t="s">
        <v>28</v>
      </c>
      <c r="C1873" s="6" t="s">
        <v>94</v>
      </c>
      <c r="D1873" s="6" t="s">
        <v>159</v>
      </c>
      <c r="E1873" s="10" t="s">
        <v>2071</v>
      </c>
      <c r="F1873" s="6" t="s">
        <v>4292</v>
      </c>
      <c r="G1873" s="6" t="s">
        <v>104</v>
      </c>
      <c r="H1873" s="6" t="s">
        <v>6587</v>
      </c>
      <c r="I1873" s="6" t="s">
        <v>7977</v>
      </c>
      <c r="J1873" s="6" t="s">
        <v>9346</v>
      </c>
      <c r="K1873" s="6" t="s">
        <v>9714</v>
      </c>
      <c r="L1873" s="16" t="n">
        <v>44746</v>
      </c>
      <c r="M1873" s="16" t="n">
        <v>45748</v>
      </c>
      <c r="N1873" s="6" t="s">
        <v>104</v>
      </c>
      <c r="O1873" s="21" t="s">
        <v>104</v>
      </c>
      <c r="P1873" s="6" t="s">
        <v>104</v>
      </c>
      <c r="Q1873" s="6" t="s">
        <v>104</v>
      </c>
      <c r="R1873" s="6" t="s">
        <v>104</v>
      </c>
      <c r="S1873" s="6" t="s">
        <v>104</v>
      </c>
      <c r="T1873" s="21" t="s">
        <v>104</v>
      </c>
      <c r="U1873" s="6" t="s">
        <v>104</v>
      </c>
      <c r="V1873" s="6" t="s">
        <v>104</v>
      </c>
      <c r="W1873" s="6" t="s">
        <v>104</v>
      </c>
      <c r="X1873" s="6" t="s">
        <v>104</v>
      </c>
      <c r="Y1873" s="21" t="s">
        <v>104</v>
      </c>
      <c r="Z1873" s="6" t="s">
        <v>104</v>
      </c>
      <c r="AA1873" s="6" t="s">
        <v>104</v>
      </c>
      <c r="AB1873" s="6" t="s">
        <v>104</v>
      </c>
      <c r="AC1873" s="6" t="s">
        <v>9714</v>
      </c>
      <c r="AD1873" s="16" t="n">
        <v>44746</v>
      </c>
      <c r="AE1873" s="6" t="s">
        <v>12155</v>
      </c>
      <c r="AF1873" s="6" t="s">
        <v>104</v>
      </c>
      <c r="AG1873" s="6" t="s">
        <v>13056</v>
      </c>
      <c r="AH1873" s="6" t="s">
        <v>14872</v>
      </c>
      <c r="AI1873" s="6" t="s">
        <v>104</v>
      </c>
      <c r="AJ1873" s="6" t="s">
        <v>16488</v>
      </c>
      <c r="AK1873" s="6" t="s">
        <v>104</v>
      </c>
      <c r="AL1873" s="6" t="s">
        <v>16932</v>
      </c>
      <c r="AM1873" s="6" t="s">
        <v>18221</v>
      </c>
      <c r="AN1873" s="6" t="s">
        <v>104</v>
      </c>
      <c r="AO1873" s="6" t="s">
        <v>104</v>
      </c>
      <c r="AP1873" s="6" t="s">
        <v>104</v>
      </c>
      <c r="AQ1873" s="6" t="s">
        <v>104</v>
      </c>
      <c r="AR1873" s="6" t="s">
        <v>104</v>
      </c>
      <c r="AS1873" s="6" t="s">
        <v>104</v>
      </c>
      <c r="AT1873" s="6" t="s">
        <v>104</v>
      </c>
      <c r="AU1873" s="6" t="s">
        <v>104</v>
      </c>
      <c r="AV1873" s="6" t="s">
        <v>104</v>
      </c>
      <c r="AW1873" s="6" t="s">
        <v>104</v>
      </c>
      <c r="AX1873" s="6" t="s">
        <v>21574</v>
      </c>
      <c r="AY1873" s="6" t="s">
        <v>23385</v>
      </c>
      <c r="AZ1873" s="6" t="s">
        <v>24156</v>
      </c>
      <c r="BA1873" s="6" t="s">
        <v>24494</v>
      </c>
      <c r="BB1873" s="6" t="s">
        <v>104</v>
      </c>
      <c r="BC1873" s="26"/>
      <c r="BD1873" s="26"/>
      <c r="BE1873" s="26"/>
      <c r="BF1873" s="26"/>
      <c r="BG1873" s="26"/>
      <c r="BH1873" s="26"/>
      <c r="BI1873" s="26"/>
      <c r="BJ1873" s="26"/>
      <c r="BK1873" s="26"/>
      <c r="BL1873" s="26"/>
      <c r="BM1873" s="26"/>
      <c r="BN1873" s="26"/>
      <c r="BO1873" s="26"/>
      <c r="BP1873" s="16" t="n">
        <v>45684</v>
      </c>
      <c r="BQ1873" s="28" t="str">
        <f>HYPERLINK("https://organic.ams.usda.gov/Integrity/Certificate.aspx?cid=11&amp;nopid=4797109100")</f>
        <v>https://organic.ams.usda.gov/Integrity/Certificate.aspx?cid=11&amp;nopid=4797109100</v>
      </c>
    </row>
    <row r="1874">
      <c r="A1874" t="s">
        <v>3</v>
      </c>
      <c r="B1874" s="6" t="s">
        <v>20</v>
      </c>
      <c r="C1874" s="6" t="s">
        <v>86</v>
      </c>
      <c r="D1874" s="6" t="s">
        <v>151</v>
      </c>
      <c r="E1874" s="10" t="s">
        <v>2072</v>
      </c>
      <c r="F1874" s="6" t="s">
        <v>4293</v>
      </c>
      <c r="G1874" s="6" t="s">
        <v>104</v>
      </c>
      <c r="H1874" s="6" t="s">
        <v>6588</v>
      </c>
      <c r="I1874" s="6" t="s">
        <v>7978</v>
      </c>
      <c r="J1874" s="6" t="s">
        <v>9474</v>
      </c>
      <c r="K1874" s="6" t="s">
        <v>9714</v>
      </c>
      <c r="L1874" s="16" t="n">
        <v>42767</v>
      </c>
      <c r="M1874" s="16" t="n">
        <v>45747</v>
      </c>
      <c r="N1874" s="6" t="s">
        <v>104</v>
      </c>
      <c r="O1874" s="21" t="s">
        <v>104</v>
      </c>
      <c r="P1874" s="6" t="s">
        <v>104</v>
      </c>
      <c r="Q1874" s="6" t="s">
        <v>104</v>
      </c>
      <c r="R1874" s="6" t="s">
        <v>104</v>
      </c>
      <c r="S1874" s="6" t="s">
        <v>104</v>
      </c>
      <c r="T1874" s="21" t="s">
        <v>104</v>
      </c>
      <c r="U1874" s="6" t="s">
        <v>104</v>
      </c>
      <c r="V1874" s="6" t="s">
        <v>104</v>
      </c>
      <c r="W1874" s="6" t="s">
        <v>104</v>
      </c>
      <c r="X1874" s="6" t="s">
        <v>104</v>
      </c>
      <c r="Y1874" s="21" t="s">
        <v>104</v>
      </c>
      <c r="Z1874" s="6" t="s">
        <v>104</v>
      </c>
      <c r="AA1874" s="6" t="s">
        <v>104</v>
      </c>
      <c r="AB1874" s="6" t="s">
        <v>104</v>
      </c>
      <c r="AC1874" s="6" t="s">
        <v>9714</v>
      </c>
      <c r="AD1874" s="16" t="n">
        <v>42767</v>
      </c>
      <c r="AE1874" s="6" t="s">
        <v>12156</v>
      </c>
      <c r="AF1874" s="6" t="s">
        <v>104</v>
      </c>
      <c r="AG1874" s="6" t="s">
        <v>13057</v>
      </c>
      <c r="AH1874" s="6" t="s">
        <v>14873</v>
      </c>
      <c r="AI1874" s="6" t="s">
        <v>104</v>
      </c>
      <c r="AJ1874" s="6" t="s">
        <v>16489</v>
      </c>
      <c r="AK1874" s="6" t="s">
        <v>16893</v>
      </c>
      <c r="AL1874" s="6" t="s">
        <v>15513</v>
      </c>
      <c r="AM1874" s="6" t="s">
        <v>18222</v>
      </c>
      <c r="AN1874" s="6" t="s">
        <v>104</v>
      </c>
      <c r="AO1874" s="6" t="s">
        <v>104</v>
      </c>
      <c r="AP1874" s="6" t="s">
        <v>104</v>
      </c>
      <c r="AQ1874" s="6" t="s">
        <v>104</v>
      </c>
      <c r="AR1874" s="6" t="s">
        <v>104</v>
      </c>
      <c r="AS1874" s="6" t="s">
        <v>104</v>
      </c>
      <c r="AT1874" s="6" t="s">
        <v>104</v>
      </c>
      <c r="AU1874" s="6" t="s">
        <v>104</v>
      </c>
      <c r="AV1874" s="6" t="s">
        <v>104</v>
      </c>
      <c r="AW1874" s="6" t="s">
        <v>104</v>
      </c>
      <c r="AX1874" s="6" t="s">
        <v>21575</v>
      </c>
      <c r="AY1874" s="6" t="s">
        <v>23386</v>
      </c>
      <c r="AZ1874" s="6" t="s">
        <v>104</v>
      </c>
      <c r="BA1874" s="6" t="s">
        <v>104</v>
      </c>
      <c r="BB1874" s="6" t="s">
        <v>104</v>
      </c>
      <c r="BC1874" s="26"/>
      <c r="BD1874" s="26"/>
      <c r="BE1874" s="26"/>
      <c r="BF1874" s="26"/>
      <c r="BG1874" s="26"/>
      <c r="BH1874" s="26"/>
      <c r="BI1874" s="26"/>
      <c r="BJ1874" s="26"/>
      <c r="BK1874" s="26"/>
      <c r="BL1874" s="26"/>
      <c r="BM1874" s="26"/>
      <c r="BN1874" s="26"/>
      <c r="BO1874" s="26"/>
      <c r="BP1874" s="16" t="n">
        <v>45431</v>
      </c>
      <c r="BQ1874" s="28" t="str">
        <f>HYPERLINK("https://organic.ams.usda.gov/Integrity/Certificate.aspx?cid=17&amp;nopid=4087184475")</f>
        <v>https://organic.ams.usda.gov/Integrity/Certificate.aspx?cid=17&amp;nopid=4087184475</v>
      </c>
    </row>
    <row r="1875">
      <c r="A1875" t="s">
        <v>3</v>
      </c>
      <c r="B1875" s="6" t="s">
        <v>22</v>
      </c>
      <c r="C1875" s="6" t="s">
        <v>88</v>
      </c>
      <c r="D1875" s="6" t="s">
        <v>153</v>
      </c>
      <c r="E1875" s="10" t="s">
        <v>2073</v>
      </c>
      <c r="F1875" s="6" t="s">
        <v>4294</v>
      </c>
      <c r="G1875" s="6" t="s">
        <v>104</v>
      </c>
      <c r="H1875" s="6" t="s">
        <v>6589</v>
      </c>
      <c r="I1875" s="6" t="s">
        <v>7380</v>
      </c>
      <c r="J1875" s="6" t="s">
        <v>7139</v>
      </c>
      <c r="K1875" s="6" t="s">
        <v>9714</v>
      </c>
      <c r="L1875" s="16" t="n">
        <v>43750</v>
      </c>
      <c r="M1875" s="16" t="n">
        <v>45748</v>
      </c>
      <c r="N1875" s="6" t="s">
        <v>9714</v>
      </c>
      <c r="O1875" s="16" t="n">
        <v>43750</v>
      </c>
      <c r="P1875" s="6" t="s">
        <v>10208</v>
      </c>
      <c r="Q1875" s="6" t="s">
        <v>104</v>
      </c>
      <c r="R1875" s="6" t="s">
        <v>10437</v>
      </c>
      <c r="S1875" s="6" t="s">
        <v>104</v>
      </c>
      <c r="T1875" s="21" t="s">
        <v>104</v>
      </c>
      <c r="U1875" s="6" t="s">
        <v>104</v>
      </c>
      <c r="V1875" s="6" t="s">
        <v>104</v>
      </c>
      <c r="W1875" s="6" t="s">
        <v>104</v>
      </c>
      <c r="X1875" s="6" t="s">
        <v>104</v>
      </c>
      <c r="Y1875" s="21" t="s">
        <v>104</v>
      </c>
      <c r="Z1875" s="6" t="s">
        <v>104</v>
      </c>
      <c r="AA1875" s="6" t="s">
        <v>104</v>
      </c>
      <c r="AB1875" s="6" t="s">
        <v>104</v>
      </c>
      <c r="AC1875" s="6" t="s">
        <v>9714</v>
      </c>
      <c r="AD1875" s="16" t="n">
        <v>44452</v>
      </c>
      <c r="AE1875" s="6" t="s">
        <v>12157</v>
      </c>
      <c r="AF1875" s="6" t="s">
        <v>104</v>
      </c>
      <c r="AG1875" s="6" t="s">
        <v>10437</v>
      </c>
      <c r="AH1875" s="6" t="s">
        <v>14874</v>
      </c>
      <c r="AI1875" s="6" t="s">
        <v>104</v>
      </c>
      <c r="AJ1875" s="6" t="s">
        <v>16490</v>
      </c>
      <c r="AK1875" s="6" t="s">
        <v>16688</v>
      </c>
      <c r="AL1875" s="6" t="s">
        <v>16931</v>
      </c>
      <c r="AM1875" s="6" t="s">
        <v>18223</v>
      </c>
      <c r="AN1875" s="6" t="s">
        <v>5640</v>
      </c>
      <c r="AO1875" s="6" t="s">
        <v>18897</v>
      </c>
      <c r="AP1875" s="6" t="s">
        <v>14874</v>
      </c>
      <c r="AQ1875" s="6" t="s">
        <v>104</v>
      </c>
      <c r="AR1875" s="6" t="s">
        <v>16490</v>
      </c>
      <c r="AS1875" s="6" t="s">
        <v>16688</v>
      </c>
      <c r="AT1875" s="6" t="s">
        <v>16931</v>
      </c>
      <c r="AU1875" s="6" t="s">
        <v>18223</v>
      </c>
      <c r="AV1875" s="6" t="s">
        <v>104</v>
      </c>
      <c r="AW1875" s="6" t="s">
        <v>104</v>
      </c>
      <c r="AX1875" s="6" t="s">
        <v>21576</v>
      </c>
      <c r="AY1875" s="6" t="s">
        <v>23387</v>
      </c>
      <c r="AZ1875" s="6" t="s">
        <v>24157</v>
      </c>
      <c r="BA1875" s="6" t="s">
        <v>104</v>
      </c>
      <c r="BB1875" s="24" t="n">
        <v>952</v>
      </c>
      <c r="BC1875" s="26"/>
      <c r="BD1875" s="26"/>
      <c r="BE1875" s="26" t="s">
        <v>24533</v>
      </c>
      <c r="BF1875" s="26"/>
      <c r="BG1875" s="26"/>
      <c r="BH1875" s="26"/>
      <c r="BI1875" s="26"/>
      <c r="BJ1875" s="26"/>
      <c r="BK1875" s="26"/>
      <c r="BL1875" s="26"/>
      <c r="BM1875" s="26"/>
      <c r="BN1875" s="26"/>
      <c r="BO1875" s="26"/>
      <c r="BP1875" s="16" t="n">
        <v>45663</v>
      </c>
      <c r="BQ1875" s="28" t="str">
        <f>HYPERLINK("https://organic.ams.usda.gov/Integrity/Certificate.aspx?cid=72&amp;nopid=5870002095")</f>
        <v>https://organic.ams.usda.gov/Integrity/Certificate.aspx?cid=72&amp;nopid=5870002095</v>
      </c>
    </row>
    <row r="1876">
      <c r="A1876" t="s">
        <v>3</v>
      </c>
      <c r="B1876" s="6" t="s">
        <v>21</v>
      </c>
      <c r="C1876" s="6" t="s">
        <v>87</v>
      </c>
      <c r="D1876" s="6" t="s">
        <v>152</v>
      </c>
      <c r="E1876" s="10" t="s">
        <v>2074</v>
      </c>
      <c r="F1876" s="6" t="s">
        <v>4295</v>
      </c>
      <c r="G1876" s="6" t="s">
        <v>4857</v>
      </c>
      <c r="H1876" s="6" t="s">
        <v>6590</v>
      </c>
      <c r="I1876" s="6" t="s">
        <v>6920</v>
      </c>
      <c r="J1876" s="6" t="s">
        <v>8654</v>
      </c>
      <c r="K1876" s="6" t="s">
        <v>9714</v>
      </c>
      <c r="L1876" s="16" t="n">
        <v>45342</v>
      </c>
      <c r="M1876" s="16" t="n">
        <v>46023</v>
      </c>
      <c r="N1876" s="6" t="s">
        <v>104</v>
      </c>
      <c r="O1876" s="21" t="s">
        <v>104</v>
      </c>
      <c r="P1876" s="6" t="s">
        <v>104</v>
      </c>
      <c r="Q1876" s="6" t="s">
        <v>104</v>
      </c>
      <c r="R1876" s="6" t="s">
        <v>104</v>
      </c>
      <c r="S1876" s="6" t="s">
        <v>104</v>
      </c>
      <c r="T1876" s="21" t="s">
        <v>104</v>
      </c>
      <c r="U1876" s="6" t="s">
        <v>104</v>
      </c>
      <c r="V1876" s="6" t="s">
        <v>104</v>
      </c>
      <c r="W1876" s="6" t="s">
        <v>104</v>
      </c>
      <c r="X1876" s="6" t="s">
        <v>104</v>
      </c>
      <c r="Y1876" s="21" t="s">
        <v>104</v>
      </c>
      <c r="Z1876" s="6" t="s">
        <v>104</v>
      </c>
      <c r="AA1876" s="6" t="s">
        <v>104</v>
      </c>
      <c r="AB1876" s="6" t="s">
        <v>104</v>
      </c>
      <c r="AC1876" s="6" t="s">
        <v>9714</v>
      </c>
      <c r="AD1876" s="16" t="n">
        <v>45342</v>
      </c>
      <c r="AE1876" s="6" t="s">
        <v>12158</v>
      </c>
      <c r="AF1876" s="6" t="s">
        <v>104</v>
      </c>
      <c r="AG1876" s="6" t="s">
        <v>104</v>
      </c>
      <c r="AH1876" s="6" t="s">
        <v>14875</v>
      </c>
      <c r="AI1876" s="6" t="s">
        <v>104</v>
      </c>
      <c r="AJ1876" s="6" t="s">
        <v>16491</v>
      </c>
      <c r="AK1876" s="6" t="s">
        <v>16706</v>
      </c>
      <c r="AL1876" s="6" t="s">
        <v>16931</v>
      </c>
      <c r="AM1876" s="6" t="s">
        <v>18224</v>
      </c>
      <c r="AN1876" s="6" t="s">
        <v>104</v>
      </c>
      <c r="AO1876" s="6" t="s">
        <v>104</v>
      </c>
      <c r="AP1876" s="6" t="s">
        <v>14875</v>
      </c>
      <c r="AQ1876" s="6" t="s">
        <v>104</v>
      </c>
      <c r="AR1876" s="6" t="s">
        <v>16491</v>
      </c>
      <c r="AS1876" s="6" t="s">
        <v>16706</v>
      </c>
      <c r="AT1876" s="6" t="s">
        <v>16931</v>
      </c>
      <c r="AU1876" s="6" t="s">
        <v>18224</v>
      </c>
      <c r="AV1876" s="6" t="s">
        <v>104</v>
      </c>
      <c r="AW1876" s="6" t="s">
        <v>104</v>
      </c>
      <c r="AX1876" s="6" t="s">
        <v>21577</v>
      </c>
      <c r="AY1876" s="6" t="s">
        <v>22415</v>
      </c>
      <c r="AZ1876" s="6" t="s">
        <v>24158</v>
      </c>
      <c r="BA1876" s="6" t="s">
        <v>24263</v>
      </c>
      <c r="BB1876" s="6" t="s">
        <v>104</v>
      </c>
      <c r="BC1876" s="26"/>
      <c r="BD1876" s="26"/>
      <c r="BE1876" s="26"/>
      <c r="BF1876" s="26"/>
      <c r="BG1876" s="26"/>
      <c r="BH1876" s="26"/>
      <c r="BI1876" s="26"/>
      <c r="BJ1876" s="26"/>
      <c r="BK1876" s="26"/>
      <c r="BL1876" s="26"/>
      <c r="BM1876" s="26"/>
      <c r="BN1876" s="26"/>
      <c r="BO1876" s="26"/>
      <c r="BP1876" s="16" t="n">
        <v>45714</v>
      </c>
      <c r="BQ1876" s="28" t="str">
        <f>HYPERLINK("https://organic.ams.usda.gov/Integrity/Certificate.aspx?cid=15&amp;nopid=5561008135")</f>
        <v>https://organic.ams.usda.gov/Integrity/Certificate.aspx?cid=15&amp;nopid=5561008135</v>
      </c>
    </row>
    <row r="1877">
      <c r="A1877" t="s">
        <v>3</v>
      </c>
      <c r="B1877" s="6" t="s">
        <v>33</v>
      </c>
      <c r="C1877" s="6" t="s">
        <v>99</v>
      </c>
      <c r="D1877" s="6" t="s">
        <v>164</v>
      </c>
      <c r="E1877" s="10" t="s">
        <v>2075</v>
      </c>
      <c r="F1877" s="6" t="s">
        <v>4296</v>
      </c>
      <c r="G1877" s="6" t="s">
        <v>104</v>
      </c>
      <c r="H1877" s="6" t="s">
        <v>104</v>
      </c>
      <c r="I1877" s="6" t="s">
        <v>104</v>
      </c>
      <c r="J1877" s="6" t="s">
        <v>104</v>
      </c>
      <c r="K1877" s="6" t="s">
        <v>9714</v>
      </c>
      <c r="L1877" s="16" t="n">
        <v>44173</v>
      </c>
      <c r="M1877" s="16" t="n">
        <v>45536</v>
      </c>
      <c r="N1877" s="6" t="s">
        <v>104</v>
      </c>
      <c r="O1877" s="21" t="s">
        <v>104</v>
      </c>
      <c r="P1877" s="6" t="s">
        <v>104</v>
      </c>
      <c r="Q1877" s="6" t="s">
        <v>104</v>
      </c>
      <c r="R1877" s="6" t="s">
        <v>104</v>
      </c>
      <c r="S1877" s="6" t="s">
        <v>104</v>
      </c>
      <c r="T1877" s="21" t="s">
        <v>104</v>
      </c>
      <c r="U1877" s="6" t="s">
        <v>104</v>
      </c>
      <c r="V1877" s="6" t="s">
        <v>104</v>
      </c>
      <c r="W1877" s="6" t="s">
        <v>104</v>
      </c>
      <c r="X1877" s="6" t="s">
        <v>104</v>
      </c>
      <c r="Y1877" s="21" t="s">
        <v>104</v>
      </c>
      <c r="Z1877" s="6" t="s">
        <v>104</v>
      </c>
      <c r="AA1877" s="6" t="s">
        <v>104</v>
      </c>
      <c r="AB1877" s="6" t="s">
        <v>104</v>
      </c>
      <c r="AC1877" s="6" t="s">
        <v>9714</v>
      </c>
      <c r="AD1877" s="16" t="n">
        <v>44173</v>
      </c>
      <c r="AE1877" s="6" t="s">
        <v>12159</v>
      </c>
      <c r="AF1877" s="6" t="s">
        <v>104</v>
      </c>
      <c r="AG1877" s="6" t="s">
        <v>104</v>
      </c>
      <c r="AH1877" s="6" t="s">
        <v>14876</v>
      </c>
      <c r="AI1877" s="6" t="s">
        <v>104</v>
      </c>
      <c r="AJ1877" s="6" t="s">
        <v>15705</v>
      </c>
      <c r="AK1877" s="6" t="s">
        <v>16720</v>
      </c>
      <c r="AL1877" s="6" t="s">
        <v>16931</v>
      </c>
      <c r="AM1877" s="6" t="s">
        <v>17602</v>
      </c>
      <c r="AN1877" s="6" t="s">
        <v>18466</v>
      </c>
      <c r="AO1877" s="6" t="s">
        <v>18675</v>
      </c>
      <c r="AP1877" s="6" t="s">
        <v>14876</v>
      </c>
      <c r="AQ1877" s="6" t="s">
        <v>104</v>
      </c>
      <c r="AR1877" s="6" t="s">
        <v>15705</v>
      </c>
      <c r="AS1877" s="6" t="s">
        <v>16720</v>
      </c>
      <c r="AT1877" s="6" t="s">
        <v>16931</v>
      </c>
      <c r="AU1877" s="6" t="s">
        <v>17602</v>
      </c>
      <c r="AV1877" s="6" t="s">
        <v>104</v>
      </c>
      <c r="AW1877" s="6" t="s">
        <v>104</v>
      </c>
      <c r="AX1877" s="6" t="s">
        <v>104</v>
      </c>
      <c r="AY1877" s="6" t="s">
        <v>104</v>
      </c>
      <c r="AZ1877" s="6" t="s">
        <v>104</v>
      </c>
      <c r="BA1877" s="6" t="s">
        <v>24264</v>
      </c>
      <c r="BB1877" s="6" t="s">
        <v>104</v>
      </c>
      <c r="BC1877" s="26"/>
      <c r="BD1877" s="26"/>
      <c r="BE1877" s="26"/>
      <c r="BF1877" s="26"/>
      <c r="BG1877" s="26"/>
      <c r="BH1877" s="26"/>
      <c r="BI1877" s="26"/>
      <c r="BJ1877" s="26"/>
      <c r="BK1877" s="26"/>
      <c r="BL1877" s="26"/>
      <c r="BM1877" s="26"/>
      <c r="BN1877" s="26"/>
      <c r="BO1877" s="26"/>
      <c r="BP1877" s="16" t="n">
        <v>45293</v>
      </c>
      <c r="BQ1877" s="28" t="str">
        <f>HYPERLINK("https://organic.ams.usda.gov/Integrity/Certificate.aspx?cid=46&amp;nopid=3672000074")</f>
        <v>https://organic.ams.usda.gov/Integrity/Certificate.aspx?cid=46&amp;nopid=3672000074</v>
      </c>
    </row>
    <row r="1878">
      <c r="A1878" t="s">
        <v>3</v>
      </c>
      <c r="B1878" s="6" t="s">
        <v>11</v>
      </c>
      <c r="C1878" s="6" t="s">
        <v>77</v>
      </c>
      <c r="D1878" s="6" t="s">
        <v>142</v>
      </c>
      <c r="E1878" s="10" t="s">
        <v>2076</v>
      </c>
      <c r="F1878" s="6" t="s">
        <v>4297</v>
      </c>
      <c r="G1878" s="6" t="s">
        <v>104</v>
      </c>
      <c r="H1878" s="6" t="s">
        <v>6591</v>
      </c>
      <c r="I1878" s="6" t="s">
        <v>7979</v>
      </c>
      <c r="J1878" s="6" t="s">
        <v>8257</v>
      </c>
      <c r="K1878" s="6" t="s">
        <v>9714</v>
      </c>
      <c r="L1878" s="16" t="n">
        <v>42436</v>
      </c>
      <c r="M1878" s="16" t="n">
        <v>45857</v>
      </c>
      <c r="N1878" s="6" t="s">
        <v>104</v>
      </c>
      <c r="O1878" s="21" t="s">
        <v>104</v>
      </c>
      <c r="P1878" s="6" t="s">
        <v>104</v>
      </c>
      <c r="Q1878" s="6" t="s">
        <v>104</v>
      </c>
      <c r="R1878" s="6" t="s">
        <v>104</v>
      </c>
      <c r="S1878" s="6" t="s">
        <v>104</v>
      </c>
      <c r="T1878" s="21" t="s">
        <v>104</v>
      </c>
      <c r="U1878" s="6" t="s">
        <v>104</v>
      </c>
      <c r="V1878" s="6" t="s">
        <v>104</v>
      </c>
      <c r="W1878" s="6" t="s">
        <v>104</v>
      </c>
      <c r="X1878" s="6" t="s">
        <v>104</v>
      </c>
      <c r="Y1878" s="21" t="s">
        <v>104</v>
      </c>
      <c r="Z1878" s="6" t="s">
        <v>104</v>
      </c>
      <c r="AA1878" s="6" t="s">
        <v>104</v>
      </c>
      <c r="AB1878" s="6" t="s">
        <v>104</v>
      </c>
      <c r="AC1878" s="6" t="s">
        <v>9714</v>
      </c>
      <c r="AD1878" s="16" t="n">
        <v>45505</v>
      </c>
      <c r="AE1878" s="6" t="s">
        <v>12160</v>
      </c>
      <c r="AF1878" s="6" t="s">
        <v>104</v>
      </c>
      <c r="AG1878" s="6" t="s">
        <v>104</v>
      </c>
      <c r="AH1878" s="6" t="s">
        <v>14877</v>
      </c>
      <c r="AI1878" s="6" t="s">
        <v>104</v>
      </c>
      <c r="AJ1878" s="6" t="s">
        <v>16492</v>
      </c>
      <c r="AK1878" s="6" t="s">
        <v>16680</v>
      </c>
      <c r="AL1878" s="6" t="s">
        <v>16931</v>
      </c>
      <c r="AM1878" s="6" t="s">
        <v>17924</v>
      </c>
      <c r="AN1878" s="6" t="s">
        <v>18523</v>
      </c>
      <c r="AO1878" s="6" t="s">
        <v>18827</v>
      </c>
      <c r="AP1878" s="6" t="s">
        <v>14877</v>
      </c>
      <c r="AQ1878" s="6" t="s">
        <v>104</v>
      </c>
      <c r="AR1878" s="6" t="s">
        <v>16492</v>
      </c>
      <c r="AS1878" s="6" t="s">
        <v>16680</v>
      </c>
      <c r="AT1878" s="6" t="s">
        <v>16931</v>
      </c>
      <c r="AU1878" s="6" t="s">
        <v>17924</v>
      </c>
      <c r="AV1878" s="6" t="s">
        <v>104</v>
      </c>
      <c r="AW1878" s="6" t="s">
        <v>104</v>
      </c>
      <c r="AX1878" s="6" t="s">
        <v>21578</v>
      </c>
      <c r="AY1878" s="6" t="s">
        <v>23388</v>
      </c>
      <c r="AZ1878" s="6" t="s">
        <v>24159</v>
      </c>
      <c r="BA1878" s="6" t="s">
        <v>104</v>
      </c>
      <c r="BB1878" s="24" t="n">
        <v>0</v>
      </c>
      <c r="BC1878" s="26"/>
      <c r="BD1878" s="26"/>
      <c r="BE1878" s="26"/>
      <c r="BF1878" s="26"/>
      <c r="BG1878" s="26"/>
      <c r="BH1878" s="26" t="s">
        <v>24533</v>
      </c>
      <c r="BI1878" s="26"/>
      <c r="BJ1878" s="26"/>
      <c r="BK1878" s="26"/>
      <c r="BL1878" s="26"/>
      <c r="BM1878" s="26"/>
      <c r="BN1878" s="26"/>
      <c r="BO1878" s="26"/>
      <c r="BP1878" s="16" t="n">
        <v>45735</v>
      </c>
      <c r="BQ1878" s="28" t="str">
        <f>HYPERLINK("https://organic.ams.usda.gov/Integrity/Certificate.aspx?cid=21&amp;nopid=1780844952")</f>
        <v>https://organic.ams.usda.gov/Integrity/Certificate.aspx?cid=21&amp;nopid=1780844952</v>
      </c>
    </row>
    <row r="1879">
      <c r="A1879" t="s">
        <v>3</v>
      </c>
      <c r="B1879" s="6" t="s">
        <v>44</v>
      </c>
      <c r="C1879" s="6" t="s">
        <v>110</v>
      </c>
      <c r="D1879" s="6" t="s">
        <v>174</v>
      </c>
      <c r="E1879" s="10" t="s">
        <v>2077</v>
      </c>
      <c r="F1879" s="6" t="s">
        <v>4298</v>
      </c>
      <c r="G1879" s="6" t="s">
        <v>4858</v>
      </c>
      <c r="H1879" s="6" t="s">
        <v>6592</v>
      </c>
      <c r="I1879" s="6" t="s">
        <v>7980</v>
      </c>
      <c r="J1879" s="6" t="s">
        <v>9475</v>
      </c>
      <c r="K1879" s="6" t="s">
        <v>9714</v>
      </c>
      <c r="L1879" s="16" t="n">
        <v>45505</v>
      </c>
      <c r="M1879" s="16" t="n">
        <v>45672</v>
      </c>
      <c r="N1879" s="6" t="s">
        <v>104</v>
      </c>
      <c r="O1879" s="21" t="s">
        <v>104</v>
      </c>
      <c r="P1879" s="6" t="s">
        <v>104</v>
      </c>
      <c r="Q1879" s="6" t="s">
        <v>104</v>
      </c>
      <c r="R1879" s="6" t="s">
        <v>104</v>
      </c>
      <c r="S1879" s="6" t="s">
        <v>104</v>
      </c>
      <c r="T1879" s="21" t="s">
        <v>104</v>
      </c>
      <c r="U1879" s="6" t="s">
        <v>104</v>
      </c>
      <c r="V1879" s="6" t="s">
        <v>104</v>
      </c>
      <c r="W1879" s="6" t="s">
        <v>104</v>
      </c>
      <c r="X1879" s="6" t="s">
        <v>104</v>
      </c>
      <c r="Y1879" s="21" t="s">
        <v>104</v>
      </c>
      <c r="Z1879" s="6" t="s">
        <v>104</v>
      </c>
      <c r="AA1879" s="6" t="s">
        <v>104</v>
      </c>
      <c r="AB1879" s="6" t="s">
        <v>104</v>
      </c>
      <c r="AC1879" s="6" t="s">
        <v>9714</v>
      </c>
      <c r="AD1879" s="16" t="n">
        <v>45505</v>
      </c>
      <c r="AE1879" s="6" t="s">
        <v>12161</v>
      </c>
      <c r="AF1879" s="6" t="s">
        <v>104</v>
      </c>
      <c r="AG1879" s="6" t="s">
        <v>104</v>
      </c>
      <c r="AH1879" s="6" t="s">
        <v>14878</v>
      </c>
      <c r="AI1879" s="6" t="s">
        <v>104</v>
      </c>
      <c r="AJ1879" s="6" t="s">
        <v>15697</v>
      </c>
      <c r="AK1879" s="6" t="s">
        <v>15697</v>
      </c>
      <c r="AL1879" s="6" t="s">
        <v>16931</v>
      </c>
      <c r="AM1879" s="6" t="s">
        <v>18225</v>
      </c>
      <c r="AN1879" s="6" t="s">
        <v>18511</v>
      </c>
      <c r="AO1879" s="6" t="s">
        <v>18672</v>
      </c>
      <c r="AP1879" s="6" t="s">
        <v>14878</v>
      </c>
      <c r="AQ1879" s="6" t="s">
        <v>104</v>
      </c>
      <c r="AR1879" s="6" t="s">
        <v>15697</v>
      </c>
      <c r="AS1879" s="6" t="s">
        <v>15697</v>
      </c>
      <c r="AT1879" s="6" t="s">
        <v>16931</v>
      </c>
      <c r="AU1879" s="6" t="s">
        <v>18225</v>
      </c>
      <c r="AV1879" s="6" t="s">
        <v>104</v>
      </c>
      <c r="AW1879" s="6" t="s">
        <v>104</v>
      </c>
      <c r="AX1879" s="6" t="s">
        <v>21579</v>
      </c>
      <c r="AY1879" s="6" t="s">
        <v>23389</v>
      </c>
      <c r="AZ1879" s="6" t="s">
        <v>24160</v>
      </c>
      <c r="BA1879" s="6" t="s">
        <v>104</v>
      </c>
      <c r="BB1879" s="24" t="n">
        <v>0</v>
      </c>
      <c r="BC1879" s="26" t="s">
        <v>24533</v>
      </c>
      <c r="BD1879" s="26"/>
      <c r="BE1879" s="26"/>
      <c r="BF1879" s="26"/>
      <c r="BG1879" s="26" t="s">
        <v>24533</v>
      </c>
      <c r="BH1879" s="26"/>
      <c r="BI1879" s="26"/>
      <c r="BJ1879" s="26"/>
      <c r="BK1879" s="26"/>
      <c r="BL1879" s="26"/>
      <c r="BM1879" s="26"/>
      <c r="BN1879" s="26"/>
      <c r="BO1879" s="26"/>
      <c r="BP1879" s="16" t="n">
        <v>45603</v>
      </c>
      <c r="BQ1879" s="28" t="str">
        <f>HYPERLINK("https://organic.ams.usda.gov/Integrity/Certificate.aspx?cid=57&amp;nopid=3252013053")</f>
        <v>https://organic.ams.usda.gov/Integrity/Certificate.aspx?cid=57&amp;nopid=3252013053</v>
      </c>
    </row>
    <row r="1880">
      <c r="A1880" t="s">
        <v>3</v>
      </c>
      <c r="B1880" s="6" t="s">
        <v>13</v>
      </c>
      <c r="C1880" s="6" t="s">
        <v>79</v>
      </c>
      <c r="D1880" s="6" t="s">
        <v>144</v>
      </c>
      <c r="E1880" s="10" t="s">
        <v>2078</v>
      </c>
      <c r="F1880" s="6" t="s">
        <v>4299</v>
      </c>
      <c r="G1880" s="6" t="s">
        <v>104</v>
      </c>
      <c r="H1880" s="6" t="s">
        <v>6593</v>
      </c>
      <c r="I1880" s="6" t="s">
        <v>7412</v>
      </c>
      <c r="J1880" s="6" t="s">
        <v>9476</v>
      </c>
      <c r="K1880" s="6" t="s">
        <v>9714</v>
      </c>
      <c r="L1880" s="16" t="n">
        <v>40980</v>
      </c>
      <c r="M1880" s="16" t="n">
        <v>46023</v>
      </c>
      <c r="N1880" s="6" t="s">
        <v>104</v>
      </c>
      <c r="O1880" s="21" t="s">
        <v>104</v>
      </c>
      <c r="P1880" s="6" t="s">
        <v>104</v>
      </c>
      <c r="Q1880" s="6" t="s">
        <v>104</v>
      </c>
      <c r="R1880" s="6" t="s">
        <v>104</v>
      </c>
      <c r="S1880" s="6" t="s">
        <v>104</v>
      </c>
      <c r="T1880" s="21" t="s">
        <v>104</v>
      </c>
      <c r="U1880" s="6" t="s">
        <v>104</v>
      </c>
      <c r="V1880" s="6" t="s">
        <v>104</v>
      </c>
      <c r="W1880" s="6" t="s">
        <v>104</v>
      </c>
      <c r="X1880" s="6" t="s">
        <v>104</v>
      </c>
      <c r="Y1880" s="21" t="s">
        <v>104</v>
      </c>
      <c r="Z1880" s="6" t="s">
        <v>104</v>
      </c>
      <c r="AA1880" s="6" t="s">
        <v>104</v>
      </c>
      <c r="AB1880" s="6" t="s">
        <v>104</v>
      </c>
      <c r="AC1880" s="6" t="s">
        <v>9714</v>
      </c>
      <c r="AD1880" s="16" t="n">
        <v>40980</v>
      </c>
      <c r="AE1880" s="6" t="s">
        <v>12162</v>
      </c>
      <c r="AF1880" s="6" t="s">
        <v>104</v>
      </c>
      <c r="AG1880" s="6" t="s">
        <v>104</v>
      </c>
      <c r="AH1880" s="6" t="s">
        <v>104</v>
      </c>
      <c r="AI1880" s="6" t="s">
        <v>104</v>
      </c>
      <c r="AJ1880" s="6" t="s">
        <v>104</v>
      </c>
      <c r="AK1880" s="6" t="s">
        <v>104</v>
      </c>
      <c r="AL1880" s="6" t="s">
        <v>104</v>
      </c>
      <c r="AM1880" s="6" t="s">
        <v>104</v>
      </c>
      <c r="AN1880" s="6" t="s">
        <v>104</v>
      </c>
      <c r="AO1880" s="6" t="s">
        <v>104</v>
      </c>
      <c r="AP1880" s="6" t="s">
        <v>19445</v>
      </c>
      <c r="AQ1880" s="6" t="s">
        <v>104</v>
      </c>
      <c r="AR1880" s="6" t="s">
        <v>19757</v>
      </c>
      <c r="AS1880" s="6" t="s">
        <v>16730</v>
      </c>
      <c r="AT1880" s="6" t="s">
        <v>16931</v>
      </c>
      <c r="AU1880" s="6" t="s">
        <v>20035</v>
      </c>
      <c r="AV1880" s="6" t="s">
        <v>18489</v>
      </c>
      <c r="AW1880" s="6" t="s">
        <v>18793</v>
      </c>
      <c r="AX1880" s="6" t="s">
        <v>21580</v>
      </c>
      <c r="AY1880" s="6" t="s">
        <v>23390</v>
      </c>
      <c r="AZ1880" s="6" t="s">
        <v>24161</v>
      </c>
      <c r="BA1880" s="6" t="s">
        <v>104</v>
      </c>
      <c r="BB1880" s="6" t="s">
        <v>104</v>
      </c>
      <c r="BC1880" s="26" t="s">
        <v>24533</v>
      </c>
      <c r="BD1880" s="26"/>
      <c r="BE1880" s="26" t="s">
        <v>24533</v>
      </c>
      <c r="BF1880" s="26"/>
      <c r="BG1880" s="26" t="s">
        <v>24533</v>
      </c>
      <c r="BH1880" s="26" t="s">
        <v>24533</v>
      </c>
      <c r="BI1880" s="26"/>
      <c r="BJ1880" s="26"/>
      <c r="BK1880" s="26"/>
      <c r="BL1880" s="26" t="s">
        <v>24533</v>
      </c>
      <c r="BM1880" s="26"/>
      <c r="BN1880" s="26"/>
      <c r="BO1880" s="26"/>
      <c r="BP1880" s="16" t="n">
        <v>45722</v>
      </c>
      <c r="BQ1880" s="28" t="str">
        <f>HYPERLINK("https://organic.ams.usda.gov/Integrity/Certificate.aspx?cid=62&amp;nopid=8150001582")</f>
        <v>https://organic.ams.usda.gov/Integrity/Certificate.aspx?cid=62&amp;nopid=8150001582</v>
      </c>
    </row>
    <row r="1881">
      <c r="A1881" t="s">
        <v>3</v>
      </c>
      <c r="B1881" s="6" t="s">
        <v>55</v>
      </c>
      <c r="C1881" s="6" t="s">
        <v>121</v>
      </c>
      <c r="D1881" s="6" t="s">
        <v>185</v>
      </c>
      <c r="E1881" s="10" t="s">
        <v>2079</v>
      </c>
      <c r="F1881" s="6" t="s">
        <v>4300</v>
      </c>
      <c r="G1881" s="6" t="s">
        <v>104</v>
      </c>
      <c r="H1881" s="6" t="s">
        <v>6594</v>
      </c>
      <c r="I1881" s="6" t="s">
        <v>7981</v>
      </c>
      <c r="J1881" s="6" t="s">
        <v>104</v>
      </c>
      <c r="K1881" s="6" t="s">
        <v>9714</v>
      </c>
      <c r="L1881" s="16" t="n">
        <v>45720</v>
      </c>
      <c r="M1881" s="16" t="n">
        <v>46026</v>
      </c>
      <c r="N1881" s="6" t="s">
        <v>104</v>
      </c>
      <c r="O1881" s="21" t="s">
        <v>104</v>
      </c>
      <c r="P1881" s="6" t="s">
        <v>104</v>
      </c>
      <c r="Q1881" s="6" t="s">
        <v>104</v>
      </c>
      <c r="R1881" s="6" t="s">
        <v>104</v>
      </c>
      <c r="S1881" s="6" t="s">
        <v>104</v>
      </c>
      <c r="T1881" s="21" t="s">
        <v>104</v>
      </c>
      <c r="U1881" s="6" t="s">
        <v>104</v>
      </c>
      <c r="V1881" s="6" t="s">
        <v>104</v>
      </c>
      <c r="W1881" s="6" t="s">
        <v>104</v>
      </c>
      <c r="X1881" s="6" t="s">
        <v>104</v>
      </c>
      <c r="Y1881" s="21" t="s">
        <v>104</v>
      </c>
      <c r="Z1881" s="6" t="s">
        <v>104</v>
      </c>
      <c r="AA1881" s="6" t="s">
        <v>104</v>
      </c>
      <c r="AB1881" s="6" t="s">
        <v>104</v>
      </c>
      <c r="AC1881" s="6" t="s">
        <v>9714</v>
      </c>
      <c r="AD1881" s="16" t="n">
        <v>45720</v>
      </c>
      <c r="AE1881" s="6" t="s">
        <v>12163</v>
      </c>
      <c r="AF1881" s="6" t="s">
        <v>104</v>
      </c>
      <c r="AG1881" s="6" t="s">
        <v>6594</v>
      </c>
      <c r="AH1881" s="6" t="s">
        <v>14879</v>
      </c>
      <c r="AI1881" s="6" t="s">
        <v>104</v>
      </c>
      <c r="AJ1881" s="6" t="s">
        <v>15364</v>
      </c>
      <c r="AK1881" s="6" t="s">
        <v>16206</v>
      </c>
      <c r="AL1881" s="6" t="s">
        <v>16958</v>
      </c>
      <c r="AM1881" s="6" t="s">
        <v>18226</v>
      </c>
      <c r="AN1881" s="6" t="s">
        <v>104</v>
      </c>
      <c r="AO1881" s="6" t="s">
        <v>104</v>
      </c>
      <c r="AP1881" s="6" t="s">
        <v>104</v>
      </c>
      <c r="AQ1881" s="6" t="s">
        <v>104</v>
      </c>
      <c r="AR1881" s="6" t="s">
        <v>104</v>
      </c>
      <c r="AS1881" s="6" t="s">
        <v>104</v>
      </c>
      <c r="AT1881" s="6" t="s">
        <v>104</v>
      </c>
      <c r="AU1881" s="6" t="s">
        <v>104</v>
      </c>
      <c r="AV1881" s="6" t="s">
        <v>104</v>
      </c>
      <c r="AW1881" s="6" t="s">
        <v>104</v>
      </c>
      <c r="AX1881" s="6" t="s">
        <v>21581</v>
      </c>
      <c r="AY1881" s="6" t="s">
        <v>23391</v>
      </c>
      <c r="AZ1881" s="6" t="s">
        <v>104</v>
      </c>
      <c r="BA1881" s="6" t="s">
        <v>24495</v>
      </c>
      <c r="BB1881" s="6" t="s">
        <v>104</v>
      </c>
      <c r="BC1881" s="26"/>
      <c r="BD1881" s="26"/>
      <c r="BE1881" s="26" t="s">
        <v>24533</v>
      </c>
      <c r="BF1881" s="26"/>
      <c r="BG1881" s="26"/>
      <c r="BH1881" s="26"/>
      <c r="BI1881" s="26"/>
      <c r="BJ1881" s="26"/>
      <c r="BK1881" s="26"/>
      <c r="BL1881" s="26"/>
      <c r="BM1881" s="26"/>
      <c r="BN1881" s="26"/>
      <c r="BO1881" s="26"/>
      <c r="BP1881" s="16" t="n">
        <v>45720</v>
      </c>
      <c r="BQ1881" s="28" t="str">
        <f>HYPERLINK("https://organic.ams.usda.gov/Integrity/Certificate.aspx?cid=70&amp;nopid=6436015811")</f>
        <v>https://organic.ams.usda.gov/Integrity/Certificate.aspx?cid=70&amp;nopid=6436015811</v>
      </c>
    </row>
    <row r="1882">
      <c r="A1882" t="s">
        <v>3</v>
      </c>
      <c r="B1882" s="6" t="s">
        <v>29</v>
      </c>
      <c r="C1882" s="6" t="s">
        <v>95</v>
      </c>
      <c r="D1882" s="6" t="s">
        <v>160</v>
      </c>
      <c r="E1882" s="10" t="s">
        <v>2080</v>
      </c>
      <c r="F1882" s="6" t="s">
        <v>4301</v>
      </c>
      <c r="G1882" s="6" t="s">
        <v>104</v>
      </c>
      <c r="H1882" s="6" t="s">
        <v>6595</v>
      </c>
      <c r="I1882" s="6" t="s">
        <v>104</v>
      </c>
      <c r="J1882" s="6" t="s">
        <v>9477</v>
      </c>
      <c r="K1882" s="6" t="s">
        <v>9714</v>
      </c>
      <c r="L1882" s="16" t="n">
        <v>45023</v>
      </c>
      <c r="M1882" s="16" t="n">
        <v>45962</v>
      </c>
      <c r="N1882" s="6" t="s">
        <v>9714</v>
      </c>
      <c r="O1882" s="16" t="n">
        <v>45023</v>
      </c>
      <c r="P1882" s="6" t="s">
        <v>10209</v>
      </c>
      <c r="Q1882" s="6" t="s">
        <v>104</v>
      </c>
      <c r="R1882" s="6" t="s">
        <v>104</v>
      </c>
      <c r="S1882" s="6" t="s">
        <v>104</v>
      </c>
      <c r="T1882" s="21" t="s">
        <v>104</v>
      </c>
      <c r="U1882" s="6" t="s">
        <v>104</v>
      </c>
      <c r="V1882" s="6" t="s">
        <v>104</v>
      </c>
      <c r="W1882" s="6" t="s">
        <v>104</v>
      </c>
      <c r="X1882" s="6" t="s">
        <v>104</v>
      </c>
      <c r="Y1882" s="21" t="s">
        <v>104</v>
      </c>
      <c r="Z1882" s="6" t="s">
        <v>104</v>
      </c>
      <c r="AA1882" s="6" t="s">
        <v>104</v>
      </c>
      <c r="AB1882" s="6" t="s">
        <v>104</v>
      </c>
      <c r="AC1882" s="6" t="s">
        <v>9714</v>
      </c>
      <c r="AD1882" s="16" t="n">
        <v>45023</v>
      </c>
      <c r="AE1882" s="6" t="s">
        <v>12164</v>
      </c>
      <c r="AF1882" s="6" t="s">
        <v>104</v>
      </c>
      <c r="AG1882" s="6" t="s">
        <v>104</v>
      </c>
      <c r="AH1882" s="6" t="s">
        <v>14880</v>
      </c>
      <c r="AI1882" s="6" t="s">
        <v>15331</v>
      </c>
      <c r="AJ1882" s="6" t="s">
        <v>15837</v>
      </c>
      <c r="AK1882" s="6" t="s">
        <v>16873</v>
      </c>
      <c r="AL1882" s="6" t="s">
        <v>16948</v>
      </c>
      <c r="AM1882" s="6" t="s">
        <v>17469</v>
      </c>
      <c r="AN1882" s="6" t="s">
        <v>104</v>
      </c>
      <c r="AO1882" s="6" t="s">
        <v>104</v>
      </c>
      <c r="AP1882" s="6" t="s">
        <v>104</v>
      </c>
      <c r="AQ1882" s="6" t="s">
        <v>104</v>
      </c>
      <c r="AR1882" s="6" t="s">
        <v>104</v>
      </c>
      <c r="AS1882" s="6" t="s">
        <v>104</v>
      </c>
      <c r="AT1882" s="6" t="s">
        <v>104</v>
      </c>
      <c r="AU1882" s="6" t="s">
        <v>104</v>
      </c>
      <c r="AV1882" s="6" t="s">
        <v>104</v>
      </c>
      <c r="AW1882" s="6" t="s">
        <v>104</v>
      </c>
      <c r="AX1882" s="6" t="s">
        <v>21582</v>
      </c>
      <c r="AY1882" s="6" t="s">
        <v>23392</v>
      </c>
      <c r="AZ1882" s="6" t="s">
        <v>104</v>
      </c>
      <c r="BA1882" s="6" t="s">
        <v>104</v>
      </c>
      <c r="BB1882" s="24" t="n">
        <v>13</v>
      </c>
      <c r="BC1882" s="26"/>
      <c r="BD1882" s="26"/>
      <c r="BE1882" s="26"/>
      <c r="BF1882" s="26"/>
      <c r="BG1882" s="26"/>
      <c r="BH1882" s="26"/>
      <c r="BI1882" s="26"/>
      <c r="BJ1882" s="26"/>
      <c r="BK1882" s="26"/>
      <c r="BL1882" s="26"/>
      <c r="BM1882" s="26"/>
      <c r="BN1882" s="26"/>
      <c r="BO1882" s="26"/>
      <c r="BP1882" s="16" t="n">
        <v>45697</v>
      </c>
      <c r="BQ1882" s="28" t="str">
        <f>HYPERLINK("https://organic.ams.usda.gov/Integrity/Certificate.aspx?cid=24&amp;nopid=7880273210")</f>
        <v>https://organic.ams.usda.gov/Integrity/Certificate.aspx?cid=24&amp;nopid=7880273210</v>
      </c>
    </row>
    <row r="1883">
      <c r="A1883" t="s">
        <v>3</v>
      </c>
      <c r="B1883" s="6" t="s">
        <v>31</v>
      </c>
      <c r="C1883" s="6" t="s">
        <v>97</v>
      </c>
      <c r="D1883" s="6" t="s">
        <v>162</v>
      </c>
      <c r="E1883" s="10" t="s">
        <v>2081</v>
      </c>
      <c r="F1883" s="6" t="s">
        <v>4302</v>
      </c>
      <c r="G1883" s="6" t="s">
        <v>104</v>
      </c>
      <c r="H1883" s="6" t="s">
        <v>6596</v>
      </c>
      <c r="I1883" s="6" t="s">
        <v>7574</v>
      </c>
      <c r="J1883" s="6" t="s">
        <v>9478</v>
      </c>
      <c r="K1883" s="6" t="s">
        <v>9714</v>
      </c>
      <c r="L1883" s="16" t="n">
        <v>44956</v>
      </c>
      <c r="M1883" s="16" t="n">
        <v>45687</v>
      </c>
      <c r="N1883" s="6" t="s">
        <v>9714</v>
      </c>
      <c r="O1883" s="16" t="n">
        <v>44956</v>
      </c>
      <c r="P1883" s="6" t="s">
        <v>10210</v>
      </c>
      <c r="Q1883" s="6" t="s">
        <v>104</v>
      </c>
      <c r="R1883" s="6" t="s">
        <v>10438</v>
      </c>
      <c r="S1883" s="6" t="s">
        <v>104</v>
      </c>
      <c r="T1883" s="21" t="s">
        <v>104</v>
      </c>
      <c r="U1883" s="6" t="s">
        <v>104</v>
      </c>
      <c r="V1883" s="6" t="s">
        <v>104</v>
      </c>
      <c r="W1883" s="6" t="s">
        <v>104</v>
      </c>
      <c r="X1883" s="6" t="s">
        <v>104</v>
      </c>
      <c r="Y1883" s="21" t="s">
        <v>104</v>
      </c>
      <c r="Z1883" s="6" t="s">
        <v>104</v>
      </c>
      <c r="AA1883" s="6" t="s">
        <v>104</v>
      </c>
      <c r="AB1883" s="6" t="s">
        <v>104</v>
      </c>
      <c r="AC1883" s="6" t="s">
        <v>104</v>
      </c>
      <c r="AD1883" s="21" t="s">
        <v>104</v>
      </c>
      <c r="AE1883" s="6" t="s">
        <v>104</v>
      </c>
      <c r="AF1883" s="6" t="s">
        <v>104</v>
      </c>
      <c r="AG1883" s="6" t="s">
        <v>104</v>
      </c>
      <c r="AH1883" s="6" t="s">
        <v>14881</v>
      </c>
      <c r="AI1883" s="6" t="s">
        <v>104</v>
      </c>
      <c r="AJ1883" s="6" t="s">
        <v>104</v>
      </c>
      <c r="AK1883" s="6" t="s">
        <v>104</v>
      </c>
      <c r="AL1883" s="6" t="s">
        <v>16937</v>
      </c>
      <c r="AM1883" s="6" t="s">
        <v>18227</v>
      </c>
      <c r="AN1883" s="6" t="s">
        <v>104</v>
      </c>
      <c r="AO1883" s="6" t="s">
        <v>104</v>
      </c>
      <c r="AP1883" s="6" t="s">
        <v>14881</v>
      </c>
      <c r="AQ1883" s="6" t="s">
        <v>104</v>
      </c>
      <c r="AR1883" s="6" t="s">
        <v>104</v>
      </c>
      <c r="AS1883" s="6" t="s">
        <v>104</v>
      </c>
      <c r="AT1883" s="6" t="s">
        <v>16937</v>
      </c>
      <c r="AU1883" s="6" t="s">
        <v>18227</v>
      </c>
      <c r="AV1883" s="6" t="s">
        <v>104</v>
      </c>
      <c r="AW1883" s="6" t="s">
        <v>104</v>
      </c>
      <c r="AX1883" s="6" t="s">
        <v>21583</v>
      </c>
      <c r="AY1883" s="6" t="s">
        <v>23393</v>
      </c>
      <c r="AZ1883" s="6" t="s">
        <v>104</v>
      </c>
      <c r="BA1883" s="6" t="s">
        <v>104</v>
      </c>
      <c r="BB1883" s="24" t="n">
        <v>8</v>
      </c>
      <c r="BC1883" s="26"/>
      <c r="BD1883" s="26"/>
      <c r="BE1883" s="26"/>
      <c r="BF1883" s="26"/>
      <c r="BG1883" s="26"/>
      <c r="BH1883" s="26"/>
      <c r="BI1883" s="26"/>
      <c r="BJ1883" s="26"/>
      <c r="BK1883" s="26"/>
      <c r="BL1883" s="26"/>
      <c r="BM1883" s="26"/>
      <c r="BN1883" s="26"/>
      <c r="BO1883" s="26"/>
      <c r="BP1883" s="16" t="n">
        <v>45363</v>
      </c>
      <c r="BQ1883" s="28" t="str">
        <f>HYPERLINK("https://organic.ams.usda.gov/Integrity/Certificate.aspx?cid=43&amp;nopid=3532023083")</f>
        <v>https://organic.ams.usda.gov/Integrity/Certificate.aspx?cid=43&amp;nopid=3532023083</v>
      </c>
    </row>
    <row r="1884">
      <c r="A1884" t="s">
        <v>3</v>
      </c>
      <c r="B1884" s="6" t="s">
        <v>20</v>
      </c>
      <c r="C1884" s="6" t="s">
        <v>86</v>
      </c>
      <c r="D1884" s="6" t="s">
        <v>151</v>
      </c>
      <c r="E1884" s="10" t="s">
        <v>2082</v>
      </c>
      <c r="F1884" s="6" t="s">
        <v>4303</v>
      </c>
      <c r="G1884" s="6" t="s">
        <v>104</v>
      </c>
      <c r="H1884" s="6" t="s">
        <v>6597</v>
      </c>
      <c r="I1884" s="6" t="s">
        <v>7982</v>
      </c>
      <c r="J1884" s="6" t="s">
        <v>9479</v>
      </c>
      <c r="K1884" s="6" t="s">
        <v>9714</v>
      </c>
      <c r="L1884" s="16" t="n">
        <v>39983</v>
      </c>
      <c r="M1884" s="16" t="n">
        <v>45869</v>
      </c>
      <c r="N1884" s="6" t="s">
        <v>9714</v>
      </c>
      <c r="O1884" s="16" t="n">
        <v>39983</v>
      </c>
      <c r="P1884" s="6" t="s">
        <v>10211</v>
      </c>
      <c r="Q1884" s="6" t="s">
        <v>104</v>
      </c>
      <c r="R1884" s="6" t="s">
        <v>10439</v>
      </c>
      <c r="S1884" s="6" t="s">
        <v>104</v>
      </c>
      <c r="T1884" s="21" t="s">
        <v>104</v>
      </c>
      <c r="U1884" s="6" t="s">
        <v>104</v>
      </c>
      <c r="V1884" s="6" t="s">
        <v>104</v>
      </c>
      <c r="W1884" s="6" t="s">
        <v>104</v>
      </c>
      <c r="X1884" s="6" t="s">
        <v>104</v>
      </c>
      <c r="Y1884" s="21" t="s">
        <v>104</v>
      </c>
      <c r="Z1884" s="6" t="s">
        <v>104</v>
      </c>
      <c r="AA1884" s="6" t="s">
        <v>104</v>
      </c>
      <c r="AB1884" s="6" t="s">
        <v>104</v>
      </c>
      <c r="AC1884" s="6" t="s">
        <v>9714</v>
      </c>
      <c r="AD1884" s="16" t="n">
        <v>39983</v>
      </c>
      <c r="AE1884" s="6" t="s">
        <v>12165</v>
      </c>
      <c r="AF1884" s="6" t="s">
        <v>104</v>
      </c>
      <c r="AG1884" s="6" t="s">
        <v>10439</v>
      </c>
      <c r="AH1884" s="6" t="s">
        <v>14882</v>
      </c>
      <c r="AI1884" s="6" t="s">
        <v>104</v>
      </c>
      <c r="AJ1884" s="6" t="s">
        <v>104</v>
      </c>
      <c r="AK1884" s="6" t="s">
        <v>15661</v>
      </c>
      <c r="AL1884" s="6" t="s">
        <v>16939</v>
      </c>
      <c r="AM1884" s="6" t="s">
        <v>104</v>
      </c>
      <c r="AN1884" s="6" t="s">
        <v>104</v>
      </c>
      <c r="AO1884" s="6" t="s">
        <v>104</v>
      </c>
      <c r="AP1884" s="6" t="s">
        <v>104</v>
      </c>
      <c r="AQ1884" s="6" t="s">
        <v>104</v>
      </c>
      <c r="AR1884" s="6" t="s">
        <v>104</v>
      </c>
      <c r="AS1884" s="6" t="s">
        <v>104</v>
      </c>
      <c r="AT1884" s="6" t="s">
        <v>104</v>
      </c>
      <c r="AU1884" s="6" t="s">
        <v>104</v>
      </c>
      <c r="AV1884" s="6" t="s">
        <v>104</v>
      </c>
      <c r="AW1884" s="6" t="s">
        <v>104</v>
      </c>
      <c r="AX1884" s="6" t="s">
        <v>21584</v>
      </c>
      <c r="AY1884" s="6" t="s">
        <v>23394</v>
      </c>
      <c r="AZ1884" s="6" t="s">
        <v>24162</v>
      </c>
      <c r="BA1884" s="6" t="s">
        <v>24496</v>
      </c>
      <c r="BB1884" s="24" t="n">
        <v>15327</v>
      </c>
      <c r="BC1884" s="26"/>
      <c r="BD1884" s="26"/>
      <c r="BE1884" s="26"/>
      <c r="BF1884" s="26"/>
      <c r="BG1884" s="26"/>
      <c r="BH1884" s="26"/>
      <c r="BI1884" s="26"/>
      <c r="BJ1884" s="26"/>
      <c r="BK1884" s="26"/>
      <c r="BL1884" s="26"/>
      <c r="BM1884" s="26"/>
      <c r="BN1884" s="26"/>
      <c r="BO1884" s="26" t="s">
        <v>24533</v>
      </c>
      <c r="BP1884" s="16" t="n">
        <v>45588</v>
      </c>
      <c r="BQ1884" s="28" t="str">
        <f>HYPERLINK("https://organic.ams.usda.gov/Integrity/Certificate.aspx?cid=17&amp;nopid=4080400082")</f>
        <v>https://organic.ams.usda.gov/Integrity/Certificate.aspx?cid=17&amp;nopid=4080400082</v>
      </c>
    </row>
    <row r="1885">
      <c r="A1885" t="s">
        <v>3</v>
      </c>
      <c r="B1885" s="6" t="s">
        <v>20</v>
      </c>
      <c r="C1885" s="6" t="s">
        <v>86</v>
      </c>
      <c r="D1885" s="6" t="s">
        <v>151</v>
      </c>
      <c r="E1885" s="10" t="s">
        <v>2083</v>
      </c>
      <c r="F1885" s="6" t="s">
        <v>4304</v>
      </c>
      <c r="G1885" s="6" t="s">
        <v>104</v>
      </c>
      <c r="H1885" s="6" t="s">
        <v>6598</v>
      </c>
      <c r="I1885" s="6" t="s">
        <v>7983</v>
      </c>
      <c r="J1885" s="6" t="s">
        <v>9331</v>
      </c>
      <c r="K1885" s="6" t="s">
        <v>9714</v>
      </c>
      <c r="L1885" s="16" t="n">
        <v>45251</v>
      </c>
      <c r="M1885" s="18" t="s">
        <v>104</v>
      </c>
      <c r="N1885" s="6" t="s">
        <v>104</v>
      </c>
      <c r="O1885" s="21" t="s">
        <v>104</v>
      </c>
      <c r="P1885" s="6" t="s">
        <v>104</v>
      </c>
      <c r="Q1885" s="6" t="s">
        <v>104</v>
      </c>
      <c r="R1885" s="6" t="s">
        <v>104</v>
      </c>
      <c r="S1885" s="6" t="s">
        <v>104</v>
      </c>
      <c r="T1885" s="21" t="s">
        <v>104</v>
      </c>
      <c r="U1885" s="6" t="s">
        <v>104</v>
      </c>
      <c r="V1885" s="6" t="s">
        <v>104</v>
      </c>
      <c r="W1885" s="6" t="s">
        <v>104</v>
      </c>
      <c r="X1885" s="6" t="s">
        <v>104</v>
      </c>
      <c r="Y1885" s="21" t="s">
        <v>104</v>
      </c>
      <c r="Z1885" s="6" t="s">
        <v>104</v>
      </c>
      <c r="AA1885" s="6" t="s">
        <v>104</v>
      </c>
      <c r="AB1885" s="6" t="s">
        <v>104</v>
      </c>
      <c r="AC1885" s="6" t="s">
        <v>9714</v>
      </c>
      <c r="AD1885" s="16" t="n">
        <v>45251</v>
      </c>
      <c r="AE1885" s="6" t="s">
        <v>12166</v>
      </c>
      <c r="AF1885" s="6" t="s">
        <v>104</v>
      </c>
      <c r="AG1885" s="6" t="s">
        <v>104</v>
      </c>
      <c r="AH1885" s="6" t="s">
        <v>14883</v>
      </c>
      <c r="AI1885" s="6" t="s">
        <v>104</v>
      </c>
      <c r="AJ1885" s="6" t="s">
        <v>15661</v>
      </c>
      <c r="AK1885" s="6" t="s">
        <v>15661</v>
      </c>
      <c r="AL1885" s="6" t="s">
        <v>16939</v>
      </c>
      <c r="AM1885" s="6" t="s">
        <v>104</v>
      </c>
      <c r="AN1885" s="6" t="s">
        <v>104</v>
      </c>
      <c r="AO1885" s="6" t="s">
        <v>104</v>
      </c>
      <c r="AP1885" s="6" t="s">
        <v>14883</v>
      </c>
      <c r="AQ1885" s="6" t="s">
        <v>104</v>
      </c>
      <c r="AR1885" s="6" t="s">
        <v>15661</v>
      </c>
      <c r="AS1885" s="6" t="s">
        <v>15661</v>
      </c>
      <c r="AT1885" s="6" t="s">
        <v>16939</v>
      </c>
      <c r="AU1885" s="6" t="s">
        <v>104</v>
      </c>
      <c r="AV1885" s="6" t="s">
        <v>104</v>
      </c>
      <c r="AW1885" s="6" t="s">
        <v>104</v>
      </c>
      <c r="AX1885" s="6" t="s">
        <v>21585</v>
      </c>
      <c r="AY1885" s="6" t="s">
        <v>23395</v>
      </c>
      <c r="AZ1885" s="6" t="s">
        <v>104</v>
      </c>
      <c r="BA1885" s="6" t="s">
        <v>104</v>
      </c>
      <c r="BB1885" s="6" t="s">
        <v>104</v>
      </c>
      <c r="BC1885" s="26"/>
      <c r="BD1885" s="26"/>
      <c r="BE1885" s="26"/>
      <c r="BF1885" s="26"/>
      <c r="BG1885" s="26"/>
      <c r="BH1885" s="26"/>
      <c r="BI1885" s="26"/>
      <c r="BJ1885" s="26"/>
      <c r="BK1885" s="26"/>
      <c r="BL1885" s="26"/>
      <c r="BM1885" s="26"/>
      <c r="BN1885" s="26"/>
      <c r="BO1885" s="26"/>
      <c r="BP1885" s="16" t="n">
        <v>45278</v>
      </c>
      <c r="BQ1885" s="28" t="str">
        <f>HYPERLINK("https://organic.ams.usda.gov/Integrity/Certificate.aspx?cid=17&amp;nopid=4087184643")</f>
        <v>https://organic.ams.usda.gov/Integrity/Certificate.aspx?cid=17&amp;nopid=4087184643</v>
      </c>
    </row>
    <row r="1886">
      <c r="A1886" t="s">
        <v>3</v>
      </c>
      <c r="B1886" s="6" t="s">
        <v>35</v>
      </c>
      <c r="C1886" s="6" t="s">
        <v>101</v>
      </c>
      <c r="D1886" s="6" t="s">
        <v>166</v>
      </c>
      <c r="E1886" s="10" t="s">
        <v>2084</v>
      </c>
      <c r="F1886" s="6" t="s">
        <v>4305</v>
      </c>
      <c r="G1886" s="6" t="s">
        <v>104</v>
      </c>
      <c r="H1886" s="6" t="s">
        <v>6599</v>
      </c>
      <c r="I1886" s="6" t="s">
        <v>104</v>
      </c>
      <c r="J1886" s="6" t="s">
        <v>104</v>
      </c>
      <c r="K1886" s="6" t="s">
        <v>9714</v>
      </c>
      <c r="L1886" s="16" t="n">
        <v>44784</v>
      </c>
      <c r="M1886" s="16" t="n">
        <v>45716</v>
      </c>
      <c r="N1886" s="6" t="s">
        <v>104</v>
      </c>
      <c r="O1886" s="21" t="s">
        <v>104</v>
      </c>
      <c r="P1886" s="6" t="s">
        <v>104</v>
      </c>
      <c r="Q1886" s="6" t="s">
        <v>104</v>
      </c>
      <c r="R1886" s="6" t="s">
        <v>104</v>
      </c>
      <c r="S1886" s="6" t="s">
        <v>104</v>
      </c>
      <c r="T1886" s="21" t="s">
        <v>104</v>
      </c>
      <c r="U1886" s="6" t="s">
        <v>104</v>
      </c>
      <c r="V1886" s="6" t="s">
        <v>104</v>
      </c>
      <c r="W1886" s="6" t="s">
        <v>104</v>
      </c>
      <c r="X1886" s="6" t="s">
        <v>104</v>
      </c>
      <c r="Y1886" s="21" t="s">
        <v>104</v>
      </c>
      <c r="Z1886" s="6" t="s">
        <v>104</v>
      </c>
      <c r="AA1886" s="6" t="s">
        <v>104</v>
      </c>
      <c r="AB1886" s="6" t="s">
        <v>104</v>
      </c>
      <c r="AC1886" s="6" t="s">
        <v>9714</v>
      </c>
      <c r="AD1886" s="16" t="n">
        <v>44784</v>
      </c>
      <c r="AE1886" s="6" t="s">
        <v>12167</v>
      </c>
      <c r="AF1886" s="6" t="s">
        <v>104</v>
      </c>
      <c r="AG1886" s="6" t="s">
        <v>13058</v>
      </c>
      <c r="AH1886" s="6" t="s">
        <v>14884</v>
      </c>
      <c r="AI1886" s="6" t="s">
        <v>104</v>
      </c>
      <c r="AJ1886" s="6" t="s">
        <v>16493</v>
      </c>
      <c r="AK1886" s="6" t="s">
        <v>104</v>
      </c>
      <c r="AL1886" s="6" t="s">
        <v>16976</v>
      </c>
      <c r="AM1886" s="6" t="s">
        <v>18228</v>
      </c>
      <c r="AN1886" s="6" t="s">
        <v>104</v>
      </c>
      <c r="AO1886" s="6" t="s">
        <v>104</v>
      </c>
      <c r="AP1886" s="6" t="s">
        <v>104</v>
      </c>
      <c r="AQ1886" s="6" t="s">
        <v>104</v>
      </c>
      <c r="AR1886" s="6" t="s">
        <v>104</v>
      </c>
      <c r="AS1886" s="6" t="s">
        <v>104</v>
      </c>
      <c r="AT1886" s="6" t="s">
        <v>104</v>
      </c>
      <c r="AU1886" s="6" t="s">
        <v>104</v>
      </c>
      <c r="AV1886" s="6" t="s">
        <v>104</v>
      </c>
      <c r="AW1886" s="6" t="s">
        <v>104</v>
      </c>
      <c r="AX1886" s="6" t="s">
        <v>104</v>
      </c>
      <c r="AY1886" s="6" t="s">
        <v>104</v>
      </c>
      <c r="AZ1886" s="6" t="s">
        <v>104</v>
      </c>
      <c r="BA1886" s="6" t="s">
        <v>24497</v>
      </c>
      <c r="BB1886" s="6" t="s">
        <v>104</v>
      </c>
      <c r="BC1886" s="26"/>
      <c r="BD1886" s="26"/>
      <c r="BE1886" s="26"/>
      <c r="BF1886" s="26"/>
      <c r="BG1886" s="26"/>
      <c r="BH1886" s="26"/>
      <c r="BI1886" s="26"/>
      <c r="BJ1886" s="26"/>
      <c r="BK1886" s="26"/>
      <c r="BL1886" s="26"/>
      <c r="BM1886" s="26"/>
      <c r="BN1886" s="26"/>
      <c r="BO1886" s="26"/>
      <c r="BP1886" s="16" t="n">
        <v>45400</v>
      </c>
      <c r="BQ1886" s="28" t="str">
        <f>HYPERLINK("https://organic.ams.usda.gov/Integrity/Certificate.aspx?cid=84&amp;nopid=5380000609")</f>
        <v>https://organic.ams.usda.gov/Integrity/Certificate.aspx?cid=84&amp;nopid=5380000609</v>
      </c>
    </row>
    <row r="1887">
      <c r="A1887" t="s">
        <v>3</v>
      </c>
      <c r="B1887" s="6" t="s">
        <v>29</v>
      </c>
      <c r="C1887" s="6" t="s">
        <v>95</v>
      </c>
      <c r="D1887" s="6" t="s">
        <v>160</v>
      </c>
      <c r="E1887" s="10" t="s">
        <v>2085</v>
      </c>
      <c r="F1887" s="6" t="s">
        <v>4306</v>
      </c>
      <c r="G1887" s="6" t="s">
        <v>104</v>
      </c>
      <c r="H1887" s="6" t="s">
        <v>6600</v>
      </c>
      <c r="I1887" s="6" t="s">
        <v>104</v>
      </c>
      <c r="J1887" s="6" t="s">
        <v>9480</v>
      </c>
      <c r="K1887" s="6" t="s">
        <v>9714</v>
      </c>
      <c r="L1887" s="16" t="n">
        <v>44634</v>
      </c>
      <c r="M1887" s="16" t="n">
        <v>45778</v>
      </c>
      <c r="N1887" s="6" t="s">
        <v>9714</v>
      </c>
      <c r="O1887" s="16" t="n">
        <v>44634</v>
      </c>
      <c r="P1887" s="6" t="s">
        <v>10212</v>
      </c>
      <c r="Q1887" s="6" t="s">
        <v>104</v>
      </c>
      <c r="R1887" s="6" t="s">
        <v>104</v>
      </c>
      <c r="S1887" s="6" t="s">
        <v>104</v>
      </c>
      <c r="T1887" s="21" t="s">
        <v>104</v>
      </c>
      <c r="U1887" s="6" t="s">
        <v>104</v>
      </c>
      <c r="V1887" s="6" t="s">
        <v>104</v>
      </c>
      <c r="W1887" s="6" t="s">
        <v>104</v>
      </c>
      <c r="X1887" s="6" t="s">
        <v>104</v>
      </c>
      <c r="Y1887" s="21" t="s">
        <v>104</v>
      </c>
      <c r="Z1887" s="6" t="s">
        <v>104</v>
      </c>
      <c r="AA1887" s="6" t="s">
        <v>104</v>
      </c>
      <c r="AB1887" s="6" t="s">
        <v>104</v>
      </c>
      <c r="AC1887" s="6" t="s">
        <v>9714</v>
      </c>
      <c r="AD1887" s="16" t="n">
        <v>44634</v>
      </c>
      <c r="AE1887" s="6" t="s">
        <v>12168</v>
      </c>
      <c r="AF1887" s="6" t="s">
        <v>104</v>
      </c>
      <c r="AG1887" s="6" t="s">
        <v>104</v>
      </c>
      <c r="AH1887" s="6" t="s">
        <v>14885</v>
      </c>
      <c r="AI1887" s="6" t="s">
        <v>15332</v>
      </c>
      <c r="AJ1887" s="6" t="s">
        <v>16494</v>
      </c>
      <c r="AK1887" s="6" t="s">
        <v>104</v>
      </c>
      <c r="AL1887" s="6" t="s">
        <v>16980</v>
      </c>
      <c r="AM1887" s="6" t="s">
        <v>104</v>
      </c>
      <c r="AN1887" s="6" t="s">
        <v>104</v>
      </c>
      <c r="AO1887" s="6" t="s">
        <v>104</v>
      </c>
      <c r="AP1887" s="6" t="s">
        <v>104</v>
      </c>
      <c r="AQ1887" s="6" t="s">
        <v>104</v>
      </c>
      <c r="AR1887" s="6" t="s">
        <v>104</v>
      </c>
      <c r="AS1887" s="6" t="s">
        <v>104</v>
      </c>
      <c r="AT1887" s="6" t="s">
        <v>104</v>
      </c>
      <c r="AU1887" s="6" t="s">
        <v>104</v>
      </c>
      <c r="AV1887" s="6" t="s">
        <v>104</v>
      </c>
      <c r="AW1887" s="6" t="s">
        <v>104</v>
      </c>
      <c r="AX1887" s="6" t="s">
        <v>21586</v>
      </c>
      <c r="AY1887" s="6" t="s">
        <v>23396</v>
      </c>
      <c r="AZ1887" s="6" t="s">
        <v>104</v>
      </c>
      <c r="BA1887" s="6" t="s">
        <v>24269</v>
      </c>
      <c r="BB1887" s="24" t="n">
        <v>1692</v>
      </c>
      <c r="BC1887" s="26"/>
      <c r="BD1887" s="26"/>
      <c r="BE1887" s="26"/>
      <c r="BF1887" s="26"/>
      <c r="BG1887" s="26"/>
      <c r="BH1887" s="26"/>
      <c r="BI1887" s="26"/>
      <c r="BJ1887" s="26"/>
      <c r="BK1887" s="26"/>
      <c r="BL1887" s="26"/>
      <c r="BM1887" s="26"/>
      <c r="BN1887" s="26"/>
      <c r="BO1887" s="26" t="s">
        <v>24533</v>
      </c>
      <c r="BP1887" s="16" t="n">
        <v>45680</v>
      </c>
      <c r="BQ1887" s="28" t="str">
        <f>HYPERLINK("https://organic.ams.usda.gov/Integrity/Certificate.aspx?cid=24&amp;nopid=7880076907")</f>
        <v>https://organic.ams.usda.gov/Integrity/Certificate.aspx?cid=24&amp;nopid=7880076907</v>
      </c>
    </row>
    <row r="1888">
      <c r="A1888" t="s">
        <v>3</v>
      </c>
      <c r="B1888" s="6" t="s">
        <v>29</v>
      </c>
      <c r="C1888" s="6" t="s">
        <v>95</v>
      </c>
      <c r="D1888" s="6" t="s">
        <v>160</v>
      </c>
      <c r="E1888" s="10" t="s">
        <v>2086</v>
      </c>
      <c r="F1888" s="6" t="s">
        <v>4307</v>
      </c>
      <c r="G1888" s="6" t="s">
        <v>104</v>
      </c>
      <c r="H1888" s="6" t="s">
        <v>6601</v>
      </c>
      <c r="I1888" s="6" t="s">
        <v>104</v>
      </c>
      <c r="J1888" s="6" t="s">
        <v>9481</v>
      </c>
      <c r="K1888" s="6" t="s">
        <v>9714</v>
      </c>
      <c r="L1888" s="16" t="n">
        <v>43647</v>
      </c>
      <c r="M1888" s="16" t="n">
        <v>45778</v>
      </c>
      <c r="N1888" s="6" t="s">
        <v>9714</v>
      </c>
      <c r="O1888" s="16" t="n">
        <v>43647</v>
      </c>
      <c r="P1888" s="6" t="s">
        <v>10213</v>
      </c>
      <c r="Q1888" s="6" t="s">
        <v>104</v>
      </c>
      <c r="R1888" s="6" t="s">
        <v>104</v>
      </c>
      <c r="S1888" s="6" t="s">
        <v>104</v>
      </c>
      <c r="T1888" s="21" t="s">
        <v>104</v>
      </c>
      <c r="U1888" s="6" t="s">
        <v>104</v>
      </c>
      <c r="V1888" s="6" t="s">
        <v>104</v>
      </c>
      <c r="W1888" s="6" t="s">
        <v>104</v>
      </c>
      <c r="X1888" s="6" t="s">
        <v>104</v>
      </c>
      <c r="Y1888" s="21" t="s">
        <v>104</v>
      </c>
      <c r="Z1888" s="6" t="s">
        <v>104</v>
      </c>
      <c r="AA1888" s="6" t="s">
        <v>104</v>
      </c>
      <c r="AB1888" s="6" t="s">
        <v>104</v>
      </c>
      <c r="AC1888" s="6" t="s">
        <v>9714</v>
      </c>
      <c r="AD1888" s="16" t="n">
        <v>43647</v>
      </c>
      <c r="AE1888" s="6" t="s">
        <v>12169</v>
      </c>
      <c r="AF1888" s="6" t="s">
        <v>104</v>
      </c>
      <c r="AG1888" s="6" t="s">
        <v>104</v>
      </c>
      <c r="AH1888" s="6" t="s">
        <v>14886</v>
      </c>
      <c r="AI1888" s="6" t="s">
        <v>104</v>
      </c>
      <c r="AJ1888" s="6" t="s">
        <v>16495</v>
      </c>
      <c r="AK1888" s="6" t="s">
        <v>16495</v>
      </c>
      <c r="AL1888" s="6" t="s">
        <v>16976</v>
      </c>
      <c r="AM1888" s="6" t="s">
        <v>18229</v>
      </c>
      <c r="AN1888" s="6" t="s">
        <v>104</v>
      </c>
      <c r="AO1888" s="6" t="s">
        <v>104</v>
      </c>
      <c r="AP1888" s="6" t="s">
        <v>104</v>
      </c>
      <c r="AQ1888" s="6" t="s">
        <v>104</v>
      </c>
      <c r="AR1888" s="6" t="s">
        <v>104</v>
      </c>
      <c r="AS1888" s="6" t="s">
        <v>104</v>
      </c>
      <c r="AT1888" s="6" t="s">
        <v>104</v>
      </c>
      <c r="AU1888" s="6" t="s">
        <v>104</v>
      </c>
      <c r="AV1888" s="6" t="s">
        <v>104</v>
      </c>
      <c r="AW1888" s="6" t="s">
        <v>104</v>
      </c>
      <c r="AX1888" s="6" t="s">
        <v>21587</v>
      </c>
      <c r="AY1888" s="6" t="s">
        <v>23397</v>
      </c>
      <c r="AZ1888" s="6" t="s">
        <v>104</v>
      </c>
      <c r="BA1888" s="6" t="s">
        <v>104</v>
      </c>
      <c r="BB1888" s="24" t="n">
        <v>1526</v>
      </c>
      <c r="BC1888" s="26"/>
      <c r="BD1888" s="26"/>
      <c r="BE1888" s="26"/>
      <c r="BF1888" s="26"/>
      <c r="BG1888" s="26"/>
      <c r="BH1888" s="26"/>
      <c r="BI1888" s="26"/>
      <c r="BJ1888" s="26"/>
      <c r="BK1888" s="26"/>
      <c r="BL1888" s="26"/>
      <c r="BM1888" s="26"/>
      <c r="BN1888" s="26"/>
      <c r="BO1888" s="26"/>
      <c r="BP1888" s="16" t="n">
        <v>45554</v>
      </c>
      <c r="BQ1888" s="28" t="str">
        <f>HYPERLINK("https://organic.ams.usda.gov/Integrity/Certificate.aspx?cid=24&amp;nopid=7880200749")</f>
        <v>https://organic.ams.usda.gov/Integrity/Certificate.aspx?cid=24&amp;nopid=7880200749</v>
      </c>
    </row>
    <row r="1889">
      <c r="A1889" t="s">
        <v>3</v>
      </c>
      <c r="B1889" s="6" t="s">
        <v>29</v>
      </c>
      <c r="C1889" s="6" t="s">
        <v>95</v>
      </c>
      <c r="D1889" s="6" t="s">
        <v>160</v>
      </c>
      <c r="E1889" s="10" t="s">
        <v>2087</v>
      </c>
      <c r="F1889" s="6" t="s">
        <v>4308</v>
      </c>
      <c r="G1889" s="6" t="s">
        <v>104</v>
      </c>
      <c r="H1889" s="6" t="s">
        <v>6602</v>
      </c>
      <c r="I1889" s="6" t="s">
        <v>104</v>
      </c>
      <c r="J1889" s="6" t="s">
        <v>9482</v>
      </c>
      <c r="K1889" s="6" t="s">
        <v>9714</v>
      </c>
      <c r="L1889" s="16" t="n">
        <v>43199</v>
      </c>
      <c r="M1889" s="16" t="n">
        <v>45962</v>
      </c>
      <c r="N1889" s="6" t="s">
        <v>9714</v>
      </c>
      <c r="O1889" s="16" t="n">
        <v>43199</v>
      </c>
      <c r="P1889" s="6" t="s">
        <v>10214</v>
      </c>
      <c r="Q1889" s="6" t="s">
        <v>104</v>
      </c>
      <c r="R1889" s="6" t="s">
        <v>104</v>
      </c>
      <c r="S1889" s="6" t="s">
        <v>104</v>
      </c>
      <c r="T1889" s="21" t="s">
        <v>104</v>
      </c>
      <c r="U1889" s="6" t="s">
        <v>104</v>
      </c>
      <c r="V1889" s="6" t="s">
        <v>104</v>
      </c>
      <c r="W1889" s="6" t="s">
        <v>104</v>
      </c>
      <c r="X1889" s="6" t="s">
        <v>104</v>
      </c>
      <c r="Y1889" s="21" t="s">
        <v>104</v>
      </c>
      <c r="Z1889" s="6" t="s">
        <v>104</v>
      </c>
      <c r="AA1889" s="6" t="s">
        <v>104</v>
      </c>
      <c r="AB1889" s="6" t="s">
        <v>104</v>
      </c>
      <c r="AC1889" s="6" t="s">
        <v>9714</v>
      </c>
      <c r="AD1889" s="16" t="n">
        <v>43199</v>
      </c>
      <c r="AE1889" s="6" t="s">
        <v>12170</v>
      </c>
      <c r="AF1889" s="6" t="s">
        <v>104</v>
      </c>
      <c r="AG1889" s="6" t="s">
        <v>104</v>
      </c>
      <c r="AH1889" s="6" t="s">
        <v>14887</v>
      </c>
      <c r="AI1889" s="6" t="s">
        <v>104</v>
      </c>
      <c r="AJ1889" s="6" t="s">
        <v>16496</v>
      </c>
      <c r="AK1889" s="6" t="s">
        <v>104</v>
      </c>
      <c r="AL1889" s="6" t="s">
        <v>16947</v>
      </c>
      <c r="AM1889" s="6" t="s">
        <v>104</v>
      </c>
      <c r="AN1889" s="6" t="s">
        <v>104</v>
      </c>
      <c r="AO1889" s="6" t="s">
        <v>104</v>
      </c>
      <c r="AP1889" s="6" t="s">
        <v>104</v>
      </c>
      <c r="AQ1889" s="6" t="s">
        <v>104</v>
      </c>
      <c r="AR1889" s="6" t="s">
        <v>104</v>
      </c>
      <c r="AS1889" s="6" t="s">
        <v>104</v>
      </c>
      <c r="AT1889" s="6" t="s">
        <v>104</v>
      </c>
      <c r="AU1889" s="6" t="s">
        <v>104</v>
      </c>
      <c r="AV1889" s="6" t="s">
        <v>104</v>
      </c>
      <c r="AW1889" s="6" t="s">
        <v>104</v>
      </c>
      <c r="AX1889" s="6" t="s">
        <v>21588</v>
      </c>
      <c r="AY1889" s="6" t="s">
        <v>23398</v>
      </c>
      <c r="AZ1889" s="6" t="s">
        <v>104</v>
      </c>
      <c r="BA1889" s="6" t="s">
        <v>24269</v>
      </c>
      <c r="BB1889" s="24" t="n">
        <v>22</v>
      </c>
      <c r="BC1889" s="26"/>
      <c r="BD1889" s="26"/>
      <c r="BE1889" s="26"/>
      <c r="BF1889" s="26"/>
      <c r="BG1889" s="26"/>
      <c r="BH1889" s="26"/>
      <c r="BI1889" s="26"/>
      <c r="BJ1889" s="26"/>
      <c r="BK1889" s="26"/>
      <c r="BL1889" s="26"/>
      <c r="BM1889" s="26"/>
      <c r="BN1889" s="26"/>
      <c r="BO1889" s="26"/>
      <c r="BP1889" s="16" t="n">
        <v>45738</v>
      </c>
      <c r="BQ1889" s="28" t="str">
        <f>HYPERLINK("https://organic.ams.usda.gov/Integrity/Certificate.aspx?cid=24&amp;nopid=7880163876")</f>
        <v>https://organic.ams.usda.gov/Integrity/Certificate.aspx?cid=24&amp;nopid=7880163876</v>
      </c>
    </row>
    <row r="1890">
      <c r="A1890" t="s">
        <v>3</v>
      </c>
      <c r="B1890" s="6" t="s">
        <v>11</v>
      </c>
      <c r="C1890" s="6" t="s">
        <v>77</v>
      </c>
      <c r="D1890" s="6" t="s">
        <v>142</v>
      </c>
      <c r="E1890" s="10" t="s">
        <v>2088</v>
      </c>
      <c r="F1890" s="6" t="s">
        <v>4309</v>
      </c>
      <c r="G1890" s="6" t="s">
        <v>104</v>
      </c>
      <c r="H1890" s="6" t="s">
        <v>104</v>
      </c>
      <c r="I1890" s="6" t="s">
        <v>7932</v>
      </c>
      <c r="J1890" s="6" t="s">
        <v>9483</v>
      </c>
      <c r="K1890" s="6" t="s">
        <v>9714</v>
      </c>
      <c r="L1890" s="16" t="n">
        <v>43238</v>
      </c>
      <c r="M1890" s="16" t="n">
        <v>45717</v>
      </c>
      <c r="N1890" s="6" t="s">
        <v>9714</v>
      </c>
      <c r="O1890" s="16" t="n">
        <v>43238</v>
      </c>
      <c r="P1890" s="6" t="s">
        <v>10215</v>
      </c>
      <c r="Q1890" s="6" t="s">
        <v>104</v>
      </c>
      <c r="R1890" s="6" t="s">
        <v>104</v>
      </c>
      <c r="S1890" s="6" t="s">
        <v>104</v>
      </c>
      <c r="T1890" s="21" t="s">
        <v>104</v>
      </c>
      <c r="U1890" s="6" t="s">
        <v>104</v>
      </c>
      <c r="V1890" s="6" t="s">
        <v>104</v>
      </c>
      <c r="W1890" s="6" t="s">
        <v>104</v>
      </c>
      <c r="X1890" s="6" t="s">
        <v>104</v>
      </c>
      <c r="Y1890" s="21" t="s">
        <v>104</v>
      </c>
      <c r="Z1890" s="6" t="s">
        <v>104</v>
      </c>
      <c r="AA1890" s="6" t="s">
        <v>104</v>
      </c>
      <c r="AB1890" s="6" t="s">
        <v>104</v>
      </c>
      <c r="AC1890" s="6" t="s">
        <v>9714</v>
      </c>
      <c r="AD1890" s="16" t="n">
        <v>43238</v>
      </c>
      <c r="AE1890" s="6" t="s">
        <v>12171</v>
      </c>
      <c r="AF1890" s="6" t="s">
        <v>104</v>
      </c>
      <c r="AG1890" s="6" t="s">
        <v>104</v>
      </c>
      <c r="AH1890" s="6" t="s">
        <v>14888</v>
      </c>
      <c r="AI1890" s="6" t="s">
        <v>15333</v>
      </c>
      <c r="AJ1890" s="6" t="s">
        <v>16497</v>
      </c>
      <c r="AK1890" s="6" t="s">
        <v>104</v>
      </c>
      <c r="AL1890" s="6" t="s">
        <v>16961</v>
      </c>
      <c r="AM1890" s="6" t="s">
        <v>104</v>
      </c>
      <c r="AN1890" s="6" t="s">
        <v>104</v>
      </c>
      <c r="AO1890" s="6" t="s">
        <v>104</v>
      </c>
      <c r="AP1890" s="6" t="s">
        <v>14888</v>
      </c>
      <c r="AQ1890" s="6" t="s">
        <v>15333</v>
      </c>
      <c r="AR1890" s="6" t="s">
        <v>16497</v>
      </c>
      <c r="AS1890" s="6" t="s">
        <v>104</v>
      </c>
      <c r="AT1890" s="6" t="s">
        <v>16961</v>
      </c>
      <c r="AU1890" s="6" t="s">
        <v>104</v>
      </c>
      <c r="AV1890" s="6" t="s">
        <v>104</v>
      </c>
      <c r="AW1890" s="6" t="s">
        <v>104</v>
      </c>
      <c r="AX1890" s="6" t="s">
        <v>21589</v>
      </c>
      <c r="AY1890" s="6" t="s">
        <v>23399</v>
      </c>
      <c r="AZ1890" s="6" t="s">
        <v>104</v>
      </c>
      <c r="BA1890" s="6" t="s">
        <v>104</v>
      </c>
      <c r="BB1890" s="24" t="n">
        <v>6614</v>
      </c>
      <c r="BC1890" s="26"/>
      <c r="BD1890" s="26"/>
      <c r="BE1890" s="26"/>
      <c r="BF1890" s="26"/>
      <c r="BG1890" s="26"/>
      <c r="BH1890" s="26"/>
      <c r="BI1890" s="26"/>
      <c r="BJ1890" s="26"/>
      <c r="BK1890" s="26"/>
      <c r="BL1890" s="26"/>
      <c r="BM1890" s="26"/>
      <c r="BN1890" s="26"/>
      <c r="BO1890" s="26" t="s">
        <v>24533</v>
      </c>
      <c r="BP1890" s="16" t="n">
        <v>45516</v>
      </c>
      <c r="BQ1890" s="28" t="str">
        <f>HYPERLINK("https://organic.ams.usda.gov/Integrity/Certificate.aspx?cid=21&amp;nopid=1780857969")</f>
        <v>https://organic.ams.usda.gov/Integrity/Certificate.aspx?cid=21&amp;nopid=1780857969</v>
      </c>
    </row>
    <row r="1891">
      <c r="A1891" t="s">
        <v>3</v>
      </c>
      <c r="B1891" s="6" t="s">
        <v>12</v>
      </c>
      <c r="C1891" s="6" t="s">
        <v>78</v>
      </c>
      <c r="D1891" s="6" t="s">
        <v>143</v>
      </c>
      <c r="E1891" s="10" t="s">
        <v>2089</v>
      </c>
      <c r="F1891" s="6" t="s">
        <v>4310</v>
      </c>
      <c r="G1891" s="6" t="s">
        <v>104</v>
      </c>
      <c r="H1891" s="6" t="s">
        <v>104</v>
      </c>
      <c r="I1891" s="6" t="s">
        <v>7235</v>
      </c>
      <c r="J1891" s="6" t="s">
        <v>9484</v>
      </c>
      <c r="K1891" s="6" t="s">
        <v>9714</v>
      </c>
      <c r="L1891" s="16" t="n">
        <v>44771</v>
      </c>
      <c r="M1891" s="16" t="n">
        <v>45474</v>
      </c>
      <c r="N1891" s="6" t="s">
        <v>104</v>
      </c>
      <c r="O1891" s="21" t="s">
        <v>104</v>
      </c>
      <c r="P1891" s="6" t="s">
        <v>104</v>
      </c>
      <c r="Q1891" s="6" t="s">
        <v>104</v>
      </c>
      <c r="R1891" s="6" t="s">
        <v>104</v>
      </c>
      <c r="S1891" s="6" t="s">
        <v>104</v>
      </c>
      <c r="T1891" s="21" t="s">
        <v>104</v>
      </c>
      <c r="U1891" s="6" t="s">
        <v>104</v>
      </c>
      <c r="V1891" s="6" t="s">
        <v>104</v>
      </c>
      <c r="W1891" s="6" t="s">
        <v>104</v>
      </c>
      <c r="X1891" s="6" t="s">
        <v>104</v>
      </c>
      <c r="Y1891" s="21" t="s">
        <v>104</v>
      </c>
      <c r="Z1891" s="6" t="s">
        <v>104</v>
      </c>
      <c r="AA1891" s="6" t="s">
        <v>104</v>
      </c>
      <c r="AB1891" s="6" t="s">
        <v>104</v>
      </c>
      <c r="AC1891" s="6" t="s">
        <v>9714</v>
      </c>
      <c r="AD1891" s="16" t="n">
        <v>44753</v>
      </c>
      <c r="AE1891" s="6" t="s">
        <v>12172</v>
      </c>
      <c r="AF1891" s="6" t="s">
        <v>12485</v>
      </c>
      <c r="AG1891" s="6" t="s">
        <v>104</v>
      </c>
      <c r="AH1891" s="6" t="s">
        <v>14889</v>
      </c>
      <c r="AI1891" s="6" t="s">
        <v>104</v>
      </c>
      <c r="AJ1891" s="6" t="s">
        <v>16498</v>
      </c>
      <c r="AK1891" s="6" t="s">
        <v>16730</v>
      </c>
      <c r="AL1891" s="6" t="s">
        <v>16931</v>
      </c>
      <c r="AM1891" s="6" t="s">
        <v>18230</v>
      </c>
      <c r="AN1891" s="6" t="s">
        <v>18465</v>
      </c>
      <c r="AO1891" s="6" t="s">
        <v>18749</v>
      </c>
      <c r="AP1891" s="6" t="s">
        <v>14889</v>
      </c>
      <c r="AQ1891" s="6" t="s">
        <v>104</v>
      </c>
      <c r="AR1891" s="6" t="s">
        <v>16498</v>
      </c>
      <c r="AS1891" s="6" t="s">
        <v>16730</v>
      </c>
      <c r="AT1891" s="6" t="s">
        <v>16931</v>
      </c>
      <c r="AU1891" s="6" t="s">
        <v>18230</v>
      </c>
      <c r="AV1891" s="6" t="s">
        <v>104</v>
      </c>
      <c r="AW1891" s="6" t="s">
        <v>104</v>
      </c>
      <c r="AX1891" s="6" t="s">
        <v>104</v>
      </c>
      <c r="AY1891" s="6" t="s">
        <v>23400</v>
      </c>
      <c r="AZ1891" s="6" t="s">
        <v>104</v>
      </c>
      <c r="BA1891" s="6" t="s">
        <v>104</v>
      </c>
      <c r="BB1891" s="6" t="s">
        <v>104</v>
      </c>
      <c r="BC1891" s="26"/>
      <c r="BD1891" s="26"/>
      <c r="BE1891" s="26"/>
      <c r="BF1891" s="26"/>
      <c r="BG1891" s="26"/>
      <c r="BH1891" s="26"/>
      <c r="BI1891" s="26"/>
      <c r="BJ1891" s="26"/>
      <c r="BK1891" s="26"/>
      <c r="BL1891" s="26"/>
      <c r="BM1891" s="26"/>
      <c r="BN1891" s="26"/>
      <c r="BO1891" s="26"/>
      <c r="BP1891" s="16" t="n">
        <v>45667</v>
      </c>
      <c r="BQ1891" s="28" t="str">
        <f>HYPERLINK("https://organic.ams.usda.gov/Integrity/Certificate.aspx?cid=1&amp;nopid=9092220101")</f>
        <v>https://organic.ams.usda.gov/Integrity/Certificate.aspx?cid=1&amp;nopid=9092220101</v>
      </c>
    </row>
    <row r="1892">
      <c r="A1892" t="s">
        <v>3</v>
      </c>
      <c r="B1892" s="6" t="s">
        <v>20</v>
      </c>
      <c r="C1892" s="6" t="s">
        <v>86</v>
      </c>
      <c r="D1892" s="6" t="s">
        <v>151</v>
      </c>
      <c r="E1892" s="10" t="s">
        <v>2090</v>
      </c>
      <c r="F1892" s="6" t="s">
        <v>4311</v>
      </c>
      <c r="G1892" s="6" t="s">
        <v>104</v>
      </c>
      <c r="H1892" s="6" t="s">
        <v>6603</v>
      </c>
      <c r="I1892" s="6" t="s">
        <v>7509</v>
      </c>
      <c r="J1892" s="6" t="s">
        <v>9485</v>
      </c>
      <c r="K1892" s="6" t="s">
        <v>9714</v>
      </c>
      <c r="L1892" s="16" t="n">
        <v>44454</v>
      </c>
      <c r="M1892" s="16" t="n">
        <v>45230</v>
      </c>
      <c r="N1892" s="6" t="s">
        <v>9714</v>
      </c>
      <c r="O1892" s="16" t="n">
        <v>44454</v>
      </c>
      <c r="P1892" s="6" t="s">
        <v>10216</v>
      </c>
      <c r="Q1892" s="6" t="s">
        <v>104</v>
      </c>
      <c r="R1892" s="6" t="s">
        <v>104</v>
      </c>
      <c r="S1892" s="6" t="s">
        <v>104</v>
      </c>
      <c r="T1892" s="21" t="s">
        <v>104</v>
      </c>
      <c r="U1892" s="6" t="s">
        <v>104</v>
      </c>
      <c r="V1892" s="6" t="s">
        <v>104</v>
      </c>
      <c r="W1892" s="6" t="s">
        <v>104</v>
      </c>
      <c r="X1892" s="6" t="s">
        <v>104</v>
      </c>
      <c r="Y1892" s="21" t="s">
        <v>104</v>
      </c>
      <c r="Z1892" s="6" t="s">
        <v>104</v>
      </c>
      <c r="AA1892" s="6" t="s">
        <v>104</v>
      </c>
      <c r="AB1892" s="6" t="s">
        <v>104</v>
      </c>
      <c r="AC1892" s="6" t="s">
        <v>9714</v>
      </c>
      <c r="AD1892" s="16" t="n">
        <v>44454</v>
      </c>
      <c r="AE1892" s="6" t="s">
        <v>12173</v>
      </c>
      <c r="AF1892" s="6" t="s">
        <v>104</v>
      </c>
      <c r="AG1892" s="6" t="s">
        <v>104</v>
      </c>
      <c r="AH1892" s="6" t="s">
        <v>14890</v>
      </c>
      <c r="AI1892" s="6" t="s">
        <v>104</v>
      </c>
      <c r="AJ1892" s="6" t="s">
        <v>16499</v>
      </c>
      <c r="AK1892" s="6" t="s">
        <v>104</v>
      </c>
      <c r="AL1892" s="6" t="s">
        <v>16981</v>
      </c>
      <c r="AM1892" s="6" t="s">
        <v>104</v>
      </c>
      <c r="AN1892" s="6" t="s">
        <v>104</v>
      </c>
      <c r="AO1892" s="6" t="s">
        <v>104</v>
      </c>
      <c r="AP1892" s="6" t="s">
        <v>104</v>
      </c>
      <c r="AQ1892" s="6" t="s">
        <v>104</v>
      </c>
      <c r="AR1892" s="6" t="s">
        <v>104</v>
      </c>
      <c r="AS1892" s="6" t="s">
        <v>104</v>
      </c>
      <c r="AT1892" s="6" t="s">
        <v>104</v>
      </c>
      <c r="AU1892" s="6" t="s">
        <v>104</v>
      </c>
      <c r="AV1892" s="6" t="s">
        <v>104</v>
      </c>
      <c r="AW1892" s="6" t="s">
        <v>104</v>
      </c>
      <c r="AX1892" s="6" t="s">
        <v>21590</v>
      </c>
      <c r="AY1892" s="6" t="s">
        <v>23401</v>
      </c>
      <c r="AZ1892" s="6" t="s">
        <v>104</v>
      </c>
      <c r="BA1892" s="6" t="s">
        <v>104</v>
      </c>
      <c r="BB1892" s="24" t="n">
        <v>6422</v>
      </c>
      <c r="BC1892" s="26"/>
      <c r="BD1892" s="26"/>
      <c r="BE1892" s="26"/>
      <c r="BF1892" s="26"/>
      <c r="BG1892" s="26"/>
      <c r="BH1892" s="26"/>
      <c r="BI1892" s="26"/>
      <c r="BJ1892" s="26"/>
      <c r="BK1892" s="26"/>
      <c r="BL1892" s="26"/>
      <c r="BM1892" s="26"/>
      <c r="BN1892" s="26"/>
      <c r="BO1892" s="26"/>
      <c r="BP1892" s="16" t="n">
        <v>45446</v>
      </c>
      <c r="BQ1892" s="28" t="str">
        <f>HYPERLINK("https://organic.ams.usda.gov/Integrity/Certificate.aspx?cid=17&amp;nopid=4087186403")</f>
        <v>https://organic.ams.usda.gov/Integrity/Certificate.aspx?cid=17&amp;nopid=4087186403</v>
      </c>
    </row>
    <row r="1893">
      <c r="A1893" t="s">
        <v>3</v>
      </c>
      <c r="B1893" s="6" t="s">
        <v>17</v>
      </c>
      <c r="C1893" s="6" t="s">
        <v>83</v>
      </c>
      <c r="D1893" s="6" t="s">
        <v>148</v>
      </c>
      <c r="E1893" s="10" t="s">
        <v>2091</v>
      </c>
      <c r="F1893" s="6" t="s">
        <v>4312</v>
      </c>
      <c r="G1893" s="6" t="s">
        <v>104</v>
      </c>
      <c r="H1893" s="6" t="s">
        <v>6604</v>
      </c>
      <c r="I1893" s="6" t="s">
        <v>7887</v>
      </c>
      <c r="J1893" s="6" t="s">
        <v>9361</v>
      </c>
      <c r="K1893" s="6" t="s">
        <v>9714</v>
      </c>
      <c r="L1893" s="16" t="n">
        <v>45475</v>
      </c>
      <c r="M1893" s="16" t="n">
        <v>45748</v>
      </c>
      <c r="N1893" s="6" t="s">
        <v>104</v>
      </c>
      <c r="O1893" s="21" t="s">
        <v>104</v>
      </c>
      <c r="P1893" s="6" t="s">
        <v>104</v>
      </c>
      <c r="Q1893" s="6" t="s">
        <v>104</v>
      </c>
      <c r="R1893" s="6" t="s">
        <v>104</v>
      </c>
      <c r="S1893" s="6" t="s">
        <v>104</v>
      </c>
      <c r="T1893" s="21" t="s">
        <v>104</v>
      </c>
      <c r="U1893" s="6" t="s">
        <v>104</v>
      </c>
      <c r="V1893" s="6" t="s">
        <v>104</v>
      </c>
      <c r="W1893" s="6" t="s">
        <v>104</v>
      </c>
      <c r="X1893" s="6" t="s">
        <v>104</v>
      </c>
      <c r="Y1893" s="21" t="s">
        <v>104</v>
      </c>
      <c r="Z1893" s="6" t="s">
        <v>104</v>
      </c>
      <c r="AA1893" s="6" t="s">
        <v>104</v>
      </c>
      <c r="AB1893" s="6" t="s">
        <v>104</v>
      </c>
      <c r="AC1893" s="6" t="s">
        <v>9714</v>
      </c>
      <c r="AD1893" s="16" t="n">
        <v>45475</v>
      </c>
      <c r="AE1893" s="6" t="s">
        <v>12174</v>
      </c>
      <c r="AF1893" s="6" t="s">
        <v>104</v>
      </c>
      <c r="AG1893" s="6" t="s">
        <v>104</v>
      </c>
      <c r="AH1893" s="6" t="s">
        <v>14717</v>
      </c>
      <c r="AI1893" s="6" t="s">
        <v>104</v>
      </c>
      <c r="AJ1893" s="6" t="s">
        <v>15437</v>
      </c>
      <c r="AK1893" s="6" t="s">
        <v>16680</v>
      </c>
      <c r="AL1893" s="6" t="s">
        <v>16931</v>
      </c>
      <c r="AM1893" s="6" t="s">
        <v>17066</v>
      </c>
      <c r="AN1893" s="6" t="s">
        <v>104</v>
      </c>
      <c r="AO1893" s="6" t="s">
        <v>104</v>
      </c>
      <c r="AP1893" s="6" t="s">
        <v>14717</v>
      </c>
      <c r="AQ1893" s="6" t="s">
        <v>104</v>
      </c>
      <c r="AR1893" s="6" t="s">
        <v>15437</v>
      </c>
      <c r="AS1893" s="6" t="s">
        <v>16680</v>
      </c>
      <c r="AT1893" s="6" t="s">
        <v>16931</v>
      </c>
      <c r="AU1893" s="6" t="s">
        <v>17066</v>
      </c>
      <c r="AV1893" s="6" t="s">
        <v>104</v>
      </c>
      <c r="AW1893" s="6" t="s">
        <v>104</v>
      </c>
      <c r="AX1893" s="6" t="s">
        <v>21448</v>
      </c>
      <c r="AY1893" s="6" t="s">
        <v>23253</v>
      </c>
      <c r="AZ1893" s="6" t="s">
        <v>104</v>
      </c>
      <c r="BA1893" s="6" t="s">
        <v>104</v>
      </c>
      <c r="BB1893" s="24" t="n">
        <v>0</v>
      </c>
      <c r="BC1893" s="26"/>
      <c r="BD1893" s="26"/>
      <c r="BE1893" s="26"/>
      <c r="BF1893" s="26"/>
      <c r="BG1893" s="26" t="s">
        <v>24533</v>
      </c>
      <c r="BH1893" s="26" t="s">
        <v>24533</v>
      </c>
      <c r="BI1893" s="26"/>
      <c r="BJ1893" s="26"/>
      <c r="BK1893" s="26"/>
      <c r="BL1893" s="26"/>
      <c r="BM1893" s="26"/>
      <c r="BN1893" s="26"/>
      <c r="BO1893" s="26"/>
      <c r="BP1893" s="16" t="n">
        <v>45734</v>
      </c>
      <c r="BQ1893" s="28" t="str">
        <f>HYPERLINK("https://organic.ams.usda.gov/Integrity/Certificate.aspx?cid=51&amp;nopid=8241000046")</f>
        <v>https://organic.ams.usda.gov/Integrity/Certificate.aspx?cid=51&amp;nopid=8241000046</v>
      </c>
    </row>
    <row r="1894">
      <c r="A1894" t="s">
        <v>3</v>
      </c>
      <c r="B1894" s="6" t="s">
        <v>6</v>
      </c>
      <c r="C1894" s="6" t="s">
        <v>72</v>
      </c>
      <c r="D1894" s="6" t="s">
        <v>137</v>
      </c>
      <c r="E1894" s="10" t="s">
        <v>2092</v>
      </c>
      <c r="F1894" s="6" t="s">
        <v>4313</v>
      </c>
      <c r="G1894" s="6" t="s">
        <v>104</v>
      </c>
      <c r="H1894" s="6" t="s">
        <v>6605</v>
      </c>
      <c r="I1894" s="6" t="s">
        <v>7735</v>
      </c>
      <c r="J1894" s="6" t="s">
        <v>9486</v>
      </c>
      <c r="K1894" s="6" t="s">
        <v>9714</v>
      </c>
      <c r="L1894" s="16" t="n">
        <v>39722</v>
      </c>
      <c r="M1894" s="16" t="n">
        <v>45686</v>
      </c>
      <c r="N1894" s="6" t="s">
        <v>104</v>
      </c>
      <c r="O1894" s="21" t="s">
        <v>104</v>
      </c>
      <c r="P1894" s="6" t="s">
        <v>104</v>
      </c>
      <c r="Q1894" s="6" t="s">
        <v>104</v>
      </c>
      <c r="R1894" s="6" t="s">
        <v>104</v>
      </c>
      <c r="S1894" s="6" t="s">
        <v>104</v>
      </c>
      <c r="T1894" s="21" t="s">
        <v>104</v>
      </c>
      <c r="U1894" s="6" t="s">
        <v>104</v>
      </c>
      <c r="V1894" s="6" t="s">
        <v>104</v>
      </c>
      <c r="W1894" s="6" t="s">
        <v>104</v>
      </c>
      <c r="X1894" s="6" t="s">
        <v>104</v>
      </c>
      <c r="Y1894" s="21" t="s">
        <v>104</v>
      </c>
      <c r="Z1894" s="6" t="s">
        <v>104</v>
      </c>
      <c r="AA1894" s="6" t="s">
        <v>104</v>
      </c>
      <c r="AB1894" s="6" t="s">
        <v>104</v>
      </c>
      <c r="AC1894" s="6" t="s">
        <v>9714</v>
      </c>
      <c r="AD1894" s="16" t="n">
        <v>39722</v>
      </c>
      <c r="AE1894" s="6" t="s">
        <v>12175</v>
      </c>
      <c r="AF1894" s="6" t="s">
        <v>104</v>
      </c>
      <c r="AG1894" s="6" t="s">
        <v>13059</v>
      </c>
      <c r="AH1894" s="6" t="s">
        <v>14891</v>
      </c>
      <c r="AI1894" s="6" t="s">
        <v>104</v>
      </c>
      <c r="AJ1894" s="6" t="s">
        <v>16500</v>
      </c>
      <c r="AK1894" s="6" t="s">
        <v>16707</v>
      </c>
      <c r="AL1894" s="6" t="s">
        <v>16930</v>
      </c>
      <c r="AM1894" s="6" t="s">
        <v>18231</v>
      </c>
      <c r="AN1894" s="6" t="s">
        <v>104</v>
      </c>
      <c r="AO1894" s="6" t="s">
        <v>104</v>
      </c>
      <c r="AP1894" s="6" t="s">
        <v>104</v>
      </c>
      <c r="AQ1894" s="6" t="s">
        <v>104</v>
      </c>
      <c r="AR1894" s="6" t="s">
        <v>104</v>
      </c>
      <c r="AS1894" s="6" t="s">
        <v>104</v>
      </c>
      <c r="AT1894" s="6" t="s">
        <v>104</v>
      </c>
      <c r="AU1894" s="6" t="s">
        <v>104</v>
      </c>
      <c r="AV1894" s="6" t="s">
        <v>104</v>
      </c>
      <c r="AW1894" s="6" t="s">
        <v>104</v>
      </c>
      <c r="AX1894" s="6" t="s">
        <v>21591</v>
      </c>
      <c r="AY1894" s="6" t="s">
        <v>23402</v>
      </c>
      <c r="AZ1894" s="6" t="s">
        <v>104</v>
      </c>
      <c r="BA1894" s="6" t="s">
        <v>104</v>
      </c>
      <c r="BB1894" s="6" t="s">
        <v>104</v>
      </c>
      <c r="BC1894" s="26"/>
      <c r="BD1894" s="26"/>
      <c r="BE1894" s="26"/>
      <c r="BF1894" s="26"/>
      <c r="BG1894" s="26"/>
      <c r="BH1894" s="26"/>
      <c r="BI1894" s="26"/>
      <c r="BJ1894" s="26"/>
      <c r="BK1894" s="26"/>
      <c r="BL1894" s="26"/>
      <c r="BM1894" s="26"/>
      <c r="BN1894" s="26"/>
      <c r="BO1894" s="26"/>
      <c r="BP1894" s="16" t="n">
        <v>45737</v>
      </c>
      <c r="BQ1894" s="28" t="str">
        <f>HYPERLINK("https://organic.ams.usda.gov/Integrity/Certificate.aspx?cid=32&amp;nopid=2230001951")</f>
        <v>https://organic.ams.usda.gov/Integrity/Certificate.aspx?cid=32&amp;nopid=2230001951</v>
      </c>
    </row>
    <row r="1895">
      <c r="A1895" t="s">
        <v>3</v>
      </c>
      <c r="B1895" s="6" t="s">
        <v>25</v>
      </c>
      <c r="C1895" s="6" t="s">
        <v>91</v>
      </c>
      <c r="D1895" s="6" t="s">
        <v>156</v>
      </c>
      <c r="E1895" s="10" t="s">
        <v>2093</v>
      </c>
      <c r="F1895" s="6" t="s">
        <v>4314</v>
      </c>
      <c r="G1895" s="6" t="s">
        <v>4859</v>
      </c>
      <c r="H1895" s="6" t="s">
        <v>6606</v>
      </c>
      <c r="I1895" s="6" t="s">
        <v>6939</v>
      </c>
      <c r="J1895" s="6" t="s">
        <v>8151</v>
      </c>
      <c r="K1895" s="6" t="s">
        <v>9714</v>
      </c>
      <c r="L1895" s="16" t="n">
        <v>42975</v>
      </c>
      <c r="M1895" s="16" t="n">
        <v>45826</v>
      </c>
      <c r="N1895" s="6" t="s">
        <v>104</v>
      </c>
      <c r="O1895" s="21" t="s">
        <v>104</v>
      </c>
      <c r="P1895" s="6" t="s">
        <v>104</v>
      </c>
      <c r="Q1895" s="6" t="s">
        <v>104</v>
      </c>
      <c r="R1895" s="6" t="s">
        <v>104</v>
      </c>
      <c r="S1895" s="6" t="s">
        <v>104</v>
      </c>
      <c r="T1895" s="21" t="s">
        <v>104</v>
      </c>
      <c r="U1895" s="6" t="s">
        <v>104</v>
      </c>
      <c r="V1895" s="6" t="s">
        <v>104</v>
      </c>
      <c r="W1895" s="6" t="s">
        <v>104</v>
      </c>
      <c r="X1895" s="6" t="s">
        <v>104</v>
      </c>
      <c r="Y1895" s="21" t="s">
        <v>104</v>
      </c>
      <c r="Z1895" s="6" t="s">
        <v>104</v>
      </c>
      <c r="AA1895" s="6" t="s">
        <v>104</v>
      </c>
      <c r="AB1895" s="6" t="s">
        <v>104</v>
      </c>
      <c r="AC1895" s="6" t="s">
        <v>9714</v>
      </c>
      <c r="AD1895" s="16" t="n">
        <v>42975</v>
      </c>
      <c r="AE1895" s="6" t="s">
        <v>12176</v>
      </c>
      <c r="AF1895" s="6" t="s">
        <v>104</v>
      </c>
      <c r="AG1895" s="6" t="s">
        <v>104</v>
      </c>
      <c r="AH1895" s="6" t="s">
        <v>14892</v>
      </c>
      <c r="AI1895" s="6" t="s">
        <v>104</v>
      </c>
      <c r="AJ1895" s="6" t="s">
        <v>15897</v>
      </c>
      <c r="AK1895" s="6" t="s">
        <v>104</v>
      </c>
      <c r="AL1895" s="6" t="s">
        <v>16935</v>
      </c>
      <c r="AM1895" s="6" t="s">
        <v>17531</v>
      </c>
      <c r="AN1895" s="6" t="s">
        <v>104</v>
      </c>
      <c r="AO1895" s="6" t="s">
        <v>104</v>
      </c>
      <c r="AP1895" s="6" t="s">
        <v>19446</v>
      </c>
      <c r="AQ1895" s="6" t="s">
        <v>104</v>
      </c>
      <c r="AR1895" s="6" t="s">
        <v>15897</v>
      </c>
      <c r="AS1895" s="6" t="s">
        <v>104</v>
      </c>
      <c r="AT1895" s="6" t="s">
        <v>16935</v>
      </c>
      <c r="AU1895" s="6" t="s">
        <v>17531</v>
      </c>
      <c r="AV1895" s="6" t="s">
        <v>104</v>
      </c>
      <c r="AW1895" s="6" t="s">
        <v>104</v>
      </c>
      <c r="AX1895" s="6" t="s">
        <v>20137</v>
      </c>
      <c r="AY1895" s="6" t="s">
        <v>21875</v>
      </c>
      <c r="AZ1895" s="6" t="s">
        <v>104</v>
      </c>
      <c r="BA1895" s="6" t="s">
        <v>24264</v>
      </c>
      <c r="BB1895" s="6" t="s">
        <v>104</v>
      </c>
      <c r="BC1895" s="26"/>
      <c r="BD1895" s="26"/>
      <c r="BE1895" s="26"/>
      <c r="BF1895" s="26"/>
      <c r="BG1895" s="26"/>
      <c r="BH1895" s="26" t="s">
        <v>24533</v>
      </c>
      <c r="BI1895" s="26"/>
      <c r="BJ1895" s="26"/>
      <c r="BK1895" s="26"/>
      <c r="BL1895" s="26"/>
      <c r="BM1895" s="26"/>
      <c r="BN1895" s="26"/>
      <c r="BO1895" s="26"/>
      <c r="BP1895" s="16" t="n">
        <v>45644</v>
      </c>
      <c r="BQ1895" s="28" t="str">
        <f>HYPERLINK("https://organic.ams.usda.gov/Integrity/Certificate.aspx?cid=66&amp;nopid=5500005417")</f>
        <v>https://organic.ams.usda.gov/Integrity/Certificate.aspx?cid=66&amp;nopid=5500005417</v>
      </c>
    </row>
    <row r="1896">
      <c r="A1896" t="s">
        <v>3</v>
      </c>
      <c r="B1896" s="6" t="s">
        <v>25</v>
      </c>
      <c r="C1896" s="6" t="s">
        <v>91</v>
      </c>
      <c r="D1896" s="6" t="s">
        <v>156</v>
      </c>
      <c r="E1896" s="10" t="s">
        <v>2094</v>
      </c>
      <c r="F1896" s="6" t="s">
        <v>4314</v>
      </c>
      <c r="G1896" s="6" t="s">
        <v>104</v>
      </c>
      <c r="H1896" s="6" t="s">
        <v>6607</v>
      </c>
      <c r="I1896" s="6" t="s">
        <v>6939</v>
      </c>
      <c r="J1896" s="6" t="s">
        <v>8151</v>
      </c>
      <c r="K1896" s="6" t="s">
        <v>9714</v>
      </c>
      <c r="L1896" s="16" t="n">
        <v>43179</v>
      </c>
      <c r="M1896" s="16" t="n">
        <v>45940</v>
      </c>
      <c r="N1896" s="6" t="s">
        <v>104</v>
      </c>
      <c r="O1896" s="21" t="s">
        <v>104</v>
      </c>
      <c r="P1896" s="6" t="s">
        <v>104</v>
      </c>
      <c r="Q1896" s="6" t="s">
        <v>104</v>
      </c>
      <c r="R1896" s="6" t="s">
        <v>104</v>
      </c>
      <c r="S1896" s="6" t="s">
        <v>104</v>
      </c>
      <c r="T1896" s="21" t="s">
        <v>104</v>
      </c>
      <c r="U1896" s="6" t="s">
        <v>104</v>
      </c>
      <c r="V1896" s="6" t="s">
        <v>104</v>
      </c>
      <c r="W1896" s="6" t="s">
        <v>104</v>
      </c>
      <c r="X1896" s="6" t="s">
        <v>104</v>
      </c>
      <c r="Y1896" s="21" t="s">
        <v>104</v>
      </c>
      <c r="Z1896" s="6" t="s">
        <v>104</v>
      </c>
      <c r="AA1896" s="6" t="s">
        <v>104</v>
      </c>
      <c r="AB1896" s="6" t="s">
        <v>104</v>
      </c>
      <c r="AC1896" s="6" t="s">
        <v>9714</v>
      </c>
      <c r="AD1896" s="16" t="n">
        <v>43179</v>
      </c>
      <c r="AE1896" s="6" t="s">
        <v>12177</v>
      </c>
      <c r="AF1896" s="6" t="s">
        <v>104</v>
      </c>
      <c r="AG1896" s="6" t="s">
        <v>104</v>
      </c>
      <c r="AH1896" s="6" t="s">
        <v>14893</v>
      </c>
      <c r="AI1896" s="6" t="s">
        <v>104</v>
      </c>
      <c r="AJ1896" s="6" t="s">
        <v>16501</v>
      </c>
      <c r="AK1896" s="6" t="s">
        <v>16691</v>
      </c>
      <c r="AL1896" s="6" t="s">
        <v>16935</v>
      </c>
      <c r="AM1896" s="6" t="s">
        <v>18232</v>
      </c>
      <c r="AN1896" s="6" t="s">
        <v>104</v>
      </c>
      <c r="AO1896" s="6" t="s">
        <v>104</v>
      </c>
      <c r="AP1896" s="6" t="s">
        <v>19446</v>
      </c>
      <c r="AQ1896" s="6" t="s">
        <v>104</v>
      </c>
      <c r="AR1896" s="6" t="s">
        <v>15897</v>
      </c>
      <c r="AS1896" s="6" t="s">
        <v>104</v>
      </c>
      <c r="AT1896" s="6" t="s">
        <v>16935</v>
      </c>
      <c r="AU1896" s="6" t="s">
        <v>17531</v>
      </c>
      <c r="AV1896" s="6" t="s">
        <v>104</v>
      </c>
      <c r="AW1896" s="6" t="s">
        <v>104</v>
      </c>
      <c r="AX1896" s="6" t="s">
        <v>20292</v>
      </c>
      <c r="AY1896" s="6" t="s">
        <v>21875</v>
      </c>
      <c r="AZ1896" s="6" t="s">
        <v>104</v>
      </c>
      <c r="BA1896" s="6" t="s">
        <v>24264</v>
      </c>
      <c r="BB1896" s="6" t="s">
        <v>104</v>
      </c>
      <c r="BC1896" s="26"/>
      <c r="BD1896" s="26"/>
      <c r="BE1896" s="26"/>
      <c r="BF1896" s="26"/>
      <c r="BG1896" s="26"/>
      <c r="BH1896" s="26"/>
      <c r="BI1896" s="26"/>
      <c r="BJ1896" s="26"/>
      <c r="BK1896" s="26"/>
      <c r="BL1896" s="26"/>
      <c r="BM1896" s="26"/>
      <c r="BN1896" s="26"/>
      <c r="BO1896" s="26"/>
      <c r="BP1896" s="16" t="n">
        <v>45727</v>
      </c>
      <c r="BQ1896" s="28" t="str">
        <f>HYPERLINK("https://organic.ams.usda.gov/Integrity/Certificate.aspx?cid=66&amp;nopid=5500005708")</f>
        <v>https://organic.ams.usda.gov/Integrity/Certificate.aspx?cid=66&amp;nopid=5500005708</v>
      </c>
    </row>
    <row r="1897">
      <c r="A1897" t="s">
        <v>3</v>
      </c>
      <c r="B1897" s="6" t="s">
        <v>34</v>
      </c>
      <c r="C1897" s="6" t="s">
        <v>100</v>
      </c>
      <c r="D1897" s="6" t="s">
        <v>165</v>
      </c>
      <c r="E1897" s="10" t="s">
        <v>2095</v>
      </c>
      <c r="F1897" s="6" t="s">
        <v>4315</v>
      </c>
      <c r="G1897" s="6" t="s">
        <v>104</v>
      </c>
      <c r="H1897" s="6" t="s">
        <v>6608</v>
      </c>
      <c r="I1897" s="6" t="s">
        <v>7336</v>
      </c>
      <c r="J1897" s="6" t="s">
        <v>9487</v>
      </c>
      <c r="K1897" s="6" t="s">
        <v>9714</v>
      </c>
      <c r="L1897" s="16" t="n">
        <v>38642</v>
      </c>
      <c r="M1897" s="16" t="n">
        <v>45862</v>
      </c>
      <c r="N1897" s="6" t="s">
        <v>104</v>
      </c>
      <c r="O1897" s="21" t="s">
        <v>104</v>
      </c>
      <c r="P1897" s="6" t="s">
        <v>104</v>
      </c>
      <c r="Q1897" s="6" t="s">
        <v>104</v>
      </c>
      <c r="R1897" s="6" t="s">
        <v>104</v>
      </c>
      <c r="S1897" s="6" t="s">
        <v>104</v>
      </c>
      <c r="T1897" s="21" t="s">
        <v>104</v>
      </c>
      <c r="U1897" s="6" t="s">
        <v>104</v>
      </c>
      <c r="V1897" s="6" t="s">
        <v>104</v>
      </c>
      <c r="W1897" s="6" t="s">
        <v>104</v>
      </c>
      <c r="X1897" s="6" t="s">
        <v>104</v>
      </c>
      <c r="Y1897" s="21" t="s">
        <v>104</v>
      </c>
      <c r="Z1897" s="6" t="s">
        <v>104</v>
      </c>
      <c r="AA1897" s="6" t="s">
        <v>104</v>
      </c>
      <c r="AB1897" s="6" t="s">
        <v>104</v>
      </c>
      <c r="AC1897" s="6" t="s">
        <v>9714</v>
      </c>
      <c r="AD1897" s="16" t="n">
        <v>38642</v>
      </c>
      <c r="AE1897" s="6" t="s">
        <v>12178</v>
      </c>
      <c r="AF1897" s="6" t="s">
        <v>104</v>
      </c>
      <c r="AG1897" s="6" t="s">
        <v>13060</v>
      </c>
      <c r="AH1897" s="6" t="s">
        <v>14894</v>
      </c>
      <c r="AI1897" s="6" t="s">
        <v>104</v>
      </c>
      <c r="AJ1897" s="6" t="s">
        <v>16502</v>
      </c>
      <c r="AK1897" s="6" t="s">
        <v>16775</v>
      </c>
      <c r="AL1897" s="6" t="s">
        <v>16931</v>
      </c>
      <c r="AM1897" s="6" t="s">
        <v>18233</v>
      </c>
      <c r="AN1897" s="6" t="s">
        <v>18494</v>
      </c>
      <c r="AO1897" s="6" t="s">
        <v>18898</v>
      </c>
      <c r="AP1897" s="6" t="s">
        <v>19447</v>
      </c>
      <c r="AQ1897" s="6" t="s">
        <v>104</v>
      </c>
      <c r="AR1897" s="6" t="s">
        <v>16502</v>
      </c>
      <c r="AS1897" s="6" t="s">
        <v>16775</v>
      </c>
      <c r="AT1897" s="6" t="s">
        <v>16931</v>
      </c>
      <c r="AU1897" s="6" t="s">
        <v>18233</v>
      </c>
      <c r="AV1897" s="6" t="s">
        <v>104</v>
      </c>
      <c r="AW1897" s="6" t="s">
        <v>104</v>
      </c>
      <c r="AX1897" s="6" t="s">
        <v>21592</v>
      </c>
      <c r="AY1897" s="6" t="s">
        <v>23403</v>
      </c>
      <c r="AZ1897" s="6" t="s">
        <v>104</v>
      </c>
      <c r="BA1897" s="6" t="s">
        <v>104</v>
      </c>
      <c r="BB1897" s="6" t="s">
        <v>104</v>
      </c>
      <c r="BC1897" s="26"/>
      <c r="BD1897" s="26"/>
      <c r="BE1897" s="26"/>
      <c r="BF1897" s="26"/>
      <c r="BG1897" s="26"/>
      <c r="BH1897" s="26"/>
      <c r="BI1897" s="26"/>
      <c r="BJ1897" s="26"/>
      <c r="BK1897" s="26"/>
      <c r="BL1897" s="26"/>
      <c r="BM1897" s="26"/>
      <c r="BN1897" s="26"/>
      <c r="BO1897" s="26"/>
      <c r="BP1897" s="16" t="n">
        <v>45737</v>
      </c>
      <c r="BQ1897" s="28" t="str">
        <f>HYPERLINK("https://organic.ams.usda.gov/Integrity/Certificate.aspx?cid=71&amp;nopid=5520048357")</f>
        <v>https://organic.ams.usda.gov/Integrity/Certificate.aspx?cid=71&amp;nopid=5520048357</v>
      </c>
    </row>
    <row r="1898">
      <c r="A1898" t="s">
        <v>3</v>
      </c>
      <c r="B1898" s="6" t="s">
        <v>29</v>
      </c>
      <c r="C1898" s="6" t="s">
        <v>95</v>
      </c>
      <c r="D1898" s="6" t="s">
        <v>160</v>
      </c>
      <c r="E1898" s="10" t="s">
        <v>2096</v>
      </c>
      <c r="F1898" s="6" t="s">
        <v>4316</v>
      </c>
      <c r="G1898" s="6" t="s">
        <v>104</v>
      </c>
      <c r="H1898" s="6" t="s">
        <v>6609</v>
      </c>
      <c r="I1898" s="6" t="s">
        <v>104</v>
      </c>
      <c r="J1898" s="6" t="s">
        <v>9488</v>
      </c>
      <c r="K1898" s="6" t="s">
        <v>9714</v>
      </c>
      <c r="L1898" s="16" t="n">
        <v>44984</v>
      </c>
      <c r="M1898" s="16" t="n">
        <v>45778</v>
      </c>
      <c r="N1898" s="6" t="s">
        <v>9714</v>
      </c>
      <c r="O1898" s="16" t="n">
        <v>44984</v>
      </c>
      <c r="P1898" s="6" t="s">
        <v>10217</v>
      </c>
      <c r="Q1898" s="6" t="s">
        <v>104</v>
      </c>
      <c r="R1898" s="6" t="s">
        <v>104</v>
      </c>
      <c r="S1898" s="6" t="s">
        <v>104</v>
      </c>
      <c r="T1898" s="21" t="s">
        <v>104</v>
      </c>
      <c r="U1898" s="6" t="s">
        <v>104</v>
      </c>
      <c r="V1898" s="6" t="s">
        <v>104</v>
      </c>
      <c r="W1898" s="6" t="s">
        <v>104</v>
      </c>
      <c r="X1898" s="6" t="s">
        <v>104</v>
      </c>
      <c r="Y1898" s="21" t="s">
        <v>104</v>
      </c>
      <c r="Z1898" s="6" t="s">
        <v>104</v>
      </c>
      <c r="AA1898" s="6" t="s">
        <v>104</v>
      </c>
      <c r="AB1898" s="6" t="s">
        <v>104</v>
      </c>
      <c r="AC1898" s="6" t="s">
        <v>9714</v>
      </c>
      <c r="AD1898" s="16" t="n">
        <v>44984</v>
      </c>
      <c r="AE1898" s="6" t="s">
        <v>12179</v>
      </c>
      <c r="AF1898" s="6" t="s">
        <v>104</v>
      </c>
      <c r="AG1898" s="6" t="s">
        <v>104</v>
      </c>
      <c r="AH1898" s="6" t="s">
        <v>14895</v>
      </c>
      <c r="AI1898" s="6" t="s">
        <v>104</v>
      </c>
      <c r="AJ1898" s="6" t="s">
        <v>104</v>
      </c>
      <c r="AK1898" s="6" t="s">
        <v>16685</v>
      </c>
      <c r="AL1898" s="6" t="s">
        <v>16932</v>
      </c>
      <c r="AM1898" s="6" t="s">
        <v>18234</v>
      </c>
      <c r="AN1898" s="6" t="s">
        <v>104</v>
      </c>
      <c r="AO1898" s="6" t="s">
        <v>104</v>
      </c>
      <c r="AP1898" s="6" t="s">
        <v>104</v>
      </c>
      <c r="AQ1898" s="6" t="s">
        <v>104</v>
      </c>
      <c r="AR1898" s="6" t="s">
        <v>104</v>
      </c>
      <c r="AS1898" s="6" t="s">
        <v>104</v>
      </c>
      <c r="AT1898" s="6" t="s">
        <v>104</v>
      </c>
      <c r="AU1898" s="6" t="s">
        <v>104</v>
      </c>
      <c r="AV1898" s="6" t="s">
        <v>104</v>
      </c>
      <c r="AW1898" s="6" t="s">
        <v>104</v>
      </c>
      <c r="AX1898" s="6" t="s">
        <v>21593</v>
      </c>
      <c r="AY1898" s="6" t="s">
        <v>23404</v>
      </c>
      <c r="AZ1898" s="6" t="s">
        <v>104</v>
      </c>
      <c r="BA1898" s="6" t="s">
        <v>24269</v>
      </c>
      <c r="BB1898" s="24" t="n">
        <v>3</v>
      </c>
      <c r="BC1898" s="26"/>
      <c r="BD1898" s="26"/>
      <c r="BE1898" s="26"/>
      <c r="BF1898" s="26"/>
      <c r="BG1898" s="26"/>
      <c r="BH1898" s="26"/>
      <c r="BI1898" s="26"/>
      <c r="BJ1898" s="26"/>
      <c r="BK1898" s="26"/>
      <c r="BL1898" s="26"/>
      <c r="BM1898" s="26"/>
      <c r="BN1898" s="26"/>
      <c r="BO1898" s="26"/>
      <c r="BP1898" s="16" t="n">
        <v>45680</v>
      </c>
      <c r="BQ1898" s="28" t="str">
        <f>HYPERLINK("https://organic.ams.usda.gov/Integrity/Certificate.aspx?cid=24&amp;nopid=7880210157")</f>
        <v>https://organic.ams.usda.gov/Integrity/Certificate.aspx?cid=24&amp;nopid=7880210157</v>
      </c>
    </row>
    <row r="1899">
      <c r="A1899" t="s">
        <v>3</v>
      </c>
      <c r="B1899" s="6" t="s">
        <v>29</v>
      </c>
      <c r="C1899" s="6" t="s">
        <v>95</v>
      </c>
      <c r="D1899" s="6" t="s">
        <v>160</v>
      </c>
      <c r="E1899" s="10" t="s">
        <v>2097</v>
      </c>
      <c r="F1899" s="6" t="s">
        <v>4317</v>
      </c>
      <c r="G1899" s="6" t="s">
        <v>104</v>
      </c>
      <c r="H1899" s="6" t="s">
        <v>6610</v>
      </c>
      <c r="I1899" s="6" t="s">
        <v>104</v>
      </c>
      <c r="J1899" s="6" t="s">
        <v>9489</v>
      </c>
      <c r="K1899" s="6" t="s">
        <v>9714</v>
      </c>
      <c r="L1899" s="16" t="n">
        <v>43404</v>
      </c>
      <c r="M1899" s="16" t="n">
        <v>45778</v>
      </c>
      <c r="N1899" s="6" t="s">
        <v>104</v>
      </c>
      <c r="O1899" s="21" t="s">
        <v>104</v>
      </c>
      <c r="P1899" s="6" t="s">
        <v>104</v>
      </c>
      <c r="Q1899" s="6" t="s">
        <v>104</v>
      </c>
      <c r="R1899" s="6" t="s">
        <v>104</v>
      </c>
      <c r="S1899" s="6" t="s">
        <v>104</v>
      </c>
      <c r="T1899" s="21" t="s">
        <v>104</v>
      </c>
      <c r="U1899" s="6" t="s">
        <v>104</v>
      </c>
      <c r="V1899" s="6" t="s">
        <v>104</v>
      </c>
      <c r="W1899" s="6" t="s">
        <v>104</v>
      </c>
      <c r="X1899" s="6" t="s">
        <v>104</v>
      </c>
      <c r="Y1899" s="21" t="s">
        <v>104</v>
      </c>
      <c r="Z1899" s="6" t="s">
        <v>104</v>
      </c>
      <c r="AA1899" s="6" t="s">
        <v>104</v>
      </c>
      <c r="AB1899" s="6" t="s">
        <v>104</v>
      </c>
      <c r="AC1899" s="6" t="s">
        <v>9714</v>
      </c>
      <c r="AD1899" s="16" t="n">
        <v>43404</v>
      </c>
      <c r="AE1899" s="6" t="s">
        <v>12180</v>
      </c>
      <c r="AF1899" s="6" t="s">
        <v>104</v>
      </c>
      <c r="AG1899" s="6" t="s">
        <v>104</v>
      </c>
      <c r="AH1899" s="6" t="s">
        <v>14896</v>
      </c>
      <c r="AI1899" s="6" t="s">
        <v>104</v>
      </c>
      <c r="AJ1899" s="6" t="s">
        <v>15420</v>
      </c>
      <c r="AK1899" s="6" t="s">
        <v>104</v>
      </c>
      <c r="AL1899" s="6" t="s">
        <v>16944</v>
      </c>
      <c r="AM1899" s="6" t="s">
        <v>104</v>
      </c>
      <c r="AN1899" s="6" t="s">
        <v>104</v>
      </c>
      <c r="AO1899" s="6" t="s">
        <v>104</v>
      </c>
      <c r="AP1899" s="6" t="s">
        <v>104</v>
      </c>
      <c r="AQ1899" s="6" t="s">
        <v>104</v>
      </c>
      <c r="AR1899" s="6" t="s">
        <v>104</v>
      </c>
      <c r="AS1899" s="6" t="s">
        <v>104</v>
      </c>
      <c r="AT1899" s="6" t="s">
        <v>104</v>
      </c>
      <c r="AU1899" s="6" t="s">
        <v>104</v>
      </c>
      <c r="AV1899" s="6" t="s">
        <v>104</v>
      </c>
      <c r="AW1899" s="6" t="s">
        <v>104</v>
      </c>
      <c r="AX1899" s="6" t="s">
        <v>21594</v>
      </c>
      <c r="AY1899" s="6" t="s">
        <v>23405</v>
      </c>
      <c r="AZ1899" s="6" t="s">
        <v>104</v>
      </c>
      <c r="BA1899" s="6" t="s">
        <v>104</v>
      </c>
      <c r="BB1899" s="24" t="n">
        <v>0</v>
      </c>
      <c r="BC1899" s="26"/>
      <c r="BD1899" s="26"/>
      <c r="BE1899" s="26"/>
      <c r="BF1899" s="26"/>
      <c r="BG1899" s="26"/>
      <c r="BH1899" s="26"/>
      <c r="BI1899" s="26"/>
      <c r="BJ1899" s="26"/>
      <c r="BK1899" s="26"/>
      <c r="BL1899" s="26"/>
      <c r="BM1899" s="26"/>
      <c r="BN1899" s="26"/>
      <c r="BO1899" s="26"/>
      <c r="BP1899" s="16" t="n">
        <v>45561</v>
      </c>
      <c r="BQ1899" s="28" t="str">
        <f>HYPERLINK("https://organic.ams.usda.gov/Integrity/Certificate.aspx?cid=24&amp;nopid=7880192513")</f>
        <v>https://organic.ams.usda.gov/Integrity/Certificate.aspx?cid=24&amp;nopid=7880192513</v>
      </c>
    </row>
    <row r="1900">
      <c r="A1900" t="s">
        <v>3</v>
      </c>
      <c r="B1900" s="6" t="s">
        <v>24</v>
      </c>
      <c r="C1900" s="6" t="s">
        <v>90</v>
      </c>
      <c r="D1900" s="6" t="s">
        <v>155</v>
      </c>
      <c r="E1900" s="10" t="s">
        <v>2098</v>
      </c>
      <c r="F1900" s="6" t="s">
        <v>4318</v>
      </c>
      <c r="G1900" s="6" t="s">
        <v>4667</v>
      </c>
      <c r="H1900" s="6" t="s">
        <v>6611</v>
      </c>
      <c r="I1900" s="6" t="s">
        <v>7984</v>
      </c>
      <c r="J1900" s="6" t="s">
        <v>9490</v>
      </c>
      <c r="K1900" s="6" t="s">
        <v>9714</v>
      </c>
      <c r="L1900" s="16" t="n">
        <v>40099</v>
      </c>
      <c r="M1900" s="16" t="n">
        <v>45807</v>
      </c>
      <c r="N1900" s="6" t="s">
        <v>104</v>
      </c>
      <c r="O1900" s="21" t="s">
        <v>104</v>
      </c>
      <c r="P1900" s="6" t="s">
        <v>104</v>
      </c>
      <c r="Q1900" s="6" t="s">
        <v>104</v>
      </c>
      <c r="R1900" s="6" t="s">
        <v>104</v>
      </c>
      <c r="S1900" s="6" t="s">
        <v>104</v>
      </c>
      <c r="T1900" s="21" t="s">
        <v>104</v>
      </c>
      <c r="U1900" s="6" t="s">
        <v>104</v>
      </c>
      <c r="V1900" s="6" t="s">
        <v>104</v>
      </c>
      <c r="W1900" s="6" t="s">
        <v>104</v>
      </c>
      <c r="X1900" s="6" t="s">
        <v>104</v>
      </c>
      <c r="Y1900" s="21" t="s">
        <v>104</v>
      </c>
      <c r="Z1900" s="6" t="s">
        <v>104</v>
      </c>
      <c r="AA1900" s="6" t="s">
        <v>104</v>
      </c>
      <c r="AB1900" s="6" t="s">
        <v>104</v>
      </c>
      <c r="AC1900" s="6" t="s">
        <v>9714</v>
      </c>
      <c r="AD1900" s="16" t="n">
        <v>40099</v>
      </c>
      <c r="AE1900" s="6" t="s">
        <v>12181</v>
      </c>
      <c r="AF1900" s="6" t="s">
        <v>104</v>
      </c>
      <c r="AG1900" s="6" t="s">
        <v>13061</v>
      </c>
      <c r="AH1900" s="6" t="s">
        <v>14897</v>
      </c>
      <c r="AI1900" s="6" t="s">
        <v>104</v>
      </c>
      <c r="AJ1900" s="6" t="s">
        <v>16503</v>
      </c>
      <c r="AK1900" s="6" t="s">
        <v>16690</v>
      </c>
      <c r="AL1900" s="6" t="s">
        <v>16934</v>
      </c>
      <c r="AM1900" s="6" t="s">
        <v>18235</v>
      </c>
      <c r="AN1900" s="6" t="s">
        <v>104</v>
      </c>
      <c r="AO1900" s="6" t="s">
        <v>104</v>
      </c>
      <c r="AP1900" s="6" t="s">
        <v>19448</v>
      </c>
      <c r="AQ1900" s="6" t="s">
        <v>104</v>
      </c>
      <c r="AR1900" s="6" t="s">
        <v>16503</v>
      </c>
      <c r="AS1900" s="6" t="s">
        <v>16690</v>
      </c>
      <c r="AT1900" s="6" t="s">
        <v>16934</v>
      </c>
      <c r="AU1900" s="6" t="s">
        <v>18235</v>
      </c>
      <c r="AV1900" s="6" t="s">
        <v>104</v>
      </c>
      <c r="AW1900" s="6" t="s">
        <v>104</v>
      </c>
      <c r="AX1900" s="6" t="s">
        <v>21595</v>
      </c>
      <c r="AY1900" s="6" t="s">
        <v>23406</v>
      </c>
      <c r="AZ1900" s="6" t="s">
        <v>24163</v>
      </c>
      <c r="BA1900" s="6" t="s">
        <v>24262</v>
      </c>
      <c r="BB1900" s="24" t="n">
        <v>0</v>
      </c>
      <c r="BC1900" s="26"/>
      <c r="BD1900" s="26"/>
      <c r="BE1900" s="26"/>
      <c r="BF1900" s="26"/>
      <c r="BG1900" s="26"/>
      <c r="BH1900" s="26"/>
      <c r="BI1900" s="26"/>
      <c r="BJ1900" s="26"/>
      <c r="BK1900" s="26"/>
      <c r="BL1900" s="26"/>
      <c r="BM1900" s="26"/>
      <c r="BN1900" s="26"/>
      <c r="BO1900" s="26"/>
      <c r="BP1900" s="16" t="n">
        <v>45561</v>
      </c>
      <c r="BQ1900" s="28" t="str">
        <f>HYPERLINK("https://organic.ams.usda.gov/Integrity/Certificate.aspx?cid=7&amp;nopid=3950000275")</f>
        <v>https://organic.ams.usda.gov/Integrity/Certificate.aspx?cid=7&amp;nopid=3950000275</v>
      </c>
    </row>
    <row r="1901">
      <c r="A1901" t="s">
        <v>3</v>
      </c>
      <c r="B1901" s="6" t="s">
        <v>25</v>
      </c>
      <c r="C1901" s="6" t="s">
        <v>91</v>
      </c>
      <c r="D1901" s="6" t="s">
        <v>156</v>
      </c>
      <c r="E1901" s="10" t="s">
        <v>2099</v>
      </c>
      <c r="F1901" s="6" t="s">
        <v>4319</v>
      </c>
      <c r="G1901" s="6" t="s">
        <v>4821</v>
      </c>
      <c r="H1901" s="6" t="s">
        <v>6612</v>
      </c>
      <c r="I1901" s="6" t="s">
        <v>6939</v>
      </c>
      <c r="J1901" s="6" t="s">
        <v>8151</v>
      </c>
      <c r="K1901" s="6" t="s">
        <v>9714</v>
      </c>
      <c r="L1901" s="16" t="n">
        <v>42333</v>
      </c>
      <c r="M1901" s="16" t="n">
        <v>45897</v>
      </c>
      <c r="N1901" s="6" t="s">
        <v>104</v>
      </c>
      <c r="O1901" s="21" t="s">
        <v>104</v>
      </c>
      <c r="P1901" s="6" t="s">
        <v>104</v>
      </c>
      <c r="Q1901" s="6" t="s">
        <v>104</v>
      </c>
      <c r="R1901" s="6" t="s">
        <v>104</v>
      </c>
      <c r="S1901" s="6" t="s">
        <v>104</v>
      </c>
      <c r="T1901" s="21" t="s">
        <v>104</v>
      </c>
      <c r="U1901" s="6" t="s">
        <v>104</v>
      </c>
      <c r="V1901" s="6" t="s">
        <v>104</v>
      </c>
      <c r="W1901" s="6" t="s">
        <v>104</v>
      </c>
      <c r="X1901" s="6" t="s">
        <v>104</v>
      </c>
      <c r="Y1901" s="21" t="s">
        <v>104</v>
      </c>
      <c r="Z1901" s="6" t="s">
        <v>104</v>
      </c>
      <c r="AA1901" s="6" t="s">
        <v>104</v>
      </c>
      <c r="AB1901" s="6" t="s">
        <v>104</v>
      </c>
      <c r="AC1901" s="6" t="s">
        <v>9714</v>
      </c>
      <c r="AD1901" s="16" t="n">
        <v>42333</v>
      </c>
      <c r="AE1901" s="6" t="s">
        <v>11896</v>
      </c>
      <c r="AF1901" s="6" t="s">
        <v>104</v>
      </c>
      <c r="AG1901" s="6" t="s">
        <v>104</v>
      </c>
      <c r="AH1901" s="6" t="s">
        <v>14898</v>
      </c>
      <c r="AI1901" s="6" t="s">
        <v>104</v>
      </c>
      <c r="AJ1901" s="6" t="s">
        <v>16346</v>
      </c>
      <c r="AK1901" s="6" t="s">
        <v>16691</v>
      </c>
      <c r="AL1901" s="6" t="s">
        <v>16935</v>
      </c>
      <c r="AM1901" s="6" t="s">
        <v>18236</v>
      </c>
      <c r="AN1901" s="6" t="s">
        <v>104</v>
      </c>
      <c r="AO1901" s="6" t="s">
        <v>104</v>
      </c>
      <c r="AP1901" s="6" t="s">
        <v>19449</v>
      </c>
      <c r="AQ1901" s="6" t="s">
        <v>104</v>
      </c>
      <c r="AR1901" s="6" t="s">
        <v>16347</v>
      </c>
      <c r="AS1901" s="6" t="s">
        <v>16691</v>
      </c>
      <c r="AT1901" s="6" t="s">
        <v>16935</v>
      </c>
      <c r="AU1901" s="6" t="s">
        <v>18043</v>
      </c>
      <c r="AV1901" s="6" t="s">
        <v>104</v>
      </c>
      <c r="AW1901" s="6" t="s">
        <v>104</v>
      </c>
      <c r="AX1901" s="6" t="s">
        <v>20137</v>
      </c>
      <c r="AY1901" s="6" t="s">
        <v>21875</v>
      </c>
      <c r="AZ1901" s="6" t="s">
        <v>104</v>
      </c>
      <c r="BA1901" s="6" t="s">
        <v>24264</v>
      </c>
      <c r="BB1901" s="6" t="s">
        <v>104</v>
      </c>
      <c r="BC1901" s="26"/>
      <c r="BD1901" s="26"/>
      <c r="BE1901" s="26"/>
      <c r="BF1901" s="26"/>
      <c r="BG1901" s="26"/>
      <c r="BH1901" s="26"/>
      <c r="BI1901" s="26"/>
      <c r="BJ1901" s="26"/>
      <c r="BK1901" s="26"/>
      <c r="BL1901" s="26"/>
      <c r="BM1901" s="26"/>
      <c r="BN1901" s="26"/>
      <c r="BO1901" s="26"/>
      <c r="BP1901" s="16" t="n">
        <v>45637</v>
      </c>
      <c r="BQ1901" s="28" t="str">
        <f>HYPERLINK("https://organic.ams.usda.gov/Integrity/Certificate.aspx?cid=66&amp;nopid=5500005008")</f>
        <v>https://organic.ams.usda.gov/Integrity/Certificate.aspx?cid=66&amp;nopid=5500005008</v>
      </c>
    </row>
    <row r="1902">
      <c r="A1902" t="s">
        <v>3</v>
      </c>
      <c r="B1902" s="6" t="s">
        <v>25</v>
      </c>
      <c r="C1902" s="6" t="s">
        <v>91</v>
      </c>
      <c r="D1902" s="6" t="s">
        <v>156</v>
      </c>
      <c r="E1902" s="10" t="s">
        <v>2100</v>
      </c>
      <c r="F1902" s="6" t="s">
        <v>4319</v>
      </c>
      <c r="G1902" s="6" t="s">
        <v>104</v>
      </c>
      <c r="H1902" s="6" t="s">
        <v>6613</v>
      </c>
      <c r="I1902" s="6" t="s">
        <v>6939</v>
      </c>
      <c r="J1902" s="6" t="s">
        <v>8151</v>
      </c>
      <c r="K1902" s="6" t="s">
        <v>9714</v>
      </c>
      <c r="L1902" s="16" t="n">
        <v>43167</v>
      </c>
      <c r="M1902" s="16" t="n">
        <v>45719</v>
      </c>
      <c r="N1902" s="6" t="s">
        <v>104</v>
      </c>
      <c r="O1902" s="21" t="s">
        <v>104</v>
      </c>
      <c r="P1902" s="6" t="s">
        <v>104</v>
      </c>
      <c r="Q1902" s="6" t="s">
        <v>104</v>
      </c>
      <c r="R1902" s="6" t="s">
        <v>104</v>
      </c>
      <c r="S1902" s="6" t="s">
        <v>104</v>
      </c>
      <c r="T1902" s="21" t="s">
        <v>104</v>
      </c>
      <c r="U1902" s="6" t="s">
        <v>104</v>
      </c>
      <c r="V1902" s="6" t="s">
        <v>104</v>
      </c>
      <c r="W1902" s="6" t="s">
        <v>104</v>
      </c>
      <c r="X1902" s="6" t="s">
        <v>104</v>
      </c>
      <c r="Y1902" s="21" t="s">
        <v>104</v>
      </c>
      <c r="Z1902" s="6" t="s">
        <v>104</v>
      </c>
      <c r="AA1902" s="6" t="s">
        <v>104</v>
      </c>
      <c r="AB1902" s="6" t="s">
        <v>104</v>
      </c>
      <c r="AC1902" s="6" t="s">
        <v>9714</v>
      </c>
      <c r="AD1902" s="16" t="n">
        <v>43167</v>
      </c>
      <c r="AE1902" s="6" t="s">
        <v>11546</v>
      </c>
      <c r="AF1902" s="6" t="s">
        <v>104</v>
      </c>
      <c r="AG1902" s="6" t="s">
        <v>104</v>
      </c>
      <c r="AH1902" s="6" t="s">
        <v>14899</v>
      </c>
      <c r="AI1902" s="6" t="s">
        <v>104</v>
      </c>
      <c r="AJ1902" s="6" t="s">
        <v>16347</v>
      </c>
      <c r="AK1902" s="6" t="s">
        <v>16691</v>
      </c>
      <c r="AL1902" s="6" t="s">
        <v>16935</v>
      </c>
      <c r="AM1902" s="6" t="s">
        <v>18043</v>
      </c>
      <c r="AN1902" s="6" t="s">
        <v>104</v>
      </c>
      <c r="AO1902" s="6" t="s">
        <v>104</v>
      </c>
      <c r="AP1902" s="6" t="s">
        <v>19449</v>
      </c>
      <c r="AQ1902" s="6" t="s">
        <v>104</v>
      </c>
      <c r="AR1902" s="6" t="s">
        <v>16347</v>
      </c>
      <c r="AS1902" s="6" t="s">
        <v>16691</v>
      </c>
      <c r="AT1902" s="6" t="s">
        <v>16935</v>
      </c>
      <c r="AU1902" s="6" t="s">
        <v>18043</v>
      </c>
      <c r="AV1902" s="6" t="s">
        <v>104</v>
      </c>
      <c r="AW1902" s="6" t="s">
        <v>104</v>
      </c>
      <c r="AX1902" s="6" t="s">
        <v>20137</v>
      </c>
      <c r="AY1902" s="6" t="s">
        <v>21875</v>
      </c>
      <c r="AZ1902" s="6" t="s">
        <v>104</v>
      </c>
      <c r="BA1902" s="6" t="s">
        <v>24264</v>
      </c>
      <c r="BB1902" s="6" t="s">
        <v>104</v>
      </c>
      <c r="BC1902" s="26"/>
      <c r="BD1902" s="26"/>
      <c r="BE1902" s="26"/>
      <c r="BF1902" s="26"/>
      <c r="BG1902" s="26"/>
      <c r="BH1902" s="26"/>
      <c r="BI1902" s="26"/>
      <c r="BJ1902" s="26"/>
      <c r="BK1902" s="26"/>
      <c r="BL1902" s="26"/>
      <c r="BM1902" s="26"/>
      <c r="BN1902" s="26"/>
      <c r="BO1902" s="26"/>
      <c r="BP1902" s="16" t="n">
        <v>45476</v>
      </c>
      <c r="BQ1902" s="28" t="str">
        <f>HYPERLINK("https://organic.ams.usda.gov/Integrity/Certificate.aspx?cid=66&amp;nopid=5500005676")</f>
        <v>https://organic.ams.usda.gov/Integrity/Certificate.aspx?cid=66&amp;nopid=5500005676</v>
      </c>
    </row>
    <row r="1903">
      <c r="A1903" t="s">
        <v>3</v>
      </c>
      <c r="B1903" s="6" t="s">
        <v>25</v>
      </c>
      <c r="C1903" s="6" t="s">
        <v>91</v>
      </c>
      <c r="D1903" s="6" t="s">
        <v>156</v>
      </c>
      <c r="E1903" s="10" t="s">
        <v>2101</v>
      </c>
      <c r="F1903" s="6" t="s">
        <v>4319</v>
      </c>
      <c r="G1903" s="6" t="s">
        <v>104</v>
      </c>
      <c r="H1903" s="6" t="s">
        <v>6614</v>
      </c>
      <c r="I1903" s="6" t="s">
        <v>6939</v>
      </c>
      <c r="J1903" s="6" t="s">
        <v>8151</v>
      </c>
      <c r="K1903" s="6" t="s">
        <v>9714</v>
      </c>
      <c r="L1903" s="16" t="n">
        <v>43516</v>
      </c>
      <c r="M1903" s="16" t="n">
        <v>45705</v>
      </c>
      <c r="N1903" s="6" t="s">
        <v>104</v>
      </c>
      <c r="O1903" s="21" t="s">
        <v>104</v>
      </c>
      <c r="P1903" s="6" t="s">
        <v>104</v>
      </c>
      <c r="Q1903" s="6" t="s">
        <v>104</v>
      </c>
      <c r="R1903" s="6" t="s">
        <v>104</v>
      </c>
      <c r="S1903" s="6" t="s">
        <v>104</v>
      </c>
      <c r="T1903" s="21" t="s">
        <v>104</v>
      </c>
      <c r="U1903" s="6" t="s">
        <v>104</v>
      </c>
      <c r="V1903" s="6" t="s">
        <v>104</v>
      </c>
      <c r="W1903" s="6" t="s">
        <v>104</v>
      </c>
      <c r="X1903" s="6" t="s">
        <v>104</v>
      </c>
      <c r="Y1903" s="21" t="s">
        <v>104</v>
      </c>
      <c r="Z1903" s="6" t="s">
        <v>104</v>
      </c>
      <c r="AA1903" s="6" t="s">
        <v>104</v>
      </c>
      <c r="AB1903" s="6" t="s">
        <v>104</v>
      </c>
      <c r="AC1903" s="6" t="s">
        <v>9714</v>
      </c>
      <c r="AD1903" s="16" t="n">
        <v>43516</v>
      </c>
      <c r="AE1903" s="6" t="s">
        <v>11546</v>
      </c>
      <c r="AF1903" s="6" t="s">
        <v>104</v>
      </c>
      <c r="AG1903" s="6" t="s">
        <v>104</v>
      </c>
      <c r="AH1903" s="6" t="s">
        <v>14597</v>
      </c>
      <c r="AI1903" s="6" t="s">
        <v>104</v>
      </c>
      <c r="AJ1903" s="6" t="s">
        <v>16348</v>
      </c>
      <c r="AK1903" s="6" t="s">
        <v>16691</v>
      </c>
      <c r="AL1903" s="6" t="s">
        <v>16935</v>
      </c>
      <c r="AM1903" s="6" t="s">
        <v>6200</v>
      </c>
      <c r="AN1903" s="6" t="s">
        <v>104</v>
      </c>
      <c r="AO1903" s="6" t="s">
        <v>104</v>
      </c>
      <c r="AP1903" s="6" t="s">
        <v>19449</v>
      </c>
      <c r="AQ1903" s="6" t="s">
        <v>104</v>
      </c>
      <c r="AR1903" s="6" t="s">
        <v>16347</v>
      </c>
      <c r="AS1903" s="6" t="s">
        <v>16691</v>
      </c>
      <c r="AT1903" s="6" t="s">
        <v>16935</v>
      </c>
      <c r="AU1903" s="6" t="s">
        <v>18043</v>
      </c>
      <c r="AV1903" s="6" t="s">
        <v>104</v>
      </c>
      <c r="AW1903" s="6" t="s">
        <v>104</v>
      </c>
      <c r="AX1903" s="6" t="s">
        <v>20137</v>
      </c>
      <c r="AY1903" s="6" t="s">
        <v>21875</v>
      </c>
      <c r="AZ1903" s="6" t="s">
        <v>104</v>
      </c>
      <c r="BA1903" s="6" t="s">
        <v>24264</v>
      </c>
      <c r="BB1903" s="6" t="s">
        <v>104</v>
      </c>
      <c r="BC1903" s="26"/>
      <c r="BD1903" s="26"/>
      <c r="BE1903" s="26"/>
      <c r="BF1903" s="26"/>
      <c r="BG1903" s="26"/>
      <c r="BH1903" s="26"/>
      <c r="BI1903" s="26"/>
      <c r="BJ1903" s="26"/>
      <c r="BK1903" s="26"/>
      <c r="BL1903" s="26"/>
      <c r="BM1903" s="26"/>
      <c r="BN1903" s="26"/>
      <c r="BO1903" s="26"/>
      <c r="BP1903" s="16" t="n">
        <v>45495</v>
      </c>
      <c r="BQ1903" s="28" t="str">
        <f>HYPERLINK("https://organic.ams.usda.gov/Integrity/Certificate.aspx?cid=66&amp;nopid=5500006008")</f>
        <v>https://organic.ams.usda.gov/Integrity/Certificate.aspx?cid=66&amp;nopid=5500006008</v>
      </c>
    </row>
    <row r="1904">
      <c r="A1904" t="s">
        <v>3</v>
      </c>
      <c r="B1904" s="6" t="s">
        <v>25</v>
      </c>
      <c r="C1904" s="6" t="s">
        <v>91</v>
      </c>
      <c r="D1904" s="6" t="s">
        <v>156</v>
      </c>
      <c r="E1904" s="10" t="s">
        <v>2102</v>
      </c>
      <c r="F1904" s="6" t="s">
        <v>4319</v>
      </c>
      <c r="G1904" s="6" t="s">
        <v>104</v>
      </c>
      <c r="H1904" s="6" t="s">
        <v>6615</v>
      </c>
      <c r="I1904" s="6" t="s">
        <v>6939</v>
      </c>
      <c r="J1904" s="6" t="s">
        <v>8151</v>
      </c>
      <c r="K1904" s="6" t="s">
        <v>9714</v>
      </c>
      <c r="L1904" s="16" t="n">
        <v>44351</v>
      </c>
      <c r="M1904" s="16" t="n">
        <v>45719</v>
      </c>
      <c r="N1904" s="6" t="s">
        <v>104</v>
      </c>
      <c r="O1904" s="21" t="s">
        <v>104</v>
      </c>
      <c r="P1904" s="6" t="s">
        <v>104</v>
      </c>
      <c r="Q1904" s="6" t="s">
        <v>104</v>
      </c>
      <c r="R1904" s="6" t="s">
        <v>104</v>
      </c>
      <c r="S1904" s="6" t="s">
        <v>104</v>
      </c>
      <c r="T1904" s="21" t="s">
        <v>104</v>
      </c>
      <c r="U1904" s="6" t="s">
        <v>104</v>
      </c>
      <c r="V1904" s="6" t="s">
        <v>104</v>
      </c>
      <c r="W1904" s="6" t="s">
        <v>104</v>
      </c>
      <c r="X1904" s="6" t="s">
        <v>104</v>
      </c>
      <c r="Y1904" s="21" t="s">
        <v>104</v>
      </c>
      <c r="Z1904" s="6" t="s">
        <v>104</v>
      </c>
      <c r="AA1904" s="6" t="s">
        <v>104</v>
      </c>
      <c r="AB1904" s="6" t="s">
        <v>104</v>
      </c>
      <c r="AC1904" s="6" t="s">
        <v>9714</v>
      </c>
      <c r="AD1904" s="16" t="n">
        <v>44351</v>
      </c>
      <c r="AE1904" s="6" t="s">
        <v>12182</v>
      </c>
      <c r="AF1904" s="6" t="s">
        <v>104</v>
      </c>
      <c r="AG1904" s="6" t="s">
        <v>104</v>
      </c>
      <c r="AH1904" s="6" t="s">
        <v>14900</v>
      </c>
      <c r="AI1904" s="6" t="s">
        <v>104</v>
      </c>
      <c r="AJ1904" s="6" t="s">
        <v>16344</v>
      </c>
      <c r="AK1904" s="6" t="s">
        <v>16691</v>
      </c>
      <c r="AL1904" s="6" t="s">
        <v>16935</v>
      </c>
      <c r="AM1904" s="6" t="s">
        <v>18237</v>
      </c>
      <c r="AN1904" s="6" t="s">
        <v>104</v>
      </c>
      <c r="AO1904" s="6" t="s">
        <v>104</v>
      </c>
      <c r="AP1904" s="6" t="s">
        <v>19449</v>
      </c>
      <c r="AQ1904" s="6" t="s">
        <v>104</v>
      </c>
      <c r="AR1904" s="6" t="s">
        <v>16347</v>
      </c>
      <c r="AS1904" s="6" t="s">
        <v>16691</v>
      </c>
      <c r="AT1904" s="6" t="s">
        <v>16935</v>
      </c>
      <c r="AU1904" s="6" t="s">
        <v>18043</v>
      </c>
      <c r="AV1904" s="6" t="s">
        <v>104</v>
      </c>
      <c r="AW1904" s="6" t="s">
        <v>104</v>
      </c>
      <c r="AX1904" s="6" t="s">
        <v>20137</v>
      </c>
      <c r="AY1904" s="6" t="s">
        <v>21875</v>
      </c>
      <c r="AZ1904" s="6" t="s">
        <v>104</v>
      </c>
      <c r="BA1904" s="6" t="s">
        <v>24264</v>
      </c>
      <c r="BB1904" s="6" t="s">
        <v>104</v>
      </c>
      <c r="BC1904" s="26"/>
      <c r="BD1904" s="26"/>
      <c r="BE1904" s="26"/>
      <c r="BF1904" s="26"/>
      <c r="BG1904" s="26"/>
      <c r="BH1904" s="26"/>
      <c r="BI1904" s="26"/>
      <c r="BJ1904" s="26"/>
      <c r="BK1904" s="26"/>
      <c r="BL1904" s="26"/>
      <c r="BM1904" s="26"/>
      <c r="BN1904" s="26"/>
      <c r="BO1904" s="26"/>
      <c r="BP1904" s="16" t="n">
        <v>45476</v>
      </c>
      <c r="BQ1904" s="28" t="str">
        <f>HYPERLINK("https://organic.ams.usda.gov/Integrity/Certificate.aspx?cid=66&amp;nopid=5500006515")</f>
        <v>https://organic.ams.usda.gov/Integrity/Certificate.aspx?cid=66&amp;nopid=5500006515</v>
      </c>
    </row>
    <row r="1905">
      <c r="A1905" t="s">
        <v>3</v>
      </c>
      <c r="B1905" s="6" t="s">
        <v>34</v>
      </c>
      <c r="C1905" s="6" t="s">
        <v>100</v>
      </c>
      <c r="D1905" s="6" t="s">
        <v>165</v>
      </c>
      <c r="E1905" s="10" t="s">
        <v>2103</v>
      </c>
      <c r="F1905" s="6" t="s">
        <v>4320</v>
      </c>
      <c r="G1905" s="6" t="s">
        <v>104</v>
      </c>
      <c r="H1905" s="6" t="s">
        <v>6616</v>
      </c>
      <c r="I1905" s="6" t="s">
        <v>7985</v>
      </c>
      <c r="J1905" s="6" t="s">
        <v>9491</v>
      </c>
      <c r="K1905" s="6" t="s">
        <v>9714</v>
      </c>
      <c r="L1905" s="16" t="n">
        <v>43024</v>
      </c>
      <c r="M1905" s="16" t="n">
        <v>45875</v>
      </c>
      <c r="N1905" s="6" t="s">
        <v>104</v>
      </c>
      <c r="O1905" s="21" t="s">
        <v>104</v>
      </c>
      <c r="P1905" s="6" t="s">
        <v>104</v>
      </c>
      <c r="Q1905" s="6" t="s">
        <v>104</v>
      </c>
      <c r="R1905" s="6" t="s">
        <v>104</v>
      </c>
      <c r="S1905" s="6" t="s">
        <v>104</v>
      </c>
      <c r="T1905" s="21" t="s">
        <v>104</v>
      </c>
      <c r="U1905" s="6" t="s">
        <v>104</v>
      </c>
      <c r="V1905" s="6" t="s">
        <v>104</v>
      </c>
      <c r="W1905" s="6" t="s">
        <v>104</v>
      </c>
      <c r="X1905" s="6" t="s">
        <v>104</v>
      </c>
      <c r="Y1905" s="21" t="s">
        <v>104</v>
      </c>
      <c r="Z1905" s="6" t="s">
        <v>104</v>
      </c>
      <c r="AA1905" s="6" t="s">
        <v>104</v>
      </c>
      <c r="AB1905" s="6" t="s">
        <v>104</v>
      </c>
      <c r="AC1905" s="6" t="s">
        <v>9714</v>
      </c>
      <c r="AD1905" s="16" t="n">
        <v>43024</v>
      </c>
      <c r="AE1905" s="6" t="s">
        <v>12183</v>
      </c>
      <c r="AF1905" s="6" t="s">
        <v>104</v>
      </c>
      <c r="AG1905" s="6" t="s">
        <v>13062</v>
      </c>
      <c r="AH1905" s="6" t="s">
        <v>14901</v>
      </c>
      <c r="AI1905" s="6" t="s">
        <v>104</v>
      </c>
      <c r="AJ1905" s="6" t="s">
        <v>15705</v>
      </c>
      <c r="AK1905" s="6" t="s">
        <v>16720</v>
      </c>
      <c r="AL1905" s="6" t="s">
        <v>16931</v>
      </c>
      <c r="AM1905" s="6" t="s">
        <v>17326</v>
      </c>
      <c r="AN1905" s="6" t="s">
        <v>18466</v>
      </c>
      <c r="AO1905" s="6" t="s">
        <v>18675</v>
      </c>
      <c r="AP1905" s="6" t="s">
        <v>19450</v>
      </c>
      <c r="AQ1905" s="6" t="s">
        <v>104</v>
      </c>
      <c r="AR1905" s="6" t="s">
        <v>19758</v>
      </c>
      <c r="AS1905" s="6" t="s">
        <v>16689</v>
      </c>
      <c r="AT1905" s="6" t="s">
        <v>16931</v>
      </c>
      <c r="AU1905" s="6" t="s">
        <v>20036</v>
      </c>
      <c r="AV1905" s="6" t="s">
        <v>104</v>
      </c>
      <c r="AW1905" s="6" t="s">
        <v>104</v>
      </c>
      <c r="AX1905" s="6" t="s">
        <v>21596</v>
      </c>
      <c r="AY1905" s="6" t="s">
        <v>104</v>
      </c>
      <c r="AZ1905" s="6" t="s">
        <v>104</v>
      </c>
      <c r="BA1905" s="6" t="s">
        <v>104</v>
      </c>
      <c r="BB1905" s="6" t="s">
        <v>104</v>
      </c>
      <c r="BC1905" s="26"/>
      <c r="BD1905" s="26"/>
      <c r="BE1905" s="26"/>
      <c r="BF1905" s="26"/>
      <c r="BG1905" s="26"/>
      <c r="BH1905" s="26" t="s">
        <v>24533</v>
      </c>
      <c r="BI1905" s="26"/>
      <c r="BJ1905" s="26"/>
      <c r="BK1905" s="26"/>
      <c r="BL1905" s="26"/>
      <c r="BM1905" s="26"/>
      <c r="BN1905" s="26"/>
      <c r="BO1905" s="26"/>
      <c r="BP1905" s="16" t="n">
        <v>45737</v>
      </c>
      <c r="BQ1905" s="28" t="str">
        <f>HYPERLINK("https://organic.ams.usda.gov/Integrity/Certificate.aspx?cid=71&amp;nopid=5520327810")</f>
        <v>https://organic.ams.usda.gov/Integrity/Certificate.aspx?cid=71&amp;nopid=5520327810</v>
      </c>
    </row>
    <row r="1906">
      <c r="A1906" t="s">
        <v>3</v>
      </c>
      <c r="B1906" s="6" t="s">
        <v>34</v>
      </c>
      <c r="C1906" s="6" t="s">
        <v>100</v>
      </c>
      <c r="D1906" s="6" t="s">
        <v>165</v>
      </c>
      <c r="E1906" s="10" t="s">
        <v>2104</v>
      </c>
      <c r="F1906" s="6" t="s">
        <v>4321</v>
      </c>
      <c r="G1906" s="6" t="s">
        <v>104</v>
      </c>
      <c r="H1906" s="6" t="s">
        <v>6617</v>
      </c>
      <c r="I1906" s="6" t="s">
        <v>7078</v>
      </c>
      <c r="J1906" s="6" t="s">
        <v>9492</v>
      </c>
      <c r="K1906" s="6" t="s">
        <v>9714</v>
      </c>
      <c r="L1906" s="16" t="n">
        <v>38932</v>
      </c>
      <c r="M1906" s="16" t="n">
        <v>45629</v>
      </c>
      <c r="N1906" s="6" t="s">
        <v>104</v>
      </c>
      <c r="O1906" s="21" t="s">
        <v>104</v>
      </c>
      <c r="P1906" s="6" t="s">
        <v>104</v>
      </c>
      <c r="Q1906" s="6" t="s">
        <v>104</v>
      </c>
      <c r="R1906" s="6" t="s">
        <v>104</v>
      </c>
      <c r="S1906" s="6" t="s">
        <v>104</v>
      </c>
      <c r="T1906" s="21" t="s">
        <v>104</v>
      </c>
      <c r="U1906" s="6" t="s">
        <v>104</v>
      </c>
      <c r="V1906" s="6" t="s">
        <v>104</v>
      </c>
      <c r="W1906" s="6" t="s">
        <v>104</v>
      </c>
      <c r="X1906" s="6" t="s">
        <v>104</v>
      </c>
      <c r="Y1906" s="21" t="s">
        <v>104</v>
      </c>
      <c r="Z1906" s="6" t="s">
        <v>104</v>
      </c>
      <c r="AA1906" s="6" t="s">
        <v>104</v>
      </c>
      <c r="AB1906" s="6" t="s">
        <v>104</v>
      </c>
      <c r="AC1906" s="6" t="s">
        <v>9714</v>
      </c>
      <c r="AD1906" s="16" t="n">
        <v>38932</v>
      </c>
      <c r="AE1906" s="6" t="s">
        <v>12184</v>
      </c>
      <c r="AF1906" s="6" t="s">
        <v>104</v>
      </c>
      <c r="AG1906" s="6" t="s">
        <v>13063</v>
      </c>
      <c r="AH1906" s="6" t="s">
        <v>14902</v>
      </c>
      <c r="AI1906" s="6" t="s">
        <v>104</v>
      </c>
      <c r="AJ1906" s="6" t="s">
        <v>16504</v>
      </c>
      <c r="AK1906" s="6" t="s">
        <v>16775</v>
      </c>
      <c r="AL1906" s="6" t="s">
        <v>16931</v>
      </c>
      <c r="AM1906" s="6" t="s">
        <v>18238</v>
      </c>
      <c r="AN1906" s="6" t="s">
        <v>18533</v>
      </c>
      <c r="AO1906" s="6" t="s">
        <v>18646</v>
      </c>
      <c r="AP1906" s="6" t="s">
        <v>14902</v>
      </c>
      <c r="AQ1906" s="6" t="s">
        <v>104</v>
      </c>
      <c r="AR1906" s="6" t="s">
        <v>16504</v>
      </c>
      <c r="AS1906" s="6" t="s">
        <v>16775</v>
      </c>
      <c r="AT1906" s="6" t="s">
        <v>16931</v>
      </c>
      <c r="AU1906" s="6" t="s">
        <v>18238</v>
      </c>
      <c r="AV1906" s="6" t="s">
        <v>104</v>
      </c>
      <c r="AW1906" s="6" t="s">
        <v>104</v>
      </c>
      <c r="AX1906" s="6" t="s">
        <v>21597</v>
      </c>
      <c r="AY1906" s="6" t="s">
        <v>23407</v>
      </c>
      <c r="AZ1906" s="6" t="s">
        <v>104</v>
      </c>
      <c r="BA1906" s="6" t="s">
        <v>104</v>
      </c>
      <c r="BB1906" s="6" t="s">
        <v>104</v>
      </c>
      <c r="BC1906" s="26"/>
      <c r="BD1906" s="26"/>
      <c r="BE1906" s="26"/>
      <c r="BF1906" s="26"/>
      <c r="BG1906" s="26"/>
      <c r="BH1906" s="26"/>
      <c r="BI1906" s="26"/>
      <c r="BJ1906" s="26"/>
      <c r="BK1906" s="26"/>
      <c r="BL1906" s="26"/>
      <c r="BM1906" s="26"/>
      <c r="BN1906" s="26"/>
      <c r="BO1906" s="26"/>
      <c r="BP1906" s="16" t="n">
        <v>45737</v>
      </c>
      <c r="BQ1906" s="28" t="str">
        <f>HYPERLINK("https://organic.ams.usda.gov/Integrity/Certificate.aspx?cid=71&amp;nopid=5520030314")</f>
        <v>https://organic.ams.usda.gov/Integrity/Certificate.aspx?cid=71&amp;nopid=5520030314</v>
      </c>
    </row>
    <row r="1907">
      <c r="A1907" t="s">
        <v>3</v>
      </c>
      <c r="B1907" s="6" t="s">
        <v>45</v>
      </c>
      <c r="C1907" s="6" t="s">
        <v>111</v>
      </c>
      <c r="D1907" s="6" t="s">
        <v>175</v>
      </c>
      <c r="E1907" s="10" t="s">
        <v>2105</v>
      </c>
      <c r="F1907" s="6" t="s">
        <v>4322</v>
      </c>
      <c r="G1907" s="6" t="s">
        <v>104</v>
      </c>
      <c r="H1907" s="6" t="s">
        <v>6618</v>
      </c>
      <c r="I1907" s="6" t="s">
        <v>7986</v>
      </c>
      <c r="J1907" s="6" t="s">
        <v>9493</v>
      </c>
      <c r="K1907" s="6" t="s">
        <v>9714</v>
      </c>
      <c r="L1907" s="16" t="n">
        <v>41597</v>
      </c>
      <c r="M1907" s="16" t="n">
        <v>46082</v>
      </c>
      <c r="N1907" s="6" t="s">
        <v>104</v>
      </c>
      <c r="O1907" s="21" t="s">
        <v>104</v>
      </c>
      <c r="P1907" s="6" t="s">
        <v>104</v>
      </c>
      <c r="Q1907" s="6" t="s">
        <v>104</v>
      </c>
      <c r="R1907" s="6" t="s">
        <v>104</v>
      </c>
      <c r="S1907" s="6" t="s">
        <v>104</v>
      </c>
      <c r="T1907" s="21" t="s">
        <v>104</v>
      </c>
      <c r="U1907" s="6" t="s">
        <v>104</v>
      </c>
      <c r="V1907" s="6" t="s">
        <v>104</v>
      </c>
      <c r="W1907" s="6" t="s">
        <v>104</v>
      </c>
      <c r="X1907" s="6" t="s">
        <v>104</v>
      </c>
      <c r="Y1907" s="21" t="s">
        <v>104</v>
      </c>
      <c r="Z1907" s="6" t="s">
        <v>104</v>
      </c>
      <c r="AA1907" s="6" t="s">
        <v>104</v>
      </c>
      <c r="AB1907" s="6" t="s">
        <v>104</v>
      </c>
      <c r="AC1907" s="6" t="s">
        <v>9714</v>
      </c>
      <c r="AD1907" s="16" t="n">
        <v>41597</v>
      </c>
      <c r="AE1907" s="6" t="s">
        <v>12185</v>
      </c>
      <c r="AF1907" s="6" t="s">
        <v>104</v>
      </c>
      <c r="AG1907" s="6" t="s">
        <v>4667</v>
      </c>
      <c r="AH1907" s="6" t="s">
        <v>14903</v>
      </c>
      <c r="AI1907" s="6" t="s">
        <v>104</v>
      </c>
      <c r="AJ1907" s="6" t="s">
        <v>15481</v>
      </c>
      <c r="AK1907" s="6" t="s">
        <v>16382</v>
      </c>
      <c r="AL1907" s="6" t="s">
        <v>16931</v>
      </c>
      <c r="AM1907" s="6" t="s">
        <v>17976</v>
      </c>
      <c r="AN1907" s="6" t="s">
        <v>104</v>
      </c>
      <c r="AO1907" s="6" t="s">
        <v>104</v>
      </c>
      <c r="AP1907" s="6" t="s">
        <v>19451</v>
      </c>
      <c r="AQ1907" s="6" t="s">
        <v>104</v>
      </c>
      <c r="AR1907" s="6" t="s">
        <v>15481</v>
      </c>
      <c r="AS1907" s="6" t="s">
        <v>16382</v>
      </c>
      <c r="AT1907" s="6" t="s">
        <v>16931</v>
      </c>
      <c r="AU1907" s="6" t="s">
        <v>17976</v>
      </c>
      <c r="AV1907" s="6" t="s">
        <v>18503</v>
      </c>
      <c r="AW1907" s="6" t="s">
        <v>18837</v>
      </c>
      <c r="AX1907" s="6" t="s">
        <v>21598</v>
      </c>
      <c r="AY1907" s="6" t="s">
        <v>23408</v>
      </c>
      <c r="AZ1907" s="6" t="s">
        <v>24164</v>
      </c>
      <c r="BA1907" s="6" t="s">
        <v>104</v>
      </c>
      <c r="BB1907" s="6" t="s">
        <v>104</v>
      </c>
      <c r="BC1907" s="26"/>
      <c r="BD1907" s="26"/>
      <c r="BE1907" s="26" t="s">
        <v>24533</v>
      </c>
      <c r="BF1907" s="26"/>
      <c r="BG1907" s="26"/>
      <c r="BH1907" s="26"/>
      <c r="BI1907" s="26"/>
      <c r="BJ1907" s="26"/>
      <c r="BK1907" s="26"/>
      <c r="BL1907" s="26"/>
      <c r="BM1907" s="26"/>
      <c r="BN1907" s="26"/>
      <c r="BO1907" s="26"/>
      <c r="BP1907" s="16" t="n">
        <v>45739</v>
      </c>
      <c r="BQ1907" s="28" t="str">
        <f>HYPERLINK("https://organic.ams.usda.gov/Integrity/Certificate.aspx?cid=82&amp;nopid=2780002832")</f>
        <v>https://organic.ams.usda.gov/Integrity/Certificate.aspx?cid=82&amp;nopid=2780002832</v>
      </c>
    </row>
    <row r="1908">
      <c r="A1908" t="s">
        <v>3</v>
      </c>
      <c r="B1908" s="6" t="s">
        <v>36</v>
      </c>
      <c r="C1908" s="6" t="s">
        <v>102</v>
      </c>
      <c r="D1908" s="6" t="s">
        <v>167</v>
      </c>
      <c r="E1908" s="10" t="s">
        <v>2106</v>
      </c>
      <c r="F1908" s="6" t="s">
        <v>4323</v>
      </c>
      <c r="G1908" s="6" t="s">
        <v>104</v>
      </c>
      <c r="H1908" s="6" t="s">
        <v>6619</v>
      </c>
      <c r="I1908" s="6" t="s">
        <v>6978</v>
      </c>
      <c r="J1908" s="6" t="s">
        <v>8191</v>
      </c>
      <c r="K1908" s="6" t="s">
        <v>9714</v>
      </c>
      <c r="L1908" s="16" t="n">
        <v>44152</v>
      </c>
      <c r="M1908" s="16" t="n">
        <v>45808</v>
      </c>
      <c r="N1908" s="6" t="s">
        <v>104</v>
      </c>
      <c r="O1908" s="21" t="s">
        <v>104</v>
      </c>
      <c r="P1908" s="6" t="s">
        <v>104</v>
      </c>
      <c r="Q1908" s="6" t="s">
        <v>104</v>
      </c>
      <c r="R1908" s="6" t="s">
        <v>104</v>
      </c>
      <c r="S1908" s="6" t="s">
        <v>104</v>
      </c>
      <c r="T1908" s="21" t="s">
        <v>104</v>
      </c>
      <c r="U1908" s="6" t="s">
        <v>104</v>
      </c>
      <c r="V1908" s="6" t="s">
        <v>104</v>
      </c>
      <c r="W1908" s="6" t="s">
        <v>104</v>
      </c>
      <c r="X1908" s="6" t="s">
        <v>104</v>
      </c>
      <c r="Y1908" s="21" t="s">
        <v>104</v>
      </c>
      <c r="Z1908" s="6" t="s">
        <v>104</v>
      </c>
      <c r="AA1908" s="6" t="s">
        <v>104</v>
      </c>
      <c r="AB1908" s="6" t="s">
        <v>104</v>
      </c>
      <c r="AC1908" s="6" t="s">
        <v>9714</v>
      </c>
      <c r="AD1908" s="16" t="n">
        <v>44152</v>
      </c>
      <c r="AE1908" s="6" t="s">
        <v>12186</v>
      </c>
      <c r="AF1908" s="6" t="s">
        <v>104</v>
      </c>
      <c r="AG1908" s="6" t="s">
        <v>104</v>
      </c>
      <c r="AH1908" s="6" t="s">
        <v>13224</v>
      </c>
      <c r="AI1908" s="6" t="s">
        <v>104</v>
      </c>
      <c r="AJ1908" s="6" t="s">
        <v>15415</v>
      </c>
      <c r="AK1908" s="6" t="s">
        <v>16705</v>
      </c>
      <c r="AL1908" s="6" t="s">
        <v>16931</v>
      </c>
      <c r="AM1908" s="6" t="s">
        <v>17042</v>
      </c>
      <c r="AN1908" s="6" t="s">
        <v>17550</v>
      </c>
      <c r="AO1908" s="6" t="s">
        <v>18702</v>
      </c>
      <c r="AP1908" s="6" t="s">
        <v>19452</v>
      </c>
      <c r="AQ1908" s="6" t="s">
        <v>104</v>
      </c>
      <c r="AR1908" s="6" t="s">
        <v>15415</v>
      </c>
      <c r="AS1908" s="6" t="s">
        <v>16705</v>
      </c>
      <c r="AT1908" s="6" t="s">
        <v>16931</v>
      </c>
      <c r="AU1908" s="6" t="s">
        <v>20037</v>
      </c>
      <c r="AV1908" s="6" t="s">
        <v>104</v>
      </c>
      <c r="AW1908" s="6" t="s">
        <v>104</v>
      </c>
      <c r="AX1908" s="6" t="s">
        <v>20180</v>
      </c>
      <c r="AY1908" s="6" t="s">
        <v>23409</v>
      </c>
      <c r="AZ1908" s="6" t="s">
        <v>104</v>
      </c>
      <c r="BA1908" s="6" t="s">
        <v>104</v>
      </c>
      <c r="BB1908" s="6" t="s">
        <v>104</v>
      </c>
      <c r="BC1908" s="26"/>
      <c r="BD1908" s="26"/>
      <c r="BE1908" s="26"/>
      <c r="BF1908" s="26"/>
      <c r="BG1908" s="26"/>
      <c r="BH1908" s="26"/>
      <c r="BI1908" s="26"/>
      <c r="BJ1908" s="26"/>
      <c r="BK1908" s="26"/>
      <c r="BL1908" s="26"/>
      <c r="BM1908" s="26"/>
      <c r="BN1908" s="26" t="s">
        <v>24533</v>
      </c>
      <c r="BO1908" s="26"/>
      <c r="BP1908" s="16" t="n">
        <v>45729</v>
      </c>
      <c r="BQ1908" s="28" t="str">
        <f>HYPERLINK("https://organic.ams.usda.gov/Integrity/Certificate.aspx?cid=61&amp;nopid=7270001664")</f>
        <v>https://organic.ams.usda.gov/Integrity/Certificate.aspx?cid=61&amp;nopid=7270001664</v>
      </c>
    </row>
    <row r="1909">
      <c r="A1909" t="s">
        <v>3</v>
      </c>
      <c r="B1909" s="6" t="s">
        <v>53</v>
      </c>
      <c r="C1909" s="6" t="s">
        <v>119</v>
      </c>
      <c r="D1909" s="6" t="s">
        <v>183</v>
      </c>
      <c r="E1909" s="10" t="s">
        <v>2107</v>
      </c>
      <c r="F1909" s="6" t="s">
        <v>4324</v>
      </c>
      <c r="G1909" s="6" t="s">
        <v>104</v>
      </c>
      <c r="H1909" s="6" t="s">
        <v>104</v>
      </c>
      <c r="I1909" s="6" t="s">
        <v>7987</v>
      </c>
      <c r="J1909" s="6" t="s">
        <v>7441</v>
      </c>
      <c r="K1909" s="6" t="s">
        <v>9714</v>
      </c>
      <c r="L1909" s="16" t="n">
        <v>45551</v>
      </c>
      <c r="M1909" s="16" t="n">
        <v>45916</v>
      </c>
      <c r="N1909" s="6" t="s">
        <v>104</v>
      </c>
      <c r="O1909" s="21" t="s">
        <v>104</v>
      </c>
      <c r="P1909" s="6" t="s">
        <v>104</v>
      </c>
      <c r="Q1909" s="6" t="s">
        <v>104</v>
      </c>
      <c r="R1909" s="6" t="s">
        <v>104</v>
      </c>
      <c r="S1909" s="6" t="s">
        <v>104</v>
      </c>
      <c r="T1909" s="21" t="s">
        <v>104</v>
      </c>
      <c r="U1909" s="6" t="s">
        <v>104</v>
      </c>
      <c r="V1909" s="6" t="s">
        <v>104</v>
      </c>
      <c r="W1909" s="6" t="s">
        <v>104</v>
      </c>
      <c r="X1909" s="6" t="s">
        <v>104</v>
      </c>
      <c r="Y1909" s="21" t="s">
        <v>104</v>
      </c>
      <c r="Z1909" s="6" t="s">
        <v>104</v>
      </c>
      <c r="AA1909" s="6" t="s">
        <v>104</v>
      </c>
      <c r="AB1909" s="6" t="s">
        <v>104</v>
      </c>
      <c r="AC1909" s="6" t="s">
        <v>9714</v>
      </c>
      <c r="AD1909" s="16" t="n">
        <v>45551</v>
      </c>
      <c r="AE1909" s="6" t="s">
        <v>12187</v>
      </c>
      <c r="AF1909" s="6" t="s">
        <v>104</v>
      </c>
      <c r="AG1909" s="6" t="s">
        <v>104</v>
      </c>
      <c r="AH1909" s="6" t="s">
        <v>14904</v>
      </c>
      <c r="AI1909" s="6" t="s">
        <v>104</v>
      </c>
      <c r="AJ1909" s="6" t="s">
        <v>7992</v>
      </c>
      <c r="AK1909" s="6" t="s">
        <v>16684</v>
      </c>
      <c r="AL1909" s="6" t="s">
        <v>16931</v>
      </c>
      <c r="AM1909" s="6" t="s">
        <v>18239</v>
      </c>
      <c r="AN1909" s="6" t="s">
        <v>104</v>
      </c>
      <c r="AO1909" s="6" t="s">
        <v>104</v>
      </c>
      <c r="AP1909" s="6" t="s">
        <v>104</v>
      </c>
      <c r="AQ1909" s="6" t="s">
        <v>104</v>
      </c>
      <c r="AR1909" s="6" t="s">
        <v>104</v>
      </c>
      <c r="AS1909" s="6" t="s">
        <v>104</v>
      </c>
      <c r="AT1909" s="6" t="s">
        <v>104</v>
      </c>
      <c r="AU1909" s="6" t="s">
        <v>104</v>
      </c>
      <c r="AV1909" s="6" t="s">
        <v>104</v>
      </c>
      <c r="AW1909" s="6" t="s">
        <v>104</v>
      </c>
      <c r="AX1909" s="6" t="s">
        <v>21599</v>
      </c>
      <c r="AY1909" s="6" t="s">
        <v>23410</v>
      </c>
      <c r="AZ1909" s="6" t="s">
        <v>24165</v>
      </c>
      <c r="BA1909" s="6" t="s">
        <v>104</v>
      </c>
      <c r="BB1909" s="6" t="s">
        <v>104</v>
      </c>
      <c r="BC1909" s="26"/>
      <c r="BD1909" s="26"/>
      <c r="BE1909" s="26"/>
      <c r="BF1909" s="26"/>
      <c r="BG1909" s="26"/>
      <c r="BH1909" s="26"/>
      <c r="BI1909" s="26"/>
      <c r="BJ1909" s="26"/>
      <c r="BK1909" s="26"/>
      <c r="BL1909" s="26"/>
      <c r="BM1909" s="26"/>
      <c r="BN1909" s="26"/>
      <c r="BO1909" s="26"/>
      <c r="BP1909" s="16" t="n">
        <v>45685</v>
      </c>
      <c r="BQ1909" s="28" t="str">
        <f>HYPERLINK("https://organic.ams.usda.gov/Integrity/Certificate.aspx?cid=74&amp;nopid=5350000353")</f>
        <v>https://organic.ams.usda.gov/Integrity/Certificate.aspx?cid=74&amp;nopid=5350000353</v>
      </c>
    </row>
    <row r="1910">
      <c r="A1910" t="s">
        <v>3</v>
      </c>
      <c r="B1910" s="6" t="s">
        <v>14</v>
      </c>
      <c r="C1910" s="6" t="s">
        <v>80</v>
      </c>
      <c r="D1910" s="6" t="s">
        <v>145</v>
      </c>
      <c r="E1910" s="10" t="s">
        <v>2108</v>
      </c>
      <c r="F1910" s="6" t="s">
        <v>4325</v>
      </c>
      <c r="G1910" s="6" t="s">
        <v>104</v>
      </c>
      <c r="H1910" s="6" t="s">
        <v>6620</v>
      </c>
      <c r="I1910" s="6" t="s">
        <v>7988</v>
      </c>
      <c r="J1910" s="6" t="s">
        <v>7988</v>
      </c>
      <c r="K1910" s="6" t="s">
        <v>9714</v>
      </c>
      <c r="L1910" s="16" t="n">
        <v>45251</v>
      </c>
      <c r="M1910" s="16" t="n">
        <v>45898</v>
      </c>
      <c r="N1910" s="6" t="s">
        <v>104</v>
      </c>
      <c r="O1910" s="21" t="s">
        <v>104</v>
      </c>
      <c r="P1910" s="6" t="s">
        <v>104</v>
      </c>
      <c r="Q1910" s="6" t="s">
        <v>104</v>
      </c>
      <c r="R1910" s="6" t="s">
        <v>104</v>
      </c>
      <c r="S1910" s="6" t="s">
        <v>104</v>
      </c>
      <c r="T1910" s="21" t="s">
        <v>104</v>
      </c>
      <c r="U1910" s="6" t="s">
        <v>104</v>
      </c>
      <c r="V1910" s="6" t="s">
        <v>104</v>
      </c>
      <c r="W1910" s="6" t="s">
        <v>104</v>
      </c>
      <c r="X1910" s="6" t="s">
        <v>104</v>
      </c>
      <c r="Y1910" s="21" t="s">
        <v>104</v>
      </c>
      <c r="Z1910" s="6" t="s">
        <v>104</v>
      </c>
      <c r="AA1910" s="6" t="s">
        <v>104</v>
      </c>
      <c r="AB1910" s="6" t="s">
        <v>104</v>
      </c>
      <c r="AC1910" s="6" t="s">
        <v>9714</v>
      </c>
      <c r="AD1910" s="16" t="n">
        <v>45251</v>
      </c>
      <c r="AE1910" s="6" t="s">
        <v>12188</v>
      </c>
      <c r="AF1910" s="6" t="s">
        <v>104</v>
      </c>
      <c r="AG1910" s="6" t="s">
        <v>104</v>
      </c>
      <c r="AH1910" s="6" t="s">
        <v>14905</v>
      </c>
      <c r="AI1910" s="6" t="s">
        <v>104</v>
      </c>
      <c r="AJ1910" s="6" t="s">
        <v>16505</v>
      </c>
      <c r="AK1910" s="6" t="s">
        <v>16894</v>
      </c>
      <c r="AL1910" s="6" t="s">
        <v>16936</v>
      </c>
      <c r="AM1910" s="6" t="s">
        <v>104</v>
      </c>
      <c r="AN1910" s="6" t="s">
        <v>104</v>
      </c>
      <c r="AO1910" s="6" t="s">
        <v>104</v>
      </c>
      <c r="AP1910" s="6" t="s">
        <v>104</v>
      </c>
      <c r="AQ1910" s="6" t="s">
        <v>104</v>
      </c>
      <c r="AR1910" s="6" t="s">
        <v>104</v>
      </c>
      <c r="AS1910" s="6" t="s">
        <v>104</v>
      </c>
      <c r="AT1910" s="6" t="s">
        <v>104</v>
      </c>
      <c r="AU1910" s="6" t="s">
        <v>104</v>
      </c>
      <c r="AV1910" s="6" t="s">
        <v>104</v>
      </c>
      <c r="AW1910" s="6" t="s">
        <v>104</v>
      </c>
      <c r="AX1910" s="6" t="s">
        <v>104</v>
      </c>
      <c r="AY1910" s="6" t="s">
        <v>23411</v>
      </c>
      <c r="AZ1910" s="6" t="s">
        <v>104</v>
      </c>
      <c r="BA1910" s="6" t="s">
        <v>104</v>
      </c>
      <c r="BB1910" s="6" t="s">
        <v>104</v>
      </c>
      <c r="BC1910" s="26"/>
      <c r="BD1910" s="26"/>
      <c r="BE1910" s="26"/>
      <c r="BF1910" s="26"/>
      <c r="BG1910" s="26"/>
      <c r="BH1910" s="26" t="s">
        <v>24533</v>
      </c>
      <c r="BI1910" s="26"/>
      <c r="BJ1910" s="26"/>
      <c r="BK1910" s="26"/>
      <c r="BL1910" s="26"/>
      <c r="BM1910" s="26"/>
      <c r="BN1910" s="26"/>
      <c r="BO1910" s="26"/>
      <c r="BP1910" s="16" t="n">
        <v>45617</v>
      </c>
      <c r="BQ1910" s="28" t="str">
        <f>HYPERLINK("https://organic.ams.usda.gov/Integrity/Certificate.aspx?cid=89&amp;nopid=4920006527")</f>
        <v>https://organic.ams.usda.gov/Integrity/Certificate.aspx?cid=89&amp;nopid=4920006527</v>
      </c>
    </row>
    <row r="1911">
      <c r="A1911" t="s">
        <v>3</v>
      </c>
      <c r="B1911" s="6" t="s">
        <v>11</v>
      </c>
      <c r="C1911" s="6" t="s">
        <v>77</v>
      </c>
      <c r="D1911" s="6" t="s">
        <v>142</v>
      </c>
      <c r="E1911" s="10" t="s">
        <v>2109</v>
      </c>
      <c r="F1911" s="6" t="s">
        <v>4326</v>
      </c>
      <c r="G1911" s="6" t="s">
        <v>104</v>
      </c>
      <c r="H1911" s="6" t="s">
        <v>2109</v>
      </c>
      <c r="I1911" s="6" t="s">
        <v>7989</v>
      </c>
      <c r="J1911" s="6" t="s">
        <v>9494</v>
      </c>
      <c r="K1911" s="6" t="s">
        <v>9714</v>
      </c>
      <c r="L1911" s="16" t="n">
        <v>44606</v>
      </c>
      <c r="M1911" s="16" t="n">
        <v>45675</v>
      </c>
      <c r="N1911" s="6" t="s">
        <v>104</v>
      </c>
      <c r="O1911" s="21" t="s">
        <v>104</v>
      </c>
      <c r="P1911" s="6" t="s">
        <v>104</v>
      </c>
      <c r="Q1911" s="6" t="s">
        <v>104</v>
      </c>
      <c r="R1911" s="6" t="s">
        <v>104</v>
      </c>
      <c r="S1911" s="6" t="s">
        <v>104</v>
      </c>
      <c r="T1911" s="21" t="s">
        <v>104</v>
      </c>
      <c r="U1911" s="6" t="s">
        <v>104</v>
      </c>
      <c r="V1911" s="6" t="s">
        <v>104</v>
      </c>
      <c r="W1911" s="6" t="s">
        <v>104</v>
      </c>
      <c r="X1911" s="6" t="s">
        <v>104</v>
      </c>
      <c r="Y1911" s="21" t="s">
        <v>104</v>
      </c>
      <c r="Z1911" s="6" t="s">
        <v>104</v>
      </c>
      <c r="AA1911" s="6" t="s">
        <v>104</v>
      </c>
      <c r="AB1911" s="6" t="s">
        <v>104</v>
      </c>
      <c r="AC1911" s="6" t="s">
        <v>9714</v>
      </c>
      <c r="AD1911" s="16" t="n">
        <v>44606</v>
      </c>
      <c r="AE1911" s="6" t="s">
        <v>12189</v>
      </c>
      <c r="AF1911" s="6" t="s">
        <v>104</v>
      </c>
      <c r="AG1911" s="6" t="s">
        <v>13064</v>
      </c>
      <c r="AH1911" s="6" t="s">
        <v>14906</v>
      </c>
      <c r="AI1911" s="6" t="s">
        <v>104</v>
      </c>
      <c r="AJ1911" s="6" t="s">
        <v>15365</v>
      </c>
      <c r="AK1911" s="6" t="s">
        <v>16682</v>
      </c>
      <c r="AL1911" s="6" t="s">
        <v>16932</v>
      </c>
      <c r="AM1911" s="6" t="s">
        <v>18240</v>
      </c>
      <c r="AN1911" s="6" t="s">
        <v>104</v>
      </c>
      <c r="AO1911" s="6" t="s">
        <v>104</v>
      </c>
      <c r="AP1911" s="6" t="s">
        <v>19453</v>
      </c>
      <c r="AQ1911" s="6" t="s">
        <v>104</v>
      </c>
      <c r="AR1911" s="6" t="s">
        <v>15365</v>
      </c>
      <c r="AS1911" s="6" t="s">
        <v>16682</v>
      </c>
      <c r="AT1911" s="6" t="s">
        <v>16932</v>
      </c>
      <c r="AU1911" s="6" t="s">
        <v>18240</v>
      </c>
      <c r="AV1911" s="6" t="s">
        <v>104</v>
      </c>
      <c r="AW1911" s="6" t="s">
        <v>104</v>
      </c>
      <c r="AX1911" s="6" t="s">
        <v>21600</v>
      </c>
      <c r="AY1911" s="6" t="s">
        <v>23412</v>
      </c>
      <c r="AZ1911" s="6" t="s">
        <v>104</v>
      </c>
      <c r="BA1911" s="6" t="s">
        <v>104</v>
      </c>
      <c r="BB1911" s="6" t="s">
        <v>104</v>
      </c>
      <c r="BC1911" s="26"/>
      <c r="BD1911" s="26"/>
      <c r="BE1911" s="26"/>
      <c r="BF1911" s="26"/>
      <c r="BG1911" s="26"/>
      <c r="BH1911" s="26"/>
      <c r="BI1911" s="26"/>
      <c r="BJ1911" s="26"/>
      <c r="BK1911" s="26"/>
      <c r="BL1911" s="26"/>
      <c r="BM1911" s="26"/>
      <c r="BN1911" s="26" t="s">
        <v>24533</v>
      </c>
      <c r="BO1911" s="26"/>
      <c r="BP1911" s="16" t="n">
        <v>45608</v>
      </c>
      <c r="BQ1911" s="28" t="str">
        <f>HYPERLINK("https://organic.ams.usda.gov/Integrity/Certificate.aspx?cid=21&amp;nopid=1780881605")</f>
        <v>https://organic.ams.usda.gov/Integrity/Certificate.aspx?cid=21&amp;nopid=1780881605</v>
      </c>
    </row>
    <row r="1912">
      <c r="A1912" t="s">
        <v>3</v>
      </c>
      <c r="B1912" s="6" t="s">
        <v>14</v>
      </c>
      <c r="C1912" s="6" t="s">
        <v>80</v>
      </c>
      <c r="D1912" s="6" t="s">
        <v>145</v>
      </c>
      <c r="E1912" s="10" t="s">
        <v>2110</v>
      </c>
      <c r="F1912" s="6" t="s">
        <v>4326</v>
      </c>
      <c r="G1912" s="6" t="s">
        <v>104</v>
      </c>
      <c r="H1912" s="6" t="s">
        <v>6621</v>
      </c>
      <c r="I1912" s="6" t="s">
        <v>104</v>
      </c>
      <c r="J1912" s="6" t="s">
        <v>104</v>
      </c>
      <c r="K1912" s="6" t="s">
        <v>9714</v>
      </c>
      <c r="L1912" s="16" t="n">
        <v>45467</v>
      </c>
      <c r="M1912" s="16" t="n">
        <v>45640</v>
      </c>
      <c r="N1912" s="6" t="s">
        <v>104</v>
      </c>
      <c r="O1912" s="21" t="s">
        <v>104</v>
      </c>
      <c r="P1912" s="6" t="s">
        <v>104</v>
      </c>
      <c r="Q1912" s="6" t="s">
        <v>104</v>
      </c>
      <c r="R1912" s="6" t="s">
        <v>104</v>
      </c>
      <c r="S1912" s="6" t="s">
        <v>104</v>
      </c>
      <c r="T1912" s="21" t="s">
        <v>104</v>
      </c>
      <c r="U1912" s="6" t="s">
        <v>104</v>
      </c>
      <c r="V1912" s="6" t="s">
        <v>104</v>
      </c>
      <c r="W1912" s="6" t="s">
        <v>104</v>
      </c>
      <c r="X1912" s="6" t="s">
        <v>104</v>
      </c>
      <c r="Y1912" s="21" t="s">
        <v>104</v>
      </c>
      <c r="Z1912" s="6" t="s">
        <v>104</v>
      </c>
      <c r="AA1912" s="6" t="s">
        <v>104</v>
      </c>
      <c r="AB1912" s="6" t="s">
        <v>104</v>
      </c>
      <c r="AC1912" s="6" t="s">
        <v>9714</v>
      </c>
      <c r="AD1912" s="16" t="n">
        <v>45467</v>
      </c>
      <c r="AE1912" s="6" t="s">
        <v>12190</v>
      </c>
      <c r="AF1912" s="6" t="s">
        <v>104</v>
      </c>
      <c r="AG1912" s="6" t="s">
        <v>104</v>
      </c>
      <c r="AH1912" s="6" t="s">
        <v>14907</v>
      </c>
      <c r="AI1912" s="6" t="s">
        <v>104</v>
      </c>
      <c r="AJ1912" s="6" t="s">
        <v>15365</v>
      </c>
      <c r="AK1912" s="6" t="s">
        <v>16682</v>
      </c>
      <c r="AL1912" s="6" t="s">
        <v>16932</v>
      </c>
      <c r="AM1912" s="6" t="s">
        <v>18241</v>
      </c>
      <c r="AN1912" s="6" t="s">
        <v>104</v>
      </c>
      <c r="AO1912" s="6" t="s">
        <v>104</v>
      </c>
      <c r="AP1912" s="6" t="s">
        <v>104</v>
      </c>
      <c r="AQ1912" s="6" t="s">
        <v>104</v>
      </c>
      <c r="AR1912" s="6" t="s">
        <v>104</v>
      </c>
      <c r="AS1912" s="6" t="s">
        <v>104</v>
      </c>
      <c r="AT1912" s="6" t="s">
        <v>104</v>
      </c>
      <c r="AU1912" s="6" t="s">
        <v>104</v>
      </c>
      <c r="AV1912" s="6" t="s">
        <v>104</v>
      </c>
      <c r="AW1912" s="6" t="s">
        <v>104</v>
      </c>
      <c r="AX1912" s="6" t="s">
        <v>21601</v>
      </c>
      <c r="AY1912" s="6" t="s">
        <v>104</v>
      </c>
      <c r="AZ1912" s="6" t="s">
        <v>104</v>
      </c>
      <c r="BA1912" s="6" t="s">
        <v>104</v>
      </c>
      <c r="BB1912" s="6" t="s">
        <v>104</v>
      </c>
      <c r="BC1912" s="26"/>
      <c r="BD1912" s="26"/>
      <c r="BE1912" s="26"/>
      <c r="BF1912" s="26"/>
      <c r="BG1912" s="26"/>
      <c r="BH1912" s="26"/>
      <c r="BI1912" s="26"/>
      <c r="BJ1912" s="26"/>
      <c r="BK1912" s="26"/>
      <c r="BL1912" s="26"/>
      <c r="BM1912" s="26"/>
      <c r="BN1912" s="26"/>
      <c r="BO1912" s="26"/>
      <c r="BP1912" s="16" t="n">
        <v>45662</v>
      </c>
      <c r="BQ1912" s="28" t="str">
        <f>HYPERLINK("https://organic.ams.usda.gov/Integrity/Certificate.aspx?cid=89&amp;nopid=4920006733")</f>
        <v>https://organic.ams.usda.gov/Integrity/Certificate.aspx?cid=89&amp;nopid=4920006733</v>
      </c>
    </row>
    <row r="1913">
      <c r="A1913" t="s">
        <v>3</v>
      </c>
      <c r="B1913" s="6" t="s">
        <v>14</v>
      </c>
      <c r="C1913" s="6" t="s">
        <v>80</v>
      </c>
      <c r="D1913" s="6" t="s">
        <v>145</v>
      </c>
      <c r="E1913" s="10" t="s">
        <v>2111</v>
      </c>
      <c r="F1913" s="6" t="s">
        <v>4326</v>
      </c>
      <c r="G1913" s="6" t="s">
        <v>104</v>
      </c>
      <c r="H1913" s="6" t="s">
        <v>6622</v>
      </c>
      <c r="I1913" s="6" t="s">
        <v>104</v>
      </c>
      <c r="J1913" s="6" t="s">
        <v>104</v>
      </c>
      <c r="K1913" s="6" t="s">
        <v>9714</v>
      </c>
      <c r="L1913" s="16" t="n">
        <v>45409</v>
      </c>
      <c r="M1913" s="16" t="n">
        <v>46003</v>
      </c>
      <c r="N1913" s="6" t="s">
        <v>104</v>
      </c>
      <c r="O1913" s="21" t="s">
        <v>104</v>
      </c>
      <c r="P1913" s="6" t="s">
        <v>104</v>
      </c>
      <c r="Q1913" s="6" t="s">
        <v>104</v>
      </c>
      <c r="R1913" s="6" t="s">
        <v>104</v>
      </c>
      <c r="S1913" s="6" t="s">
        <v>104</v>
      </c>
      <c r="T1913" s="21" t="s">
        <v>104</v>
      </c>
      <c r="U1913" s="6" t="s">
        <v>104</v>
      </c>
      <c r="V1913" s="6" t="s">
        <v>104</v>
      </c>
      <c r="W1913" s="6" t="s">
        <v>104</v>
      </c>
      <c r="X1913" s="6" t="s">
        <v>104</v>
      </c>
      <c r="Y1913" s="21" t="s">
        <v>104</v>
      </c>
      <c r="Z1913" s="6" t="s">
        <v>104</v>
      </c>
      <c r="AA1913" s="6" t="s">
        <v>104</v>
      </c>
      <c r="AB1913" s="6" t="s">
        <v>104</v>
      </c>
      <c r="AC1913" s="6" t="s">
        <v>9714</v>
      </c>
      <c r="AD1913" s="16" t="n">
        <v>45409</v>
      </c>
      <c r="AE1913" s="6" t="s">
        <v>12191</v>
      </c>
      <c r="AF1913" s="6" t="s">
        <v>104</v>
      </c>
      <c r="AG1913" s="6" t="s">
        <v>104</v>
      </c>
      <c r="AH1913" s="6" t="s">
        <v>14908</v>
      </c>
      <c r="AI1913" s="6" t="s">
        <v>104</v>
      </c>
      <c r="AJ1913" s="6" t="s">
        <v>15365</v>
      </c>
      <c r="AK1913" s="6" t="s">
        <v>16682</v>
      </c>
      <c r="AL1913" s="6" t="s">
        <v>16932</v>
      </c>
      <c r="AM1913" s="6" t="s">
        <v>18242</v>
      </c>
      <c r="AN1913" s="6" t="s">
        <v>104</v>
      </c>
      <c r="AO1913" s="6" t="s">
        <v>104</v>
      </c>
      <c r="AP1913" s="6" t="s">
        <v>104</v>
      </c>
      <c r="AQ1913" s="6" t="s">
        <v>104</v>
      </c>
      <c r="AR1913" s="6" t="s">
        <v>104</v>
      </c>
      <c r="AS1913" s="6" t="s">
        <v>104</v>
      </c>
      <c r="AT1913" s="6" t="s">
        <v>104</v>
      </c>
      <c r="AU1913" s="6" t="s">
        <v>104</v>
      </c>
      <c r="AV1913" s="6" t="s">
        <v>104</v>
      </c>
      <c r="AW1913" s="6" t="s">
        <v>104</v>
      </c>
      <c r="AX1913" s="6" t="s">
        <v>21601</v>
      </c>
      <c r="AY1913" s="6" t="s">
        <v>104</v>
      </c>
      <c r="AZ1913" s="6" t="s">
        <v>104</v>
      </c>
      <c r="BA1913" s="6" t="s">
        <v>104</v>
      </c>
      <c r="BB1913" s="6" t="s">
        <v>104</v>
      </c>
      <c r="BC1913" s="26"/>
      <c r="BD1913" s="26"/>
      <c r="BE1913" s="26"/>
      <c r="BF1913" s="26"/>
      <c r="BG1913" s="26"/>
      <c r="BH1913" s="26"/>
      <c r="BI1913" s="26"/>
      <c r="BJ1913" s="26"/>
      <c r="BK1913" s="26"/>
      <c r="BL1913" s="26"/>
      <c r="BM1913" s="26"/>
      <c r="BN1913" s="26"/>
      <c r="BO1913" s="26"/>
      <c r="BP1913" s="16" t="n">
        <v>45726</v>
      </c>
      <c r="BQ1913" s="28" t="str">
        <f>HYPERLINK("https://organic.ams.usda.gov/Integrity/Certificate.aspx?cid=89&amp;nopid=4920006734")</f>
        <v>https://organic.ams.usda.gov/Integrity/Certificate.aspx?cid=89&amp;nopid=4920006734</v>
      </c>
    </row>
    <row r="1914">
      <c r="A1914" t="s">
        <v>3</v>
      </c>
      <c r="B1914" s="6" t="s">
        <v>53</v>
      </c>
      <c r="C1914" s="6" t="s">
        <v>119</v>
      </c>
      <c r="D1914" s="6" t="s">
        <v>183</v>
      </c>
      <c r="E1914" s="10" t="s">
        <v>2112</v>
      </c>
      <c r="F1914" s="6" t="s">
        <v>4327</v>
      </c>
      <c r="G1914" s="6" t="s">
        <v>104</v>
      </c>
      <c r="H1914" s="6" t="s">
        <v>104</v>
      </c>
      <c r="I1914" s="6" t="s">
        <v>7990</v>
      </c>
      <c r="J1914" s="6" t="s">
        <v>9211</v>
      </c>
      <c r="K1914" s="6" t="s">
        <v>9714</v>
      </c>
      <c r="L1914" s="16" t="n">
        <v>45308</v>
      </c>
      <c r="M1914" s="16" t="n">
        <v>45674</v>
      </c>
      <c r="N1914" s="6" t="s">
        <v>104</v>
      </c>
      <c r="O1914" s="21" t="s">
        <v>104</v>
      </c>
      <c r="P1914" s="6" t="s">
        <v>104</v>
      </c>
      <c r="Q1914" s="6" t="s">
        <v>104</v>
      </c>
      <c r="R1914" s="6" t="s">
        <v>104</v>
      </c>
      <c r="S1914" s="6" t="s">
        <v>104</v>
      </c>
      <c r="T1914" s="21" t="s">
        <v>104</v>
      </c>
      <c r="U1914" s="6" t="s">
        <v>104</v>
      </c>
      <c r="V1914" s="6" t="s">
        <v>104</v>
      </c>
      <c r="W1914" s="6" t="s">
        <v>104</v>
      </c>
      <c r="X1914" s="6" t="s">
        <v>104</v>
      </c>
      <c r="Y1914" s="21" t="s">
        <v>104</v>
      </c>
      <c r="Z1914" s="6" t="s">
        <v>104</v>
      </c>
      <c r="AA1914" s="6" t="s">
        <v>104</v>
      </c>
      <c r="AB1914" s="6" t="s">
        <v>104</v>
      </c>
      <c r="AC1914" s="6" t="s">
        <v>9714</v>
      </c>
      <c r="AD1914" s="16" t="n">
        <v>45308</v>
      </c>
      <c r="AE1914" s="6" t="s">
        <v>12192</v>
      </c>
      <c r="AF1914" s="6" t="s">
        <v>104</v>
      </c>
      <c r="AG1914" s="6" t="s">
        <v>104</v>
      </c>
      <c r="AH1914" s="6" t="s">
        <v>14909</v>
      </c>
      <c r="AI1914" s="6" t="s">
        <v>104</v>
      </c>
      <c r="AJ1914" s="6" t="s">
        <v>16506</v>
      </c>
      <c r="AK1914" s="6" t="s">
        <v>16684</v>
      </c>
      <c r="AL1914" s="6" t="s">
        <v>16931</v>
      </c>
      <c r="AM1914" s="6" t="s">
        <v>18243</v>
      </c>
      <c r="AN1914" s="6" t="s">
        <v>104</v>
      </c>
      <c r="AO1914" s="6" t="s">
        <v>104</v>
      </c>
      <c r="AP1914" s="6" t="s">
        <v>104</v>
      </c>
      <c r="AQ1914" s="6" t="s">
        <v>104</v>
      </c>
      <c r="AR1914" s="6" t="s">
        <v>104</v>
      </c>
      <c r="AS1914" s="6" t="s">
        <v>104</v>
      </c>
      <c r="AT1914" s="6" t="s">
        <v>104</v>
      </c>
      <c r="AU1914" s="6" t="s">
        <v>104</v>
      </c>
      <c r="AV1914" s="6" t="s">
        <v>104</v>
      </c>
      <c r="AW1914" s="6" t="s">
        <v>104</v>
      </c>
      <c r="AX1914" s="6" t="s">
        <v>104</v>
      </c>
      <c r="AY1914" s="6" t="s">
        <v>23413</v>
      </c>
      <c r="AZ1914" s="6" t="s">
        <v>104</v>
      </c>
      <c r="BA1914" s="6" t="s">
        <v>104</v>
      </c>
      <c r="BB1914" s="6" t="s">
        <v>104</v>
      </c>
      <c r="BC1914" s="26"/>
      <c r="BD1914" s="26"/>
      <c r="BE1914" s="26"/>
      <c r="BF1914" s="26"/>
      <c r="BG1914" s="26"/>
      <c r="BH1914" s="26"/>
      <c r="BI1914" s="26"/>
      <c r="BJ1914" s="26"/>
      <c r="BK1914" s="26"/>
      <c r="BL1914" s="26"/>
      <c r="BM1914" s="26"/>
      <c r="BN1914" s="26"/>
      <c r="BO1914" s="26"/>
      <c r="BP1914" s="16" t="n">
        <v>45398</v>
      </c>
      <c r="BQ1914" s="28" t="str">
        <f>HYPERLINK("https://organic.ams.usda.gov/Integrity/Certificate.aspx?cid=74&amp;nopid=5350000303")</f>
        <v>https://organic.ams.usda.gov/Integrity/Certificate.aspx?cid=74&amp;nopid=5350000303</v>
      </c>
    </row>
    <row r="1915">
      <c r="A1915" t="s">
        <v>3</v>
      </c>
      <c r="B1915" s="6" t="s">
        <v>34</v>
      </c>
      <c r="C1915" s="6" t="s">
        <v>100</v>
      </c>
      <c r="D1915" s="6" t="s">
        <v>165</v>
      </c>
      <c r="E1915" s="10" t="s">
        <v>2113</v>
      </c>
      <c r="F1915" s="6" t="s">
        <v>4328</v>
      </c>
      <c r="G1915" s="6" t="s">
        <v>104</v>
      </c>
      <c r="H1915" s="6" t="s">
        <v>6623</v>
      </c>
      <c r="I1915" s="6" t="s">
        <v>7630</v>
      </c>
      <c r="J1915" s="6" t="s">
        <v>9495</v>
      </c>
      <c r="K1915" s="6" t="s">
        <v>9714</v>
      </c>
      <c r="L1915" s="16" t="n">
        <v>44523</v>
      </c>
      <c r="M1915" s="16" t="n">
        <v>45782</v>
      </c>
      <c r="N1915" s="6" t="s">
        <v>104</v>
      </c>
      <c r="O1915" s="21" t="s">
        <v>104</v>
      </c>
      <c r="P1915" s="6" t="s">
        <v>104</v>
      </c>
      <c r="Q1915" s="6" t="s">
        <v>104</v>
      </c>
      <c r="R1915" s="6" t="s">
        <v>104</v>
      </c>
      <c r="S1915" s="6" t="s">
        <v>104</v>
      </c>
      <c r="T1915" s="21" t="s">
        <v>104</v>
      </c>
      <c r="U1915" s="6" t="s">
        <v>104</v>
      </c>
      <c r="V1915" s="6" t="s">
        <v>104</v>
      </c>
      <c r="W1915" s="6" t="s">
        <v>104</v>
      </c>
      <c r="X1915" s="6" t="s">
        <v>104</v>
      </c>
      <c r="Y1915" s="21" t="s">
        <v>104</v>
      </c>
      <c r="Z1915" s="6" t="s">
        <v>104</v>
      </c>
      <c r="AA1915" s="6" t="s">
        <v>104</v>
      </c>
      <c r="AB1915" s="6" t="s">
        <v>104</v>
      </c>
      <c r="AC1915" s="6" t="s">
        <v>9714</v>
      </c>
      <c r="AD1915" s="16" t="n">
        <v>44523</v>
      </c>
      <c r="AE1915" s="6" t="s">
        <v>12193</v>
      </c>
      <c r="AF1915" s="6" t="s">
        <v>104</v>
      </c>
      <c r="AG1915" s="6" t="s">
        <v>13065</v>
      </c>
      <c r="AH1915" s="6" t="s">
        <v>14910</v>
      </c>
      <c r="AI1915" s="6" t="s">
        <v>104</v>
      </c>
      <c r="AJ1915" s="6" t="s">
        <v>16507</v>
      </c>
      <c r="AK1915" s="6" t="s">
        <v>16710</v>
      </c>
      <c r="AL1915" s="6" t="s">
        <v>16931</v>
      </c>
      <c r="AM1915" s="6" t="s">
        <v>18244</v>
      </c>
      <c r="AN1915" s="6" t="s">
        <v>18461</v>
      </c>
      <c r="AO1915" s="6" t="s">
        <v>18753</v>
      </c>
      <c r="AP1915" s="6" t="s">
        <v>14910</v>
      </c>
      <c r="AQ1915" s="6" t="s">
        <v>104</v>
      </c>
      <c r="AR1915" s="6" t="s">
        <v>16507</v>
      </c>
      <c r="AS1915" s="6" t="s">
        <v>16710</v>
      </c>
      <c r="AT1915" s="6" t="s">
        <v>16931</v>
      </c>
      <c r="AU1915" s="6" t="s">
        <v>18244</v>
      </c>
      <c r="AV1915" s="6" t="s">
        <v>104</v>
      </c>
      <c r="AW1915" s="6" t="s">
        <v>104</v>
      </c>
      <c r="AX1915" s="6" t="s">
        <v>20259</v>
      </c>
      <c r="AY1915" s="6" t="s">
        <v>23414</v>
      </c>
      <c r="AZ1915" s="6" t="s">
        <v>24166</v>
      </c>
      <c r="BA1915" s="6" t="s">
        <v>104</v>
      </c>
      <c r="BB1915" s="6" t="s">
        <v>104</v>
      </c>
      <c r="BC1915" s="26"/>
      <c r="BD1915" s="26"/>
      <c r="BE1915" s="26"/>
      <c r="BF1915" s="26"/>
      <c r="BG1915" s="26" t="s">
        <v>24533</v>
      </c>
      <c r="BH1915" s="26"/>
      <c r="BI1915" s="26"/>
      <c r="BJ1915" s="26"/>
      <c r="BK1915" s="26"/>
      <c r="BL1915" s="26"/>
      <c r="BM1915" s="26"/>
      <c r="BN1915" s="26"/>
      <c r="BO1915" s="26"/>
      <c r="BP1915" s="16" t="n">
        <v>45737</v>
      </c>
      <c r="BQ1915" s="28" t="str">
        <f>HYPERLINK("https://organic.ams.usda.gov/Integrity/Certificate.aspx?cid=71&amp;nopid=5520595819")</f>
        <v>https://organic.ams.usda.gov/Integrity/Certificate.aspx?cid=71&amp;nopid=5520595819</v>
      </c>
    </row>
    <row r="1916">
      <c r="A1916" t="s">
        <v>3</v>
      </c>
      <c r="B1916" s="6" t="s">
        <v>23</v>
      </c>
      <c r="C1916" s="6" t="s">
        <v>89</v>
      </c>
      <c r="D1916" s="6" t="s">
        <v>154</v>
      </c>
      <c r="E1916" s="10" t="s">
        <v>2114</v>
      </c>
      <c r="F1916" s="6" t="s">
        <v>4329</v>
      </c>
      <c r="G1916" s="6" t="s">
        <v>104</v>
      </c>
      <c r="H1916" s="6" t="s">
        <v>6624</v>
      </c>
      <c r="I1916" s="6" t="s">
        <v>7991</v>
      </c>
      <c r="J1916" s="6" t="s">
        <v>9496</v>
      </c>
      <c r="K1916" s="6" t="s">
        <v>9714</v>
      </c>
      <c r="L1916" s="16" t="n">
        <v>37973</v>
      </c>
      <c r="M1916" s="16" t="n">
        <v>45748</v>
      </c>
      <c r="N1916" s="6" t="s">
        <v>104</v>
      </c>
      <c r="O1916" s="21" t="s">
        <v>104</v>
      </c>
      <c r="P1916" s="6" t="s">
        <v>104</v>
      </c>
      <c r="Q1916" s="6" t="s">
        <v>104</v>
      </c>
      <c r="R1916" s="6" t="s">
        <v>104</v>
      </c>
      <c r="S1916" s="6" t="s">
        <v>104</v>
      </c>
      <c r="T1916" s="21" t="s">
        <v>104</v>
      </c>
      <c r="U1916" s="6" t="s">
        <v>104</v>
      </c>
      <c r="V1916" s="6" t="s">
        <v>104</v>
      </c>
      <c r="W1916" s="6" t="s">
        <v>104</v>
      </c>
      <c r="X1916" s="6" t="s">
        <v>104</v>
      </c>
      <c r="Y1916" s="21" t="s">
        <v>104</v>
      </c>
      <c r="Z1916" s="6" t="s">
        <v>104</v>
      </c>
      <c r="AA1916" s="6" t="s">
        <v>104</v>
      </c>
      <c r="AB1916" s="6" t="s">
        <v>104</v>
      </c>
      <c r="AC1916" s="6" t="s">
        <v>9714</v>
      </c>
      <c r="AD1916" s="16" t="n">
        <v>37973</v>
      </c>
      <c r="AE1916" s="6" t="s">
        <v>12194</v>
      </c>
      <c r="AF1916" s="6" t="s">
        <v>104</v>
      </c>
      <c r="AG1916" s="6" t="s">
        <v>6624</v>
      </c>
      <c r="AH1916" s="6" t="s">
        <v>14911</v>
      </c>
      <c r="AI1916" s="6" t="s">
        <v>104</v>
      </c>
      <c r="AJ1916" s="6" t="s">
        <v>16508</v>
      </c>
      <c r="AK1916" s="6" t="s">
        <v>16681</v>
      </c>
      <c r="AL1916" s="6" t="s">
        <v>16931</v>
      </c>
      <c r="AM1916" s="6" t="s">
        <v>17345</v>
      </c>
      <c r="AN1916" s="6" t="s">
        <v>18541</v>
      </c>
      <c r="AO1916" s="6" t="s">
        <v>18878</v>
      </c>
      <c r="AP1916" s="6" t="s">
        <v>19126</v>
      </c>
      <c r="AQ1916" s="6" t="s">
        <v>104</v>
      </c>
      <c r="AR1916" s="6" t="s">
        <v>16508</v>
      </c>
      <c r="AS1916" s="6" t="s">
        <v>16681</v>
      </c>
      <c r="AT1916" s="6" t="s">
        <v>16931</v>
      </c>
      <c r="AU1916" s="6" t="s">
        <v>17345</v>
      </c>
      <c r="AV1916" s="6" t="s">
        <v>104</v>
      </c>
      <c r="AW1916" s="6" t="s">
        <v>104</v>
      </c>
      <c r="AX1916" s="6" t="s">
        <v>21602</v>
      </c>
      <c r="AY1916" s="6" t="s">
        <v>23415</v>
      </c>
      <c r="AZ1916" s="6" t="s">
        <v>24167</v>
      </c>
      <c r="BA1916" s="6" t="s">
        <v>104</v>
      </c>
      <c r="BB1916" s="24" t="n">
        <v>0</v>
      </c>
      <c r="BC1916" s="26"/>
      <c r="BD1916" s="26"/>
      <c r="BE1916" s="26"/>
      <c r="BF1916" s="26"/>
      <c r="BG1916" s="26"/>
      <c r="BH1916" s="26"/>
      <c r="BI1916" s="26"/>
      <c r="BJ1916" s="26"/>
      <c r="BK1916" s="26"/>
      <c r="BL1916" s="26"/>
      <c r="BM1916" s="26"/>
      <c r="BN1916" s="26" t="s">
        <v>24533</v>
      </c>
      <c r="BO1916" s="26"/>
      <c r="BP1916" s="16" t="n">
        <v>45484</v>
      </c>
      <c r="BQ1916" s="28" t="str">
        <f>HYPERLINK("https://organic.ams.usda.gov/Integrity/Certificate.aspx?cid=45&amp;nopid=9950001468")</f>
        <v>https://organic.ams.usda.gov/Integrity/Certificate.aspx?cid=45&amp;nopid=9950001468</v>
      </c>
    </row>
    <row r="1917">
      <c r="A1917" t="s">
        <v>3</v>
      </c>
      <c r="B1917" s="6" t="s">
        <v>25</v>
      </c>
      <c r="C1917" s="6" t="s">
        <v>91</v>
      </c>
      <c r="D1917" s="6" t="s">
        <v>156</v>
      </c>
      <c r="E1917" s="10" t="s">
        <v>2115</v>
      </c>
      <c r="F1917" s="6" t="s">
        <v>4330</v>
      </c>
      <c r="G1917" s="6" t="s">
        <v>104</v>
      </c>
      <c r="H1917" s="6" t="s">
        <v>6625</v>
      </c>
      <c r="I1917" s="6" t="s">
        <v>6939</v>
      </c>
      <c r="J1917" s="6" t="s">
        <v>8151</v>
      </c>
      <c r="K1917" s="6" t="s">
        <v>9714</v>
      </c>
      <c r="L1917" s="16" t="n">
        <v>44579</v>
      </c>
      <c r="M1917" s="16" t="n">
        <v>45962</v>
      </c>
      <c r="N1917" s="6" t="s">
        <v>104</v>
      </c>
      <c r="O1917" s="21" t="s">
        <v>104</v>
      </c>
      <c r="P1917" s="6" t="s">
        <v>104</v>
      </c>
      <c r="Q1917" s="6" t="s">
        <v>104</v>
      </c>
      <c r="R1917" s="6" t="s">
        <v>104</v>
      </c>
      <c r="S1917" s="6" t="s">
        <v>104</v>
      </c>
      <c r="T1917" s="21" t="s">
        <v>104</v>
      </c>
      <c r="U1917" s="6" t="s">
        <v>104</v>
      </c>
      <c r="V1917" s="6" t="s">
        <v>104</v>
      </c>
      <c r="W1917" s="6" t="s">
        <v>104</v>
      </c>
      <c r="X1917" s="6" t="s">
        <v>104</v>
      </c>
      <c r="Y1917" s="21" t="s">
        <v>104</v>
      </c>
      <c r="Z1917" s="6" t="s">
        <v>104</v>
      </c>
      <c r="AA1917" s="6" t="s">
        <v>104</v>
      </c>
      <c r="AB1917" s="6" t="s">
        <v>104</v>
      </c>
      <c r="AC1917" s="6" t="s">
        <v>9714</v>
      </c>
      <c r="AD1917" s="16" t="n">
        <v>44579</v>
      </c>
      <c r="AE1917" s="6" t="s">
        <v>12195</v>
      </c>
      <c r="AF1917" s="6" t="s">
        <v>104</v>
      </c>
      <c r="AG1917" s="6" t="s">
        <v>104</v>
      </c>
      <c r="AH1917" s="6" t="s">
        <v>14912</v>
      </c>
      <c r="AI1917" s="6" t="s">
        <v>104</v>
      </c>
      <c r="AJ1917" s="6" t="s">
        <v>16318</v>
      </c>
      <c r="AK1917" s="6" t="s">
        <v>16318</v>
      </c>
      <c r="AL1917" s="6" t="s">
        <v>16954</v>
      </c>
      <c r="AM1917" s="6" t="s">
        <v>18245</v>
      </c>
      <c r="AN1917" s="6" t="s">
        <v>104</v>
      </c>
      <c r="AO1917" s="6" t="s">
        <v>104</v>
      </c>
      <c r="AP1917" s="6" t="s">
        <v>14912</v>
      </c>
      <c r="AQ1917" s="6" t="s">
        <v>104</v>
      </c>
      <c r="AR1917" s="6" t="s">
        <v>16318</v>
      </c>
      <c r="AS1917" s="6" t="s">
        <v>16318</v>
      </c>
      <c r="AT1917" s="6" t="s">
        <v>16954</v>
      </c>
      <c r="AU1917" s="6" t="s">
        <v>18245</v>
      </c>
      <c r="AV1917" s="6" t="s">
        <v>104</v>
      </c>
      <c r="AW1917" s="6" t="s">
        <v>104</v>
      </c>
      <c r="AX1917" s="6" t="s">
        <v>20292</v>
      </c>
      <c r="AY1917" s="6" t="s">
        <v>21875</v>
      </c>
      <c r="AZ1917" s="6" t="s">
        <v>104</v>
      </c>
      <c r="BA1917" s="6" t="s">
        <v>24264</v>
      </c>
      <c r="BB1917" s="6" t="s">
        <v>104</v>
      </c>
      <c r="BC1917" s="26"/>
      <c r="BD1917" s="26"/>
      <c r="BE1917" s="26"/>
      <c r="BF1917" s="26"/>
      <c r="BG1917" s="26"/>
      <c r="BH1917" s="26" t="s">
        <v>24533</v>
      </c>
      <c r="BI1917" s="26"/>
      <c r="BJ1917" s="26"/>
      <c r="BK1917" s="26"/>
      <c r="BL1917" s="26"/>
      <c r="BM1917" s="26"/>
      <c r="BN1917" s="26"/>
      <c r="BO1917" s="26"/>
      <c r="BP1917" s="16" t="n">
        <v>45727</v>
      </c>
      <c r="BQ1917" s="28" t="str">
        <f>HYPERLINK("https://organic.ams.usda.gov/Integrity/Certificate.aspx?cid=66&amp;nopid=5500006659")</f>
        <v>https://organic.ams.usda.gov/Integrity/Certificate.aspx?cid=66&amp;nopid=5500006659</v>
      </c>
    </row>
    <row r="1918">
      <c r="A1918" t="s">
        <v>3</v>
      </c>
      <c r="B1918" s="6" t="s">
        <v>25</v>
      </c>
      <c r="C1918" s="6" t="s">
        <v>91</v>
      </c>
      <c r="D1918" s="6" t="s">
        <v>156</v>
      </c>
      <c r="E1918" s="10" t="s">
        <v>2116</v>
      </c>
      <c r="F1918" s="6" t="s">
        <v>4330</v>
      </c>
      <c r="G1918" s="6" t="s">
        <v>4860</v>
      </c>
      <c r="H1918" s="6" t="s">
        <v>6626</v>
      </c>
      <c r="I1918" s="6" t="s">
        <v>6939</v>
      </c>
      <c r="J1918" s="6" t="s">
        <v>8151</v>
      </c>
      <c r="K1918" s="6" t="s">
        <v>9714</v>
      </c>
      <c r="L1918" s="16" t="n">
        <v>45341</v>
      </c>
      <c r="M1918" s="16" t="n">
        <v>45950</v>
      </c>
      <c r="N1918" s="6" t="s">
        <v>104</v>
      </c>
      <c r="O1918" s="21" t="s">
        <v>104</v>
      </c>
      <c r="P1918" s="6" t="s">
        <v>104</v>
      </c>
      <c r="Q1918" s="6" t="s">
        <v>104</v>
      </c>
      <c r="R1918" s="6" t="s">
        <v>104</v>
      </c>
      <c r="S1918" s="6" t="s">
        <v>104</v>
      </c>
      <c r="T1918" s="21" t="s">
        <v>104</v>
      </c>
      <c r="U1918" s="6" t="s">
        <v>104</v>
      </c>
      <c r="V1918" s="6" t="s">
        <v>104</v>
      </c>
      <c r="W1918" s="6" t="s">
        <v>104</v>
      </c>
      <c r="X1918" s="6" t="s">
        <v>104</v>
      </c>
      <c r="Y1918" s="21" t="s">
        <v>104</v>
      </c>
      <c r="Z1918" s="6" t="s">
        <v>104</v>
      </c>
      <c r="AA1918" s="6" t="s">
        <v>104</v>
      </c>
      <c r="AB1918" s="6" t="s">
        <v>104</v>
      </c>
      <c r="AC1918" s="6" t="s">
        <v>9714</v>
      </c>
      <c r="AD1918" s="16" t="n">
        <v>45341</v>
      </c>
      <c r="AE1918" s="6" t="s">
        <v>12196</v>
      </c>
      <c r="AF1918" s="6" t="s">
        <v>104</v>
      </c>
      <c r="AG1918" s="6" t="s">
        <v>104</v>
      </c>
      <c r="AH1918" s="6" t="s">
        <v>14913</v>
      </c>
      <c r="AI1918" s="6" t="s">
        <v>104</v>
      </c>
      <c r="AJ1918" s="6" t="s">
        <v>16509</v>
      </c>
      <c r="AK1918" s="6" t="s">
        <v>16807</v>
      </c>
      <c r="AL1918" s="6" t="s">
        <v>16954</v>
      </c>
      <c r="AM1918" s="6" t="s">
        <v>18246</v>
      </c>
      <c r="AN1918" s="6" t="s">
        <v>104</v>
      </c>
      <c r="AO1918" s="6" t="s">
        <v>104</v>
      </c>
      <c r="AP1918" s="6" t="s">
        <v>14912</v>
      </c>
      <c r="AQ1918" s="6" t="s">
        <v>104</v>
      </c>
      <c r="AR1918" s="6" t="s">
        <v>16318</v>
      </c>
      <c r="AS1918" s="6" t="s">
        <v>16318</v>
      </c>
      <c r="AT1918" s="6" t="s">
        <v>16954</v>
      </c>
      <c r="AU1918" s="6" t="s">
        <v>18245</v>
      </c>
      <c r="AV1918" s="6" t="s">
        <v>104</v>
      </c>
      <c r="AW1918" s="6" t="s">
        <v>104</v>
      </c>
      <c r="AX1918" s="6" t="s">
        <v>20292</v>
      </c>
      <c r="AY1918" s="6" t="s">
        <v>21875</v>
      </c>
      <c r="AZ1918" s="6" t="s">
        <v>104</v>
      </c>
      <c r="BA1918" s="6" t="s">
        <v>24264</v>
      </c>
      <c r="BB1918" s="6" t="s">
        <v>104</v>
      </c>
      <c r="BC1918" s="26"/>
      <c r="BD1918" s="26"/>
      <c r="BE1918" s="26"/>
      <c r="BF1918" s="26"/>
      <c r="BG1918" s="26"/>
      <c r="BH1918" s="26"/>
      <c r="BI1918" s="26"/>
      <c r="BJ1918" s="26"/>
      <c r="BK1918" s="26"/>
      <c r="BL1918" s="26"/>
      <c r="BM1918" s="26"/>
      <c r="BN1918" s="26"/>
      <c r="BO1918" s="26"/>
      <c r="BP1918" s="16" t="n">
        <v>45734</v>
      </c>
      <c r="BQ1918" s="28" t="str">
        <f>HYPERLINK("https://organic.ams.usda.gov/Integrity/Certificate.aspx?cid=66&amp;nopid=5500007151")</f>
        <v>https://organic.ams.usda.gov/Integrity/Certificate.aspx?cid=66&amp;nopid=5500007151</v>
      </c>
    </row>
    <row r="1919">
      <c r="A1919" t="s">
        <v>3</v>
      </c>
      <c r="B1919" s="6" t="s">
        <v>54</v>
      </c>
      <c r="C1919" s="6" t="s">
        <v>120</v>
      </c>
      <c r="D1919" s="6" t="s">
        <v>184</v>
      </c>
      <c r="E1919" s="10" t="s">
        <v>2117</v>
      </c>
      <c r="F1919" s="6" t="s">
        <v>4331</v>
      </c>
      <c r="G1919" s="6" t="s">
        <v>104</v>
      </c>
      <c r="H1919" s="6" t="s">
        <v>6627</v>
      </c>
      <c r="I1919" s="6" t="s">
        <v>7992</v>
      </c>
      <c r="J1919" s="6" t="s">
        <v>9497</v>
      </c>
      <c r="K1919" s="6" t="s">
        <v>9714</v>
      </c>
      <c r="L1919" s="16" t="n">
        <v>42993</v>
      </c>
      <c r="M1919" s="16" t="n">
        <v>45717</v>
      </c>
      <c r="N1919" s="6" t="s">
        <v>9714</v>
      </c>
      <c r="O1919" s="16" t="n">
        <v>42993</v>
      </c>
      <c r="P1919" s="6" t="s">
        <v>10218</v>
      </c>
      <c r="Q1919" s="6" t="s">
        <v>104</v>
      </c>
      <c r="R1919" s="6" t="s">
        <v>104</v>
      </c>
      <c r="S1919" s="6" t="s">
        <v>104</v>
      </c>
      <c r="T1919" s="21" t="s">
        <v>104</v>
      </c>
      <c r="U1919" s="6" t="s">
        <v>104</v>
      </c>
      <c r="V1919" s="6" t="s">
        <v>104</v>
      </c>
      <c r="W1919" s="6" t="s">
        <v>104</v>
      </c>
      <c r="X1919" s="6" t="s">
        <v>104</v>
      </c>
      <c r="Y1919" s="21" t="s">
        <v>104</v>
      </c>
      <c r="Z1919" s="6" t="s">
        <v>104</v>
      </c>
      <c r="AA1919" s="6" t="s">
        <v>104</v>
      </c>
      <c r="AB1919" s="6" t="s">
        <v>104</v>
      </c>
      <c r="AC1919" s="6" t="s">
        <v>104</v>
      </c>
      <c r="AD1919" s="21" t="s">
        <v>104</v>
      </c>
      <c r="AE1919" s="6" t="s">
        <v>104</v>
      </c>
      <c r="AF1919" s="6" t="s">
        <v>104</v>
      </c>
      <c r="AG1919" s="6" t="s">
        <v>104</v>
      </c>
      <c r="AH1919" s="6" t="s">
        <v>14914</v>
      </c>
      <c r="AI1919" s="6" t="s">
        <v>104</v>
      </c>
      <c r="AJ1919" s="6" t="s">
        <v>16510</v>
      </c>
      <c r="AK1919" s="6" t="s">
        <v>16743</v>
      </c>
      <c r="AL1919" s="6" t="s">
        <v>16931</v>
      </c>
      <c r="AM1919" s="6" t="s">
        <v>18247</v>
      </c>
      <c r="AN1919" s="6" t="s">
        <v>18486</v>
      </c>
      <c r="AO1919" s="6" t="s">
        <v>18899</v>
      </c>
      <c r="AP1919" s="6" t="s">
        <v>104</v>
      </c>
      <c r="AQ1919" s="6" t="s">
        <v>104</v>
      </c>
      <c r="AR1919" s="6" t="s">
        <v>104</v>
      </c>
      <c r="AS1919" s="6" t="s">
        <v>104</v>
      </c>
      <c r="AT1919" s="6" t="s">
        <v>104</v>
      </c>
      <c r="AU1919" s="6" t="s">
        <v>104</v>
      </c>
      <c r="AV1919" s="6" t="s">
        <v>104</v>
      </c>
      <c r="AW1919" s="6" t="s">
        <v>104</v>
      </c>
      <c r="AX1919" s="6" t="s">
        <v>104</v>
      </c>
      <c r="AY1919" s="6" t="s">
        <v>23416</v>
      </c>
      <c r="AZ1919" s="6" t="s">
        <v>104</v>
      </c>
      <c r="BA1919" s="6" t="s">
        <v>24267</v>
      </c>
      <c r="BB1919" s="24" t="n">
        <v>166</v>
      </c>
      <c r="BC1919" s="26"/>
      <c r="BD1919" s="26"/>
      <c r="BE1919" s="26"/>
      <c r="BF1919" s="26"/>
      <c r="BG1919" s="26"/>
      <c r="BH1919" s="26"/>
      <c r="BI1919" s="26"/>
      <c r="BJ1919" s="26"/>
      <c r="BK1919" s="26"/>
      <c r="BL1919" s="26"/>
      <c r="BM1919" s="26"/>
      <c r="BN1919" s="26"/>
      <c r="BO1919" s="26"/>
      <c r="BP1919" s="16" t="n">
        <v>45642</v>
      </c>
      <c r="BQ1919" s="28" t="str">
        <f>HYPERLINK("https://organic.ams.usda.gov/Integrity/Certificate.aspx?cid=60&amp;nopid=2580002140")</f>
        <v>https://organic.ams.usda.gov/Integrity/Certificate.aspx?cid=60&amp;nopid=2580002140</v>
      </c>
    </row>
    <row r="1920">
      <c r="A1920" t="s">
        <v>3</v>
      </c>
      <c r="B1920" s="6" t="s">
        <v>13</v>
      </c>
      <c r="C1920" s="6" t="s">
        <v>79</v>
      </c>
      <c r="D1920" s="6" t="s">
        <v>144</v>
      </c>
      <c r="E1920" s="10" t="s">
        <v>2118</v>
      </c>
      <c r="F1920" s="6" t="s">
        <v>4332</v>
      </c>
      <c r="G1920" s="6" t="s">
        <v>104</v>
      </c>
      <c r="H1920" s="6" t="s">
        <v>6628</v>
      </c>
      <c r="I1920" s="6" t="s">
        <v>104</v>
      </c>
      <c r="J1920" s="6" t="s">
        <v>104</v>
      </c>
      <c r="K1920" s="6" t="s">
        <v>9714</v>
      </c>
      <c r="L1920" s="16" t="n">
        <v>37375</v>
      </c>
      <c r="M1920" s="16" t="n">
        <v>45748</v>
      </c>
      <c r="N1920" s="6" t="s">
        <v>9714</v>
      </c>
      <c r="O1920" s="16" t="n">
        <v>37879</v>
      </c>
      <c r="P1920" s="6" t="s">
        <v>10219</v>
      </c>
      <c r="Q1920" s="6" t="s">
        <v>104</v>
      </c>
      <c r="R1920" s="6" t="s">
        <v>104</v>
      </c>
      <c r="S1920" s="6" t="s">
        <v>104</v>
      </c>
      <c r="T1920" s="21" t="s">
        <v>104</v>
      </c>
      <c r="U1920" s="6" t="s">
        <v>104</v>
      </c>
      <c r="V1920" s="6" t="s">
        <v>104</v>
      </c>
      <c r="W1920" s="6" t="s">
        <v>104</v>
      </c>
      <c r="X1920" s="6" t="s">
        <v>104</v>
      </c>
      <c r="Y1920" s="21" t="s">
        <v>104</v>
      </c>
      <c r="Z1920" s="6" t="s">
        <v>104</v>
      </c>
      <c r="AA1920" s="6" t="s">
        <v>104</v>
      </c>
      <c r="AB1920" s="6" t="s">
        <v>104</v>
      </c>
      <c r="AC1920" s="6" t="s">
        <v>9714</v>
      </c>
      <c r="AD1920" s="16" t="n">
        <v>37375</v>
      </c>
      <c r="AE1920" s="6" t="s">
        <v>12197</v>
      </c>
      <c r="AF1920" s="6" t="s">
        <v>104</v>
      </c>
      <c r="AG1920" s="6" t="s">
        <v>104</v>
      </c>
      <c r="AH1920" s="6" t="s">
        <v>104</v>
      </c>
      <c r="AI1920" s="6" t="s">
        <v>104</v>
      </c>
      <c r="AJ1920" s="6" t="s">
        <v>104</v>
      </c>
      <c r="AK1920" s="6" t="s">
        <v>104</v>
      </c>
      <c r="AL1920" s="6" t="s">
        <v>104</v>
      </c>
      <c r="AM1920" s="6" t="s">
        <v>104</v>
      </c>
      <c r="AN1920" s="6" t="s">
        <v>104</v>
      </c>
      <c r="AO1920" s="6" t="s">
        <v>104</v>
      </c>
      <c r="AP1920" s="6" t="s">
        <v>19454</v>
      </c>
      <c r="AQ1920" s="6" t="s">
        <v>104</v>
      </c>
      <c r="AR1920" s="6" t="s">
        <v>19640</v>
      </c>
      <c r="AS1920" s="6" t="s">
        <v>16705</v>
      </c>
      <c r="AT1920" s="6" t="s">
        <v>16931</v>
      </c>
      <c r="AU1920" s="6" t="s">
        <v>20038</v>
      </c>
      <c r="AV1920" s="6" t="s">
        <v>18479</v>
      </c>
      <c r="AW1920" s="6" t="s">
        <v>18817</v>
      </c>
      <c r="AX1920" s="6" t="s">
        <v>21603</v>
      </c>
      <c r="AY1920" s="6" t="s">
        <v>23417</v>
      </c>
      <c r="AZ1920" s="6" t="s">
        <v>24168</v>
      </c>
      <c r="BA1920" s="6" t="s">
        <v>104</v>
      </c>
      <c r="BB1920" s="24" t="n">
        <v>960</v>
      </c>
      <c r="BC1920" s="26"/>
      <c r="BD1920" s="26"/>
      <c r="BE1920" s="26" t="s">
        <v>24533</v>
      </c>
      <c r="BF1920" s="26"/>
      <c r="BG1920" s="26"/>
      <c r="BH1920" s="26"/>
      <c r="BI1920" s="26"/>
      <c r="BJ1920" s="26"/>
      <c r="BK1920" s="26"/>
      <c r="BL1920" s="26"/>
      <c r="BM1920" s="26"/>
      <c r="BN1920" s="26"/>
      <c r="BO1920" s="26"/>
      <c r="BP1920" s="16" t="n">
        <v>45728</v>
      </c>
      <c r="BQ1920" s="28" t="str">
        <f>HYPERLINK("https://organic.ams.usda.gov/Integrity/Certificate.aspx?cid=62&amp;nopid=8150001114")</f>
        <v>https://organic.ams.usda.gov/Integrity/Certificate.aspx?cid=62&amp;nopid=8150001114</v>
      </c>
    </row>
    <row r="1921">
      <c r="A1921" t="s">
        <v>3</v>
      </c>
      <c r="B1921" s="6" t="s">
        <v>22</v>
      </c>
      <c r="C1921" s="6" t="s">
        <v>88</v>
      </c>
      <c r="D1921" s="6" t="s">
        <v>153</v>
      </c>
      <c r="E1921" s="10" t="s">
        <v>2119</v>
      </c>
      <c r="F1921" s="6" t="s">
        <v>4333</v>
      </c>
      <c r="G1921" s="6" t="s">
        <v>104</v>
      </c>
      <c r="H1921" s="6" t="s">
        <v>6149</v>
      </c>
      <c r="I1921" s="6" t="s">
        <v>7993</v>
      </c>
      <c r="J1921" s="6" t="s">
        <v>9498</v>
      </c>
      <c r="K1921" s="6" t="s">
        <v>9714</v>
      </c>
      <c r="L1921" s="16" t="n">
        <v>45674</v>
      </c>
      <c r="M1921" s="16" t="n">
        <v>45839</v>
      </c>
      <c r="N1921" s="6" t="s">
        <v>104</v>
      </c>
      <c r="O1921" s="21" t="s">
        <v>104</v>
      </c>
      <c r="P1921" s="6" t="s">
        <v>104</v>
      </c>
      <c r="Q1921" s="6" t="s">
        <v>104</v>
      </c>
      <c r="R1921" s="6" t="s">
        <v>104</v>
      </c>
      <c r="S1921" s="6" t="s">
        <v>104</v>
      </c>
      <c r="T1921" s="21" t="s">
        <v>104</v>
      </c>
      <c r="U1921" s="6" t="s">
        <v>104</v>
      </c>
      <c r="V1921" s="6" t="s">
        <v>104</v>
      </c>
      <c r="W1921" s="6" t="s">
        <v>104</v>
      </c>
      <c r="X1921" s="6" t="s">
        <v>104</v>
      </c>
      <c r="Y1921" s="21" t="s">
        <v>104</v>
      </c>
      <c r="Z1921" s="6" t="s">
        <v>104</v>
      </c>
      <c r="AA1921" s="6" t="s">
        <v>104</v>
      </c>
      <c r="AB1921" s="6" t="s">
        <v>104</v>
      </c>
      <c r="AC1921" s="6" t="s">
        <v>9714</v>
      </c>
      <c r="AD1921" s="16" t="n">
        <v>45674</v>
      </c>
      <c r="AE1921" s="6" t="s">
        <v>12198</v>
      </c>
      <c r="AF1921" s="6" t="s">
        <v>104</v>
      </c>
      <c r="AG1921" s="6" t="s">
        <v>13066</v>
      </c>
      <c r="AH1921" s="6" t="s">
        <v>14915</v>
      </c>
      <c r="AI1921" s="6" t="s">
        <v>104</v>
      </c>
      <c r="AJ1921" s="6" t="s">
        <v>16511</v>
      </c>
      <c r="AK1921" s="6" t="s">
        <v>16687</v>
      </c>
      <c r="AL1921" s="6" t="s">
        <v>16931</v>
      </c>
      <c r="AM1921" s="6" t="s">
        <v>18248</v>
      </c>
      <c r="AN1921" s="6" t="s">
        <v>104</v>
      </c>
      <c r="AO1921" s="6" t="s">
        <v>104</v>
      </c>
      <c r="AP1921" s="6" t="s">
        <v>14915</v>
      </c>
      <c r="AQ1921" s="6" t="s">
        <v>104</v>
      </c>
      <c r="AR1921" s="6" t="s">
        <v>16511</v>
      </c>
      <c r="AS1921" s="6" t="s">
        <v>16687</v>
      </c>
      <c r="AT1921" s="6" t="s">
        <v>16931</v>
      </c>
      <c r="AU1921" s="6" t="s">
        <v>18248</v>
      </c>
      <c r="AV1921" s="6" t="s">
        <v>104</v>
      </c>
      <c r="AW1921" s="6" t="s">
        <v>104</v>
      </c>
      <c r="AX1921" s="6" t="s">
        <v>21604</v>
      </c>
      <c r="AY1921" s="6" t="s">
        <v>23418</v>
      </c>
      <c r="AZ1921" s="6" t="s">
        <v>24169</v>
      </c>
      <c r="BA1921" s="6" t="s">
        <v>104</v>
      </c>
      <c r="BB1921" s="6" t="s">
        <v>104</v>
      </c>
      <c r="BC1921" s="26"/>
      <c r="BD1921" s="26"/>
      <c r="BE1921" s="26"/>
      <c r="BF1921" s="26"/>
      <c r="BG1921" s="26"/>
      <c r="BH1921" s="26" t="s">
        <v>24533</v>
      </c>
      <c r="BI1921" s="26"/>
      <c r="BJ1921" s="26"/>
      <c r="BK1921" s="26"/>
      <c r="BL1921" s="26"/>
      <c r="BM1921" s="26"/>
      <c r="BN1921" s="26"/>
      <c r="BO1921" s="26"/>
      <c r="BP1921" s="16" t="n">
        <v>45679</v>
      </c>
      <c r="BQ1921" s="28" t="str">
        <f>HYPERLINK("https://organic.ams.usda.gov/Integrity/Certificate.aspx?cid=72&amp;nopid=5870107434")</f>
        <v>https://organic.ams.usda.gov/Integrity/Certificate.aspx?cid=72&amp;nopid=5870107434</v>
      </c>
    </row>
    <row r="1922">
      <c r="A1922" t="s">
        <v>3</v>
      </c>
      <c r="B1922" s="6" t="s">
        <v>11</v>
      </c>
      <c r="C1922" s="6" t="s">
        <v>77</v>
      </c>
      <c r="D1922" s="6" t="s">
        <v>142</v>
      </c>
      <c r="E1922" s="10" t="s">
        <v>2120</v>
      </c>
      <c r="F1922" s="6" t="s">
        <v>4334</v>
      </c>
      <c r="G1922" s="6" t="s">
        <v>104</v>
      </c>
      <c r="H1922" s="6" t="s">
        <v>2120</v>
      </c>
      <c r="I1922" s="6" t="s">
        <v>7509</v>
      </c>
      <c r="J1922" s="6" t="s">
        <v>8604</v>
      </c>
      <c r="K1922" s="6" t="s">
        <v>9714</v>
      </c>
      <c r="L1922" s="16" t="n">
        <v>45019</v>
      </c>
      <c r="M1922" s="16" t="n">
        <v>45705</v>
      </c>
      <c r="N1922" s="6" t="s">
        <v>104</v>
      </c>
      <c r="O1922" s="21" t="s">
        <v>104</v>
      </c>
      <c r="P1922" s="6" t="s">
        <v>104</v>
      </c>
      <c r="Q1922" s="6" t="s">
        <v>104</v>
      </c>
      <c r="R1922" s="6" t="s">
        <v>104</v>
      </c>
      <c r="S1922" s="6" t="s">
        <v>104</v>
      </c>
      <c r="T1922" s="21" t="s">
        <v>104</v>
      </c>
      <c r="U1922" s="6" t="s">
        <v>104</v>
      </c>
      <c r="V1922" s="6" t="s">
        <v>104</v>
      </c>
      <c r="W1922" s="6" t="s">
        <v>104</v>
      </c>
      <c r="X1922" s="6" t="s">
        <v>104</v>
      </c>
      <c r="Y1922" s="21" t="s">
        <v>104</v>
      </c>
      <c r="Z1922" s="6" t="s">
        <v>104</v>
      </c>
      <c r="AA1922" s="6" t="s">
        <v>104</v>
      </c>
      <c r="AB1922" s="6" t="s">
        <v>104</v>
      </c>
      <c r="AC1922" s="6" t="s">
        <v>9714</v>
      </c>
      <c r="AD1922" s="16" t="n">
        <v>45019</v>
      </c>
      <c r="AE1922" s="6" t="s">
        <v>12199</v>
      </c>
      <c r="AF1922" s="6" t="s">
        <v>104</v>
      </c>
      <c r="AG1922" s="6" t="s">
        <v>13067</v>
      </c>
      <c r="AH1922" s="6" t="s">
        <v>14916</v>
      </c>
      <c r="AI1922" s="6" t="s">
        <v>104</v>
      </c>
      <c r="AJ1922" s="6" t="s">
        <v>16108</v>
      </c>
      <c r="AK1922" s="6" t="s">
        <v>16685</v>
      </c>
      <c r="AL1922" s="6" t="s">
        <v>16932</v>
      </c>
      <c r="AM1922" s="6" t="s">
        <v>17411</v>
      </c>
      <c r="AN1922" s="6" t="s">
        <v>104</v>
      </c>
      <c r="AO1922" s="6" t="s">
        <v>104</v>
      </c>
      <c r="AP1922" s="6" t="s">
        <v>19455</v>
      </c>
      <c r="AQ1922" s="6" t="s">
        <v>104</v>
      </c>
      <c r="AR1922" s="6" t="s">
        <v>16108</v>
      </c>
      <c r="AS1922" s="6" t="s">
        <v>16685</v>
      </c>
      <c r="AT1922" s="6" t="s">
        <v>16932</v>
      </c>
      <c r="AU1922" s="6" t="s">
        <v>20039</v>
      </c>
      <c r="AV1922" s="6" t="s">
        <v>104</v>
      </c>
      <c r="AW1922" s="6" t="s">
        <v>104</v>
      </c>
      <c r="AX1922" s="6" t="s">
        <v>21605</v>
      </c>
      <c r="AY1922" s="6" t="s">
        <v>23419</v>
      </c>
      <c r="AZ1922" s="6" t="s">
        <v>104</v>
      </c>
      <c r="BA1922" s="6" t="s">
        <v>104</v>
      </c>
      <c r="BB1922" s="6" t="s">
        <v>104</v>
      </c>
      <c r="BC1922" s="26"/>
      <c r="BD1922" s="26"/>
      <c r="BE1922" s="26"/>
      <c r="BF1922" s="26"/>
      <c r="BG1922" s="26"/>
      <c r="BH1922" s="26"/>
      <c r="BI1922" s="26"/>
      <c r="BJ1922" s="26"/>
      <c r="BK1922" s="26"/>
      <c r="BL1922" s="26"/>
      <c r="BM1922" s="26"/>
      <c r="BN1922" s="26" t="s">
        <v>24533</v>
      </c>
      <c r="BO1922" s="26"/>
      <c r="BP1922" s="16" t="n">
        <v>45449</v>
      </c>
      <c r="BQ1922" s="28" t="str">
        <f>HYPERLINK("https://organic.ams.usda.gov/Integrity/Certificate.aspx?cid=21&amp;nopid=1780889681")</f>
        <v>https://organic.ams.usda.gov/Integrity/Certificate.aspx?cid=21&amp;nopid=1780889681</v>
      </c>
    </row>
    <row r="1923">
      <c r="A1923" t="s">
        <v>3</v>
      </c>
      <c r="B1923" s="6" t="s">
        <v>20</v>
      </c>
      <c r="C1923" s="6" t="s">
        <v>86</v>
      </c>
      <c r="D1923" s="6" t="s">
        <v>151</v>
      </c>
      <c r="E1923" s="10" t="s">
        <v>2121</v>
      </c>
      <c r="F1923" s="6" t="s">
        <v>4335</v>
      </c>
      <c r="G1923" s="6" t="s">
        <v>104</v>
      </c>
      <c r="H1923" s="6" t="s">
        <v>6629</v>
      </c>
      <c r="I1923" s="6" t="s">
        <v>7994</v>
      </c>
      <c r="J1923" s="6" t="s">
        <v>9447</v>
      </c>
      <c r="K1923" s="6" t="s">
        <v>9714</v>
      </c>
      <c r="L1923" s="16" t="n">
        <v>45478</v>
      </c>
      <c r="M1923" s="16" t="n">
        <v>45777</v>
      </c>
      <c r="N1923" s="6" t="s">
        <v>104</v>
      </c>
      <c r="O1923" s="21" t="s">
        <v>104</v>
      </c>
      <c r="P1923" s="6" t="s">
        <v>104</v>
      </c>
      <c r="Q1923" s="6" t="s">
        <v>104</v>
      </c>
      <c r="R1923" s="6" t="s">
        <v>104</v>
      </c>
      <c r="S1923" s="6" t="s">
        <v>104</v>
      </c>
      <c r="T1923" s="21" t="s">
        <v>104</v>
      </c>
      <c r="U1923" s="6" t="s">
        <v>104</v>
      </c>
      <c r="V1923" s="6" t="s">
        <v>104</v>
      </c>
      <c r="W1923" s="6" t="s">
        <v>104</v>
      </c>
      <c r="X1923" s="6" t="s">
        <v>104</v>
      </c>
      <c r="Y1923" s="21" t="s">
        <v>104</v>
      </c>
      <c r="Z1923" s="6" t="s">
        <v>104</v>
      </c>
      <c r="AA1923" s="6" t="s">
        <v>104</v>
      </c>
      <c r="AB1923" s="6" t="s">
        <v>104</v>
      </c>
      <c r="AC1923" s="6" t="s">
        <v>9714</v>
      </c>
      <c r="AD1923" s="16" t="n">
        <v>45478</v>
      </c>
      <c r="AE1923" s="6" t="s">
        <v>12200</v>
      </c>
      <c r="AF1923" s="6" t="s">
        <v>104</v>
      </c>
      <c r="AG1923" s="6" t="s">
        <v>13068</v>
      </c>
      <c r="AH1923" s="6" t="s">
        <v>14917</v>
      </c>
      <c r="AI1923" s="6" t="s">
        <v>104</v>
      </c>
      <c r="AJ1923" s="6" t="s">
        <v>16512</v>
      </c>
      <c r="AK1923" s="6" t="s">
        <v>16768</v>
      </c>
      <c r="AL1923" s="6" t="s">
        <v>16766</v>
      </c>
      <c r="AM1923" s="6" t="s">
        <v>104</v>
      </c>
      <c r="AN1923" s="6" t="s">
        <v>104</v>
      </c>
      <c r="AO1923" s="6" t="s">
        <v>104</v>
      </c>
      <c r="AP1923" s="6" t="s">
        <v>104</v>
      </c>
      <c r="AQ1923" s="6" t="s">
        <v>104</v>
      </c>
      <c r="AR1923" s="6" t="s">
        <v>104</v>
      </c>
      <c r="AS1923" s="6" t="s">
        <v>104</v>
      </c>
      <c r="AT1923" s="6" t="s">
        <v>104</v>
      </c>
      <c r="AU1923" s="6" t="s">
        <v>104</v>
      </c>
      <c r="AV1923" s="6" t="s">
        <v>104</v>
      </c>
      <c r="AW1923" s="6" t="s">
        <v>104</v>
      </c>
      <c r="AX1923" s="6" t="s">
        <v>21606</v>
      </c>
      <c r="AY1923" s="6" t="s">
        <v>104</v>
      </c>
      <c r="AZ1923" s="6" t="s">
        <v>104</v>
      </c>
      <c r="BA1923" s="6" t="s">
        <v>104</v>
      </c>
      <c r="BB1923" s="6" t="s">
        <v>104</v>
      </c>
      <c r="BC1923" s="26"/>
      <c r="BD1923" s="26"/>
      <c r="BE1923" s="26"/>
      <c r="BF1923" s="26"/>
      <c r="BG1923" s="26"/>
      <c r="BH1923" s="26"/>
      <c r="BI1923" s="26"/>
      <c r="BJ1923" s="26"/>
      <c r="BK1923" s="26"/>
      <c r="BL1923" s="26"/>
      <c r="BM1923" s="26"/>
      <c r="BN1923" s="26"/>
      <c r="BO1923" s="26"/>
      <c r="BP1923" s="16" t="n">
        <v>45478</v>
      </c>
      <c r="BQ1923" s="28" t="str">
        <f>HYPERLINK("https://organic.ams.usda.gov/Integrity/Certificate.aspx?cid=17&amp;nopid=4081205440")</f>
        <v>https://organic.ams.usda.gov/Integrity/Certificate.aspx?cid=17&amp;nopid=4081205440</v>
      </c>
    </row>
    <row r="1924">
      <c r="A1924" t="s">
        <v>3</v>
      </c>
      <c r="B1924" s="6" t="s">
        <v>20</v>
      </c>
      <c r="C1924" s="6" t="s">
        <v>86</v>
      </c>
      <c r="D1924" s="6" t="s">
        <v>151</v>
      </c>
      <c r="E1924" s="10" t="s">
        <v>2122</v>
      </c>
      <c r="F1924" s="6" t="s">
        <v>4336</v>
      </c>
      <c r="G1924" s="6" t="s">
        <v>104</v>
      </c>
      <c r="H1924" s="6" t="s">
        <v>6630</v>
      </c>
      <c r="I1924" s="6" t="s">
        <v>7994</v>
      </c>
      <c r="J1924" s="6" t="s">
        <v>9447</v>
      </c>
      <c r="K1924" s="6" t="s">
        <v>9714</v>
      </c>
      <c r="L1924" s="16" t="n">
        <v>44708</v>
      </c>
      <c r="M1924" s="16" t="n">
        <v>45930</v>
      </c>
      <c r="N1924" s="6" t="s">
        <v>9714</v>
      </c>
      <c r="O1924" s="16" t="n">
        <v>44708</v>
      </c>
      <c r="P1924" s="6" t="s">
        <v>10220</v>
      </c>
      <c r="Q1924" s="6" t="s">
        <v>104</v>
      </c>
      <c r="R1924" s="6" t="s">
        <v>10440</v>
      </c>
      <c r="S1924" s="6" t="s">
        <v>104</v>
      </c>
      <c r="T1924" s="21" t="s">
        <v>104</v>
      </c>
      <c r="U1924" s="6" t="s">
        <v>104</v>
      </c>
      <c r="V1924" s="6" t="s">
        <v>104</v>
      </c>
      <c r="W1924" s="6" t="s">
        <v>104</v>
      </c>
      <c r="X1924" s="6" t="s">
        <v>104</v>
      </c>
      <c r="Y1924" s="21" t="s">
        <v>104</v>
      </c>
      <c r="Z1924" s="6" t="s">
        <v>104</v>
      </c>
      <c r="AA1924" s="6" t="s">
        <v>104</v>
      </c>
      <c r="AB1924" s="6" t="s">
        <v>104</v>
      </c>
      <c r="AC1924" s="6" t="s">
        <v>9714</v>
      </c>
      <c r="AD1924" s="16" t="n">
        <v>44708</v>
      </c>
      <c r="AE1924" s="6" t="s">
        <v>12201</v>
      </c>
      <c r="AF1924" s="6" t="s">
        <v>104</v>
      </c>
      <c r="AG1924" s="6" t="s">
        <v>10440</v>
      </c>
      <c r="AH1924" s="6" t="s">
        <v>14918</v>
      </c>
      <c r="AI1924" s="6" t="s">
        <v>15334</v>
      </c>
      <c r="AJ1924" s="6" t="s">
        <v>15530</v>
      </c>
      <c r="AK1924" s="6" t="s">
        <v>15530</v>
      </c>
      <c r="AL1924" s="6" t="s">
        <v>16766</v>
      </c>
      <c r="AM1924" s="6" t="s">
        <v>17145</v>
      </c>
      <c r="AN1924" s="6" t="s">
        <v>104</v>
      </c>
      <c r="AO1924" s="6" t="s">
        <v>104</v>
      </c>
      <c r="AP1924" s="6" t="s">
        <v>104</v>
      </c>
      <c r="AQ1924" s="6" t="s">
        <v>104</v>
      </c>
      <c r="AR1924" s="6" t="s">
        <v>104</v>
      </c>
      <c r="AS1924" s="6" t="s">
        <v>104</v>
      </c>
      <c r="AT1924" s="6" t="s">
        <v>104</v>
      </c>
      <c r="AU1924" s="6" t="s">
        <v>104</v>
      </c>
      <c r="AV1924" s="6" t="s">
        <v>104</v>
      </c>
      <c r="AW1924" s="6" t="s">
        <v>104</v>
      </c>
      <c r="AX1924" s="6" t="s">
        <v>21606</v>
      </c>
      <c r="AY1924" s="6" t="s">
        <v>23420</v>
      </c>
      <c r="AZ1924" s="6" t="s">
        <v>104</v>
      </c>
      <c r="BA1924" s="6" t="s">
        <v>104</v>
      </c>
      <c r="BB1924" s="24" t="n">
        <v>54</v>
      </c>
      <c r="BC1924" s="26"/>
      <c r="BD1924" s="26"/>
      <c r="BE1924" s="26"/>
      <c r="BF1924" s="26"/>
      <c r="BG1924" s="26"/>
      <c r="BH1924" s="26"/>
      <c r="BI1924" s="26"/>
      <c r="BJ1924" s="26"/>
      <c r="BK1924" s="26"/>
      <c r="BL1924" s="26"/>
      <c r="BM1924" s="26"/>
      <c r="BN1924" s="26"/>
      <c r="BO1924" s="26"/>
      <c r="BP1924" s="16" t="n">
        <v>45665</v>
      </c>
      <c r="BQ1924" s="28" t="str">
        <f>HYPERLINK("https://organic.ams.usda.gov/Integrity/Certificate.aspx?cid=17&amp;nopid=4088107410")</f>
        <v>https://organic.ams.usda.gov/Integrity/Certificate.aspx?cid=17&amp;nopid=4088107410</v>
      </c>
    </row>
    <row r="1925">
      <c r="A1925" t="s">
        <v>3</v>
      </c>
      <c r="B1925" s="6" t="s">
        <v>21</v>
      </c>
      <c r="C1925" s="6" t="s">
        <v>87</v>
      </c>
      <c r="D1925" s="6" t="s">
        <v>152</v>
      </c>
      <c r="E1925" s="10" t="s">
        <v>2123</v>
      </c>
      <c r="F1925" s="6" t="s">
        <v>4337</v>
      </c>
      <c r="G1925" s="6" t="s">
        <v>4861</v>
      </c>
      <c r="H1925" s="6" t="s">
        <v>6631</v>
      </c>
      <c r="I1925" s="6" t="s">
        <v>7052</v>
      </c>
      <c r="J1925" s="6" t="s">
        <v>9380</v>
      </c>
      <c r="K1925" s="6" t="s">
        <v>9714</v>
      </c>
      <c r="L1925" s="16" t="n">
        <v>31472</v>
      </c>
      <c r="M1925" s="16" t="n">
        <v>46023</v>
      </c>
      <c r="N1925" s="6" t="s">
        <v>9714</v>
      </c>
      <c r="O1925" s="16" t="n">
        <v>31472</v>
      </c>
      <c r="P1925" s="6" t="s">
        <v>10221</v>
      </c>
      <c r="Q1925" s="6" t="s">
        <v>104</v>
      </c>
      <c r="R1925" s="6" t="s">
        <v>104</v>
      </c>
      <c r="S1925" s="6" t="s">
        <v>9714</v>
      </c>
      <c r="T1925" s="16" t="n">
        <v>42968</v>
      </c>
      <c r="U1925" s="6" t="s">
        <v>10501</v>
      </c>
      <c r="V1925" s="6" t="s">
        <v>104</v>
      </c>
      <c r="W1925" s="6" t="s">
        <v>104</v>
      </c>
      <c r="X1925" s="6" t="s">
        <v>104</v>
      </c>
      <c r="Y1925" s="21" t="s">
        <v>104</v>
      </c>
      <c r="Z1925" s="6" t="s">
        <v>104</v>
      </c>
      <c r="AA1925" s="6" t="s">
        <v>104</v>
      </c>
      <c r="AB1925" s="6" t="s">
        <v>104</v>
      </c>
      <c r="AC1925" s="6" t="s">
        <v>104</v>
      </c>
      <c r="AD1925" s="21" t="s">
        <v>104</v>
      </c>
      <c r="AE1925" s="6" t="s">
        <v>104</v>
      </c>
      <c r="AF1925" s="6" t="s">
        <v>104</v>
      </c>
      <c r="AG1925" s="6" t="s">
        <v>104</v>
      </c>
      <c r="AH1925" s="6" t="s">
        <v>14919</v>
      </c>
      <c r="AI1925" s="6" t="s">
        <v>104</v>
      </c>
      <c r="AJ1925" s="6" t="s">
        <v>16513</v>
      </c>
      <c r="AK1925" s="6" t="s">
        <v>16687</v>
      </c>
      <c r="AL1925" s="6" t="s">
        <v>16931</v>
      </c>
      <c r="AM1925" s="6" t="s">
        <v>18249</v>
      </c>
      <c r="AN1925" s="6" t="s">
        <v>18455</v>
      </c>
      <c r="AO1925" s="6" t="s">
        <v>18612</v>
      </c>
      <c r="AP1925" s="6" t="s">
        <v>14919</v>
      </c>
      <c r="AQ1925" s="6" t="s">
        <v>104</v>
      </c>
      <c r="AR1925" s="6" t="s">
        <v>16513</v>
      </c>
      <c r="AS1925" s="6" t="s">
        <v>16687</v>
      </c>
      <c r="AT1925" s="6" t="s">
        <v>16931</v>
      </c>
      <c r="AU1925" s="6" t="s">
        <v>18249</v>
      </c>
      <c r="AV1925" s="6" t="s">
        <v>104</v>
      </c>
      <c r="AW1925" s="6" t="s">
        <v>104</v>
      </c>
      <c r="AX1925" s="6" t="s">
        <v>21607</v>
      </c>
      <c r="AY1925" s="6" t="s">
        <v>23421</v>
      </c>
      <c r="AZ1925" s="6" t="s">
        <v>24170</v>
      </c>
      <c r="BA1925" s="6" t="s">
        <v>24263</v>
      </c>
      <c r="BB1925" s="24" t="n">
        <v>7000</v>
      </c>
      <c r="BC1925" s="26"/>
      <c r="BD1925" s="26"/>
      <c r="BE1925" s="26"/>
      <c r="BF1925" s="26"/>
      <c r="BG1925" s="26"/>
      <c r="BH1925" s="26"/>
      <c r="BI1925" s="26"/>
      <c r="BJ1925" s="26"/>
      <c r="BK1925" s="26"/>
      <c r="BL1925" s="26"/>
      <c r="BM1925" s="26"/>
      <c r="BN1925" s="26"/>
      <c r="BO1925" s="26"/>
      <c r="BP1925" s="16" t="n">
        <v>45698</v>
      </c>
      <c r="BQ1925" s="28" t="str">
        <f>HYPERLINK("https://organic.ams.usda.gov/Integrity/Certificate.aspx?cid=15&amp;nopid=5561001500")</f>
        <v>https://organic.ams.usda.gov/Integrity/Certificate.aspx?cid=15&amp;nopid=5561001500</v>
      </c>
    </row>
    <row r="1926">
      <c r="A1926" t="s">
        <v>3</v>
      </c>
      <c r="B1926" s="6" t="s">
        <v>34</v>
      </c>
      <c r="C1926" s="6" t="s">
        <v>100</v>
      </c>
      <c r="D1926" s="6" t="s">
        <v>165</v>
      </c>
      <c r="E1926" s="10" t="s">
        <v>2124</v>
      </c>
      <c r="F1926" s="6" t="s">
        <v>4338</v>
      </c>
      <c r="G1926" s="6" t="s">
        <v>104</v>
      </c>
      <c r="H1926" s="6" t="s">
        <v>6632</v>
      </c>
      <c r="I1926" s="6" t="s">
        <v>7003</v>
      </c>
      <c r="J1926" s="6" t="s">
        <v>9499</v>
      </c>
      <c r="K1926" s="6" t="s">
        <v>9714</v>
      </c>
      <c r="L1926" s="16" t="n">
        <v>44039</v>
      </c>
      <c r="M1926" s="16" t="n">
        <v>45734</v>
      </c>
      <c r="N1926" s="6" t="s">
        <v>104</v>
      </c>
      <c r="O1926" s="21" t="s">
        <v>104</v>
      </c>
      <c r="P1926" s="6" t="s">
        <v>104</v>
      </c>
      <c r="Q1926" s="6" t="s">
        <v>104</v>
      </c>
      <c r="R1926" s="6" t="s">
        <v>104</v>
      </c>
      <c r="S1926" s="6" t="s">
        <v>104</v>
      </c>
      <c r="T1926" s="21" t="s">
        <v>104</v>
      </c>
      <c r="U1926" s="6" t="s">
        <v>104</v>
      </c>
      <c r="V1926" s="6" t="s">
        <v>104</v>
      </c>
      <c r="W1926" s="6" t="s">
        <v>104</v>
      </c>
      <c r="X1926" s="6" t="s">
        <v>104</v>
      </c>
      <c r="Y1926" s="21" t="s">
        <v>104</v>
      </c>
      <c r="Z1926" s="6" t="s">
        <v>104</v>
      </c>
      <c r="AA1926" s="6" t="s">
        <v>104</v>
      </c>
      <c r="AB1926" s="6" t="s">
        <v>104</v>
      </c>
      <c r="AC1926" s="6" t="s">
        <v>9714</v>
      </c>
      <c r="AD1926" s="16" t="n">
        <v>44039</v>
      </c>
      <c r="AE1926" s="6" t="s">
        <v>12202</v>
      </c>
      <c r="AF1926" s="6" t="s">
        <v>104</v>
      </c>
      <c r="AG1926" s="6" t="s">
        <v>13069</v>
      </c>
      <c r="AH1926" s="6" t="s">
        <v>14920</v>
      </c>
      <c r="AI1926" s="6" t="s">
        <v>104</v>
      </c>
      <c r="AJ1926" s="6" t="s">
        <v>16514</v>
      </c>
      <c r="AK1926" s="6" t="s">
        <v>16687</v>
      </c>
      <c r="AL1926" s="6" t="s">
        <v>16931</v>
      </c>
      <c r="AM1926" s="6" t="s">
        <v>18250</v>
      </c>
      <c r="AN1926" s="6" t="s">
        <v>18517</v>
      </c>
      <c r="AO1926" s="6" t="s">
        <v>18726</v>
      </c>
      <c r="AP1926" s="6" t="s">
        <v>14920</v>
      </c>
      <c r="AQ1926" s="6" t="s">
        <v>104</v>
      </c>
      <c r="AR1926" s="6" t="s">
        <v>16514</v>
      </c>
      <c r="AS1926" s="6" t="s">
        <v>16687</v>
      </c>
      <c r="AT1926" s="6" t="s">
        <v>16931</v>
      </c>
      <c r="AU1926" s="6" t="s">
        <v>18250</v>
      </c>
      <c r="AV1926" s="6" t="s">
        <v>104</v>
      </c>
      <c r="AW1926" s="6" t="s">
        <v>104</v>
      </c>
      <c r="AX1926" s="6" t="s">
        <v>21608</v>
      </c>
      <c r="AY1926" s="6" t="s">
        <v>23422</v>
      </c>
      <c r="AZ1926" s="6" t="s">
        <v>24171</v>
      </c>
      <c r="BA1926" s="6" t="s">
        <v>104</v>
      </c>
      <c r="BB1926" s="6" t="s">
        <v>104</v>
      </c>
      <c r="BC1926" s="26"/>
      <c r="BD1926" s="26"/>
      <c r="BE1926" s="26" t="s">
        <v>24533</v>
      </c>
      <c r="BF1926" s="26"/>
      <c r="BG1926" s="26"/>
      <c r="BH1926" s="26"/>
      <c r="BI1926" s="26"/>
      <c r="BJ1926" s="26"/>
      <c r="BK1926" s="26"/>
      <c r="BL1926" s="26"/>
      <c r="BM1926" s="26"/>
      <c r="BN1926" s="26"/>
      <c r="BO1926" s="26"/>
      <c r="BP1926" s="16" t="n">
        <v>45737</v>
      </c>
      <c r="BQ1926" s="28" t="str">
        <f>HYPERLINK("https://organic.ams.usda.gov/Integrity/Certificate.aspx?cid=71&amp;nopid=5520550979")</f>
        <v>https://organic.ams.usda.gov/Integrity/Certificate.aspx?cid=71&amp;nopid=5520550979</v>
      </c>
    </row>
    <row r="1927">
      <c r="A1927" t="s">
        <v>3</v>
      </c>
      <c r="B1927" s="6" t="s">
        <v>29</v>
      </c>
      <c r="C1927" s="6" t="s">
        <v>95</v>
      </c>
      <c r="D1927" s="6" t="s">
        <v>160</v>
      </c>
      <c r="E1927" s="10" t="s">
        <v>2125</v>
      </c>
      <c r="F1927" s="6" t="s">
        <v>4339</v>
      </c>
      <c r="G1927" s="6" t="s">
        <v>104</v>
      </c>
      <c r="H1927" s="6" t="s">
        <v>6633</v>
      </c>
      <c r="I1927" s="6" t="s">
        <v>104</v>
      </c>
      <c r="J1927" s="6" t="s">
        <v>9500</v>
      </c>
      <c r="K1927" s="6" t="s">
        <v>9714</v>
      </c>
      <c r="L1927" s="16" t="n">
        <v>45279</v>
      </c>
      <c r="M1927" s="16" t="n">
        <v>45870</v>
      </c>
      <c r="N1927" s="6" t="s">
        <v>104</v>
      </c>
      <c r="O1927" s="21" t="s">
        <v>104</v>
      </c>
      <c r="P1927" s="6" t="s">
        <v>104</v>
      </c>
      <c r="Q1927" s="6" t="s">
        <v>104</v>
      </c>
      <c r="R1927" s="6" t="s">
        <v>104</v>
      </c>
      <c r="S1927" s="6" t="s">
        <v>104</v>
      </c>
      <c r="T1927" s="21" t="s">
        <v>104</v>
      </c>
      <c r="U1927" s="6" t="s">
        <v>104</v>
      </c>
      <c r="V1927" s="6" t="s">
        <v>104</v>
      </c>
      <c r="W1927" s="6" t="s">
        <v>104</v>
      </c>
      <c r="X1927" s="6" t="s">
        <v>104</v>
      </c>
      <c r="Y1927" s="21" t="s">
        <v>104</v>
      </c>
      <c r="Z1927" s="6" t="s">
        <v>104</v>
      </c>
      <c r="AA1927" s="6" t="s">
        <v>104</v>
      </c>
      <c r="AB1927" s="6" t="s">
        <v>104</v>
      </c>
      <c r="AC1927" s="6" t="s">
        <v>9714</v>
      </c>
      <c r="AD1927" s="16" t="n">
        <v>45279</v>
      </c>
      <c r="AE1927" s="6" t="s">
        <v>12203</v>
      </c>
      <c r="AF1927" s="6" t="s">
        <v>104</v>
      </c>
      <c r="AG1927" s="6" t="s">
        <v>104</v>
      </c>
      <c r="AH1927" s="6" t="s">
        <v>14921</v>
      </c>
      <c r="AI1927" s="6" t="s">
        <v>104</v>
      </c>
      <c r="AJ1927" s="6" t="s">
        <v>104</v>
      </c>
      <c r="AK1927" s="6" t="s">
        <v>16793</v>
      </c>
      <c r="AL1927" s="6" t="s">
        <v>16932</v>
      </c>
      <c r="AM1927" s="6" t="s">
        <v>18251</v>
      </c>
      <c r="AN1927" s="6" t="s">
        <v>104</v>
      </c>
      <c r="AO1927" s="6" t="s">
        <v>104</v>
      </c>
      <c r="AP1927" s="6" t="s">
        <v>104</v>
      </c>
      <c r="AQ1927" s="6" t="s">
        <v>104</v>
      </c>
      <c r="AR1927" s="6" t="s">
        <v>104</v>
      </c>
      <c r="AS1927" s="6" t="s">
        <v>104</v>
      </c>
      <c r="AT1927" s="6" t="s">
        <v>104</v>
      </c>
      <c r="AU1927" s="6" t="s">
        <v>104</v>
      </c>
      <c r="AV1927" s="6" t="s">
        <v>104</v>
      </c>
      <c r="AW1927" s="6" t="s">
        <v>104</v>
      </c>
      <c r="AX1927" s="6" t="s">
        <v>21609</v>
      </c>
      <c r="AY1927" s="6" t="s">
        <v>23423</v>
      </c>
      <c r="AZ1927" s="6" t="s">
        <v>104</v>
      </c>
      <c r="BA1927" s="6" t="s">
        <v>104</v>
      </c>
      <c r="BB1927" s="24" t="n">
        <v>0</v>
      </c>
      <c r="BC1927" s="26"/>
      <c r="BD1927" s="26"/>
      <c r="BE1927" s="26"/>
      <c r="BF1927" s="26"/>
      <c r="BG1927" s="26"/>
      <c r="BH1927" s="26"/>
      <c r="BI1927" s="26"/>
      <c r="BJ1927" s="26"/>
      <c r="BK1927" s="26"/>
      <c r="BL1927" s="26"/>
      <c r="BM1927" s="26"/>
      <c r="BN1927" s="26"/>
      <c r="BO1927" s="26"/>
      <c r="BP1927" s="16" t="n">
        <v>45558</v>
      </c>
      <c r="BQ1927" s="28" t="str">
        <f>HYPERLINK("https://organic.ams.usda.gov/Integrity/Certificate.aspx?cid=24&amp;nopid=7880212902")</f>
        <v>https://organic.ams.usda.gov/Integrity/Certificate.aspx?cid=24&amp;nopid=7880212902</v>
      </c>
    </row>
    <row r="1928">
      <c r="A1928" t="s">
        <v>3</v>
      </c>
      <c r="B1928" s="6" t="s">
        <v>25</v>
      </c>
      <c r="C1928" s="6" t="s">
        <v>91</v>
      </c>
      <c r="D1928" s="6" t="s">
        <v>156</v>
      </c>
      <c r="E1928" s="10" t="s">
        <v>2126</v>
      </c>
      <c r="F1928" s="6" t="s">
        <v>4340</v>
      </c>
      <c r="G1928" s="6" t="s">
        <v>104</v>
      </c>
      <c r="H1928" s="6" t="s">
        <v>6634</v>
      </c>
      <c r="I1928" s="6" t="s">
        <v>6982</v>
      </c>
      <c r="J1928" s="6" t="s">
        <v>8196</v>
      </c>
      <c r="K1928" s="6" t="s">
        <v>9714</v>
      </c>
      <c r="L1928" s="16" t="n">
        <v>44845</v>
      </c>
      <c r="M1928" s="16" t="n">
        <v>45837</v>
      </c>
      <c r="N1928" s="6" t="s">
        <v>104</v>
      </c>
      <c r="O1928" s="21" t="s">
        <v>104</v>
      </c>
      <c r="P1928" s="6" t="s">
        <v>104</v>
      </c>
      <c r="Q1928" s="6" t="s">
        <v>104</v>
      </c>
      <c r="R1928" s="6" t="s">
        <v>104</v>
      </c>
      <c r="S1928" s="6" t="s">
        <v>104</v>
      </c>
      <c r="T1928" s="21" t="s">
        <v>104</v>
      </c>
      <c r="U1928" s="6" t="s">
        <v>104</v>
      </c>
      <c r="V1928" s="6" t="s">
        <v>104</v>
      </c>
      <c r="W1928" s="6" t="s">
        <v>104</v>
      </c>
      <c r="X1928" s="6" t="s">
        <v>104</v>
      </c>
      <c r="Y1928" s="21" t="s">
        <v>104</v>
      </c>
      <c r="Z1928" s="6" t="s">
        <v>104</v>
      </c>
      <c r="AA1928" s="6" t="s">
        <v>104</v>
      </c>
      <c r="AB1928" s="6" t="s">
        <v>104</v>
      </c>
      <c r="AC1928" s="6" t="s">
        <v>9714</v>
      </c>
      <c r="AD1928" s="16" t="n">
        <v>44845</v>
      </c>
      <c r="AE1928" s="6" t="s">
        <v>12204</v>
      </c>
      <c r="AF1928" s="6" t="s">
        <v>104</v>
      </c>
      <c r="AG1928" s="6" t="s">
        <v>104</v>
      </c>
      <c r="AH1928" s="6" t="s">
        <v>14922</v>
      </c>
      <c r="AI1928" s="6" t="s">
        <v>104</v>
      </c>
      <c r="AJ1928" s="6" t="s">
        <v>16318</v>
      </c>
      <c r="AK1928" s="6" t="s">
        <v>16318</v>
      </c>
      <c r="AL1928" s="6" t="s">
        <v>16954</v>
      </c>
      <c r="AM1928" s="6" t="s">
        <v>18245</v>
      </c>
      <c r="AN1928" s="6" t="s">
        <v>104</v>
      </c>
      <c r="AO1928" s="6" t="s">
        <v>104</v>
      </c>
      <c r="AP1928" s="6" t="s">
        <v>14922</v>
      </c>
      <c r="AQ1928" s="6" t="s">
        <v>104</v>
      </c>
      <c r="AR1928" s="6" t="s">
        <v>16318</v>
      </c>
      <c r="AS1928" s="6" t="s">
        <v>16318</v>
      </c>
      <c r="AT1928" s="6" t="s">
        <v>16954</v>
      </c>
      <c r="AU1928" s="6" t="s">
        <v>18245</v>
      </c>
      <c r="AV1928" s="6" t="s">
        <v>104</v>
      </c>
      <c r="AW1928" s="6" t="s">
        <v>104</v>
      </c>
      <c r="AX1928" s="6" t="s">
        <v>20185</v>
      </c>
      <c r="AY1928" s="6" t="s">
        <v>23424</v>
      </c>
      <c r="AZ1928" s="6" t="s">
        <v>104</v>
      </c>
      <c r="BA1928" s="6" t="s">
        <v>104</v>
      </c>
      <c r="BB1928" s="6" t="s">
        <v>104</v>
      </c>
      <c r="BC1928" s="26"/>
      <c r="BD1928" s="26"/>
      <c r="BE1928" s="26"/>
      <c r="BF1928" s="26"/>
      <c r="BG1928" s="26"/>
      <c r="BH1928" s="26" t="s">
        <v>24533</v>
      </c>
      <c r="BI1928" s="26"/>
      <c r="BJ1928" s="26"/>
      <c r="BK1928" s="26"/>
      <c r="BL1928" s="26"/>
      <c r="BM1928" s="26"/>
      <c r="BN1928" s="26"/>
      <c r="BO1928" s="26"/>
      <c r="BP1928" s="16" t="n">
        <v>45737</v>
      </c>
      <c r="BQ1928" s="28" t="str">
        <f>HYPERLINK("https://organic.ams.usda.gov/Integrity/Certificate.aspx?cid=66&amp;nopid=5500006818")</f>
        <v>https://organic.ams.usda.gov/Integrity/Certificate.aspx?cid=66&amp;nopid=5500006818</v>
      </c>
    </row>
    <row r="1929">
      <c r="A1929" t="s">
        <v>3</v>
      </c>
      <c r="B1929" s="6" t="s">
        <v>18</v>
      </c>
      <c r="C1929" s="6" t="s">
        <v>84</v>
      </c>
      <c r="D1929" s="6" t="s">
        <v>149</v>
      </c>
      <c r="E1929" s="10" t="s">
        <v>2127</v>
      </c>
      <c r="F1929" s="6" t="s">
        <v>4341</v>
      </c>
      <c r="G1929" s="6" t="s">
        <v>104</v>
      </c>
      <c r="H1929" s="6" t="s">
        <v>6635</v>
      </c>
      <c r="I1929" s="6" t="s">
        <v>7476</v>
      </c>
      <c r="J1929" s="6" t="s">
        <v>9501</v>
      </c>
      <c r="K1929" s="6" t="s">
        <v>9714</v>
      </c>
      <c r="L1929" s="16" t="n">
        <v>45691</v>
      </c>
      <c r="M1929" s="16" t="n">
        <v>46056</v>
      </c>
      <c r="N1929" s="6" t="s">
        <v>104</v>
      </c>
      <c r="O1929" s="21" t="s">
        <v>104</v>
      </c>
      <c r="P1929" s="6" t="s">
        <v>104</v>
      </c>
      <c r="Q1929" s="6" t="s">
        <v>104</v>
      </c>
      <c r="R1929" s="6" t="s">
        <v>104</v>
      </c>
      <c r="S1929" s="6" t="s">
        <v>104</v>
      </c>
      <c r="T1929" s="21" t="s">
        <v>104</v>
      </c>
      <c r="U1929" s="6" t="s">
        <v>104</v>
      </c>
      <c r="V1929" s="6" t="s">
        <v>104</v>
      </c>
      <c r="W1929" s="6" t="s">
        <v>104</v>
      </c>
      <c r="X1929" s="6" t="s">
        <v>104</v>
      </c>
      <c r="Y1929" s="21" t="s">
        <v>104</v>
      </c>
      <c r="Z1929" s="6" t="s">
        <v>104</v>
      </c>
      <c r="AA1929" s="6" t="s">
        <v>104</v>
      </c>
      <c r="AB1929" s="6" t="s">
        <v>104</v>
      </c>
      <c r="AC1929" s="6" t="s">
        <v>9714</v>
      </c>
      <c r="AD1929" s="16" t="n">
        <v>45691</v>
      </c>
      <c r="AE1929" s="6" t="s">
        <v>12205</v>
      </c>
      <c r="AF1929" s="6" t="s">
        <v>104</v>
      </c>
      <c r="AG1929" s="6" t="s">
        <v>13070</v>
      </c>
      <c r="AH1929" s="6" t="s">
        <v>14923</v>
      </c>
      <c r="AI1929" s="6" t="s">
        <v>104</v>
      </c>
      <c r="AJ1929" s="6" t="s">
        <v>16515</v>
      </c>
      <c r="AK1929" s="6" t="s">
        <v>16738</v>
      </c>
      <c r="AL1929" s="6" t="s">
        <v>16931</v>
      </c>
      <c r="AM1929" s="6" t="s">
        <v>18252</v>
      </c>
      <c r="AN1929" s="6" t="s">
        <v>104</v>
      </c>
      <c r="AO1929" s="6" t="s">
        <v>104</v>
      </c>
      <c r="AP1929" s="6" t="s">
        <v>19456</v>
      </c>
      <c r="AQ1929" s="6" t="s">
        <v>104</v>
      </c>
      <c r="AR1929" s="6" t="s">
        <v>16515</v>
      </c>
      <c r="AS1929" s="6" t="s">
        <v>16738</v>
      </c>
      <c r="AT1929" s="6" t="s">
        <v>16931</v>
      </c>
      <c r="AU1929" s="6" t="s">
        <v>18252</v>
      </c>
      <c r="AV1929" s="6" t="s">
        <v>104</v>
      </c>
      <c r="AW1929" s="6" t="s">
        <v>104</v>
      </c>
      <c r="AX1929" s="6" t="s">
        <v>21610</v>
      </c>
      <c r="AY1929" s="6" t="s">
        <v>23425</v>
      </c>
      <c r="AZ1929" s="6" t="s">
        <v>104</v>
      </c>
      <c r="BA1929" s="6" t="s">
        <v>104</v>
      </c>
      <c r="BB1929" s="6" t="s">
        <v>104</v>
      </c>
      <c r="BC1929" s="26"/>
      <c r="BD1929" s="26"/>
      <c r="BE1929" s="26"/>
      <c r="BF1929" s="26"/>
      <c r="BG1929" s="26"/>
      <c r="BH1929" s="26" t="s">
        <v>24533</v>
      </c>
      <c r="BI1929" s="26"/>
      <c r="BJ1929" s="26"/>
      <c r="BK1929" s="26"/>
      <c r="BL1929" s="26"/>
      <c r="BM1929" s="26"/>
      <c r="BN1929" s="26"/>
      <c r="BO1929" s="26"/>
      <c r="BP1929" s="16" t="n">
        <v>45737</v>
      </c>
      <c r="BQ1929" s="28" t="str">
        <f>HYPERLINK("https://organic.ams.usda.gov/Integrity/Certificate.aspx?cid=31&amp;nopid=3928972490")</f>
        <v>https://organic.ams.usda.gov/Integrity/Certificate.aspx?cid=31&amp;nopid=3928972490</v>
      </c>
    </row>
    <row r="1930">
      <c r="A1930" t="s">
        <v>3</v>
      </c>
      <c r="B1930" s="6" t="s">
        <v>29</v>
      </c>
      <c r="C1930" s="6" t="s">
        <v>95</v>
      </c>
      <c r="D1930" s="6" t="s">
        <v>160</v>
      </c>
      <c r="E1930" s="10" t="s">
        <v>2128</v>
      </c>
      <c r="F1930" s="6" t="s">
        <v>4342</v>
      </c>
      <c r="G1930" s="6" t="s">
        <v>104</v>
      </c>
      <c r="H1930" s="6" t="s">
        <v>6636</v>
      </c>
      <c r="I1930" s="6" t="s">
        <v>104</v>
      </c>
      <c r="J1930" s="6" t="s">
        <v>9502</v>
      </c>
      <c r="K1930" s="6" t="s">
        <v>9714</v>
      </c>
      <c r="L1930" s="16" t="n">
        <v>44586</v>
      </c>
      <c r="M1930" s="16" t="n">
        <v>45778</v>
      </c>
      <c r="N1930" s="6" t="s">
        <v>9714</v>
      </c>
      <c r="O1930" s="16" t="n">
        <v>44586</v>
      </c>
      <c r="P1930" s="6" t="s">
        <v>10222</v>
      </c>
      <c r="Q1930" s="6" t="s">
        <v>104</v>
      </c>
      <c r="R1930" s="6" t="s">
        <v>104</v>
      </c>
      <c r="S1930" s="6" t="s">
        <v>104</v>
      </c>
      <c r="T1930" s="21" t="s">
        <v>104</v>
      </c>
      <c r="U1930" s="6" t="s">
        <v>104</v>
      </c>
      <c r="V1930" s="6" t="s">
        <v>104</v>
      </c>
      <c r="W1930" s="6" t="s">
        <v>104</v>
      </c>
      <c r="X1930" s="6" t="s">
        <v>104</v>
      </c>
      <c r="Y1930" s="21" t="s">
        <v>104</v>
      </c>
      <c r="Z1930" s="6" t="s">
        <v>104</v>
      </c>
      <c r="AA1930" s="6" t="s">
        <v>104</v>
      </c>
      <c r="AB1930" s="6" t="s">
        <v>104</v>
      </c>
      <c r="AC1930" s="6" t="s">
        <v>9714</v>
      </c>
      <c r="AD1930" s="16" t="n">
        <v>44586</v>
      </c>
      <c r="AE1930" s="6" t="s">
        <v>12206</v>
      </c>
      <c r="AF1930" s="6" t="s">
        <v>104</v>
      </c>
      <c r="AG1930" s="6" t="s">
        <v>104</v>
      </c>
      <c r="AH1930" s="6" t="s">
        <v>14924</v>
      </c>
      <c r="AI1930" s="6" t="s">
        <v>104</v>
      </c>
      <c r="AJ1930" s="6" t="s">
        <v>16516</v>
      </c>
      <c r="AK1930" s="6" t="s">
        <v>16762</v>
      </c>
      <c r="AL1930" s="6" t="s">
        <v>16960</v>
      </c>
      <c r="AM1930" s="6" t="s">
        <v>18253</v>
      </c>
      <c r="AN1930" s="6" t="s">
        <v>104</v>
      </c>
      <c r="AO1930" s="6" t="s">
        <v>104</v>
      </c>
      <c r="AP1930" s="6" t="s">
        <v>104</v>
      </c>
      <c r="AQ1930" s="6" t="s">
        <v>104</v>
      </c>
      <c r="AR1930" s="6" t="s">
        <v>104</v>
      </c>
      <c r="AS1930" s="6" t="s">
        <v>104</v>
      </c>
      <c r="AT1930" s="6" t="s">
        <v>104</v>
      </c>
      <c r="AU1930" s="6" t="s">
        <v>104</v>
      </c>
      <c r="AV1930" s="6" t="s">
        <v>104</v>
      </c>
      <c r="AW1930" s="6" t="s">
        <v>104</v>
      </c>
      <c r="AX1930" s="6" t="s">
        <v>21611</v>
      </c>
      <c r="AY1930" s="6" t="s">
        <v>23426</v>
      </c>
      <c r="AZ1930" s="6" t="s">
        <v>104</v>
      </c>
      <c r="BA1930" s="6" t="s">
        <v>104</v>
      </c>
      <c r="BB1930" s="24" t="n">
        <v>235</v>
      </c>
      <c r="BC1930" s="26"/>
      <c r="BD1930" s="26"/>
      <c r="BE1930" s="26"/>
      <c r="BF1930" s="26"/>
      <c r="BG1930" s="26"/>
      <c r="BH1930" s="26"/>
      <c r="BI1930" s="26"/>
      <c r="BJ1930" s="26"/>
      <c r="BK1930" s="26"/>
      <c r="BL1930" s="26"/>
      <c r="BM1930" s="26"/>
      <c r="BN1930" s="26"/>
      <c r="BO1930" s="26"/>
      <c r="BP1930" s="16" t="n">
        <v>45711</v>
      </c>
      <c r="BQ1930" s="28" t="str">
        <f>HYPERLINK("https://organic.ams.usda.gov/Integrity/Certificate.aspx?cid=24&amp;nopid=7880251840")</f>
        <v>https://organic.ams.usda.gov/Integrity/Certificate.aspx?cid=24&amp;nopid=7880251840</v>
      </c>
    </row>
    <row r="1931">
      <c r="A1931" t="s">
        <v>3</v>
      </c>
      <c r="B1931" s="6" t="s">
        <v>19</v>
      </c>
      <c r="C1931" s="6" t="s">
        <v>85</v>
      </c>
      <c r="D1931" s="6" t="s">
        <v>150</v>
      </c>
      <c r="E1931" s="10" t="s">
        <v>2129</v>
      </c>
      <c r="F1931" s="6" t="s">
        <v>4343</v>
      </c>
      <c r="G1931" s="6" t="s">
        <v>104</v>
      </c>
      <c r="H1931" s="6" t="s">
        <v>6637</v>
      </c>
      <c r="I1931" s="6" t="s">
        <v>7540</v>
      </c>
      <c r="J1931" s="6" t="s">
        <v>9503</v>
      </c>
      <c r="K1931" s="6" t="s">
        <v>9714</v>
      </c>
      <c r="L1931" s="16" t="n">
        <v>37550</v>
      </c>
      <c r="M1931" s="16" t="n">
        <v>45717</v>
      </c>
      <c r="N1931" s="6" t="s">
        <v>9714</v>
      </c>
      <c r="O1931" s="16" t="n">
        <v>37550</v>
      </c>
      <c r="P1931" s="6" t="s">
        <v>10223</v>
      </c>
      <c r="Q1931" s="6" t="s">
        <v>104</v>
      </c>
      <c r="R1931" s="6" t="s">
        <v>104</v>
      </c>
      <c r="S1931" s="6" t="s">
        <v>104</v>
      </c>
      <c r="T1931" s="21" t="s">
        <v>104</v>
      </c>
      <c r="U1931" s="6" t="s">
        <v>104</v>
      </c>
      <c r="V1931" s="6" t="s">
        <v>104</v>
      </c>
      <c r="W1931" s="6" t="s">
        <v>104</v>
      </c>
      <c r="X1931" s="6" t="s">
        <v>104</v>
      </c>
      <c r="Y1931" s="21" t="s">
        <v>104</v>
      </c>
      <c r="Z1931" s="6" t="s">
        <v>104</v>
      </c>
      <c r="AA1931" s="6" t="s">
        <v>104</v>
      </c>
      <c r="AB1931" s="6" t="s">
        <v>104</v>
      </c>
      <c r="AC1931" s="6" t="s">
        <v>9714</v>
      </c>
      <c r="AD1931" s="16" t="n">
        <v>37550</v>
      </c>
      <c r="AE1931" s="6" t="s">
        <v>12207</v>
      </c>
      <c r="AF1931" s="6" t="s">
        <v>104</v>
      </c>
      <c r="AG1931" s="6" t="s">
        <v>104</v>
      </c>
      <c r="AH1931" s="6" t="s">
        <v>14925</v>
      </c>
      <c r="AI1931" s="6" t="s">
        <v>104</v>
      </c>
      <c r="AJ1931" s="6" t="s">
        <v>16517</v>
      </c>
      <c r="AK1931" s="6" t="s">
        <v>16686</v>
      </c>
      <c r="AL1931" s="6" t="s">
        <v>16931</v>
      </c>
      <c r="AM1931" s="6" t="s">
        <v>18254</v>
      </c>
      <c r="AN1931" s="6" t="s">
        <v>18479</v>
      </c>
      <c r="AO1931" s="6" t="s">
        <v>18900</v>
      </c>
      <c r="AP1931" s="6" t="s">
        <v>14925</v>
      </c>
      <c r="AQ1931" s="6" t="s">
        <v>104</v>
      </c>
      <c r="AR1931" s="6" t="s">
        <v>16517</v>
      </c>
      <c r="AS1931" s="6" t="s">
        <v>16686</v>
      </c>
      <c r="AT1931" s="6" t="s">
        <v>16931</v>
      </c>
      <c r="AU1931" s="6" t="s">
        <v>18254</v>
      </c>
      <c r="AV1931" s="6" t="s">
        <v>104</v>
      </c>
      <c r="AW1931" s="6" t="s">
        <v>104</v>
      </c>
      <c r="AX1931" s="6" t="s">
        <v>21612</v>
      </c>
      <c r="AY1931" s="6" t="s">
        <v>23427</v>
      </c>
      <c r="AZ1931" s="6" t="s">
        <v>24172</v>
      </c>
      <c r="BA1931" s="6" t="s">
        <v>104</v>
      </c>
      <c r="BB1931" s="24" t="n">
        <v>265</v>
      </c>
      <c r="BC1931" s="26"/>
      <c r="BD1931" s="26"/>
      <c r="BE1931" s="26"/>
      <c r="BF1931" s="26"/>
      <c r="BG1931" s="26"/>
      <c r="BH1931" s="26"/>
      <c r="BI1931" s="26"/>
      <c r="BJ1931" s="26"/>
      <c r="BK1931" s="26"/>
      <c r="BL1931" s="26"/>
      <c r="BM1931" s="26"/>
      <c r="BN1931" s="26"/>
      <c r="BO1931" s="26"/>
      <c r="BP1931" s="16" t="n">
        <v>45702</v>
      </c>
      <c r="BQ1931" s="28" t="str">
        <f>HYPERLINK("https://organic.ams.usda.gov/Integrity/Certificate.aspx?cid=68&amp;nopid=8210003752")</f>
        <v>https://organic.ams.usda.gov/Integrity/Certificate.aspx?cid=68&amp;nopid=8210003752</v>
      </c>
    </row>
    <row r="1932">
      <c r="A1932" t="s">
        <v>3</v>
      </c>
      <c r="B1932" s="6" t="s">
        <v>29</v>
      </c>
      <c r="C1932" s="6" t="s">
        <v>95</v>
      </c>
      <c r="D1932" s="6" t="s">
        <v>160</v>
      </c>
      <c r="E1932" s="10" t="s">
        <v>2130</v>
      </c>
      <c r="F1932" s="6" t="s">
        <v>4344</v>
      </c>
      <c r="G1932" s="6" t="s">
        <v>104</v>
      </c>
      <c r="H1932" s="6" t="s">
        <v>6638</v>
      </c>
      <c r="I1932" s="6" t="s">
        <v>104</v>
      </c>
      <c r="J1932" s="6" t="s">
        <v>9502</v>
      </c>
      <c r="K1932" s="6" t="s">
        <v>9714</v>
      </c>
      <c r="L1932" s="16" t="n">
        <v>44586</v>
      </c>
      <c r="M1932" s="16" t="n">
        <v>45778</v>
      </c>
      <c r="N1932" s="6" t="s">
        <v>9714</v>
      </c>
      <c r="O1932" s="16" t="n">
        <v>44586</v>
      </c>
      <c r="P1932" s="6" t="s">
        <v>10224</v>
      </c>
      <c r="Q1932" s="6" t="s">
        <v>104</v>
      </c>
      <c r="R1932" s="6" t="s">
        <v>104</v>
      </c>
      <c r="S1932" s="6" t="s">
        <v>104</v>
      </c>
      <c r="T1932" s="21" t="s">
        <v>104</v>
      </c>
      <c r="U1932" s="6" t="s">
        <v>104</v>
      </c>
      <c r="V1932" s="6" t="s">
        <v>104</v>
      </c>
      <c r="W1932" s="6" t="s">
        <v>104</v>
      </c>
      <c r="X1932" s="6" t="s">
        <v>104</v>
      </c>
      <c r="Y1932" s="21" t="s">
        <v>104</v>
      </c>
      <c r="Z1932" s="6" t="s">
        <v>104</v>
      </c>
      <c r="AA1932" s="6" t="s">
        <v>104</v>
      </c>
      <c r="AB1932" s="6" t="s">
        <v>104</v>
      </c>
      <c r="AC1932" s="6" t="s">
        <v>9714</v>
      </c>
      <c r="AD1932" s="16" t="n">
        <v>44586</v>
      </c>
      <c r="AE1932" s="6" t="s">
        <v>12208</v>
      </c>
      <c r="AF1932" s="6" t="s">
        <v>104</v>
      </c>
      <c r="AG1932" s="6" t="s">
        <v>104</v>
      </c>
      <c r="AH1932" s="6" t="s">
        <v>14926</v>
      </c>
      <c r="AI1932" s="6" t="s">
        <v>104</v>
      </c>
      <c r="AJ1932" s="6" t="s">
        <v>16518</v>
      </c>
      <c r="AK1932" s="6" t="s">
        <v>16762</v>
      </c>
      <c r="AL1932" s="6" t="s">
        <v>16960</v>
      </c>
      <c r="AM1932" s="6" t="s">
        <v>18255</v>
      </c>
      <c r="AN1932" s="6" t="s">
        <v>104</v>
      </c>
      <c r="AO1932" s="6" t="s">
        <v>104</v>
      </c>
      <c r="AP1932" s="6" t="s">
        <v>104</v>
      </c>
      <c r="AQ1932" s="6" t="s">
        <v>104</v>
      </c>
      <c r="AR1932" s="6" t="s">
        <v>104</v>
      </c>
      <c r="AS1932" s="6" t="s">
        <v>104</v>
      </c>
      <c r="AT1932" s="6" t="s">
        <v>104</v>
      </c>
      <c r="AU1932" s="6" t="s">
        <v>104</v>
      </c>
      <c r="AV1932" s="6" t="s">
        <v>104</v>
      </c>
      <c r="AW1932" s="6" t="s">
        <v>104</v>
      </c>
      <c r="AX1932" s="6" t="s">
        <v>21613</v>
      </c>
      <c r="AY1932" s="6" t="s">
        <v>23428</v>
      </c>
      <c r="AZ1932" s="6" t="s">
        <v>104</v>
      </c>
      <c r="BA1932" s="6" t="s">
        <v>104</v>
      </c>
      <c r="BB1932" s="24" t="n">
        <v>561</v>
      </c>
      <c r="BC1932" s="26"/>
      <c r="BD1932" s="26"/>
      <c r="BE1932" s="26"/>
      <c r="BF1932" s="26"/>
      <c r="BG1932" s="26"/>
      <c r="BH1932" s="26"/>
      <c r="BI1932" s="26"/>
      <c r="BJ1932" s="26"/>
      <c r="BK1932" s="26"/>
      <c r="BL1932" s="26"/>
      <c r="BM1932" s="26"/>
      <c r="BN1932" s="26"/>
      <c r="BO1932" s="26"/>
      <c r="BP1932" s="16" t="n">
        <v>45711</v>
      </c>
      <c r="BQ1932" s="28" t="str">
        <f>HYPERLINK("https://organic.ams.usda.gov/Integrity/Certificate.aspx?cid=24&amp;nopid=7880251841")</f>
        <v>https://organic.ams.usda.gov/Integrity/Certificate.aspx?cid=24&amp;nopid=7880251841</v>
      </c>
    </row>
    <row r="1933">
      <c r="A1933" t="s">
        <v>3</v>
      </c>
      <c r="B1933" s="6" t="s">
        <v>12</v>
      </c>
      <c r="C1933" s="6" t="s">
        <v>78</v>
      </c>
      <c r="D1933" s="6" t="s">
        <v>143</v>
      </c>
      <c r="E1933" s="10" t="s">
        <v>2131</v>
      </c>
      <c r="F1933" s="6" t="s">
        <v>4345</v>
      </c>
      <c r="G1933" s="6" t="s">
        <v>104</v>
      </c>
      <c r="H1933" s="6" t="s">
        <v>104</v>
      </c>
      <c r="I1933" s="6" t="s">
        <v>7143</v>
      </c>
      <c r="J1933" s="6" t="s">
        <v>9504</v>
      </c>
      <c r="K1933" s="6" t="s">
        <v>9714</v>
      </c>
      <c r="L1933" s="16" t="n">
        <v>44620</v>
      </c>
      <c r="M1933" s="16" t="n">
        <v>45809</v>
      </c>
      <c r="N1933" s="6" t="s">
        <v>104</v>
      </c>
      <c r="O1933" s="21" t="s">
        <v>104</v>
      </c>
      <c r="P1933" s="6" t="s">
        <v>104</v>
      </c>
      <c r="Q1933" s="6" t="s">
        <v>104</v>
      </c>
      <c r="R1933" s="6" t="s">
        <v>104</v>
      </c>
      <c r="S1933" s="6" t="s">
        <v>104</v>
      </c>
      <c r="T1933" s="21" t="s">
        <v>104</v>
      </c>
      <c r="U1933" s="6" t="s">
        <v>104</v>
      </c>
      <c r="V1933" s="6" t="s">
        <v>104</v>
      </c>
      <c r="W1933" s="6" t="s">
        <v>104</v>
      </c>
      <c r="X1933" s="6" t="s">
        <v>104</v>
      </c>
      <c r="Y1933" s="21" t="s">
        <v>104</v>
      </c>
      <c r="Z1933" s="6" t="s">
        <v>104</v>
      </c>
      <c r="AA1933" s="6" t="s">
        <v>104</v>
      </c>
      <c r="AB1933" s="6" t="s">
        <v>104</v>
      </c>
      <c r="AC1933" s="6" t="s">
        <v>9714</v>
      </c>
      <c r="AD1933" s="16" t="n">
        <v>44728</v>
      </c>
      <c r="AE1933" s="6" t="s">
        <v>12209</v>
      </c>
      <c r="AF1933" s="6" t="s">
        <v>104</v>
      </c>
      <c r="AG1933" s="6" t="s">
        <v>104</v>
      </c>
      <c r="AH1933" s="6" t="s">
        <v>14927</v>
      </c>
      <c r="AI1933" s="6" t="s">
        <v>104</v>
      </c>
      <c r="AJ1933" s="6" t="s">
        <v>16519</v>
      </c>
      <c r="AK1933" s="6" t="s">
        <v>16742</v>
      </c>
      <c r="AL1933" s="6" t="s">
        <v>16931</v>
      </c>
      <c r="AM1933" s="6" t="s">
        <v>18256</v>
      </c>
      <c r="AN1933" s="6" t="s">
        <v>17550</v>
      </c>
      <c r="AO1933" s="6" t="s">
        <v>18901</v>
      </c>
      <c r="AP1933" s="6" t="s">
        <v>14927</v>
      </c>
      <c r="AQ1933" s="6" t="s">
        <v>104</v>
      </c>
      <c r="AR1933" s="6" t="s">
        <v>16519</v>
      </c>
      <c r="AS1933" s="6" t="s">
        <v>16742</v>
      </c>
      <c r="AT1933" s="6" t="s">
        <v>16931</v>
      </c>
      <c r="AU1933" s="6" t="s">
        <v>18256</v>
      </c>
      <c r="AV1933" s="6" t="s">
        <v>104</v>
      </c>
      <c r="AW1933" s="6" t="s">
        <v>104</v>
      </c>
      <c r="AX1933" s="6" t="s">
        <v>104</v>
      </c>
      <c r="AY1933" s="6" t="s">
        <v>23429</v>
      </c>
      <c r="AZ1933" s="6" t="s">
        <v>104</v>
      </c>
      <c r="BA1933" s="6" t="s">
        <v>104</v>
      </c>
      <c r="BB1933" s="6" t="s">
        <v>104</v>
      </c>
      <c r="BC1933" s="26"/>
      <c r="BD1933" s="26"/>
      <c r="BE1933" s="26"/>
      <c r="BF1933" s="26"/>
      <c r="BG1933" s="26"/>
      <c r="BH1933" s="26"/>
      <c r="BI1933" s="26"/>
      <c r="BJ1933" s="26"/>
      <c r="BK1933" s="26"/>
      <c r="BL1933" s="26"/>
      <c r="BM1933" s="26"/>
      <c r="BN1933" s="26"/>
      <c r="BO1933" s="26"/>
      <c r="BP1933" s="16" t="n">
        <v>45628</v>
      </c>
      <c r="BQ1933" s="28" t="str">
        <f>HYPERLINK("https://organic.ams.usda.gov/Integrity/Certificate.aspx?cid=1&amp;nopid=9092129308")</f>
        <v>https://organic.ams.usda.gov/Integrity/Certificate.aspx?cid=1&amp;nopid=9092129308</v>
      </c>
    </row>
    <row r="1934">
      <c r="A1934" t="s">
        <v>3</v>
      </c>
      <c r="B1934" s="6" t="s">
        <v>25</v>
      </c>
      <c r="C1934" s="6" t="s">
        <v>91</v>
      </c>
      <c r="D1934" s="6" t="s">
        <v>156</v>
      </c>
      <c r="E1934" s="10" t="s">
        <v>2132</v>
      </c>
      <c r="F1934" s="6" t="s">
        <v>4346</v>
      </c>
      <c r="G1934" s="6" t="s">
        <v>104</v>
      </c>
      <c r="H1934" s="6" t="s">
        <v>6639</v>
      </c>
      <c r="I1934" s="6" t="s">
        <v>7764</v>
      </c>
      <c r="J1934" s="6" t="s">
        <v>9182</v>
      </c>
      <c r="K1934" s="6" t="s">
        <v>9714</v>
      </c>
      <c r="L1934" s="16" t="n">
        <v>44769</v>
      </c>
      <c r="M1934" s="16" t="n">
        <v>45800</v>
      </c>
      <c r="N1934" s="6" t="s">
        <v>104</v>
      </c>
      <c r="O1934" s="21" t="s">
        <v>104</v>
      </c>
      <c r="P1934" s="6" t="s">
        <v>104</v>
      </c>
      <c r="Q1934" s="6" t="s">
        <v>104</v>
      </c>
      <c r="R1934" s="6" t="s">
        <v>104</v>
      </c>
      <c r="S1934" s="6" t="s">
        <v>104</v>
      </c>
      <c r="T1934" s="21" t="s">
        <v>104</v>
      </c>
      <c r="U1934" s="6" t="s">
        <v>104</v>
      </c>
      <c r="V1934" s="6" t="s">
        <v>104</v>
      </c>
      <c r="W1934" s="6" t="s">
        <v>104</v>
      </c>
      <c r="X1934" s="6" t="s">
        <v>104</v>
      </c>
      <c r="Y1934" s="21" t="s">
        <v>104</v>
      </c>
      <c r="Z1934" s="6" t="s">
        <v>104</v>
      </c>
      <c r="AA1934" s="6" t="s">
        <v>104</v>
      </c>
      <c r="AB1934" s="6" t="s">
        <v>104</v>
      </c>
      <c r="AC1934" s="6" t="s">
        <v>9714</v>
      </c>
      <c r="AD1934" s="16" t="n">
        <v>44769</v>
      </c>
      <c r="AE1934" s="6" t="s">
        <v>12210</v>
      </c>
      <c r="AF1934" s="6" t="s">
        <v>104</v>
      </c>
      <c r="AG1934" s="6" t="s">
        <v>104</v>
      </c>
      <c r="AH1934" s="6" t="s">
        <v>14928</v>
      </c>
      <c r="AI1934" s="6" t="s">
        <v>104</v>
      </c>
      <c r="AJ1934" s="6" t="s">
        <v>16520</v>
      </c>
      <c r="AK1934" s="6" t="s">
        <v>16370</v>
      </c>
      <c r="AL1934" s="6" t="s">
        <v>16931</v>
      </c>
      <c r="AM1934" s="6" t="s">
        <v>18257</v>
      </c>
      <c r="AN1934" s="6" t="s">
        <v>104</v>
      </c>
      <c r="AO1934" s="6" t="s">
        <v>104</v>
      </c>
      <c r="AP1934" s="6" t="s">
        <v>19457</v>
      </c>
      <c r="AQ1934" s="6" t="s">
        <v>104</v>
      </c>
      <c r="AR1934" s="6" t="s">
        <v>16020</v>
      </c>
      <c r="AS1934" s="6" t="s">
        <v>16730</v>
      </c>
      <c r="AT1934" s="6" t="s">
        <v>16931</v>
      </c>
      <c r="AU1934" s="6" t="s">
        <v>17929</v>
      </c>
      <c r="AV1934" s="6" t="s">
        <v>104</v>
      </c>
      <c r="AW1934" s="6" t="s">
        <v>104</v>
      </c>
      <c r="AX1934" s="6" t="s">
        <v>21614</v>
      </c>
      <c r="AY1934" s="6" t="s">
        <v>23026</v>
      </c>
      <c r="AZ1934" s="6" t="s">
        <v>104</v>
      </c>
      <c r="BA1934" s="6" t="s">
        <v>24264</v>
      </c>
      <c r="BB1934" s="6" t="s">
        <v>104</v>
      </c>
      <c r="BC1934" s="26"/>
      <c r="BD1934" s="26"/>
      <c r="BE1934" s="26"/>
      <c r="BF1934" s="26"/>
      <c r="BG1934" s="26"/>
      <c r="BH1934" s="26" t="s">
        <v>24533</v>
      </c>
      <c r="BI1934" s="26"/>
      <c r="BJ1934" s="26"/>
      <c r="BK1934" s="26"/>
      <c r="BL1934" s="26"/>
      <c r="BM1934" s="26"/>
      <c r="BN1934" s="26"/>
      <c r="BO1934" s="26"/>
      <c r="BP1934" s="16" t="n">
        <v>45499</v>
      </c>
      <c r="BQ1934" s="28" t="str">
        <f>HYPERLINK("https://organic.ams.usda.gov/Integrity/Certificate.aspx?cid=66&amp;nopid=5500006838")</f>
        <v>https://organic.ams.usda.gov/Integrity/Certificate.aspx?cid=66&amp;nopid=5500006838</v>
      </c>
    </row>
    <row r="1935">
      <c r="A1935" t="s">
        <v>3</v>
      </c>
      <c r="B1935" s="6" t="s">
        <v>34</v>
      </c>
      <c r="C1935" s="6" t="s">
        <v>100</v>
      </c>
      <c r="D1935" s="6" t="s">
        <v>165</v>
      </c>
      <c r="E1935" s="10" t="s">
        <v>2133</v>
      </c>
      <c r="F1935" s="6" t="s">
        <v>4347</v>
      </c>
      <c r="G1935" s="6" t="s">
        <v>104</v>
      </c>
      <c r="H1935" s="6" t="s">
        <v>6640</v>
      </c>
      <c r="I1935" s="6" t="s">
        <v>6949</v>
      </c>
      <c r="J1935" s="6" t="s">
        <v>9505</v>
      </c>
      <c r="K1935" s="6" t="s">
        <v>9714</v>
      </c>
      <c r="L1935" s="16" t="n">
        <v>41331</v>
      </c>
      <c r="M1935" s="16" t="n">
        <v>45869</v>
      </c>
      <c r="N1935" s="6" t="s">
        <v>104</v>
      </c>
      <c r="O1935" s="21" t="s">
        <v>104</v>
      </c>
      <c r="P1935" s="6" t="s">
        <v>104</v>
      </c>
      <c r="Q1935" s="6" t="s">
        <v>104</v>
      </c>
      <c r="R1935" s="6" t="s">
        <v>104</v>
      </c>
      <c r="S1935" s="6" t="s">
        <v>104</v>
      </c>
      <c r="T1935" s="21" t="s">
        <v>104</v>
      </c>
      <c r="U1935" s="6" t="s">
        <v>104</v>
      </c>
      <c r="V1935" s="6" t="s">
        <v>104</v>
      </c>
      <c r="W1935" s="6" t="s">
        <v>104</v>
      </c>
      <c r="X1935" s="6" t="s">
        <v>104</v>
      </c>
      <c r="Y1935" s="21" t="s">
        <v>104</v>
      </c>
      <c r="Z1935" s="6" t="s">
        <v>104</v>
      </c>
      <c r="AA1935" s="6" t="s">
        <v>104</v>
      </c>
      <c r="AB1935" s="6" t="s">
        <v>104</v>
      </c>
      <c r="AC1935" s="6" t="s">
        <v>9714</v>
      </c>
      <c r="AD1935" s="16" t="n">
        <v>41331</v>
      </c>
      <c r="AE1935" s="6" t="s">
        <v>12211</v>
      </c>
      <c r="AF1935" s="6" t="s">
        <v>104</v>
      </c>
      <c r="AG1935" s="6" t="s">
        <v>13071</v>
      </c>
      <c r="AH1935" s="6" t="s">
        <v>14929</v>
      </c>
      <c r="AI1935" s="6" t="s">
        <v>104</v>
      </c>
      <c r="AJ1935" s="6" t="s">
        <v>16521</v>
      </c>
      <c r="AK1935" s="6" t="s">
        <v>15697</v>
      </c>
      <c r="AL1935" s="6" t="s">
        <v>16931</v>
      </c>
      <c r="AM1935" s="6" t="s">
        <v>18258</v>
      </c>
      <c r="AN1935" s="6" t="s">
        <v>18509</v>
      </c>
      <c r="AO1935" s="6" t="s">
        <v>18731</v>
      </c>
      <c r="AP1935" s="6" t="s">
        <v>14929</v>
      </c>
      <c r="AQ1935" s="6" t="s">
        <v>104</v>
      </c>
      <c r="AR1935" s="6" t="s">
        <v>16521</v>
      </c>
      <c r="AS1935" s="6" t="s">
        <v>15697</v>
      </c>
      <c r="AT1935" s="6" t="s">
        <v>16931</v>
      </c>
      <c r="AU1935" s="6" t="s">
        <v>18258</v>
      </c>
      <c r="AV1935" s="6" t="s">
        <v>104</v>
      </c>
      <c r="AW1935" s="6" t="s">
        <v>104</v>
      </c>
      <c r="AX1935" s="6" t="s">
        <v>21615</v>
      </c>
      <c r="AY1935" s="6" t="s">
        <v>23430</v>
      </c>
      <c r="AZ1935" s="6" t="s">
        <v>24173</v>
      </c>
      <c r="BA1935" s="6" t="s">
        <v>104</v>
      </c>
      <c r="BB1935" s="6" t="s">
        <v>104</v>
      </c>
      <c r="BC1935" s="26"/>
      <c r="BD1935" s="26"/>
      <c r="BE1935" s="26" t="s">
        <v>24533</v>
      </c>
      <c r="BF1935" s="26"/>
      <c r="BG1935" s="26"/>
      <c r="BH1935" s="26"/>
      <c r="BI1935" s="26"/>
      <c r="BJ1935" s="26"/>
      <c r="BK1935" s="26"/>
      <c r="BL1935" s="26"/>
      <c r="BM1935" s="26"/>
      <c r="BN1935" s="26"/>
      <c r="BO1935" s="26"/>
      <c r="BP1935" s="16" t="n">
        <v>45737</v>
      </c>
      <c r="BQ1935" s="28" t="str">
        <f>HYPERLINK("https://organic.ams.usda.gov/Integrity/Certificate.aspx?cid=71&amp;nopid=5520149686")</f>
        <v>https://organic.ams.usda.gov/Integrity/Certificate.aspx?cid=71&amp;nopid=5520149686</v>
      </c>
    </row>
    <row r="1936">
      <c r="A1936" t="s">
        <v>3</v>
      </c>
      <c r="B1936" s="6" t="s">
        <v>32</v>
      </c>
      <c r="C1936" s="6" t="s">
        <v>98</v>
      </c>
      <c r="D1936" s="6" t="s">
        <v>163</v>
      </c>
      <c r="E1936" s="10" t="s">
        <v>2134</v>
      </c>
      <c r="F1936" s="6" t="s">
        <v>4348</v>
      </c>
      <c r="G1936" s="6" t="s">
        <v>104</v>
      </c>
      <c r="H1936" s="6" t="s">
        <v>6641</v>
      </c>
      <c r="I1936" s="6" t="s">
        <v>6949</v>
      </c>
      <c r="J1936" s="6" t="s">
        <v>9506</v>
      </c>
      <c r="K1936" s="6" t="s">
        <v>9714</v>
      </c>
      <c r="L1936" s="16" t="n">
        <v>41726</v>
      </c>
      <c r="M1936" s="16" t="n">
        <v>45778</v>
      </c>
      <c r="N1936" s="6" t="s">
        <v>104</v>
      </c>
      <c r="O1936" s="21" t="s">
        <v>104</v>
      </c>
      <c r="P1936" s="6" t="s">
        <v>104</v>
      </c>
      <c r="Q1936" s="6" t="s">
        <v>104</v>
      </c>
      <c r="R1936" s="6" t="s">
        <v>104</v>
      </c>
      <c r="S1936" s="6" t="s">
        <v>104</v>
      </c>
      <c r="T1936" s="21" t="s">
        <v>104</v>
      </c>
      <c r="U1936" s="6" t="s">
        <v>104</v>
      </c>
      <c r="V1936" s="6" t="s">
        <v>104</v>
      </c>
      <c r="W1936" s="6" t="s">
        <v>104</v>
      </c>
      <c r="X1936" s="6" t="s">
        <v>104</v>
      </c>
      <c r="Y1936" s="21" t="s">
        <v>104</v>
      </c>
      <c r="Z1936" s="6" t="s">
        <v>104</v>
      </c>
      <c r="AA1936" s="6" t="s">
        <v>104</v>
      </c>
      <c r="AB1936" s="6" t="s">
        <v>104</v>
      </c>
      <c r="AC1936" s="6" t="s">
        <v>9714</v>
      </c>
      <c r="AD1936" s="16" t="n">
        <v>41726</v>
      </c>
      <c r="AE1936" s="6" t="s">
        <v>12212</v>
      </c>
      <c r="AF1936" s="6" t="s">
        <v>104</v>
      </c>
      <c r="AG1936" s="6" t="s">
        <v>104</v>
      </c>
      <c r="AH1936" s="6" t="s">
        <v>14930</v>
      </c>
      <c r="AI1936" s="6" t="s">
        <v>104</v>
      </c>
      <c r="AJ1936" s="6" t="s">
        <v>16522</v>
      </c>
      <c r="AK1936" s="6" t="s">
        <v>16694</v>
      </c>
      <c r="AL1936" s="6" t="s">
        <v>16931</v>
      </c>
      <c r="AM1936" s="6" t="s">
        <v>18259</v>
      </c>
      <c r="AN1936" s="6" t="s">
        <v>18549</v>
      </c>
      <c r="AO1936" s="6" t="s">
        <v>18902</v>
      </c>
      <c r="AP1936" s="6" t="s">
        <v>104</v>
      </c>
      <c r="AQ1936" s="6" t="s">
        <v>104</v>
      </c>
      <c r="AR1936" s="6" t="s">
        <v>104</v>
      </c>
      <c r="AS1936" s="6" t="s">
        <v>104</v>
      </c>
      <c r="AT1936" s="6" t="s">
        <v>104</v>
      </c>
      <c r="AU1936" s="6" t="s">
        <v>104</v>
      </c>
      <c r="AV1936" s="6" t="s">
        <v>104</v>
      </c>
      <c r="AW1936" s="6" t="s">
        <v>104</v>
      </c>
      <c r="AX1936" s="6" t="s">
        <v>21616</v>
      </c>
      <c r="AY1936" s="6" t="s">
        <v>23431</v>
      </c>
      <c r="AZ1936" s="6" t="s">
        <v>24174</v>
      </c>
      <c r="BA1936" s="6" t="s">
        <v>104</v>
      </c>
      <c r="BB1936" s="6" t="s">
        <v>104</v>
      </c>
      <c r="BC1936" s="26"/>
      <c r="BD1936" s="26"/>
      <c r="BE1936" s="26"/>
      <c r="BF1936" s="26"/>
      <c r="BG1936" s="26"/>
      <c r="BH1936" s="26"/>
      <c r="BI1936" s="26"/>
      <c r="BJ1936" s="26"/>
      <c r="BK1936" s="26"/>
      <c r="BL1936" s="26" t="s">
        <v>24533</v>
      </c>
      <c r="BM1936" s="26"/>
      <c r="BN1936" s="26"/>
      <c r="BO1936" s="26"/>
      <c r="BP1936" s="16" t="n">
        <v>45665</v>
      </c>
      <c r="BQ1936" s="28" t="str">
        <f>HYPERLINK("https://organic.ams.usda.gov/Integrity/Certificate.aspx?cid=64&amp;nopid=8830000146")</f>
        <v>https://organic.ams.usda.gov/Integrity/Certificate.aspx?cid=64&amp;nopid=8830000146</v>
      </c>
    </row>
    <row r="1937">
      <c r="A1937" t="s">
        <v>3</v>
      </c>
      <c r="B1937" s="6" t="s">
        <v>41</v>
      </c>
      <c r="C1937" s="6" t="s">
        <v>107</v>
      </c>
      <c r="D1937" s="6" t="s">
        <v>171</v>
      </c>
      <c r="E1937" s="10" t="s">
        <v>2135</v>
      </c>
      <c r="F1937" s="6" t="s">
        <v>4349</v>
      </c>
      <c r="G1937" s="6" t="s">
        <v>104</v>
      </c>
      <c r="H1937" s="6" t="s">
        <v>6642</v>
      </c>
      <c r="I1937" s="6" t="s">
        <v>7995</v>
      </c>
      <c r="J1937" s="6" t="s">
        <v>9105</v>
      </c>
      <c r="K1937" s="6" t="s">
        <v>9714</v>
      </c>
      <c r="L1937" s="16" t="n">
        <v>44207</v>
      </c>
      <c r="M1937" s="16" t="n">
        <v>46157</v>
      </c>
      <c r="N1937" s="6" t="s">
        <v>9714</v>
      </c>
      <c r="O1937" s="16" t="n">
        <v>44207</v>
      </c>
      <c r="P1937" s="6" t="s">
        <v>10225</v>
      </c>
      <c r="Q1937" s="6" t="s">
        <v>104</v>
      </c>
      <c r="R1937" s="6" t="s">
        <v>104</v>
      </c>
      <c r="S1937" s="6" t="s">
        <v>9714</v>
      </c>
      <c r="T1937" s="16" t="n">
        <v>44207</v>
      </c>
      <c r="U1937" s="6" t="s">
        <v>10502</v>
      </c>
      <c r="V1937" s="6" t="s">
        <v>104</v>
      </c>
      <c r="W1937" s="6" t="s">
        <v>104</v>
      </c>
      <c r="X1937" s="6" t="s">
        <v>104</v>
      </c>
      <c r="Y1937" s="21" t="s">
        <v>104</v>
      </c>
      <c r="Z1937" s="6" t="s">
        <v>104</v>
      </c>
      <c r="AA1937" s="6" t="s">
        <v>104</v>
      </c>
      <c r="AB1937" s="6" t="s">
        <v>104</v>
      </c>
      <c r="AC1937" s="6" t="s">
        <v>9714</v>
      </c>
      <c r="AD1937" s="16" t="n">
        <v>44207</v>
      </c>
      <c r="AE1937" s="6" t="s">
        <v>12213</v>
      </c>
      <c r="AF1937" s="6" t="s">
        <v>104</v>
      </c>
      <c r="AG1937" s="6" t="s">
        <v>104</v>
      </c>
      <c r="AH1937" s="6" t="s">
        <v>14931</v>
      </c>
      <c r="AI1937" s="6" t="s">
        <v>104</v>
      </c>
      <c r="AJ1937" s="6" t="s">
        <v>16523</v>
      </c>
      <c r="AK1937" s="6" t="s">
        <v>16686</v>
      </c>
      <c r="AL1937" s="6" t="s">
        <v>16931</v>
      </c>
      <c r="AM1937" s="6" t="s">
        <v>18260</v>
      </c>
      <c r="AN1937" s="6" t="s">
        <v>104</v>
      </c>
      <c r="AO1937" s="6" t="s">
        <v>104</v>
      </c>
      <c r="AP1937" s="6" t="s">
        <v>14931</v>
      </c>
      <c r="AQ1937" s="6" t="s">
        <v>104</v>
      </c>
      <c r="AR1937" s="6" t="s">
        <v>16523</v>
      </c>
      <c r="AS1937" s="6" t="s">
        <v>16686</v>
      </c>
      <c r="AT1937" s="6" t="s">
        <v>16931</v>
      </c>
      <c r="AU1937" s="6" t="s">
        <v>18260</v>
      </c>
      <c r="AV1937" s="6" t="s">
        <v>104</v>
      </c>
      <c r="AW1937" s="6" t="s">
        <v>104</v>
      </c>
      <c r="AX1937" s="6" t="s">
        <v>21617</v>
      </c>
      <c r="AY1937" s="6" t="s">
        <v>104</v>
      </c>
      <c r="AZ1937" s="6" t="s">
        <v>104</v>
      </c>
      <c r="BA1937" s="6" t="s">
        <v>104</v>
      </c>
      <c r="BB1937" s="24" t="n">
        <v>14</v>
      </c>
      <c r="BC1937" s="26"/>
      <c r="BD1937" s="26"/>
      <c r="BE1937" s="26"/>
      <c r="BF1937" s="26"/>
      <c r="BG1937" s="26"/>
      <c r="BH1937" s="26"/>
      <c r="BI1937" s="26"/>
      <c r="BJ1937" s="26"/>
      <c r="BK1937" s="26" t="s">
        <v>24533</v>
      </c>
      <c r="BL1937" s="26"/>
      <c r="BM1937" s="26"/>
      <c r="BN1937" s="26"/>
      <c r="BO1937" s="26"/>
      <c r="BP1937" s="16" t="n">
        <v>45737</v>
      </c>
      <c r="BQ1937" s="28" t="str">
        <f>HYPERLINK("https://organic.ams.usda.gov/Integrity/Certificate.aspx?cid=58&amp;nopid=1600003716")</f>
        <v>https://organic.ams.usda.gov/Integrity/Certificate.aspx?cid=58&amp;nopid=1600003716</v>
      </c>
    </row>
    <row r="1938">
      <c r="A1938" t="s">
        <v>3</v>
      </c>
      <c r="B1938" s="6" t="s">
        <v>45</v>
      </c>
      <c r="C1938" s="6" t="s">
        <v>111</v>
      </c>
      <c r="D1938" s="6" t="s">
        <v>175</v>
      </c>
      <c r="E1938" s="10" t="s">
        <v>2136</v>
      </c>
      <c r="F1938" s="6" t="s">
        <v>4350</v>
      </c>
      <c r="G1938" s="6" t="s">
        <v>104</v>
      </c>
      <c r="H1938" s="6" t="s">
        <v>6643</v>
      </c>
      <c r="I1938" s="6" t="s">
        <v>7705</v>
      </c>
      <c r="J1938" s="6" t="s">
        <v>9507</v>
      </c>
      <c r="K1938" s="6" t="s">
        <v>9714</v>
      </c>
      <c r="L1938" s="16" t="n">
        <v>38105</v>
      </c>
      <c r="M1938" s="16" t="n">
        <v>46082</v>
      </c>
      <c r="N1938" s="6" t="s">
        <v>104</v>
      </c>
      <c r="O1938" s="21" t="s">
        <v>104</v>
      </c>
      <c r="P1938" s="6" t="s">
        <v>104</v>
      </c>
      <c r="Q1938" s="6" t="s">
        <v>104</v>
      </c>
      <c r="R1938" s="6" t="s">
        <v>104</v>
      </c>
      <c r="S1938" s="6" t="s">
        <v>104</v>
      </c>
      <c r="T1938" s="21" t="s">
        <v>104</v>
      </c>
      <c r="U1938" s="6" t="s">
        <v>104</v>
      </c>
      <c r="V1938" s="6" t="s">
        <v>104</v>
      </c>
      <c r="W1938" s="6" t="s">
        <v>104</v>
      </c>
      <c r="X1938" s="6" t="s">
        <v>104</v>
      </c>
      <c r="Y1938" s="21" t="s">
        <v>104</v>
      </c>
      <c r="Z1938" s="6" t="s">
        <v>104</v>
      </c>
      <c r="AA1938" s="6" t="s">
        <v>104</v>
      </c>
      <c r="AB1938" s="6" t="s">
        <v>104</v>
      </c>
      <c r="AC1938" s="6" t="s">
        <v>9714</v>
      </c>
      <c r="AD1938" s="16" t="n">
        <v>38105</v>
      </c>
      <c r="AE1938" s="6" t="s">
        <v>11711</v>
      </c>
      <c r="AF1938" s="6" t="s">
        <v>104</v>
      </c>
      <c r="AG1938" s="6" t="s">
        <v>4667</v>
      </c>
      <c r="AH1938" s="6" t="s">
        <v>14932</v>
      </c>
      <c r="AI1938" s="6" t="s">
        <v>104</v>
      </c>
      <c r="AJ1938" s="6" t="s">
        <v>16524</v>
      </c>
      <c r="AK1938" s="6" t="s">
        <v>16382</v>
      </c>
      <c r="AL1938" s="6" t="s">
        <v>16931</v>
      </c>
      <c r="AM1938" s="6" t="s">
        <v>18261</v>
      </c>
      <c r="AN1938" s="6" t="s">
        <v>104</v>
      </c>
      <c r="AO1938" s="6" t="s">
        <v>104</v>
      </c>
      <c r="AP1938" s="6" t="s">
        <v>19458</v>
      </c>
      <c r="AQ1938" s="6" t="s">
        <v>104</v>
      </c>
      <c r="AR1938" s="6" t="s">
        <v>16524</v>
      </c>
      <c r="AS1938" s="6" t="s">
        <v>16382</v>
      </c>
      <c r="AT1938" s="6" t="s">
        <v>16931</v>
      </c>
      <c r="AU1938" s="6" t="s">
        <v>18261</v>
      </c>
      <c r="AV1938" s="6" t="s">
        <v>18502</v>
      </c>
      <c r="AW1938" s="6" t="s">
        <v>20088</v>
      </c>
      <c r="AX1938" s="6" t="s">
        <v>21618</v>
      </c>
      <c r="AY1938" s="6" t="s">
        <v>23432</v>
      </c>
      <c r="AZ1938" s="6" t="s">
        <v>24175</v>
      </c>
      <c r="BA1938" s="6" t="s">
        <v>104</v>
      </c>
      <c r="BB1938" s="6" t="s">
        <v>104</v>
      </c>
      <c r="BC1938" s="26"/>
      <c r="BD1938" s="26"/>
      <c r="BE1938" s="26"/>
      <c r="BF1938" s="26"/>
      <c r="BG1938" s="26"/>
      <c r="BH1938" s="26"/>
      <c r="BI1938" s="26"/>
      <c r="BJ1938" s="26"/>
      <c r="BK1938" s="26"/>
      <c r="BL1938" s="26"/>
      <c r="BM1938" s="26"/>
      <c r="BN1938" s="26"/>
      <c r="BO1938" s="26"/>
      <c r="BP1938" s="16" t="n">
        <v>45739</v>
      </c>
      <c r="BQ1938" s="28" t="str">
        <f>HYPERLINK("https://organic.ams.usda.gov/Integrity/Certificate.aspx?cid=82&amp;nopid=2780024961")</f>
        <v>https://organic.ams.usda.gov/Integrity/Certificate.aspx?cid=82&amp;nopid=2780024961</v>
      </c>
    </row>
    <row r="1939">
      <c r="A1939" t="s">
        <v>3</v>
      </c>
      <c r="B1939" s="6" t="s">
        <v>44</v>
      </c>
      <c r="C1939" s="6" t="s">
        <v>110</v>
      </c>
      <c r="D1939" s="6" t="s">
        <v>174</v>
      </c>
      <c r="E1939" s="10" t="s">
        <v>2137</v>
      </c>
      <c r="F1939" s="6" t="s">
        <v>4351</v>
      </c>
      <c r="G1939" s="6" t="s">
        <v>104</v>
      </c>
      <c r="H1939" s="6" t="s">
        <v>6644</v>
      </c>
      <c r="I1939" s="6" t="s">
        <v>7076</v>
      </c>
      <c r="J1939" s="6" t="s">
        <v>9508</v>
      </c>
      <c r="K1939" s="6" t="s">
        <v>9714</v>
      </c>
      <c r="L1939" s="16" t="n">
        <v>44785</v>
      </c>
      <c r="M1939" s="16" t="n">
        <v>45672</v>
      </c>
      <c r="N1939" s="6" t="s">
        <v>104</v>
      </c>
      <c r="O1939" s="21" t="s">
        <v>104</v>
      </c>
      <c r="P1939" s="6" t="s">
        <v>104</v>
      </c>
      <c r="Q1939" s="6" t="s">
        <v>104</v>
      </c>
      <c r="R1939" s="6" t="s">
        <v>104</v>
      </c>
      <c r="S1939" s="6" t="s">
        <v>104</v>
      </c>
      <c r="T1939" s="21" t="s">
        <v>104</v>
      </c>
      <c r="U1939" s="6" t="s">
        <v>104</v>
      </c>
      <c r="V1939" s="6" t="s">
        <v>104</v>
      </c>
      <c r="W1939" s="6" t="s">
        <v>104</v>
      </c>
      <c r="X1939" s="6" t="s">
        <v>104</v>
      </c>
      <c r="Y1939" s="21" t="s">
        <v>104</v>
      </c>
      <c r="Z1939" s="6" t="s">
        <v>104</v>
      </c>
      <c r="AA1939" s="6" t="s">
        <v>104</v>
      </c>
      <c r="AB1939" s="6" t="s">
        <v>104</v>
      </c>
      <c r="AC1939" s="6" t="s">
        <v>9714</v>
      </c>
      <c r="AD1939" s="16" t="n">
        <v>44785</v>
      </c>
      <c r="AE1939" s="6" t="s">
        <v>12214</v>
      </c>
      <c r="AF1939" s="6" t="s">
        <v>104</v>
      </c>
      <c r="AG1939" s="6" t="s">
        <v>104</v>
      </c>
      <c r="AH1939" s="6" t="s">
        <v>14933</v>
      </c>
      <c r="AI1939" s="6" t="s">
        <v>104</v>
      </c>
      <c r="AJ1939" s="6" t="s">
        <v>16525</v>
      </c>
      <c r="AK1939" s="6" t="s">
        <v>15697</v>
      </c>
      <c r="AL1939" s="6" t="s">
        <v>16931</v>
      </c>
      <c r="AM1939" s="6" t="s">
        <v>18262</v>
      </c>
      <c r="AN1939" s="6" t="s">
        <v>18492</v>
      </c>
      <c r="AO1939" s="6" t="s">
        <v>18729</v>
      </c>
      <c r="AP1939" s="6" t="s">
        <v>14933</v>
      </c>
      <c r="AQ1939" s="6" t="s">
        <v>104</v>
      </c>
      <c r="AR1939" s="6" t="s">
        <v>16525</v>
      </c>
      <c r="AS1939" s="6" t="s">
        <v>15697</v>
      </c>
      <c r="AT1939" s="6" t="s">
        <v>16931</v>
      </c>
      <c r="AU1939" s="6" t="s">
        <v>18262</v>
      </c>
      <c r="AV1939" s="6" t="s">
        <v>104</v>
      </c>
      <c r="AW1939" s="6" t="s">
        <v>104</v>
      </c>
      <c r="AX1939" s="6" t="s">
        <v>21619</v>
      </c>
      <c r="AY1939" s="6" t="s">
        <v>23433</v>
      </c>
      <c r="AZ1939" s="6" t="s">
        <v>24176</v>
      </c>
      <c r="BA1939" s="6" t="s">
        <v>104</v>
      </c>
      <c r="BB1939" s="24" t="n">
        <v>0</v>
      </c>
      <c r="BC1939" s="26"/>
      <c r="BD1939" s="26"/>
      <c r="BE1939" s="26"/>
      <c r="BF1939" s="26"/>
      <c r="BG1939" s="26"/>
      <c r="BH1939" s="26"/>
      <c r="BI1939" s="26"/>
      <c r="BJ1939" s="26"/>
      <c r="BK1939" s="26"/>
      <c r="BL1939" s="26"/>
      <c r="BM1939" s="26"/>
      <c r="BN1939" s="26"/>
      <c r="BO1939" s="26"/>
      <c r="BP1939" s="16" t="n">
        <v>45603</v>
      </c>
      <c r="BQ1939" s="28" t="str">
        <f>HYPERLINK("https://organic.ams.usda.gov/Integrity/Certificate.aspx?cid=57&amp;nopid=3256902672")</f>
        <v>https://organic.ams.usda.gov/Integrity/Certificate.aspx?cid=57&amp;nopid=3256902672</v>
      </c>
    </row>
    <row r="1940">
      <c r="A1940" t="s">
        <v>3</v>
      </c>
      <c r="B1940" s="6" t="s">
        <v>44</v>
      </c>
      <c r="C1940" s="6" t="s">
        <v>110</v>
      </c>
      <c r="D1940" s="6" t="s">
        <v>174</v>
      </c>
      <c r="E1940" s="10" t="s">
        <v>2138</v>
      </c>
      <c r="F1940" s="6" t="s">
        <v>4351</v>
      </c>
      <c r="G1940" s="6" t="s">
        <v>104</v>
      </c>
      <c r="H1940" s="6" t="s">
        <v>6644</v>
      </c>
      <c r="I1940" s="6" t="s">
        <v>104</v>
      </c>
      <c r="J1940" s="6" t="s">
        <v>104</v>
      </c>
      <c r="K1940" s="6" t="s">
        <v>9714</v>
      </c>
      <c r="L1940" s="16" t="n">
        <v>44785</v>
      </c>
      <c r="M1940" s="16" t="n">
        <v>45350</v>
      </c>
      <c r="N1940" s="6" t="s">
        <v>104</v>
      </c>
      <c r="O1940" s="21" t="s">
        <v>104</v>
      </c>
      <c r="P1940" s="6" t="s">
        <v>104</v>
      </c>
      <c r="Q1940" s="6" t="s">
        <v>104</v>
      </c>
      <c r="R1940" s="6" t="s">
        <v>104</v>
      </c>
      <c r="S1940" s="6" t="s">
        <v>104</v>
      </c>
      <c r="T1940" s="21" t="s">
        <v>104</v>
      </c>
      <c r="U1940" s="6" t="s">
        <v>104</v>
      </c>
      <c r="V1940" s="6" t="s">
        <v>104</v>
      </c>
      <c r="W1940" s="6" t="s">
        <v>104</v>
      </c>
      <c r="X1940" s="6" t="s">
        <v>104</v>
      </c>
      <c r="Y1940" s="21" t="s">
        <v>104</v>
      </c>
      <c r="Z1940" s="6" t="s">
        <v>104</v>
      </c>
      <c r="AA1940" s="6" t="s">
        <v>104</v>
      </c>
      <c r="AB1940" s="6" t="s">
        <v>104</v>
      </c>
      <c r="AC1940" s="6" t="s">
        <v>9714</v>
      </c>
      <c r="AD1940" s="16" t="n">
        <v>44785</v>
      </c>
      <c r="AE1940" s="6" t="s">
        <v>12215</v>
      </c>
      <c r="AF1940" s="6" t="s">
        <v>104</v>
      </c>
      <c r="AG1940" s="6" t="s">
        <v>104</v>
      </c>
      <c r="AH1940" s="6" t="s">
        <v>14933</v>
      </c>
      <c r="AI1940" s="6" t="s">
        <v>104</v>
      </c>
      <c r="AJ1940" s="6" t="s">
        <v>16525</v>
      </c>
      <c r="AK1940" s="6" t="s">
        <v>15697</v>
      </c>
      <c r="AL1940" s="6" t="s">
        <v>16931</v>
      </c>
      <c r="AM1940" s="6" t="s">
        <v>18262</v>
      </c>
      <c r="AN1940" s="6" t="s">
        <v>104</v>
      </c>
      <c r="AO1940" s="6" t="s">
        <v>104</v>
      </c>
      <c r="AP1940" s="6" t="s">
        <v>14933</v>
      </c>
      <c r="AQ1940" s="6" t="s">
        <v>104</v>
      </c>
      <c r="AR1940" s="6" t="s">
        <v>16525</v>
      </c>
      <c r="AS1940" s="6" t="s">
        <v>15697</v>
      </c>
      <c r="AT1940" s="6" t="s">
        <v>16931</v>
      </c>
      <c r="AU1940" s="6" t="s">
        <v>18262</v>
      </c>
      <c r="AV1940" s="6" t="s">
        <v>104</v>
      </c>
      <c r="AW1940" s="6" t="s">
        <v>104</v>
      </c>
      <c r="AX1940" s="6" t="s">
        <v>104</v>
      </c>
      <c r="AY1940" s="6" t="s">
        <v>104</v>
      </c>
      <c r="AZ1940" s="6" t="s">
        <v>104</v>
      </c>
      <c r="BA1940" s="6" t="s">
        <v>104</v>
      </c>
      <c r="BB1940" s="24" t="n">
        <v>0</v>
      </c>
      <c r="BC1940" s="26"/>
      <c r="BD1940" s="26"/>
      <c r="BE1940" s="26"/>
      <c r="BF1940" s="26"/>
      <c r="BG1940" s="26"/>
      <c r="BH1940" s="26"/>
      <c r="BI1940" s="26"/>
      <c r="BJ1940" s="26"/>
      <c r="BK1940" s="26"/>
      <c r="BL1940" s="26"/>
      <c r="BM1940" s="26"/>
      <c r="BN1940" s="26"/>
      <c r="BO1940" s="26"/>
      <c r="BP1940" s="16" t="n">
        <v>45369</v>
      </c>
      <c r="BQ1940" s="28" t="str">
        <f>HYPERLINK("https://organic.ams.usda.gov/Integrity/Certificate.aspx?cid=57&amp;nopid=3252022070")</f>
        <v>https://organic.ams.usda.gov/Integrity/Certificate.aspx?cid=57&amp;nopid=3252022070</v>
      </c>
    </row>
    <row r="1941">
      <c r="A1941" t="s">
        <v>3</v>
      </c>
      <c r="B1941" s="6" t="s">
        <v>45</v>
      </c>
      <c r="C1941" s="6" t="s">
        <v>111</v>
      </c>
      <c r="D1941" s="6" t="s">
        <v>175</v>
      </c>
      <c r="E1941" s="10" t="s">
        <v>2139</v>
      </c>
      <c r="F1941" s="6" t="s">
        <v>4352</v>
      </c>
      <c r="G1941" s="6" t="s">
        <v>104</v>
      </c>
      <c r="H1941" s="6" t="s">
        <v>6645</v>
      </c>
      <c r="I1941" s="6" t="s">
        <v>7386</v>
      </c>
      <c r="J1941" s="6" t="s">
        <v>9509</v>
      </c>
      <c r="K1941" s="6" t="s">
        <v>9714</v>
      </c>
      <c r="L1941" s="16" t="n">
        <v>44614</v>
      </c>
      <c r="M1941" s="16" t="n">
        <v>46082</v>
      </c>
      <c r="N1941" s="6" t="s">
        <v>104</v>
      </c>
      <c r="O1941" s="21" t="s">
        <v>104</v>
      </c>
      <c r="P1941" s="6" t="s">
        <v>104</v>
      </c>
      <c r="Q1941" s="6" t="s">
        <v>104</v>
      </c>
      <c r="R1941" s="6" t="s">
        <v>104</v>
      </c>
      <c r="S1941" s="6" t="s">
        <v>104</v>
      </c>
      <c r="T1941" s="21" t="s">
        <v>104</v>
      </c>
      <c r="U1941" s="6" t="s">
        <v>104</v>
      </c>
      <c r="V1941" s="6" t="s">
        <v>104</v>
      </c>
      <c r="W1941" s="6" t="s">
        <v>104</v>
      </c>
      <c r="X1941" s="6" t="s">
        <v>104</v>
      </c>
      <c r="Y1941" s="21" t="s">
        <v>104</v>
      </c>
      <c r="Z1941" s="6" t="s">
        <v>104</v>
      </c>
      <c r="AA1941" s="6" t="s">
        <v>104</v>
      </c>
      <c r="AB1941" s="6" t="s">
        <v>104</v>
      </c>
      <c r="AC1941" s="6" t="s">
        <v>9714</v>
      </c>
      <c r="AD1941" s="16" t="n">
        <v>44614</v>
      </c>
      <c r="AE1941" s="6" t="s">
        <v>12216</v>
      </c>
      <c r="AF1941" s="6" t="s">
        <v>104</v>
      </c>
      <c r="AG1941" s="6" t="s">
        <v>4667</v>
      </c>
      <c r="AH1941" s="6" t="s">
        <v>14934</v>
      </c>
      <c r="AI1941" s="6" t="s">
        <v>104</v>
      </c>
      <c r="AJ1941" s="6" t="s">
        <v>16526</v>
      </c>
      <c r="AK1941" s="6" t="s">
        <v>16382</v>
      </c>
      <c r="AL1941" s="6" t="s">
        <v>16931</v>
      </c>
      <c r="AM1941" s="6" t="s">
        <v>18263</v>
      </c>
      <c r="AN1941" s="6" t="s">
        <v>104</v>
      </c>
      <c r="AO1941" s="6" t="s">
        <v>104</v>
      </c>
      <c r="AP1941" s="6" t="s">
        <v>19459</v>
      </c>
      <c r="AQ1941" s="6" t="s">
        <v>104</v>
      </c>
      <c r="AR1941" s="6" t="s">
        <v>19759</v>
      </c>
      <c r="AS1941" s="6" t="s">
        <v>16382</v>
      </c>
      <c r="AT1941" s="6" t="s">
        <v>16931</v>
      </c>
      <c r="AU1941" s="6" t="s">
        <v>20040</v>
      </c>
      <c r="AV1941" s="6" t="s">
        <v>5640</v>
      </c>
      <c r="AW1941" s="6" t="s">
        <v>18901</v>
      </c>
      <c r="AX1941" s="6" t="s">
        <v>21620</v>
      </c>
      <c r="AY1941" s="6" t="s">
        <v>23434</v>
      </c>
      <c r="AZ1941" s="6" t="s">
        <v>104</v>
      </c>
      <c r="BA1941" s="6" t="s">
        <v>104</v>
      </c>
      <c r="BB1941" s="6" t="s">
        <v>104</v>
      </c>
      <c r="BC1941" s="26"/>
      <c r="BD1941" s="26"/>
      <c r="BE1941" s="26"/>
      <c r="BF1941" s="26"/>
      <c r="BG1941" s="26"/>
      <c r="BH1941" s="26"/>
      <c r="BI1941" s="26"/>
      <c r="BJ1941" s="26"/>
      <c r="BK1941" s="26"/>
      <c r="BL1941" s="26"/>
      <c r="BM1941" s="26"/>
      <c r="BN1941" s="26"/>
      <c r="BO1941" s="26"/>
      <c r="BP1941" s="16" t="n">
        <v>45739</v>
      </c>
      <c r="BQ1941" s="28" t="str">
        <f>HYPERLINK("https://organic.ams.usda.gov/Integrity/Certificate.aspx?cid=82&amp;nopid=2780003824")</f>
        <v>https://organic.ams.usda.gov/Integrity/Certificate.aspx?cid=82&amp;nopid=2780003824</v>
      </c>
    </row>
    <row r="1942">
      <c r="A1942" t="s">
        <v>3</v>
      </c>
      <c r="B1942" s="6" t="s">
        <v>54</v>
      </c>
      <c r="C1942" s="6" t="s">
        <v>120</v>
      </c>
      <c r="D1942" s="6" t="s">
        <v>184</v>
      </c>
      <c r="E1942" s="10" t="s">
        <v>2140</v>
      </c>
      <c r="F1942" s="6" t="s">
        <v>4353</v>
      </c>
      <c r="G1942" s="6" t="s">
        <v>104</v>
      </c>
      <c r="H1942" s="6" t="s">
        <v>6646</v>
      </c>
      <c r="I1942" s="6" t="s">
        <v>7636</v>
      </c>
      <c r="J1942" s="6" t="s">
        <v>8504</v>
      </c>
      <c r="K1942" s="6" t="s">
        <v>9714</v>
      </c>
      <c r="L1942" s="16" t="n">
        <v>44523</v>
      </c>
      <c r="M1942" s="16" t="n">
        <v>45717</v>
      </c>
      <c r="N1942" s="6" t="s">
        <v>104</v>
      </c>
      <c r="O1942" s="21" t="s">
        <v>104</v>
      </c>
      <c r="P1942" s="6" t="s">
        <v>104</v>
      </c>
      <c r="Q1942" s="6" t="s">
        <v>104</v>
      </c>
      <c r="R1942" s="6" t="s">
        <v>104</v>
      </c>
      <c r="S1942" s="6" t="s">
        <v>104</v>
      </c>
      <c r="T1942" s="21" t="s">
        <v>104</v>
      </c>
      <c r="U1942" s="6" t="s">
        <v>104</v>
      </c>
      <c r="V1942" s="6" t="s">
        <v>104</v>
      </c>
      <c r="W1942" s="6" t="s">
        <v>104</v>
      </c>
      <c r="X1942" s="6" t="s">
        <v>104</v>
      </c>
      <c r="Y1942" s="21" t="s">
        <v>104</v>
      </c>
      <c r="Z1942" s="6" t="s">
        <v>104</v>
      </c>
      <c r="AA1942" s="6" t="s">
        <v>104</v>
      </c>
      <c r="AB1942" s="6" t="s">
        <v>104</v>
      </c>
      <c r="AC1942" s="6" t="s">
        <v>9714</v>
      </c>
      <c r="AD1942" s="16" t="n">
        <v>44523</v>
      </c>
      <c r="AE1942" s="6" t="s">
        <v>12217</v>
      </c>
      <c r="AF1942" s="6" t="s">
        <v>104</v>
      </c>
      <c r="AG1942" s="6" t="s">
        <v>104</v>
      </c>
      <c r="AH1942" s="6" t="s">
        <v>14935</v>
      </c>
      <c r="AI1942" s="6" t="s">
        <v>104</v>
      </c>
      <c r="AJ1942" s="6" t="s">
        <v>15692</v>
      </c>
      <c r="AK1942" s="6" t="s">
        <v>16704</v>
      </c>
      <c r="AL1942" s="6" t="s">
        <v>16931</v>
      </c>
      <c r="AM1942" s="6" t="s">
        <v>17311</v>
      </c>
      <c r="AN1942" s="6" t="s">
        <v>18486</v>
      </c>
      <c r="AO1942" s="6" t="s">
        <v>18670</v>
      </c>
      <c r="AP1942" s="6" t="s">
        <v>19460</v>
      </c>
      <c r="AQ1942" s="6" t="s">
        <v>104</v>
      </c>
      <c r="AR1942" s="6" t="s">
        <v>15692</v>
      </c>
      <c r="AS1942" s="6" t="s">
        <v>16704</v>
      </c>
      <c r="AT1942" s="6" t="s">
        <v>16931</v>
      </c>
      <c r="AU1942" s="6" t="s">
        <v>17311</v>
      </c>
      <c r="AV1942" s="6" t="s">
        <v>104</v>
      </c>
      <c r="AW1942" s="6" t="s">
        <v>104</v>
      </c>
      <c r="AX1942" s="6" t="s">
        <v>104</v>
      </c>
      <c r="AY1942" s="6" t="s">
        <v>23435</v>
      </c>
      <c r="AZ1942" s="6" t="s">
        <v>24177</v>
      </c>
      <c r="BA1942" s="6" t="s">
        <v>104</v>
      </c>
      <c r="BB1942" s="6" t="s">
        <v>104</v>
      </c>
      <c r="BC1942" s="26"/>
      <c r="BD1942" s="26"/>
      <c r="BE1942" s="26"/>
      <c r="BF1942" s="26"/>
      <c r="BG1942" s="26"/>
      <c r="BH1942" s="26"/>
      <c r="BI1942" s="26"/>
      <c r="BJ1942" s="26"/>
      <c r="BK1942" s="26"/>
      <c r="BL1942" s="26"/>
      <c r="BM1942" s="26"/>
      <c r="BN1942" s="26" t="s">
        <v>24533</v>
      </c>
      <c r="BO1942" s="26"/>
      <c r="BP1942" s="16" t="n">
        <v>45670</v>
      </c>
      <c r="BQ1942" s="28" t="str">
        <f>HYPERLINK("https://organic.ams.usda.gov/Integrity/Certificate.aspx?cid=60&amp;nopid=2580004227")</f>
        <v>https://organic.ams.usda.gov/Integrity/Certificate.aspx?cid=60&amp;nopid=2580004227</v>
      </c>
    </row>
    <row r="1943">
      <c r="A1943" t="s">
        <v>3</v>
      </c>
      <c r="B1943" s="6" t="s">
        <v>8</v>
      </c>
      <c r="C1943" s="6" t="s">
        <v>74</v>
      </c>
      <c r="D1943" s="6" t="s">
        <v>139</v>
      </c>
      <c r="E1943" s="10" t="s">
        <v>2141</v>
      </c>
      <c r="F1943" s="6" t="s">
        <v>4354</v>
      </c>
      <c r="G1943" s="6" t="s">
        <v>104</v>
      </c>
      <c r="H1943" s="6" t="s">
        <v>2141</v>
      </c>
      <c r="I1943" s="6" t="s">
        <v>7003</v>
      </c>
      <c r="J1943" s="6" t="s">
        <v>9218</v>
      </c>
      <c r="K1943" s="6" t="s">
        <v>9714</v>
      </c>
      <c r="L1943" s="16" t="n">
        <v>42339</v>
      </c>
      <c r="M1943" s="16" t="n">
        <v>45915</v>
      </c>
      <c r="N1943" s="6" t="s">
        <v>104</v>
      </c>
      <c r="O1943" s="21" t="s">
        <v>104</v>
      </c>
      <c r="P1943" s="6" t="s">
        <v>104</v>
      </c>
      <c r="Q1943" s="6" t="s">
        <v>104</v>
      </c>
      <c r="R1943" s="6" t="s">
        <v>104</v>
      </c>
      <c r="S1943" s="6" t="s">
        <v>104</v>
      </c>
      <c r="T1943" s="21" t="s">
        <v>104</v>
      </c>
      <c r="U1943" s="6" t="s">
        <v>104</v>
      </c>
      <c r="V1943" s="6" t="s">
        <v>104</v>
      </c>
      <c r="W1943" s="6" t="s">
        <v>104</v>
      </c>
      <c r="X1943" s="6" t="s">
        <v>104</v>
      </c>
      <c r="Y1943" s="21" t="s">
        <v>104</v>
      </c>
      <c r="Z1943" s="6" t="s">
        <v>104</v>
      </c>
      <c r="AA1943" s="6" t="s">
        <v>104</v>
      </c>
      <c r="AB1943" s="6" t="s">
        <v>104</v>
      </c>
      <c r="AC1943" s="6" t="s">
        <v>9714</v>
      </c>
      <c r="AD1943" s="16" t="n">
        <v>42339</v>
      </c>
      <c r="AE1943" s="6" t="s">
        <v>12218</v>
      </c>
      <c r="AF1943" s="6" t="s">
        <v>104</v>
      </c>
      <c r="AG1943" s="6" t="s">
        <v>2141</v>
      </c>
      <c r="AH1943" s="6" t="s">
        <v>14936</v>
      </c>
      <c r="AI1943" s="6" t="s">
        <v>104</v>
      </c>
      <c r="AJ1943" s="6" t="s">
        <v>16527</v>
      </c>
      <c r="AK1943" s="6" t="s">
        <v>16679</v>
      </c>
      <c r="AL1943" s="6" t="s">
        <v>16931</v>
      </c>
      <c r="AM1943" s="6" t="s">
        <v>18264</v>
      </c>
      <c r="AN1943" s="6" t="s">
        <v>17550</v>
      </c>
      <c r="AO1943" s="6" t="s">
        <v>18903</v>
      </c>
      <c r="AP1943" s="6" t="s">
        <v>14936</v>
      </c>
      <c r="AQ1943" s="6" t="s">
        <v>104</v>
      </c>
      <c r="AR1943" s="6" t="s">
        <v>16527</v>
      </c>
      <c r="AS1943" s="6" t="s">
        <v>16679</v>
      </c>
      <c r="AT1943" s="6" t="s">
        <v>16931</v>
      </c>
      <c r="AU1943" s="6" t="s">
        <v>18264</v>
      </c>
      <c r="AV1943" s="6" t="s">
        <v>104</v>
      </c>
      <c r="AW1943" s="6" t="s">
        <v>104</v>
      </c>
      <c r="AX1943" s="6" t="s">
        <v>21621</v>
      </c>
      <c r="AY1943" s="6" t="s">
        <v>23436</v>
      </c>
      <c r="AZ1943" s="6" t="s">
        <v>24178</v>
      </c>
      <c r="BA1943" s="6" t="s">
        <v>104</v>
      </c>
      <c r="BB1943" s="6" t="s">
        <v>104</v>
      </c>
      <c r="BC1943" s="26"/>
      <c r="BD1943" s="26"/>
      <c r="BE1943" s="26"/>
      <c r="BF1943" s="26"/>
      <c r="BG1943" s="26"/>
      <c r="BH1943" s="26"/>
      <c r="BI1943" s="26"/>
      <c r="BJ1943" s="26"/>
      <c r="BK1943" s="26"/>
      <c r="BL1943" s="26"/>
      <c r="BM1943" s="26"/>
      <c r="BN1943" s="26"/>
      <c r="BO1943" s="26"/>
      <c r="BP1943" s="16" t="n">
        <v>45719</v>
      </c>
      <c r="BQ1943" s="28" t="str">
        <f>HYPERLINK("https://organic.ams.usda.gov/Integrity/Certificate.aspx?cid=48&amp;nopid=1460031127")</f>
        <v>https://organic.ams.usda.gov/Integrity/Certificate.aspx?cid=48&amp;nopid=1460031127</v>
      </c>
    </row>
    <row r="1944">
      <c r="A1944" t="s">
        <v>3</v>
      </c>
      <c r="B1944" s="6" t="s">
        <v>8</v>
      </c>
      <c r="C1944" s="6" t="s">
        <v>74</v>
      </c>
      <c r="D1944" s="6" t="s">
        <v>139</v>
      </c>
      <c r="E1944" s="10" t="s">
        <v>2142</v>
      </c>
      <c r="F1944" s="6" t="s">
        <v>4354</v>
      </c>
      <c r="G1944" s="6" t="s">
        <v>104</v>
      </c>
      <c r="H1944" s="6" t="s">
        <v>2142</v>
      </c>
      <c r="I1944" s="6" t="s">
        <v>7003</v>
      </c>
      <c r="J1944" s="6" t="s">
        <v>9218</v>
      </c>
      <c r="K1944" s="6" t="s">
        <v>9714</v>
      </c>
      <c r="L1944" s="16" t="n">
        <v>43432</v>
      </c>
      <c r="M1944" s="16" t="n">
        <v>45915</v>
      </c>
      <c r="N1944" s="6" t="s">
        <v>104</v>
      </c>
      <c r="O1944" s="21" t="s">
        <v>104</v>
      </c>
      <c r="P1944" s="6" t="s">
        <v>104</v>
      </c>
      <c r="Q1944" s="6" t="s">
        <v>104</v>
      </c>
      <c r="R1944" s="6" t="s">
        <v>104</v>
      </c>
      <c r="S1944" s="6" t="s">
        <v>104</v>
      </c>
      <c r="T1944" s="21" t="s">
        <v>104</v>
      </c>
      <c r="U1944" s="6" t="s">
        <v>104</v>
      </c>
      <c r="V1944" s="6" t="s">
        <v>104</v>
      </c>
      <c r="W1944" s="6" t="s">
        <v>104</v>
      </c>
      <c r="X1944" s="6" t="s">
        <v>104</v>
      </c>
      <c r="Y1944" s="21" t="s">
        <v>104</v>
      </c>
      <c r="Z1944" s="6" t="s">
        <v>104</v>
      </c>
      <c r="AA1944" s="6" t="s">
        <v>104</v>
      </c>
      <c r="AB1944" s="6" t="s">
        <v>104</v>
      </c>
      <c r="AC1944" s="6" t="s">
        <v>9714</v>
      </c>
      <c r="AD1944" s="16" t="n">
        <v>43432</v>
      </c>
      <c r="AE1944" s="6" t="s">
        <v>12219</v>
      </c>
      <c r="AF1944" s="6" t="s">
        <v>104</v>
      </c>
      <c r="AG1944" s="6" t="s">
        <v>2142</v>
      </c>
      <c r="AH1944" s="6" t="s">
        <v>14937</v>
      </c>
      <c r="AI1944" s="6" t="s">
        <v>104</v>
      </c>
      <c r="AJ1944" s="6" t="s">
        <v>16528</v>
      </c>
      <c r="AK1944" s="6" t="s">
        <v>16679</v>
      </c>
      <c r="AL1944" s="6" t="s">
        <v>16931</v>
      </c>
      <c r="AM1944" s="6" t="s">
        <v>18265</v>
      </c>
      <c r="AN1944" s="6" t="s">
        <v>18529</v>
      </c>
      <c r="AO1944" s="6" t="s">
        <v>18904</v>
      </c>
      <c r="AP1944" s="6" t="s">
        <v>14937</v>
      </c>
      <c r="AQ1944" s="6" t="s">
        <v>104</v>
      </c>
      <c r="AR1944" s="6" t="s">
        <v>16528</v>
      </c>
      <c r="AS1944" s="6" t="s">
        <v>16679</v>
      </c>
      <c r="AT1944" s="6" t="s">
        <v>16931</v>
      </c>
      <c r="AU1944" s="6" t="s">
        <v>18265</v>
      </c>
      <c r="AV1944" s="6" t="s">
        <v>104</v>
      </c>
      <c r="AW1944" s="6" t="s">
        <v>104</v>
      </c>
      <c r="AX1944" s="6" t="s">
        <v>21621</v>
      </c>
      <c r="AY1944" s="6" t="s">
        <v>23436</v>
      </c>
      <c r="AZ1944" s="6" t="s">
        <v>24179</v>
      </c>
      <c r="BA1944" s="6" t="s">
        <v>104</v>
      </c>
      <c r="BB1944" s="6" t="s">
        <v>104</v>
      </c>
      <c r="BC1944" s="26"/>
      <c r="BD1944" s="26"/>
      <c r="BE1944" s="26"/>
      <c r="BF1944" s="26"/>
      <c r="BG1944" s="26"/>
      <c r="BH1944" s="26"/>
      <c r="BI1944" s="26"/>
      <c r="BJ1944" s="26"/>
      <c r="BK1944" s="26"/>
      <c r="BL1944" s="26"/>
      <c r="BM1944" s="26"/>
      <c r="BN1944" s="26"/>
      <c r="BO1944" s="26"/>
      <c r="BP1944" s="16" t="n">
        <v>45649</v>
      </c>
      <c r="BQ1944" s="28" t="str">
        <f>HYPERLINK("https://organic.ams.usda.gov/Integrity/Certificate.aspx?cid=48&amp;nopid=1467256459")</f>
        <v>https://organic.ams.usda.gov/Integrity/Certificate.aspx?cid=48&amp;nopid=1467256459</v>
      </c>
    </row>
    <row r="1945">
      <c r="A1945" t="s">
        <v>3</v>
      </c>
      <c r="B1945" s="6" t="s">
        <v>21</v>
      </c>
      <c r="C1945" s="6" t="s">
        <v>87</v>
      </c>
      <c r="D1945" s="6" t="s">
        <v>152</v>
      </c>
      <c r="E1945" s="10" t="s">
        <v>2143</v>
      </c>
      <c r="F1945" s="6" t="s">
        <v>4355</v>
      </c>
      <c r="G1945" s="6" t="s">
        <v>104</v>
      </c>
      <c r="H1945" s="6" t="s">
        <v>6647</v>
      </c>
      <c r="I1945" s="6" t="s">
        <v>7996</v>
      </c>
      <c r="J1945" s="6" t="s">
        <v>104</v>
      </c>
      <c r="K1945" s="6" t="s">
        <v>9714</v>
      </c>
      <c r="L1945" s="16" t="n">
        <v>42356</v>
      </c>
      <c r="M1945" s="16" t="n">
        <v>46023</v>
      </c>
      <c r="N1945" s="6" t="s">
        <v>9714</v>
      </c>
      <c r="O1945" s="16" t="n">
        <v>42356</v>
      </c>
      <c r="P1945" s="6" t="s">
        <v>10226</v>
      </c>
      <c r="Q1945" s="6" t="s">
        <v>104</v>
      </c>
      <c r="R1945" s="6" t="s">
        <v>104</v>
      </c>
      <c r="S1945" s="6" t="s">
        <v>104</v>
      </c>
      <c r="T1945" s="21" t="s">
        <v>104</v>
      </c>
      <c r="U1945" s="6" t="s">
        <v>104</v>
      </c>
      <c r="V1945" s="6" t="s">
        <v>104</v>
      </c>
      <c r="W1945" s="6" t="s">
        <v>104</v>
      </c>
      <c r="X1945" s="6" t="s">
        <v>104</v>
      </c>
      <c r="Y1945" s="21" t="s">
        <v>104</v>
      </c>
      <c r="Z1945" s="6" t="s">
        <v>104</v>
      </c>
      <c r="AA1945" s="6" t="s">
        <v>104</v>
      </c>
      <c r="AB1945" s="6" t="s">
        <v>104</v>
      </c>
      <c r="AC1945" s="6" t="s">
        <v>9714</v>
      </c>
      <c r="AD1945" s="16" t="n">
        <v>43900</v>
      </c>
      <c r="AE1945" s="6" t="s">
        <v>12220</v>
      </c>
      <c r="AF1945" s="6" t="s">
        <v>104</v>
      </c>
      <c r="AG1945" s="6" t="s">
        <v>104</v>
      </c>
      <c r="AH1945" s="6" t="s">
        <v>14938</v>
      </c>
      <c r="AI1945" s="6" t="s">
        <v>104</v>
      </c>
      <c r="AJ1945" s="6" t="s">
        <v>16529</v>
      </c>
      <c r="AK1945" s="6" t="s">
        <v>16687</v>
      </c>
      <c r="AL1945" s="6" t="s">
        <v>16931</v>
      </c>
      <c r="AM1945" s="6" t="s">
        <v>18266</v>
      </c>
      <c r="AN1945" s="6" t="s">
        <v>18529</v>
      </c>
      <c r="AO1945" s="6" t="s">
        <v>18905</v>
      </c>
      <c r="AP1945" s="6" t="s">
        <v>19461</v>
      </c>
      <c r="AQ1945" s="6" t="s">
        <v>104</v>
      </c>
      <c r="AR1945" s="6" t="s">
        <v>16529</v>
      </c>
      <c r="AS1945" s="6" t="s">
        <v>16687</v>
      </c>
      <c r="AT1945" s="6" t="s">
        <v>16931</v>
      </c>
      <c r="AU1945" s="6" t="s">
        <v>18266</v>
      </c>
      <c r="AV1945" s="6" t="s">
        <v>104</v>
      </c>
      <c r="AW1945" s="6" t="s">
        <v>104</v>
      </c>
      <c r="AX1945" s="6" t="s">
        <v>21622</v>
      </c>
      <c r="AY1945" s="6" t="s">
        <v>23437</v>
      </c>
      <c r="AZ1945" s="6" t="s">
        <v>24180</v>
      </c>
      <c r="BA1945" s="6" t="s">
        <v>24498</v>
      </c>
      <c r="BB1945" s="24" t="n">
        <v>32</v>
      </c>
      <c r="BC1945" s="26"/>
      <c r="BD1945" s="26"/>
      <c r="BE1945" s="26"/>
      <c r="BF1945" s="26"/>
      <c r="BG1945" s="26"/>
      <c r="BH1945" s="26"/>
      <c r="BI1945" s="26"/>
      <c r="BJ1945" s="26"/>
      <c r="BK1945" s="26"/>
      <c r="BL1945" s="26"/>
      <c r="BM1945" s="26"/>
      <c r="BN1945" s="26"/>
      <c r="BO1945" s="26"/>
      <c r="BP1945" s="16" t="n">
        <v>45667</v>
      </c>
      <c r="BQ1945" s="28" t="str">
        <f>HYPERLINK("https://organic.ams.usda.gov/Integrity/Certificate.aspx?cid=15&amp;nopid=5561001104")</f>
        <v>https://organic.ams.usda.gov/Integrity/Certificate.aspx?cid=15&amp;nopid=5561001104</v>
      </c>
    </row>
    <row r="1946">
      <c r="A1946" t="s">
        <v>3</v>
      </c>
      <c r="B1946" s="6" t="s">
        <v>54</v>
      </c>
      <c r="C1946" s="6" t="s">
        <v>120</v>
      </c>
      <c r="D1946" s="6" t="s">
        <v>184</v>
      </c>
      <c r="E1946" s="10" t="s">
        <v>2144</v>
      </c>
      <c r="F1946" s="6" t="s">
        <v>4356</v>
      </c>
      <c r="G1946" s="6" t="s">
        <v>104</v>
      </c>
      <c r="H1946" s="6" t="s">
        <v>6648</v>
      </c>
      <c r="I1946" s="6" t="s">
        <v>7997</v>
      </c>
      <c r="J1946" s="6" t="s">
        <v>8682</v>
      </c>
      <c r="K1946" s="6" t="s">
        <v>9714</v>
      </c>
      <c r="L1946" s="16" t="n">
        <v>42930</v>
      </c>
      <c r="M1946" s="16" t="n">
        <v>45717</v>
      </c>
      <c r="N1946" s="6" t="s">
        <v>9714</v>
      </c>
      <c r="O1946" s="16" t="n">
        <v>42930</v>
      </c>
      <c r="P1946" s="6" t="s">
        <v>10227</v>
      </c>
      <c r="Q1946" s="6" t="s">
        <v>104</v>
      </c>
      <c r="R1946" s="6" t="s">
        <v>104</v>
      </c>
      <c r="S1946" s="6" t="s">
        <v>104</v>
      </c>
      <c r="T1946" s="21" t="s">
        <v>104</v>
      </c>
      <c r="U1946" s="6" t="s">
        <v>104</v>
      </c>
      <c r="V1946" s="6" t="s">
        <v>104</v>
      </c>
      <c r="W1946" s="6" t="s">
        <v>104</v>
      </c>
      <c r="X1946" s="6" t="s">
        <v>104</v>
      </c>
      <c r="Y1946" s="21" t="s">
        <v>104</v>
      </c>
      <c r="Z1946" s="6" t="s">
        <v>104</v>
      </c>
      <c r="AA1946" s="6" t="s">
        <v>104</v>
      </c>
      <c r="AB1946" s="6" t="s">
        <v>104</v>
      </c>
      <c r="AC1946" s="6" t="s">
        <v>104</v>
      </c>
      <c r="AD1946" s="21" t="s">
        <v>104</v>
      </c>
      <c r="AE1946" s="6" t="s">
        <v>104</v>
      </c>
      <c r="AF1946" s="6" t="s">
        <v>104</v>
      </c>
      <c r="AG1946" s="6" t="s">
        <v>104</v>
      </c>
      <c r="AH1946" s="6" t="s">
        <v>13809</v>
      </c>
      <c r="AI1946" s="6" t="s">
        <v>104</v>
      </c>
      <c r="AJ1946" s="6" t="s">
        <v>15835</v>
      </c>
      <c r="AK1946" s="6" t="s">
        <v>16730</v>
      </c>
      <c r="AL1946" s="6" t="s">
        <v>16931</v>
      </c>
      <c r="AM1946" s="6" t="s">
        <v>17467</v>
      </c>
      <c r="AN1946" s="6" t="s">
        <v>18533</v>
      </c>
      <c r="AO1946" s="6" t="s">
        <v>18859</v>
      </c>
      <c r="AP1946" s="6" t="s">
        <v>104</v>
      </c>
      <c r="AQ1946" s="6" t="s">
        <v>104</v>
      </c>
      <c r="AR1946" s="6" t="s">
        <v>104</v>
      </c>
      <c r="AS1946" s="6" t="s">
        <v>104</v>
      </c>
      <c r="AT1946" s="6" t="s">
        <v>104</v>
      </c>
      <c r="AU1946" s="6" t="s">
        <v>104</v>
      </c>
      <c r="AV1946" s="6" t="s">
        <v>104</v>
      </c>
      <c r="AW1946" s="6" t="s">
        <v>104</v>
      </c>
      <c r="AX1946" s="6" t="s">
        <v>104</v>
      </c>
      <c r="AY1946" s="6" t="s">
        <v>23438</v>
      </c>
      <c r="AZ1946" s="6" t="s">
        <v>104</v>
      </c>
      <c r="BA1946" s="6" t="s">
        <v>24267</v>
      </c>
      <c r="BB1946" s="24" t="n">
        <v>2686</v>
      </c>
      <c r="BC1946" s="26" t="s">
        <v>24533</v>
      </c>
      <c r="BD1946" s="26"/>
      <c r="BE1946" s="26"/>
      <c r="BF1946" s="26"/>
      <c r="BG1946" s="26" t="s">
        <v>24533</v>
      </c>
      <c r="BH1946" s="26" t="s">
        <v>24533</v>
      </c>
      <c r="BI1946" s="26"/>
      <c r="BJ1946" s="26"/>
      <c r="BK1946" s="26"/>
      <c r="BL1946" s="26"/>
      <c r="BM1946" s="26"/>
      <c r="BN1946" s="26" t="s">
        <v>24533</v>
      </c>
      <c r="BO1946" s="26"/>
      <c r="BP1946" s="16" t="n">
        <v>45721</v>
      </c>
      <c r="BQ1946" s="28" t="str">
        <f>HYPERLINK("https://organic.ams.usda.gov/Integrity/Certificate.aspx?cid=60&amp;nopid=2580002075")</f>
        <v>https://organic.ams.usda.gov/Integrity/Certificate.aspx?cid=60&amp;nopid=2580002075</v>
      </c>
    </row>
    <row r="1947">
      <c r="A1947" t="s">
        <v>3</v>
      </c>
      <c r="B1947" s="6" t="s">
        <v>17</v>
      </c>
      <c r="C1947" s="6" t="s">
        <v>83</v>
      </c>
      <c r="D1947" s="6" t="s">
        <v>148</v>
      </c>
      <c r="E1947" s="10" t="s">
        <v>2145</v>
      </c>
      <c r="F1947" s="6" t="s">
        <v>4357</v>
      </c>
      <c r="G1947" s="6" t="s">
        <v>4862</v>
      </c>
      <c r="H1947" s="6" t="s">
        <v>6649</v>
      </c>
      <c r="I1947" s="6" t="s">
        <v>7998</v>
      </c>
      <c r="J1947" s="6" t="s">
        <v>9510</v>
      </c>
      <c r="K1947" s="6" t="s">
        <v>9714</v>
      </c>
      <c r="L1947" s="16" t="n">
        <v>45365</v>
      </c>
      <c r="M1947" s="16" t="n">
        <v>45658</v>
      </c>
      <c r="N1947" s="6" t="s">
        <v>104</v>
      </c>
      <c r="O1947" s="21" t="s">
        <v>104</v>
      </c>
      <c r="P1947" s="6" t="s">
        <v>104</v>
      </c>
      <c r="Q1947" s="6" t="s">
        <v>104</v>
      </c>
      <c r="R1947" s="6" t="s">
        <v>104</v>
      </c>
      <c r="S1947" s="6" t="s">
        <v>104</v>
      </c>
      <c r="T1947" s="21" t="s">
        <v>104</v>
      </c>
      <c r="U1947" s="6" t="s">
        <v>104</v>
      </c>
      <c r="V1947" s="6" t="s">
        <v>104</v>
      </c>
      <c r="W1947" s="6" t="s">
        <v>104</v>
      </c>
      <c r="X1947" s="6" t="s">
        <v>104</v>
      </c>
      <c r="Y1947" s="21" t="s">
        <v>104</v>
      </c>
      <c r="Z1947" s="6" t="s">
        <v>104</v>
      </c>
      <c r="AA1947" s="6" t="s">
        <v>104</v>
      </c>
      <c r="AB1947" s="6" t="s">
        <v>104</v>
      </c>
      <c r="AC1947" s="6" t="s">
        <v>9714</v>
      </c>
      <c r="AD1947" s="16" t="n">
        <v>45365</v>
      </c>
      <c r="AE1947" s="6" t="s">
        <v>12221</v>
      </c>
      <c r="AF1947" s="6" t="s">
        <v>104</v>
      </c>
      <c r="AG1947" s="6" t="s">
        <v>104</v>
      </c>
      <c r="AH1947" s="6" t="s">
        <v>14939</v>
      </c>
      <c r="AI1947" s="6" t="s">
        <v>104</v>
      </c>
      <c r="AJ1947" s="6" t="s">
        <v>16530</v>
      </c>
      <c r="AK1947" s="6" t="s">
        <v>16370</v>
      </c>
      <c r="AL1947" s="6" t="s">
        <v>16931</v>
      </c>
      <c r="AM1947" s="6" t="s">
        <v>18267</v>
      </c>
      <c r="AN1947" s="6" t="s">
        <v>104</v>
      </c>
      <c r="AO1947" s="6" t="s">
        <v>104</v>
      </c>
      <c r="AP1947" s="6" t="s">
        <v>14939</v>
      </c>
      <c r="AQ1947" s="6" t="s">
        <v>104</v>
      </c>
      <c r="AR1947" s="6" t="s">
        <v>16530</v>
      </c>
      <c r="AS1947" s="6" t="s">
        <v>16370</v>
      </c>
      <c r="AT1947" s="6" t="s">
        <v>16931</v>
      </c>
      <c r="AU1947" s="6" t="s">
        <v>18267</v>
      </c>
      <c r="AV1947" s="6" t="s">
        <v>104</v>
      </c>
      <c r="AW1947" s="6" t="s">
        <v>104</v>
      </c>
      <c r="AX1947" s="6" t="s">
        <v>21623</v>
      </c>
      <c r="AY1947" s="6" t="s">
        <v>23439</v>
      </c>
      <c r="AZ1947" s="6" t="s">
        <v>104</v>
      </c>
      <c r="BA1947" s="6" t="s">
        <v>104</v>
      </c>
      <c r="BB1947" s="24" t="n">
        <v>0</v>
      </c>
      <c r="BC1947" s="26"/>
      <c r="BD1947" s="26"/>
      <c r="BE1947" s="26"/>
      <c r="BF1947" s="26"/>
      <c r="BG1947" s="26" t="s">
        <v>24533</v>
      </c>
      <c r="BH1947" s="26" t="s">
        <v>24533</v>
      </c>
      <c r="BI1947" s="26"/>
      <c r="BJ1947" s="26"/>
      <c r="BK1947" s="26"/>
      <c r="BL1947" s="26"/>
      <c r="BM1947" s="26"/>
      <c r="BN1947" s="26"/>
      <c r="BO1947" s="26"/>
      <c r="BP1947" s="16" t="n">
        <v>45664</v>
      </c>
      <c r="BQ1947" s="28" t="str">
        <f>HYPERLINK("https://organic.ams.usda.gov/Integrity/Certificate.aspx?cid=51&amp;nopid=8240022723")</f>
        <v>https://organic.ams.usda.gov/Integrity/Certificate.aspx?cid=51&amp;nopid=8240022723</v>
      </c>
    </row>
    <row r="1948">
      <c r="A1948" t="s">
        <v>3</v>
      </c>
      <c r="B1948" s="6" t="s">
        <v>25</v>
      </c>
      <c r="C1948" s="6" t="s">
        <v>91</v>
      </c>
      <c r="D1948" s="6" t="s">
        <v>156</v>
      </c>
      <c r="E1948" s="10" t="s">
        <v>2146</v>
      </c>
      <c r="F1948" s="6" t="s">
        <v>4358</v>
      </c>
      <c r="G1948" s="6" t="s">
        <v>104</v>
      </c>
      <c r="H1948" s="6" t="s">
        <v>6650</v>
      </c>
      <c r="I1948" s="6" t="s">
        <v>7757</v>
      </c>
      <c r="J1948" s="6" t="s">
        <v>9511</v>
      </c>
      <c r="K1948" s="6" t="s">
        <v>9714</v>
      </c>
      <c r="L1948" s="16" t="n">
        <v>38098</v>
      </c>
      <c r="M1948" s="16" t="n">
        <v>45727</v>
      </c>
      <c r="N1948" s="6" t="s">
        <v>104</v>
      </c>
      <c r="O1948" s="21" t="s">
        <v>104</v>
      </c>
      <c r="P1948" s="6" t="s">
        <v>104</v>
      </c>
      <c r="Q1948" s="6" t="s">
        <v>104</v>
      </c>
      <c r="R1948" s="6" t="s">
        <v>104</v>
      </c>
      <c r="S1948" s="6" t="s">
        <v>104</v>
      </c>
      <c r="T1948" s="21" t="s">
        <v>104</v>
      </c>
      <c r="U1948" s="6" t="s">
        <v>104</v>
      </c>
      <c r="V1948" s="6" t="s">
        <v>104</v>
      </c>
      <c r="W1948" s="6" t="s">
        <v>104</v>
      </c>
      <c r="X1948" s="6" t="s">
        <v>104</v>
      </c>
      <c r="Y1948" s="21" t="s">
        <v>104</v>
      </c>
      <c r="Z1948" s="6" t="s">
        <v>104</v>
      </c>
      <c r="AA1948" s="6" t="s">
        <v>104</v>
      </c>
      <c r="AB1948" s="6" t="s">
        <v>104</v>
      </c>
      <c r="AC1948" s="6" t="s">
        <v>9714</v>
      </c>
      <c r="AD1948" s="16" t="n">
        <v>38098</v>
      </c>
      <c r="AE1948" s="6" t="s">
        <v>12222</v>
      </c>
      <c r="AF1948" s="6" t="s">
        <v>104</v>
      </c>
      <c r="AG1948" s="6" t="s">
        <v>104</v>
      </c>
      <c r="AH1948" s="6" t="s">
        <v>14940</v>
      </c>
      <c r="AI1948" s="6" t="s">
        <v>104</v>
      </c>
      <c r="AJ1948" s="6" t="s">
        <v>16531</v>
      </c>
      <c r="AK1948" s="6" t="s">
        <v>16691</v>
      </c>
      <c r="AL1948" s="6" t="s">
        <v>16935</v>
      </c>
      <c r="AM1948" s="6" t="s">
        <v>18268</v>
      </c>
      <c r="AN1948" s="6" t="s">
        <v>104</v>
      </c>
      <c r="AO1948" s="6" t="s">
        <v>104</v>
      </c>
      <c r="AP1948" s="6" t="s">
        <v>19462</v>
      </c>
      <c r="AQ1948" s="6" t="s">
        <v>104</v>
      </c>
      <c r="AR1948" s="6" t="s">
        <v>16531</v>
      </c>
      <c r="AS1948" s="6" t="s">
        <v>16691</v>
      </c>
      <c r="AT1948" s="6" t="s">
        <v>16935</v>
      </c>
      <c r="AU1948" s="6" t="s">
        <v>18268</v>
      </c>
      <c r="AV1948" s="6" t="s">
        <v>104</v>
      </c>
      <c r="AW1948" s="6" t="s">
        <v>104</v>
      </c>
      <c r="AX1948" s="6" t="s">
        <v>21624</v>
      </c>
      <c r="AY1948" s="6" t="s">
        <v>23440</v>
      </c>
      <c r="AZ1948" s="6" t="s">
        <v>104</v>
      </c>
      <c r="BA1948" s="6" t="s">
        <v>104</v>
      </c>
      <c r="BB1948" s="6" t="s">
        <v>104</v>
      </c>
      <c r="BC1948" s="26"/>
      <c r="BD1948" s="26"/>
      <c r="BE1948" s="26"/>
      <c r="BF1948" s="26"/>
      <c r="BG1948" s="26"/>
      <c r="BH1948" s="26"/>
      <c r="BI1948" s="26"/>
      <c r="BJ1948" s="26"/>
      <c r="BK1948" s="26"/>
      <c r="BL1948" s="26"/>
      <c r="BM1948" s="26"/>
      <c r="BN1948" s="26"/>
      <c r="BO1948" s="26"/>
      <c r="BP1948" s="16" t="n">
        <v>45485</v>
      </c>
      <c r="BQ1948" s="28" t="str">
        <f>HYPERLINK("https://organic.ams.usda.gov/Integrity/Certificate.aspx?cid=66&amp;nopid=5500000130")</f>
        <v>https://organic.ams.usda.gov/Integrity/Certificate.aspx?cid=66&amp;nopid=5500000130</v>
      </c>
    </row>
    <row r="1949">
      <c r="A1949" t="s">
        <v>3</v>
      </c>
      <c r="B1949" s="6" t="s">
        <v>25</v>
      </c>
      <c r="C1949" s="6" t="s">
        <v>91</v>
      </c>
      <c r="D1949" s="6" t="s">
        <v>156</v>
      </c>
      <c r="E1949" s="10" t="s">
        <v>2147</v>
      </c>
      <c r="F1949" s="6" t="s">
        <v>4359</v>
      </c>
      <c r="G1949" s="6" t="s">
        <v>104</v>
      </c>
      <c r="H1949" s="6" t="s">
        <v>6651</v>
      </c>
      <c r="I1949" s="6" t="s">
        <v>7999</v>
      </c>
      <c r="J1949" s="6" t="s">
        <v>9512</v>
      </c>
      <c r="K1949" s="6" t="s">
        <v>9714</v>
      </c>
      <c r="L1949" s="16" t="n">
        <v>45377</v>
      </c>
      <c r="M1949" s="16" t="n">
        <v>45734</v>
      </c>
      <c r="N1949" s="6" t="s">
        <v>104</v>
      </c>
      <c r="O1949" s="21" t="s">
        <v>104</v>
      </c>
      <c r="P1949" s="6" t="s">
        <v>104</v>
      </c>
      <c r="Q1949" s="6" t="s">
        <v>104</v>
      </c>
      <c r="R1949" s="6" t="s">
        <v>104</v>
      </c>
      <c r="S1949" s="6" t="s">
        <v>104</v>
      </c>
      <c r="T1949" s="21" t="s">
        <v>104</v>
      </c>
      <c r="U1949" s="6" t="s">
        <v>104</v>
      </c>
      <c r="V1949" s="6" t="s">
        <v>104</v>
      </c>
      <c r="W1949" s="6" t="s">
        <v>104</v>
      </c>
      <c r="X1949" s="6" t="s">
        <v>104</v>
      </c>
      <c r="Y1949" s="21" t="s">
        <v>104</v>
      </c>
      <c r="Z1949" s="6" t="s">
        <v>104</v>
      </c>
      <c r="AA1949" s="6" t="s">
        <v>104</v>
      </c>
      <c r="AB1949" s="6" t="s">
        <v>104</v>
      </c>
      <c r="AC1949" s="6" t="s">
        <v>9714</v>
      </c>
      <c r="AD1949" s="16" t="n">
        <v>45377</v>
      </c>
      <c r="AE1949" s="6" t="s">
        <v>12223</v>
      </c>
      <c r="AF1949" s="6" t="s">
        <v>104</v>
      </c>
      <c r="AG1949" s="6" t="s">
        <v>104</v>
      </c>
      <c r="AH1949" s="6" t="s">
        <v>14941</v>
      </c>
      <c r="AI1949" s="6" t="s">
        <v>104</v>
      </c>
      <c r="AJ1949" s="6" t="s">
        <v>16532</v>
      </c>
      <c r="AK1949" s="6" t="s">
        <v>16895</v>
      </c>
      <c r="AL1949" s="6" t="s">
        <v>16973</v>
      </c>
      <c r="AM1949" s="6" t="s">
        <v>18269</v>
      </c>
      <c r="AN1949" s="6" t="s">
        <v>104</v>
      </c>
      <c r="AO1949" s="6" t="s">
        <v>104</v>
      </c>
      <c r="AP1949" s="6" t="s">
        <v>14941</v>
      </c>
      <c r="AQ1949" s="6" t="s">
        <v>104</v>
      </c>
      <c r="AR1949" s="6" t="s">
        <v>16532</v>
      </c>
      <c r="AS1949" s="6" t="s">
        <v>16895</v>
      </c>
      <c r="AT1949" s="6" t="s">
        <v>16973</v>
      </c>
      <c r="AU1949" s="6" t="s">
        <v>18269</v>
      </c>
      <c r="AV1949" s="6" t="s">
        <v>104</v>
      </c>
      <c r="AW1949" s="6" t="s">
        <v>104</v>
      </c>
      <c r="AX1949" s="6" t="s">
        <v>104</v>
      </c>
      <c r="AY1949" s="6" t="s">
        <v>23441</v>
      </c>
      <c r="AZ1949" s="6" t="s">
        <v>104</v>
      </c>
      <c r="BA1949" s="6" t="s">
        <v>104</v>
      </c>
      <c r="BB1949" s="6" t="s">
        <v>104</v>
      </c>
      <c r="BC1949" s="26"/>
      <c r="BD1949" s="26"/>
      <c r="BE1949" s="26"/>
      <c r="BF1949" s="26"/>
      <c r="BG1949" s="26"/>
      <c r="BH1949" s="26" t="s">
        <v>24533</v>
      </c>
      <c r="BI1949" s="26"/>
      <c r="BJ1949" s="26"/>
      <c r="BK1949" s="26"/>
      <c r="BL1949" s="26"/>
      <c r="BM1949" s="26"/>
      <c r="BN1949" s="26"/>
      <c r="BO1949" s="26"/>
      <c r="BP1949" s="16" t="n">
        <v>45377</v>
      </c>
      <c r="BQ1949" s="28" t="str">
        <f>HYPERLINK("https://organic.ams.usda.gov/Integrity/Certificate.aspx?cid=66&amp;nopid=5500007184")</f>
        <v>https://organic.ams.usda.gov/Integrity/Certificate.aspx?cid=66&amp;nopid=5500007184</v>
      </c>
    </row>
    <row r="1950">
      <c r="A1950" t="s">
        <v>3</v>
      </c>
      <c r="B1950" s="6" t="s">
        <v>54</v>
      </c>
      <c r="C1950" s="6" t="s">
        <v>120</v>
      </c>
      <c r="D1950" s="6" t="s">
        <v>184</v>
      </c>
      <c r="E1950" s="10" t="s">
        <v>2148</v>
      </c>
      <c r="F1950" s="6" t="s">
        <v>4360</v>
      </c>
      <c r="G1950" s="6" t="s">
        <v>104</v>
      </c>
      <c r="H1950" s="6" t="s">
        <v>6652</v>
      </c>
      <c r="I1950" s="6" t="s">
        <v>8000</v>
      </c>
      <c r="J1950" s="6" t="s">
        <v>9513</v>
      </c>
      <c r="K1950" s="6" t="s">
        <v>9714</v>
      </c>
      <c r="L1950" s="16" t="n">
        <v>42999</v>
      </c>
      <c r="M1950" s="16" t="n">
        <v>45717</v>
      </c>
      <c r="N1950" s="6" t="s">
        <v>9714</v>
      </c>
      <c r="O1950" s="16" t="n">
        <v>42999</v>
      </c>
      <c r="P1950" s="6" t="s">
        <v>9898</v>
      </c>
      <c r="Q1950" s="6" t="s">
        <v>104</v>
      </c>
      <c r="R1950" s="6" t="s">
        <v>104</v>
      </c>
      <c r="S1950" s="6" t="s">
        <v>104</v>
      </c>
      <c r="T1950" s="21" t="s">
        <v>104</v>
      </c>
      <c r="U1950" s="6" t="s">
        <v>104</v>
      </c>
      <c r="V1950" s="6" t="s">
        <v>104</v>
      </c>
      <c r="W1950" s="6" t="s">
        <v>104</v>
      </c>
      <c r="X1950" s="6" t="s">
        <v>104</v>
      </c>
      <c r="Y1950" s="21" t="s">
        <v>104</v>
      </c>
      <c r="Z1950" s="6" t="s">
        <v>104</v>
      </c>
      <c r="AA1950" s="6" t="s">
        <v>104</v>
      </c>
      <c r="AB1950" s="6" t="s">
        <v>104</v>
      </c>
      <c r="AC1950" s="6" t="s">
        <v>104</v>
      </c>
      <c r="AD1950" s="21" t="s">
        <v>104</v>
      </c>
      <c r="AE1950" s="6" t="s">
        <v>104</v>
      </c>
      <c r="AF1950" s="6" t="s">
        <v>104</v>
      </c>
      <c r="AG1950" s="6" t="s">
        <v>104</v>
      </c>
      <c r="AH1950" s="6" t="s">
        <v>14942</v>
      </c>
      <c r="AI1950" s="6" t="s">
        <v>104</v>
      </c>
      <c r="AJ1950" s="6" t="s">
        <v>15646</v>
      </c>
      <c r="AK1950" s="6" t="s">
        <v>16743</v>
      </c>
      <c r="AL1950" s="6" t="s">
        <v>16931</v>
      </c>
      <c r="AM1950" s="6" t="s">
        <v>17264</v>
      </c>
      <c r="AN1950" s="6" t="s">
        <v>18483</v>
      </c>
      <c r="AO1950" s="6" t="s">
        <v>18652</v>
      </c>
      <c r="AP1950" s="6" t="s">
        <v>104</v>
      </c>
      <c r="AQ1950" s="6" t="s">
        <v>104</v>
      </c>
      <c r="AR1950" s="6" t="s">
        <v>104</v>
      </c>
      <c r="AS1950" s="6" t="s">
        <v>104</v>
      </c>
      <c r="AT1950" s="6" t="s">
        <v>104</v>
      </c>
      <c r="AU1950" s="6" t="s">
        <v>104</v>
      </c>
      <c r="AV1950" s="6" t="s">
        <v>104</v>
      </c>
      <c r="AW1950" s="6" t="s">
        <v>104</v>
      </c>
      <c r="AX1950" s="6" t="s">
        <v>21625</v>
      </c>
      <c r="AY1950" s="6" t="s">
        <v>23442</v>
      </c>
      <c r="AZ1950" s="6" t="s">
        <v>104</v>
      </c>
      <c r="BA1950" s="6" t="s">
        <v>24267</v>
      </c>
      <c r="BB1950" s="24" t="n">
        <v>223</v>
      </c>
      <c r="BC1950" s="26"/>
      <c r="BD1950" s="26"/>
      <c r="BE1950" s="26"/>
      <c r="BF1950" s="26"/>
      <c r="BG1950" s="26"/>
      <c r="BH1950" s="26"/>
      <c r="BI1950" s="26"/>
      <c r="BJ1950" s="26"/>
      <c r="BK1950" s="26"/>
      <c r="BL1950" s="26"/>
      <c r="BM1950" s="26"/>
      <c r="BN1950" s="26"/>
      <c r="BO1950" s="26"/>
      <c r="BP1950" s="16" t="n">
        <v>45672</v>
      </c>
      <c r="BQ1950" s="28" t="str">
        <f>HYPERLINK("https://organic.ams.usda.gov/Integrity/Certificate.aspx?cid=60&amp;nopid=2580002259")</f>
        <v>https://organic.ams.usda.gov/Integrity/Certificate.aspx?cid=60&amp;nopid=2580002259</v>
      </c>
    </row>
    <row r="1951">
      <c r="A1951" t="s">
        <v>3</v>
      </c>
      <c r="B1951" s="6" t="s">
        <v>22</v>
      </c>
      <c r="C1951" s="6" t="s">
        <v>88</v>
      </c>
      <c r="D1951" s="6" t="s">
        <v>153</v>
      </c>
      <c r="E1951" s="10" t="s">
        <v>2149</v>
      </c>
      <c r="F1951" s="6" t="s">
        <v>4361</v>
      </c>
      <c r="G1951" s="6" t="s">
        <v>104</v>
      </c>
      <c r="H1951" s="6" t="s">
        <v>6653</v>
      </c>
      <c r="I1951" s="6" t="s">
        <v>8001</v>
      </c>
      <c r="J1951" s="6" t="s">
        <v>9514</v>
      </c>
      <c r="K1951" s="6" t="s">
        <v>9714</v>
      </c>
      <c r="L1951" s="16" t="n">
        <v>45348</v>
      </c>
      <c r="M1951" s="16" t="n">
        <v>46024</v>
      </c>
      <c r="N1951" s="6" t="s">
        <v>104</v>
      </c>
      <c r="O1951" s="21" t="s">
        <v>104</v>
      </c>
      <c r="P1951" s="6" t="s">
        <v>104</v>
      </c>
      <c r="Q1951" s="6" t="s">
        <v>104</v>
      </c>
      <c r="R1951" s="6" t="s">
        <v>104</v>
      </c>
      <c r="S1951" s="6" t="s">
        <v>104</v>
      </c>
      <c r="T1951" s="21" t="s">
        <v>104</v>
      </c>
      <c r="U1951" s="6" t="s">
        <v>104</v>
      </c>
      <c r="V1951" s="6" t="s">
        <v>104</v>
      </c>
      <c r="W1951" s="6" t="s">
        <v>104</v>
      </c>
      <c r="X1951" s="6" t="s">
        <v>104</v>
      </c>
      <c r="Y1951" s="21" t="s">
        <v>104</v>
      </c>
      <c r="Z1951" s="6" t="s">
        <v>104</v>
      </c>
      <c r="AA1951" s="6" t="s">
        <v>104</v>
      </c>
      <c r="AB1951" s="6" t="s">
        <v>104</v>
      </c>
      <c r="AC1951" s="6" t="s">
        <v>9714</v>
      </c>
      <c r="AD1951" s="16" t="n">
        <v>45348</v>
      </c>
      <c r="AE1951" s="6" t="s">
        <v>12224</v>
      </c>
      <c r="AF1951" s="6" t="s">
        <v>104</v>
      </c>
      <c r="AG1951" s="6" t="s">
        <v>13072</v>
      </c>
      <c r="AH1951" s="6" t="s">
        <v>14943</v>
      </c>
      <c r="AI1951" s="6" t="s">
        <v>104</v>
      </c>
      <c r="AJ1951" s="6" t="s">
        <v>15783</v>
      </c>
      <c r="AK1951" s="6" t="s">
        <v>16382</v>
      </c>
      <c r="AL1951" s="6" t="s">
        <v>16931</v>
      </c>
      <c r="AM1951" s="6" t="s">
        <v>17410</v>
      </c>
      <c r="AN1951" s="6" t="s">
        <v>104</v>
      </c>
      <c r="AO1951" s="6" t="s">
        <v>104</v>
      </c>
      <c r="AP1951" s="6" t="s">
        <v>14943</v>
      </c>
      <c r="AQ1951" s="6" t="s">
        <v>104</v>
      </c>
      <c r="AR1951" s="6" t="s">
        <v>15783</v>
      </c>
      <c r="AS1951" s="6" t="s">
        <v>16382</v>
      </c>
      <c r="AT1951" s="6" t="s">
        <v>16931</v>
      </c>
      <c r="AU1951" s="6" t="s">
        <v>17410</v>
      </c>
      <c r="AV1951" s="6" t="s">
        <v>104</v>
      </c>
      <c r="AW1951" s="6" t="s">
        <v>104</v>
      </c>
      <c r="AX1951" s="6" t="s">
        <v>21626</v>
      </c>
      <c r="AY1951" s="6" t="s">
        <v>23443</v>
      </c>
      <c r="AZ1951" s="6" t="s">
        <v>104</v>
      </c>
      <c r="BA1951" s="6" t="s">
        <v>104</v>
      </c>
      <c r="BB1951" s="6" t="s">
        <v>104</v>
      </c>
      <c r="BC1951" s="26"/>
      <c r="BD1951" s="26"/>
      <c r="BE1951" s="26"/>
      <c r="BF1951" s="26"/>
      <c r="BG1951" s="26"/>
      <c r="BH1951" s="26"/>
      <c r="BI1951" s="26"/>
      <c r="BJ1951" s="26"/>
      <c r="BK1951" s="26"/>
      <c r="BL1951" s="26"/>
      <c r="BM1951" s="26"/>
      <c r="BN1951" s="26"/>
      <c r="BO1951" s="26"/>
      <c r="BP1951" s="16" t="n">
        <v>45730</v>
      </c>
      <c r="BQ1951" s="28" t="str">
        <f>HYPERLINK("https://organic.ams.usda.gov/Integrity/Certificate.aspx?cid=72&amp;nopid=5870107091")</f>
        <v>https://organic.ams.usda.gov/Integrity/Certificate.aspx?cid=72&amp;nopid=5870107091</v>
      </c>
    </row>
    <row r="1952">
      <c r="A1952" t="s">
        <v>3</v>
      </c>
      <c r="B1952" s="6" t="s">
        <v>25</v>
      </c>
      <c r="C1952" s="6" t="s">
        <v>91</v>
      </c>
      <c r="D1952" s="6" t="s">
        <v>156</v>
      </c>
      <c r="E1952" s="10" t="s">
        <v>2150</v>
      </c>
      <c r="F1952" s="6" t="s">
        <v>4362</v>
      </c>
      <c r="G1952" s="6" t="s">
        <v>104</v>
      </c>
      <c r="H1952" s="6" t="s">
        <v>6654</v>
      </c>
      <c r="I1952" s="6" t="s">
        <v>7764</v>
      </c>
      <c r="J1952" s="6" t="s">
        <v>9182</v>
      </c>
      <c r="K1952" s="6" t="s">
        <v>9714</v>
      </c>
      <c r="L1952" s="16" t="n">
        <v>44326</v>
      </c>
      <c r="M1952" s="16" t="n">
        <v>45786</v>
      </c>
      <c r="N1952" s="6" t="s">
        <v>104</v>
      </c>
      <c r="O1952" s="21" t="s">
        <v>104</v>
      </c>
      <c r="P1952" s="6" t="s">
        <v>104</v>
      </c>
      <c r="Q1952" s="6" t="s">
        <v>104</v>
      </c>
      <c r="R1952" s="6" t="s">
        <v>104</v>
      </c>
      <c r="S1952" s="6" t="s">
        <v>104</v>
      </c>
      <c r="T1952" s="21" t="s">
        <v>104</v>
      </c>
      <c r="U1952" s="6" t="s">
        <v>104</v>
      </c>
      <c r="V1952" s="6" t="s">
        <v>104</v>
      </c>
      <c r="W1952" s="6" t="s">
        <v>104</v>
      </c>
      <c r="X1952" s="6" t="s">
        <v>104</v>
      </c>
      <c r="Y1952" s="21" t="s">
        <v>104</v>
      </c>
      <c r="Z1952" s="6" t="s">
        <v>104</v>
      </c>
      <c r="AA1952" s="6" t="s">
        <v>104</v>
      </c>
      <c r="AB1952" s="6" t="s">
        <v>104</v>
      </c>
      <c r="AC1952" s="6" t="s">
        <v>9714</v>
      </c>
      <c r="AD1952" s="16" t="n">
        <v>44326</v>
      </c>
      <c r="AE1952" s="6" t="s">
        <v>12225</v>
      </c>
      <c r="AF1952" s="6" t="s">
        <v>104</v>
      </c>
      <c r="AG1952" s="6" t="s">
        <v>104</v>
      </c>
      <c r="AH1952" s="6" t="s">
        <v>14944</v>
      </c>
      <c r="AI1952" s="6" t="s">
        <v>104</v>
      </c>
      <c r="AJ1952" s="6" t="s">
        <v>16318</v>
      </c>
      <c r="AK1952" s="6" t="s">
        <v>16318</v>
      </c>
      <c r="AL1952" s="6" t="s">
        <v>16954</v>
      </c>
      <c r="AM1952" s="6" t="s">
        <v>5038</v>
      </c>
      <c r="AN1952" s="6" t="s">
        <v>104</v>
      </c>
      <c r="AO1952" s="6" t="s">
        <v>104</v>
      </c>
      <c r="AP1952" s="6" t="s">
        <v>14944</v>
      </c>
      <c r="AQ1952" s="6" t="s">
        <v>104</v>
      </c>
      <c r="AR1952" s="6" t="s">
        <v>16318</v>
      </c>
      <c r="AS1952" s="6" t="s">
        <v>16318</v>
      </c>
      <c r="AT1952" s="6" t="s">
        <v>16954</v>
      </c>
      <c r="AU1952" s="6" t="s">
        <v>5038</v>
      </c>
      <c r="AV1952" s="6" t="s">
        <v>104</v>
      </c>
      <c r="AW1952" s="6" t="s">
        <v>104</v>
      </c>
      <c r="AX1952" s="6" t="s">
        <v>21230</v>
      </c>
      <c r="AY1952" s="6" t="s">
        <v>23444</v>
      </c>
      <c r="AZ1952" s="6" t="s">
        <v>104</v>
      </c>
      <c r="BA1952" s="6" t="s">
        <v>24264</v>
      </c>
      <c r="BB1952" s="6" t="s">
        <v>104</v>
      </c>
      <c r="BC1952" s="26"/>
      <c r="BD1952" s="26"/>
      <c r="BE1952" s="26"/>
      <c r="BF1952" s="26"/>
      <c r="BG1952" s="26"/>
      <c r="BH1952" s="26" t="s">
        <v>24533</v>
      </c>
      <c r="BI1952" s="26"/>
      <c r="BJ1952" s="26"/>
      <c r="BK1952" s="26"/>
      <c r="BL1952" s="26"/>
      <c r="BM1952" s="26"/>
      <c r="BN1952" s="26"/>
      <c r="BO1952" s="26"/>
      <c r="BP1952" s="16" t="n">
        <v>45518</v>
      </c>
      <c r="BQ1952" s="28" t="str">
        <f>HYPERLINK("https://organic.ams.usda.gov/Integrity/Certificate.aspx?cid=66&amp;nopid=5500006519")</f>
        <v>https://organic.ams.usda.gov/Integrity/Certificate.aspx?cid=66&amp;nopid=5500006519</v>
      </c>
    </row>
    <row r="1953">
      <c r="A1953" t="s">
        <v>3</v>
      </c>
      <c r="B1953" s="6" t="s">
        <v>6</v>
      </c>
      <c r="C1953" s="6" t="s">
        <v>72</v>
      </c>
      <c r="D1953" s="6" t="s">
        <v>137</v>
      </c>
      <c r="E1953" s="10" t="s">
        <v>2151</v>
      </c>
      <c r="F1953" s="6" t="s">
        <v>4363</v>
      </c>
      <c r="G1953" s="6" t="s">
        <v>104</v>
      </c>
      <c r="H1953" s="6" t="s">
        <v>6655</v>
      </c>
      <c r="I1953" s="6" t="s">
        <v>8002</v>
      </c>
      <c r="J1953" s="6" t="s">
        <v>7280</v>
      </c>
      <c r="K1953" s="6" t="s">
        <v>9714</v>
      </c>
      <c r="L1953" s="16" t="n">
        <v>45468</v>
      </c>
      <c r="M1953" s="16" t="n">
        <v>45787</v>
      </c>
      <c r="N1953" s="6" t="s">
        <v>104</v>
      </c>
      <c r="O1953" s="21" t="s">
        <v>104</v>
      </c>
      <c r="P1953" s="6" t="s">
        <v>104</v>
      </c>
      <c r="Q1953" s="6" t="s">
        <v>104</v>
      </c>
      <c r="R1953" s="6" t="s">
        <v>104</v>
      </c>
      <c r="S1953" s="6" t="s">
        <v>104</v>
      </c>
      <c r="T1953" s="21" t="s">
        <v>104</v>
      </c>
      <c r="U1953" s="6" t="s">
        <v>104</v>
      </c>
      <c r="V1953" s="6" t="s">
        <v>104</v>
      </c>
      <c r="W1953" s="6" t="s">
        <v>104</v>
      </c>
      <c r="X1953" s="6" t="s">
        <v>104</v>
      </c>
      <c r="Y1953" s="21" t="s">
        <v>104</v>
      </c>
      <c r="Z1953" s="6" t="s">
        <v>104</v>
      </c>
      <c r="AA1953" s="6" t="s">
        <v>104</v>
      </c>
      <c r="AB1953" s="6" t="s">
        <v>104</v>
      </c>
      <c r="AC1953" s="6" t="s">
        <v>9714</v>
      </c>
      <c r="AD1953" s="16" t="n">
        <v>45468</v>
      </c>
      <c r="AE1953" s="6" t="s">
        <v>12226</v>
      </c>
      <c r="AF1953" s="6" t="s">
        <v>104</v>
      </c>
      <c r="AG1953" s="6" t="s">
        <v>13073</v>
      </c>
      <c r="AH1953" s="6" t="s">
        <v>14945</v>
      </c>
      <c r="AI1953" s="6" t="s">
        <v>104</v>
      </c>
      <c r="AJ1953" s="6" t="s">
        <v>16533</v>
      </c>
      <c r="AK1953" s="6" t="s">
        <v>16767</v>
      </c>
      <c r="AL1953" s="6" t="s">
        <v>16766</v>
      </c>
      <c r="AM1953" s="6" t="s">
        <v>104</v>
      </c>
      <c r="AN1953" s="6" t="s">
        <v>104</v>
      </c>
      <c r="AO1953" s="6" t="s">
        <v>104</v>
      </c>
      <c r="AP1953" s="6" t="s">
        <v>104</v>
      </c>
      <c r="AQ1953" s="6" t="s">
        <v>104</v>
      </c>
      <c r="AR1953" s="6" t="s">
        <v>104</v>
      </c>
      <c r="AS1953" s="6" t="s">
        <v>104</v>
      </c>
      <c r="AT1953" s="6" t="s">
        <v>104</v>
      </c>
      <c r="AU1953" s="6" t="s">
        <v>104</v>
      </c>
      <c r="AV1953" s="6" t="s">
        <v>104</v>
      </c>
      <c r="AW1953" s="6" t="s">
        <v>104</v>
      </c>
      <c r="AX1953" s="6" t="s">
        <v>104</v>
      </c>
      <c r="AY1953" s="6" t="s">
        <v>22192</v>
      </c>
      <c r="AZ1953" s="6" t="s">
        <v>104</v>
      </c>
      <c r="BA1953" s="6" t="s">
        <v>24258</v>
      </c>
      <c r="BB1953" s="6" t="s">
        <v>104</v>
      </c>
      <c r="BC1953" s="26"/>
      <c r="BD1953" s="26"/>
      <c r="BE1953" s="26"/>
      <c r="BF1953" s="26"/>
      <c r="BG1953" s="26"/>
      <c r="BH1953" s="26"/>
      <c r="BI1953" s="26"/>
      <c r="BJ1953" s="26"/>
      <c r="BK1953" s="26"/>
      <c r="BL1953" s="26"/>
      <c r="BM1953" s="26"/>
      <c r="BN1953" s="26"/>
      <c r="BO1953" s="26"/>
      <c r="BP1953" s="16" t="n">
        <v>45737</v>
      </c>
      <c r="BQ1953" s="28" t="str">
        <f>HYPERLINK("https://organic.ams.usda.gov/Integrity/Certificate.aspx?cid=32&amp;nopid=2230011340")</f>
        <v>https://organic.ams.usda.gov/Integrity/Certificate.aspx?cid=32&amp;nopid=2230011340</v>
      </c>
    </row>
    <row r="1954">
      <c r="A1954" t="s">
        <v>3</v>
      </c>
      <c r="B1954" s="6" t="s">
        <v>20</v>
      </c>
      <c r="C1954" s="6" t="s">
        <v>86</v>
      </c>
      <c r="D1954" s="6" t="s">
        <v>151</v>
      </c>
      <c r="E1954" s="10" t="s">
        <v>2152</v>
      </c>
      <c r="F1954" s="6" t="s">
        <v>4364</v>
      </c>
      <c r="G1954" s="6" t="s">
        <v>104</v>
      </c>
      <c r="H1954" s="6" t="s">
        <v>6656</v>
      </c>
      <c r="I1954" s="6" t="s">
        <v>8003</v>
      </c>
      <c r="J1954" s="6" t="s">
        <v>9515</v>
      </c>
      <c r="K1954" s="6" t="s">
        <v>9714</v>
      </c>
      <c r="L1954" s="16" t="n">
        <v>40323</v>
      </c>
      <c r="M1954" s="16" t="n">
        <v>45777</v>
      </c>
      <c r="N1954" s="6" t="s">
        <v>9714</v>
      </c>
      <c r="O1954" s="16" t="n">
        <v>40323</v>
      </c>
      <c r="P1954" s="6" t="s">
        <v>9921</v>
      </c>
      <c r="Q1954" s="6" t="s">
        <v>104</v>
      </c>
      <c r="R1954" s="6" t="s">
        <v>10441</v>
      </c>
      <c r="S1954" s="6" t="s">
        <v>104</v>
      </c>
      <c r="T1954" s="21" t="s">
        <v>104</v>
      </c>
      <c r="U1954" s="6" t="s">
        <v>104</v>
      </c>
      <c r="V1954" s="6" t="s">
        <v>104</v>
      </c>
      <c r="W1954" s="6" t="s">
        <v>104</v>
      </c>
      <c r="X1954" s="6" t="s">
        <v>104</v>
      </c>
      <c r="Y1954" s="21" t="s">
        <v>104</v>
      </c>
      <c r="Z1954" s="6" t="s">
        <v>104</v>
      </c>
      <c r="AA1954" s="6" t="s">
        <v>104</v>
      </c>
      <c r="AB1954" s="6" t="s">
        <v>104</v>
      </c>
      <c r="AC1954" s="6" t="s">
        <v>9714</v>
      </c>
      <c r="AD1954" s="16" t="n">
        <v>40323</v>
      </c>
      <c r="AE1954" s="6" t="s">
        <v>12227</v>
      </c>
      <c r="AF1954" s="6" t="s">
        <v>104</v>
      </c>
      <c r="AG1954" s="6" t="s">
        <v>10441</v>
      </c>
      <c r="AH1954" s="6" t="s">
        <v>14946</v>
      </c>
      <c r="AI1954" s="6" t="s">
        <v>104</v>
      </c>
      <c r="AJ1954" s="6" t="s">
        <v>15482</v>
      </c>
      <c r="AK1954" s="6" t="s">
        <v>15482</v>
      </c>
      <c r="AL1954" s="6" t="s">
        <v>16939</v>
      </c>
      <c r="AM1954" s="6" t="s">
        <v>104</v>
      </c>
      <c r="AN1954" s="6" t="s">
        <v>104</v>
      </c>
      <c r="AO1954" s="6" t="s">
        <v>104</v>
      </c>
      <c r="AP1954" s="6" t="s">
        <v>104</v>
      </c>
      <c r="AQ1954" s="6" t="s">
        <v>104</v>
      </c>
      <c r="AR1954" s="6" t="s">
        <v>104</v>
      </c>
      <c r="AS1954" s="6" t="s">
        <v>104</v>
      </c>
      <c r="AT1954" s="6" t="s">
        <v>104</v>
      </c>
      <c r="AU1954" s="6" t="s">
        <v>104</v>
      </c>
      <c r="AV1954" s="6" t="s">
        <v>104</v>
      </c>
      <c r="AW1954" s="6" t="s">
        <v>104</v>
      </c>
      <c r="AX1954" s="6" t="s">
        <v>21627</v>
      </c>
      <c r="AY1954" s="6" t="s">
        <v>23445</v>
      </c>
      <c r="AZ1954" s="6" t="s">
        <v>104</v>
      </c>
      <c r="BA1954" s="6" t="s">
        <v>104</v>
      </c>
      <c r="BB1954" s="24" t="n">
        <v>4881</v>
      </c>
      <c r="BC1954" s="26"/>
      <c r="BD1954" s="26"/>
      <c r="BE1954" s="26"/>
      <c r="BF1954" s="26"/>
      <c r="BG1954" s="26"/>
      <c r="BH1954" s="26"/>
      <c r="BI1954" s="26"/>
      <c r="BJ1954" s="26"/>
      <c r="BK1954" s="26"/>
      <c r="BL1954" s="26"/>
      <c r="BM1954" s="26"/>
      <c r="BN1954" s="26"/>
      <c r="BO1954" s="26"/>
      <c r="BP1954" s="16" t="n">
        <v>45447</v>
      </c>
      <c r="BQ1954" s="28" t="str">
        <f>HYPERLINK("https://organic.ams.usda.gov/Integrity/Certificate.aspx?cid=17&amp;nopid=4080400089")</f>
        <v>https://organic.ams.usda.gov/Integrity/Certificate.aspx?cid=17&amp;nopid=4080400089</v>
      </c>
    </row>
    <row r="1955">
      <c r="A1955" t="s">
        <v>3</v>
      </c>
      <c r="B1955" s="6" t="s">
        <v>43</v>
      </c>
      <c r="C1955" s="6" t="s">
        <v>109</v>
      </c>
      <c r="D1955" s="6" t="s">
        <v>173</v>
      </c>
      <c r="E1955" s="10" t="s">
        <v>2153</v>
      </c>
      <c r="F1955" s="6" t="s">
        <v>4365</v>
      </c>
      <c r="G1955" s="6" t="s">
        <v>104</v>
      </c>
      <c r="H1955" s="6" t="s">
        <v>6657</v>
      </c>
      <c r="I1955" s="6" t="s">
        <v>8004</v>
      </c>
      <c r="J1955" s="6" t="s">
        <v>9516</v>
      </c>
      <c r="K1955" s="6" t="s">
        <v>9714</v>
      </c>
      <c r="L1955" s="16" t="n">
        <v>45518</v>
      </c>
      <c r="M1955" s="16" t="n">
        <v>45828</v>
      </c>
      <c r="N1955" s="6" t="s">
        <v>104</v>
      </c>
      <c r="O1955" s="21" t="s">
        <v>104</v>
      </c>
      <c r="P1955" s="6" t="s">
        <v>104</v>
      </c>
      <c r="Q1955" s="6" t="s">
        <v>104</v>
      </c>
      <c r="R1955" s="6" t="s">
        <v>104</v>
      </c>
      <c r="S1955" s="6" t="s">
        <v>104</v>
      </c>
      <c r="T1955" s="21" t="s">
        <v>104</v>
      </c>
      <c r="U1955" s="6" t="s">
        <v>104</v>
      </c>
      <c r="V1955" s="6" t="s">
        <v>104</v>
      </c>
      <c r="W1955" s="6" t="s">
        <v>104</v>
      </c>
      <c r="X1955" s="6" t="s">
        <v>104</v>
      </c>
      <c r="Y1955" s="21" t="s">
        <v>104</v>
      </c>
      <c r="Z1955" s="6" t="s">
        <v>104</v>
      </c>
      <c r="AA1955" s="6" t="s">
        <v>104</v>
      </c>
      <c r="AB1955" s="6" t="s">
        <v>104</v>
      </c>
      <c r="AC1955" s="6" t="s">
        <v>9714</v>
      </c>
      <c r="AD1955" s="16" t="n">
        <v>45518</v>
      </c>
      <c r="AE1955" s="6" t="s">
        <v>12228</v>
      </c>
      <c r="AF1955" s="6" t="s">
        <v>104</v>
      </c>
      <c r="AG1955" s="6" t="s">
        <v>6657</v>
      </c>
      <c r="AH1955" s="6" t="s">
        <v>14947</v>
      </c>
      <c r="AI1955" s="6" t="s">
        <v>104</v>
      </c>
      <c r="AJ1955" s="6" t="s">
        <v>15801</v>
      </c>
      <c r="AK1955" s="6" t="s">
        <v>104</v>
      </c>
      <c r="AL1955" s="6" t="s">
        <v>16939</v>
      </c>
      <c r="AM1955" s="6" t="s">
        <v>104</v>
      </c>
      <c r="AN1955" s="6" t="s">
        <v>104</v>
      </c>
      <c r="AO1955" s="6" t="s">
        <v>104</v>
      </c>
      <c r="AP1955" s="6" t="s">
        <v>14947</v>
      </c>
      <c r="AQ1955" s="6" t="s">
        <v>104</v>
      </c>
      <c r="AR1955" s="6" t="s">
        <v>15801</v>
      </c>
      <c r="AS1955" s="6" t="s">
        <v>104</v>
      </c>
      <c r="AT1955" s="6" t="s">
        <v>16939</v>
      </c>
      <c r="AU1955" s="6" t="s">
        <v>104</v>
      </c>
      <c r="AV1955" s="6" t="s">
        <v>104</v>
      </c>
      <c r="AW1955" s="6" t="s">
        <v>104</v>
      </c>
      <c r="AX1955" s="6" t="s">
        <v>21628</v>
      </c>
      <c r="AY1955" s="6" t="s">
        <v>23446</v>
      </c>
      <c r="AZ1955" s="6" t="s">
        <v>104</v>
      </c>
      <c r="BA1955" s="6" t="s">
        <v>104</v>
      </c>
      <c r="BB1955" s="6" t="s">
        <v>104</v>
      </c>
      <c r="BC1955" s="26"/>
      <c r="BD1955" s="26"/>
      <c r="BE1955" s="26"/>
      <c r="BF1955" s="26"/>
      <c r="BG1955" s="26"/>
      <c r="BH1955" s="26"/>
      <c r="BI1955" s="26"/>
      <c r="BJ1955" s="26"/>
      <c r="BK1955" s="26"/>
      <c r="BL1955" s="26"/>
      <c r="BM1955" s="26"/>
      <c r="BN1955" s="26"/>
      <c r="BO1955" s="26"/>
      <c r="BP1955" s="16" t="n">
        <v>45518</v>
      </c>
      <c r="BQ1955" s="28" t="str">
        <f>HYPERLINK("https://organic.ams.usda.gov/Integrity/Certificate.aspx?cid=86&amp;nopid=6400010394")</f>
        <v>https://organic.ams.usda.gov/Integrity/Certificate.aspx?cid=86&amp;nopid=6400010394</v>
      </c>
    </row>
    <row r="1956">
      <c r="A1956" t="s">
        <v>3</v>
      </c>
      <c r="B1956" s="6" t="s">
        <v>30</v>
      </c>
      <c r="C1956" s="6" t="s">
        <v>96</v>
      </c>
      <c r="D1956" s="6" t="s">
        <v>161</v>
      </c>
      <c r="E1956" s="10" t="s">
        <v>2154</v>
      </c>
      <c r="F1956" s="6" t="s">
        <v>4366</v>
      </c>
      <c r="G1956" s="6" t="s">
        <v>104</v>
      </c>
      <c r="H1956" s="6" t="s">
        <v>6658</v>
      </c>
      <c r="I1956" s="6" t="s">
        <v>104</v>
      </c>
      <c r="J1956" s="6" t="s">
        <v>104</v>
      </c>
      <c r="K1956" s="6" t="s">
        <v>9714</v>
      </c>
      <c r="L1956" s="16" t="n">
        <v>44930</v>
      </c>
      <c r="M1956" s="16" t="n">
        <v>45245</v>
      </c>
      <c r="N1956" s="6" t="s">
        <v>104</v>
      </c>
      <c r="O1956" s="21" t="s">
        <v>104</v>
      </c>
      <c r="P1956" s="6" t="s">
        <v>104</v>
      </c>
      <c r="Q1956" s="6" t="s">
        <v>104</v>
      </c>
      <c r="R1956" s="6" t="s">
        <v>104</v>
      </c>
      <c r="S1956" s="6" t="s">
        <v>104</v>
      </c>
      <c r="T1956" s="21" t="s">
        <v>104</v>
      </c>
      <c r="U1956" s="6" t="s">
        <v>104</v>
      </c>
      <c r="V1956" s="6" t="s">
        <v>104</v>
      </c>
      <c r="W1956" s="6" t="s">
        <v>104</v>
      </c>
      <c r="X1956" s="6" t="s">
        <v>104</v>
      </c>
      <c r="Y1956" s="21" t="s">
        <v>104</v>
      </c>
      <c r="Z1956" s="6" t="s">
        <v>104</v>
      </c>
      <c r="AA1956" s="6" t="s">
        <v>104</v>
      </c>
      <c r="AB1956" s="6" t="s">
        <v>104</v>
      </c>
      <c r="AC1956" s="6" t="s">
        <v>9714</v>
      </c>
      <c r="AD1956" s="16" t="n">
        <v>44930</v>
      </c>
      <c r="AE1956" s="6" t="s">
        <v>12229</v>
      </c>
      <c r="AF1956" s="6" t="s">
        <v>104</v>
      </c>
      <c r="AG1956" s="6" t="s">
        <v>13074</v>
      </c>
      <c r="AH1956" s="6" t="s">
        <v>14948</v>
      </c>
      <c r="AI1956" s="6" t="s">
        <v>104</v>
      </c>
      <c r="AJ1956" s="6" t="s">
        <v>15452</v>
      </c>
      <c r="AK1956" s="6" t="s">
        <v>16717</v>
      </c>
      <c r="AL1956" s="6" t="s">
        <v>16933</v>
      </c>
      <c r="AM1956" s="6" t="s">
        <v>17081</v>
      </c>
      <c r="AN1956" s="6" t="s">
        <v>104</v>
      </c>
      <c r="AO1956" s="6" t="s">
        <v>104</v>
      </c>
      <c r="AP1956" s="6" t="s">
        <v>14948</v>
      </c>
      <c r="AQ1956" s="6" t="s">
        <v>104</v>
      </c>
      <c r="AR1956" s="6" t="s">
        <v>15452</v>
      </c>
      <c r="AS1956" s="6" t="s">
        <v>16717</v>
      </c>
      <c r="AT1956" s="6" t="s">
        <v>16933</v>
      </c>
      <c r="AU1956" s="6" t="s">
        <v>17081</v>
      </c>
      <c r="AV1956" s="6" t="s">
        <v>104</v>
      </c>
      <c r="AW1956" s="6" t="s">
        <v>104</v>
      </c>
      <c r="AX1956" s="6" t="s">
        <v>20219</v>
      </c>
      <c r="AY1956" s="6" t="s">
        <v>21960</v>
      </c>
      <c r="AZ1956" s="6" t="s">
        <v>104</v>
      </c>
      <c r="BA1956" s="6" t="s">
        <v>104</v>
      </c>
      <c r="BB1956" s="6" t="s">
        <v>104</v>
      </c>
      <c r="BC1956" s="26"/>
      <c r="BD1956" s="26"/>
      <c r="BE1956" s="26"/>
      <c r="BF1956" s="26"/>
      <c r="BG1956" s="26"/>
      <c r="BH1956" s="26"/>
      <c r="BI1956" s="26"/>
      <c r="BJ1956" s="26"/>
      <c r="BK1956" s="26"/>
      <c r="BL1956" s="26"/>
      <c r="BM1956" s="26"/>
      <c r="BN1956" s="26"/>
      <c r="BO1956" s="26"/>
      <c r="BP1956" s="16" t="n">
        <v>45356</v>
      </c>
      <c r="BQ1956" s="28" t="str">
        <f>HYPERLINK("https://organic.ams.usda.gov/Integrity/Certificate.aspx?cid=14&amp;nopid=6250039101")</f>
        <v>https://organic.ams.usda.gov/Integrity/Certificate.aspx?cid=14&amp;nopid=6250039101</v>
      </c>
    </row>
    <row r="1957">
      <c r="A1957" t="s">
        <v>3</v>
      </c>
      <c r="B1957" s="6" t="s">
        <v>21</v>
      </c>
      <c r="C1957" s="6" t="s">
        <v>87</v>
      </c>
      <c r="D1957" s="6" t="s">
        <v>152</v>
      </c>
      <c r="E1957" s="10" t="s">
        <v>2155</v>
      </c>
      <c r="F1957" s="6" t="s">
        <v>4367</v>
      </c>
      <c r="G1957" s="6" t="s">
        <v>104</v>
      </c>
      <c r="H1957" s="6" t="s">
        <v>6659</v>
      </c>
      <c r="I1957" s="6" t="s">
        <v>8005</v>
      </c>
      <c r="J1957" s="6" t="s">
        <v>9517</v>
      </c>
      <c r="K1957" s="6" t="s">
        <v>9714</v>
      </c>
      <c r="L1957" s="16" t="n">
        <v>36997</v>
      </c>
      <c r="M1957" s="16" t="n">
        <v>46023</v>
      </c>
      <c r="N1957" s="6" t="s">
        <v>104</v>
      </c>
      <c r="O1957" s="21" t="s">
        <v>104</v>
      </c>
      <c r="P1957" s="6" t="s">
        <v>104</v>
      </c>
      <c r="Q1957" s="6" t="s">
        <v>104</v>
      </c>
      <c r="R1957" s="6" t="s">
        <v>104</v>
      </c>
      <c r="S1957" s="6" t="s">
        <v>104</v>
      </c>
      <c r="T1957" s="21" t="s">
        <v>104</v>
      </c>
      <c r="U1957" s="6" t="s">
        <v>104</v>
      </c>
      <c r="V1957" s="6" t="s">
        <v>104</v>
      </c>
      <c r="W1957" s="6" t="s">
        <v>104</v>
      </c>
      <c r="X1957" s="6" t="s">
        <v>104</v>
      </c>
      <c r="Y1957" s="21" t="s">
        <v>104</v>
      </c>
      <c r="Z1957" s="6" t="s">
        <v>104</v>
      </c>
      <c r="AA1957" s="6" t="s">
        <v>104</v>
      </c>
      <c r="AB1957" s="6" t="s">
        <v>104</v>
      </c>
      <c r="AC1957" s="6" t="s">
        <v>9714</v>
      </c>
      <c r="AD1957" s="16" t="n">
        <v>36997</v>
      </c>
      <c r="AE1957" s="6" t="s">
        <v>12230</v>
      </c>
      <c r="AF1957" s="6" t="s">
        <v>104</v>
      </c>
      <c r="AG1957" s="6" t="s">
        <v>104</v>
      </c>
      <c r="AH1957" s="6" t="s">
        <v>14949</v>
      </c>
      <c r="AI1957" s="6" t="s">
        <v>104</v>
      </c>
      <c r="AJ1957" s="6" t="s">
        <v>16534</v>
      </c>
      <c r="AK1957" s="6" t="s">
        <v>16687</v>
      </c>
      <c r="AL1957" s="6" t="s">
        <v>16931</v>
      </c>
      <c r="AM1957" s="6" t="s">
        <v>18270</v>
      </c>
      <c r="AN1957" s="6" t="s">
        <v>18456</v>
      </c>
      <c r="AO1957" s="6" t="s">
        <v>18561</v>
      </c>
      <c r="AP1957" s="6" t="s">
        <v>19106</v>
      </c>
      <c r="AQ1957" s="6" t="s">
        <v>104</v>
      </c>
      <c r="AR1957" s="6" t="s">
        <v>19760</v>
      </c>
      <c r="AS1957" s="6" t="s">
        <v>16687</v>
      </c>
      <c r="AT1957" s="6" t="s">
        <v>16931</v>
      </c>
      <c r="AU1957" s="6" t="s">
        <v>20041</v>
      </c>
      <c r="AV1957" s="6" t="s">
        <v>104</v>
      </c>
      <c r="AW1957" s="6" t="s">
        <v>104</v>
      </c>
      <c r="AX1957" s="6" t="s">
        <v>21629</v>
      </c>
      <c r="AY1957" s="6" t="s">
        <v>23447</v>
      </c>
      <c r="AZ1957" s="6" t="s">
        <v>24181</v>
      </c>
      <c r="BA1957" s="6" t="s">
        <v>24499</v>
      </c>
      <c r="BB1957" s="6" t="s">
        <v>104</v>
      </c>
      <c r="BC1957" s="26"/>
      <c r="BD1957" s="26"/>
      <c r="BE1957" s="26"/>
      <c r="BF1957" s="26"/>
      <c r="BG1957" s="26"/>
      <c r="BH1957" s="26"/>
      <c r="BI1957" s="26"/>
      <c r="BJ1957" s="26"/>
      <c r="BK1957" s="26"/>
      <c r="BL1957" s="26"/>
      <c r="BM1957" s="26"/>
      <c r="BN1957" s="26"/>
      <c r="BO1957" s="26"/>
      <c r="BP1957" s="16" t="n">
        <v>45667</v>
      </c>
      <c r="BQ1957" s="28" t="str">
        <f>HYPERLINK("https://organic.ams.usda.gov/Integrity/Certificate.aspx?cid=15&amp;nopid=5561002193")</f>
        <v>https://organic.ams.usda.gov/Integrity/Certificate.aspx?cid=15&amp;nopid=5561002193</v>
      </c>
    </row>
    <row r="1958">
      <c r="A1958" t="s">
        <v>3</v>
      </c>
      <c r="B1958" s="6" t="s">
        <v>11</v>
      </c>
      <c r="C1958" s="6" t="s">
        <v>77</v>
      </c>
      <c r="D1958" s="6" t="s">
        <v>142</v>
      </c>
      <c r="E1958" s="10" t="s">
        <v>2156</v>
      </c>
      <c r="F1958" s="6" t="s">
        <v>4368</v>
      </c>
      <c r="G1958" s="6" t="s">
        <v>104</v>
      </c>
      <c r="H1958" s="6" t="s">
        <v>2156</v>
      </c>
      <c r="I1958" s="6" t="s">
        <v>8006</v>
      </c>
      <c r="J1958" s="6" t="s">
        <v>9518</v>
      </c>
      <c r="K1958" s="6" t="s">
        <v>9714</v>
      </c>
      <c r="L1958" s="16" t="n">
        <v>44608</v>
      </c>
      <c r="M1958" s="16" t="n">
        <v>46040</v>
      </c>
      <c r="N1958" s="6" t="s">
        <v>104</v>
      </c>
      <c r="O1958" s="21" t="s">
        <v>104</v>
      </c>
      <c r="P1958" s="6" t="s">
        <v>104</v>
      </c>
      <c r="Q1958" s="6" t="s">
        <v>104</v>
      </c>
      <c r="R1958" s="6" t="s">
        <v>104</v>
      </c>
      <c r="S1958" s="6" t="s">
        <v>104</v>
      </c>
      <c r="T1958" s="21" t="s">
        <v>104</v>
      </c>
      <c r="U1958" s="6" t="s">
        <v>104</v>
      </c>
      <c r="V1958" s="6" t="s">
        <v>104</v>
      </c>
      <c r="W1958" s="6" t="s">
        <v>104</v>
      </c>
      <c r="X1958" s="6" t="s">
        <v>104</v>
      </c>
      <c r="Y1958" s="21" t="s">
        <v>104</v>
      </c>
      <c r="Z1958" s="6" t="s">
        <v>104</v>
      </c>
      <c r="AA1958" s="6" t="s">
        <v>104</v>
      </c>
      <c r="AB1958" s="6" t="s">
        <v>104</v>
      </c>
      <c r="AC1958" s="6" t="s">
        <v>9714</v>
      </c>
      <c r="AD1958" s="16" t="n">
        <v>44608</v>
      </c>
      <c r="AE1958" s="6" t="s">
        <v>12231</v>
      </c>
      <c r="AF1958" s="6" t="s">
        <v>104</v>
      </c>
      <c r="AG1958" s="6" t="s">
        <v>13075</v>
      </c>
      <c r="AH1958" s="6" t="s">
        <v>14950</v>
      </c>
      <c r="AI1958" s="6" t="s">
        <v>104</v>
      </c>
      <c r="AJ1958" s="6" t="s">
        <v>15927</v>
      </c>
      <c r="AK1958" s="6" t="s">
        <v>16793</v>
      </c>
      <c r="AL1958" s="6" t="s">
        <v>16932</v>
      </c>
      <c r="AM1958" s="6" t="s">
        <v>18271</v>
      </c>
      <c r="AN1958" s="6" t="s">
        <v>104</v>
      </c>
      <c r="AO1958" s="6" t="s">
        <v>104</v>
      </c>
      <c r="AP1958" s="6" t="s">
        <v>14950</v>
      </c>
      <c r="AQ1958" s="6" t="s">
        <v>104</v>
      </c>
      <c r="AR1958" s="6" t="s">
        <v>15927</v>
      </c>
      <c r="AS1958" s="6" t="s">
        <v>16793</v>
      </c>
      <c r="AT1958" s="6" t="s">
        <v>16932</v>
      </c>
      <c r="AU1958" s="6" t="s">
        <v>18271</v>
      </c>
      <c r="AV1958" s="6" t="s">
        <v>104</v>
      </c>
      <c r="AW1958" s="6" t="s">
        <v>104</v>
      </c>
      <c r="AX1958" s="6" t="s">
        <v>21630</v>
      </c>
      <c r="AY1958" s="6" t="s">
        <v>23448</v>
      </c>
      <c r="AZ1958" s="6" t="s">
        <v>104</v>
      </c>
      <c r="BA1958" s="6" t="s">
        <v>104</v>
      </c>
      <c r="BB1958" s="6" t="s">
        <v>104</v>
      </c>
      <c r="BC1958" s="26"/>
      <c r="BD1958" s="26"/>
      <c r="BE1958" s="26"/>
      <c r="BF1958" s="26"/>
      <c r="BG1958" s="26"/>
      <c r="BH1958" s="26"/>
      <c r="BI1958" s="26"/>
      <c r="BJ1958" s="26"/>
      <c r="BK1958" s="26"/>
      <c r="BL1958" s="26"/>
      <c r="BM1958" s="26"/>
      <c r="BN1958" s="26" t="s">
        <v>24533</v>
      </c>
      <c r="BO1958" s="26"/>
      <c r="BP1958" s="16" t="n">
        <v>45700</v>
      </c>
      <c r="BQ1958" s="28" t="str">
        <f>HYPERLINK("https://organic.ams.usda.gov/Integrity/Certificate.aspx?cid=21&amp;nopid=1780844751")</f>
        <v>https://organic.ams.usda.gov/Integrity/Certificate.aspx?cid=21&amp;nopid=1780844751</v>
      </c>
    </row>
    <row r="1959">
      <c r="A1959" t="s">
        <v>3</v>
      </c>
      <c r="B1959" s="6" t="s">
        <v>17</v>
      </c>
      <c r="C1959" s="6" t="s">
        <v>83</v>
      </c>
      <c r="D1959" s="6" t="s">
        <v>148</v>
      </c>
      <c r="E1959" s="10" t="s">
        <v>2157</v>
      </c>
      <c r="F1959" s="6" t="s">
        <v>4369</v>
      </c>
      <c r="G1959" s="6" t="s">
        <v>104</v>
      </c>
      <c r="H1959" s="6" t="s">
        <v>6660</v>
      </c>
      <c r="I1959" s="6" t="s">
        <v>8007</v>
      </c>
      <c r="J1959" s="6" t="s">
        <v>8257</v>
      </c>
      <c r="K1959" s="6" t="s">
        <v>9714</v>
      </c>
      <c r="L1959" s="16" t="n">
        <v>44843</v>
      </c>
      <c r="M1959" s="16" t="n">
        <v>45505</v>
      </c>
      <c r="N1959" s="6" t="s">
        <v>104</v>
      </c>
      <c r="O1959" s="21" t="s">
        <v>104</v>
      </c>
      <c r="P1959" s="6" t="s">
        <v>104</v>
      </c>
      <c r="Q1959" s="6" t="s">
        <v>104</v>
      </c>
      <c r="R1959" s="6" t="s">
        <v>104</v>
      </c>
      <c r="S1959" s="6" t="s">
        <v>104</v>
      </c>
      <c r="T1959" s="21" t="s">
        <v>104</v>
      </c>
      <c r="U1959" s="6" t="s">
        <v>104</v>
      </c>
      <c r="V1959" s="6" t="s">
        <v>104</v>
      </c>
      <c r="W1959" s="6" t="s">
        <v>104</v>
      </c>
      <c r="X1959" s="6" t="s">
        <v>104</v>
      </c>
      <c r="Y1959" s="21" t="s">
        <v>104</v>
      </c>
      <c r="Z1959" s="6" t="s">
        <v>104</v>
      </c>
      <c r="AA1959" s="6" t="s">
        <v>104</v>
      </c>
      <c r="AB1959" s="6" t="s">
        <v>104</v>
      </c>
      <c r="AC1959" s="6" t="s">
        <v>9714</v>
      </c>
      <c r="AD1959" s="16" t="n">
        <v>44843</v>
      </c>
      <c r="AE1959" s="6" t="s">
        <v>12232</v>
      </c>
      <c r="AF1959" s="6" t="s">
        <v>104</v>
      </c>
      <c r="AG1959" s="6" t="s">
        <v>104</v>
      </c>
      <c r="AH1959" s="6" t="s">
        <v>14951</v>
      </c>
      <c r="AI1959" s="6" t="s">
        <v>104</v>
      </c>
      <c r="AJ1959" s="6" t="s">
        <v>16535</v>
      </c>
      <c r="AK1959" s="6" t="s">
        <v>16680</v>
      </c>
      <c r="AL1959" s="6" t="s">
        <v>16931</v>
      </c>
      <c r="AM1959" s="6" t="s">
        <v>18272</v>
      </c>
      <c r="AN1959" s="6" t="s">
        <v>18483</v>
      </c>
      <c r="AO1959" s="6" t="s">
        <v>18906</v>
      </c>
      <c r="AP1959" s="6" t="s">
        <v>14951</v>
      </c>
      <c r="AQ1959" s="6" t="s">
        <v>104</v>
      </c>
      <c r="AR1959" s="6" t="s">
        <v>16535</v>
      </c>
      <c r="AS1959" s="6" t="s">
        <v>16680</v>
      </c>
      <c r="AT1959" s="6" t="s">
        <v>16931</v>
      </c>
      <c r="AU1959" s="6" t="s">
        <v>18272</v>
      </c>
      <c r="AV1959" s="6" t="s">
        <v>104</v>
      </c>
      <c r="AW1959" s="6" t="s">
        <v>104</v>
      </c>
      <c r="AX1959" s="6" t="s">
        <v>21631</v>
      </c>
      <c r="AY1959" s="6" t="s">
        <v>23449</v>
      </c>
      <c r="AZ1959" s="6" t="s">
        <v>104</v>
      </c>
      <c r="BA1959" s="6" t="s">
        <v>104</v>
      </c>
      <c r="BB1959" s="24" t="n">
        <v>0</v>
      </c>
      <c r="BC1959" s="26"/>
      <c r="BD1959" s="26"/>
      <c r="BE1959" s="26"/>
      <c r="BF1959" s="26"/>
      <c r="BG1959" s="26"/>
      <c r="BH1959" s="26"/>
      <c r="BI1959" s="26"/>
      <c r="BJ1959" s="26"/>
      <c r="BK1959" s="26"/>
      <c r="BL1959" s="26"/>
      <c r="BM1959" s="26"/>
      <c r="BN1959" s="26"/>
      <c r="BO1959" s="26"/>
      <c r="BP1959" s="16" t="n">
        <v>45730</v>
      </c>
      <c r="BQ1959" s="28" t="str">
        <f>HYPERLINK("https://organic.ams.usda.gov/Integrity/Certificate.aspx?cid=51&amp;nopid=8240100822")</f>
        <v>https://organic.ams.usda.gov/Integrity/Certificate.aspx?cid=51&amp;nopid=8240100822</v>
      </c>
    </row>
    <row r="1960">
      <c r="A1960" t="s">
        <v>3</v>
      </c>
      <c r="B1960" s="6" t="s">
        <v>25</v>
      </c>
      <c r="C1960" s="6" t="s">
        <v>91</v>
      </c>
      <c r="D1960" s="6" t="s">
        <v>156</v>
      </c>
      <c r="E1960" s="10" t="s">
        <v>2158</v>
      </c>
      <c r="F1960" s="6" t="s">
        <v>4370</v>
      </c>
      <c r="G1960" s="6" t="s">
        <v>104</v>
      </c>
      <c r="H1960" s="6" t="s">
        <v>6661</v>
      </c>
      <c r="I1960" s="6" t="s">
        <v>104</v>
      </c>
      <c r="J1960" s="6" t="s">
        <v>104</v>
      </c>
      <c r="K1960" s="6" t="s">
        <v>9714</v>
      </c>
      <c r="L1960" s="16" t="n">
        <v>44244</v>
      </c>
      <c r="M1960" s="16" t="n">
        <v>45662</v>
      </c>
      <c r="N1960" s="6" t="s">
        <v>104</v>
      </c>
      <c r="O1960" s="21" t="s">
        <v>104</v>
      </c>
      <c r="P1960" s="6" t="s">
        <v>104</v>
      </c>
      <c r="Q1960" s="6" t="s">
        <v>104</v>
      </c>
      <c r="R1960" s="6" t="s">
        <v>104</v>
      </c>
      <c r="S1960" s="6" t="s">
        <v>104</v>
      </c>
      <c r="T1960" s="21" t="s">
        <v>104</v>
      </c>
      <c r="U1960" s="6" t="s">
        <v>104</v>
      </c>
      <c r="V1960" s="6" t="s">
        <v>104</v>
      </c>
      <c r="W1960" s="6" t="s">
        <v>104</v>
      </c>
      <c r="X1960" s="6" t="s">
        <v>104</v>
      </c>
      <c r="Y1960" s="21" t="s">
        <v>104</v>
      </c>
      <c r="Z1960" s="6" t="s">
        <v>104</v>
      </c>
      <c r="AA1960" s="6" t="s">
        <v>104</v>
      </c>
      <c r="AB1960" s="6" t="s">
        <v>104</v>
      </c>
      <c r="AC1960" s="6" t="s">
        <v>9714</v>
      </c>
      <c r="AD1960" s="16" t="n">
        <v>44244</v>
      </c>
      <c r="AE1960" s="6" t="s">
        <v>12233</v>
      </c>
      <c r="AF1960" s="6" t="s">
        <v>104</v>
      </c>
      <c r="AG1960" s="6" t="s">
        <v>104</v>
      </c>
      <c r="AH1960" s="6" t="s">
        <v>14952</v>
      </c>
      <c r="AI1960" s="6" t="s">
        <v>104</v>
      </c>
      <c r="AJ1960" s="6" t="s">
        <v>16318</v>
      </c>
      <c r="AK1960" s="6" t="s">
        <v>16318</v>
      </c>
      <c r="AL1960" s="6" t="s">
        <v>16954</v>
      </c>
      <c r="AM1960" s="6" t="s">
        <v>18273</v>
      </c>
      <c r="AN1960" s="6" t="s">
        <v>104</v>
      </c>
      <c r="AO1960" s="6" t="s">
        <v>104</v>
      </c>
      <c r="AP1960" s="6" t="s">
        <v>14952</v>
      </c>
      <c r="AQ1960" s="6" t="s">
        <v>104</v>
      </c>
      <c r="AR1960" s="6" t="s">
        <v>16318</v>
      </c>
      <c r="AS1960" s="6" t="s">
        <v>16318</v>
      </c>
      <c r="AT1960" s="6" t="s">
        <v>16954</v>
      </c>
      <c r="AU1960" s="6" t="s">
        <v>18273</v>
      </c>
      <c r="AV1960" s="6" t="s">
        <v>104</v>
      </c>
      <c r="AW1960" s="6" t="s">
        <v>104</v>
      </c>
      <c r="AX1960" s="6" t="s">
        <v>104</v>
      </c>
      <c r="AY1960" s="6" t="s">
        <v>104</v>
      </c>
      <c r="AZ1960" s="6" t="s">
        <v>104</v>
      </c>
      <c r="BA1960" s="6" t="s">
        <v>104</v>
      </c>
      <c r="BB1960" s="6" t="s">
        <v>104</v>
      </c>
      <c r="BC1960" s="26"/>
      <c r="BD1960" s="26"/>
      <c r="BE1960" s="26"/>
      <c r="BF1960" s="26"/>
      <c r="BG1960" s="26"/>
      <c r="BH1960" s="26" t="s">
        <v>24533</v>
      </c>
      <c r="BI1960" s="26"/>
      <c r="BJ1960" s="26"/>
      <c r="BK1960" s="26"/>
      <c r="BL1960" s="26"/>
      <c r="BM1960" s="26"/>
      <c r="BN1960" s="26"/>
      <c r="BO1960" s="26"/>
      <c r="BP1960" s="16" t="n">
        <v>45386</v>
      </c>
      <c r="BQ1960" s="28" t="str">
        <f>HYPERLINK("https://organic.ams.usda.gov/Integrity/Certificate.aspx?cid=66&amp;nopid=5500006459")</f>
        <v>https://organic.ams.usda.gov/Integrity/Certificate.aspx?cid=66&amp;nopid=5500006459</v>
      </c>
    </row>
    <row r="1961">
      <c r="A1961" t="s">
        <v>3</v>
      </c>
      <c r="B1961" s="6" t="s">
        <v>10</v>
      </c>
      <c r="C1961" s="6" t="s">
        <v>76</v>
      </c>
      <c r="D1961" s="6" t="s">
        <v>141</v>
      </c>
      <c r="E1961" s="10" t="s">
        <v>2159</v>
      </c>
      <c r="F1961" s="6" t="s">
        <v>4371</v>
      </c>
      <c r="G1961" s="6" t="s">
        <v>104</v>
      </c>
      <c r="H1961" s="6" t="s">
        <v>2159</v>
      </c>
      <c r="I1961" s="6" t="s">
        <v>8008</v>
      </c>
      <c r="J1961" s="6" t="s">
        <v>9405</v>
      </c>
      <c r="K1961" s="6" t="s">
        <v>9714</v>
      </c>
      <c r="L1961" s="16" t="n">
        <v>45436</v>
      </c>
      <c r="M1961" s="16" t="n">
        <v>45703</v>
      </c>
      <c r="N1961" s="6" t="s">
        <v>9714</v>
      </c>
      <c r="O1961" s="16" t="n">
        <v>45436</v>
      </c>
      <c r="P1961" s="6" t="s">
        <v>10228</v>
      </c>
      <c r="Q1961" s="6" t="s">
        <v>104</v>
      </c>
      <c r="R1961" s="6" t="s">
        <v>4371</v>
      </c>
      <c r="S1961" s="6" t="s">
        <v>104</v>
      </c>
      <c r="T1961" s="21" t="s">
        <v>104</v>
      </c>
      <c r="U1961" s="6" t="s">
        <v>104</v>
      </c>
      <c r="V1961" s="6" t="s">
        <v>104</v>
      </c>
      <c r="W1961" s="6" t="s">
        <v>104</v>
      </c>
      <c r="X1961" s="6" t="s">
        <v>104</v>
      </c>
      <c r="Y1961" s="21" t="s">
        <v>104</v>
      </c>
      <c r="Z1961" s="6" t="s">
        <v>104</v>
      </c>
      <c r="AA1961" s="6" t="s">
        <v>104</v>
      </c>
      <c r="AB1961" s="6" t="s">
        <v>104</v>
      </c>
      <c r="AC1961" s="6" t="s">
        <v>104</v>
      </c>
      <c r="AD1961" s="21" t="s">
        <v>104</v>
      </c>
      <c r="AE1961" s="6" t="s">
        <v>104</v>
      </c>
      <c r="AF1961" s="6" t="s">
        <v>104</v>
      </c>
      <c r="AG1961" s="6" t="s">
        <v>104</v>
      </c>
      <c r="AH1961" s="6" t="s">
        <v>14953</v>
      </c>
      <c r="AI1961" s="6" t="s">
        <v>104</v>
      </c>
      <c r="AJ1961" s="6" t="s">
        <v>16536</v>
      </c>
      <c r="AK1961" s="6" t="s">
        <v>16686</v>
      </c>
      <c r="AL1961" s="6" t="s">
        <v>16931</v>
      </c>
      <c r="AM1961" s="6" t="s">
        <v>18274</v>
      </c>
      <c r="AN1961" s="6" t="s">
        <v>104</v>
      </c>
      <c r="AO1961" s="6" t="s">
        <v>104</v>
      </c>
      <c r="AP1961" s="6" t="s">
        <v>14953</v>
      </c>
      <c r="AQ1961" s="6" t="s">
        <v>104</v>
      </c>
      <c r="AR1961" s="6" t="s">
        <v>16536</v>
      </c>
      <c r="AS1961" s="6" t="s">
        <v>16686</v>
      </c>
      <c r="AT1961" s="6" t="s">
        <v>16931</v>
      </c>
      <c r="AU1961" s="6" t="s">
        <v>18274</v>
      </c>
      <c r="AV1961" s="6" t="s">
        <v>104</v>
      </c>
      <c r="AW1961" s="6" t="s">
        <v>104</v>
      </c>
      <c r="AX1961" s="6" t="s">
        <v>104</v>
      </c>
      <c r="AY1961" s="6" t="s">
        <v>104</v>
      </c>
      <c r="AZ1961" s="6" t="s">
        <v>104</v>
      </c>
      <c r="BA1961" s="6" t="s">
        <v>104</v>
      </c>
      <c r="BB1961" s="24" t="n">
        <v>43</v>
      </c>
      <c r="BC1961" s="26"/>
      <c r="BD1961" s="26"/>
      <c r="BE1961" s="26"/>
      <c r="BF1961" s="26"/>
      <c r="BG1961" s="26"/>
      <c r="BH1961" s="26"/>
      <c r="BI1961" s="26"/>
      <c r="BJ1961" s="26"/>
      <c r="BK1961" s="26"/>
      <c r="BL1961" s="26"/>
      <c r="BM1961" s="26"/>
      <c r="BN1961" s="26"/>
      <c r="BO1961" s="26"/>
      <c r="BP1961" s="16" t="n">
        <v>45436</v>
      </c>
      <c r="BQ1961" s="28" t="str">
        <f>HYPERLINK("https://organic.ams.usda.gov/Integrity/Certificate.aspx?cid=8&amp;nopid=2202404700")</f>
        <v>https://organic.ams.usda.gov/Integrity/Certificate.aspx?cid=8&amp;nopid=2202404700</v>
      </c>
    </row>
    <row r="1962">
      <c r="A1962" t="s">
        <v>3</v>
      </c>
      <c r="B1962" s="6" t="s">
        <v>21</v>
      </c>
      <c r="C1962" s="6" t="s">
        <v>87</v>
      </c>
      <c r="D1962" s="6" t="s">
        <v>152</v>
      </c>
      <c r="E1962" s="10" t="s">
        <v>2160</v>
      </c>
      <c r="F1962" s="6" t="s">
        <v>4372</v>
      </c>
      <c r="G1962" s="6" t="s">
        <v>4863</v>
      </c>
      <c r="H1962" s="6" t="s">
        <v>6662</v>
      </c>
      <c r="I1962" s="6" t="s">
        <v>7232</v>
      </c>
      <c r="J1962" s="6" t="s">
        <v>9519</v>
      </c>
      <c r="K1962" s="6" t="s">
        <v>9714</v>
      </c>
      <c r="L1962" s="16" t="n">
        <v>40721</v>
      </c>
      <c r="M1962" s="16" t="n">
        <v>46023</v>
      </c>
      <c r="N1962" s="6" t="s">
        <v>104</v>
      </c>
      <c r="O1962" s="21" t="s">
        <v>104</v>
      </c>
      <c r="P1962" s="6" t="s">
        <v>104</v>
      </c>
      <c r="Q1962" s="6" t="s">
        <v>104</v>
      </c>
      <c r="R1962" s="6" t="s">
        <v>104</v>
      </c>
      <c r="S1962" s="6" t="s">
        <v>104</v>
      </c>
      <c r="T1962" s="21" t="s">
        <v>104</v>
      </c>
      <c r="U1962" s="6" t="s">
        <v>104</v>
      </c>
      <c r="V1962" s="6" t="s">
        <v>104</v>
      </c>
      <c r="W1962" s="6" t="s">
        <v>104</v>
      </c>
      <c r="X1962" s="6" t="s">
        <v>104</v>
      </c>
      <c r="Y1962" s="21" t="s">
        <v>104</v>
      </c>
      <c r="Z1962" s="6" t="s">
        <v>104</v>
      </c>
      <c r="AA1962" s="6" t="s">
        <v>104</v>
      </c>
      <c r="AB1962" s="6" t="s">
        <v>104</v>
      </c>
      <c r="AC1962" s="6" t="s">
        <v>9714</v>
      </c>
      <c r="AD1962" s="16" t="n">
        <v>40721</v>
      </c>
      <c r="AE1962" s="6" t="s">
        <v>12234</v>
      </c>
      <c r="AF1962" s="6" t="s">
        <v>104</v>
      </c>
      <c r="AG1962" s="6" t="s">
        <v>104</v>
      </c>
      <c r="AH1962" s="6" t="s">
        <v>14954</v>
      </c>
      <c r="AI1962" s="6" t="s">
        <v>104</v>
      </c>
      <c r="AJ1962" s="6" t="s">
        <v>16537</v>
      </c>
      <c r="AK1962" s="6" t="s">
        <v>16687</v>
      </c>
      <c r="AL1962" s="6" t="s">
        <v>16931</v>
      </c>
      <c r="AM1962" s="6" t="s">
        <v>18275</v>
      </c>
      <c r="AN1962" s="6" t="s">
        <v>18503</v>
      </c>
      <c r="AO1962" s="6" t="s">
        <v>18780</v>
      </c>
      <c r="AP1962" s="6" t="s">
        <v>14954</v>
      </c>
      <c r="AQ1962" s="6" t="s">
        <v>104</v>
      </c>
      <c r="AR1962" s="6" t="s">
        <v>16537</v>
      </c>
      <c r="AS1962" s="6" t="s">
        <v>16687</v>
      </c>
      <c r="AT1962" s="6" t="s">
        <v>16931</v>
      </c>
      <c r="AU1962" s="6" t="s">
        <v>18275</v>
      </c>
      <c r="AV1962" s="6" t="s">
        <v>104</v>
      </c>
      <c r="AW1962" s="6" t="s">
        <v>104</v>
      </c>
      <c r="AX1962" s="6" t="s">
        <v>21632</v>
      </c>
      <c r="AY1962" s="6" t="s">
        <v>23450</v>
      </c>
      <c r="AZ1962" s="6" t="s">
        <v>24182</v>
      </c>
      <c r="BA1962" s="6" t="s">
        <v>104</v>
      </c>
      <c r="BB1962" s="6" t="s">
        <v>104</v>
      </c>
      <c r="BC1962" s="26"/>
      <c r="BD1962" s="26"/>
      <c r="BE1962" s="26"/>
      <c r="BF1962" s="26"/>
      <c r="BG1962" s="26"/>
      <c r="BH1962" s="26"/>
      <c r="BI1962" s="26"/>
      <c r="BJ1962" s="26"/>
      <c r="BK1962" s="26"/>
      <c r="BL1962" s="26"/>
      <c r="BM1962" s="26"/>
      <c r="BN1962" s="26"/>
      <c r="BO1962" s="26"/>
      <c r="BP1962" s="16" t="n">
        <v>45667</v>
      </c>
      <c r="BQ1962" s="28" t="str">
        <f>HYPERLINK("https://organic.ams.usda.gov/Integrity/Certificate.aspx?cid=15&amp;nopid=5561001680")</f>
        <v>https://organic.ams.usda.gov/Integrity/Certificate.aspx?cid=15&amp;nopid=5561001680</v>
      </c>
    </row>
    <row r="1963">
      <c r="A1963" t="s">
        <v>3</v>
      </c>
      <c r="B1963" s="6" t="s">
        <v>23</v>
      </c>
      <c r="C1963" s="6" t="s">
        <v>89</v>
      </c>
      <c r="D1963" s="6" t="s">
        <v>154</v>
      </c>
      <c r="E1963" s="10" t="s">
        <v>2161</v>
      </c>
      <c r="F1963" s="6" t="s">
        <v>4373</v>
      </c>
      <c r="G1963" s="6" t="s">
        <v>104</v>
      </c>
      <c r="H1963" s="6" t="s">
        <v>6663</v>
      </c>
      <c r="I1963" s="6" t="s">
        <v>7352</v>
      </c>
      <c r="J1963" s="6" t="s">
        <v>9520</v>
      </c>
      <c r="K1963" s="6" t="s">
        <v>9714</v>
      </c>
      <c r="L1963" s="16" t="n">
        <v>43038</v>
      </c>
      <c r="M1963" s="16" t="n">
        <v>46054</v>
      </c>
      <c r="N1963" s="6" t="s">
        <v>104</v>
      </c>
      <c r="O1963" s="21" t="s">
        <v>104</v>
      </c>
      <c r="P1963" s="6" t="s">
        <v>104</v>
      </c>
      <c r="Q1963" s="6" t="s">
        <v>104</v>
      </c>
      <c r="R1963" s="6" t="s">
        <v>104</v>
      </c>
      <c r="S1963" s="6" t="s">
        <v>104</v>
      </c>
      <c r="T1963" s="21" t="s">
        <v>104</v>
      </c>
      <c r="U1963" s="6" t="s">
        <v>104</v>
      </c>
      <c r="V1963" s="6" t="s">
        <v>104</v>
      </c>
      <c r="W1963" s="6" t="s">
        <v>104</v>
      </c>
      <c r="X1963" s="6" t="s">
        <v>104</v>
      </c>
      <c r="Y1963" s="21" t="s">
        <v>104</v>
      </c>
      <c r="Z1963" s="6" t="s">
        <v>104</v>
      </c>
      <c r="AA1963" s="6" t="s">
        <v>104</v>
      </c>
      <c r="AB1963" s="6" t="s">
        <v>104</v>
      </c>
      <c r="AC1963" s="6" t="s">
        <v>9714</v>
      </c>
      <c r="AD1963" s="16" t="n">
        <v>43038</v>
      </c>
      <c r="AE1963" s="6" t="s">
        <v>12235</v>
      </c>
      <c r="AF1963" s="6" t="s">
        <v>104</v>
      </c>
      <c r="AG1963" s="6" t="s">
        <v>6663</v>
      </c>
      <c r="AH1963" s="6" t="s">
        <v>14955</v>
      </c>
      <c r="AI1963" s="6" t="s">
        <v>104</v>
      </c>
      <c r="AJ1963" s="6" t="s">
        <v>16538</v>
      </c>
      <c r="AK1963" s="6" t="s">
        <v>16683</v>
      </c>
      <c r="AL1963" s="6" t="s">
        <v>16931</v>
      </c>
      <c r="AM1963" s="6" t="s">
        <v>18276</v>
      </c>
      <c r="AN1963" s="6" t="s">
        <v>5640</v>
      </c>
      <c r="AO1963" s="6" t="s">
        <v>18907</v>
      </c>
      <c r="AP1963" s="6" t="s">
        <v>104</v>
      </c>
      <c r="AQ1963" s="6" t="s">
        <v>104</v>
      </c>
      <c r="AR1963" s="6" t="s">
        <v>104</v>
      </c>
      <c r="AS1963" s="6" t="s">
        <v>104</v>
      </c>
      <c r="AT1963" s="6" t="s">
        <v>104</v>
      </c>
      <c r="AU1963" s="6" t="s">
        <v>104</v>
      </c>
      <c r="AV1963" s="6" t="s">
        <v>104</v>
      </c>
      <c r="AW1963" s="6" t="s">
        <v>104</v>
      </c>
      <c r="AX1963" s="6" t="s">
        <v>21633</v>
      </c>
      <c r="AY1963" s="6" t="s">
        <v>23451</v>
      </c>
      <c r="AZ1963" s="6" t="s">
        <v>24183</v>
      </c>
      <c r="BA1963" s="6" t="s">
        <v>104</v>
      </c>
      <c r="BB1963" s="24" t="n">
        <v>0</v>
      </c>
      <c r="BC1963" s="26"/>
      <c r="BD1963" s="26"/>
      <c r="BE1963" s="26"/>
      <c r="BF1963" s="26"/>
      <c r="BG1963" s="26"/>
      <c r="BH1963" s="26"/>
      <c r="BI1963" s="26"/>
      <c r="BJ1963" s="26"/>
      <c r="BK1963" s="26"/>
      <c r="BL1963" s="26"/>
      <c r="BM1963" s="26"/>
      <c r="BN1963" s="26"/>
      <c r="BO1963" s="26"/>
      <c r="BP1963" s="16" t="n">
        <v>45720</v>
      </c>
      <c r="BQ1963" s="28" t="str">
        <f>HYPERLINK("https://organic.ams.usda.gov/Integrity/Certificate.aspx?cid=45&amp;nopid=9950010512")</f>
        <v>https://organic.ams.usda.gov/Integrity/Certificate.aspx?cid=45&amp;nopid=9950010512</v>
      </c>
    </row>
    <row r="1964">
      <c r="A1964" t="s">
        <v>3</v>
      </c>
      <c r="B1964" s="6" t="s">
        <v>22</v>
      </c>
      <c r="C1964" s="6" t="s">
        <v>88</v>
      </c>
      <c r="D1964" s="6" t="s">
        <v>153</v>
      </c>
      <c r="E1964" s="10" t="s">
        <v>2162</v>
      </c>
      <c r="F1964" s="6" t="s">
        <v>4374</v>
      </c>
      <c r="G1964" s="6" t="s">
        <v>4864</v>
      </c>
      <c r="H1964" s="6" t="s">
        <v>6664</v>
      </c>
      <c r="I1964" s="6" t="s">
        <v>8009</v>
      </c>
      <c r="J1964" s="6" t="s">
        <v>9521</v>
      </c>
      <c r="K1964" s="6" t="s">
        <v>9714</v>
      </c>
      <c r="L1964" s="16" t="n">
        <v>45629</v>
      </c>
      <c r="M1964" s="16" t="n">
        <v>45748</v>
      </c>
      <c r="N1964" s="6" t="s">
        <v>104</v>
      </c>
      <c r="O1964" s="21" t="s">
        <v>104</v>
      </c>
      <c r="P1964" s="6" t="s">
        <v>104</v>
      </c>
      <c r="Q1964" s="6" t="s">
        <v>104</v>
      </c>
      <c r="R1964" s="6" t="s">
        <v>104</v>
      </c>
      <c r="S1964" s="6" t="s">
        <v>104</v>
      </c>
      <c r="T1964" s="21" t="s">
        <v>104</v>
      </c>
      <c r="U1964" s="6" t="s">
        <v>104</v>
      </c>
      <c r="V1964" s="6" t="s">
        <v>104</v>
      </c>
      <c r="W1964" s="6" t="s">
        <v>104</v>
      </c>
      <c r="X1964" s="6" t="s">
        <v>104</v>
      </c>
      <c r="Y1964" s="21" t="s">
        <v>104</v>
      </c>
      <c r="Z1964" s="6" t="s">
        <v>104</v>
      </c>
      <c r="AA1964" s="6" t="s">
        <v>104</v>
      </c>
      <c r="AB1964" s="6" t="s">
        <v>104</v>
      </c>
      <c r="AC1964" s="6" t="s">
        <v>9714</v>
      </c>
      <c r="AD1964" s="16" t="n">
        <v>45629</v>
      </c>
      <c r="AE1964" s="6" t="s">
        <v>12236</v>
      </c>
      <c r="AF1964" s="6" t="s">
        <v>104</v>
      </c>
      <c r="AG1964" s="6" t="s">
        <v>13076</v>
      </c>
      <c r="AH1964" s="6" t="s">
        <v>14956</v>
      </c>
      <c r="AI1964" s="6" t="s">
        <v>104</v>
      </c>
      <c r="AJ1964" s="6" t="s">
        <v>16539</v>
      </c>
      <c r="AK1964" s="6" t="s">
        <v>104</v>
      </c>
      <c r="AL1964" s="6" t="s">
        <v>16898</v>
      </c>
      <c r="AM1964" s="6" t="s">
        <v>104</v>
      </c>
      <c r="AN1964" s="6" t="s">
        <v>104</v>
      </c>
      <c r="AO1964" s="6" t="s">
        <v>104</v>
      </c>
      <c r="AP1964" s="6" t="s">
        <v>19463</v>
      </c>
      <c r="AQ1964" s="6" t="s">
        <v>104</v>
      </c>
      <c r="AR1964" s="6" t="s">
        <v>15462</v>
      </c>
      <c r="AS1964" s="6" t="s">
        <v>19794</v>
      </c>
      <c r="AT1964" s="6" t="s">
        <v>16936</v>
      </c>
      <c r="AU1964" s="6" t="s">
        <v>104</v>
      </c>
      <c r="AV1964" s="6" t="s">
        <v>104</v>
      </c>
      <c r="AW1964" s="6" t="s">
        <v>104</v>
      </c>
      <c r="AX1964" s="6" t="s">
        <v>21634</v>
      </c>
      <c r="AY1964" s="6" t="s">
        <v>23452</v>
      </c>
      <c r="AZ1964" s="6" t="s">
        <v>104</v>
      </c>
      <c r="BA1964" s="6" t="s">
        <v>104</v>
      </c>
      <c r="BB1964" s="6" t="s">
        <v>104</v>
      </c>
      <c r="BC1964" s="26"/>
      <c r="BD1964" s="26"/>
      <c r="BE1964" s="26"/>
      <c r="BF1964" s="26"/>
      <c r="BG1964" s="26"/>
      <c r="BH1964" s="26" t="s">
        <v>24533</v>
      </c>
      <c r="BI1964" s="26"/>
      <c r="BJ1964" s="26"/>
      <c r="BK1964" s="26"/>
      <c r="BL1964" s="26"/>
      <c r="BM1964" s="26"/>
      <c r="BN1964" s="26"/>
      <c r="BO1964" s="26"/>
      <c r="BP1964" s="16" t="n">
        <v>45737</v>
      </c>
      <c r="BQ1964" s="28" t="str">
        <f>HYPERLINK("https://organic.ams.usda.gov/Integrity/Certificate.aspx?cid=72&amp;nopid=5870104037")</f>
        <v>https://organic.ams.usda.gov/Integrity/Certificate.aspx?cid=72&amp;nopid=5870104037</v>
      </c>
    </row>
    <row r="1965">
      <c r="A1965" t="s">
        <v>3</v>
      </c>
      <c r="B1965" s="6" t="s">
        <v>54</v>
      </c>
      <c r="C1965" s="6" t="s">
        <v>120</v>
      </c>
      <c r="D1965" s="6" t="s">
        <v>184</v>
      </c>
      <c r="E1965" s="10" t="s">
        <v>2163</v>
      </c>
      <c r="F1965" s="6" t="s">
        <v>4375</v>
      </c>
      <c r="G1965" s="6" t="s">
        <v>104</v>
      </c>
      <c r="H1965" s="6" t="s">
        <v>6665</v>
      </c>
      <c r="I1965" s="6" t="s">
        <v>7380</v>
      </c>
      <c r="J1965" s="6" t="s">
        <v>9522</v>
      </c>
      <c r="K1965" s="6" t="s">
        <v>9714</v>
      </c>
      <c r="L1965" s="16" t="n">
        <v>44475</v>
      </c>
      <c r="M1965" s="16" t="n">
        <v>45809</v>
      </c>
      <c r="N1965" s="6" t="s">
        <v>104</v>
      </c>
      <c r="O1965" s="21" t="s">
        <v>104</v>
      </c>
      <c r="P1965" s="6" t="s">
        <v>104</v>
      </c>
      <c r="Q1965" s="6" t="s">
        <v>104</v>
      </c>
      <c r="R1965" s="6" t="s">
        <v>104</v>
      </c>
      <c r="S1965" s="6" t="s">
        <v>104</v>
      </c>
      <c r="T1965" s="21" t="s">
        <v>104</v>
      </c>
      <c r="U1965" s="6" t="s">
        <v>104</v>
      </c>
      <c r="V1965" s="6" t="s">
        <v>104</v>
      </c>
      <c r="W1965" s="6" t="s">
        <v>104</v>
      </c>
      <c r="X1965" s="6" t="s">
        <v>104</v>
      </c>
      <c r="Y1965" s="21" t="s">
        <v>104</v>
      </c>
      <c r="Z1965" s="6" t="s">
        <v>104</v>
      </c>
      <c r="AA1965" s="6" t="s">
        <v>104</v>
      </c>
      <c r="AB1965" s="6" t="s">
        <v>104</v>
      </c>
      <c r="AC1965" s="6" t="s">
        <v>9714</v>
      </c>
      <c r="AD1965" s="16" t="n">
        <v>44475</v>
      </c>
      <c r="AE1965" s="6" t="s">
        <v>12237</v>
      </c>
      <c r="AF1965" s="6" t="s">
        <v>104</v>
      </c>
      <c r="AG1965" s="6" t="s">
        <v>104</v>
      </c>
      <c r="AH1965" s="6" t="s">
        <v>14957</v>
      </c>
      <c r="AI1965" s="6" t="s">
        <v>104</v>
      </c>
      <c r="AJ1965" s="6" t="s">
        <v>15651</v>
      </c>
      <c r="AK1965" s="6" t="s">
        <v>16743</v>
      </c>
      <c r="AL1965" s="6" t="s">
        <v>16931</v>
      </c>
      <c r="AM1965" s="6" t="s">
        <v>17268</v>
      </c>
      <c r="AN1965" s="6" t="s">
        <v>18464</v>
      </c>
      <c r="AO1965" s="6" t="s">
        <v>18558</v>
      </c>
      <c r="AP1965" s="6" t="s">
        <v>19464</v>
      </c>
      <c r="AQ1965" s="6" t="s">
        <v>104</v>
      </c>
      <c r="AR1965" s="6" t="s">
        <v>19761</v>
      </c>
      <c r="AS1965" s="6" t="s">
        <v>16743</v>
      </c>
      <c r="AT1965" s="6" t="s">
        <v>16931</v>
      </c>
      <c r="AU1965" s="6" t="s">
        <v>20042</v>
      </c>
      <c r="AV1965" s="6" t="s">
        <v>104</v>
      </c>
      <c r="AW1965" s="6" t="s">
        <v>104</v>
      </c>
      <c r="AX1965" s="6" t="s">
        <v>104</v>
      </c>
      <c r="AY1965" s="6" t="s">
        <v>23453</v>
      </c>
      <c r="AZ1965" s="6" t="s">
        <v>24184</v>
      </c>
      <c r="BA1965" s="6" t="s">
        <v>104</v>
      </c>
      <c r="BB1965" s="6" t="s">
        <v>104</v>
      </c>
      <c r="BC1965" s="26"/>
      <c r="BD1965" s="26"/>
      <c r="BE1965" s="26"/>
      <c r="BF1965" s="26"/>
      <c r="BG1965" s="26"/>
      <c r="BH1965" s="26"/>
      <c r="BI1965" s="26"/>
      <c r="BJ1965" s="26"/>
      <c r="BK1965" s="26"/>
      <c r="BL1965" s="26"/>
      <c r="BM1965" s="26"/>
      <c r="BN1965" s="26" t="s">
        <v>24533</v>
      </c>
      <c r="BO1965" s="26"/>
      <c r="BP1965" s="16" t="n">
        <v>45639</v>
      </c>
      <c r="BQ1965" s="28" t="str">
        <f>HYPERLINK("https://organic.ams.usda.gov/Integrity/Certificate.aspx?cid=60&amp;nopid=2580004813")</f>
        <v>https://organic.ams.usda.gov/Integrity/Certificate.aspx?cid=60&amp;nopid=2580004813</v>
      </c>
    </row>
    <row r="1966">
      <c r="A1966" t="s">
        <v>3</v>
      </c>
      <c r="B1966" s="6" t="s">
        <v>22</v>
      </c>
      <c r="C1966" s="6" t="s">
        <v>88</v>
      </c>
      <c r="D1966" s="6" t="s">
        <v>153</v>
      </c>
      <c r="E1966" s="10" t="s">
        <v>2164</v>
      </c>
      <c r="F1966" s="6" t="s">
        <v>4376</v>
      </c>
      <c r="G1966" s="6" t="s">
        <v>4865</v>
      </c>
      <c r="H1966" s="6" t="s">
        <v>6666</v>
      </c>
      <c r="I1966" s="6" t="s">
        <v>8009</v>
      </c>
      <c r="J1966" s="6" t="s">
        <v>9521</v>
      </c>
      <c r="K1966" s="6" t="s">
        <v>9714</v>
      </c>
      <c r="L1966" s="16" t="n">
        <v>43787</v>
      </c>
      <c r="M1966" s="16" t="n">
        <v>45748</v>
      </c>
      <c r="N1966" s="6" t="s">
        <v>104</v>
      </c>
      <c r="O1966" s="21" t="s">
        <v>104</v>
      </c>
      <c r="P1966" s="6" t="s">
        <v>104</v>
      </c>
      <c r="Q1966" s="6" t="s">
        <v>104</v>
      </c>
      <c r="R1966" s="6" t="s">
        <v>104</v>
      </c>
      <c r="S1966" s="6" t="s">
        <v>104</v>
      </c>
      <c r="T1966" s="21" t="s">
        <v>104</v>
      </c>
      <c r="U1966" s="6" t="s">
        <v>104</v>
      </c>
      <c r="V1966" s="6" t="s">
        <v>104</v>
      </c>
      <c r="W1966" s="6" t="s">
        <v>104</v>
      </c>
      <c r="X1966" s="6" t="s">
        <v>104</v>
      </c>
      <c r="Y1966" s="21" t="s">
        <v>104</v>
      </c>
      <c r="Z1966" s="6" t="s">
        <v>104</v>
      </c>
      <c r="AA1966" s="6" t="s">
        <v>104</v>
      </c>
      <c r="AB1966" s="6" t="s">
        <v>104</v>
      </c>
      <c r="AC1966" s="6" t="s">
        <v>9714</v>
      </c>
      <c r="AD1966" s="16" t="n">
        <v>43787</v>
      </c>
      <c r="AE1966" s="6" t="s">
        <v>12238</v>
      </c>
      <c r="AF1966" s="6" t="s">
        <v>104</v>
      </c>
      <c r="AG1966" s="6" t="s">
        <v>13077</v>
      </c>
      <c r="AH1966" s="6" t="s">
        <v>14958</v>
      </c>
      <c r="AI1966" s="6" t="s">
        <v>104</v>
      </c>
      <c r="AJ1966" s="6" t="s">
        <v>15505</v>
      </c>
      <c r="AK1966" s="6" t="s">
        <v>16896</v>
      </c>
      <c r="AL1966" s="6" t="s">
        <v>16898</v>
      </c>
      <c r="AM1966" s="6" t="s">
        <v>104</v>
      </c>
      <c r="AN1966" s="6" t="s">
        <v>104</v>
      </c>
      <c r="AO1966" s="6" t="s">
        <v>104</v>
      </c>
      <c r="AP1966" s="6" t="s">
        <v>19465</v>
      </c>
      <c r="AQ1966" s="6" t="s">
        <v>19579</v>
      </c>
      <c r="AR1966" s="6" t="s">
        <v>16719</v>
      </c>
      <c r="AS1966" s="6" t="s">
        <v>104</v>
      </c>
      <c r="AT1966" s="6" t="s">
        <v>16898</v>
      </c>
      <c r="AU1966" s="6" t="s">
        <v>104</v>
      </c>
      <c r="AV1966" s="6" t="s">
        <v>104</v>
      </c>
      <c r="AW1966" s="6" t="s">
        <v>104</v>
      </c>
      <c r="AX1966" s="6" t="s">
        <v>21635</v>
      </c>
      <c r="AY1966" s="6" t="s">
        <v>23452</v>
      </c>
      <c r="AZ1966" s="6" t="s">
        <v>24185</v>
      </c>
      <c r="BA1966" s="6" t="s">
        <v>104</v>
      </c>
      <c r="BB1966" s="6" t="s">
        <v>104</v>
      </c>
      <c r="BC1966" s="26"/>
      <c r="BD1966" s="26"/>
      <c r="BE1966" s="26"/>
      <c r="BF1966" s="26"/>
      <c r="BG1966" s="26"/>
      <c r="BH1966" s="26" t="s">
        <v>24533</v>
      </c>
      <c r="BI1966" s="26"/>
      <c r="BJ1966" s="26"/>
      <c r="BK1966" s="26"/>
      <c r="BL1966" s="26"/>
      <c r="BM1966" s="26"/>
      <c r="BN1966" s="26"/>
      <c r="BO1966" s="26"/>
      <c r="BP1966" s="16" t="n">
        <v>45737</v>
      </c>
      <c r="BQ1966" s="28" t="str">
        <f>HYPERLINK("https://organic.ams.usda.gov/Integrity/Certificate.aspx?cid=72&amp;nopid=5871076650")</f>
        <v>https://organic.ams.usda.gov/Integrity/Certificate.aspx?cid=72&amp;nopid=5871076650</v>
      </c>
    </row>
    <row r="1967">
      <c r="A1967" t="s">
        <v>3</v>
      </c>
      <c r="B1967" s="6" t="s">
        <v>22</v>
      </c>
      <c r="C1967" s="6" t="s">
        <v>88</v>
      </c>
      <c r="D1967" s="6" t="s">
        <v>153</v>
      </c>
      <c r="E1967" s="10" t="s">
        <v>2165</v>
      </c>
      <c r="F1967" s="6" t="s">
        <v>4376</v>
      </c>
      <c r="G1967" s="6" t="s">
        <v>4866</v>
      </c>
      <c r="H1967" s="6" t="s">
        <v>6667</v>
      </c>
      <c r="I1967" s="6" t="s">
        <v>8009</v>
      </c>
      <c r="J1967" s="6" t="s">
        <v>9521</v>
      </c>
      <c r="K1967" s="6" t="s">
        <v>9714</v>
      </c>
      <c r="L1967" s="16" t="n">
        <v>43787</v>
      </c>
      <c r="M1967" s="16" t="n">
        <v>45748</v>
      </c>
      <c r="N1967" s="6" t="s">
        <v>104</v>
      </c>
      <c r="O1967" s="21" t="s">
        <v>104</v>
      </c>
      <c r="P1967" s="6" t="s">
        <v>104</v>
      </c>
      <c r="Q1967" s="6" t="s">
        <v>104</v>
      </c>
      <c r="R1967" s="6" t="s">
        <v>104</v>
      </c>
      <c r="S1967" s="6" t="s">
        <v>104</v>
      </c>
      <c r="T1967" s="21" t="s">
        <v>104</v>
      </c>
      <c r="U1967" s="6" t="s">
        <v>104</v>
      </c>
      <c r="V1967" s="6" t="s">
        <v>104</v>
      </c>
      <c r="W1967" s="6" t="s">
        <v>104</v>
      </c>
      <c r="X1967" s="6" t="s">
        <v>104</v>
      </c>
      <c r="Y1967" s="21" t="s">
        <v>104</v>
      </c>
      <c r="Z1967" s="6" t="s">
        <v>104</v>
      </c>
      <c r="AA1967" s="6" t="s">
        <v>104</v>
      </c>
      <c r="AB1967" s="6" t="s">
        <v>104</v>
      </c>
      <c r="AC1967" s="6" t="s">
        <v>9714</v>
      </c>
      <c r="AD1967" s="16" t="n">
        <v>43787</v>
      </c>
      <c r="AE1967" s="6" t="s">
        <v>12239</v>
      </c>
      <c r="AF1967" s="6" t="s">
        <v>104</v>
      </c>
      <c r="AG1967" s="6" t="s">
        <v>13078</v>
      </c>
      <c r="AH1967" s="6" t="s">
        <v>14959</v>
      </c>
      <c r="AI1967" s="6" t="s">
        <v>104</v>
      </c>
      <c r="AJ1967" s="6" t="s">
        <v>16540</v>
      </c>
      <c r="AK1967" s="6" t="s">
        <v>16897</v>
      </c>
      <c r="AL1967" s="6" t="s">
        <v>16898</v>
      </c>
      <c r="AM1967" s="6" t="s">
        <v>18277</v>
      </c>
      <c r="AN1967" s="6" t="s">
        <v>104</v>
      </c>
      <c r="AO1967" s="6" t="s">
        <v>104</v>
      </c>
      <c r="AP1967" s="6" t="s">
        <v>19465</v>
      </c>
      <c r="AQ1967" s="6" t="s">
        <v>19579</v>
      </c>
      <c r="AR1967" s="6" t="s">
        <v>16719</v>
      </c>
      <c r="AS1967" s="6" t="s">
        <v>104</v>
      </c>
      <c r="AT1967" s="6" t="s">
        <v>16898</v>
      </c>
      <c r="AU1967" s="6" t="s">
        <v>104</v>
      </c>
      <c r="AV1967" s="6" t="s">
        <v>104</v>
      </c>
      <c r="AW1967" s="6" t="s">
        <v>104</v>
      </c>
      <c r="AX1967" s="6" t="s">
        <v>21635</v>
      </c>
      <c r="AY1967" s="6" t="s">
        <v>23452</v>
      </c>
      <c r="AZ1967" s="6" t="s">
        <v>24185</v>
      </c>
      <c r="BA1967" s="6" t="s">
        <v>104</v>
      </c>
      <c r="BB1967" s="6" t="s">
        <v>104</v>
      </c>
      <c r="BC1967" s="26"/>
      <c r="BD1967" s="26"/>
      <c r="BE1967" s="26"/>
      <c r="BF1967" s="26"/>
      <c r="BG1967" s="26"/>
      <c r="BH1967" s="26" t="s">
        <v>24533</v>
      </c>
      <c r="BI1967" s="26"/>
      <c r="BJ1967" s="26"/>
      <c r="BK1967" s="26"/>
      <c r="BL1967" s="26"/>
      <c r="BM1967" s="26"/>
      <c r="BN1967" s="26"/>
      <c r="BO1967" s="26"/>
      <c r="BP1967" s="16" t="n">
        <v>45737</v>
      </c>
      <c r="BQ1967" s="28" t="str">
        <f>HYPERLINK("https://organic.ams.usda.gov/Integrity/Certificate.aspx?cid=72&amp;nopid=5871092761")</f>
        <v>https://organic.ams.usda.gov/Integrity/Certificate.aspx?cid=72&amp;nopid=5871092761</v>
      </c>
    </row>
    <row r="1968">
      <c r="A1968" t="s">
        <v>3</v>
      </c>
      <c r="B1968" s="6" t="s">
        <v>22</v>
      </c>
      <c r="C1968" s="6" t="s">
        <v>88</v>
      </c>
      <c r="D1968" s="6" t="s">
        <v>153</v>
      </c>
      <c r="E1968" s="10" t="s">
        <v>2166</v>
      </c>
      <c r="F1968" s="6" t="s">
        <v>4376</v>
      </c>
      <c r="G1968" s="6" t="s">
        <v>4867</v>
      </c>
      <c r="H1968" s="6" t="s">
        <v>6668</v>
      </c>
      <c r="I1968" s="6" t="s">
        <v>8009</v>
      </c>
      <c r="J1968" s="6" t="s">
        <v>9521</v>
      </c>
      <c r="K1968" s="6" t="s">
        <v>9714</v>
      </c>
      <c r="L1968" s="16" t="n">
        <v>43787</v>
      </c>
      <c r="M1968" s="16" t="n">
        <v>45748</v>
      </c>
      <c r="N1968" s="6" t="s">
        <v>104</v>
      </c>
      <c r="O1968" s="21" t="s">
        <v>104</v>
      </c>
      <c r="P1968" s="6" t="s">
        <v>104</v>
      </c>
      <c r="Q1968" s="6" t="s">
        <v>104</v>
      </c>
      <c r="R1968" s="6" t="s">
        <v>104</v>
      </c>
      <c r="S1968" s="6" t="s">
        <v>104</v>
      </c>
      <c r="T1968" s="21" t="s">
        <v>104</v>
      </c>
      <c r="U1968" s="6" t="s">
        <v>104</v>
      </c>
      <c r="V1968" s="6" t="s">
        <v>104</v>
      </c>
      <c r="W1968" s="6" t="s">
        <v>104</v>
      </c>
      <c r="X1968" s="6" t="s">
        <v>104</v>
      </c>
      <c r="Y1968" s="21" t="s">
        <v>104</v>
      </c>
      <c r="Z1968" s="6" t="s">
        <v>104</v>
      </c>
      <c r="AA1968" s="6" t="s">
        <v>104</v>
      </c>
      <c r="AB1968" s="6" t="s">
        <v>104</v>
      </c>
      <c r="AC1968" s="6" t="s">
        <v>9714</v>
      </c>
      <c r="AD1968" s="16" t="n">
        <v>43787</v>
      </c>
      <c r="AE1968" s="6" t="s">
        <v>12240</v>
      </c>
      <c r="AF1968" s="6" t="s">
        <v>104</v>
      </c>
      <c r="AG1968" s="6" t="s">
        <v>13079</v>
      </c>
      <c r="AH1968" s="6" t="s">
        <v>14960</v>
      </c>
      <c r="AI1968" s="6" t="s">
        <v>15335</v>
      </c>
      <c r="AJ1968" s="6" t="s">
        <v>16539</v>
      </c>
      <c r="AK1968" s="6" t="s">
        <v>16898</v>
      </c>
      <c r="AL1968" s="6" t="s">
        <v>16898</v>
      </c>
      <c r="AM1968" s="6" t="s">
        <v>104</v>
      </c>
      <c r="AN1968" s="6" t="s">
        <v>104</v>
      </c>
      <c r="AO1968" s="6" t="s">
        <v>104</v>
      </c>
      <c r="AP1968" s="6" t="s">
        <v>19465</v>
      </c>
      <c r="AQ1968" s="6" t="s">
        <v>19579</v>
      </c>
      <c r="AR1968" s="6" t="s">
        <v>16719</v>
      </c>
      <c r="AS1968" s="6" t="s">
        <v>104</v>
      </c>
      <c r="AT1968" s="6" t="s">
        <v>16898</v>
      </c>
      <c r="AU1968" s="6" t="s">
        <v>104</v>
      </c>
      <c r="AV1968" s="6" t="s">
        <v>104</v>
      </c>
      <c r="AW1968" s="6" t="s">
        <v>104</v>
      </c>
      <c r="AX1968" s="6" t="s">
        <v>21635</v>
      </c>
      <c r="AY1968" s="6" t="s">
        <v>23452</v>
      </c>
      <c r="AZ1968" s="6" t="s">
        <v>24185</v>
      </c>
      <c r="BA1968" s="6" t="s">
        <v>104</v>
      </c>
      <c r="BB1968" s="6" t="s">
        <v>104</v>
      </c>
      <c r="BC1968" s="26"/>
      <c r="BD1968" s="26"/>
      <c r="BE1968" s="26"/>
      <c r="BF1968" s="26"/>
      <c r="BG1968" s="26"/>
      <c r="BH1968" s="26" t="s">
        <v>24533</v>
      </c>
      <c r="BI1968" s="26"/>
      <c r="BJ1968" s="26"/>
      <c r="BK1968" s="26"/>
      <c r="BL1968" s="26"/>
      <c r="BM1968" s="26"/>
      <c r="BN1968" s="26"/>
      <c r="BO1968" s="26"/>
      <c r="BP1968" s="16" t="n">
        <v>45737</v>
      </c>
      <c r="BQ1968" s="28" t="str">
        <f>HYPERLINK("https://organic.ams.usda.gov/Integrity/Certificate.aspx?cid=72&amp;nopid=5871098836")</f>
        <v>https://organic.ams.usda.gov/Integrity/Certificate.aspx?cid=72&amp;nopid=5871098836</v>
      </c>
    </row>
    <row r="1969">
      <c r="A1969" t="s">
        <v>3</v>
      </c>
      <c r="B1969" s="6" t="s">
        <v>22</v>
      </c>
      <c r="C1969" s="6" t="s">
        <v>88</v>
      </c>
      <c r="D1969" s="6" t="s">
        <v>153</v>
      </c>
      <c r="E1969" s="10" t="s">
        <v>2167</v>
      </c>
      <c r="F1969" s="6" t="s">
        <v>4376</v>
      </c>
      <c r="G1969" s="6" t="s">
        <v>4868</v>
      </c>
      <c r="H1969" s="6" t="s">
        <v>6669</v>
      </c>
      <c r="I1969" s="6" t="s">
        <v>8009</v>
      </c>
      <c r="J1969" s="6" t="s">
        <v>9521</v>
      </c>
      <c r="K1969" s="6" t="s">
        <v>9714</v>
      </c>
      <c r="L1969" s="16" t="n">
        <v>45434</v>
      </c>
      <c r="M1969" s="16" t="n">
        <v>45748</v>
      </c>
      <c r="N1969" s="6" t="s">
        <v>104</v>
      </c>
      <c r="O1969" s="21" t="s">
        <v>104</v>
      </c>
      <c r="P1969" s="6" t="s">
        <v>104</v>
      </c>
      <c r="Q1969" s="6" t="s">
        <v>104</v>
      </c>
      <c r="R1969" s="6" t="s">
        <v>104</v>
      </c>
      <c r="S1969" s="6" t="s">
        <v>104</v>
      </c>
      <c r="T1969" s="21" t="s">
        <v>104</v>
      </c>
      <c r="U1969" s="6" t="s">
        <v>104</v>
      </c>
      <c r="V1969" s="6" t="s">
        <v>104</v>
      </c>
      <c r="W1969" s="6" t="s">
        <v>104</v>
      </c>
      <c r="X1969" s="6" t="s">
        <v>104</v>
      </c>
      <c r="Y1969" s="21" t="s">
        <v>104</v>
      </c>
      <c r="Z1969" s="6" t="s">
        <v>104</v>
      </c>
      <c r="AA1969" s="6" t="s">
        <v>104</v>
      </c>
      <c r="AB1969" s="6" t="s">
        <v>104</v>
      </c>
      <c r="AC1969" s="6" t="s">
        <v>9714</v>
      </c>
      <c r="AD1969" s="16" t="n">
        <v>45434</v>
      </c>
      <c r="AE1969" s="6" t="s">
        <v>12241</v>
      </c>
      <c r="AF1969" s="6" t="s">
        <v>104</v>
      </c>
      <c r="AG1969" s="6" t="s">
        <v>13080</v>
      </c>
      <c r="AH1969" s="6" t="s">
        <v>14961</v>
      </c>
      <c r="AI1969" s="6" t="s">
        <v>15336</v>
      </c>
      <c r="AJ1969" s="6" t="s">
        <v>16541</v>
      </c>
      <c r="AK1969" s="6" t="s">
        <v>16898</v>
      </c>
      <c r="AL1969" s="6" t="s">
        <v>16898</v>
      </c>
      <c r="AM1969" s="6" t="s">
        <v>104</v>
      </c>
      <c r="AN1969" s="6" t="s">
        <v>104</v>
      </c>
      <c r="AO1969" s="6" t="s">
        <v>104</v>
      </c>
      <c r="AP1969" s="6" t="s">
        <v>19465</v>
      </c>
      <c r="AQ1969" s="6" t="s">
        <v>19579</v>
      </c>
      <c r="AR1969" s="6" t="s">
        <v>16719</v>
      </c>
      <c r="AS1969" s="6" t="s">
        <v>104</v>
      </c>
      <c r="AT1969" s="6" t="s">
        <v>16898</v>
      </c>
      <c r="AU1969" s="6" t="s">
        <v>104</v>
      </c>
      <c r="AV1969" s="6" t="s">
        <v>104</v>
      </c>
      <c r="AW1969" s="6" t="s">
        <v>104</v>
      </c>
      <c r="AX1969" s="6" t="s">
        <v>21635</v>
      </c>
      <c r="AY1969" s="6" t="s">
        <v>23452</v>
      </c>
      <c r="AZ1969" s="6" t="s">
        <v>24185</v>
      </c>
      <c r="BA1969" s="6" t="s">
        <v>104</v>
      </c>
      <c r="BB1969" s="6" t="s">
        <v>104</v>
      </c>
      <c r="BC1969" s="26"/>
      <c r="BD1969" s="26"/>
      <c r="BE1969" s="26"/>
      <c r="BF1969" s="26"/>
      <c r="BG1969" s="26"/>
      <c r="BH1969" s="26" t="s">
        <v>24533</v>
      </c>
      <c r="BI1969" s="26"/>
      <c r="BJ1969" s="26"/>
      <c r="BK1969" s="26"/>
      <c r="BL1969" s="26"/>
      <c r="BM1969" s="26"/>
      <c r="BN1969" s="26"/>
      <c r="BO1969" s="26"/>
      <c r="BP1969" s="16" t="n">
        <v>45679</v>
      </c>
      <c r="BQ1969" s="28" t="str">
        <f>HYPERLINK("https://organic.ams.usda.gov/Integrity/Certificate.aspx?cid=72&amp;nopid=5874230788")</f>
        <v>https://organic.ams.usda.gov/Integrity/Certificate.aspx?cid=72&amp;nopid=5874230788</v>
      </c>
    </row>
    <row r="1970">
      <c r="A1970" t="s">
        <v>3</v>
      </c>
      <c r="B1970" s="6" t="s">
        <v>22</v>
      </c>
      <c r="C1970" s="6" t="s">
        <v>88</v>
      </c>
      <c r="D1970" s="6" t="s">
        <v>153</v>
      </c>
      <c r="E1970" s="10" t="s">
        <v>2168</v>
      </c>
      <c r="F1970" s="6" t="s">
        <v>4376</v>
      </c>
      <c r="G1970" s="6" t="s">
        <v>4869</v>
      </c>
      <c r="H1970" s="6" t="s">
        <v>6670</v>
      </c>
      <c r="I1970" s="6" t="s">
        <v>8009</v>
      </c>
      <c r="J1970" s="6" t="s">
        <v>9521</v>
      </c>
      <c r="K1970" s="6" t="s">
        <v>9714</v>
      </c>
      <c r="L1970" s="16" t="n">
        <v>43787</v>
      </c>
      <c r="M1970" s="16" t="n">
        <v>45748</v>
      </c>
      <c r="N1970" s="6" t="s">
        <v>104</v>
      </c>
      <c r="O1970" s="21" t="s">
        <v>104</v>
      </c>
      <c r="P1970" s="6" t="s">
        <v>104</v>
      </c>
      <c r="Q1970" s="6" t="s">
        <v>104</v>
      </c>
      <c r="R1970" s="6" t="s">
        <v>104</v>
      </c>
      <c r="S1970" s="6" t="s">
        <v>104</v>
      </c>
      <c r="T1970" s="21" t="s">
        <v>104</v>
      </c>
      <c r="U1970" s="6" t="s">
        <v>104</v>
      </c>
      <c r="V1970" s="6" t="s">
        <v>104</v>
      </c>
      <c r="W1970" s="6" t="s">
        <v>104</v>
      </c>
      <c r="X1970" s="6" t="s">
        <v>104</v>
      </c>
      <c r="Y1970" s="21" t="s">
        <v>104</v>
      </c>
      <c r="Z1970" s="6" t="s">
        <v>104</v>
      </c>
      <c r="AA1970" s="6" t="s">
        <v>104</v>
      </c>
      <c r="AB1970" s="6" t="s">
        <v>104</v>
      </c>
      <c r="AC1970" s="6" t="s">
        <v>9714</v>
      </c>
      <c r="AD1970" s="16" t="n">
        <v>43787</v>
      </c>
      <c r="AE1970" s="6" t="s">
        <v>12242</v>
      </c>
      <c r="AF1970" s="6" t="s">
        <v>104</v>
      </c>
      <c r="AG1970" s="6" t="s">
        <v>13081</v>
      </c>
      <c r="AH1970" s="6" t="s">
        <v>14962</v>
      </c>
      <c r="AI1970" s="6" t="s">
        <v>104</v>
      </c>
      <c r="AJ1970" s="6" t="s">
        <v>16542</v>
      </c>
      <c r="AK1970" s="6" t="s">
        <v>16899</v>
      </c>
      <c r="AL1970" s="6" t="s">
        <v>16898</v>
      </c>
      <c r="AM1970" s="6" t="s">
        <v>18278</v>
      </c>
      <c r="AN1970" s="6" t="s">
        <v>104</v>
      </c>
      <c r="AO1970" s="6" t="s">
        <v>104</v>
      </c>
      <c r="AP1970" s="6" t="s">
        <v>19465</v>
      </c>
      <c r="AQ1970" s="6" t="s">
        <v>19579</v>
      </c>
      <c r="AR1970" s="6" t="s">
        <v>16719</v>
      </c>
      <c r="AS1970" s="6" t="s">
        <v>104</v>
      </c>
      <c r="AT1970" s="6" t="s">
        <v>16898</v>
      </c>
      <c r="AU1970" s="6" t="s">
        <v>104</v>
      </c>
      <c r="AV1970" s="6" t="s">
        <v>104</v>
      </c>
      <c r="AW1970" s="6" t="s">
        <v>104</v>
      </c>
      <c r="AX1970" s="6" t="s">
        <v>21635</v>
      </c>
      <c r="AY1970" s="6" t="s">
        <v>23452</v>
      </c>
      <c r="AZ1970" s="6" t="s">
        <v>24185</v>
      </c>
      <c r="BA1970" s="6" t="s">
        <v>104</v>
      </c>
      <c r="BB1970" s="6" t="s">
        <v>104</v>
      </c>
      <c r="BC1970" s="26"/>
      <c r="BD1970" s="26"/>
      <c r="BE1970" s="26"/>
      <c r="BF1970" s="26"/>
      <c r="BG1970" s="26" t="s">
        <v>24533</v>
      </c>
      <c r="BH1970" s="26" t="s">
        <v>24533</v>
      </c>
      <c r="BI1970" s="26"/>
      <c r="BJ1970" s="26"/>
      <c r="BK1970" s="26"/>
      <c r="BL1970" s="26"/>
      <c r="BM1970" s="26"/>
      <c r="BN1970" s="26"/>
      <c r="BO1970" s="26"/>
      <c r="BP1970" s="16" t="n">
        <v>45737</v>
      </c>
      <c r="BQ1970" s="28" t="str">
        <f>HYPERLINK("https://organic.ams.usda.gov/Integrity/Certificate.aspx?cid=72&amp;nopid=5875943437")</f>
        <v>https://organic.ams.usda.gov/Integrity/Certificate.aspx?cid=72&amp;nopid=5875943437</v>
      </c>
    </row>
    <row r="1971">
      <c r="A1971" t="s">
        <v>3</v>
      </c>
      <c r="B1971" s="6" t="s">
        <v>21</v>
      </c>
      <c r="C1971" s="6" t="s">
        <v>87</v>
      </c>
      <c r="D1971" s="6" t="s">
        <v>152</v>
      </c>
      <c r="E1971" s="10" t="s">
        <v>2169</v>
      </c>
      <c r="F1971" s="6" t="s">
        <v>4377</v>
      </c>
      <c r="G1971" s="6" t="s">
        <v>104</v>
      </c>
      <c r="H1971" s="6" t="s">
        <v>6671</v>
      </c>
      <c r="I1971" s="6" t="s">
        <v>7385</v>
      </c>
      <c r="J1971" s="6" t="s">
        <v>9523</v>
      </c>
      <c r="K1971" s="6" t="s">
        <v>9714</v>
      </c>
      <c r="L1971" s="16" t="n">
        <v>39190</v>
      </c>
      <c r="M1971" s="16" t="n">
        <v>46023</v>
      </c>
      <c r="N1971" s="6" t="s">
        <v>9721</v>
      </c>
      <c r="O1971" s="16" t="n">
        <v>43144</v>
      </c>
      <c r="P1971" s="6" t="s">
        <v>104</v>
      </c>
      <c r="Q1971" s="6" t="s">
        <v>104</v>
      </c>
      <c r="R1971" s="6" t="s">
        <v>104</v>
      </c>
      <c r="S1971" s="6" t="s">
        <v>104</v>
      </c>
      <c r="T1971" s="21" t="s">
        <v>104</v>
      </c>
      <c r="U1971" s="6" t="s">
        <v>104</v>
      </c>
      <c r="V1971" s="6" t="s">
        <v>104</v>
      </c>
      <c r="W1971" s="6" t="s">
        <v>104</v>
      </c>
      <c r="X1971" s="6" t="s">
        <v>104</v>
      </c>
      <c r="Y1971" s="21" t="s">
        <v>104</v>
      </c>
      <c r="Z1971" s="6" t="s">
        <v>104</v>
      </c>
      <c r="AA1971" s="6" t="s">
        <v>104</v>
      </c>
      <c r="AB1971" s="6" t="s">
        <v>104</v>
      </c>
      <c r="AC1971" s="6" t="s">
        <v>9714</v>
      </c>
      <c r="AD1971" s="16" t="n">
        <v>43287</v>
      </c>
      <c r="AE1971" s="6" t="s">
        <v>12243</v>
      </c>
      <c r="AF1971" s="6" t="s">
        <v>104</v>
      </c>
      <c r="AG1971" s="6" t="s">
        <v>104</v>
      </c>
      <c r="AH1971" s="6" t="s">
        <v>14963</v>
      </c>
      <c r="AI1971" s="6" t="s">
        <v>104</v>
      </c>
      <c r="AJ1971" s="6" t="s">
        <v>16543</v>
      </c>
      <c r="AK1971" s="6" t="s">
        <v>16687</v>
      </c>
      <c r="AL1971" s="6" t="s">
        <v>16931</v>
      </c>
      <c r="AM1971" s="6" t="s">
        <v>18279</v>
      </c>
      <c r="AN1971" s="6" t="s">
        <v>18466</v>
      </c>
      <c r="AO1971" s="6" t="s">
        <v>18573</v>
      </c>
      <c r="AP1971" s="6" t="s">
        <v>19466</v>
      </c>
      <c r="AQ1971" s="6" t="s">
        <v>104</v>
      </c>
      <c r="AR1971" s="6" t="s">
        <v>19622</v>
      </c>
      <c r="AS1971" s="6" t="s">
        <v>16687</v>
      </c>
      <c r="AT1971" s="6" t="s">
        <v>16931</v>
      </c>
      <c r="AU1971" s="6" t="s">
        <v>20043</v>
      </c>
      <c r="AV1971" s="6" t="s">
        <v>104</v>
      </c>
      <c r="AW1971" s="6" t="s">
        <v>104</v>
      </c>
      <c r="AX1971" s="6" t="s">
        <v>21636</v>
      </c>
      <c r="AY1971" s="6" t="s">
        <v>23454</v>
      </c>
      <c r="AZ1971" s="6" t="s">
        <v>104</v>
      </c>
      <c r="BA1971" s="6" t="s">
        <v>104</v>
      </c>
      <c r="BB1971" s="6" t="s">
        <v>104</v>
      </c>
      <c r="BC1971" s="26"/>
      <c r="BD1971" s="26"/>
      <c r="BE1971" s="26"/>
      <c r="BF1971" s="26"/>
      <c r="BG1971" s="26"/>
      <c r="BH1971" s="26"/>
      <c r="BI1971" s="26"/>
      <c r="BJ1971" s="26"/>
      <c r="BK1971" s="26"/>
      <c r="BL1971" s="26"/>
      <c r="BM1971" s="26"/>
      <c r="BN1971" s="26"/>
      <c r="BO1971" s="26"/>
      <c r="BP1971" s="16" t="n">
        <v>45667</v>
      </c>
      <c r="BQ1971" s="28" t="str">
        <f>HYPERLINK("https://organic.ams.usda.gov/Integrity/Certificate.aspx?cid=15&amp;nopid=5561000026")</f>
        <v>https://organic.ams.usda.gov/Integrity/Certificate.aspx?cid=15&amp;nopid=5561000026</v>
      </c>
    </row>
    <row r="1972">
      <c r="A1972" t="s">
        <v>3</v>
      </c>
      <c r="B1972" s="6" t="s">
        <v>9</v>
      </c>
      <c r="C1972" s="6" t="s">
        <v>75</v>
      </c>
      <c r="D1972" s="6" t="s">
        <v>140</v>
      </c>
      <c r="E1972" s="10" t="s">
        <v>2170</v>
      </c>
      <c r="F1972" s="6" t="s">
        <v>4378</v>
      </c>
      <c r="G1972" s="6" t="s">
        <v>104</v>
      </c>
      <c r="H1972" s="6" t="s">
        <v>6672</v>
      </c>
      <c r="I1972" s="6" t="s">
        <v>8010</v>
      </c>
      <c r="J1972" s="6" t="s">
        <v>9524</v>
      </c>
      <c r="K1972" s="6" t="s">
        <v>9714</v>
      </c>
      <c r="L1972" s="16" t="n">
        <v>44662</v>
      </c>
      <c r="M1972" s="16" t="n">
        <v>45758</v>
      </c>
      <c r="N1972" s="6" t="s">
        <v>104</v>
      </c>
      <c r="O1972" s="21" t="s">
        <v>104</v>
      </c>
      <c r="P1972" s="6" t="s">
        <v>104</v>
      </c>
      <c r="Q1972" s="6" t="s">
        <v>104</v>
      </c>
      <c r="R1972" s="6" t="s">
        <v>104</v>
      </c>
      <c r="S1972" s="6" t="s">
        <v>104</v>
      </c>
      <c r="T1972" s="21" t="s">
        <v>104</v>
      </c>
      <c r="U1972" s="6" t="s">
        <v>104</v>
      </c>
      <c r="V1972" s="6" t="s">
        <v>104</v>
      </c>
      <c r="W1972" s="6" t="s">
        <v>104</v>
      </c>
      <c r="X1972" s="6" t="s">
        <v>104</v>
      </c>
      <c r="Y1972" s="21" t="s">
        <v>104</v>
      </c>
      <c r="Z1972" s="6" t="s">
        <v>104</v>
      </c>
      <c r="AA1972" s="6" t="s">
        <v>104</v>
      </c>
      <c r="AB1972" s="6" t="s">
        <v>104</v>
      </c>
      <c r="AC1972" s="6" t="s">
        <v>9714</v>
      </c>
      <c r="AD1972" s="16" t="n">
        <v>44662</v>
      </c>
      <c r="AE1972" s="6" t="s">
        <v>12244</v>
      </c>
      <c r="AF1972" s="6" t="s">
        <v>104</v>
      </c>
      <c r="AG1972" s="6" t="s">
        <v>13082</v>
      </c>
      <c r="AH1972" s="6" t="s">
        <v>104</v>
      </c>
      <c r="AI1972" s="6" t="s">
        <v>104</v>
      </c>
      <c r="AJ1972" s="6" t="s">
        <v>104</v>
      </c>
      <c r="AK1972" s="6" t="s">
        <v>104</v>
      </c>
      <c r="AL1972" s="6" t="s">
        <v>104</v>
      </c>
      <c r="AM1972" s="6" t="s">
        <v>104</v>
      </c>
      <c r="AN1972" s="6" t="s">
        <v>104</v>
      </c>
      <c r="AO1972" s="6" t="s">
        <v>104</v>
      </c>
      <c r="AP1972" s="6" t="s">
        <v>19467</v>
      </c>
      <c r="AQ1972" s="6" t="s">
        <v>104</v>
      </c>
      <c r="AR1972" s="6" t="s">
        <v>16386</v>
      </c>
      <c r="AS1972" s="6" t="s">
        <v>16687</v>
      </c>
      <c r="AT1972" s="6" t="s">
        <v>16931</v>
      </c>
      <c r="AU1972" s="6" t="s">
        <v>18083</v>
      </c>
      <c r="AV1972" s="6" t="s">
        <v>18517</v>
      </c>
      <c r="AW1972" s="6" t="s">
        <v>18726</v>
      </c>
      <c r="AX1972" s="6" t="s">
        <v>21637</v>
      </c>
      <c r="AY1972" s="6" t="s">
        <v>23455</v>
      </c>
      <c r="AZ1972" s="6" t="s">
        <v>104</v>
      </c>
      <c r="BA1972" s="6" t="s">
        <v>104</v>
      </c>
      <c r="BB1972" s="6" t="s">
        <v>104</v>
      </c>
      <c r="BC1972" s="26"/>
      <c r="BD1972" s="26"/>
      <c r="BE1972" s="26"/>
      <c r="BF1972" s="26"/>
      <c r="BG1972" s="26"/>
      <c r="BH1972" s="26"/>
      <c r="BI1972" s="26"/>
      <c r="BJ1972" s="26"/>
      <c r="BK1972" s="26"/>
      <c r="BL1972" s="26"/>
      <c r="BM1972" s="26"/>
      <c r="BN1972" s="26"/>
      <c r="BO1972" s="26"/>
      <c r="BP1972" s="16" t="n">
        <v>45631</v>
      </c>
      <c r="BQ1972" s="28" t="str">
        <f>HYPERLINK("https://organic.ams.usda.gov/Integrity/Certificate.aspx?cid=63&amp;nopid=6220008579")</f>
        <v>https://organic.ams.usda.gov/Integrity/Certificate.aspx?cid=63&amp;nopid=6220008579</v>
      </c>
    </row>
    <row r="1973">
      <c r="A1973" t="s">
        <v>3</v>
      </c>
      <c r="B1973" s="6" t="s">
        <v>33</v>
      </c>
      <c r="C1973" s="6" t="s">
        <v>99</v>
      </c>
      <c r="D1973" s="6" t="s">
        <v>164</v>
      </c>
      <c r="E1973" s="10" t="s">
        <v>2171</v>
      </c>
      <c r="F1973" s="6" t="s">
        <v>4379</v>
      </c>
      <c r="G1973" s="6" t="s">
        <v>104</v>
      </c>
      <c r="H1973" s="6" t="s">
        <v>104</v>
      </c>
      <c r="I1973" s="6" t="s">
        <v>8011</v>
      </c>
      <c r="J1973" s="6" t="s">
        <v>9366</v>
      </c>
      <c r="K1973" s="6" t="s">
        <v>9714</v>
      </c>
      <c r="L1973" s="16" t="n">
        <v>43790</v>
      </c>
      <c r="M1973" s="16" t="n">
        <v>45383</v>
      </c>
      <c r="N1973" s="6" t="s">
        <v>9714</v>
      </c>
      <c r="O1973" s="16" t="n">
        <v>43790</v>
      </c>
      <c r="P1973" s="6" t="s">
        <v>10229</v>
      </c>
      <c r="Q1973" s="6" t="s">
        <v>104</v>
      </c>
      <c r="R1973" s="6" t="s">
        <v>10442</v>
      </c>
      <c r="S1973" s="6" t="s">
        <v>104</v>
      </c>
      <c r="T1973" s="21" t="s">
        <v>104</v>
      </c>
      <c r="U1973" s="6" t="s">
        <v>104</v>
      </c>
      <c r="V1973" s="6" t="s">
        <v>104</v>
      </c>
      <c r="W1973" s="6" t="s">
        <v>104</v>
      </c>
      <c r="X1973" s="6" t="s">
        <v>104</v>
      </c>
      <c r="Y1973" s="21" t="s">
        <v>104</v>
      </c>
      <c r="Z1973" s="6" t="s">
        <v>104</v>
      </c>
      <c r="AA1973" s="6" t="s">
        <v>104</v>
      </c>
      <c r="AB1973" s="6" t="s">
        <v>104</v>
      </c>
      <c r="AC1973" s="6" t="s">
        <v>104</v>
      </c>
      <c r="AD1973" s="21" t="s">
        <v>104</v>
      </c>
      <c r="AE1973" s="6" t="s">
        <v>104</v>
      </c>
      <c r="AF1973" s="6" t="s">
        <v>104</v>
      </c>
      <c r="AG1973" s="6" t="s">
        <v>104</v>
      </c>
      <c r="AH1973" s="6" t="s">
        <v>14964</v>
      </c>
      <c r="AI1973" s="6" t="s">
        <v>104</v>
      </c>
      <c r="AJ1973" s="6" t="s">
        <v>16544</v>
      </c>
      <c r="AK1973" s="6" t="s">
        <v>16683</v>
      </c>
      <c r="AL1973" s="6" t="s">
        <v>16931</v>
      </c>
      <c r="AM1973" s="6" t="s">
        <v>18280</v>
      </c>
      <c r="AN1973" s="6" t="s">
        <v>18453</v>
      </c>
      <c r="AO1973" s="6" t="s">
        <v>18908</v>
      </c>
      <c r="AP1973" s="6" t="s">
        <v>14964</v>
      </c>
      <c r="AQ1973" s="6" t="s">
        <v>104</v>
      </c>
      <c r="AR1973" s="6" t="s">
        <v>16544</v>
      </c>
      <c r="AS1973" s="6" t="s">
        <v>16683</v>
      </c>
      <c r="AT1973" s="6" t="s">
        <v>16931</v>
      </c>
      <c r="AU1973" s="6" t="s">
        <v>18280</v>
      </c>
      <c r="AV1973" s="6" t="s">
        <v>104</v>
      </c>
      <c r="AW1973" s="6" t="s">
        <v>104</v>
      </c>
      <c r="AX1973" s="6" t="s">
        <v>104</v>
      </c>
      <c r="AY1973" s="6" t="s">
        <v>104</v>
      </c>
      <c r="AZ1973" s="6" t="s">
        <v>104</v>
      </c>
      <c r="BA1973" s="6" t="s">
        <v>24264</v>
      </c>
      <c r="BB1973" s="24" t="n">
        <v>910</v>
      </c>
      <c r="BC1973" s="26"/>
      <c r="BD1973" s="26"/>
      <c r="BE1973" s="26"/>
      <c r="BF1973" s="26"/>
      <c r="BG1973" s="26"/>
      <c r="BH1973" s="26"/>
      <c r="BI1973" s="26"/>
      <c r="BJ1973" s="26"/>
      <c r="BK1973" s="26"/>
      <c r="BL1973" s="26"/>
      <c r="BM1973" s="26"/>
      <c r="BN1973" s="26"/>
      <c r="BO1973" s="26"/>
      <c r="BP1973" s="16" t="n">
        <v>45443</v>
      </c>
      <c r="BQ1973" s="28" t="str">
        <f>HYPERLINK("https://organic.ams.usda.gov/Integrity/Certificate.aspx?cid=46&amp;nopid=3671900101")</f>
        <v>https://organic.ams.usda.gov/Integrity/Certificate.aspx?cid=46&amp;nopid=3671900101</v>
      </c>
    </row>
    <row r="1974">
      <c r="A1974" t="s">
        <v>3</v>
      </c>
      <c r="B1974" s="6" t="s">
        <v>17</v>
      </c>
      <c r="C1974" s="6" t="s">
        <v>83</v>
      </c>
      <c r="D1974" s="6" t="s">
        <v>148</v>
      </c>
      <c r="E1974" s="10" t="s">
        <v>2172</v>
      </c>
      <c r="F1974" s="6" t="s">
        <v>4380</v>
      </c>
      <c r="G1974" s="6" t="s">
        <v>104</v>
      </c>
      <c r="H1974" s="6" t="s">
        <v>6673</v>
      </c>
      <c r="I1974" s="6" t="s">
        <v>7275</v>
      </c>
      <c r="J1974" s="6" t="s">
        <v>9525</v>
      </c>
      <c r="K1974" s="6" t="s">
        <v>9714</v>
      </c>
      <c r="L1974" s="16" t="n">
        <v>45041</v>
      </c>
      <c r="M1974" s="16" t="n">
        <v>45809</v>
      </c>
      <c r="N1974" s="6" t="s">
        <v>104</v>
      </c>
      <c r="O1974" s="21" t="s">
        <v>104</v>
      </c>
      <c r="P1974" s="6" t="s">
        <v>104</v>
      </c>
      <c r="Q1974" s="6" t="s">
        <v>104</v>
      </c>
      <c r="R1974" s="6" t="s">
        <v>104</v>
      </c>
      <c r="S1974" s="6" t="s">
        <v>104</v>
      </c>
      <c r="T1974" s="21" t="s">
        <v>104</v>
      </c>
      <c r="U1974" s="6" t="s">
        <v>104</v>
      </c>
      <c r="V1974" s="6" t="s">
        <v>104</v>
      </c>
      <c r="W1974" s="6" t="s">
        <v>104</v>
      </c>
      <c r="X1974" s="6" t="s">
        <v>104</v>
      </c>
      <c r="Y1974" s="21" t="s">
        <v>104</v>
      </c>
      <c r="Z1974" s="6" t="s">
        <v>104</v>
      </c>
      <c r="AA1974" s="6" t="s">
        <v>104</v>
      </c>
      <c r="AB1974" s="6" t="s">
        <v>104</v>
      </c>
      <c r="AC1974" s="6" t="s">
        <v>9714</v>
      </c>
      <c r="AD1974" s="16" t="n">
        <v>45041</v>
      </c>
      <c r="AE1974" s="6" t="s">
        <v>12245</v>
      </c>
      <c r="AF1974" s="6" t="s">
        <v>104</v>
      </c>
      <c r="AG1974" s="6" t="s">
        <v>104</v>
      </c>
      <c r="AH1974" s="6" t="s">
        <v>14965</v>
      </c>
      <c r="AI1974" s="6" t="s">
        <v>15337</v>
      </c>
      <c r="AJ1974" s="6" t="s">
        <v>8056</v>
      </c>
      <c r="AK1974" s="6" t="s">
        <v>16680</v>
      </c>
      <c r="AL1974" s="6" t="s">
        <v>16931</v>
      </c>
      <c r="AM1974" s="6" t="s">
        <v>17681</v>
      </c>
      <c r="AN1974" s="6" t="s">
        <v>18473</v>
      </c>
      <c r="AO1974" s="6" t="s">
        <v>18678</v>
      </c>
      <c r="AP1974" s="6" t="s">
        <v>14965</v>
      </c>
      <c r="AQ1974" s="6" t="s">
        <v>15337</v>
      </c>
      <c r="AR1974" s="6" t="s">
        <v>8056</v>
      </c>
      <c r="AS1974" s="6" t="s">
        <v>16680</v>
      </c>
      <c r="AT1974" s="6" t="s">
        <v>16931</v>
      </c>
      <c r="AU1974" s="6" t="s">
        <v>17681</v>
      </c>
      <c r="AV1974" s="6" t="s">
        <v>104</v>
      </c>
      <c r="AW1974" s="6" t="s">
        <v>104</v>
      </c>
      <c r="AX1974" s="6" t="s">
        <v>21638</v>
      </c>
      <c r="AY1974" s="6" t="s">
        <v>23456</v>
      </c>
      <c r="AZ1974" s="6" t="s">
        <v>104</v>
      </c>
      <c r="BA1974" s="6" t="s">
        <v>104</v>
      </c>
      <c r="BB1974" s="24" t="n">
        <v>0</v>
      </c>
      <c r="BC1974" s="26" t="s">
        <v>24533</v>
      </c>
      <c r="BD1974" s="26"/>
      <c r="BE1974" s="26"/>
      <c r="BF1974" s="26"/>
      <c r="BG1974" s="26"/>
      <c r="BH1974" s="26" t="s">
        <v>24533</v>
      </c>
      <c r="BI1974" s="26"/>
      <c r="BJ1974" s="26"/>
      <c r="BK1974" s="26"/>
      <c r="BL1974" s="26"/>
      <c r="BM1974" s="26"/>
      <c r="BN1974" s="26"/>
      <c r="BO1974" s="26"/>
      <c r="BP1974" s="16" t="n">
        <v>45667</v>
      </c>
      <c r="BQ1974" s="28" t="str">
        <f>HYPERLINK("https://organic.ams.usda.gov/Integrity/Certificate.aspx?cid=51&amp;nopid=8240061823")</f>
        <v>https://organic.ams.usda.gov/Integrity/Certificate.aspx?cid=51&amp;nopid=8240061823</v>
      </c>
    </row>
    <row r="1975">
      <c r="A1975" t="s">
        <v>3</v>
      </c>
      <c r="B1975" s="6" t="s">
        <v>21</v>
      </c>
      <c r="C1975" s="6" t="s">
        <v>87</v>
      </c>
      <c r="D1975" s="6" t="s">
        <v>152</v>
      </c>
      <c r="E1975" s="10" t="s">
        <v>2173</v>
      </c>
      <c r="F1975" s="6" t="s">
        <v>4381</v>
      </c>
      <c r="G1975" s="6" t="s">
        <v>104</v>
      </c>
      <c r="H1975" s="6" t="s">
        <v>6674</v>
      </c>
      <c r="I1975" s="6" t="s">
        <v>7028</v>
      </c>
      <c r="J1975" s="6" t="s">
        <v>9526</v>
      </c>
      <c r="K1975" s="6" t="s">
        <v>9714</v>
      </c>
      <c r="L1975" s="16" t="n">
        <v>35137</v>
      </c>
      <c r="M1975" s="16" t="n">
        <v>46023</v>
      </c>
      <c r="N1975" s="6" t="s">
        <v>104</v>
      </c>
      <c r="O1975" s="21" t="s">
        <v>104</v>
      </c>
      <c r="P1975" s="6" t="s">
        <v>104</v>
      </c>
      <c r="Q1975" s="6" t="s">
        <v>104</v>
      </c>
      <c r="R1975" s="6" t="s">
        <v>104</v>
      </c>
      <c r="S1975" s="6" t="s">
        <v>104</v>
      </c>
      <c r="T1975" s="21" t="s">
        <v>104</v>
      </c>
      <c r="U1975" s="6" t="s">
        <v>104</v>
      </c>
      <c r="V1975" s="6" t="s">
        <v>104</v>
      </c>
      <c r="W1975" s="6" t="s">
        <v>104</v>
      </c>
      <c r="X1975" s="6" t="s">
        <v>104</v>
      </c>
      <c r="Y1975" s="21" t="s">
        <v>104</v>
      </c>
      <c r="Z1975" s="6" t="s">
        <v>104</v>
      </c>
      <c r="AA1975" s="6" t="s">
        <v>104</v>
      </c>
      <c r="AB1975" s="6" t="s">
        <v>104</v>
      </c>
      <c r="AC1975" s="6" t="s">
        <v>9714</v>
      </c>
      <c r="AD1975" s="16" t="n">
        <v>35137</v>
      </c>
      <c r="AE1975" s="6" t="s">
        <v>12246</v>
      </c>
      <c r="AF1975" s="6" t="s">
        <v>104</v>
      </c>
      <c r="AG1975" s="6" t="s">
        <v>104</v>
      </c>
      <c r="AH1975" s="6" t="s">
        <v>14966</v>
      </c>
      <c r="AI1975" s="6" t="s">
        <v>104</v>
      </c>
      <c r="AJ1975" s="6" t="s">
        <v>16545</v>
      </c>
      <c r="AK1975" s="6" t="s">
        <v>16687</v>
      </c>
      <c r="AL1975" s="6" t="s">
        <v>16931</v>
      </c>
      <c r="AM1975" s="6" t="s">
        <v>18281</v>
      </c>
      <c r="AN1975" s="6" t="s">
        <v>18467</v>
      </c>
      <c r="AO1975" s="6" t="s">
        <v>18610</v>
      </c>
      <c r="AP1975" s="6" t="s">
        <v>19468</v>
      </c>
      <c r="AQ1975" s="6" t="s">
        <v>104</v>
      </c>
      <c r="AR1975" s="6" t="s">
        <v>8297</v>
      </c>
      <c r="AS1975" s="6" t="s">
        <v>16687</v>
      </c>
      <c r="AT1975" s="6" t="s">
        <v>16931</v>
      </c>
      <c r="AU1975" s="6" t="s">
        <v>17491</v>
      </c>
      <c r="AV1975" s="6" t="s">
        <v>104</v>
      </c>
      <c r="AW1975" s="6" t="s">
        <v>104</v>
      </c>
      <c r="AX1975" s="6" t="s">
        <v>21639</v>
      </c>
      <c r="AY1975" s="6" t="s">
        <v>23457</v>
      </c>
      <c r="AZ1975" s="6" t="s">
        <v>24186</v>
      </c>
      <c r="BA1975" s="6" t="s">
        <v>24500</v>
      </c>
      <c r="BB1975" s="6" t="s">
        <v>104</v>
      </c>
      <c r="BC1975" s="26"/>
      <c r="BD1975" s="26"/>
      <c r="BE1975" s="26"/>
      <c r="BF1975" s="26"/>
      <c r="BG1975" s="26"/>
      <c r="BH1975" s="26"/>
      <c r="BI1975" s="26"/>
      <c r="BJ1975" s="26"/>
      <c r="BK1975" s="26"/>
      <c r="BL1975" s="26"/>
      <c r="BM1975" s="26"/>
      <c r="BN1975" s="26"/>
      <c r="BO1975" s="26"/>
      <c r="BP1975" s="16" t="n">
        <v>45667</v>
      </c>
      <c r="BQ1975" s="28" t="str">
        <f>HYPERLINK("https://organic.ams.usda.gov/Integrity/Certificate.aspx?cid=15&amp;nopid=5561001649")</f>
        <v>https://organic.ams.usda.gov/Integrity/Certificate.aspx?cid=15&amp;nopid=5561001649</v>
      </c>
    </row>
    <row r="1976">
      <c r="A1976" t="s">
        <v>3</v>
      </c>
      <c r="B1976" s="6" t="s">
        <v>23</v>
      </c>
      <c r="C1976" s="6" t="s">
        <v>89</v>
      </c>
      <c r="D1976" s="6" t="s">
        <v>154</v>
      </c>
      <c r="E1976" s="10" t="s">
        <v>2174</v>
      </c>
      <c r="F1976" s="6" t="s">
        <v>4382</v>
      </c>
      <c r="G1976" s="6" t="s">
        <v>104</v>
      </c>
      <c r="H1976" s="6" t="s">
        <v>6675</v>
      </c>
      <c r="I1976" s="6" t="s">
        <v>7181</v>
      </c>
      <c r="J1976" s="6" t="s">
        <v>8355</v>
      </c>
      <c r="K1976" s="6" t="s">
        <v>9714</v>
      </c>
      <c r="L1976" s="16" t="n">
        <v>44062</v>
      </c>
      <c r="M1976" s="16" t="n">
        <v>45748</v>
      </c>
      <c r="N1976" s="6" t="s">
        <v>104</v>
      </c>
      <c r="O1976" s="21" t="s">
        <v>104</v>
      </c>
      <c r="P1976" s="6" t="s">
        <v>104</v>
      </c>
      <c r="Q1976" s="6" t="s">
        <v>104</v>
      </c>
      <c r="R1976" s="6" t="s">
        <v>104</v>
      </c>
      <c r="S1976" s="6" t="s">
        <v>104</v>
      </c>
      <c r="T1976" s="21" t="s">
        <v>104</v>
      </c>
      <c r="U1976" s="6" t="s">
        <v>104</v>
      </c>
      <c r="V1976" s="6" t="s">
        <v>104</v>
      </c>
      <c r="W1976" s="6" t="s">
        <v>104</v>
      </c>
      <c r="X1976" s="6" t="s">
        <v>104</v>
      </c>
      <c r="Y1976" s="21" t="s">
        <v>104</v>
      </c>
      <c r="Z1976" s="6" t="s">
        <v>104</v>
      </c>
      <c r="AA1976" s="6" t="s">
        <v>104</v>
      </c>
      <c r="AB1976" s="6" t="s">
        <v>104</v>
      </c>
      <c r="AC1976" s="6" t="s">
        <v>9714</v>
      </c>
      <c r="AD1976" s="16" t="n">
        <v>44062</v>
      </c>
      <c r="AE1976" s="6" t="s">
        <v>12247</v>
      </c>
      <c r="AF1976" s="6" t="s">
        <v>104</v>
      </c>
      <c r="AG1976" s="6" t="s">
        <v>6675</v>
      </c>
      <c r="AH1976" s="6" t="s">
        <v>14967</v>
      </c>
      <c r="AI1976" s="6" t="s">
        <v>104</v>
      </c>
      <c r="AJ1976" s="6" t="s">
        <v>15583</v>
      </c>
      <c r="AK1976" s="6" t="s">
        <v>16710</v>
      </c>
      <c r="AL1976" s="6" t="s">
        <v>16931</v>
      </c>
      <c r="AM1976" s="6" t="s">
        <v>17197</v>
      </c>
      <c r="AN1976" s="6" t="s">
        <v>18484</v>
      </c>
      <c r="AO1976" s="6" t="s">
        <v>18635</v>
      </c>
      <c r="AP1976" s="6" t="s">
        <v>19469</v>
      </c>
      <c r="AQ1976" s="6" t="s">
        <v>104</v>
      </c>
      <c r="AR1976" s="6" t="s">
        <v>19762</v>
      </c>
      <c r="AS1976" s="6" t="s">
        <v>16714</v>
      </c>
      <c r="AT1976" s="6" t="s">
        <v>16931</v>
      </c>
      <c r="AU1976" s="6" t="s">
        <v>20044</v>
      </c>
      <c r="AV1976" s="6" t="s">
        <v>104</v>
      </c>
      <c r="AW1976" s="6" t="s">
        <v>104</v>
      </c>
      <c r="AX1976" s="6" t="s">
        <v>21640</v>
      </c>
      <c r="AY1976" s="6" t="s">
        <v>23458</v>
      </c>
      <c r="AZ1976" s="6" t="s">
        <v>104</v>
      </c>
      <c r="BA1976" s="6" t="s">
        <v>24501</v>
      </c>
      <c r="BB1976" s="24" t="n">
        <v>0</v>
      </c>
      <c r="BC1976" s="26" t="s">
        <v>24533</v>
      </c>
      <c r="BD1976" s="26"/>
      <c r="BE1976" s="26"/>
      <c r="BF1976" s="26"/>
      <c r="BG1976" s="26"/>
      <c r="BH1976" s="26"/>
      <c r="BI1976" s="26"/>
      <c r="BJ1976" s="26"/>
      <c r="BK1976" s="26"/>
      <c r="BL1976" s="26"/>
      <c r="BM1976" s="26"/>
      <c r="BN1976" s="26"/>
      <c r="BO1976" s="26"/>
      <c r="BP1976" s="16" t="n">
        <v>45597</v>
      </c>
      <c r="BQ1976" s="28" t="str">
        <f>HYPERLINK("https://organic.ams.usda.gov/Integrity/Certificate.aspx?cid=45&amp;nopid=9950012567")</f>
        <v>https://organic.ams.usda.gov/Integrity/Certificate.aspx?cid=45&amp;nopid=9950012567</v>
      </c>
    </row>
    <row r="1977">
      <c r="A1977" t="s">
        <v>3</v>
      </c>
      <c r="B1977" s="6" t="s">
        <v>9</v>
      </c>
      <c r="C1977" s="6" t="s">
        <v>75</v>
      </c>
      <c r="D1977" s="6" t="s">
        <v>140</v>
      </c>
      <c r="E1977" s="10" t="s">
        <v>2175</v>
      </c>
      <c r="F1977" s="6" t="s">
        <v>4383</v>
      </c>
      <c r="G1977" s="6" t="s">
        <v>104</v>
      </c>
      <c r="H1977" s="6" t="s">
        <v>6676</v>
      </c>
      <c r="I1977" s="6" t="s">
        <v>6948</v>
      </c>
      <c r="J1977" s="6" t="s">
        <v>9527</v>
      </c>
      <c r="K1977" s="6" t="s">
        <v>9714</v>
      </c>
      <c r="L1977" s="16" t="n">
        <v>40145</v>
      </c>
      <c r="M1977" s="16" t="n">
        <v>45836</v>
      </c>
      <c r="N1977" s="6" t="s">
        <v>104</v>
      </c>
      <c r="O1977" s="21" t="s">
        <v>104</v>
      </c>
      <c r="P1977" s="6" t="s">
        <v>104</v>
      </c>
      <c r="Q1977" s="6" t="s">
        <v>104</v>
      </c>
      <c r="R1977" s="6" t="s">
        <v>104</v>
      </c>
      <c r="S1977" s="6" t="s">
        <v>104</v>
      </c>
      <c r="T1977" s="21" t="s">
        <v>104</v>
      </c>
      <c r="U1977" s="6" t="s">
        <v>104</v>
      </c>
      <c r="V1977" s="6" t="s">
        <v>104</v>
      </c>
      <c r="W1977" s="6" t="s">
        <v>104</v>
      </c>
      <c r="X1977" s="6" t="s">
        <v>104</v>
      </c>
      <c r="Y1977" s="21" t="s">
        <v>104</v>
      </c>
      <c r="Z1977" s="6" t="s">
        <v>104</v>
      </c>
      <c r="AA1977" s="6" t="s">
        <v>104</v>
      </c>
      <c r="AB1977" s="6" t="s">
        <v>104</v>
      </c>
      <c r="AC1977" s="6" t="s">
        <v>9714</v>
      </c>
      <c r="AD1977" s="16" t="n">
        <v>40145</v>
      </c>
      <c r="AE1977" s="6" t="s">
        <v>12248</v>
      </c>
      <c r="AF1977" s="6" t="s">
        <v>104</v>
      </c>
      <c r="AG1977" s="6" t="s">
        <v>104</v>
      </c>
      <c r="AH1977" s="6" t="s">
        <v>104</v>
      </c>
      <c r="AI1977" s="6" t="s">
        <v>104</v>
      </c>
      <c r="AJ1977" s="6" t="s">
        <v>104</v>
      </c>
      <c r="AK1977" s="6" t="s">
        <v>104</v>
      </c>
      <c r="AL1977" s="6" t="s">
        <v>104</v>
      </c>
      <c r="AM1977" s="6" t="s">
        <v>104</v>
      </c>
      <c r="AN1977" s="6" t="s">
        <v>104</v>
      </c>
      <c r="AO1977" s="6" t="s">
        <v>104</v>
      </c>
      <c r="AP1977" s="6" t="s">
        <v>19470</v>
      </c>
      <c r="AQ1977" s="6" t="s">
        <v>19580</v>
      </c>
      <c r="AR1977" s="6" t="s">
        <v>19763</v>
      </c>
      <c r="AS1977" s="6" t="s">
        <v>16683</v>
      </c>
      <c r="AT1977" s="6" t="s">
        <v>16931</v>
      </c>
      <c r="AU1977" s="6" t="s">
        <v>20045</v>
      </c>
      <c r="AV1977" s="6" t="s">
        <v>18515</v>
      </c>
      <c r="AW1977" s="6" t="s">
        <v>18598</v>
      </c>
      <c r="AX1977" s="6" t="s">
        <v>21641</v>
      </c>
      <c r="AY1977" s="6" t="s">
        <v>23459</v>
      </c>
      <c r="AZ1977" s="6" t="s">
        <v>104</v>
      </c>
      <c r="BA1977" s="6" t="s">
        <v>104</v>
      </c>
      <c r="BB1977" s="6" t="s">
        <v>104</v>
      </c>
      <c r="BC1977" s="26"/>
      <c r="BD1977" s="26"/>
      <c r="BE1977" s="26"/>
      <c r="BF1977" s="26"/>
      <c r="BG1977" s="26"/>
      <c r="BH1977" s="26"/>
      <c r="BI1977" s="26"/>
      <c r="BJ1977" s="26"/>
      <c r="BK1977" s="26"/>
      <c r="BL1977" s="26"/>
      <c r="BM1977" s="26"/>
      <c r="BN1977" s="26"/>
      <c r="BO1977" s="26"/>
      <c r="BP1977" s="16" t="n">
        <v>45399</v>
      </c>
      <c r="BQ1977" s="28" t="str">
        <f>HYPERLINK("https://organic.ams.usda.gov/Integrity/Certificate.aspx?cid=63&amp;nopid=6220003178")</f>
        <v>https://organic.ams.usda.gov/Integrity/Certificate.aspx?cid=63&amp;nopid=6220003178</v>
      </c>
    </row>
    <row r="1978">
      <c r="A1978" t="s">
        <v>3</v>
      </c>
      <c r="B1978" s="6" t="s">
        <v>13</v>
      </c>
      <c r="C1978" s="6" t="s">
        <v>79</v>
      </c>
      <c r="D1978" s="6" t="s">
        <v>144</v>
      </c>
      <c r="E1978" s="10" t="s">
        <v>2176</v>
      </c>
      <c r="F1978" s="6" t="s">
        <v>4384</v>
      </c>
      <c r="G1978" s="6" t="s">
        <v>104</v>
      </c>
      <c r="H1978" s="6" t="s">
        <v>6677</v>
      </c>
      <c r="I1978" s="6" t="s">
        <v>8012</v>
      </c>
      <c r="J1978" s="6" t="s">
        <v>9528</v>
      </c>
      <c r="K1978" s="6" t="s">
        <v>9714</v>
      </c>
      <c r="L1978" s="16" t="n">
        <v>41514</v>
      </c>
      <c r="M1978" s="16" t="n">
        <v>46113</v>
      </c>
      <c r="N1978" s="6" t="s">
        <v>104</v>
      </c>
      <c r="O1978" s="21" t="s">
        <v>104</v>
      </c>
      <c r="P1978" s="6" t="s">
        <v>104</v>
      </c>
      <c r="Q1978" s="6" t="s">
        <v>104</v>
      </c>
      <c r="R1978" s="6" t="s">
        <v>104</v>
      </c>
      <c r="S1978" s="6" t="s">
        <v>104</v>
      </c>
      <c r="T1978" s="21" t="s">
        <v>104</v>
      </c>
      <c r="U1978" s="6" t="s">
        <v>104</v>
      </c>
      <c r="V1978" s="6" t="s">
        <v>104</v>
      </c>
      <c r="W1978" s="6" t="s">
        <v>104</v>
      </c>
      <c r="X1978" s="6" t="s">
        <v>104</v>
      </c>
      <c r="Y1978" s="21" t="s">
        <v>104</v>
      </c>
      <c r="Z1978" s="6" t="s">
        <v>104</v>
      </c>
      <c r="AA1978" s="6" t="s">
        <v>104</v>
      </c>
      <c r="AB1978" s="6" t="s">
        <v>104</v>
      </c>
      <c r="AC1978" s="6" t="s">
        <v>9714</v>
      </c>
      <c r="AD1978" s="16" t="n">
        <v>41514</v>
      </c>
      <c r="AE1978" s="6" t="s">
        <v>12249</v>
      </c>
      <c r="AF1978" s="6" t="s">
        <v>104</v>
      </c>
      <c r="AG1978" s="6" t="s">
        <v>104</v>
      </c>
      <c r="AH1978" s="6" t="s">
        <v>104</v>
      </c>
      <c r="AI1978" s="6" t="s">
        <v>104</v>
      </c>
      <c r="AJ1978" s="6" t="s">
        <v>104</v>
      </c>
      <c r="AK1978" s="6" t="s">
        <v>104</v>
      </c>
      <c r="AL1978" s="6" t="s">
        <v>104</v>
      </c>
      <c r="AM1978" s="6" t="s">
        <v>104</v>
      </c>
      <c r="AN1978" s="6" t="s">
        <v>104</v>
      </c>
      <c r="AO1978" s="6" t="s">
        <v>104</v>
      </c>
      <c r="AP1978" s="6" t="s">
        <v>19471</v>
      </c>
      <c r="AQ1978" s="6" t="s">
        <v>104</v>
      </c>
      <c r="AR1978" s="6" t="s">
        <v>19764</v>
      </c>
      <c r="AS1978" s="6" t="s">
        <v>15697</v>
      </c>
      <c r="AT1978" s="6" t="s">
        <v>16931</v>
      </c>
      <c r="AU1978" s="6" t="s">
        <v>5956</v>
      </c>
      <c r="AV1978" s="6" t="s">
        <v>18460</v>
      </c>
      <c r="AW1978" s="6" t="s">
        <v>18726</v>
      </c>
      <c r="AX1978" s="6" t="s">
        <v>21642</v>
      </c>
      <c r="AY1978" s="6" t="s">
        <v>23460</v>
      </c>
      <c r="AZ1978" s="6" t="s">
        <v>104</v>
      </c>
      <c r="BA1978" s="6" t="s">
        <v>104</v>
      </c>
      <c r="BB1978" s="6" t="s">
        <v>104</v>
      </c>
      <c r="BC1978" s="26"/>
      <c r="BD1978" s="26"/>
      <c r="BE1978" s="26" t="s">
        <v>24533</v>
      </c>
      <c r="BF1978" s="26"/>
      <c r="BG1978" s="26"/>
      <c r="BH1978" s="26"/>
      <c r="BI1978" s="26"/>
      <c r="BJ1978" s="26"/>
      <c r="BK1978" s="26"/>
      <c r="BL1978" s="26"/>
      <c r="BM1978" s="26"/>
      <c r="BN1978" s="26"/>
      <c r="BO1978" s="26"/>
      <c r="BP1978" s="16" t="n">
        <v>45735</v>
      </c>
      <c r="BQ1978" s="28" t="str">
        <f>HYPERLINK("https://organic.ams.usda.gov/Integrity/Certificate.aspx?cid=62&amp;nopid=8150001194")</f>
        <v>https://organic.ams.usda.gov/Integrity/Certificate.aspx?cid=62&amp;nopid=8150001194</v>
      </c>
    </row>
    <row r="1979">
      <c r="A1979" t="s">
        <v>3</v>
      </c>
      <c r="B1979" s="6" t="s">
        <v>20</v>
      </c>
      <c r="C1979" s="6" t="s">
        <v>86</v>
      </c>
      <c r="D1979" s="6" t="s">
        <v>151</v>
      </c>
      <c r="E1979" s="10" t="s">
        <v>2177</v>
      </c>
      <c r="F1979" s="6" t="s">
        <v>4385</v>
      </c>
      <c r="G1979" s="6" t="s">
        <v>104</v>
      </c>
      <c r="H1979" s="6" t="s">
        <v>6678</v>
      </c>
      <c r="I1979" s="6" t="s">
        <v>8013</v>
      </c>
      <c r="J1979" s="6" t="s">
        <v>9529</v>
      </c>
      <c r="K1979" s="6" t="s">
        <v>9714</v>
      </c>
      <c r="L1979" s="16" t="n">
        <v>45467</v>
      </c>
      <c r="M1979" s="16" t="n">
        <v>45657</v>
      </c>
      <c r="N1979" s="6" t="s">
        <v>104</v>
      </c>
      <c r="O1979" s="21" t="s">
        <v>104</v>
      </c>
      <c r="P1979" s="6" t="s">
        <v>104</v>
      </c>
      <c r="Q1979" s="6" t="s">
        <v>104</v>
      </c>
      <c r="R1979" s="6" t="s">
        <v>104</v>
      </c>
      <c r="S1979" s="6" t="s">
        <v>104</v>
      </c>
      <c r="T1979" s="21" t="s">
        <v>104</v>
      </c>
      <c r="U1979" s="6" t="s">
        <v>104</v>
      </c>
      <c r="V1979" s="6" t="s">
        <v>104</v>
      </c>
      <c r="W1979" s="6" t="s">
        <v>104</v>
      </c>
      <c r="X1979" s="6" t="s">
        <v>104</v>
      </c>
      <c r="Y1979" s="21" t="s">
        <v>104</v>
      </c>
      <c r="Z1979" s="6" t="s">
        <v>104</v>
      </c>
      <c r="AA1979" s="6" t="s">
        <v>104</v>
      </c>
      <c r="AB1979" s="6" t="s">
        <v>104</v>
      </c>
      <c r="AC1979" s="6" t="s">
        <v>9714</v>
      </c>
      <c r="AD1979" s="16" t="n">
        <v>45467</v>
      </c>
      <c r="AE1979" s="6" t="s">
        <v>12250</v>
      </c>
      <c r="AF1979" s="6" t="s">
        <v>104</v>
      </c>
      <c r="AG1979" s="6" t="s">
        <v>13083</v>
      </c>
      <c r="AH1979" s="6" t="s">
        <v>14968</v>
      </c>
      <c r="AI1979" s="6" t="s">
        <v>104</v>
      </c>
      <c r="AJ1979" s="6" t="s">
        <v>16546</v>
      </c>
      <c r="AK1979" s="6" t="s">
        <v>16900</v>
      </c>
      <c r="AL1979" s="6" t="s">
        <v>15513</v>
      </c>
      <c r="AM1979" s="6" t="s">
        <v>18282</v>
      </c>
      <c r="AN1979" s="6" t="s">
        <v>104</v>
      </c>
      <c r="AO1979" s="6" t="s">
        <v>104</v>
      </c>
      <c r="AP1979" s="6" t="s">
        <v>104</v>
      </c>
      <c r="AQ1979" s="6" t="s">
        <v>104</v>
      </c>
      <c r="AR1979" s="6" t="s">
        <v>104</v>
      </c>
      <c r="AS1979" s="6" t="s">
        <v>104</v>
      </c>
      <c r="AT1979" s="6" t="s">
        <v>104</v>
      </c>
      <c r="AU1979" s="6" t="s">
        <v>104</v>
      </c>
      <c r="AV1979" s="6" t="s">
        <v>104</v>
      </c>
      <c r="AW1979" s="6" t="s">
        <v>104</v>
      </c>
      <c r="AX1979" s="6" t="s">
        <v>21643</v>
      </c>
      <c r="AY1979" s="6" t="s">
        <v>104</v>
      </c>
      <c r="AZ1979" s="6" t="s">
        <v>104</v>
      </c>
      <c r="BA1979" s="6" t="s">
        <v>104</v>
      </c>
      <c r="BB1979" s="6" t="s">
        <v>104</v>
      </c>
      <c r="BC1979" s="26"/>
      <c r="BD1979" s="26"/>
      <c r="BE1979" s="26"/>
      <c r="BF1979" s="26"/>
      <c r="BG1979" s="26"/>
      <c r="BH1979" s="26"/>
      <c r="BI1979" s="26"/>
      <c r="BJ1979" s="26"/>
      <c r="BK1979" s="26"/>
      <c r="BL1979" s="26"/>
      <c r="BM1979" s="26"/>
      <c r="BN1979" s="26"/>
      <c r="BO1979" s="26"/>
      <c r="BP1979" s="16" t="n">
        <v>45678</v>
      </c>
      <c r="BQ1979" s="28" t="str">
        <f>HYPERLINK("https://organic.ams.usda.gov/Integrity/Certificate.aspx?cid=17&amp;nopid=4081201869")</f>
        <v>https://organic.ams.usda.gov/Integrity/Certificate.aspx?cid=17&amp;nopid=4081201869</v>
      </c>
    </row>
    <row r="1980">
      <c r="A1980" t="s">
        <v>3</v>
      </c>
      <c r="B1980" s="6" t="s">
        <v>14</v>
      </c>
      <c r="C1980" s="6" t="s">
        <v>80</v>
      </c>
      <c r="D1980" s="6" t="s">
        <v>145</v>
      </c>
      <c r="E1980" s="10" t="s">
        <v>2178</v>
      </c>
      <c r="F1980" s="6" t="s">
        <v>4386</v>
      </c>
      <c r="G1980" s="6" t="s">
        <v>104</v>
      </c>
      <c r="H1980" s="6" t="s">
        <v>6679</v>
      </c>
      <c r="I1980" s="6" t="s">
        <v>8014</v>
      </c>
      <c r="J1980" s="6" t="s">
        <v>9530</v>
      </c>
      <c r="K1980" s="6" t="s">
        <v>9714</v>
      </c>
      <c r="L1980" s="16" t="n">
        <v>44729</v>
      </c>
      <c r="M1980" s="16" t="n">
        <v>45710</v>
      </c>
      <c r="N1980" s="6" t="s">
        <v>104</v>
      </c>
      <c r="O1980" s="21" t="s">
        <v>104</v>
      </c>
      <c r="P1980" s="6" t="s">
        <v>104</v>
      </c>
      <c r="Q1980" s="6" t="s">
        <v>104</v>
      </c>
      <c r="R1980" s="6" t="s">
        <v>104</v>
      </c>
      <c r="S1980" s="6" t="s">
        <v>104</v>
      </c>
      <c r="T1980" s="21" t="s">
        <v>104</v>
      </c>
      <c r="U1980" s="6" t="s">
        <v>104</v>
      </c>
      <c r="V1980" s="6" t="s">
        <v>104</v>
      </c>
      <c r="W1980" s="6" t="s">
        <v>104</v>
      </c>
      <c r="X1980" s="6" t="s">
        <v>104</v>
      </c>
      <c r="Y1980" s="21" t="s">
        <v>104</v>
      </c>
      <c r="Z1980" s="6" t="s">
        <v>104</v>
      </c>
      <c r="AA1980" s="6" t="s">
        <v>104</v>
      </c>
      <c r="AB1980" s="6" t="s">
        <v>104</v>
      </c>
      <c r="AC1980" s="6" t="s">
        <v>9714</v>
      </c>
      <c r="AD1980" s="16" t="n">
        <v>44729</v>
      </c>
      <c r="AE1980" s="6" t="s">
        <v>12251</v>
      </c>
      <c r="AF1980" s="6" t="s">
        <v>104</v>
      </c>
      <c r="AG1980" s="6" t="s">
        <v>104</v>
      </c>
      <c r="AH1980" s="6" t="s">
        <v>14969</v>
      </c>
      <c r="AI1980" s="6" t="s">
        <v>104</v>
      </c>
      <c r="AJ1980" s="6" t="s">
        <v>16547</v>
      </c>
      <c r="AK1980" s="6" t="s">
        <v>16697</v>
      </c>
      <c r="AL1980" s="6" t="s">
        <v>16932</v>
      </c>
      <c r="AM1980" s="6" t="s">
        <v>18283</v>
      </c>
      <c r="AN1980" s="6" t="s">
        <v>104</v>
      </c>
      <c r="AO1980" s="6" t="s">
        <v>104</v>
      </c>
      <c r="AP1980" s="6" t="s">
        <v>104</v>
      </c>
      <c r="AQ1980" s="6" t="s">
        <v>104</v>
      </c>
      <c r="AR1980" s="6" t="s">
        <v>104</v>
      </c>
      <c r="AS1980" s="6" t="s">
        <v>104</v>
      </c>
      <c r="AT1980" s="6" t="s">
        <v>104</v>
      </c>
      <c r="AU1980" s="6" t="s">
        <v>104</v>
      </c>
      <c r="AV1980" s="6" t="s">
        <v>104</v>
      </c>
      <c r="AW1980" s="6" t="s">
        <v>104</v>
      </c>
      <c r="AX1980" s="6" t="s">
        <v>21644</v>
      </c>
      <c r="AY1980" s="6" t="s">
        <v>23461</v>
      </c>
      <c r="AZ1980" s="6" t="s">
        <v>104</v>
      </c>
      <c r="BA1980" s="6" t="s">
        <v>104</v>
      </c>
      <c r="BB1980" s="6" t="s">
        <v>104</v>
      </c>
      <c r="BC1980" s="26"/>
      <c r="BD1980" s="26"/>
      <c r="BE1980" s="26"/>
      <c r="BF1980" s="26"/>
      <c r="BG1980" s="26"/>
      <c r="BH1980" s="26"/>
      <c r="BI1980" s="26"/>
      <c r="BJ1980" s="26"/>
      <c r="BK1980" s="26"/>
      <c r="BL1980" s="26"/>
      <c r="BM1980" s="26"/>
      <c r="BN1980" s="26"/>
      <c r="BO1980" s="26"/>
      <c r="BP1980" s="16" t="n">
        <v>45680</v>
      </c>
      <c r="BQ1980" s="28" t="str">
        <f>HYPERLINK("https://organic.ams.usda.gov/Integrity/Certificate.aspx?cid=89&amp;nopid=4920005588")</f>
        <v>https://organic.ams.usda.gov/Integrity/Certificate.aspx?cid=89&amp;nopid=4920005588</v>
      </c>
    </row>
    <row r="1981">
      <c r="A1981" t="s">
        <v>3</v>
      </c>
      <c r="B1981" s="6" t="s">
        <v>21</v>
      </c>
      <c r="C1981" s="6" t="s">
        <v>87</v>
      </c>
      <c r="D1981" s="6" t="s">
        <v>152</v>
      </c>
      <c r="E1981" s="10" t="s">
        <v>2179</v>
      </c>
      <c r="F1981" s="6" t="s">
        <v>4387</v>
      </c>
      <c r="G1981" s="6" t="s">
        <v>104</v>
      </c>
      <c r="H1981" s="6" t="s">
        <v>6680</v>
      </c>
      <c r="I1981" s="6" t="s">
        <v>8015</v>
      </c>
      <c r="J1981" s="6" t="s">
        <v>9531</v>
      </c>
      <c r="K1981" s="6" t="s">
        <v>9714</v>
      </c>
      <c r="L1981" s="16" t="n">
        <v>37347</v>
      </c>
      <c r="M1981" s="16" t="n">
        <v>46023</v>
      </c>
      <c r="N1981" s="6" t="s">
        <v>104</v>
      </c>
      <c r="O1981" s="21" t="s">
        <v>104</v>
      </c>
      <c r="P1981" s="6" t="s">
        <v>104</v>
      </c>
      <c r="Q1981" s="6" t="s">
        <v>104</v>
      </c>
      <c r="R1981" s="6" t="s">
        <v>104</v>
      </c>
      <c r="S1981" s="6" t="s">
        <v>104</v>
      </c>
      <c r="T1981" s="21" t="s">
        <v>104</v>
      </c>
      <c r="U1981" s="6" t="s">
        <v>104</v>
      </c>
      <c r="V1981" s="6" t="s">
        <v>104</v>
      </c>
      <c r="W1981" s="6" t="s">
        <v>104</v>
      </c>
      <c r="X1981" s="6" t="s">
        <v>104</v>
      </c>
      <c r="Y1981" s="21" t="s">
        <v>104</v>
      </c>
      <c r="Z1981" s="6" t="s">
        <v>104</v>
      </c>
      <c r="AA1981" s="6" t="s">
        <v>104</v>
      </c>
      <c r="AB1981" s="6" t="s">
        <v>104</v>
      </c>
      <c r="AC1981" s="6" t="s">
        <v>9714</v>
      </c>
      <c r="AD1981" s="16" t="n">
        <v>37347</v>
      </c>
      <c r="AE1981" s="6" t="s">
        <v>12252</v>
      </c>
      <c r="AF1981" s="6" t="s">
        <v>104</v>
      </c>
      <c r="AG1981" s="6" t="s">
        <v>104</v>
      </c>
      <c r="AH1981" s="6" t="s">
        <v>14970</v>
      </c>
      <c r="AI1981" s="6" t="s">
        <v>104</v>
      </c>
      <c r="AJ1981" s="6" t="s">
        <v>8077</v>
      </c>
      <c r="AK1981" s="6" t="s">
        <v>16705</v>
      </c>
      <c r="AL1981" s="6" t="s">
        <v>16931</v>
      </c>
      <c r="AM1981" s="6" t="s">
        <v>17640</v>
      </c>
      <c r="AN1981" s="6" t="s">
        <v>18486</v>
      </c>
      <c r="AO1981" s="6" t="s">
        <v>18599</v>
      </c>
      <c r="AP1981" s="6" t="s">
        <v>14970</v>
      </c>
      <c r="AQ1981" s="6" t="s">
        <v>104</v>
      </c>
      <c r="AR1981" s="6" t="s">
        <v>8077</v>
      </c>
      <c r="AS1981" s="6" t="s">
        <v>16705</v>
      </c>
      <c r="AT1981" s="6" t="s">
        <v>16931</v>
      </c>
      <c r="AU1981" s="6" t="s">
        <v>17640</v>
      </c>
      <c r="AV1981" s="6" t="s">
        <v>104</v>
      </c>
      <c r="AW1981" s="6" t="s">
        <v>104</v>
      </c>
      <c r="AX1981" s="6" t="s">
        <v>21645</v>
      </c>
      <c r="AY1981" s="6" t="s">
        <v>23462</v>
      </c>
      <c r="AZ1981" s="6" t="s">
        <v>24187</v>
      </c>
      <c r="BA1981" s="6" t="s">
        <v>24502</v>
      </c>
      <c r="BB1981" s="6" t="s">
        <v>104</v>
      </c>
      <c r="BC1981" s="26"/>
      <c r="BD1981" s="26"/>
      <c r="BE1981" s="26"/>
      <c r="BF1981" s="26"/>
      <c r="BG1981" s="26"/>
      <c r="BH1981" s="26"/>
      <c r="BI1981" s="26"/>
      <c r="BJ1981" s="26"/>
      <c r="BK1981" s="26"/>
      <c r="BL1981" s="26"/>
      <c r="BM1981" s="26"/>
      <c r="BN1981" s="26"/>
      <c r="BO1981" s="26"/>
      <c r="BP1981" s="16" t="n">
        <v>45667</v>
      </c>
      <c r="BQ1981" s="28" t="str">
        <f>HYPERLINK("https://organic.ams.usda.gov/Integrity/Certificate.aspx?cid=15&amp;nopid=5561002198")</f>
        <v>https://organic.ams.usda.gov/Integrity/Certificate.aspx?cid=15&amp;nopid=5561002198</v>
      </c>
    </row>
    <row r="1982">
      <c r="A1982" t="s">
        <v>3</v>
      </c>
      <c r="B1982" s="6" t="s">
        <v>55</v>
      </c>
      <c r="C1982" s="6" t="s">
        <v>121</v>
      </c>
      <c r="D1982" s="6" t="s">
        <v>185</v>
      </c>
      <c r="E1982" s="10" t="s">
        <v>2180</v>
      </c>
      <c r="F1982" s="6" t="s">
        <v>4388</v>
      </c>
      <c r="G1982" s="6" t="s">
        <v>104</v>
      </c>
      <c r="H1982" s="6" t="s">
        <v>6681</v>
      </c>
      <c r="I1982" s="6" t="s">
        <v>8016</v>
      </c>
      <c r="J1982" s="6" t="s">
        <v>8958</v>
      </c>
      <c r="K1982" s="6" t="s">
        <v>9714</v>
      </c>
      <c r="L1982" s="16" t="n">
        <v>43315</v>
      </c>
      <c r="M1982" s="16" t="n">
        <v>45811</v>
      </c>
      <c r="N1982" s="6" t="s">
        <v>104</v>
      </c>
      <c r="O1982" s="21" t="s">
        <v>104</v>
      </c>
      <c r="P1982" s="6" t="s">
        <v>104</v>
      </c>
      <c r="Q1982" s="6" t="s">
        <v>104</v>
      </c>
      <c r="R1982" s="6" t="s">
        <v>104</v>
      </c>
      <c r="S1982" s="6" t="s">
        <v>104</v>
      </c>
      <c r="T1982" s="21" t="s">
        <v>104</v>
      </c>
      <c r="U1982" s="6" t="s">
        <v>104</v>
      </c>
      <c r="V1982" s="6" t="s">
        <v>104</v>
      </c>
      <c r="W1982" s="6" t="s">
        <v>104</v>
      </c>
      <c r="X1982" s="6" t="s">
        <v>104</v>
      </c>
      <c r="Y1982" s="21" t="s">
        <v>104</v>
      </c>
      <c r="Z1982" s="6" t="s">
        <v>104</v>
      </c>
      <c r="AA1982" s="6" t="s">
        <v>104</v>
      </c>
      <c r="AB1982" s="6" t="s">
        <v>104</v>
      </c>
      <c r="AC1982" s="6" t="s">
        <v>9714</v>
      </c>
      <c r="AD1982" s="16" t="n">
        <v>43315</v>
      </c>
      <c r="AE1982" s="6" t="s">
        <v>12253</v>
      </c>
      <c r="AF1982" s="6" t="s">
        <v>104</v>
      </c>
      <c r="AG1982" s="6" t="s">
        <v>104</v>
      </c>
      <c r="AH1982" s="6" t="s">
        <v>14971</v>
      </c>
      <c r="AI1982" s="6" t="s">
        <v>104</v>
      </c>
      <c r="AJ1982" s="6" t="s">
        <v>16548</v>
      </c>
      <c r="AK1982" s="6" t="s">
        <v>16206</v>
      </c>
      <c r="AL1982" s="6" t="s">
        <v>16958</v>
      </c>
      <c r="AM1982" s="6" t="s">
        <v>18284</v>
      </c>
      <c r="AN1982" s="6" t="s">
        <v>104</v>
      </c>
      <c r="AO1982" s="6" t="s">
        <v>104</v>
      </c>
      <c r="AP1982" s="6" t="s">
        <v>19472</v>
      </c>
      <c r="AQ1982" s="6" t="s">
        <v>104</v>
      </c>
      <c r="AR1982" s="6" t="s">
        <v>19765</v>
      </c>
      <c r="AS1982" s="6" t="s">
        <v>16877</v>
      </c>
      <c r="AT1982" s="6" t="s">
        <v>16931</v>
      </c>
      <c r="AU1982" s="6" t="s">
        <v>20046</v>
      </c>
      <c r="AV1982" s="6" t="s">
        <v>104</v>
      </c>
      <c r="AW1982" s="6" t="s">
        <v>104</v>
      </c>
      <c r="AX1982" s="6" t="s">
        <v>21646</v>
      </c>
      <c r="AY1982" s="6" t="s">
        <v>23463</v>
      </c>
      <c r="AZ1982" s="6" t="s">
        <v>24188</v>
      </c>
      <c r="BA1982" s="6" t="s">
        <v>24363</v>
      </c>
      <c r="BB1982" s="6" t="s">
        <v>104</v>
      </c>
      <c r="BC1982" s="26" t="s">
        <v>24533</v>
      </c>
      <c r="BD1982" s="26"/>
      <c r="BE1982" s="26"/>
      <c r="BF1982" s="26"/>
      <c r="BG1982" s="26"/>
      <c r="BH1982" s="26" t="s">
        <v>24533</v>
      </c>
      <c r="BI1982" s="26"/>
      <c r="BJ1982" s="26"/>
      <c r="BK1982" s="26"/>
      <c r="BL1982" s="26"/>
      <c r="BM1982" s="26"/>
      <c r="BN1982" s="26"/>
      <c r="BO1982" s="26"/>
      <c r="BP1982" s="16" t="n">
        <v>45706</v>
      </c>
      <c r="BQ1982" s="28" t="str">
        <f>HYPERLINK("https://organic.ams.usda.gov/Integrity/Certificate.aspx?cid=70&amp;nopid=6432580787")</f>
        <v>https://organic.ams.usda.gov/Integrity/Certificate.aspx?cid=70&amp;nopid=6432580787</v>
      </c>
    </row>
    <row r="1983">
      <c r="A1983" t="s">
        <v>3</v>
      </c>
      <c r="B1983" s="6" t="s">
        <v>20</v>
      </c>
      <c r="C1983" s="6" t="s">
        <v>86</v>
      </c>
      <c r="D1983" s="6" t="s">
        <v>151</v>
      </c>
      <c r="E1983" s="10" t="s">
        <v>2181</v>
      </c>
      <c r="F1983" s="6" t="s">
        <v>4389</v>
      </c>
      <c r="G1983" s="6" t="s">
        <v>104</v>
      </c>
      <c r="H1983" s="6" t="s">
        <v>6682</v>
      </c>
      <c r="I1983" s="6" t="s">
        <v>8017</v>
      </c>
      <c r="J1983" s="6" t="s">
        <v>9532</v>
      </c>
      <c r="K1983" s="6" t="s">
        <v>9714</v>
      </c>
      <c r="L1983" s="16" t="n">
        <v>42734</v>
      </c>
      <c r="M1983" s="16" t="n">
        <v>45716</v>
      </c>
      <c r="N1983" s="6" t="s">
        <v>9714</v>
      </c>
      <c r="O1983" s="16" t="n">
        <v>42734</v>
      </c>
      <c r="P1983" s="6" t="s">
        <v>10230</v>
      </c>
      <c r="Q1983" s="6" t="s">
        <v>104</v>
      </c>
      <c r="R1983" s="6" t="s">
        <v>10443</v>
      </c>
      <c r="S1983" s="6" t="s">
        <v>104</v>
      </c>
      <c r="T1983" s="21" t="s">
        <v>104</v>
      </c>
      <c r="U1983" s="6" t="s">
        <v>104</v>
      </c>
      <c r="V1983" s="6" t="s">
        <v>104</v>
      </c>
      <c r="W1983" s="6" t="s">
        <v>104</v>
      </c>
      <c r="X1983" s="6" t="s">
        <v>104</v>
      </c>
      <c r="Y1983" s="21" t="s">
        <v>104</v>
      </c>
      <c r="Z1983" s="6" t="s">
        <v>104</v>
      </c>
      <c r="AA1983" s="6" t="s">
        <v>104</v>
      </c>
      <c r="AB1983" s="6" t="s">
        <v>104</v>
      </c>
      <c r="AC1983" s="6" t="s">
        <v>9714</v>
      </c>
      <c r="AD1983" s="16" t="n">
        <v>42734</v>
      </c>
      <c r="AE1983" s="6" t="s">
        <v>12254</v>
      </c>
      <c r="AF1983" s="6" t="s">
        <v>104</v>
      </c>
      <c r="AG1983" s="6" t="s">
        <v>10443</v>
      </c>
      <c r="AH1983" s="6" t="s">
        <v>14972</v>
      </c>
      <c r="AI1983" s="6" t="s">
        <v>104</v>
      </c>
      <c r="AJ1983" s="6" t="s">
        <v>16351</v>
      </c>
      <c r="AK1983" s="6" t="s">
        <v>16097</v>
      </c>
      <c r="AL1983" s="6" t="s">
        <v>15513</v>
      </c>
      <c r="AM1983" s="6" t="s">
        <v>17071</v>
      </c>
      <c r="AN1983" s="6" t="s">
        <v>104</v>
      </c>
      <c r="AO1983" s="6" t="s">
        <v>104</v>
      </c>
      <c r="AP1983" s="6" t="s">
        <v>104</v>
      </c>
      <c r="AQ1983" s="6" t="s">
        <v>104</v>
      </c>
      <c r="AR1983" s="6" t="s">
        <v>104</v>
      </c>
      <c r="AS1983" s="6" t="s">
        <v>104</v>
      </c>
      <c r="AT1983" s="6" t="s">
        <v>104</v>
      </c>
      <c r="AU1983" s="6" t="s">
        <v>104</v>
      </c>
      <c r="AV1983" s="6" t="s">
        <v>104</v>
      </c>
      <c r="AW1983" s="6" t="s">
        <v>104</v>
      </c>
      <c r="AX1983" s="6" t="s">
        <v>21647</v>
      </c>
      <c r="AY1983" s="6" t="s">
        <v>23153</v>
      </c>
      <c r="AZ1983" s="6" t="s">
        <v>104</v>
      </c>
      <c r="BA1983" s="6" t="s">
        <v>104</v>
      </c>
      <c r="BB1983" s="24" t="n">
        <v>3321</v>
      </c>
      <c r="BC1983" s="26"/>
      <c r="BD1983" s="26"/>
      <c r="BE1983" s="26"/>
      <c r="BF1983" s="26"/>
      <c r="BG1983" s="26"/>
      <c r="BH1983" s="26"/>
      <c r="BI1983" s="26"/>
      <c r="BJ1983" s="26"/>
      <c r="BK1983" s="26"/>
      <c r="BL1983" s="26"/>
      <c r="BM1983" s="26"/>
      <c r="BN1983" s="26"/>
      <c r="BO1983" s="26" t="s">
        <v>24533</v>
      </c>
      <c r="BP1983" s="16" t="n">
        <v>45450</v>
      </c>
      <c r="BQ1983" s="28" t="str">
        <f>HYPERLINK("https://organic.ams.usda.gov/Integrity/Certificate.aspx?cid=17&amp;nopid=4087184568")</f>
        <v>https://organic.ams.usda.gov/Integrity/Certificate.aspx?cid=17&amp;nopid=4087184568</v>
      </c>
    </row>
    <row r="1984">
      <c r="A1984" t="s">
        <v>3</v>
      </c>
      <c r="B1984" s="6" t="s">
        <v>29</v>
      </c>
      <c r="C1984" s="6" t="s">
        <v>95</v>
      </c>
      <c r="D1984" s="6" t="s">
        <v>160</v>
      </c>
      <c r="E1984" s="10" t="s">
        <v>2182</v>
      </c>
      <c r="F1984" s="6" t="s">
        <v>4390</v>
      </c>
      <c r="G1984" s="6" t="s">
        <v>104</v>
      </c>
      <c r="H1984" s="6" t="s">
        <v>6683</v>
      </c>
      <c r="I1984" s="6" t="s">
        <v>104</v>
      </c>
      <c r="J1984" s="6" t="s">
        <v>104</v>
      </c>
      <c r="K1984" s="6" t="s">
        <v>9714</v>
      </c>
      <c r="L1984" s="16" t="n">
        <v>45611</v>
      </c>
      <c r="M1984" s="16" t="n">
        <v>45778</v>
      </c>
      <c r="N1984" s="6" t="s">
        <v>9714</v>
      </c>
      <c r="O1984" s="16" t="n">
        <v>45611</v>
      </c>
      <c r="P1984" s="6" t="s">
        <v>10034</v>
      </c>
      <c r="Q1984" s="6" t="s">
        <v>104</v>
      </c>
      <c r="R1984" s="6" t="s">
        <v>104</v>
      </c>
      <c r="S1984" s="6" t="s">
        <v>104</v>
      </c>
      <c r="T1984" s="21" t="s">
        <v>104</v>
      </c>
      <c r="U1984" s="6" t="s">
        <v>104</v>
      </c>
      <c r="V1984" s="6" t="s">
        <v>104</v>
      </c>
      <c r="W1984" s="6" t="s">
        <v>104</v>
      </c>
      <c r="X1984" s="6" t="s">
        <v>104</v>
      </c>
      <c r="Y1984" s="21" t="s">
        <v>104</v>
      </c>
      <c r="Z1984" s="6" t="s">
        <v>104</v>
      </c>
      <c r="AA1984" s="6" t="s">
        <v>104</v>
      </c>
      <c r="AB1984" s="6" t="s">
        <v>104</v>
      </c>
      <c r="AC1984" s="6" t="s">
        <v>104</v>
      </c>
      <c r="AD1984" s="21" t="s">
        <v>104</v>
      </c>
      <c r="AE1984" s="6" t="s">
        <v>104</v>
      </c>
      <c r="AF1984" s="6" t="s">
        <v>104</v>
      </c>
      <c r="AG1984" s="6" t="s">
        <v>104</v>
      </c>
      <c r="AH1984" s="6" t="s">
        <v>14973</v>
      </c>
      <c r="AI1984" s="6" t="s">
        <v>15338</v>
      </c>
      <c r="AJ1984" s="6" t="s">
        <v>104</v>
      </c>
      <c r="AK1984" s="6" t="s">
        <v>16270</v>
      </c>
      <c r="AL1984" s="6" t="s">
        <v>16932</v>
      </c>
      <c r="AM1984" s="6" t="s">
        <v>17906</v>
      </c>
      <c r="AN1984" s="6" t="s">
        <v>104</v>
      </c>
      <c r="AO1984" s="6" t="s">
        <v>104</v>
      </c>
      <c r="AP1984" s="6" t="s">
        <v>104</v>
      </c>
      <c r="AQ1984" s="6" t="s">
        <v>104</v>
      </c>
      <c r="AR1984" s="6" t="s">
        <v>104</v>
      </c>
      <c r="AS1984" s="6" t="s">
        <v>104</v>
      </c>
      <c r="AT1984" s="6" t="s">
        <v>104</v>
      </c>
      <c r="AU1984" s="6" t="s">
        <v>104</v>
      </c>
      <c r="AV1984" s="6" t="s">
        <v>104</v>
      </c>
      <c r="AW1984" s="6" t="s">
        <v>104</v>
      </c>
      <c r="AX1984" s="6" t="s">
        <v>20986</v>
      </c>
      <c r="AY1984" s="6" t="s">
        <v>22773</v>
      </c>
      <c r="AZ1984" s="6" t="s">
        <v>104</v>
      </c>
      <c r="BA1984" s="6" t="s">
        <v>104</v>
      </c>
      <c r="BB1984" s="24" t="n">
        <v>8147</v>
      </c>
      <c r="BC1984" s="26"/>
      <c r="BD1984" s="26"/>
      <c r="BE1984" s="26"/>
      <c r="BF1984" s="26"/>
      <c r="BG1984" s="26"/>
      <c r="BH1984" s="26"/>
      <c r="BI1984" s="26"/>
      <c r="BJ1984" s="26"/>
      <c r="BK1984" s="26"/>
      <c r="BL1984" s="26"/>
      <c r="BM1984" s="26"/>
      <c r="BN1984" s="26"/>
      <c r="BO1984" s="26"/>
      <c r="BP1984" s="16" t="n">
        <v>45613</v>
      </c>
      <c r="BQ1984" s="28" t="str">
        <f>HYPERLINK("https://organic.ams.usda.gov/Integrity/Certificate.aspx?cid=24&amp;nopid=7880297837")</f>
        <v>https://organic.ams.usda.gov/Integrity/Certificate.aspx?cid=24&amp;nopid=7880297837</v>
      </c>
    </row>
    <row r="1985">
      <c r="A1985" t="s">
        <v>3</v>
      </c>
      <c r="B1985" s="6" t="s">
        <v>14</v>
      </c>
      <c r="C1985" s="6" t="s">
        <v>80</v>
      </c>
      <c r="D1985" s="6" t="s">
        <v>145</v>
      </c>
      <c r="E1985" s="10" t="s">
        <v>2183</v>
      </c>
      <c r="F1985" s="6" t="s">
        <v>4391</v>
      </c>
      <c r="G1985" s="6" t="s">
        <v>104</v>
      </c>
      <c r="H1985" s="6" t="s">
        <v>6684</v>
      </c>
      <c r="I1985" s="6" t="s">
        <v>7820</v>
      </c>
      <c r="J1985" s="6" t="s">
        <v>9266</v>
      </c>
      <c r="K1985" s="6" t="s">
        <v>9714</v>
      </c>
      <c r="L1985" s="16" t="n">
        <v>44721</v>
      </c>
      <c r="M1985" s="16" t="n">
        <v>45712</v>
      </c>
      <c r="N1985" s="6" t="s">
        <v>104</v>
      </c>
      <c r="O1985" s="21" t="s">
        <v>104</v>
      </c>
      <c r="P1985" s="6" t="s">
        <v>104</v>
      </c>
      <c r="Q1985" s="6" t="s">
        <v>104</v>
      </c>
      <c r="R1985" s="6" t="s">
        <v>104</v>
      </c>
      <c r="S1985" s="6" t="s">
        <v>104</v>
      </c>
      <c r="T1985" s="21" t="s">
        <v>104</v>
      </c>
      <c r="U1985" s="6" t="s">
        <v>104</v>
      </c>
      <c r="V1985" s="6" t="s">
        <v>104</v>
      </c>
      <c r="W1985" s="6" t="s">
        <v>104</v>
      </c>
      <c r="X1985" s="6" t="s">
        <v>104</v>
      </c>
      <c r="Y1985" s="21" t="s">
        <v>104</v>
      </c>
      <c r="Z1985" s="6" t="s">
        <v>104</v>
      </c>
      <c r="AA1985" s="6" t="s">
        <v>104</v>
      </c>
      <c r="AB1985" s="6" t="s">
        <v>104</v>
      </c>
      <c r="AC1985" s="6" t="s">
        <v>9714</v>
      </c>
      <c r="AD1985" s="16" t="n">
        <v>44721</v>
      </c>
      <c r="AE1985" s="6" t="s">
        <v>12255</v>
      </c>
      <c r="AF1985" s="6" t="s">
        <v>104</v>
      </c>
      <c r="AG1985" s="6" t="s">
        <v>104</v>
      </c>
      <c r="AH1985" s="6" t="s">
        <v>14974</v>
      </c>
      <c r="AI1985" s="6" t="s">
        <v>104</v>
      </c>
      <c r="AJ1985" s="6" t="s">
        <v>15396</v>
      </c>
      <c r="AK1985" s="6" t="s">
        <v>16697</v>
      </c>
      <c r="AL1985" s="6" t="s">
        <v>16932</v>
      </c>
      <c r="AM1985" s="6" t="s">
        <v>18285</v>
      </c>
      <c r="AN1985" s="6" t="s">
        <v>104</v>
      </c>
      <c r="AO1985" s="6" t="s">
        <v>104</v>
      </c>
      <c r="AP1985" s="6" t="s">
        <v>104</v>
      </c>
      <c r="AQ1985" s="6" t="s">
        <v>104</v>
      </c>
      <c r="AR1985" s="6" t="s">
        <v>104</v>
      </c>
      <c r="AS1985" s="6" t="s">
        <v>104</v>
      </c>
      <c r="AT1985" s="6" t="s">
        <v>104</v>
      </c>
      <c r="AU1985" s="6" t="s">
        <v>104</v>
      </c>
      <c r="AV1985" s="6" t="s">
        <v>104</v>
      </c>
      <c r="AW1985" s="6" t="s">
        <v>104</v>
      </c>
      <c r="AX1985" s="6" t="s">
        <v>21327</v>
      </c>
      <c r="AY1985" s="6" t="s">
        <v>23132</v>
      </c>
      <c r="AZ1985" s="6" t="s">
        <v>24189</v>
      </c>
      <c r="BA1985" s="6" t="s">
        <v>24272</v>
      </c>
      <c r="BB1985" s="6" t="s">
        <v>104</v>
      </c>
      <c r="BC1985" s="26"/>
      <c r="BD1985" s="26"/>
      <c r="BE1985" s="26"/>
      <c r="BF1985" s="26"/>
      <c r="BG1985" s="26"/>
      <c r="BH1985" s="26"/>
      <c r="BI1985" s="26"/>
      <c r="BJ1985" s="26"/>
      <c r="BK1985" s="26"/>
      <c r="BL1985" s="26"/>
      <c r="BM1985" s="26"/>
      <c r="BN1985" s="26"/>
      <c r="BO1985" s="26"/>
      <c r="BP1985" s="16" t="n">
        <v>45595</v>
      </c>
      <c r="BQ1985" s="28" t="str">
        <f>HYPERLINK("https://organic.ams.usda.gov/Integrity/Certificate.aspx?cid=89&amp;nopid=4920003131")</f>
        <v>https://organic.ams.usda.gov/Integrity/Certificate.aspx?cid=89&amp;nopid=4920003131</v>
      </c>
    </row>
    <row r="1986">
      <c r="A1986" t="s">
        <v>3</v>
      </c>
      <c r="B1986" s="6" t="s">
        <v>49</v>
      </c>
      <c r="C1986" s="6" t="s">
        <v>115</v>
      </c>
      <c r="D1986" s="6" t="s">
        <v>179</v>
      </c>
      <c r="E1986" s="10" t="s">
        <v>2184</v>
      </c>
      <c r="F1986" s="6" t="s">
        <v>4392</v>
      </c>
      <c r="G1986" s="6" t="s">
        <v>104</v>
      </c>
      <c r="H1986" s="6" t="s">
        <v>6685</v>
      </c>
      <c r="I1986" s="6" t="s">
        <v>104</v>
      </c>
      <c r="J1986" s="6" t="s">
        <v>9533</v>
      </c>
      <c r="K1986" s="6" t="s">
        <v>9714</v>
      </c>
      <c r="L1986" s="16" t="n">
        <v>45667</v>
      </c>
      <c r="M1986" s="16" t="n">
        <v>45851</v>
      </c>
      <c r="N1986" s="6" t="s">
        <v>9714</v>
      </c>
      <c r="O1986" s="16" t="n">
        <v>45667</v>
      </c>
      <c r="P1986" s="6" t="s">
        <v>10231</v>
      </c>
      <c r="Q1986" s="6" t="s">
        <v>104</v>
      </c>
      <c r="R1986" s="6" t="s">
        <v>10444</v>
      </c>
      <c r="S1986" s="6" t="s">
        <v>104</v>
      </c>
      <c r="T1986" s="21" t="s">
        <v>104</v>
      </c>
      <c r="U1986" s="6" t="s">
        <v>104</v>
      </c>
      <c r="V1986" s="6" t="s">
        <v>104</v>
      </c>
      <c r="W1986" s="6" t="s">
        <v>104</v>
      </c>
      <c r="X1986" s="6" t="s">
        <v>104</v>
      </c>
      <c r="Y1986" s="21" t="s">
        <v>104</v>
      </c>
      <c r="Z1986" s="6" t="s">
        <v>104</v>
      </c>
      <c r="AA1986" s="6" t="s">
        <v>104</v>
      </c>
      <c r="AB1986" s="6" t="s">
        <v>104</v>
      </c>
      <c r="AC1986" s="6" t="s">
        <v>104</v>
      </c>
      <c r="AD1986" s="21" t="s">
        <v>104</v>
      </c>
      <c r="AE1986" s="6" t="s">
        <v>104</v>
      </c>
      <c r="AF1986" s="6" t="s">
        <v>104</v>
      </c>
      <c r="AG1986" s="6" t="s">
        <v>104</v>
      </c>
      <c r="AH1986" s="6" t="s">
        <v>14975</v>
      </c>
      <c r="AI1986" s="6" t="s">
        <v>104</v>
      </c>
      <c r="AJ1986" s="6" t="s">
        <v>15513</v>
      </c>
      <c r="AK1986" s="6" t="s">
        <v>104</v>
      </c>
      <c r="AL1986" s="6" t="s">
        <v>15513</v>
      </c>
      <c r="AM1986" s="6" t="s">
        <v>18286</v>
      </c>
      <c r="AN1986" s="6" t="s">
        <v>104</v>
      </c>
      <c r="AO1986" s="6" t="s">
        <v>104</v>
      </c>
      <c r="AP1986" s="6" t="s">
        <v>104</v>
      </c>
      <c r="AQ1986" s="6" t="s">
        <v>104</v>
      </c>
      <c r="AR1986" s="6" t="s">
        <v>104</v>
      </c>
      <c r="AS1986" s="6" t="s">
        <v>104</v>
      </c>
      <c r="AT1986" s="6" t="s">
        <v>104</v>
      </c>
      <c r="AU1986" s="6" t="s">
        <v>104</v>
      </c>
      <c r="AV1986" s="6" t="s">
        <v>104</v>
      </c>
      <c r="AW1986" s="6" t="s">
        <v>104</v>
      </c>
      <c r="AX1986" s="6" t="s">
        <v>21648</v>
      </c>
      <c r="AY1986" s="6" t="s">
        <v>23464</v>
      </c>
      <c r="AZ1986" s="6" t="s">
        <v>104</v>
      </c>
      <c r="BA1986" s="6" t="s">
        <v>104</v>
      </c>
      <c r="BB1986" s="24" t="n">
        <v>211</v>
      </c>
      <c r="BC1986" s="26"/>
      <c r="BD1986" s="26"/>
      <c r="BE1986" s="26"/>
      <c r="BF1986" s="26"/>
      <c r="BG1986" s="26"/>
      <c r="BH1986" s="26"/>
      <c r="BI1986" s="26"/>
      <c r="BJ1986" s="26"/>
      <c r="BK1986" s="26"/>
      <c r="BL1986" s="26"/>
      <c r="BM1986" s="26"/>
      <c r="BN1986" s="26"/>
      <c r="BO1986" s="26"/>
      <c r="BP1986" s="16" t="n">
        <v>45667</v>
      </c>
      <c r="BQ1986" s="28" t="str">
        <f>HYPERLINK("https://organic.ams.usda.gov/Integrity/Certificate.aspx?cid=12&amp;nopid=8699694868")</f>
        <v>https://organic.ams.usda.gov/Integrity/Certificate.aspx?cid=12&amp;nopid=8699694868</v>
      </c>
    </row>
    <row r="1987">
      <c r="A1987" t="s">
        <v>3</v>
      </c>
      <c r="B1987" s="6" t="s">
        <v>20</v>
      </c>
      <c r="C1987" s="6" t="s">
        <v>86</v>
      </c>
      <c r="D1987" s="6" t="s">
        <v>151</v>
      </c>
      <c r="E1987" s="10" t="s">
        <v>2185</v>
      </c>
      <c r="F1987" s="6" t="s">
        <v>4393</v>
      </c>
      <c r="G1987" s="6" t="s">
        <v>104</v>
      </c>
      <c r="H1987" s="6" t="s">
        <v>6686</v>
      </c>
      <c r="I1987" s="6" t="s">
        <v>104</v>
      </c>
      <c r="J1987" s="6" t="s">
        <v>9534</v>
      </c>
      <c r="K1987" s="6" t="s">
        <v>9714</v>
      </c>
      <c r="L1987" s="16" t="n">
        <v>43064</v>
      </c>
      <c r="M1987" s="16" t="n">
        <v>45808</v>
      </c>
      <c r="N1987" s="6" t="s">
        <v>104</v>
      </c>
      <c r="O1987" s="21" t="s">
        <v>104</v>
      </c>
      <c r="P1987" s="6" t="s">
        <v>104</v>
      </c>
      <c r="Q1987" s="6" t="s">
        <v>104</v>
      </c>
      <c r="R1987" s="6" t="s">
        <v>104</v>
      </c>
      <c r="S1987" s="6" t="s">
        <v>104</v>
      </c>
      <c r="T1987" s="21" t="s">
        <v>104</v>
      </c>
      <c r="U1987" s="6" t="s">
        <v>104</v>
      </c>
      <c r="V1987" s="6" t="s">
        <v>104</v>
      </c>
      <c r="W1987" s="6" t="s">
        <v>104</v>
      </c>
      <c r="X1987" s="6" t="s">
        <v>104</v>
      </c>
      <c r="Y1987" s="21" t="s">
        <v>104</v>
      </c>
      <c r="Z1987" s="6" t="s">
        <v>104</v>
      </c>
      <c r="AA1987" s="6" t="s">
        <v>104</v>
      </c>
      <c r="AB1987" s="6" t="s">
        <v>104</v>
      </c>
      <c r="AC1987" s="6" t="s">
        <v>9714</v>
      </c>
      <c r="AD1987" s="16" t="n">
        <v>43064</v>
      </c>
      <c r="AE1987" s="6" t="s">
        <v>12256</v>
      </c>
      <c r="AF1987" s="6" t="s">
        <v>104</v>
      </c>
      <c r="AG1987" s="6" t="s">
        <v>13084</v>
      </c>
      <c r="AH1987" s="6" t="s">
        <v>14976</v>
      </c>
      <c r="AI1987" s="6" t="s">
        <v>104</v>
      </c>
      <c r="AJ1987" s="6" t="s">
        <v>16549</v>
      </c>
      <c r="AK1987" s="6" t="s">
        <v>104</v>
      </c>
      <c r="AL1987" s="6" t="s">
        <v>15513</v>
      </c>
      <c r="AM1987" s="6" t="s">
        <v>18287</v>
      </c>
      <c r="AN1987" s="6" t="s">
        <v>104</v>
      </c>
      <c r="AO1987" s="6" t="s">
        <v>104</v>
      </c>
      <c r="AP1987" s="6" t="s">
        <v>104</v>
      </c>
      <c r="AQ1987" s="6" t="s">
        <v>104</v>
      </c>
      <c r="AR1987" s="6" t="s">
        <v>104</v>
      </c>
      <c r="AS1987" s="6" t="s">
        <v>104</v>
      </c>
      <c r="AT1987" s="6" t="s">
        <v>104</v>
      </c>
      <c r="AU1987" s="6" t="s">
        <v>104</v>
      </c>
      <c r="AV1987" s="6" t="s">
        <v>104</v>
      </c>
      <c r="AW1987" s="6" t="s">
        <v>104</v>
      </c>
      <c r="AX1987" s="6" t="s">
        <v>21649</v>
      </c>
      <c r="AY1987" s="6" t="s">
        <v>23465</v>
      </c>
      <c r="AZ1987" s="6" t="s">
        <v>104</v>
      </c>
      <c r="BA1987" s="6" t="s">
        <v>104</v>
      </c>
      <c r="BB1987" s="6" t="s">
        <v>104</v>
      </c>
      <c r="BC1987" s="26"/>
      <c r="BD1987" s="26"/>
      <c r="BE1987" s="26"/>
      <c r="BF1987" s="26"/>
      <c r="BG1987" s="26"/>
      <c r="BH1987" s="26"/>
      <c r="BI1987" s="26"/>
      <c r="BJ1987" s="26"/>
      <c r="BK1987" s="26"/>
      <c r="BL1987" s="26"/>
      <c r="BM1987" s="26"/>
      <c r="BN1987" s="26"/>
      <c r="BO1987" s="26"/>
      <c r="BP1987" s="16" t="n">
        <v>45439</v>
      </c>
      <c r="BQ1987" s="28" t="str">
        <f>HYPERLINK("https://organic.ams.usda.gov/Integrity/Certificate.aspx?cid=17&amp;nopid=4087184917")</f>
        <v>https://organic.ams.usda.gov/Integrity/Certificate.aspx?cid=17&amp;nopid=4087184917</v>
      </c>
    </row>
    <row r="1988">
      <c r="A1988" t="s">
        <v>3</v>
      </c>
      <c r="B1988" s="6" t="s">
        <v>11</v>
      </c>
      <c r="C1988" s="6" t="s">
        <v>77</v>
      </c>
      <c r="D1988" s="6" t="s">
        <v>142</v>
      </c>
      <c r="E1988" s="10" t="s">
        <v>2186</v>
      </c>
      <c r="F1988" s="6" t="s">
        <v>4394</v>
      </c>
      <c r="G1988" s="6" t="s">
        <v>104</v>
      </c>
      <c r="H1988" s="6" t="s">
        <v>104</v>
      </c>
      <c r="I1988" s="6" t="s">
        <v>7394</v>
      </c>
      <c r="J1988" s="6" t="s">
        <v>8677</v>
      </c>
      <c r="K1988" s="6" t="s">
        <v>9714</v>
      </c>
      <c r="L1988" s="16" t="n">
        <v>44064</v>
      </c>
      <c r="M1988" s="16" t="n">
        <v>45404</v>
      </c>
      <c r="N1988" s="6" t="s">
        <v>9714</v>
      </c>
      <c r="O1988" s="16" t="n">
        <v>44064</v>
      </c>
      <c r="P1988" s="6" t="s">
        <v>10232</v>
      </c>
      <c r="Q1988" s="6" t="s">
        <v>104</v>
      </c>
      <c r="R1988" s="6" t="s">
        <v>104</v>
      </c>
      <c r="S1988" s="6" t="s">
        <v>104</v>
      </c>
      <c r="T1988" s="21" t="s">
        <v>104</v>
      </c>
      <c r="U1988" s="6" t="s">
        <v>104</v>
      </c>
      <c r="V1988" s="6" t="s">
        <v>104</v>
      </c>
      <c r="W1988" s="6" t="s">
        <v>104</v>
      </c>
      <c r="X1988" s="6" t="s">
        <v>104</v>
      </c>
      <c r="Y1988" s="21" t="s">
        <v>104</v>
      </c>
      <c r="Z1988" s="6" t="s">
        <v>104</v>
      </c>
      <c r="AA1988" s="6" t="s">
        <v>104</v>
      </c>
      <c r="AB1988" s="6" t="s">
        <v>104</v>
      </c>
      <c r="AC1988" s="6" t="s">
        <v>9714</v>
      </c>
      <c r="AD1988" s="16" t="n">
        <v>44064</v>
      </c>
      <c r="AE1988" s="6" t="s">
        <v>12257</v>
      </c>
      <c r="AF1988" s="6" t="s">
        <v>104</v>
      </c>
      <c r="AG1988" s="6" t="s">
        <v>104</v>
      </c>
      <c r="AH1988" s="6" t="s">
        <v>13804</v>
      </c>
      <c r="AI1988" s="6" t="s">
        <v>104</v>
      </c>
      <c r="AJ1988" s="6" t="s">
        <v>15831</v>
      </c>
      <c r="AK1988" s="6" t="s">
        <v>16801</v>
      </c>
      <c r="AL1988" s="6" t="s">
        <v>16938</v>
      </c>
      <c r="AM1988" s="6" t="s">
        <v>17463</v>
      </c>
      <c r="AN1988" s="6" t="s">
        <v>104</v>
      </c>
      <c r="AO1988" s="6" t="s">
        <v>104</v>
      </c>
      <c r="AP1988" s="6" t="s">
        <v>104</v>
      </c>
      <c r="AQ1988" s="6" t="s">
        <v>104</v>
      </c>
      <c r="AR1988" s="6" t="s">
        <v>104</v>
      </c>
      <c r="AS1988" s="6" t="s">
        <v>104</v>
      </c>
      <c r="AT1988" s="6" t="s">
        <v>104</v>
      </c>
      <c r="AU1988" s="6" t="s">
        <v>104</v>
      </c>
      <c r="AV1988" s="6" t="s">
        <v>104</v>
      </c>
      <c r="AW1988" s="6" t="s">
        <v>104</v>
      </c>
      <c r="AX1988" s="6" t="s">
        <v>21650</v>
      </c>
      <c r="AY1988" s="6" t="s">
        <v>22444</v>
      </c>
      <c r="AZ1988" s="6" t="s">
        <v>104</v>
      </c>
      <c r="BA1988" s="6" t="s">
        <v>104</v>
      </c>
      <c r="BB1988" s="24" t="n">
        <v>10618</v>
      </c>
      <c r="BC1988" s="26"/>
      <c r="BD1988" s="26"/>
      <c r="BE1988" s="26"/>
      <c r="BF1988" s="26"/>
      <c r="BG1988" s="26"/>
      <c r="BH1988" s="26"/>
      <c r="BI1988" s="26"/>
      <c r="BJ1988" s="26"/>
      <c r="BK1988" s="26"/>
      <c r="BL1988" s="26"/>
      <c r="BM1988" s="26"/>
      <c r="BN1988" s="26"/>
      <c r="BO1988" s="26"/>
      <c r="BP1988" s="16" t="n">
        <v>45471</v>
      </c>
      <c r="BQ1988" s="28" t="str">
        <f>HYPERLINK("https://organic.ams.usda.gov/Integrity/Certificate.aspx?cid=21&amp;nopid=1780873681")</f>
        <v>https://organic.ams.usda.gov/Integrity/Certificate.aspx?cid=21&amp;nopid=1780873681</v>
      </c>
    </row>
    <row r="1989">
      <c r="A1989" t="s">
        <v>3</v>
      </c>
      <c r="B1989" s="6" t="s">
        <v>27</v>
      </c>
      <c r="C1989" s="6" t="s">
        <v>93</v>
      </c>
      <c r="D1989" s="6" t="s">
        <v>158</v>
      </c>
      <c r="E1989" s="10" t="s">
        <v>2187</v>
      </c>
      <c r="F1989" s="6" t="s">
        <v>4395</v>
      </c>
      <c r="G1989" s="6" t="s">
        <v>104</v>
      </c>
      <c r="H1989" s="6" t="s">
        <v>6687</v>
      </c>
      <c r="I1989" s="6" t="s">
        <v>6942</v>
      </c>
      <c r="J1989" s="6" t="s">
        <v>9535</v>
      </c>
      <c r="K1989" s="6" t="s">
        <v>9714</v>
      </c>
      <c r="L1989" s="16" t="n">
        <v>45474</v>
      </c>
      <c r="M1989" s="16" t="n">
        <v>45688</v>
      </c>
      <c r="N1989" s="6" t="s">
        <v>9714</v>
      </c>
      <c r="O1989" s="16" t="n">
        <v>45474</v>
      </c>
      <c r="P1989" s="6" t="s">
        <v>10233</v>
      </c>
      <c r="Q1989" s="6" t="s">
        <v>104</v>
      </c>
      <c r="R1989" s="6" t="s">
        <v>10445</v>
      </c>
      <c r="S1989" s="6" t="s">
        <v>104</v>
      </c>
      <c r="T1989" s="21" t="s">
        <v>104</v>
      </c>
      <c r="U1989" s="6" t="s">
        <v>104</v>
      </c>
      <c r="V1989" s="6" t="s">
        <v>104</v>
      </c>
      <c r="W1989" s="6" t="s">
        <v>104</v>
      </c>
      <c r="X1989" s="6" t="s">
        <v>104</v>
      </c>
      <c r="Y1989" s="21" t="s">
        <v>104</v>
      </c>
      <c r="Z1989" s="6" t="s">
        <v>104</v>
      </c>
      <c r="AA1989" s="6" t="s">
        <v>104</v>
      </c>
      <c r="AB1989" s="6" t="s">
        <v>104</v>
      </c>
      <c r="AC1989" s="6" t="s">
        <v>104</v>
      </c>
      <c r="AD1989" s="21" t="s">
        <v>104</v>
      </c>
      <c r="AE1989" s="6" t="s">
        <v>104</v>
      </c>
      <c r="AF1989" s="6" t="s">
        <v>104</v>
      </c>
      <c r="AG1989" s="6" t="s">
        <v>104</v>
      </c>
      <c r="AH1989" s="6" t="s">
        <v>14977</v>
      </c>
      <c r="AI1989" s="6" t="s">
        <v>104</v>
      </c>
      <c r="AJ1989" s="6" t="s">
        <v>16161</v>
      </c>
      <c r="AK1989" s="6" t="s">
        <v>16270</v>
      </c>
      <c r="AL1989" s="6" t="s">
        <v>16932</v>
      </c>
      <c r="AM1989" s="6" t="s">
        <v>17733</v>
      </c>
      <c r="AN1989" s="6" t="s">
        <v>104</v>
      </c>
      <c r="AO1989" s="6" t="s">
        <v>104</v>
      </c>
      <c r="AP1989" s="6" t="s">
        <v>14977</v>
      </c>
      <c r="AQ1989" s="6" t="s">
        <v>104</v>
      </c>
      <c r="AR1989" s="6" t="s">
        <v>16161</v>
      </c>
      <c r="AS1989" s="6" t="s">
        <v>16270</v>
      </c>
      <c r="AT1989" s="6" t="s">
        <v>16932</v>
      </c>
      <c r="AU1989" s="6" t="s">
        <v>17733</v>
      </c>
      <c r="AV1989" s="6" t="s">
        <v>104</v>
      </c>
      <c r="AW1989" s="6" t="s">
        <v>104</v>
      </c>
      <c r="AX1989" s="6" t="s">
        <v>21651</v>
      </c>
      <c r="AY1989" s="6" t="s">
        <v>23466</v>
      </c>
      <c r="AZ1989" s="6" t="s">
        <v>104</v>
      </c>
      <c r="BA1989" s="6" t="s">
        <v>104</v>
      </c>
      <c r="BB1989" s="24" t="n">
        <v>3050</v>
      </c>
      <c r="BC1989" s="26"/>
      <c r="BD1989" s="26"/>
      <c r="BE1989" s="26"/>
      <c r="BF1989" s="26"/>
      <c r="BG1989" s="26"/>
      <c r="BH1989" s="26"/>
      <c r="BI1989" s="26"/>
      <c r="BJ1989" s="26"/>
      <c r="BK1989" s="26"/>
      <c r="BL1989" s="26"/>
      <c r="BM1989" s="26"/>
      <c r="BN1989" s="26"/>
      <c r="BO1989" s="26" t="s">
        <v>24533</v>
      </c>
      <c r="BP1989" s="16" t="n">
        <v>45476</v>
      </c>
      <c r="BQ1989" s="28" t="str">
        <f>HYPERLINK("https://organic.ams.usda.gov/Integrity/Certificate.aspx?cid=93&amp;nopid=6368946263")</f>
        <v>https://organic.ams.usda.gov/Integrity/Certificate.aspx?cid=93&amp;nopid=6368946263</v>
      </c>
    </row>
    <row r="1990">
      <c r="A1990" t="s">
        <v>3</v>
      </c>
      <c r="B1990" s="6" t="s">
        <v>41</v>
      </c>
      <c r="C1990" s="6" t="s">
        <v>107</v>
      </c>
      <c r="D1990" s="6" t="s">
        <v>171</v>
      </c>
      <c r="E1990" s="10" t="s">
        <v>2188</v>
      </c>
      <c r="F1990" s="6" t="s">
        <v>4396</v>
      </c>
      <c r="G1990" s="6" t="s">
        <v>4870</v>
      </c>
      <c r="H1990" s="6" t="s">
        <v>6688</v>
      </c>
      <c r="I1990" s="6" t="s">
        <v>6974</v>
      </c>
      <c r="J1990" s="6" t="s">
        <v>9405</v>
      </c>
      <c r="K1990" s="6" t="s">
        <v>9714</v>
      </c>
      <c r="L1990" s="16" t="n">
        <v>38353</v>
      </c>
      <c r="M1990" s="16" t="n">
        <v>45792</v>
      </c>
      <c r="N1990" s="6" t="s">
        <v>9714</v>
      </c>
      <c r="O1990" s="16" t="n">
        <v>38353</v>
      </c>
      <c r="P1990" s="6" t="s">
        <v>10234</v>
      </c>
      <c r="Q1990" s="6" t="s">
        <v>104</v>
      </c>
      <c r="R1990" s="6" t="s">
        <v>104</v>
      </c>
      <c r="S1990" s="6" t="s">
        <v>9714</v>
      </c>
      <c r="T1990" s="16" t="n">
        <v>38353</v>
      </c>
      <c r="U1990" s="6" t="s">
        <v>10503</v>
      </c>
      <c r="V1990" s="6" t="s">
        <v>104</v>
      </c>
      <c r="W1990" s="6" t="s">
        <v>104</v>
      </c>
      <c r="X1990" s="6" t="s">
        <v>104</v>
      </c>
      <c r="Y1990" s="21" t="s">
        <v>104</v>
      </c>
      <c r="Z1990" s="6" t="s">
        <v>104</v>
      </c>
      <c r="AA1990" s="6" t="s">
        <v>104</v>
      </c>
      <c r="AB1990" s="6" t="s">
        <v>104</v>
      </c>
      <c r="AC1990" s="6" t="s">
        <v>9714</v>
      </c>
      <c r="AD1990" s="16" t="n">
        <v>38353</v>
      </c>
      <c r="AE1990" s="6" t="s">
        <v>12258</v>
      </c>
      <c r="AF1990" s="6" t="s">
        <v>104</v>
      </c>
      <c r="AG1990" s="6" t="s">
        <v>104</v>
      </c>
      <c r="AH1990" s="6" t="s">
        <v>14978</v>
      </c>
      <c r="AI1990" s="6" t="s">
        <v>104</v>
      </c>
      <c r="AJ1990" s="6" t="s">
        <v>16073</v>
      </c>
      <c r="AK1990" s="6" t="s">
        <v>16686</v>
      </c>
      <c r="AL1990" s="6" t="s">
        <v>16931</v>
      </c>
      <c r="AM1990" s="6" t="s">
        <v>17724</v>
      </c>
      <c r="AN1990" s="6" t="s">
        <v>18509</v>
      </c>
      <c r="AO1990" s="6" t="s">
        <v>18779</v>
      </c>
      <c r="AP1990" s="6" t="s">
        <v>14978</v>
      </c>
      <c r="AQ1990" s="6" t="s">
        <v>104</v>
      </c>
      <c r="AR1990" s="6" t="s">
        <v>16073</v>
      </c>
      <c r="AS1990" s="6" t="s">
        <v>16686</v>
      </c>
      <c r="AT1990" s="6" t="s">
        <v>16931</v>
      </c>
      <c r="AU1990" s="6" t="s">
        <v>17724</v>
      </c>
      <c r="AV1990" s="6" t="s">
        <v>104</v>
      </c>
      <c r="AW1990" s="6" t="s">
        <v>104</v>
      </c>
      <c r="AX1990" s="6" t="s">
        <v>21652</v>
      </c>
      <c r="AY1990" s="6" t="s">
        <v>23467</v>
      </c>
      <c r="AZ1990" s="6" t="s">
        <v>104</v>
      </c>
      <c r="BA1990" s="6" t="s">
        <v>104</v>
      </c>
      <c r="BB1990" s="24" t="n">
        <v>378</v>
      </c>
      <c r="BC1990" s="26"/>
      <c r="BD1990" s="26"/>
      <c r="BE1990" s="26"/>
      <c r="BF1990" s="26" t="s">
        <v>24533</v>
      </c>
      <c r="BG1990" s="26"/>
      <c r="BH1990" s="26"/>
      <c r="BI1990" s="26"/>
      <c r="BJ1990" s="26"/>
      <c r="BK1990" s="26"/>
      <c r="BL1990" s="26"/>
      <c r="BM1990" s="26"/>
      <c r="BN1990" s="26"/>
      <c r="BO1990" s="26"/>
      <c r="BP1990" s="16" t="n">
        <v>45737</v>
      </c>
      <c r="BQ1990" s="28" t="str">
        <f>HYPERLINK("https://organic.ams.usda.gov/Integrity/Certificate.aspx?cid=58&amp;nopid=1600002179")</f>
        <v>https://organic.ams.usda.gov/Integrity/Certificate.aspx?cid=58&amp;nopid=1600002179</v>
      </c>
    </row>
    <row r="1991">
      <c r="A1991" t="s">
        <v>3</v>
      </c>
      <c r="B1991" s="6" t="s">
        <v>12</v>
      </c>
      <c r="C1991" s="6" t="s">
        <v>78</v>
      </c>
      <c r="D1991" s="6" t="s">
        <v>143</v>
      </c>
      <c r="E1991" s="10" t="s">
        <v>2189</v>
      </c>
      <c r="F1991" s="6" t="s">
        <v>4397</v>
      </c>
      <c r="G1991" s="6" t="s">
        <v>104</v>
      </c>
      <c r="H1991" s="6" t="s">
        <v>104</v>
      </c>
      <c r="I1991" s="6" t="s">
        <v>7717</v>
      </c>
      <c r="J1991" s="6" t="s">
        <v>9536</v>
      </c>
      <c r="K1991" s="6" t="s">
        <v>9714</v>
      </c>
      <c r="L1991" s="16" t="n">
        <v>44680</v>
      </c>
      <c r="M1991" s="16" t="n">
        <v>45901</v>
      </c>
      <c r="N1991" s="6" t="s">
        <v>104</v>
      </c>
      <c r="O1991" s="21" t="s">
        <v>104</v>
      </c>
      <c r="P1991" s="6" t="s">
        <v>104</v>
      </c>
      <c r="Q1991" s="6" t="s">
        <v>104</v>
      </c>
      <c r="R1991" s="6" t="s">
        <v>104</v>
      </c>
      <c r="S1991" s="6" t="s">
        <v>104</v>
      </c>
      <c r="T1991" s="21" t="s">
        <v>104</v>
      </c>
      <c r="U1991" s="6" t="s">
        <v>104</v>
      </c>
      <c r="V1991" s="6" t="s">
        <v>104</v>
      </c>
      <c r="W1991" s="6" t="s">
        <v>104</v>
      </c>
      <c r="X1991" s="6" t="s">
        <v>104</v>
      </c>
      <c r="Y1991" s="21" t="s">
        <v>104</v>
      </c>
      <c r="Z1991" s="6" t="s">
        <v>104</v>
      </c>
      <c r="AA1991" s="6" t="s">
        <v>104</v>
      </c>
      <c r="AB1991" s="6" t="s">
        <v>104</v>
      </c>
      <c r="AC1991" s="6" t="s">
        <v>9714</v>
      </c>
      <c r="AD1991" s="16" t="n">
        <v>44680</v>
      </c>
      <c r="AE1991" s="6" t="s">
        <v>12259</v>
      </c>
      <c r="AF1991" s="6" t="s">
        <v>104</v>
      </c>
      <c r="AG1991" s="6" t="s">
        <v>104</v>
      </c>
      <c r="AH1991" s="6" t="s">
        <v>14979</v>
      </c>
      <c r="AI1991" s="6" t="s">
        <v>104</v>
      </c>
      <c r="AJ1991" s="6" t="s">
        <v>16550</v>
      </c>
      <c r="AK1991" s="6" t="s">
        <v>16683</v>
      </c>
      <c r="AL1991" s="6" t="s">
        <v>16931</v>
      </c>
      <c r="AM1991" s="6" t="s">
        <v>18288</v>
      </c>
      <c r="AN1991" s="6" t="s">
        <v>18493</v>
      </c>
      <c r="AO1991" s="6" t="s">
        <v>18909</v>
      </c>
      <c r="AP1991" s="6" t="s">
        <v>14979</v>
      </c>
      <c r="AQ1991" s="6" t="s">
        <v>104</v>
      </c>
      <c r="AR1991" s="6" t="s">
        <v>16550</v>
      </c>
      <c r="AS1991" s="6" t="s">
        <v>16683</v>
      </c>
      <c r="AT1991" s="6" t="s">
        <v>16931</v>
      </c>
      <c r="AU1991" s="6" t="s">
        <v>18288</v>
      </c>
      <c r="AV1991" s="6" t="s">
        <v>104</v>
      </c>
      <c r="AW1991" s="6" t="s">
        <v>104</v>
      </c>
      <c r="AX1991" s="6" t="s">
        <v>104</v>
      </c>
      <c r="AY1991" s="6" t="s">
        <v>23468</v>
      </c>
      <c r="AZ1991" s="6" t="s">
        <v>104</v>
      </c>
      <c r="BA1991" s="6" t="s">
        <v>104</v>
      </c>
      <c r="BB1991" s="6" t="s">
        <v>104</v>
      </c>
      <c r="BC1991" s="26"/>
      <c r="BD1991" s="26"/>
      <c r="BE1991" s="26"/>
      <c r="BF1991" s="26"/>
      <c r="BG1991" s="26"/>
      <c r="BH1991" s="26"/>
      <c r="BI1991" s="26"/>
      <c r="BJ1991" s="26"/>
      <c r="BK1991" s="26"/>
      <c r="BL1991" s="26"/>
      <c r="BM1991" s="26"/>
      <c r="BN1991" s="26"/>
      <c r="BO1991" s="26"/>
      <c r="BP1991" s="16" t="n">
        <v>45628</v>
      </c>
      <c r="BQ1991" s="28" t="str">
        <f>HYPERLINK("https://organic.ams.usda.gov/Integrity/Certificate.aspx?cid=1&amp;nopid=9092202006")</f>
        <v>https://organic.ams.usda.gov/Integrity/Certificate.aspx?cid=1&amp;nopid=9092202006</v>
      </c>
    </row>
    <row r="1992">
      <c r="A1992" t="s">
        <v>3</v>
      </c>
      <c r="B1992" s="6" t="s">
        <v>24</v>
      </c>
      <c r="C1992" s="6" t="s">
        <v>90</v>
      </c>
      <c r="D1992" s="6" t="s">
        <v>155</v>
      </c>
      <c r="E1992" s="10" t="s">
        <v>2190</v>
      </c>
      <c r="F1992" s="6" t="s">
        <v>4398</v>
      </c>
      <c r="G1992" s="6" t="s">
        <v>4871</v>
      </c>
      <c r="H1992" s="6" t="s">
        <v>6689</v>
      </c>
      <c r="I1992" s="6" t="s">
        <v>7947</v>
      </c>
      <c r="J1992" s="6" t="s">
        <v>9537</v>
      </c>
      <c r="K1992" s="6" t="s">
        <v>9714</v>
      </c>
      <c r="L1992" s="16" t="n">
        <v>43913</v>
      </c>
      <c r="M1992" s="16" t="n">
        <v>45868</v>
      </c>
      <c r="N1992" s="6" t="s">
        <v>104</v>
      </c>
      <c r="O1992" s="21" t="s">
        <v>104</v>
      </c>
      <c r="P1992" s="6" t="s">
        <v>104</v>
      </c>
      <c r="Q1992" s="6" t="s">
        <v>104</v>
      </c>
      <c r="R1992" s="6" t="s">
        <v>104</v>
      </c>
      <c r="S1992" s="6" t="s">
        <v>104</v>
      </c>
      <c r="T1992" s="21" t="s">
        <v>104</v>
      </c>
      <c r="U1992" s="6" t="s">
        <v>104</v>
      </c>
      <c r="V1992" s="6" t="s">
        <v>104</v>
      </c>
      <c r="W1992" s="6" t="s">
        <v>104</v>
      </c>
      <c r="X1992" s="6" t="s">
        <v>104</v>
      </c>
      <c r="Y1992" s="21" t="s">
        <v>104</v>
      </c>
      <c r="Z1992" s="6" t="s">
        <v>104</v>
      </c>
      <c r="AA1992" s="6" t="s">
        <v>104</v>
      </c>
      <c r="AB1992" s="6" t="s">
        <v>104</v>
      </c>
      <c r="AC1992" s="6" t="s">
        <v>9714</v>
      </c>
      <c r="AD1992" s="16" t="n">
        <v>43913</v>
      </c>
      <c r="AE1992" s="6" t="s">
        <v>12260</v>
      </c>
      <c r="AF1992" s="6" t="s">
        <v>104</v>
      </c>
      <c r="AG1992" s="6" t="s">
        <v>13085</v>
      </c>
      <c r="AH1992" s="6" t="s">
        <v>14980</v>
      </c>
      <c r="AI1992" s="6" t="s">
        <v>104</v>
      </c>
      <c r="AJ1992" s="6" t="s">
        <v>16551</v>
      </c>
      <c r="AK1992" s="6" t="s">
        <v>7191</v>
      </c>
      <c r="AL1992" s="6" t="s">
        <v>16934</v>
      </c>
      <c r="AM1992" s="6" t="s">
        <v>18289</v>
      </c>
      <c r="AN1992" s="6" t="s">
        <v>104</v>
      </c>
      <c r="AO1992" s="6" t="s">
        <v>104</v>
      </c>
      <c r="AP1992" s="6" t="s">
        <v>14980</v>
      </c>
      <c r="AQ1992" s="6" t="s">
        <v>104</v>
      </c>
      <c r="AR1992" s="6" t="s">
        <v>16551</v>
      </c>
      <c r="AS1992" s="6" t="s">
        <v>7191</v>
      </c>
      <c r="AT1992" s="6" t="s">
        <v>16934</v>
      </c>
      <c r="AU1992" s="6" t="s">
        <v>18289</v>
      </c>
      <c r="AV1992" s="6" t="s">
        <v>104</v>
      </c>
      <c r="AW1992" s="6" t="s">
        <v>104</v>
      </c>
      <c r="AX1992" s="6" t="s">
        <v>21653</v>
      </c>
      <c r="AY1992" s="6" t="s">
        <v>23469</v>
      </c>
      <c r="AZ1992" s="6" t="s">
        <v>104</v>
      </c>
      <c r="BA1992" s="6" t="s">
        <v>24262</v>
      </c>
      <c r="BB1992" s="24" t="n">
        <v>0</v>
      </c>
      <c r="BC1992" s="26"/>
      <c r="BD1992" s="26"/>
      <c r="BE1992" s="26"/>
      <c r="BF1992" s="26"/>
      <c r="BG1992" s="26"/>
      <c r="BH1992" s="26"/>
      <c r="BI1992" s="26"/>
      <c r="BJ1992" s="26"/>
      <c r="BK1992" s="26"/>
      <c r="BL1992" s="26"/>
      <c r="BM1992" s="26"/>
      <c r="BN1992" s="26"/>
      <c r="BO1992" s="26"/>
      <c r="BP1992" s="16" t="n">
        <v>45705</v>
      </c>
      <c r="BQ1992" s="28" t="str">
        <f>HYPERLINK("https://organic.ams.usda.gov/Integrity/Certificate.aspx?cid=7&amp;nopid=3950000978")</f>
        <v>https://organic.ams.usda.gov/Integrity/Certificate.aspx?cid=7&amp;nopid=3950000978</v>
      </c>
    </row>
    <row r="1993">
      <c r="A1993" t="s">
        <v>3</v>
      </c>
      <c r="B1993" s="6" t="s">
        <v>19</v>
      </c>
      <c r="C1993" s="6" t="s">
        <v>85</v>
      </c>
      <c r="D1993" s="6" t="s">
        <v>150</v>
      </c>
      <c r="E1993" s="10" t="s">
        <v>2191</v>
      </c>
      <c r="F1993" s="6" t="s">
        <v>4399</v>
      </c>
      <c r="G1993" s="6" t="s">
        <v>104</v>
      </c>
      <c r="H1993" s="6" t="s">
        <v>6690</v>
      </c>
      <c r="I1993" s="6" t="s">
        <v>6991</v>
      </c>
      <c r="J1993" s="6" t="s">
        <v>8156</v>
      </c>
      <c r="K1993" s="6" t="s">
        <v>9714</v>
      </c>
      <c r="L1993" s="16" t="n">
        <v>39149</v>
      </c>
      <c r="M1993" s="16" t="n">
        <v>45717</v>
      </c>
      <c r="N1993" s="6" t="s">
        <v>104</v>
      </c>
      <c r="O1993" s="21" t="s">
        <v>104</v>
      </c>
      <c r="P1993" s="6" t="s">
        <v>104</v>
      </c>
      <c r="Q1993" s="6" t="s">
        <v>104</v>
      </c>
      <c r="R1993" s="6" t="s">
        <v>104</v>
      </c>
      <c r="S1993" s="6" t="s">
        <v>104</v>
      </c>
      <c r="T1993" s="21" t="s">
        <v>104</v>
      </c>
      <c r="U1993" s="6" t="s">
        <v>104</v>
      </c>
      <c r="V1993" s="6" t="s">
        <v>104</v>
      </c>
      <c r="W1993" s="6" t="s">
        <v>104</v>
      </c>
      <c r="X1993" s="6" t="s">
        <v>104</v>
      </c>
      <c r="Y1993" s="21" t="s">
        <v>104</v>
      </c>
      <c r="Z1993" s="6" t="s">
        <v>104</v>
      </c>
      <c r="AA1993" s="6" t="s">
        <v>104</v>
      </c>
      <c r="AB1993" s="6" t="s">
        <v>104</v>
      </c>
      <c r="AC1993" s="6" t="s">
        <v>9714</v>
      </c>
      <c r="AD1993" s="16" t="n">
        <v>39149</v>
      </c>
      <c r="AE1993" s="6" t="s">
        <v>12261</v>
      </c>
      <c r="AF1993" s="6" t="s">
        <v>104</v>
      </c>
      <c r="AG1993" s="6" t="s">
        <v>104</v>
      </c>
      <c r="AH1993" s="6" t="s">
        <v>14981</v>
      </c>
      <c r="AI1993" s="6" t="s">
        <v>104</v>
      </c>
      <c r="AJ1993" s="6" t="s">
        <v>16552</v>
      </c>
      <c r="AK1993" s="6" t="s">
        <v>16686</v>
      </c>
      <c r="AL1993" s="6" t="s">
        <v>16931</v>
      </c>
      <c r="AM1993" s="6" t="s">
        <v>18290</v>
      </c>
      <c r="AN1993" s="6" t="s">
        <v>18500</v>
      </c>
      <c r="AO1993" s="6" t="s">
        <v>18910</v>
      </c>
      <c r="AP1993" s="6" t="s">
        <v>19473</v>
      </c>
      <c r="AQ1993" s="6" t="s">
        <v>104</v>
      </c>
      <c r="AR1993" s="6" t="s">
        <v>16552</v>
      </c>
      <c r="AS1993" s="6" t="s">
        <v>16686</v>
      </c>
      <c r="AT1993" s="6" t="s">
        <v>16931</v>
      </c>
      <c r="AU1993" s="6" t="s">
        <v>18290</v>
      </c>
      <c r="AV1993" s="6" t="s">
        <v>104</v>
      </c>
      <c r="AW1993" s="6" t="s">
        <v>104</v>
      </c>
      <c r="AX1993" s="6" t="s">
        <v>21654</v>
      </c>
      <c r="AY1993" s="6" t="s">
        <v>23470</v>
      </c>
      <c r="AZ1993" s="6" t="s">
        <v>104</v>
      </c>
      <c r="BA1993" s="6" t="s">
        <v>104</v>
      </c>
      <c r="BB1993" s="6" t="s">
        <v>104</v>
      </c>
      <c r="BC1993" s="26"/>
      <c r="BD1993" s="26"/>
      <c r="BE1993" s="26"/>
      <c r="BF1993" s="26"/>
      <c r="BG1993" s="26"/>
      <c r="BH1993" s="26"/>
      <c r="BI1993" s="26"/>
      <c r="BJ1993" s="26"/>
      <c r="BK1993" s="26"/>
      <c r="BL1993" s="26"/>
      <c r="BM1993" s="26"/>
      <c r="BN1993" s="26"/>
      <c r="BO1993" s="26"/>
      <c r="BP1993" s="16" t="n">
        <v>45684</v>
      </c>
      <c r="BQ1993" s="28" t="str">
        <f>HYPERLINK("https://organic.ams.usda.gov/Integrity/Certificate.aspx?cid=68&amp;nopid=8210003803")</f>
        <v>https://organic.ams.usda.gov/Integrity/Certificate.aspx?cid=68&amp;nopid=8210003803</v>
      </c>
    </row>
    <row r="1994">
      <c r="A1994" t="s">
        <v>3</v>
      </c>
      <c r="B1994" s="6" t="s">
        <v>19</v>
      </c>
      <c r="C1994" s="6" t="s">
        <v>85</v>
      </c>
      <c r="D1994" s="6" t="s">
        <v>150</v>
      </c>
      <c r="E1994" s="10" t="s">
        <v>2192</v>
      </c>
      <c r="F1994" s="6" t="s">
        <v>4400</v>
      </c>
      <c r="G1994" s="6" t="s">
        <v>104</v>
      </c>
      <c r="H1994" s="6" t="s">
        <v>104</v>
      </c>
      <c r="I1994" s="6" t="s">
        <v>7332</v>
      </c>
      <c r="J1994" s="6" t="s">
        <v>9538</v>
      </c>
      <c r="K1994" s="6" t="s">
        <v>9714</v>
      </c>
      <c r="L1994" s="16" t="n">
        <v>39149</v>
      </c>
      <c r="M1994" s="16" t="n">
        <v>44621</v>
      </c>
      <c r="N1994" s="6" t="s">
        <v>104</v>
      </c>
      <c r="O1994" s="21" t="s">
        <v>104</v>
      </c>
      <c r="P1994" s="6" t="s">
        <v>104</v>
      </c>
      <c r="Q1994" s="6" t="s">
        <v>104</v>
      </c>
      <c r="R1994" s="6" t="s">
        <v>104</v>
      </c>
      <c r="S1994" s="6" t="s">
        <v>104</v>
      </c>
      <c r="T1994" s="21" t="s">
        <v>104</v>
      </c>
      <c r="U1994" s="6" t="s">
        <v>104</v>
      </c>
      <c r="V1994" s="6" t="s">
        <v>104</v>
      </c>
      <c r="W1994" s="6" t="s">
        <v>104</v>
      </c>
      <c r="X1994" s="6" t="s">
        <v>104</v>
      </c>
      <c r="Y1994" s="21" t="s">
        <v>104</v>
      </c>
      <c r="Z1994" s="6" t="s">
        <v>104</v>
      </c>
      <c r="AA1994" s="6" t="s">
        <v>104</v>
      </c>
      <c r="AB1994" s="6" t="s">
        <v>104</v>
      </c>
      <c r="AC1994" s="6" t="s">
        <v>9714</v>
      </c>
      <c r="AD1994" s="16" t="n">
        <v>39149</v>
      </c>
      <c r="AE1994" s="6" t="s">
        <v>12262</v>
      </c>
      <c r="AF1994" s="6" t="s">
        <v>104</v>
      </c>
      <c r="AG1994" s="6" t="s">
        <v>104</v>
      </c>
      <c r="AH1994" s="6" t="s">
        <v>104</v>
      </c>
      <c r="AI1994" s="6" t="s">
        <v>104</v>
      </c>
      <c r="AJ1994" s="6" t="s">
        <v>104</v>
      </c>
      <c r="AK1994" s="6" t="s">
        <v>104</v>
      </c>
      <c r="AL1994" s="6" t="s">
        <v>104</v>
      </c>
      <c r="AM1994" s="6" t="s">
        <v>104</v>
      </c>
      <c r="AN1994" s="6" t="s">
        <v>104</v>
      </c>
      <c r="AO1994" s="6" t="s">
        <v>104</v>
      </c>
      <c r="AP1994" s="6" t="s">
        <v>19474</v>
      </c>
      <c r="AQ1994" s="6" t="s">
        <v>104</v>
      </c>
      <c r="AR1994" s="6" t="s">
        <v>16552</v>
      </c>
      <c r="AS1994" s="6" t="s">
        <v>16686</v>
      </c>
      <c r="AT1994" s="6" t="s">
        <v>16931</v>
      </c>
      <c r="AU1994" s="6" t="s">
        <v>18290</v>
      </c>
      <c r="AV1994" s="6" t="s">
        <v>18500</v>
      </c>
      <c r="AW1994" s="6" t="s">
        <v>18910</v>
      </c>
      <c r="AX1994" s="6" t="s">
        <v>104</v>
      </c>
      <c r="AY1994" s="6" t="s">
        <v>23471</v>
      </c>
      <c r="AZ1994" s="6" t="s">
        <v>104</v>
      </c>
      <c r="BA1994" s="6" t="s">
        <v>104</v>
      </c>
      <c r="BB1994" s="6" t="s">
        <v>104</v>
      </c>
      <c r="BC1994" s="26"/>
      <c r="BD1994" s="26"/>
      <c r="BE1994" s="26"/>
      <c r="BF1994" s="26"/>
      <c r="BG1994" s="26"/>
      <c r="BH1994" s="26"/>
      <c r="BI1994" s="26"/>
      <c r="BJ1994" s="26"/>
      <c r="BK1994" s="26"/>
      <c r="BL1994" s="26"/>
      <c r="BM1994" s="26"/>
      <c r="BN1994" s="26"/>
      <c r="BO1994" s="26"/>
      <c r="BP1994" s="16" t="n">
        <v>44561</v>
      </c>
      <c r="BQ1994" s="28" t="str">
        <f>HYPERLINK("https://organic.ams.usda.gov/Integrity/Certificate.aspx?cid=68&amp;nopid=8210003804")</f>
        <v>https://organic.ams.usda.gov/Integrity/Certificate.aspx?cid=68&amp;nopid=8210003804</v>
      </c>
    </row>
    <row r="1995">
      <c r="A1995" t="s">
        <v>3</v>
      </c>
      <c r="B1995" s="6" t="s">
        <v>68</v>
      </c>
      <c r="C1995" s="6" t="s">
        <v>134</v>
      </c>
      <c r="D1995" s="6" t="s">
        <v>198</v>
      </c>
      <c r="E1995" s="10" t="s">
        <v>2193</v>
      </c>
      <c r="F1995" s="6" t="s">
        <v>4401</v>
      </c>
      <c r="G1995" s="6" t="s">
        <v>104</v>
      </c>
      <c r="H1995" s="6" t="s">
        <v>6691</v>
      </c>
      <c r="I1995" s="6" t="s">
        <v>6960</v>
      </c>
      <c r="J1995" s="6" t="s">
        <v>9539</v>
      </c>
      <c r="K1995" s="6" t="s">
        <v>9714</v>
      </c>
      <c r="L1995" s="16" t="n">
        <v>45183</v>
      </c>
      <c r="M1995" s="16" t="n">
        <v>45778</v>
      </c>
      <c r="N1995" s="6" t="s">
        <v>104</v>
      </c>
      <c r="O1995" s="21" t="s">
        <v>104</v>
      </c>
      <c r="P1995" s="6" t="s">
        <v>104</v>
      </c>
      <c r="Q1995" s="6" t="s">
        <v>104</v>
      </c>
      <c r="R1995" s="6" t="s">
        <v>104</v>
      </c>
      <c r="S1995" s="6" t="s">
        <v>104</v>
      </c>
      <c r="T1995" s="21" t="s">
        <v>104</v>
      </c>
      <c r="U1995" s="6" t="s">
        <v>104</v>
      </c>
      <c r="V1995" s="6" t="s">
        <v>104</v>
      </c>
      <c r="W1995" s="6" t="s">
        <v>104</v>
      </c>
      <c r="X1995" s="6" t="s">
        <v>104</v>
      </c>
      <c r="Y1995" s="21" t="s">
        <v>104</v>
      </c>
      <c r="Z1995" s="6" t="s">
        <v>104</v>
      </c>
      <c r="AA1995" s="6" t="s">
        <v>104</v>
      </c>
      <c r="AB1995" s="6" t="s">
        <v>104</v>
      </c>
      <c r="AC1995" s="6" t="s">
        <v>9714</v>
      </c>
      <c r="AD1995" s="16" t="n">
        <v>45183</v>
      </c>
      <c r="AE1995" s="6" t="s">
        <v>12263</v>
      </c>
      <c r="AF1995" s="6" t="s">
        <v>104</v>
      </c>
      <c r="AG1995" s="6" t="s">
        <v>13086</v>
      </c>
      <c r="AH1995" s="6" t="s">
        <v>14982</v>
      </c>
      <c r="AI1995" s="6" t="s">
        <v>104</v>
      </c>
      <c r="AJ1995" s="6" t="s">
        <v>16553</v>
      </c>
      <c r="AK1995" s="6" t="s">
        <v>16901</v>
      </c>
      <c r="AL1995" s="6" t="s">
        <v>16929</v>
      </c>
      <c r="AM1995" s="6" t="s">
        <v>18291</v>
      </c>
      <c r="AN1995" s="6" t="s">
        <v>104</v>
      </c>
      <c r="AO1995" s="6" t="s">
        <v>104</v>
      </c>
      <c r="AP1995" s="6" t="s">
        <v>14982</v>
      </c>
      <c r="AQ1995" s="6" t="s">
        <v>104</v>
      </c>
      <c r="AR1995" s="6" t="s">
        <v>16553</v>
      </c>
      <c r="AS1995" s="6" t="s">
        <v>16901</v>
      </c>
      <c r="AT1995" s="6" t="s">
        <v>16929</v>
      </c>
      <c r="AU1995" s="6" t="s">
        <v>18291</v>
      </c>
      <c r="AV1995" s="6" t="s">
        <v>104</v>
      </c>
      <c r="AW1995" s="6" t="s">
        <v>104</v>
      </c>
      <c r="AX1995" s="6" t="s">
        <v>21655</v>
      </c>
      <c r="AY1995" s="6" t="s">
        <v>23472</v>
      </c>
      <c r="AZ1995" s="6" t="s">
        <v>104</v>
      </c>
      <c r="BA1995" s="6" t="s">
        <v>104</v>
      </c>
      <c r="BB1995" s="6" t="s">
        <v>104</v>
      </c>
      <c r="BC1995" s="26"/>
      <c r="BD1995" s="26"/>
      <c r="BE1995" s="26"/>
      <c r="BF1995" s="26"/>
      <c r="BG1995" s="26"/>
      <c r="BH1995" s="26"/>
      <c r="BI1995" s="26"/>
      <c r="BJ1995" s="26"/>
      <c r="BK1995" s="26"/>
      <c r="BL1995" s="26"/>
      <c r="BM1995" s="26"/>
      <c r="BN1995" s="26"/>
      <c r="BO1995" s="26"/>
      <c r="BP1995" s="16" t="n">
        <v>45636</v>
      </c>
      <c r="BQ1995" s="28" t="str">
        <f>HYPERLINK("https://organic.ams.usda.gov/Integrity/Certificate.aspx?cid=25&amp;nopid=7990000386")</f>
        <v>https://organic.ams.usda.gov/Integrity/Certificate.aspx?cid=25&amp;nopid=7990000386</v>
      </c>
    </row>
    <row r="1996">
      <c r="A1996" t="s">
        <v>3</v>
      </c>
      <c r="B1996" s="6" t="s">
        <v>11</v>
      </c>
      <c r="C1996" s="6" t="s">
        <v>77</v>
      </c>
      <c r="D1996" s="6" t="s">
        <v>142</v>
      </c>
      <c r="E1996" s="10" t="s">
        <v>2194</v>
      </c>
      <c r="F1996" s="6" t="s">
        <v>4402</v>
      </c>
      <c r="G1996" s="6" t="s">
        <v>104</v>
      </c>
      <c r="H1996" s="6" t="s">
        <v>104</v>
      </c>
      <c r="I1996" s="6" t="s">
        <v>8018</v>
      </c>
      <c r="J1996" s="6" t="s">
        <v>9540</v>
      </c>
      <c r="K1996" s="6" t="s">
        <v>9714</v>
      </c>
      <c r="L1996" s="16" t="n">
        <v>37734</v>
      </c>
      <c r="M1996" s="16" t="n">
        <v>46071</v>
      </c>
      <c r="N1996" s="6" t="s">
        <v>9714</v>
      </c>
      <c r="O1996" s="16" t="n">
        <v>37734</v>
      </c>
      <c r="P1996" s="6" t="s">
        <v>10235</v>
      </c>
      <c r="Q1996" s="6" t="s">
        <v>104</v>
      </c>
      <c r="R1996" s="6" t="s">
        <v>104</v>
      </c>
      <c r="S1996" s="6" t="s">
        <v>104</v>
      </c>
      <c r="T1996" s="21" t="s">
        <v>104</v>
      </c>
      <c r="U1996" s="6" t="s">
        <v>104</v>
      </c>
      <c r="V1996" s="6" t="s">
        <v>104</v>
      </c>
      <c r="W1996" s="6" t="s">
        <v>104</v>
      </c>
      <c r="X1996" s="6" t="s">
        <v>104</v>
      </c>
      <c r="Y1996" s="21" t="s">
        <v>104</v>
      </c>
      <c r="Z1996" s="6" t="s">
        <v>104</v>
      </c>
      <c r="AA1996" s="6" t="s">
        <v>104</v>
      </c>
      <c r="AB1996" s="6" t="s">
        <v>104</v>
      </c>
      <c r="AC1996" s="6" t="s">
        <v>9714</v>
      </c>
      <c r="AD1996" s="16" t="n">
        <v>37734</v>
      </c>
      <c r="AE1996" s="6" t="s">
        <v>12264</v>
      </c>
      <c r="AF1996" s="6" t="s">
        <v>104</v>
      </c>
      <c r="AG1996" s="6" t="s">
        <v>104</v>
      </c>
      <c r="AH1996" s="6" t="s">
        <v>14983</v>
      </c>
      <c r="AI1996" s="6" t="s">
        <v>104</v>
      </c>
      <c r="AJ1996" s="6" t="s">
        <v>104</v>
      </c>
      <c r="AK1996" s="6" t="s">
        <v>104</v>
      </c>
      <c r="AL1996" s="6" t="s">
        <v>16940</v>
      </c>
      <c r="AM1996" s="6" t="s">
        <v>104</v>
      </c>
      <c r="AN1996" s="6" t="s">
        <v>104</v>
      </c>
      <c r="AO1996" s="6" t="s">
        <v>104</v>
      </c>
      <c r="AP1996" s="6" t="s">
        <v>104</v>
      </c>
      <c r="AQ1996" s="6" t="s">
        <v>104</v>
      </c>
      <c r="AR1996" s="6" t="s">
        <v>104</v>
      </c>
      <c r="AS1996" s="6" t="s">
        <v>104</v>
      </c>
      <c r="AT1996" s="6" t="s">
        <v>104</v>
      </c>
      <c r="AU1996" s="6" t="s">
        <v>104</v>
      </c>
      <c r="AV1996" s="6" t="s">
        <v>104</v>
      </c>
      <c r="AW1996" s="6" t="s">
        <v>104</v>
      </c>
      <c r="AX1996" s="6" t="s">
        <v>21656</v>
      </c>
      <c r="AY1996" s="6" t="s">
        <v>23473</v>
      </c>
      <c r="AZ1996" s="6" t="s">
        <v>104</v>
      </c>
      <c r="BA1996" s="6" t="s">
        <v>104</v>
      </c>
      <c r="BB1996" s="24" t="n">
        <v>20596</v>
      </c>
      <c r="BC1996" s="26"/>
      <c r="BD1996" s="26"/>
      <c r="BE1996" s="26"/>
      <c r="BF1996" s="26"/>
      <c r="BG1996" s="26"/>
      <c r="BH1996" s="26"/>
      <c r="BI1996" s="26"/>
      <c r="BJ1996" s="26"/>
      <c r="BK1996" s="26"/>
      <c r="BL1996" s="26"/>
      <c r="BM1996" s="26"/>
      <c r="BN1996" s="26"/>
      <c r="BO1996" s="26"/>
      <c r="BP1996" s="16" t="n">
        <v>45735</v>
      </c>
      <c r="BQ1996" s="28" t="str">
        <f>HYPERLINK("https://organic.ams.usda.gov/Integrity/Certificate.aspx?cid=21&amp;nopid=1780025304")</f>
        <v>https://organic.ams.usda.gov/Integrity/Certificate.aspx?cid=21&amp;nopid=1780025304</v>
      </c>
    </row>
    <row r="1997">
      <c r="A1997" t="s">
        <v>3</v>
      </c>
      <c r="B1997" s="6" t="s">
        <v>11</v>
      </c>
      <c r="C1997" s="6" t="s">
        <v>77</v>
      </c>
      <c r="D1997" s="6" t="s">
        <v>142</v>
      </c>
      <c r="E1997" s="10" t="s">
        <v>2195</v>
      </c>
      <c r="F1997" s="6" t="s">
        <v>4403</v>
      </c>
      <c r="G1997" s="6" t="s">
        <v>104</v>
      </c>
      <c r="H1997" s="6" t="s">
        <v>6692</v>
      </c>
      <c r="I1997" s="6" t="s">
        <v>8019</v>
      </c>
      <c r="J1997" s="6" t="s">
        <v>9541</v>
      </c>
      <c r="K1997" s="6" t="s">
        <v>9714</v>
      </c>
      <c r="L1997" s="16" t="n">
        <v>44557</v>
      </c>
      <c r="M1997" s="16" t="n">
        <v>45604</v>
      </c>
      <c r="N1997" s="6" t="s">
        <v>9714</v>
      </c>
      <c r="O1997" s="16" t="n">
        <v>44557</v>
      </c>
      <c r="P1997" s="6" t="s">
        <v>9813</v>
      </c>
      <c r="Q1997" s="6" t="s">
        <v>104</v>
      </c>
      <c r="R1997" s="6" t="s">
        <v>104</v>
      </c>
      <c r="S1997" s="6" t="s">
        <v>104</v>
      </c>
      <c r="T1997" s="21" t="s">
        <v>104</v>
      </c>
      <c r="U1997" s="6" t="s">
        <v>104</v>
      </c>
      <c r="V1997" s="6" t="s">
        <v>104</v>
      </c>
      <c r="W1997" s="6" t="s">
        <v>104</v>
      </c>
      <c r="X1997" s="6" t="s">
        <v>104</v>
      </c>
      <c r="Y1997" s="21" t="s">
        <v>104</v>
      </c>
      <c r="Z1997" s="6" t="s">
        <v>104</v>
      </c>
      <c r="AA1997" s="6" t="s">
        <v>104</v>
      </c>
      <c r="AB1997" s="6" t="s">
        <v>104</v>
      </c>
      <c r="AC1997" s="6" t="s">
        <v>9714</v>
      </c>
      <c r="AD1997" s="16" t="n">
        <v>44557</v>
      </c>
      <c r="AE1997" s="6" t="s">
        <v>12265</v>
      </c>
      <c r="AF1997" s="6" t="s">
        <v>104</v>
      </c>
      <c r="AG1997" s="6" t="s">
        <v>104</v>
      </c>
      <c r="AH1997" s="6" t="s">
        <v>14984</v>
      </c>
      <c r="AI1997" s="6" t="s">
        <v>15339</v>
      </c>
      <c r="AJ1997" s="6" t="s">
        <v>104</v>
      </c>
      <c r="AK1997" s="6" t="s">
        <v>16902</v>
      </c>
      <c r="AL1997" s="6" t="s">
        <v>16946</v>
      </c>
      <c r="AM1997" s="6" t="s">
        <v>104</v>
      </c>
      <c r="AN1997" s="6" t="s">
        <v>104</v>
      </c>
      <c r="AO1997" s="6" t="s">
        <v>104</v>
      </c>
      <c r="AP1997" s="6" t="s">
        <v>14984</v>
      </c>
      <c r="AQ1997" s="6" t="s">
        <v>15339</v>
      </c>
      <c r="AR1997" s="6" t="s">
        <v>104</v>
      </c>
      <c r="AS1997" s="6" t="s">
        <v>16902</v>
      </c>
      <c r="AT1997" s="6" t="s">
        <v>16946</v>
      </c>
      <c r="AU1997" s="6" t="s">
        <v>104</v>
      </c>
      <c r="AV1997" s="6" t="s">
        <v>104</v>
      </c>
      <c r="AW1997" s="6" t="s">
        <v>104</v>
      </c>
      <c r="AX1997" s="6" t="s">
        <v>21657</v>
      </c>
      <c r="AY1997" s="6" t="s">
        <v>23474</v>
      </c>
      <c r="AZ1997" s="6" t="s">
        <v>104</v>
      </c>
      <c r="BA1997" s="6" t="s">
        <v>104</v>
      </c>
      <c r="BB1997" s="24" t="n">
        <v>74</v>
      </c>
      <c r="BC1997" s="26"/>
      <c r="BD1997" s="26"/>
      <c r="BE1997" s="26"/>
      <c r="BF1997" s="26"/>
      <c r="BG1997" s="26"/>
      <c r="BH1997" s="26"/>
      <c r="BI1997" s="26"/>
      <c r="BJ1997" s="26"/>
      <c r="BK1997" s="26"/>
      <c r="BL1997" s="26"/>
      <c r="BM1997" s="26"/>
      <c r="BN1997" s="26"/>
      <c r="BO1997" s="26"/>
      <c r="BP1997" s="16" t="n">
        <v>45700</v>
      </c>
      <c r="BQ1997" s="28" t="str">
        <f>HYPERLINK("https://organic.ams.usda.gov/Integrity/Certificate.aspx?cid=21&amp;nopid=1780878211")</f>
        <v>https://organic.ams.usda.gov/Integrity/Certificate.aspx?cid=21&amp;nopid=1780878211</v>
      </c>
    </row>
    <row r="1998">
      <c r="A1998" t="s">
        <v>3</v>
      </c>
      <c r="B1998" s="6" t="s">
        <v>6</v>
      </c>
      <c r="C1998" s="6" t="s">
        <v>72</v>
      </c>
      <c r="D1998" s="6" t="s">
        <v>137</v>
      </c>
      <c r="E1998" s="10" t="s">
        <v>2196</v>
      </c>
      <c r="F1998" s="6" t="s">
        <v>4404</v>
      </c>
      <c r="G1998" s="6" t="s">
        <v>104</v>
      </c>
      <c r="H1998" s="6" t="s">
        <v>6693</v>
      </c>
      <c r="I1998" s="6" t="s">
        <v>7282</v>
      </c>
      <c r="J1998" s="6" t="s">
        <v>9542</v>
      </c>
      <c r="K1998" s="6" t="s">
        <v>9714</v>
      </c>
      <c r="L1998" s="16" t="n">
        <v>43895</v>
      </c>
      <c r="M1998" s="16" t="n">
        <v>45826</v>
      </c>
      <c r="N1998" s="6" t="s">
        <v>104</v>
      </c>
      <c r="O1998" s="21" t="s">
        <v>104</v>
      </c>
      <c r="P1998" s="6" t="s">
        <v>104</v>
      </c>
      <c r="Q1998" s="6" t="s">
        <v>104</v>
      </c>
      <c r="R1998" s="6" t="s">
        <v>104</v>
      </c>
      <c r="S1998" s="6" t="s">
        <v>104</v>
      </c>
      <c r="T1998" s="21" t="s">
        <v>104</v>
      </c>
      <c r="U1998" s="6" t="s">
        <v>104</v>
      </c>
      <c r="V1998" s="6" t="s">
        <v>104</v>
      </c>
      <c r="W1998" s="6" t="s">
        <v>104</v>
      </c>
      <c r="X1998" s="6" t="s">
        <v>104</v>
      </c>
      <c r="Y1998" s="21" t="s">
        <v>104</v>
      </c>
      <c r="Z1998" s="6" t="s">
        <v>104</v>
      </c>
      <c r="AA1998" s="6" t="s">
        <v>104</v>
      </c>
      <c r="AB1998" s="6" t="s">
        <v>104</v>
      </c>
      <c r="AC1998" s="6" t="s">
        <v>9714</v>
      </c>
      <c r="AD1998" s="16" t="n">
        <v>43895</v>
      </c>
      <c r="AE1998" s="6" t="s">
        <v>12266</v>
      </c>
      <c r="AF1998" s="6" t="s">
        <v>104</v>
      </c>
      <c r="AG1998" s="6" t="s">
        <v>13087</v>
      </c>
      <c r="AH1998" s="6" t="s">
        <v>14985</v>
      </c>
      <c r="AI1998" s="6" t="s">
        <v>104</v>
      </c>
      <c r="AJ1998" s="6" t="s">
        <v>15491</v>
      </c>
      <c r="AK1998" s="6" t="s">
        <v>15707</v>
      </c>
      <c r="AL1998" s="6" t="s">
        <v>16766</v>
      </c>
      <c r="AM1998" s="6" t="s">
        <v>17329</v>
      </c>
      <c r="AN1998" s="6" t="s">
        <v>104</v>
      </c>
      <c r="AO1998" s="6" t="s">
        <v>104</v>
      </c>
      <c r="AP1998" s="6" t="s">
        <v>104</v>
      </c>
      <c r="AQ1998" s="6" t="s">
        <v>104</v>
      </c>
      <c r="AR1998" s="6" t="s">
        <v>104</v>
      </c>
      <c r="AS1998" s="6" t="s">
        <v>104</v>
      </c>
      <c r="AT1998" s="6" t="s">
        <v>104</v>
      </c>
      <c r="AU1998" s="6" t="s">
        <v>104</v>
      </c>
      <c r="AV1998" s="6" t="s">
        <v>104</v>
      </c>
      <c r="AW1998" s="6" t="s">
        <v>104</v>
      </c>
      <c r="AX1998" s="6" t="s">
        <v>21658</v>
      </c>
      <c r="AY1998" s="6" t="s">
        <v>22028</v>
      </c>
      <c r="AZ1998" s="6" t="s">
        <v>104</v>
      </c>
      <c r="BA1998" s="6" t="s">
        <v>24258</v>
      </c>
      <c r="BB1998" s="6" t="s">
        <v>104</v>
      </c>
      <c r="BC1998" s="26"/>
      <c r="BD1998" s="26"/>
      <c r="BE1998" s="26"/>
      <c r="BF1998" s="26"/>
      <c r="BG1998" s="26"/>
      <c r="BH1998" s="26"/>
      <c r="BI1998" s="26"/>
      <c r="BJ1998" s="26"/>
      <c r="BK1998" s="26"/>
      <c r="BL1998" s="26"/>
      <c r="BM1998" s="26"/>
      <c r="BN1998" s="26"/>
      <c r="BO1998" s="26"/>
      <c r="BP1998" s="16" t="n">
        <v>45737</v>
      </c>
      <c r="BQ1998" s="28" t="str">
        <f>HYPERLINK("https://organic.ams.usda.gov/Integrity/Certificate.aspx?cid=32&amp;nopid=2230007141")</f>
        <v>https://organic.ams.usda.gov/Integrity/Certificate.aspx?cid=32&amp;nopid=2230007141</v>
      </c>
    </row>
    <row r="1999">
      <c r="A1999" t="s">
        <v>3</v>
      </c>
      <c r="B1999" s="6" t="s">
        <v>6</v>
      </c>
      <c r="C1999" s="6" t="s">
        <v>72</v>
      </c>
      <c r="D1999" s="6" t="s">
        <v>137</v>
      </c>
      <c r="E1999" s="10" t="s">
        <v>2197</v>
      </c>
      <c r="F1999" s="6" t="s">
        <v>4405</v>
      </c>
      <c r="G1999" s="6" t="s">
        <v>104</v>
      </c>
      <c r="H1999" s="6" t="s">
        <v>6694</v>
      </c>
      <c r="I1999" s="6" t="s">
        <v>7282</v>
      </c>
      <c r="J1999" s="6" t="s">
        <v>9542</v>
      </c>
      <c r="K1999" s="6" t="s">
        <v>9714</v>
      </c>
      <c r="L1999" s="16" t="n">
        <v>43895</v>
      </c>
      <c r="M1999" s="16" t="n">
        <v>45832</v>
      </c>
      <c r="N1999" s="6" t="s">
        <v>104</v>
      </c>
      <c r="O1999" s="21" t="s">
        <v>104</v>
      </c>
      <c r="P1999" s="6" t="s">
        <v>104</v>
      </c>
      <c r="Q1999" s="6" t="s">
        <v>104</v>
      </c>
      <c r="R1999" s="6" t="s">
        <v>104</v>
      </c>
      <c r="S1999" s="6" t="s">
        <v>104</v>
      </c>
      <c r="T1999" s="21" t="s">
        <v>104</v>
      </c>
      <c r="U1999" s="6" t="s">
        <v>104</v>
      </c>
      <c r="V1999" s="6" t="s">
        <v>104</v>
      </c>
      <c r="W1999" s="6" t="s">
        <v>104</v>
      </c>
      <c r="X1999" s="6" t="s">
        <v>104</v>
      </c>
      <c r="Y1999" s="21" t="s">
        <v>104</v>
      </c>
      <c r="Z1999" s="6" t="s">
        <v>104</v>
      </c>
      <c r="AA1999" s="6" t="s">
        <v>104</v>
      </c>
      <c r="AB1999" s="6" t="s">
        <v>104</v>
      </c>
      <c r="AC1999" s="6" t="s">
        <v>9714</v>
      </c>
      <c r="AD1999" s="16" t="n">
        <v>43895</v>
      </c>
      <c r="AE1999" s="6" t="s">
        <v>12267</v>
      </c>
      <c r="AF1999" s="6" t="s">
        <v>104</v>
      </c>
      <c r="AG1999" s="6" t="s">
        <v>13088</v>
      </c>
      <c r="AH1999" s="6" t="s">
        <v>14986</v>
      </c>
      <c r="AI1999" s="6" t="s">
        <v>104</v>
      </c>
      <c r="AJ1999" s="6" t="s">
        <v>15491</v>
      </c>
      <c r="AK1999" s="6" t="s">
        <v>15707</v>
      </c>
      <c r="AL1999" s="6" t="s">
        <v>16766</v>
      </c>
      <c r="AM1999" s="6" t="s">
        <v>104</v>
      </c>
      <c r="AN1999" s="6" t="s">
        <v>104</v>
      </c>
      <c r="AO1999" s="6" t="s">
        <v>104</v>
      </c>
      <c r="AP1999" s="6" t="s">
        <v>104</v>
      </c>
      <c r="AQ1999" s="6" t="s">
        <v>104</v>
      </c>
      <c r="AR1999" s="6" t="s">
        <v>104</v>
      </c>
      <c r="AS1999" s="6" t="s">
        <v>104</v>
      </c>
      <c r="AT1999" s="6" t="s">
        <v>104</v>
      </c>
      <c r="AU1999" s="6" t="s">
        <v>104</v>
      </c>
      <c r="AV1999" s="6" t="s">
        <v>104</v>
      </c>
      <c r="AW1999" s="6" t="s">
        <v>104</v>
      </c>
      <c r="AX1999" s="6" t="s">
        <v>21658</v>
      </c>
      <c r="AY1999" s="6" t="s">
        <v>22028</v>
      </c>
      <c r="AZ1999" s="6" t="s">
        <v>104</v>
      </c>
      <c r="BA1999" s="6" t="s">
        <v>24503</v>
      </c>
      <c r="BB1999" s="6" t="s">
        <v>104</v>
      </c>
      <c r="BC1999" s="26"/>
      <c r="BD1999" s="26"/>
      <c r="BE1999" s="26"/>
      <c r="BF1999" s="26"/>
      <c r="BG1999" s="26"/>
      <c r="BH1999" s="26"/>
      <c r="BI1999" s="26"/>
      <c r="BJ1999" s="26"/>
      <c r="BK1999" s="26"/>
      <c r="BL1999" s="26"/>
      <c r="BM1999" s="26"/>
      <c r="BN1999" s="26"/>
      <c r="BO1999" s="26"/>
      <c r="BP1999" s="16" t="n">
        <v>45737</v>
      </c>
      <c r="BQ1999" s="28" t="str">
        <f>HYPERLINK("https://organic.ams.usda.gov/Integrity/Certificate.aspx?cid=32&amp;nopid=2230008927")</f>
        <v>https://organic.ams.usda.gov/Integrity/Certificate.aspx?cid=32&amp;nopid=2230008927</v>
      </c>
    </row>
    <row r="2000">
      <c r="A2000" t="s">
        <v>3</v>
      </c>
      <c r="B2000" s="6" t="s">
        <v>12</v>
      </c>
      <c r="C2000" s="6" t="s">
        <v>78</v>
      </c>
      <c r="D2000" s="6" t="s">
        <v>143</v>
      </c>
      <c r="E2000" s="10" t="s">
        <v>2198</v>
      </c>
      <c r="F2000" s="6" t="s">
        <v>4406</v>
      </c>
      <c r="G2000" s="6" t="s">
        <v>104</v>
      </c>
      <c r="H2000" s="6" t="s">
        <v>104</v>
      </c>
      <c r="I2000" s="6" t="s">
        <v>7383</v>
      </c>
      <c r="J2000" s="6" t="s">
        <v>9543</v>
      </c>
      <c r="K2000" s="6" t="s">
        <v>9714</v>
      </c>
      <c r="L2000" s="16" t="n">
        <v>45457</v>
      </c>
      <c r="M2000" s="16" t="n">
        <v>45717</v>
      </c>
      <c r="N2000" s="6" t="s">
        <v>104</v>
      </c>
      <c r="O2000" s="21" t="s">
        <v>104</v>
      </c>
      <c r="P2000" s="6" t="s">
        <v>104</v>
      </c>
      <c r="Q2000" s="6" t="s">
        <v>104</v>
      </c>
      <c r="R2000" s="6" t="s">
        <v>104</v>
      </c>
      <c r="S2000" s="6" t="s">
        <v>104</v>
      </c>
      <c r="T2000" s="21" t="s">
        <v>104</v>
      </c>
      <c r="U2000" s="6" t="s">
        <v>104</v>
      </c>
      <c r="V2000" s="6" t="s">
        <v>104</v>
      </c>
      <c r="W2000" s="6" t="s">
        <v>104</v>
      </c>
      <c r="X2000" s="6" t="s">
        <v>104</v>
      </c>
      <c r="Y2000" s="21" t="s">
        <v>104</v>
      </c>
      <c r="Z2000" s="6" t="s">
        <v>104</v>
      </c>
      <c r="AA2000" s="6" t="s">
        <v>104</v>
      </c>
      <c r="AB2000" s="6" t="s">
        <v>104</v>
      </c>
      <c r="AC2000" s="6" t="s">
        <v>9714</v>
      </c>
      <c r="AD2000" s="16" t="n">
        <v>45457</v>
      </c>
      <c r="AE2000" s="6" t="s">
        <v>12268</v>
      </c>
      <c r="AF2000" s="6" t="s">
        <v>104</v>
      </c>
      <c r="AG2000" s="6" t="s">
        <v>13089</v>
      </c>
      <c r="AH2000" s="6" t="s">
        <v>14987</v>
      </c>
      <c r="AI2000" s="6" t="s">
        <v>104</v>
      </c>
      <c r="AJ2000" s="6" t="s">
        <v>16554</v>
      </c>
      <c r="AK2000" s="6" t="s">
        <v>16710</v>
      </c>
      <c r="AL2000" s="6" t="s">
        <v>16931</v>
      </c>
      <c r="AM2000" s="6" t="s">
        <v>18292</v>
      </c>
      <c r="AN2000" s="6" t="s">
        <v>104</v>
      </c>
      <c r="AO2000" s="6" t="s">
        <v>104</v>
      </c>
      <c r="AP2000" s="6" t="s">
        <v>14987</v>
      </c>
      <c r="AQ2000" s="6" t="s">
        <v>104</v>
      </c>
      <c r="AR2000" s="6" t="s">
        <v>16554</v>
      </c>
      <c r="AS2000" s="6" t="s">
        <v>16710</v>
      </c>
      <c r="AT2000" s="6" t="s">
        <v>16931</v>
      </c>
      <c r="AU2000" s="6" t="s">
        <v>18292</v>
      </c>
      <c r="AV2000" s="6" t="s">
        <v>104</v>
      </c>
      <c r="AW2000" s="6" t="s">
        <v>104</v>
      </c>
      <c r="AX2000" s="6" t="s">
        <v>104</v>
      </c>
      <c r="AY2000" s="6" t="s">
        <v>23475</v>
      </c>
      <c r="AZ2000" s="6" t="s">
        <v>104</v>
      </c>
      <c r="BA2000" s="6" t="s">
        <v>104</v>
      </c>
      <c r="BB2000" s="6" t="s">
        <v>104</v>
      </c>
      <c r="BC2000" s="26"/>
      <c r="BD2000" s="26"/>
      <c r="BE2000" s="26"/>
      <c r="BF2000" s="26"/>
      <c r="BG2000" s="26"/>
      <c r="BH2000" s="26"/>
      <c r="BI2000" s="26"/>
      <c r="BJ2000" s="26"/>
      <c r="BK2000" s="26"/>
      <c r="BL2000" s="26"/>
      <c r="BM2000" s="26"/>
      <c r="BN2000" s="26"/>
      <c r="BO2000" s="26"/>
      <c r="BP2000" s="16" t="n">
        <v>45616</v>
      </c>
      <c r="BQ2000" s="28" t="str">
        <f>HYPERLINK("https://organic.ams.usda.gov/Integrity/Certificate.aspx?cid=1&amp;nopid=9092412001")</f>
        <v>https://organic.ams.usda.gov/Integrity/Certificate.aspx?cid=1&amp;nopid=9092412001</v>
      </c>
    </row>
    <row r="2001">
      <c r="A2001" t="s">
        <v>3</v>
      </c>
      <c r="B2001" s="6" t="s">
        <v>11</v>
      </c>
      <c r="C2001" s="6" t="s">
        <v>77</v>
      </c>
      <c r="D2001" s="6" t="s">
        <v>142</v>
      </c>
      <c r="E2001" s="10" t="s">
        <v>2199</v>
      </c>
      <c r="F2001" s="6" t="s">
        <v>4407</v>
      </c>
      <c r="G2001" s="6" t="s">
        <v>104</v>
      </c>
      <c r="H2001" s="6" t="s">
        <v>2199</v>
      </c>
      <c r="I2001" s="6" t="s">
        <v>8020</v>
      </c>
      <c r="J2001" s="6" t="s">
        <v>9544</v>
      </c>
      <c r="K2001" s="6" t="s">
        <v>9714</v>
      </c>
      <c r="L2001" s="16" t="n">
        <v>45428</v>
      </c>
      <c r="M2001" s="16" t="n">
        <v>45765</v>
      </c>
      <c r="N2001" s="6" t="s">
        <v>104</v>
      </c>
      <c r="O2001" s="21" t="s">
        <v>104</v>
      </c>
      <c r="P2001" s="6" t="s">
        <v>104</v>
      </c>
      <c r="Q2001" s="6" t="s">
        <v>104</v>
      </c>
      <c r="R2001" s="6" t="s">
        <v>104</v>
      </c>
      <c r="S2001" s="6" t="s">
        <v>104</v>
      </c>
      <c r="T2001" s="21" t="s">
        <v>104</v>
      </c>
      <c r="U2001" s="6" t="s">
        <v>104</v>
      </c>
      <c r="V2001" s="6" t="s">
        <v>104</v>
      </c>
      <c r="W2001" s="6" t="s">
        <v>104</v>
      </c>
      <c r="X2001" s="6" t="s">
        <v>104</v>
      </c>
      <c r="Y2001" s="21" t="s">
        <v>104</v>
      </c>
      <c r="Z2001" s="6" t="s">
        <v>104</v>
      </c>
      <c r="AA2001" s="6" t="s">
        <v>104</v>
      </c>
      <c r="AB2001" s="6" t="s">
        <v>104</v>
      </c>
      <c r="AC2001" s="6" t="s">
        <v>9714</v>
      </c>
      <c r="AD2001" s="16" t="n">
        <v>45428</v>
      </c>
      <c r="AE2001" s="6" t="s">
        <v>12269</v>
      </c>
      <c r="AF2001" s="6" t="s">
        <v>104</v>
      </c>
      <c r="AG2001" s="6" t="s">
        <v>104</v>
      </c>
      <c r="AH2001" s="6" t="s">
        <v>14988</v>
      </c>
      <c r="AI2001" s="6" t="s">
        <v>104</v>
      </c>
      <c r="AJ2001" s="6" t="s">
        <v>15383</v>
      </c>
      <c r="AK2001" s="6" t="s">
        <v>15383</v>
      </c>
      <c r="AL2001" s="6" t="s">
        <v>16933</v>
      </c>
      <c r="AM2001" s="6" t="s">
        <v>18293</v>
      </c>
      <c r="AN2001" s="6" t="s">
        <v>104</v>
      </c>
      <c r="AO2001" s="6" t="s">
        <v>104</v>
      </c>
      <c r="AP2001" s="6" t="s">
        <v>14988</v>
      </c>
      <c r="AQ2001" s="6" t="s">
        <v>104</v>
      </c>
      <c r="AR2001" s="6" t="s">
        <v>15383</v>
      </c>
      <c r="AS2001" s="6" t="s">
        <v>15383</v>
      </c>
      <c r="AT2001" s="6" t="s">
        <v>16933</v>
      </c>
      <c r="AU2001" s="6" t="s">
        <v>104</v>
      </c>
      <c r="AV2001" s="6" t="s">
        <v>104</v>
      </c>
      <c r="AW2001" s="6" t="s">
        <v>104</v>
      </c>
      <c r="AX2001" s="6" t="s">
        <v>21659</v>
      </c>
      <c r="AY2001" s="6" t="s">
        <v>23476</v>
      </c>
      <c r="AZ2001" s="6" t="s">
        <v>104</v>
      </c>
      <c r="BA2001" s="6" t="s">
        <v>104</v>
      </c>
      <c r="BB2001" s="6" t="s">
        <v>104</v>
      </c>
      <c r="BC2001" s="26"/>
      <c r="BD2001" s="26"/>
      <c r="BE2001" s="26"/>
      <c r="BF2001" s="26"/>
      <c r="BG2001" s="26"/>
      <c r="BH2001" s="26"/>
      <c r="BI2001" s="26"/>
      <c r="BJ2001" s="26"/>
      <c r="BK2001" s="26"/>
      <c r="BL2001" s="26"/>
      <c r="BM2001" s="26"/>
      <c r="BN2001" s="26"/>
      <c r="BO2001" s="26"/>
      <c r="BP2001" s="16" t="n">
        <v>45429</v>
      </c>
      <c r="BQ2001" s="28" t="str">
        <f>HYPERLINK("https://organic.ams.usda.gov/Integrity/Certificate.aspx?cid=21&amp;nopid=1780896272")</f>
        <v>https://organic.ams.usda.gov/Integrity/Certificate.aspx?cid=21&amp;nopid=1780896272</v>
      </c>
    </row>
    <row r="2002">
      <c r="A2002" t="s">
        <v>3</v>
      </c>
      <c r="B2002" s="6" t="s">
        <v>11</v>
      </c>
      <c r="C2002" s="6" t="s">
        <v>77</v>
      </c>
      <c r="D2002" s="6" t="s">
        <v>142</v>
      </c>
      <c r="E2002" s="10" t="s">
        <v>2200</v>
      </c>
      <c r="F2002" s="6" t="s">
        <v>4408</v>
      </c>
      <c r="G2002" s="6" t="s">
        <v>104</v>
      </c>
      <c r="H2002" s="6" t="s">
        <v>2200</v>
      </c>
      <c r="I2002" s="6" t="s">
        <v>7346</v>
      </c>
      <c r="J2002" s="6" t="s">
        <v>9545</v>
      </c>
      <c r="K2002" s="6" t="s">
        <v>9714</v>
      </c>
      <c r="L2002" s="16" t="n">
        <v>44676</v>
      </c>
      <c r="M2002" s="16" t="n">
        <v>45740</v>
      </c>
      <c r="N2002" s="6" t="s">
        <v>104</v>
      </c>
      <c r="O2002" s="21" t="s">
        <v>104</v>
      </c>
      <c r="P2002" s="6" t="s">
        <v>104</v>
      </c>
      <c r="Q2002" s="6" t="s">
        <v>104</v>
      </c>
      <c r="R2002" s="6" t="s">
        <v>104</v>
      </c>
      <c r="S2002" s="6" t="s">
        <v>104</v>
      </c>
      <c r="T2002" s="21" t="s">
        <v>104</v>
      </c>
      <c r="U2002" s="6" t="s">
        <v>104</v>
      </c>
      <c r="V2002" s="6" t="s">
        <v>104</v>
      </c>
      <c r="W2002" s="6" t="s">
        <v>104</v>
      </c>
      <c r="X2002" s="6" t="s">
        <v>104</v>
      </c>
      <c r="Y2002" s="21" t="s">
        <v>104</v>
      </c>
      <c r="Z2002" s="6" t="s">
        <v>104</v>
      </c>
      <c r="AA2002" s="6" t="s">
        <v>104</v>
      </c>
      <c r="AB2002" s="6" t="s">
        <v>104</v>
      </c>
      <c r="AC2002" s="6" t="s">
        <v>9714</v>
      </c>
      <c r="AD2002" s="16" t="n">
        <v>44676</v>
      </c>
      <c r="AE2002" s="6" t="s">
        <v>12270</v>
      </c>
      <c r="AF2002" s="6" t="s">
        <v>104</v>
      </c>
      <c r="AG2002" s="6" t="s">
        <v>13090</v>
      </c>
      <c r="AH2002" s="6" t="s">
        <v>14989</v>
      </c>
      <c r="AI2002" s="6" t="s">
        <v>104</v>
      </c>
      <c r="AJ2002" s="6" t="s">
        <v>16555</v>
      </c>
      <c r="AK2002" s="6" t="s">
        <v>15885</v>
      </c>
      <c r="AL2002" s="6" t="s">
        <v>16932</v>
      </c>
      <c r="AM2002" s="6" t="s">
        <v>18294</v>
      </c>
      <c r="AN2002" s="6" t="s">
        <v>104</v>
      </c>
      <c r="AO2002" s="6" t="s">
        <v>104</v>
      </c>
      <c r="AP2002" s="6" t="s">
        <v>14989</v>
      </c>
      <c r="AQ2002" s="6" t="s">
        <v>104</v>
      </c>
      <c r="AR2002" s="6" t="s">
        <v>16555</v>
      </c>
      <c r="AS2002" s="6" t="s">
        <v>15885</v>
      </c>
      <c r="AT2002" s="6" t="s">
        <v>16932</v>
      </c>
      <c r="AU2002" s="6" t="s">
        <v>18294</v>
      </c>
      <c r="AV2002" s="6" t="s">
        <v>104</v>
      </c>
      <c r="AW2002" s="6" t="s">
        <v>104</v>
      </c>
      <c r="AX2002" s="6" t="s">
        <v>21660</v>
      </c>
      <c r="AY2002" s="6" t="s">
        <v>23477</v>
      </c>
      <c r="AZ2002" s="6" t="s">
        <v>104</v>
      </c>
      <c r="BA2002" s="6" t="s">
        <v>104</v>
      </c>
      <c r="BB2002" s="6" t="s">
        <v>104</v>
      </c>
      <c r="BC2002" s="26"/>
      <c r="BD2002" s="26"/>
      <c r="BE2002" s="26"/>
      <c r="BF2002" s="26"/>
      <c r="BG2002" s="26"/>
      <c r="BH2002" s="26"/>
      <c r="BI2002" s="26"/>
      <c r="BJ2002" s="26"/>
      <c r="BK2002" s="26"/>
      <c r="BL2002" s="26"/>
      <c r="BM2002" s="26"/>
      <c r="BN2002" s="26" t="s">
        <v>24533</v>
      </c>
      <c r="BO2002" s="26"/>
      <c r="BP2002" s="16" t="n">
        <v>45397</v>
      </c>
      <c r="BQ2002" s="28" t="str">
        <f>HYPERLINK("https://organic.ams.usda.gov/Integrity/Certificate.aspx?cid=21&amp;nopid=1780851339")</f>
        <v>https://organic.ams.usda.gov/Integrity/Certificate.aspx?cid=21&amp;nopid=1780851339</v>
      </c>
    </row>
    <row r="2003">
      <c r="A2003" t="s">
        <v>3</v>
      </c>
      <c r="B2003" s="6" t="s">
        <v>29</v>
      </c>
      <c r="C2003" s="6" t="s">
        <v>95</v>
      </c>
      <c r="D2003" s="6" t="s">
        <v>160</v>
      </c>
      <c r="E2003" s="10" t="s">
        <v>2201</v>
      </c>
      <c r="F2003" s="6" t="s">
        <v>4409</v>
      </c>
      <c r="G2003" s="6" t="s">
        <v>104</v>
      </c>
      <c r="H2003" s="6" t="s">
        <v>6695</v>
      </c>
      <c r="I2003" s="6" t="s">
        <v>104</v>
      </c>
      <c r="J2003" s="6" t="s">
        <v>9546</v>
      </c>
      <c r="K2003" s="6" t="s">
        <v>9714</v>
      </c>
      <c r="L2003" s="16" t="n">
        <v>44511</v>
      </c>
      <c r="M2003" s="16" t="n">
        <v>45870</v>
      </c>
      <c r="N2003" s="6" t="s">
        <v>104</v>
      </c>
      <c r="O2003" s="21" t="s">
        <v>104</v>
      </c>
      <c r="P2003" s="6" t="s">
        <v>104</v>
      </c>
      <c r="Q2003" s="6" t="s">
        <v>104</v>
      </c>
      <c r="R2003" s="6" t="s">
        <v>104</v>
      </c>
      <c r="S2003" s="6" t="s">
        <v>104</v>
      </c>
      <c r="T2003" s="21" t="s">
        <v>104</v>
      </c>
      <c r="U2003" s="6" t="s">
        <v>104</v>
      </c>
      <c r="V2003" s="6" t="s">
        <v>104</v>
      </c>
      <c r="W2003" s="6" t="s">
        <v>104</v>
      </c>
      <c r="X2003" s="6" t="s">
        <v>104</v>
      </c>
      <c r="Y2003" s="21" t="s">
        <v>104</v>
      </c>
      <c r="Z2003" s="6" t="s">
        <v>104</v>
      </c>
      <c r="AA2003" s="6" t="s">
        <v>104</v>
      </c>
      <c r="AB2003" s="6" t="s">
        <v>104</v>
      </c>
      <c r="AC2003" s="6" t="s">
        <v>9714</v>
      </c>
      <c r="AD2003" s="16" t="n">
        <v>44511</v>
      </c>
      <c r="AE2003" s="6" t="s">
        <v>12271</v>
      </c>
      <c r="AF2003" s="6" t="s">
        <v>104</v>
      </c>
      <c r="AG2003" s="6" t="s">
        <v>104</v>
      </c>
      <c r="AH2003" s="6" t="s">
        <v>14990</v>
      </c>
      <c r="AI2003" s="6" t="s">
        <v>104</v>
      </c>
      <c r="AJ2003" s="6" t="s">
        <v>104</v>
      </c>
      <c r="AK2003" s="6" t="s">
        <v>15885</v>
      </c>
      <c r="AL2003" s="6" t="s">
        <v>16932</v>
      </c>
      <c r="AM2003" s="6" t="s">
        <v>18295</v>
      </c>
      <c r="AN2003" s="6" t="s">
        <v>104</v>
      </c>
      <c r="AO2003" s="6" t="s">
        <v>104</v>
      </c>
      <c r="AP2003" s="6" t="s">
        <v>104</v>
      </c>
      <c r="AQ2003" s="6" t="s">
        <v>104</v>
      </c>
      <c r="AR2003" s="6" t="s">
        <v>104</v>
      </c>
      <c r="AS2003" s="6" t="s">
        <v>104</v>
      </c>
      <c r="AT2003" s="6" t="s">
        <v>104</v>
      </c>
      <c r="AU2003" s="6" t="s">
        <v>104</v>
      </c>
      <c r="AV2003" s="6" t="s">
        <v>104</v>
      </c>
      <c r="AW2003" s="6" t="s">
        <v>104</v>
      </c>
      <c r="AX2003" s="6" t="s">
        <v>104</v>
      </c>
      <c r="AY2003" s="6" t="s">
        <v>23478</v>
      </c>
      <c r="AZ2003" s="6" t="s">
        <v>104</v>
      </c>
      <c r="BA2003" s="6" t="s">
        <v>104</v>
      </c>
      <c r="BB2003" s="24" t="n">
        <v>0</v>
      </c>
      <c r="BC2003" s="26"/>
      <c r="BD2003" s="26"/>
      <c r="BE2003" s="26"/>
      <c r="BF2003" s="26"/>
      <c r="BG2003" s="26"/>
      <c r="BH2003" s="26"/>
      <c r="BI2003" s="26"/>
      <c r="BJ2003" s="26"/>
      <c r="BK2003" s="26"/>
      <c r="BL2003" s="26"/>
      <c r="BM2003" s="26"/>
      <c r="BN2003" s="26"/>
      <c r="BO2003" s="26"/>
      <c r="BP2003" s="16" t="n">
        <v>45724</v>
      </c>
      <c r="BQ2003" s="28" t="str">
        <f>HYPERLINK("https://organic.ams.usda.gov/Integrity/Certificate.aspx?cid=24&amp;nopid=7880154493")</f>
        <v>https://organic.ams.usda.gov/Integrity/Certificate.aspx?cid=24&amp;nopid=7880154493</v>
      </c>
    </row>
    <row r="2004">
      <c r="A2004" t="s">
        <v>3</v>
      </c>
      <c r="B2004" s="6" t="s">
        <v>12</v>
      </c>
      <c r="C2004" s="6" t="s">
        <v>78</v>
      </c>
      <c r="D2004" s="6" t="s">
        <v>143</v>
      </c>
      <c r="E2004" s="10" t="s">
        <v>2202</v>
      </c>
      <c r="F2004" s="6" t="s">
        <v>4410</v>
      </c>
      <c r="G2004" s="6" t="s">
        <v>104</v>
      </c>
      <c r="H2004" s="6" t="s">
        <v>104</v>
      </c>
      <c r="I2004" s="6" t="s">
        <v>8021</v>
      </c>
      <c r="J2004" s="6" t="s">
        <v>7278</v>
      </c>
      <c r="K2004" s="6" t="s">
        <v>9714</v>
      </c>
      <c r="L2004" s="16" t="n">
        <v>40842</v>
      </c>
      <c r="M2004" s="16" t="n">
        <v>45956</v>
      </c>
      <c r="N2004" s="6" t="s">
        <v>104</v>
      </c>
      <c r="O2004" s="21" t="s">
        <v>104</v>
      </c>
      <c r="P2004" s="6" t="s">
        <v>104</v>
      </c>
      <c r="Q2004" s="6" t="s">
        <v>104</v>
      </c>
      <c r="R2004" s="6" t="s">
        <v>104</v>
      </c>
      <c r="S2004" s="6" t="s">
        <v>104</v>
      </c>
      <c r="T2004" s="21" t="s">
        <v>104</v>
      </c>
      <c r="U2004" s="6" t="s">
        <v>104</v>
      </c>
      <c r="V2004" s="6" t="s">
        <v>104</v>
      </c>
      <c r="W2004" s="6" t="s">
        <v>104</v>
      </c>
      <c r="X2004" s="6" t="s">
        <v>104</v>
      </c>
      <c r="Y2004" s="21" t="s">
        <v>104</v>
      </c>
      <c r="Z2004" s="6" t="s">
        <v>104</v>
      </c>
      <c r="AA2004" s="6" t="s">
        <v>104</v>
      </c>
      <c r="AB2004" s="6" t="s">
        <v>104</v>
      </c>
      <c r="AC2004" s="6" t="s">
        <v>9714</v>
      </c>
      <c r="AD2004" s="16" t="n">
        <v>40842</v>
      </c>
      <c r="AE2004" s="6" t="s">
        <v>12272</v>
      </c>
      <c r="AF2004" s="6" t="s">
        <v>104</v>
      </c>
      <c r="AG2004" s="6" t="s">
        <v>104</v>
      </c>
      <c r="AH2004" s="6" t="s">
        <v>14991</v>
      </c>
      <c r="AI2004" s="6" t="s">
        <v>104</v>
      </c>
      <c r="AJ2004" s="6" t="s">
        <v>15542</v>
      </c>
      <c r="AK2004" s="6" t="s">
        <v>16687</v>
      </c>
      <c r="AL2004" s="6" t="s">
        <v>16931</v>
      </c>
      <c r="AM2004" s="6" t="s">
        <v>18296</v>
      </c>
      <c r="AN2004" s="6" t="s">
        <v>18487</v>
      </c>
      <c r="AO2004" s="6" t="s">
        <v>18601</v>
      </c>
      <c r="AP2004" s="6" t="s">
        <v>14991</v>
      </c>
      <c r="AQ2004" s="6" t="s">
        <v>104</v>
      </c>
      <c r="AR2004" s="6" t="s">
        <v>15542</v>
      </c>
      <c r="AS2004" s="6" t="s">
        <v>16687</v>
      </c>
      <c r="AT2004" s="6" t="s">
        <v>16931</v>
      </c>
      <c r="AU2004" s="6" t="s">
        <v>18296</v>
      </c>
      <c r="AV2004" s="6" t="s">
        <v>104</v>
      </c>
      <c r="AW2004" s="6" t="s">
        <v>104</v>
      </c>
      <c r="AX2004" s="6" t="s">
        <v>104</v>
      </c>
      <c r="AY2004" s="6" t="s">
        <v>23479</v>
      </c>
      <c r="AZ2004" s="6" t="s">
        <v>104</v>
      </c>
      <c r="BA2004" s="6" t="s">
        <v>104</v>
      </c>
      <c r="BB2004" s="6" t="s">
        <v>104</v>
      </c>
      <c r="BC2004" s="26"/>
      <c r="BD2004" s="26"/>
      <c r="BE2004" s="26"/>
      <c r="BF2004" s="26"/>
      <c r="BG2004" s="26"/>
      <c r="BH2004" s="26"/>
      <c r="BI2004" s="26"/>
      <c r="BJ2004" s="26"/>
      <c r="BK2004" s="26"/>
      <c r="BL2004" s="26"/>
      <c r="BM2004" s="26"/>
      <c r="BN2004" s="26"/>
      <c r="BO2004" s="26"/>
      <c r="BP2004" s="16" t="n">
        <v>45628</v>
      </c>
      <c r="BQ2004" s="28" t="str">
        <f>HYPERLINK("https://organic.ams.usda.gov/Integrity/Certificate.aspx?cid=1&amp;nopid=9091129801")</f>
        <v>https://organic.ams.usda.gov/Integrity/Certificate.aspx?cid=1&amp;nopid=9091129801</v>
      </c>
    </row>
    <row r="2005">
      <c r="A2005" t="s">
        <v>3</v>
      </c>
      <c r="B2005" s="6" t="s">
        <v>20</v>
      </c>
      <c r="C2005" s="6" t="s">
        <v>86</v>
      </c>
      <c r="D2005" s="6" t="s">
        <v>151</v>
      </c>
      <c r="E2005" s="10" t="s">
        <v>2203</v>
      </c>
      <c r="F2005" s="6" t="s">
        <v>4411</v>
      </c>
      <c r="G2005" s="6" t="s">
        <v>104</v>
      </c>
      <c r="H2005" s="6" t="s">
        <v>6696</v>
      </c>
      <c r="I2005" s="6" t="s">
        <v>7406</v>
      </c>
      <c r="J2005" s="6" t="s">
        <v>8689</v>
      </c>
      <c r="K2005" s="6" t="s">
        <v>9714</v>
      </c>
      <c r="L2005" s="16" t="n">
        <v>44405</v>
      </c>
      <c r="M2005" s="16" t="n">
        <v>45747</v>
      </c>
      <c r="N2005" s="6" t="s">
        <v>104</v>
      </c>
      <c r="O2005" s="21" t="s">
        <v>104</v>
      </c>
      <c r="P2005" s="6" t="s">
        <v>104</v>
      </c>
      <c r="Q2005" s="6" t="s">
        <v>104</v>
      </c>
      <c r="R2005" s="6" t="s">
        <v>104</v>
      </c>
      <c r="S2005" s="6" t="s">
        <v>104</v>
      </c>
      <c r="T2005" s="21" t="s">
        <v>104</v>
      </c>
      <c r="U2005" s="6" t="s">
        <v>104</v>
      </c>
      <c r="V2005" s="6" t="s">
        <v>104</v>
      </c>
      <c r="W2005" s="6" t="s">
        <v>104</v>
      </c>
      <c r="X2005" s="6" t="s">
        <v>104</v>
      </c>
      <c r="Y2005" s="21" t="s">
        <v>104</v>
      </c>
      <c r="Z2005" s="6" t="s">
        <v>104</v>
      </c>
      <c r="AA2005" s="6" t="s">
        <v>104</v>
      </c>
      <c r="AB2005" s="6" t="s">
        <v>104</v>
      </c>
      <c r="AC2005" s="6" t="s">
        <v>9714</v>
      </c>
      <c r="AD2005" s="16" t="n">
        <v>44405</v>
      </c>
      <c r="AE2005" s="6" t="s">
        <v>12273</v>
      </c>
      <c r="AF2005" s="6" t="s">
        <v>104</v>
      </c>
      <c r="AG2005" s="6" t="s">
        <v>13091</v>
      </c>
      <c r="AH2005" s="6" t="s">
        <v>14992</v>
      </c>
      <c r="AI2005" s="6" t="s">
        <v>104</v>
      </c>
      <c r="AJ2005" s="6" t="s">
        <v>16556</v>
      </c>
      <c r="AK2005" s="6" t="s">
        <v>16804</v>
      </c>
      <c r="AL2005" s="6" t="s">
        <v>15513</v>
      </c>
      <c r="AM2005" s="6" t="s">
        <v>17477</v>
      </c>
      <c r="AN2005" s="6" t="s">
        <v>104</v>
      </c>
      <c r="AO2005" s="6" t="s">
        <v>104</v>
      </c>
      <c r="AP2005" s="6" t="s">
        <v>104</v>
      </c>
      <c r="AQ2005" s="6" t="s">
        <v>104</v>
      </c>
      <c r="AR2005" s="6" t="s">
        <v>104</v>
      </c>
      <c r="AS2005" s="6" t="s">
        <v>104</v>
      </c>
      <c r="AT2005" s="6" t="s">
        <v>104</v>
      </c>
      <c r="AU2005" s="6" t="s">
        <v>104</v>
      </c>
      <c r="AV2005" s="6" t="s">
        <v>104</v>
      </c>
      <c r="AW2005" s="6" t="s">
        <v>104</v>
      </c>
      <c r="AX2005" s="6" t="s">
        <v>104</v>
      </c>
      <c r="AY2005" s="6" t="s">
        <v>104</v>
      </c>
      <c r="AZ2005" s="6" t="s">
        <v>104</v>
      </c>
      <c r="BA2005" s="6" t="s">
        <v>104</v>
      </c>
      <c r="BB2005" s="6" t="s">
        <v>104</v>
      </c>
      <c r="BC2005" s="26"/>
      <c r="BD2005" s="26"/>
      <c r="BE2005" s="26"/>
      <c r="BF2005" s="26"/>
      <c r="BG2005" s="26"/>
      <c r="BH2005" s="26"/>
      <c r="BI2005" s="26"/>
      <c r="BJ2005" s="26"/>
      <c r="BK2005" s="26"/>
      <c r="BL2005" s="26"/>
      <c r="BM2005" s="26"/>
      <c r="BN2005" s="26"/>
      <c r="BO2005" s="26"/>
      <c r="BP2005" s="16" t="n">
        <v>45401</v>
      </c>
      <c r="BQ2005" s="28" t="str">
        <f>HYPERLINK("https://organic.ams.usda.gov/Integrity/Certificate.aspx?cid=17&amp;nopid=4083574811")</f>
        <v>https://organic.ams.usda.gov/Integrity/Certificate.aspx?cid=17&amp;nopid=4083574811</v>
      </c>
    </row>
    <row r="2006">
      <c r="A2006" t="s">
        <v>3</v>
      </c>
      <c r="B2006" s="6" t="s">
        <v>52</v>
      </c>
      <c r="C2006" s="6" t="s">
        <v>118</v>
      </c>
      <c r="D2006" s="6" t="s">
        <v>182</v>
      </c>
      <c r="E2006" s="10" t="s">
        <v>2204</v>
      </c>
      <c r="F2006" s="6" t="s">
        <v>4412</v>
      </c>
      <c r="G2006" s="6" t="s">
        <v>104</v>
      </c>
      <c r="H2006" s="6" t="s">
        <v>6697</v>
      </c>
      <c r="I2006" s="6" t="s">
        <v>7599</v>
      </c>
      <c r="J2006" s="6" t="s">
        <v>7023</v>
      </c>
      <c r="K2006" s="6" t="s">
        <v>9714</v>
      </c>
      <c r="L2006" s="16" t="n">
        <v>37985</v>
      </c>
      <c r="M2006" s="16" t="n">
        <v>46068</v>
      </c>
      <c r="N2006" s="6" t="s">
        <v>104</v>
      </c>
      <c r="O2006" s="21" t="s">
        <v>104</v>
      </c>
      <c r="P2006" s="6" t="s">
        <v>104</v>
      </c>
      <c r="Q2006" s="6" t="s">
        <v>104</v>
      </c>
      <c r="R2006" s="6" t="s">
        <v>104</v>
      </c>
      <c r="S2006" s="6" t="s">
        <v>104</v>
      </c>
      <c r="T2006" s="21" t="s">
        <v>104</v>
      </c>
      <c r="U2006" s="6" t="s">
        <v>104</v>
      </c>
      <c r="V2006" s="6" t="s">
        <v>104</v>
      </c>
      <c r="W2006" s="6" t="s">
        <v>104</v>
      </c>
      <c r="X2006" s="6" t="s">
        <v>104</v>
      </c>
      <c r="Y2006" s="21" t="s">
        <v>104</v>
      </c>
      <c r="Z2006" s="6" t="s">
        <v>104</v>
      </c>
      <c r="AA2006" s="6" t="s">
        <v>104</v>
      </c>
      <c r="AB2006" s="6" t="s">
        <v>104</v>
      </c>
      <c r="AC2006" s="6" t="s">
        <v>9714</v>
      </c>
      <c r="AD2006" s="16" t="n">
        <v>37985</v>
      </c>
      <c r="AE2006" s="6" t="s">
        <v>12274</v>
      </c>
      <c r="AF2006" s="6" t="s">
        <v>104</v>
      </c>
      <c r="AG2006" s="6" t="s">
        <v>6697</v>
      </c>
      <c r="AH2006" s="6" t="s">
        <v>14993</v>
      </c>
      <c r="AI2006" s="6" t="s">
        <v>104</v>
      </c>
      <c r="AJ2006" s="6" t="s">
        <v>16557</v>
      </c>
      <c r="AK2006" s="6" t="s">
        <v>16681</v>
      </c>
      <c r="AL2006" s="6" t="s">
        <v>16931</v>
      </c>
      <c r="AM2006" s="6" t="s">
        <v>18297</v>
      </c>
      <c r="AN2006" s="6" t="s">
        <v>18552</v>
      </c>
      <c r="AO2006" s="6" t="s">
        <v>18911</v>
      </c>
      <c r="AP2006" s="6" t="s">
        <v>14993</v>
      </c>
      <c r="AQ2006" s="6" t="s">
        <v>104</v>
      </c>
      <c r="AR2006" s="6" t="s">
        <v>16557</v>
      </c>
      <c r="AS2006" s="6" t="s">
        <v>16681</v>
      </c>
      <c r="AT2006" s="6" t="s">
        <v>16931</v>
      </c>
      <c r="AU2006" s="6" t="s">
        <v>18297</v>
      </c>
      <c r="AV2006" s="6" t="s">
        <v>104</v>
      </c>
      <c r="AW2006" s="6" t="s">
        <v>104</v>
      </c>
      <c r="AX2006" s="6" t="s">
        <v>21661</v>
      </c>
      <c r="AY2006" s="6" t="s">
        <v>104</v>
      </c>
      <c r="AZ2006" s="6" t="s">
        <v>104</v>
      </c>
      <c r="BA2006" s="6" t="s">
        <v>104</v>
      </c>
      <c r="BB2006" s="6" t="s">
        <v>104</v>
      </c>
      <c r="BC2006" s="26"/>
      <c r="BD2006" s="26"/>
      <c r="BE2006" s="26"/>
      <c r="BF2006" s="26"/>
      <c r="BG2006" s="26"/>
      <c r="BH2006" s="26"/>
      <c r="BI2006" s="26"/>
      <c r="BJ2006" s="26"/>
      <c r="BK2006" s="26"/>
      <c r="BL2006" s="26"/>
      <c r="BM2006" s="26"/>
      <c r="BN2006" s="26"/>
      <c r="BO2006" s="26"/>
      <c r="BP2006" s="16" t="n">
        <v>45707</v>
      </c>
      <c r="BQ2006" s="28" t="str">
        <f>HYPERLINK("https://organic.ams.usda.gov/Integrity/Certificate.aspx?cid=36&amp;nopid=5405398250")</f>
        <v>https://organic.ams.usda.gov/Integrity/Certificate.aspx?cid=36&amp;nopid=5405398250</v>
      </c>
    </row>
    <row r="2007">
      <c r="A2007" t="s">
        <v>3</v>
      </c>
      <c r="B2007" s="6" t="s">
        <v>21</v>
      </c>
      <c r="C2007" s="6" t="s">
        <v>87</v>
      </c>
      <c r="D2007" s="6" t="s">
        <v>152</v>
      </c>
      <c r="E2007" s="10" t="s">
        <v>2205</v>
      </c>
      <c r="F2007" s="6" t="s">
        <v>4413</v>
      </c>
      <c r="G2007" s="6" t="s">
        <v>4872</v>
      </c>
      <c r="H2007" s="6" t="s">
        <v>6698</v>
      </c>
      <c r="I2007" s="6" t="s">
        <v>7123</v>
      </c>
      <c r="J2007" s="6" t="s">
        <v>9428</v>
      </c>
      <c r="K2007" s="6" t="s">
        <v>9714</v>
      </c>
      <c r="L2007" s="16" t="n">
        <v>40919</v>
      </c>
      <c r="M2007" s="16" t="n">
        <v>46023</v>
      </c>
      <c r="N2007" s="6" t="s">
        <v>104</v>
      </c>
      <c r="O2007" s="21" t="s">
        <v>104</v>
      </c>
      <c r="P2007" s="6" t="s">
        <v>104</v>
      </c>
      <c r="Q2007" s="6" t="s">
        <v>104</v>
      </c>
      <c r="R2007" s="6" t="s">
        <v>104</v>
      </c>
      <c r="S2007" s="6" t="s">
        <v>104</v>
      </c>
      <c r="T2007" s="21" t="s">
        <v>104</v>
      </c>
      <c r="U2007" s="6" t="s">
        <v>104</v>
      </c>
      <c r="V2007" s="6" t="s">
        <v>104</v>
      </c>
      <c r="W2007" s="6" t="s">
        <v>104</v>
      </c>
      <c r="X2007" s="6" t="s">
        <v>104</v>
      </c>
      <c r="Y2007" s="21" t="s">
        <v>104</v>
      </c>
      <c r="Z2007" s="6" t="s">
        <v>104</v>
      </c>
      <c r="AA2007" s="6" t="s">
        <v>104</v>
      </c>
      <c r="AB2007" s="6" t="s">
        <v>104</v>
      </c>
      <c r="AC2007" s="6" t="s">
        <v>9714</v>
      </c>
      <c r="AD2007" s="16" t="n">
        <v>40919</v>
      </c>
      <c r="AE2007" s="6" t="s">
        <v>12275</v>
      </c>
      <c r="AF2007" s="6" t="s">
        <v>104</v>
      </c>
      <c r="AG2007" s="6" t="s">
        <v>104</v>
      </c>
      <c r="AH2007" s="6" t="s">
        <v>14994</v>
      </c>
      <c r="AI2007" s="6" t="s">
        <v>104</v>
      </c>
      <c r="AJ2007" s="6" t="s">
        <v>15886</v>
      </c>
      <c r="AK2007" s="6" t="s">
        <v>16687</v>
      </c>
      <c r="AL2007" s="6" t="s">
        <v>16931</v>
      </c>
      <c r="AM2007" s="6" t="s">
        <v>17519</v>
      </c>
      <c r="AN2007" s="6" t="s">
        <v>18487</v>
      </c>
      <c r="AO2007" s="6" t="s">
        <v>18601</v>
      </c>
      <c r="AP2007" s="6" t="s">
        <v>14994</v>
      </c>
      <c r="AQ2007" s="6" t="s">
        <v>104</v>
      </c>
      <c r="AR2007" s="6" t="s">
        <v>15886</v>
      </c>
      <c r="AS2007" s="6" t="s">
        <v>16687</v>
      </c>
      <c r="AT2007" s="6" t="s">
        <v>16931</v>
      </c>
      <c r="AU2007" s="6" t="s">
        <v>17519</v>
      </c>
      <c r="AV2007" s="6" t="s">
        <v>104</v>
      </c>
      <c r="AW2007" s="6" t="s">
        <v>104</v>
      </c>
      <c r="AX2007" s="6" t="s">
        <v>21662</v>
      </c>
      <c r="AY2007" s="6" t="s">
        <v>23480</v>
      </c>
      <c r="AZ2007" s="6" t="s">
        <v>24190</v>
      </c>
      <c r="BA2007" s="6" t="s">
        <v>24504</v>
      </c>
      <c r="BB2007" s="6" t="s">
        <v>104</v>
      </c>
      <c r="BC2007" s="26"/>
      <c r="BD2007" s="26"/>
      <c r="BE2007" s="26"/>
      <c r="BF2007" s="26"/>
      <c r="BG2007" s="26"/>
      <c r="BH2007" s="26"/>
      <c r="BI2007" s="26"/>
      <c r="BJ2007" s="26"/>
      <c r="BK2007" s="26"/>
      <c r="BL2007" s="26"/>
      <c r="BM2007" s="26"/>
      <c r="BN2007" s="26"/>
      <c r="BO2007" s="26"/>
      <c r="BP2007" s="16" t="n">
        <v>45667</v>
      </c>
      <c r="BQ2007" s="28" t="str">
        <f>HYPERLINK("https://organic.ams.usda.gov/Integrity/Certificate.aspx?cid=15&amp;nopid=5561001713")</f>
        <v>https://organic.ams.usda.gov/Integrity/Certificate.aspx?cid=15&amp;nopid=5561001713</v>
      </c>
    </row>
    <row r="2008">
      <c r="A2008" t="s">
        <v>3</v>
      </c>
      <c r="B2008" s="6" t="s">
        <v>29</v>
      </c>
      <c r="C2008" s="6" t="s">
        <v>95</v>
      </c>
      <c r="D2008" s="6" t="s">
        <v>160</v>
      </c>
      <c r="E2008" s="10" t="s">
        <v>2206</v>
      </c>
      <c r="F2008" s="6" t="s">
        <v>4414</v>
      </c>
      <c r="G2008" s="6" t="s">
        <v>104</v>
      </c>
      <c r="H2008" s="6" t="s">
        <v>6699</v>
      </c>
      <c r="I2008" s="6" t="s">
        <v>104</v>
      </c>
      <c r="J2008" s="6" t="s">
        <v>9547</v>
      </c>
      <c r="K2008" s="6" t="s">
        <v>9714</v>
      </c>
      <c r="L2008" s="16" t="n">
        <v>42341</v>
      </c>
      <c r="M2008" s="16" t="n">
        <v>45778</v>
      </c>
      <c r="N2008" s="6" t="s">
        <v>104</v>
      </c>
      <c r="O2008" s="21" t="s">
        <v>104</v>
      </c>
      <c r="P2008" s="6" t="s">
        <v>104</v>
      </c>
      <c r="Q2008" s="6" t="s">
        <v>104</v>
      </c>
      <c r="R2008" s="6" t="s">
        <v>104</v>
      </c>
      <c r="S2008" s="6" t="s">
        <v>104</v>
      </c>
      <c r="T2008" s="21" t="s">
        <v>104</v>
      </c>
      <c r="U2008" s="6" t="s">
        <v>104</v>
      </c>
      <c r="V2008" s="6" t="s">
        <v>104</v>
      </c>
      <c r="W2008" s="6" t="s">
        <v>104</v>
      </c>
      <c r="X2008" s="6" t="s">
        <v>104</v>
      </c>
      <c r="Y2008" s="21" t="s">
        <v>104</v>
      </c>
      <c r="Z2008" s="6" t="s">
        <v>104</v>
      </c>
      <c r="AA2008" s="6" t="s">
        <v>104</v>
      </c>
      <c r="AB2008" s="6" t="s">
        <v>104</v>
      </c>
      <c r="AC2008" s="6" t="s">
        <v>9714</v>
      </c>
      <c r="AD2008" s="16" t="n">
        <v>42341</v>
      </c>
      <c r="AE2008" s="6" t="s">
        <v>12276</v>
      </c>
      <c r="AF2008" s="6" t="s">
        <v>104</v>
      </c>
      <c r="AG2008" s="6" t="s">
        <v>104</v>
      </c>
      <c r="AH2008" s="6" t="s">
        <v>14995</v>
      </c>
      <c r="AI2008" s="6" t="s">
        <v>104</v>
      </c>
      <c r="AJ2008" s="6" t="s">
        <v>104</v>
      </c>
      <c r="AK2008" s="6" t="s">
        <v>104</v>
      </c>
      <c r="AL2008" s="6" t="s">
        <v>16945</v>
      </c>
      <c r="AM2008" s="6" t="s">
        <v>104</v>
      </c>
      <c r="AN2008" s="6" t="s">
        <v>104</v>
      </c>
      <c r="AO2008" s="6" t="s">
        <v>104</v>
      </c>
      <c r="AP2008" s="6" t="s">
        <v>104</v>
      </c>
      <c r="AQ2008" s="6" t="s">
        <v>104</v>
      </c>
      <c r="AR2008" s="6" t="s">
        <v>104</v>
      </c>
      <c r="AS2008" s="6" t="s">
        <v>104</v>
      </c>
      <c r="AT2008" s="6" t="s">
        <v>104</v>
      </c>
      <c r="AU2008" s="6" t="s">
        <v>104</v>
      </c>
      <c r="AV2008" s="6" t="s">
        <v>104</v>
      </c>
      <c r="AW2008" s="6" t="s">
        <v>104</v>
      </c>
      <c r="AX2008" s="6" t="s">
        <v>21663</v>
      </c>
      <c r="AY2008" s="6" t="s">
        <v>23481</v>
      </c>
      <c r="AZ2008" s="6" t="s">
        <v>104</v>
      </c>
      <c r="BA2008" s="6" t="s">
        <v>104</v>
      </c>
      <c r="BB2008" s="24" t="n">
        <v>0</v>
      </c>
      <c r="BC2008" s="26"/>
      <c r="BD2008" s="26"/>
      <c r="BE2008" s="26"/>
      <c r="BF2008" s="26"/>
      <c r="BG2008" s="26"/>
      <c r="BH2008" s="26"/>
      <c r="BI2008" s="26"/>
      <c r="BJ2008" s="26"/>
      <c r="BK2008" s="26"/>
      <c r="BL2008" s="26"/>
      <c r="BM2008" s="26"/>
      <c r="BN2008" s="26"/>
      <c r="BO2008" s="26"/>
      <c r="BP2008" s="16" t="n">
        <v>45621</v>
      </c>
      <c r="BQ2008" s="28" t="str">
        <f>HYPERLINK("https://organic.ams.usda.gov/Integrity/Certificate.aspx?cid=24&amp;nopid=7880153073")</f>
        <v>https://organic.ams.usda.gov/Integrity/Certificate.aspx?cid=24&amp;nopid=7880153073</v>
      </c>
    </row>
    <row r="2009">
      <c r="A2009" t="s">
        <v>3</v>
      </c>
      <c r="B2009" s="6" t="s">
        <v>20</v>
      </c>
      <c r="C2009" s="6" t="s">
        <v>86</v>
      </c>
      <c r="D2009" s="6" t="s">
        <v>151</v>
      </c>
      <c r="E2009" s="10" t="s">
        <v>2207</v>
      </c>
      <c r="F2009" s="6" t="s">
        <v>4415</v>
      </c>
      <c r="G2009" s="6" t="s">
        <v>104</v>
      </c>
      <c r="H2009" s="6" t="s">
        <v>6700</v>
      </c>
      <c r="I2009" s="6" t="s">
        <v>8022</v>
      </c>
      <c r="J2009" s="6" t="s">
        <v>9548</v>
      </c>
      <c r="K2009" s="6" t="s">
        <v>9714</v>
      </c>
      <c r="L2009" s="16" t="n">
        <v>41526</v>
      </c>
      <c r="M2009" s="16" t="n">
        <v>45777</v>
      </c>
      <c r="N2009" s="6" t="s">
        <v>104</v>
      </c>
      <c r="O2009" s="21" t="s">
        <v>104</v>
      </c>
      <c r="P2009" s="6" t="s">
        <v>104</v>
      </c>
      <c r="Q2009" s="6" t="s">
        <v>104</v>
      </c>
      <c r="R2009" s="6" t="s">
        <v>104</v>
      </c>
      <c r="S2009" s="6" t="s">
        <v>104</v>
      </c>
      <c r="T2009" s="21" t="s">
        <v>104</v>
      </c>
      <c r="U2009" s="6" t="s">
        <v>104</v>
      </c>
      <c r="V2009" s="6" t="s">
        <v>104</v>
      </c>
      <c r="W2009" s="6" t="s">
        <v>104</v>
      </c>
      <c r="X2009" s="6" t="s">
        <v>104</v>
      </c>
      <c r="Y2009" s="21" t="s">
        <v>104</v>
      </c>
      <c r="Z2009" s="6" t="s">
        <v>104</v>
      </c>
      <c r="AA2009" s="6" t="s">
        <v>104</v>
      </c>
      <c r="AB2009" s="6" t="s">
        <v>104</v>
      </c>
      <c r="AC2009" s="6" t="s">
        <v>9714</v>
      </c>
      <c r="AD2009" s="16" t="n">
        <v>41526</v>
      </c>
      <c r="AE2009" s="6" t="s">
        <v>12277</v>
      </c>
      <c r="AF2009" s="6" t="s">
        <v>104</v>
      </c>
      <c r="AG2009" s="6" t="s">
        <v>13092</v>
      </c>
      <c r="AH2009" s="6" t="s">
        <v>14996</v>
      </c>
      <c r="AI2009" s="6" t="s">
        <v>104</v>
      </c>
      <c r="AJ2009" s="6" t="s">
        <v>16558</v>
      </c>
      <c r="AK2009" s="6" t="s">
        <v>16903</v>
      </c>
      <c r="AL2009" s="6" t="s">
        <v>16898</v>
      </c>
      <c r="AM2009" s="6" t="s">
        <v>18298</v>
      </c>
      <c r="AN2009" s="6" t="s">
        <v>104</v>
      </c>
      <c r="AO2009" s="6" t="s">
        <v>104</v>
      </c>
      <c r="AP2009" s="6" t="s">
        <v>104</v>
      </c>
      <c r="AQ2009" s="6" t="s">
        <v>104</v>
      </c>
      <c r="AR2009" s="6" t="s">
        <v>104</v>
      </c>
      <c r="AS2009" s="6" t="s">
        <v>104</v>
      </c>
      <c r="AT2009" s="6" t="s">
        <v>104</v>
      </c>
      <c r="AU2009" s="6" t="s">
        <v>104</v>
      </c>
      <c r="AV2009" s="6" t="s">
        <v>104</v>
      </c>
      <c r="AW2009" s="6" t="s">
        <v>104</v>
      </c>
      <c r="AX2009" s="6" t="s">
        <v>21664</v>
      </c>
      <c r="AY2009" s="6" t="s">
        <v>23482</v>
      </c>
      <c r="AZ2009" s="6" t="s">
        <v>104</v>
      </c>
      <c r="BA2009" s="6" t="s">
        <v>104</v>
      </c>
      <c r="BB2009" s="6" t="s">
        <v>104</v>
      </c>
      <c r="BC2009" s="26"/>
      <c r="BD2009" s="26"/>
      <c r="BE2009" s="26"/>
      <c r="BF2009" s="26"/>
      <c r="BG2009" s="26"/>
      <c r="BH2009" s="26"/>
      <c r="BI2009" s="26"/>
      <c r="BJ2009" s="26"/>
      <c r="BK2009" s="26"/>
      <c r="BL2009" s="26"/>
      <c r="BM2009" s="26"/>
      <c r="BN2009" s="26"/>
      <c r="BO2009" s="26"/>
      <c r="BP2009" s="16" t="n">
        <v>45655</v>
      </c>
      <c r="BQ2009" s="28" t="str">
        <f>HYPERLINK("https://organic.ams.usda.gov/Integrity/Certificate.aspx?cid=17&amp;nopid=4083900037")</f>
        <v>https://organic.ams.usda.gov/Integrity/Certificate.aspx?cid=17&amp;nopid=4083900037</v>
      </c>
    </row>
    <row r="2010">
      <c r="A2010" t="s">
        <v>3</v>
      </c>
      <c r="B2010" s="6" t="s">
        <v>13</v>
      </c>
      <c r="C2010" s="6" t="s">
        <v>79</v>
      </c>
      <c r="D2010" s="6" t="s">
        <v>144</v>
      </c>
      <c r="E2010" s="10" t="s">
        <v>2208</v>
      </c>
      <c r="F2010" s="6" t="s">
        <v>4416</v>
      </c>
      <c r="G2010" s="6" t="s">
        <v>104</v>
      </c>
      <c r="H2010" s="6" t="s">
        <v>6701</v>
      </c>
      <c r="I2010" s="6" t="s">
        <v>7343</v>
      </c>
      <c r="J2010" s="6" t="s">
        <v>9549</v>
      </c>
      <c r="K2010" s="6" t="s">
        <v>9714</v>
      </c>
      <c r="L2010" s="16" t="n">
        <v>40371</v>
      </c>
      <c r="M2010" s="16" t="n">
        <v>45748</v>
      </c>
      <c r="N2010" s="6" t="s">
        <v>104</v>
      </c>
      <c r="O2010" s="21" t="s">
        <v>104</v>
      </c>
      <c r="P2010" s="6" t="s">
        <v>104</v>
      </c>
      <c r="Q2010" s="6" t="s">
        <v>104</v>
      </c>
      <c r="R2010" s="6" t="s">
        <v>104</v>
      </c>
      <c r="S2010" s="6" t="s">
        <v>104</v>
      </c>
      <c r="T2010" s="21" t="s">
        <v>104</v>
      </c>
      <c r="U2010" s="6" t="s">
        <v>104</v>
      </c>
      <c r="V2010" s="6" t="s">
        <v>104</v>
      </c>
      <c r="W2010" s="6" t="s">
        <v>104</v>
      </c>
      <c r="X2010" s="6" t="s">
        <v>104</v>
      </c>
      <c r="Y2010" s="21" t="s">
        <v>104</v>
      </c>
      <c r="Z2010" s="6" t="s">
        <v>104</v>
      </c>
      <c r="AA2010" s="6" t="s">
        <v>104</v>
      </c>
      <c r="AB2010" s="6" t="s">
        <v>104</v>
      </c>
      <c r="AC2010" s="6" t="s">
        <v>9714</v>
      </c>
      <c r="AD2010" s="16" t="n">
        <v>40371</v>
      </c>
      <c r="AE2010" s="6" t="s">
        <v>12278</v>
      </c>
      <c r="AF2010" s="6" t="s">
        <v>104</v>
      </c>
      <c r="AG2010" s="6" t="s">
        <v>104</v>
      </c>
      <c r="AH2010" s="6" t="s">
        <v>104</v>
      </c>
      <c r="AI2010" s="6" t="s">
        <v>104</v>
      </c>
      <c r="AJ2010" s="6" t="s">
        <v>104</v>
      </c>
      <c r="AK2010" s="6" t="s">
        <v>104</v>
      </c>
      <c r="AL2010" s="6" t="s">
        <v>104</v>
      </c>
      <c r="AM2010" s="6" t="s">
        <v>104</v>
      </c>
      <c r="AN2010" s="6" t="s">
        <v>104</v>
      </c>
      <c r="AO2010" s="6" t="s">
        <v>104</v>
      </c>
      <c r="AP2010" s="6" t="s">
        <v>19475</v>
      </c>
      <c r="AQ2010" s="6" t="s">
        <v>19581</v>
      </c>
      <c r="AR2010" s="6" t="s">
        <v>15879</v>
      </c>
      <c r="AS2010" s="6" t="s">
        <v>16683</v>
      </c>
      <c r="AT2010" s="6" t="s">
        <v>16931</v>
      </c>
      <c r="AU2010" s="6" t="s">
        <v>20047</v>
      </c>
      <c r="AV2010" s="6" t="s">
        <v>18521</v>
      </c>
      <c r="AW2010" s="6" t="s">
        <v>18695</v>
      </c>
      <c r="AX2010" s="6" t="s">
        <v>21665</v>
      </c>
      <c r="AY2010" s="6" t="s">
        <v>23483</v>
      </c>
      <c r="AZ2010" s="6" t="s">
        <v>24191</v>
      </c>
      <c r="BA2010" s="6" t="s">
        <v>104</v>
      </c>
      <c r="BB2010" s="6" t="s">
        <v>104</v>
      </c>
      <c r="BC2010" s="26" t="s">
        <v>24533</v>
      </c>
      <c r="BD2010" s="26"/>
      <c r="BE2010" s="26"/>
      <c r="BF2010" s="26"/>
      <c r="BG2010" s="26"/>
      <c r="BH2010" s="26"/>
      <c r="BI2010" s="26"/>
      <c r="BJ2010" s="26"/>
      <c r="BK2010" s="26"/>
      <c r="BL2010" s="26"/>
      <c r="BM2010" s="26"/>
      <c r="BN2010" s="26"/>
      <c r="BO2010" s="26"/>
      <c r="BP2010" s="16" t="n">
        <v>45736</v>
      </c>
      <c r="BQ2010" s="28" t="str">
        <f>HYPERLINK("https://organic.ams.usda.gov/Integrity/Certificate.aspx?cid=62&amp;nopid=8150001105")</f>
        <v>https://organic.ams.usda.gov/Integrity/Certificate.aspx?cid=62&amp;nopid=8150001105</v>
      </c>
    </row>
    <row r="2011">
      <c r="A2011" t="s">
        <v>3</v>
      </c>
      <c r="B2011" s="6" t="s">
        <v>21</v>
      </c>
      <c r="C2011" s="6" t="s">
        <v>87</v>
      </c>
      <c r="D2011" s="6" t="s">
        <v>152</v>
      </c>
      <c r="E2011" s="10" t="s">
        <v>2209</v>
      </c>
      <c r="F2011" s="6" t="s">
        <v>4417</v>
      </c>
      <c r="G2011" s="6" t="s">
        <v>4873</v>
      </c>
      <c r="H2011" s="6" t="s">
        <v>6702</v>
      </c>
      <c r="I2011" s="6" t="s">
        <v>8023</v>
      </c>
      <c r="J2011" s="6" t="s">
        <v>9550</v>
      </c>
      <c r="K2011" s="6" t="s">
        <v>9714</v>
      </c>
      <c r="L2011" s="16" t="n">
        <v>36864</v>
      </c>
      <c r="M2011" s="16" t="n">
        <v>46023</v>
      </c>
      <c r="N2011" s="6" t="s">
        <v>104</v>
      </c>
      <c r="O2011" s="21" t="s">
        <v>104</v>
      </c>
      <c r="P2011" s="6" t="s">
        <v>104</v>
      </c>
      <c r="Q2011" s="6" t="s">
        <v>104</v>
      </c>
      <c r="R2011" s="6" t="s">
        <v>104</v>
      </c>
      <c r="S2011" s="6" t="s">
        <v>104</v>
      </c>
      <c r="T2011" s="21" t="s">
        <v>104</v>
      </c>
      <c r="U2011" s="6" t="s">
        <v>104</v>
      </c>
      <c r="V2011" s="6" t="s">
        <v>104</v>
      </c>
      <c r="W2011" s="6" t="s">
        <v>104</v>
      </c>
      <c r="X2011" s="6" t="s">
        <v>104</v>
      </c>
      <c r="Y2011" s="21" t="s">
        <v>104</v>
      </c>
      <c r="Z2011" s="6" t="s">
        <v>104</v>
      </c>
      <c r="AA2011" s="6" t="s">
        <v>104</v>
      </c>
      <c r="AB2011" s="6" t="s">
        <v>104</v>
      </c>
      <c r="AC2011" s="6" t="s">
        <v>9714</v>
      </c>
      <c r="AD2011" s="16" t="n">
        <v>36864</v>
      </c>
      <c r="AE2011" s="6" t="s">
        <v>12279</v>
      </c>
      <c r="AF2011" s="6" t="s">
        <v>104</v>
      </c>
      <c r="AG2011" s="6" t="s">
        <v>104</v>
      </c>
      <c r="AH2011" s="6" t="s">
        <v>14997</v>
      </c>
      <c r="AI2011" s="6" t="s">
        <v>104</v>
      </c>
      <c r="AJ2011" s="6" t="s">
        <v>16360</v>
      </c>
      <c r="AK2011" s="6" t="s">
        <v>16687</v>
      </c>
      <c r="AL2011" s="6" t="s">
        <v>16931</v>
      </c>
      <c r="AM2011" s="6" t="s">
        <v>18054</v>
      </c>
      <c r="AN2011" s="6" t="s">
        <v>18456</v>
      </c>
      <c r="AO2011" s="6" t="s">
        <v>18561</v>
      </c>
      <c r="AP2011" s="6" t="s">
        <v>19476</v>
      </c>
      <c r="AQ2011" s="6" t="s">
        <v>104</v>
      </c>
      <c r="AR2011" s="6" t="s">
        <v>16360</v>
      </c>
      <c r="AS2011" s="6" t="s">
        <v>16687</v>
      </c>
      <c r="AT2011" s="6" t="s">
        <v>16931</v>
      </c>
      <c r="AU2011" s="6" t="s">
        <v>18054</v>
      </c>
      <c r="AV2011" s="6" t="s">
        <v>104</v>
      </c>
      <c r="AW2011" s="6" t="s">
        <v>104</v>
      </c>
      <c r="AX2011" s="6" t="s">
        <v>21666</v>
      </c>
      <c r="AY2011" s="6" t="s">
        <v>23484</v>
      </c>
      <c r="AZ2011" s="6" t="s">
        <v>24192</v>
      </c>
      <c r="BA2011" s="6" t="s">
        <v>24505</v>
      </c>
      <c r="BB2011" s="6" t="s">
        <v>104</v>
      </c>
      <c r="BC2011" s="26"/>
      <c r="BD2011" s="26"/>
      <c r="BE2011" s="26"/>
      <c r="BF2011" s="26"/>
      <c r="BG2011" s="26"/>
      <c r="BH2011" s="26"/>
      <c r="BI2011" s="26"/>
      <c r="BJ2011" s="26"/>
      <c r="BK2011" s="26"/>
      <c r="BL2011" s="26"/>
      <c r="BM2011" s="26"/>
      <c r="BN2011" s="26"/>
      <c r="BO2011" s="26"/>
      <c r="BP2011" s="16" t="n">
        <v>45667</v>
      </c>
      <c r="BQ2011" s="28" t="str">
        <f>HYPERLINK("https://organic.ams.usda.gov/Integrity/Certificate.aspx?cid=15&amp;nopid=5561002181")</f>
        <v>https://organic.ams.usda.gov/Integrity/Certificate.aspx?cid=15&amp;nopid=5561002181</v>
      </c>
    </row>
    <row r="2012">
      <c r="A2012" t="s">
        <v>3</v>
      </c>
      <c r="B2012" s="6" t="s">
        <v>21</v>
      </c>
      <c r="C2012" s="6" t="s">
        <v>87</v>
      </c>
      <c r="D2012" s="6" t="s">
        <v>152</v>
      </c>
      <c r="E2012" s="10" t="s">
        <v>2210</v>
      </c>
      <c r="F2012" s="6" t="s">
        <v>4418</v>
      </c>
      <c r="G2012" s="6" t="s">
        <v>104</v>
      </c>
      <c r="H2012" s="6" t="s">
        <v>6703</v>
      </c>
      <c r="I2012" s="6" t="s">
        <v>8024</v>
      </c>
      <c r="J2012" s="6" t="s">
        <v>9551</v>
      </c>
      <c r="K2012" s="6" t="s">
        <v>9714</v>
      </c>
      <c r="L2012" s="16" t="n">
        <v>41465</v>
      </c>
      <c r="M2012" s="16" t="n">
        <v>46023</v>
      </c>
      <c r="N2012" s="6" t="s">
        <v>104</v>
      </c>
      <c r="O2012" s="21" t="s">
        <v>104</v>
      </c>
      <c r="P2012" s="6" t="s">
        <v>104</v>
      </c>
      <c r="Q2012" s="6" t="s">
        <v>104</v>
      </c>
      <c r="R2012" s="6" t="s">
        <v>104</v>
      </c>
      <c r="S2012" s="6" t="s">
        <v>104</v>
      </c>
      <c r="T2012" s="21" t="s">
        <v>104</v>
      </c>
      <c r="U2012" s="6" t="s">
        <v>104</v>
      </c>
      <c r="V2012" s="6" t="s">
        <v>104</v>
      </c>
      <c r="W2012" s="6" t="s">
        <v>104</v>
      </c>
      <c r="X2012" s="6" t="s">
        <v>104</v>
      </c>
      <c r="Y2012" s="21" t="s">
        <v>104</v>
      </c>
      <c r="Z2012" s="6" t="s">
        <v>104</v>
      </c>
      <c r="AA2012" s="6" t="s">
        <v>104</v>
      </c>
      <c r="AB2012" s="6" t="s">
        <v>104</v>
      </c>
      <c r="AC2012" s="6" t="s">
        <v>9714</v>
      </c>
      <c r="AD2012" s="16" t="n">
        <v>41472</v>
      </c>
      <c r="AE2012" s="6" t="s">
        <v>12280</v>
      </c>
      <c r="AF2012" s="6" t="s">
        <v>104</v>
      </c>
      <c r="AG2012" s="6" t="s">
        <v>104</v>
      </c>
      <c r="AH2012" s="6" t="s">
        <v>14998</v>
      </c>
      <c r="AI2012" s="6" t="s">
        <v>104</v>
      </c>
      <c r="AJ2012" s="6" t="s">
        <v>15547</v>
      </c>
      <c r="AK2012" s="6" t="s">
        <v>16684</v>
      </c>
      <c r="AL2012" s="6" t="s">
        <v>16931</v>
      </c>
      <c r="AM2012" s="6" t="s">
        <v>18299</v>
      </c>
      <c r="AN2012" s="6" t="s">
        <v>18496</v>
      </c>
      <c r="AO2012" s="6" t="s">
        <v>18622</v>
      </c>
      <c r="AP2012" s="6" t="s">
        <v>14998</v>
      </c>
      <c r="AQ2012" s="6" t="s">
        <v>104</v>
      </c>
      <c r="AR2012" s="6" t="s">
        <v>15547</v>
      </c>
      <c r="AS2012" s="6" t="s">
        <v>16684</v>
      </c>
      <c r="AT2012" s="6" t="s">
        <v>16931</v>
      </c>
      <c r="AU2012" s="6" t="s">
        <v>18299</v>
      </c>
      <c r="AV2012" s="6" t="s">
        <v>104</v>
      </c>
      <c r="AW2012" s="6" t="s">
        <v>104</v>
      </c>
      <c r="AX2012" s="6" t="s">
        <v>21667</v>
      </c>
      <c r="AY2012" s="6" t="s">
        <v>23485</v>
      </c>
      <c r="AZ2012" s="6" t="s">
        <v>24193</v>
      </c>
      <c r="BA2012" s="6" t="s">
        <v>24506</v>
      </c>
      <c r="BB2012" s="6" t="s">
        <v>104</v>
      </c>
      <c r="BC2012" s="26"/>
      <c r="BD2012" s="26"/>
      <c r="BE2012" s="26"/>
      <c r="BF2012" s="26"/>
      <c r="BG2012" s="26"/>
      <c r="BH2012" s="26"/>
      <c r="BI2012" s="26"/>
      <c r="BJ2012" s="26"/>
      <c r="BK2012" s="26"/>
      <c r="BL2012" s="26"/>
      <c r="BM2012" s="26"/>
      <c r="BN2012" s="26"/>
      <c r="BO2012" s="26"/>
      <c r="BP2012" s="16" t="n">
        <v>45727</v>
      </c>
      <c r="BQ2012" s="28" t="str">
        <f>HYPERLINK("https://organic.ams.usda.gov/Integrity/Certificate.aspx?cid=15&amp;nopid=5561001832")</f>
        <v>https://organic.ams.usda.gov/Integrity/Certificate.aspx?cid=15&amp;nopid=5561001832</v>
      </c>
    </row>
    <row r="2013">
      <c r="A2013" t="s">
        <v>3</v>
      </c>
      <c r="B2013" s="6" t="s">
        <v>21</v>
      </c>
      <c r="C2013" s="6" t="s">
        <v>87</v>
      </c>
      <c r="D2013" s="6" t="s">
        <v>152</v>
      </c>
      <c r="E2013" s="10" t="s">
        <v>2211</v>
      </c>
      <c r="F2013" s="6" t="s">
        <v>4419</v>
      </c>
      <c r="G2013" s="6" t="s">
        <v>104</v>
      </c>
      <c r="H2013" s="6" t="s">
        <v>6704</v>
      </c>
      <c r="I2013" s="6" t="s">
        <v>7336</v>
      </c>
      <c r="J2013" s="6" t="s">
        <v>9552</v>
      </c>
      <c r="K2013" s="6" t="s">
        <v>9714</v>
      </c>
      <c r="L2013" s="16" t="n">
        <v>39309</v>
      </c>
      <c r="M2013" s="16" t="n">
        <v>46023</v>
      </c>
      <c r="N2013" s="6" t="s">
        <v>9714</v>
      </c>
      <c r="O2013" s="16" t="n">
        <v>39309</v>
      </c>
      <c r="P2013" s="6" t="s">
        <v>10236</v>
      </c>
      <c r="Q2013" s="6" t="s">
        <v>104</v>
      </c>
      <c r="R2013" s="6" t="s">
        <v>104</v>
      </c>
      <c r="S2013" s="6" t="s">
        <v>104</v>
      </c>
      <c r="T2013" s="21" t="s">
        <v>104</v>
      </c>
      <c r="U2013" s="6" t="s">
        <v>104</v>
      </c>
      <c r="V2013" s="6" t="s">
        <v>104</v>
      </c>
      <c r="W2013" s="6" t="s">
        <v>104</v>
      </c>
      <c r="X2013" s="6" t="s">
        <v>104</v>
      </c>
      <c r="Y2013" s="21" t="s">
        <v>104</v>
      </c>
      <c r="Z2013" s="6" t="s">
        <v>104</v>
      </c>
      <c r="AA2013" s="6" t="s">
        <v>104</v>
      </c>
      <c r="AB2013" s="6" t="s">
        <v>104</v>
      </c>
      <c r="AC2013" s="6" t="s">
        <v>9714</v>
      </c>
      <c r="AD2013" s="16" t="n">
        <v>39309</v>
      </c>
      <c r="AE2013" s="6" t="s">
        <v>12281</v>
      </c>
      <c r="AF2013" s="6" t="s">
        <v>104</v>
      </c>
      <c r="AG2013" s="6" t="s">
        <v>104</v>
      </c>
      <c r="AH2013" s="6" t="s">
        <v>14999</v>
      </c>
      <c r="AI2013" s="6" t="s">
        <v>104</v>
      </c>
      <c r="AJ2013" s="6" t="s">
        <v>15759</v>
      </c>
      <c r="AK2013" s="6" t="s">
        <v>16684</v>
      </c>
      <c r="AL2013" s="6" t="s">
        <v>16931</v>
      </c>
      <c r="AM2013" s="6" t="s">
        <v>18300</v>
      </c>
      <c r="AN2013" s="6" t="s">
        <v>18454</v>
      </c>
      <c r="AO2013" s="6" t="s">
        <v>18559</v>
      </c>
      <c r="AP2013" s="6" t="s">
        <v>14999</v>
      </c>
      <c r="AQ2013" s="6" t="s">
        <v>104</v>
      </c>
      <c r="AR2013" s="6" t="s">
        <v>15759</v>
      </c>
      <c r="AS2013" s="6" t="s">
        <v>16684</v>
      </c>
      <c r="AT2013" s="6" t="s">
        <v>16931</v>
      </c>
      <c r="AU2013" s="6" t="s">
        <v>18300</v>
      </c>
      <c r="AV2013" s="6" t="s">
        <v>104</v>
      </c>
      <c r="AW2013" s="6" t="s">
        <v>104</v>
      </c>
      <c r="AX2013" s="6" t="s">
        <v>21668</v>
      </c>
      <c r="AY2013" s="6" t="s">
        <v>23486</v>
      </c>
      <c r="AZ2013" s="6" t="s">
        <v>24194</v>
      </c>
      <c r="BA2013" s="6" t="s">
        <v>24507</v>
      </c>
      <c r="BB2013" s="24" t="n">
        <v>1031</v>
      </c>
      <c r="BC2013" s="26"/>
      <c r="BD2013" s="26"/>
      <c r="BE2013" s="26"/>
      <c r="BF2013" s="26"/>
      <c r="BG2013" s="26"/>
      <c r="BH2013" s="26"/>
      <c r="BI2013" s="26"/>
      <c r="BJ2013" s="26"/>
      <c r="BK2013" s="26"/>
      <c r="BL2013" s="26"/>
      <c r="BM2013" s="26"/>
      <c r="BN2013" s="26"/>
      <c r="BO2013" s="26"/>
      <c r="BP2013" s="16" t="n">
        <v>45667</v>
      </c>
      <c r="BQ2013" s="28" t="str">
        <f>HYPERLINK("https://organic.ams.usda.gov/Integrity/Certificate.aspx?cid=15&amp;nopid=5561000029")</f>
        <v>https://organic.ams.usda.gov/Integrity/Certificate.aspx?cid=15&amp;nopid=5561000029</v>
      </c>
    </row>
    <row r="2014">
      <c r="A2014" t="s">
        <v>3</v>
      </c>
      <c r="B2014" s="6" t="s">
        <v>28</v>
      </c>
      <c r="C2014" s="6" t="s">
        <v>94</v>
      </c>
      <c r="D2014" s="6" t="s">
        <v>159</v>
      </c>
      <c r="E2014" s="10" t="s">
        <v>2212</v>
      </c>
      <c r="F2014" s="6" t="s">
        <v>4420</v>
      </c>
      <c r="G2014" s="6" t="s">
        <v>104</v>
      </c>
      <c r="H2014" s="6" t="s">
        <v>6705</v>
      </c>
      <c r="I2014" s="6" t="s">
        <v>7652</v>
      </c>
      <c r="J2014" s="6" t="s">
        <v>9553</v>
      </c>
      <c r="K2014" s="6" t="s">
        <v>9714</v>
      </c>
      <c r="L2014" s="16" t="n">
        <v>44106</v>
      </c>
      <c r="M2014" s="16" t="n">
        <v>45748</v>
      </c>
      <c r="N2014" s="6" t="s">
        <v>9714</v>
      </c>
      <c r="O2014" s="16" t="n">
        <v>44106</v>
      </c>
      <c r="P2014" s="6" t="s">
        <v>10237</v>
      </c>
      <c r="Q2014" s="6" t="s">
        <v>104</v>
      </c>
      <c r="R2014" s="6" t="s">
        <v>10446</v>
      </c>
      <c r="S2014" s="6" t="s">
        <v>104</v>
      </c>
      <c r="T2014" s="21" t="s">
        <v>104</v>
      </c>
      <c r="U2014" s="6" t="s">
        <v>104</v>
      </c>
      <c r="V2014" s="6" t="s">
        <v>104</v>
      </c>
      <c r="W2014" s="6" t="s">
        <v>104</v>
      </c>
      <c r="X2014" s="6" t="s">
        <v>104</v>
      </c>
      <c r="Y2014" s="21" t="s">
        <v>104</v>
      </c>
      <c r="Z2014" s="6" t="s">
        <v>104</v>
      </c>
      <c r="AA2014" s="6" t="s">
        <v>104</v>
      </c>
      <c r="AB2014" s="6" t="s">
        <v>104</v>
      </c>
      <c r="AC2014" s="6" t="s">
        <v>9714</v>
      </c>
      <c r="AD2014" s="16" t="n">
        <v>44106</v>
      </c>
      <c r="AE2014" s="6" t="s">
        <v>12282</v>
      </c>
      <c r="AF2014" s="6" t="s">
        <v>104</v>
      </c>
      <c r="AG2014" s="6" t="s">
        <v>10446</v>
      </c>
      <c r="AH2014" s="6" t="s">
        <v>15000</v>
      </c>
      <c r="AI2014" s="6" t="s">
        <v>104</v>
      </c>
      <c r="AJ2014" s="6" t="s">
        <v>15557</v>
      </c>
      <c r="AK2014" s="6" t="s">
        <v>104</v>
      </c>
      <c r="AL2014" s="6" t="s">
        <v>16938</v>
      </c>
      <c r="AM2014" s="6" t="s">
        <v>18301</v>
      </c>
      <c r="AN2014" s="6" t="s">
        <v>104</v>
      </c>
      <c r="AO2014" s="6" t="s">
        <v>104</v>
      </c>
      <c r="AP2014" s="6" t="s">
        <v>104</v>
      </c>
      <c r="AQ2014" s="6" t="s">
        <v>104</v>
      </c>
      <c r="AR2014" s="6" t="s">
        <v>104</v>
      </c>
      <c r="AS2014" s="6" t="s">
        <v>104</v>
      </c>
      <c r="AT2014" s="6" t="s">
        <v>104</v>
      </c>
      <c r="AU2014" s="6" t="s">
        <v>104</v>
      </c>
      <c r="AV2014" s="6" t="s">
        <v>104</v>
      </c>
      <c r="AW2014" s="6" t="s">
        <v>104</v>
      </c>
      <c r="AX2014" s="6" t="s">
        <v>21669</v>
      </c>
      <c r="AY2014" s="6" t="s">
        <v>23487</v>
      </c>
      <c r="AZ2014" s="6" t="s">
        <v>104</v>
      </c>
      <c r="BA2014" s="6" t="s">
        <v>104</v>
      </c>
      <c r="BB2014" s="24" t="n">
        <v>5641</v>
      </c>
      <c r="BC2014" s="26"/>
      <c r="BD2014" s="26"/>
      <c r="BE2014" s="26"/>
      <c r="BF2014" s="26"/>
      <c r="BG2014" s="26"/>
      <c r="BH2014" s="26"/>
      <c r="BI2014" s="26"/>
      <c r="BJ2014" s="26"/>
      <c r="BK2014" s="26"/>
      <c r="BL2014" s="26"/>
      <c r="BM2014" s="26"/>
      <c r="BN2014" s="26"/>
      <c r="BO2014" s="26"/>
      <c r="BP2014" s="16" t="n">
        <v>45693</v>
      </c>
      <c r="BQ2014" s="28" t="str">
        <f>HYPERLINK("https://organic.ams.usda.gov/Integrity/Certificate.aspx?cid=11&amp;nopid=4797058700")</f>
        <v>https://organic.ams.usda.gov/Integrity/Certificate.aspx?cid=11&amp;nopid=4797058700</v>
      </c>
    </row>
    <row r="2015">
      <c r="A2015" t="s">
        <v>3</v>
      </c>
      <c r="B2015" s="6" t="s">
        <v>29</v>
      </c>
      <c r="C2015" s="6" t="s">
        <v>95</v>
      </c>
      <c r="D2015" s="6" t="s">
        <v>160</v>
      </c>
      <c r="E2015" s="10" t="s">
        <v>2213</v>
      </c>
      <c r="F2015" s="6" t="s">
        <v>4421</v>
      </c>
      <c r="G2015" s="6" t="s">
        <v>104</v>
      </c>
      <c r="H2015" s="6" t="s">
        <v>6706</v>
      </c>
      <c r="I2015" s="6" t="s">
        <v>104</v>
      </c>
      <c r="J2015" s="6" t="s">
        <v>9554</v>
      </c>
      <c r="K2015" s="6" t="s">
        <v>9714</v>
      </c>
      <c r="L2015" s="16" t="n">
        <v>43196</v>
      </c>
      <c r="M2015" s="16" t="n">
        <v>45778</v>
      </c>
      <c r="N2015" s="6" t="s">
        <v>9714</v>
      </c>
      <c r="O2015" s="16" t="n">
        <v>43196</v>
      </c>
      <c r="P2015" s="6" t="s">
        <v>9944</v>
      </c>
      <c r="Q2015" s="6" t="s">
        <v>104</v>
      </c>
      <c r="R2015" s="6" t="s">
        <v>104</v>
      </c>
      <c r="S2015" s="6" t="s">
        <v>104</v>
      </c>
      <c r="T2015" s="21" t="s">
        <v>104</v>
      </c>
      <c r="U2015" s="6" t="s">
        <v>104</v>
      </c>
      <c r="V2015" s="6" t="s">
        <v>104</v>
      </c>
      <c r="W2015" s="6" t="s">
        <v>104</v>
      </c>
      <c r="X2015" s="6" t="s">
        <v>104</v>
      </c>
      <c r="Y2015" s="21" t="s">
        <v>104</v>
      </c>
      <c r="Z2015" s="6" t="s">
        <v>104</v>
      </c>
      <c r="AA2015" s="6" t="s">
        <v>104</v>
      </c>
      <c r="AB2015" s="6" t="s">
        <v>104</v>
      </c>
      <c r="AC2015" s="6" t="s">
        <v>9714</v>
      </c>
      <c r="AD2015" s="16" t="n">
        <v>43196</v>
      </c>
      <c r="AE2015" s="6" t="s">
        <v>12283</v>
      </c>
      <c r="AF2015" s="6" t="s">
        <v>104</v>
      </c>
      <c r="AG2015" s="6" t="s">
        <v>104</v>
      </c>
      <c r="AH2015" s="6" t="s">
        <v>15001</v>
      </c>
      <c r="AI2015" s="6" t="s">
        <v>15340</v>
      </c>
      <c r="AJ2015" s="6" t="s">
        <v>104</v>
      </c>
      <c r="AK2015" s="6" t="s">
        <v>104</v>
      </c>
      <c r="AL2015" s="6" t="s">
        <v>15513</v>
      </c>
      <c r="AM2015" s="6" t="s">
        <v>18302</v>
      </c>
      <c r="AN2015" s="6" t="s">
        <v>104</v>
      </c>
      <c r="AO2015" s="6" t="s">
        <v>104</v>
      </c>
      <c r="AP2015" s="6" t="s">
        <v>104</v>
      </c>
      <c r="AQ2015" s="6" t="s">
        <v>104</v>
      </c>
      <c r="AR2015" s="6" t="s">
        <v>104</v>
      </c>
      <c r="AS2015" s="6" t="s">
        <v>104</v>
      </c>
      <c r="AT2015" s="6" t="s">
        <v>104</v>
      </c>
      <c r="AU2015" s="6" t="s">
        <v>104</v>
      </c>
      <c r="AV2015" s="6" t="s">
        <v>104</v>
      </c>
      <c r="AW2015" s="6" t="s">
        <v>104</v>
      </c>
      <c r="AX2015" s="6" t="s">
        <v>20768</v>
      </c>
      <c r="AY2015" s="6" t="s">
        <v>23488</v>
      </c>
      <c r="AZ2015" s="6" t="s">
        <v>104</v>
      </c>
      <c r="BA2015" s="6" t="s">
        <v>24269</v>
      </c>
      <c r="BB2015" s="24" t="n">
        <v>5176</v>
      </c>
      <c r="BC2015" s="26"/>
      <c r="BD2015" s="26"/>
      <c r="BE2015" s="26"/>
      <c r="BF2015" s="26"/>
      <c r="BG2015" s="26"/>
      <c r="BH2015" s="26"/>
      <c r="BI2015" s="26"/>
      <c r="BJ2015" s="26"/>
      <c r="BK2015" s="26"/>
      <c r="BL2015" s="26"/>
      <c r="BM2015" s="26"/>
      <c r="BN2015" s="26"/>
      <c r="BO2015" s="26" t="s">
        <v>24533</v>
      </c>
      <c r="BP2015" s="16" t="n">
        <v>45730</v>
      </c>
      <c r="BQ2015" s="28" t="str">
        <f>HYPERLINK("https://organic.ams.usda.gov/Integrity/Certificate.aspx?cid=24&amp;nopid=7880009876")</f>
        <v>https://organic.ams.usda.gov/Integrity/Certificate.aspx?cid=24&amp;nopid=7880009876</v>
      </c>
    </row>
    <row r="2016">
      <c r="A2016" t="s">
        <v>3</v>
      </c>
      <c r="B2016" s="6" t="s">
        <v>11</v>
      </c>
      <c r="C2016" s="6" t="s">
        <v>77</v>
      </c>
      <c r="D2016" s="6" t="s">
        <v>142</v>
      </c>
      <c r="E2016" s="10" t="s">
        <v>2214</v>
      </c>
      <c r="F2016" s="6" t="s">
        <v>4422</v>
      </c>
      <c r="G2016" s="6" t="s">
        <v>104</v>
      </c>
      <c r="H2016" s="6" t="s">
        <v>6707</v>
      </c>
      <c r="I2016" s="6" t="s">
        <v>8025</v>
      </c>
      <c r="J2016" s="6" t="s">
        <v>9555</v>
      </c>
      <c r="K2016" s="6" t="s">
        <v>9714</v>
      </c>
      <c r="L2016" s="16" t="n">
        <v>43213</v>
      </c>
      <c r="M2016" s="16" t="n">
        <v>45770</v>
      </c>
      <c r="N2016" s="6" t="s">
        <v>104</v>
      </c>
      <c r="O2016" s="21" t="s">
        <v>104</v>
      </c>
      <c r="P2016" s="6" t="s">
        <v>104</v>
      </c>
      <c r="Q2016" s="6" t="s">
        <v>104</v>
      </c>
      <c r="R2016" s="6" t="s">
        <v>104</v>
      </c>
      <c r="S2016" s="6" t="s">
        <v>104</v>
      </c>
      <c r="T2016" s="21" t="s">
        <v>104</v>
      </c>
      <c r="U2016" s="6" t="s">
        <v>104</v>
      </c>
      <c r="V2016" s="6" t="s">
        <v>104</v>
      </c>
      <c r="W2016" s="6" t="s">
        <v>104</v>
      </c>
      <c r="X2016" s="6" t="s">
        <v>104</v>
      </c>
      <c r="Y2016" s="21" t="s">
        <v>104</v>
      </c>
      <c r="Z2016" s="6" t="s">
        <v>104</v>
      </c>
      <c r="AA2016" s="6" t="s">
        <v>104</v>
      </c>
      <c r="AB2016" s="6" t="s">
        <v>104</v>
      </c>
      <c r="AC2016" s="6" t="s">
        <v>9714</v>
      </c>
      <c r="AD2016" s="16" t="n">
        <v>43213</v>
      </c>
      <c r="AE2016" s="6" t="s">
        <v>12284</v>
      </c>
      <c r="AF2016" s="6" t="s">
        <v>104</v>
      </c>
      <c r="AG2016" s="6" t="s">
        <v>104</v>
      </c>
      <c r="AH2016" s="6" t="s">
        <v>15002</v>
      </c>
      <c r="AI2016" s="6" t="s">
        <v>104</v>
      </c>
      <c r="AJ2016" s="6" t="s">
        <v>16559</v>
      </c>
      <c r="AK2016" s="6" t="s">
        <v>16904</v>
      </c>
      <c r="AL2016" s="6" t="s">
        <v>15513</v>
      </c>
      <c r="AM2016" s="6" t="s">
        <v>104</v>
      </c>
      <c r="AN2016" s="6" t="s">
        <v>104</v>
      </c>
      <c r="AO2016" s="6" t="s">
        <v>104</v>
      </c>
      <c r="AP2016" s="6" t="s">
        <v>19477</v>
      </c>
      <c r="AQ2016" s="6" t="s">
        <v>104</v>
      </c>
      <c r="AR2016" s="6" t="s">
        <v>19766</v>
      </c>
      <c r="AS2016" s="6" t="s">
        <v>15363</v>
      </c>
      <c r="AT2016" s="6" t="s">
        <v>15513</v>
      </c>
      <c r="AU2016" s="6" t="s">
        <v>104</v>
      </c>
      <c r="AV2016" s="6" t="s">
        <v>104</v>
      </c>
      <c r="AW2016" s="6" t="s">
        <v>104</v>
      </c>
      <c r="AX2016" s="6" t="s">
        <v>21670</v>
      </c>
      <c r="AY2016" s="6" t="s">
        <v>23489</v>
      </c>
      <c r="AZ2016" s="6" t="s">
        <v>104</v>
      </c>
      <c r="BA2016" s="6" t="s">
        <v>104</v>
      </c>
      <c r="BB2016" s="6" t="s">
        <v>104</v>
      </c>
      <c r="BC2016" s="26"/>
      <c r="BD2016" s="26"/>
      <c r="BE2016" s="26"/>
      <c r="BF2016" s="26"/>
      <c r="BG2016" s="26"/>
      <c r="BH2016" s="26"/>
      <c r="BI2016" s="26"/>
      <c r="BJ2016" s="26"/>
      <c r="BK2016" s="26"/>
      <c r="BL2016" s="26"/>
      <c r="BM2016" s="26"/>
      <c r="BN2016" s="26"/>
      <c r="BO2016" s="26"/>
      <c r="BP2016" s="16" t="n">
        <v>45478</v>
      </c>
      <c r="BQ2016" s="28" t="str">
        <f>HYPERLINK("https://organic.ams.usda.gov/Integrity/Certificate.aspx?cid=21&amp;nopid=1780857453")</f>
        <v>https://organic.ams.usda.gov/Integrity/Certificate.aspx?cid=21&amp;nopid=1780857453</v>
      </c>
    </row>
    <row r="2017">
      <c r="A2017" t="s">
        <v>3</v>
      </c>
      <c r="B2017" s="6" t="s">
        <v>20</v>
      </c>
      <c r="C2017" s="6" t="s">
        <v>86</v>
      </c>
      <c r="D2017" s="6" t="s">
        <v>151</v>
      </c>
      <c r="E2017" s="10" t="s">
        <v>2215</v>
      </c>
      <c r="F2017" s="6" t="s">
        <v>4423</v>
      </c>
      <c r="G2017" s="6" t="s">
        <v>104</v>
      </c>
      <c r="H2017" s="6" t="s">
        <v>6708</v>
      </c>
      <c r="I2017" s="6" t="s">
        <v>8026</v>
      </c>
      <c r="J2017" s="6" t="s">
        <v>9556</v>
      </c>
      <c r="K2017" s="6" t="s">
        <v>9714</v>
      </c>
      <c r="L2017" s="16" t="n">
        <v>45484</v>
      </c>
      <c r="M2017" s="16" t="n">
        <v>45777</v>
      </c>
      <c r="N2017" s="6" t="s">
        <v>104</v>
      </c>
      <c r="O2017" s="21" t="s">
        <v>104</v>
      </c>
      <c r="P2017" s="6" t="s">
        <v>104</v>
      </c>
      <c r="Q2017" s="6" t="s">
        <v>104</v>
      </c>
      <c r="R2017" s="6" t="s">
        <v>104</v>
      </c>
      <c r="S2017" s="6" t="s">
        <v>104</v>
      </c>
      <c r="T2017" s="21" t="s">
        <v>104</v>
      </c>
      <c r="U2017" s="6" t="s">
        <v>104</v>
      </c>
      <c r="V2017" s="6" t="s">
        <v>104</v>
      </c>
      <c r="W2017" s="6" t="s">
        <v>104</v>
      </c>
      <c r="X2017" s="6" t="s">
        <v>104</v>
      </c>
      <c r="Y2017" s="21" t="s">
        <v>104</v>
      </c>
      <c r="Z2017" s="6" t="s">
        <v>104</v>
      </c>
      <c r="AA2017" s="6" t="s">
        <v>104</v>
      </c>
      <c r="AB2017" s="6" t="s">
        <v>104</v>
      </c>
      <c r="AC2017" s="6" t="s">
        <v>9714</v>
      </c>
      <c r="AD2017" s="16" t="n">
        <v>45484</v>
      </c>
      <c r="AE2017" s="6" t="s">
        <v>12285</v>
      </c>
      <c r="AF2017" s="6" t="s">
        <v>104</v>
      </c>
      <c r="AG2017" s="6" t="s">
        <v>13093</v>
      </c>
      <c r="AH2017" s="6" t="s">
        <v>15003</v>
      </c>
      <c r="AI2017" s="6" t="s">
        <v>104</v>
      </c>
      <c r="AJ2017" s="6" t="s">
        <v>16549</v>
      </c>
      <c r="AK2017" s="6" t="s">
        <v>104</v>
      </c>
      <c r="AL2017" s="6" t="s">
        <v>15513</v>
      </c>
      <c r="AM2017" s="6" t="s">
        <v>18303</v>
      </c>
      <c r="AN2017" s="6" t="s">
        <v>104</v>
      </c>
      <c r="AO2017" s="6" t="s">
        <v>104</v>
      </c>
      <c r="AP2017" s="6" t="s">
        <v>104</v>
      </c>
      <c r="AQ2017" s="6" t="s">
        <v>104</v>
      </c>
      <c r="AR2017" s="6" t="s">
        <v>104</v>
      </c>
      <c r="AS2017" s="6" t="s">
        <v>104</v>
      </c>
      <c r="AT2017" s="6" t="s">
        <v>104</v>
      </c>
      <c r="AU2017" s="6" t="s">
        <v>104</v>
      </c>
      <c r="AV2017" s="6" t="s">
        <v>104</v>
      </c>
      <c r="AW2017" s="6" t="s">
        <v>104</v>
      </c>
      <c r="AX2017" s="6" t="s">
        <v>104</v>
      </c>
      <c r="AY2017" s="6" t="s">
        <v>23490</v>
      </c>
      <c r="AZ2017" s="6" t="s">
        <v>104</v>
      </c>
      <c r="BA2017" s="6" t="s">
        <v>104</v>
      </c>
      <c r="BB2017" s="6" t="s">
        <v>104</v>
      </c>
      <c r="BC2017" s="26"/>
      <c r="BD2017" s="26"/>
      <c r="BE2017" s="26"/>
      <c r="BF2017" s="26"/>
      <c r="BG2017" s="26"/>
      <c r="BH2017" s="26"/>
      <c r="BI2017" s="26"/>
      <c r="BJ2017" s="26"/>
      <c r="BK2017" s="26"/>
      <c r="BL2017" s="26"/>
      <c r="BM2017" s="26"/>
      <c r="BN2017" s="26"/>
      <c r="BO2017" s="26"/>
      <c r="BP2017" s="16" t="n">
        <v>45485</v>
      </c>
      <c r="BQ2017" s="28" t="str">
        <f>HYPERLINK("https://organic.ams.usda.gov/Integrity/Certificate.aspx?cid=17&amp;nopid=4086158375")</f>
        <v>https://organic.ams.usda.gov/Integrity/Certificate.aspx?cid=17&amp;nopid=4086158375</v>
      </c>
    </row>
    <row r="2018">
      <c r="A2018" t="s">
        <v>3</v>
      </c>
      <c r="B2018" s="6" t="s">
        <v>11</v>
      </c>
      <c r="C2018" s="6" t="s">
        <v>77</v>
      </c>
      <c r="D2018" s="6" t="s">
        <v>142</v>
      </c>
      <c r="E2018" s="10" t="s">
        <v>2216</v>
      </c>
      <c r="F2018" s="6" t="s">
        <v>4424</v>
      </c>
      <c r="G2018" s="6" t="s">
        <v>104</v>
      </c>
      <c r="H2018" s="6" t="s">
        <v>6709</v>
      </c>
      <c r="I2018" s="6" t="s">
        <v>8027</v>
      </c>
      <c r="J2018" s="6" t="s">
        <v>9557</v>
      </c>
      <c r="K2018" s="6" t="s">
        <v>9714</v>
      </c>
      <c r="L2018" s="16" t="n">
        <v>45516</v>
      </c>
      <c r="M2018" s="16" t="n">
        <v>45731</v>
      </c>
      <c r="N2018" s="6" t="s">
        <v>9714</v>
      </c>
      <c r="O2018" s="16" t="n">
        <v>45516</v>
      </c>
      <c r="P2018" s="6" t="s">
        <v>10238</v>
      </c>
      <c r="Q2018" s="6" t="s">
        <v>104</v>
      </c>
      <c r="R2018" s="6" t="s">
        <v>104</v>
      </c>
      <c r="S2018" s="6" t="s">
        <v>104</v>
      </c>
      <c r="T2018" s="21" t="s">
        <v>104</v>
      </c>
      <c r="U2018" s="6" t="s">
        <v>104</v>
      </c>
      <c r="V2018" s="6" t="s">
        <v>104</v>
      </c>
      <c r="W2018" s="6" t="s">
        <v>104</v>
      </c>
      <c r="X2018" s="6" t="s">
        <v>104</v>
      </c>
      <c r="Y2018" s="21" t="s">
        <v>104</v>
      </c>
      <c r="Z2018" s="6" t="s">
        <v>104</v>
      </c>
      <c r="AA2018" s="6" t="s">
        <v>104</v>
      </c>
      <c r="AB2018" s="6" t="s">
        <v>104</v>
      </c>
      <c r="AC2018" s="6" t="s">
        <v>9714</v>
      </c>
      <c r="AD2018" s="16" t="n">
        <v>45516</v>
      </c>
      <c r="AE2018" s="6" t="s">
        <v>12286</v>
      </c>
      <c r="AF2018" s="6" t="s">
        <v>104</v>
      </c>
      <c r="AG2018" s="6" t="s">
        <v>104</v>
      </c>
      <c r="AH2018" s="6" t="s">
        <v>15004</v>
      </c>
      <c r="AI2018" s="6" t="s">
        <v>104</v>
      </c>
      <c r="AJ2018" s="6" t="s">
        <v>16560</v>
      </c>
      <c r="AK2018" s="6" t="s">
        <v>104</v>
      </c>
      <c r="AL2018" s="6" t="s">
        <v>15513</v>
      </c>
      <c r="AM2018" s="6" t="s">
        <v>18304</v>
      </c>
      <c r="AN2018" s="6" t="s">
        <v>104</v>
      </c>
      <c r="AO2018" s="6" t="s">
        <v>104</v>
      </c>
      <c r="AP2018" s="6" t="s">
        <v>15004</v>
      </c>
      <c r="AQ2018" s="6" t="s">
        <v>104</v>
      </c>
      <c r="AR2018" s="6" t="s">
        <v>16560</v>
      </c>
      <c r="AS2018" s="6" t="s">
        <v>104</v>
      </c>
      <c r="AT2018" s="6" t="s">
        <v>15513</v>
      </c>
      <c r="AU2018" s="6" t="s">
        <v>18304</v>
      </c>
      <c r="AV2018" s="6" t="s">
        <v>104</v>
      </c>
      <c r="AW2018" s="6" t="s">
        <v>104</v>
      </c>
      <c r="AX2018" s="6" t="s">
        <v>21671</v>
      </c>
      <c r="AY2018" s="6" t="s">
        <v>23491</v>
      </c>
      <c r="AZ2018" s="6" t="s">
        <v>104</v>
      </c>
      <c r="BA2018" s="6" t="s">
        <v>104</v>
      </c>
      <c r="BB2018" s="24" t="n">
        <v>717</v>
      </c>
      <c r="BC2018" s="26"/>
      <c r="BD2018" s="26"/>
      <c r="BE2018" s="26"/>
      <c r="BF2018" s="26"/>
      <c r="BG2018" s="26"/>
      <c r="BH2018" s="26"/>
      <c r="BI2018" s="26"/>
      <c r="BJ2018" s="26"/>
      <c r="BK2018" s="26"/>
      <c r="BL2018" s="26"/>
      <c r="BM2018" s="26"/>
      <c r="BN2018" s="26"/>
      <c r="BO2018" s="26" t="s">
        <v>24533</v>
      </c>
      <c r="BP2018" s="16" t="n">
        <v>45523</v>
      </c>
      <c r="BQ2018" s="28" t="str">
        <f>HYPERLINK("https://organic.ams.usda.gov/Integrity/Certificate.aspx?cid=21&amp;nopid=1780900935")</f>
        <v>https://organic.ams.usda.gov/Integrity/Certificate.aspx?cid=21&amp;nopid=1780900935</v>
      </c>
    </row>
    <row r="2019">
      <c r="A2019" t="s">
        <v>3</v>
      </c>
      <c r="B2019" s="6" t="s">
        <v>20</v>
      </c>
      <c r="C2019" s="6" t="s">
        <v>86</v>
      </c>
      <c r="D2019" s="6" t="s">
        <v>151</v>
      </c>
      <c r="E2019" s="10" t="s">
        <v>2217</v>
      </c>
      <c r="F2019" s="6" t="s">
        <v>4425</v>
      </c>
      <c r="G2019" s="6" t="s">
        <v>104</v>
      </c>
      <c r="H2019" s="6" t="s">
        <v>6710</v>
      </c>
      <c r="I2019" s="6" t="s">
        <v>104</v>
      </c>
      <c r="J2019" s="6" t="s">
        <v>104</v>
      </c>
      <c r="K2019" s="6" t="s">
        <v>9714</v>
      </c>
      <c r="L2019" s="16" t="n">
        <v>45448</v>
      </c>
      <c r="M2019" s="16" t="n">
        <v>45747</v>
      </c>
      <c r="N2019" s="6" t="s">
        <v>104</v>
      </c>
      <c r="O2019" s="21" t="s">
        <v>104</v>
      </c>
      <c r="P2019" s="6" t="s">
        <v>104</v>
      </c>
      <c r="Q2019" s="6" t="s">
        <v>104</v>
      </c>
      <c r="R2019" s="6" t="s">
        <v>104</v>
      </c>
      <c r="S2019" s="6" t="s">
        <v>104</v>
      </c>
      <c r="T2019" s="21" t="s">
        <v>104</v>
      </c>
      <c r="U2019" s="6" t="s">
        <v>104</v>
      </c>
      <c r="V2019" s="6" t="s">
        <v>104</v>
      </c>
      <c r="W2019" s="6" t="s">
        <v>104</v>
      </c>
      <c r="X2019" s="6" t="s">
        <v>104</v>
      </c>
      <c r="Y2019" s="21" t="s">
        <v>104</v>
      </c>
      <c r="Z2019" s="6" t="s">
        <v>104</v>
      </c>
      <c r="AA2019" s="6" t="s">
        <v>104</v>
      </c>
      <c r="AB2019" s="6" t="s">
        <v>104</v>
      </c>
      <c r="AC2019" s="6" t="s">
        <v>9714</v>
      </c>
      <c r="AD2019" s="16" t="n">
        <v>45448</v>
      </c>
      <c r="AE2019" s="6" t="s">
        <v>12287</v>
      </c>
      <c r="AF2019" s="6" t="s">
        <v>104</v>
      </c>
      <c r="AG2019" s="6" t="s">
        <v>13094</v>
      </c>
      <c r="AH2019" s="6" t="s">
        <v>15005</v>
      </c>
      <c r="AI2019" s="6" t="s">
        <v>104</v>
      </c>
      <c r="AJ2019" s="6" t="s">
        <v>16097</v>
      </c>
      <c r="AK2019" s="6" t="s">
        <v>16097</v>
      </c>
      <c r="AL2019" s="6" t="s">
        <v>15513</v>
      </c>
      <c r="AM2019" s="6" t="s">
        <v>17071</v>
      </c>
      <c r="AN2019" s="6" t="s">
        <v>104</v>
      </c>
      <c r="AO2019" s="6" t="s">
        <v>104</v>
      </c>
      <c r="AP2019" s="6" t="s">
        <v>104</v>
      </c>
      <c r="AQ2019" s="6" t="s">
        <v>104</v>
      </c>
      <c r="AR2019" s="6" t="s">
        <v>104</v>
      </c>
      <c r="AS2019" s="6" t="s">
        <v>104</v>
      </c>
      <c r="AT2019" s="6" t="s">
        <v>104</v>
      </c>
      <c r="AU2019" s="6" t="s">
        <v>104</v>
      </c>
      <c r="AV2019" s="6" t="s">
        <v>104</v>
      </c>
      <c r="AW2019" s="6" t="s">
        <v>104</v>
      </c>
      <c r="AX2019" s="6" t="s">
        <v>104</v>
      </c>
      <c r="AY2019" s="6" t="s">
        <v>104</v>
      </c>
      <c r="AZ2019" s="6" t="s">
        <v>104</v>
      </c>
      <c r="BA2019" s="6" t="s">
        <v>104</v>
      </c>
      <c r="BB2019" s="6" t="s">
        <v>104</v>
      </c>
      <c r="BC2019" s="26"/>
      <c r="BD2019" s="26"/>
      <c r="BE2019" s="26"/>
      <c r="BF2019" s="26"/>
      <c r="BG2019" s="26"/>
      <c r="BH2019" s="26"/>
      <c r="BI2019" s="26"/>
      <c r="BJ2019" s="26"/>
      <c r="BK2019" s="26"/>
      <c r="BL2019" s="26"/>
      <c r="BM2019" s="26"/>
      <c r="BN2019" s="26"/>
      <c r="BO2019" s="26"/>
      <c r="BP2019" s="16" t="n">
        <v>45450</v>
      </c>
      <c r="BQ2019" s="28" t="str">
        <f>HYPERLINK("https://organic.ams.usda.gov/Integrity/Certificate.aspx?cid=17&amp;nopid=4081205129")</f>
        <v>https://organic.ams.usda.gov/Integrity/Certificate.aspx?cid=17&amp;nopid=4081205129</v>
      </c>
    </row>
    <row r="2020">
      <c r="A2020" t="s">
        <v>3</v>
      </c>
      <c r="B2020" s="6" t="s">
        <v>54</v>
      </c>
      <c r="C2020" s="6" t="s">
        <v>120</v>
      </c>
      <c r="D2020" s="6" t="s">
        <v>184</v>
      </c>
      <c r="E2020" s="10" t="s">
        <v>2218</v>
      </c>
      <c r="F2020" s="6" t="s">
        <v>4426</v>
      </c>
      <c r="G2020" s="6" t="s">
        <v>104</v>
      </c>
      <c r="H2020" s="6" t="s">
        <v>6711</v>
      </c>
      <c r="I2020" s="6" t="s">
        <v>6943</v>
      </c>
      <c r="J2020" s="6" t="s">
        <v>9558</v>
      </c>
      <c r="K2020" s="6" t="s">
        <v>9714</v>
      </c>
      <c r="L2020" s="16" t="n">
        <v>45118</v>
      </c>
      <c r="M2020" s="16" t="n">
        <v>45748</v>
      </c>
      <c r="N2020" s="6" t="s">
        <v>104</v>
      </c>
      <c r="O2020" s="21" t="s">
        <v>104</v>
      </c>
      <c r="P2020" s="6" t="s">
        <v>104</v>
      </c>
      <c r="Q2020" s="6" t="s">
        <v>104</v>
      </c>
      <c r="R2020" s="6" t="s">
        <v>104</v>
      </c>
      <c r="S2020" s="6" t="s">
        <v>104</v>
      </c>
      <c r="T2020" s="21" t="s">
        <v>104</v>
      </c>
      <c r="U2020" s="6" t="s">
        <v>104</v>
      </c>
      <c r="V2020" s="6" t="s">
        <v>104</v>
      </c>
      <c r="W2020" s="6" t="s">
        <v>104</v>
      </c>
      <c r="X2020" s="6" t="s">
        <v>104</v>
      </c>
      <c r="Y2020" s="21" t="s">
        <v>104</v>
      </c>
      <c r="Z2020" s="6" t="s">
        <v>104</v>
      </c>
      <c r="AA2020" s="6" t="s">
        <v>104</v>
      </c>
      <c r="AB2020" s="6" t="s">
        <v>104</v>
      </c>
      <c r="AC2020" s="6" t="s">
        <v>9714</v>
      </c>
      <c r="AD2020" s="16" t="n">
        <v>45118</v>
      </c>
      <c r="AE2020" s="6" t="s">
        <v>12288</v>
      </c>
      <c r="AF2020" s="6" t="s">
        <v>104</v>
      </c>
      <c r="AG2020" s="6" t="s">
        <v>104</v>
      </c>
      <c r="AH2020" s="6" t="s">
        <v>15006</v>
      </c>
      <c r="AI2020" s="6" t="s">
        <v>104</v>
      </c>
      <c r="AJ2020" s="6" t="s">
        <v>16561</v>
      </c>
      <c r="AK2020" s="6" t="s">
        <v>16678</v>
      </c>
      <c r="AL2020" s="6" t="s">
        <v>16931</v>
      </c>
      <c r="AM2020" s="6" t="s">
        <v>18305</v>
      </c>
      <c r="AN2020" s="6" t="s">
        <v>18476</v>
      </c>
      <c r="AO2020" s="6" t="s">
        <v>18912</v>
      </c>
      <c r="AP2020" s="6" t="s">
        <v>19478</v>
      </c>
      <c r="AQ2020" s="6" t="s">
        <v>104</v>
      </c>
      <c r="AR2020" s="6" t="s">
        <v>19767</v>
      </c>
      <c r="AS2020" s="6" t="s">
        <v>16678</v>
      </c>
      <c r="AT2020" s="6" t="s">
        <v>16931</v>
      </c>
      <c r="AU2020" s="6" t="s">
        <v>20048</v>
      </c>
      <c r="AV2020" s="6" t="s">
        <v>104</v>
      </c>
      <c r="AW2020" s="6" t="s">
        <v>104</v>
      </c>
      <c r="AX2020" s="6" t="s">
        <v>104</v>
      </c>
      <c r="AY2020" s="6" t="s">
        <v>23492</v>
      </c>
      <c r="AZ2020" s="6" t="s">
        <v>24195</v>
      </c>
      <c r="BA2020" s="6" t="s">
        <v>104</v>
      </c>
      <c r="BB2020" s="6" t="s">
        <v>104</v>
      </c>
      <c r="BC2020" s="26"/>
      <c r="BD2020" s="26"/>
      <c r="BE2020" s="26"/>
      <c r="BF2020" s="26"/>
      <c r="BG2020" s="26"/>
      <c r="BH2020" s="26" t="s">
        <v>24533</v>
      </c>
      <c r="BI2020" s="26"/>
      <c r="BJ2020" s="26"/>
      <c r="BK2020" s="26"/>
      <c r="BL2020" s="26"/>
      <c r="BM2020" s="26"/>
      <c r="BN2020" s="26" t="s">
        <v>24533</v>
      </c>
      <c r="BO2020" s="26"/>
      <c r="BP2020" s="16" t="n">
        <v>45632</v>
      </c>
      <c r="BQ2020" s="28" t="str">
        <f>HYPERLINK("https://organic.ams.usda.gov/Integrity/Certificate.aspx?cid=60&amp;nopid=2580006410")</f>
        <v>https://organic.ams.usda.gov/Integrity/Certificate.aspx?cid=60&amp;nopid=2580006410</v>
      </c>
    </row>
    <row r="2021">
      <c r="A2021" t="s">
        <v>3</v>
      </c>
      <c r="B2021" s="6" t="s">
        <v>44</v>
      </c>
      <c r="C2021" s="6" t="s">
        <v>110</v>
      </c>
      <c r="D2021" s="6" t="s">
        <v>174</v>
      </c>
      <c r="E2021" s="10" t="s">
        <v>2219</v>
      </c>
      <c r="F2021" s="6" t="s">
        <v>4427</v>
      </c>
      <c r="G2021" s="6" t="s">
        <v>104</v>
      </c>
      <c r="H2021" s="6" t="s">
        <v>6712</v>
      </c>
      <c r="I2021" s="6" t="s">
        <v>7097</v>
      </c>
      <c r="J2021" s="6" t="s">
        <v>9559</v>
      </c>
      <c r="K2021" s="6" t="s">
        <v>9714</v>
      </c>
      <c r="L2021" s="16" t="n">
        <v>38337</v>
      </c>
      <c r="M2021" s="16" t="n">
        <v>45672</v>
      </c>
      <c r="N2021" s="6" t="s">
        <v>104</v>
      </c>
      <c r="O2021" s="21" t="s">
        <v>104</v>
      </c>
      <c r="P2021" s="6" t="s">
        <v>104</v>
      </c>
      <c r="Q2021" s="6" t="s">
        <v>104</v>
      </c>
      <c r="R2021" s="6" t="s">
        <v>104</v>
      </c>
      <c r="S2021" s="6" t="s">
        <v>104</v>
      </c>
      <c r="T2021" s="21" t="s">
        <v>104</v>
      </c>
      <c r="U2021" s="6" t="s">
        <v>104</v>
      </c>
      <c r="V2021" s="6" t="s">
        <v>104</v>
      </c>
      <c r="W2021" s="6" t="s">
        <v>104</v>
      </c>
      <c r="X2021" s="6" t="s">
        <v>104</v>
      </c>
      <c r="Y2021" s="21" t="s">
        <v>104</v>
      </c>
      <c r="Z2021" s="6" t="s">
        <v>104</v>
      </c>
      <c r="AA2021" s="6" t="s">
        <v>104</v>
      </c>
      <c r="AB2021" s="6" t="s">
        <v>104</v>
      </c>
      <c r="AC2021" s="6" t="s">
        <v>9714</v>
      </c>
      <c r="AD2021" s="16" t="n">
        <v>38337</v>
      </c>
      <c r="AE2021" s="6" t="s">
        <v>12289</v>
      </c>
      <c r="AF2021" s="6" t="s">
        <v>104</v>
      </c>
      <c r="AG2021" s="6" t="s">
        <v>104</v>
      </c>
      <c r="AH2021" s="6" t="s">
        <v>15007</v>
      </c>
      <c r="AI2021" s="6" t="s">
        <v>104</v>
      </c>
      <c r="AJ2021" s="6" t="s">
        <v>15667</v>
      </c>
      <c r="AK2021" s="6" t="s">
        <v>15697</v>
      </c>
      <c r="AL2021" s="6" t="s">
        <v>16931</v>
      </c>
      <c r="AM2021" s="6" t="s">
        <v>17285</v>
      </c>
      <c r="AN2021" s="6" t="s">
        <v>104</v>
      </c>
      <c r="AO2021" s="6" t="s">
        <v>104</v>
      </c>
      <c r="AP2021" s="6" t="s">
        <v>15007</v>
      </c>
      <c r="AQ2021" s="6" t="s">
        <v>104</v>
      </c>
      <c r="AR2021" s="6" t="s">
        <v>15667</v>
      </c>
      <c r="AS2021" s="6" t="s">
        <v>15697</v>
      </c>
      <c r="AT2021" s="6" t="s">
        <v>16931</v>
      </c>
      <c r="AU2021" s="6" t="s">
        <v>17285</v>
      </c>
      <c r="AV2021" s="6" t="s">
        <v>104</v>
      </c>
      <c r="AW2021" s="6" t="s">
        <v>104</v>
      </c>
      <c r="AX2021" s="6" t="s">
        <v>21672</v>
      </c>
      <c r="AY2021" s="6" t="s">
        <v>23493</v>
      </c>
      <c r="AZ2021" s="6" t="s">
        <v>24196</v>
      </c>
      <c r="BA2021" s="6" t="s">
        <v>104</v>
      </c>
      <c r="BB2021" s="24" t="n">
        <v>0</v>
      </c>
      <c r="BC2021" s="26"/>
      <c r="BD2021" s="26"/>
      <c r="BE2021" s="26"/>
      <c r="BF2021" s="26"/>
      <c r="BG2021" s="26"/>
      <c r="BH2021" s="26"/>
      <c r="BI2021" s="26"/>
      <c r="BJ2021" s="26"/>
      <c r="BK2021" s="26"/>
      <c r="BL2021" s="26"/>
      <c r="BM2021" s="26"/>
      <c r="BN2021" s="26"/>
      <c r="BO2021" s="26"/>
      <c r="BP2021" s="16" t="n">
        <v>45603</v>
      </c>
      <c r="BQ2021" s="28" t="str">
        <f>HYPERLINK("https://organic.ams.usda.gov/Integrity/Certificate.aspx?cid=57&amp;nopid=3250200472")</f>
        <v>https://organic.ams.usda.gov/Integrity/Certificate.aspx?cid=57&amp;nopid=3250200472</v>
      </c>
    </row>
    <row r="2022">
      <c r="A2022" t="s">
        <v>3</v>
      </c>
      <c r="B2022" s="6" t="s">
        <v>53</v>
      </c>
      <c r="C2022" s="6" t="s">
        <v>119</v>
      </c>
      <c r="D2022" s="6" t="s">
        <v>183</v>
      </c>
      <c r="E2022" s="10" t="s">
        <v>2220</v>
      </c>
      <c r="F2022" s="6" t="s">
        <v>4428</v>
      </c>
      <c r="G2022" s="6" t="s">
        <v>104</v>
      </c>
      <c r="H2022" s="6" t="s">
        <v>104</v>
      </c>
      <c r="I2022" s="6" t="s">
        <v>7080</v>
      </c>
      <c r="J2022" s="6" t="s">
        <v>9560</v>
      </c>
      <c r="K2022" s="6" t="s">
        <v>9714</v>
      </c>
      <c r="L2022" s="16" t="n">
        <v>45559</v>
      </c>
      <c r="M2022" s="16" t="n">
        <v>45924</v>
      </c>
      <c r="N2022" s="6" t="s">
        <v>104</v>
      </c>
      <c r="O2022" s="21" t="s">
        <v>104</v>
      </c>
      <c r="P2022" s="6" t="s">
        <v>104</v>
      </c>
      <c r="Q2022" s="6" t="s">
        <v>104</v>
      </c>
      <c r="R2022" s="6" t="s">
        <v>104</v>
      </c>
      <c r="S2022" s="6" t="s">
        <v>104</v>
      </c>
      <c r="T2022" s="21" t="s">
        <v>104</v>
      </c>
      <c r="U2022" s="6" t="s">
        <v>104</v>
      </c>
      <c r="V2022" s="6" t="s">
        <v>104</v>
      </c>
      <c r="W2022" s="6" t="s">
        <v>104</v>
      </c>
      <c r="X2022" s="6" t="s">
        <v>104</v>
      </c>
      <c r="Y2022" s="21" t="s">
        <v>104</v>
      </c>
      <c r="Z2022" s="6" t="s">
        <v>104</v>
      </c>
      <c r="AA2022" s="6" t="s">
        <v>104</v>
      </c>
      <c r="AB2022" s="6" t="s">
        <v>104</v>
      </c>
      <c r="AC2022" s="6" t="s">
        <v>9714</v>
      </c>
      <c r="AD2022" s="16" t="n">
        <v>45559</v>
      </c>
      <c r="AE2022" s="6" t="s">
        <v>12290</v>
      </c>
      <c r="AF2022" s="6" t="s">
        <v>104</v>
      </c>
      <c r="AG2022" s="6" t="s">
        <v>104</v>
      </c>
      <c r="AH2022" s="6" t="s">
        <v>15008</v>
      </c>
      <c r="AI2022" s="6" t="s">
        <v>104</v>
      </c>
      <c r="AJ2022" s="6" t="s">
        <v>15415</v>
      </c>
      <c r="AK2022" s="6" t="s">
        <v>16705</v>
      </c>
      <c r="AL2022" s="6" t="s">
        <v>16931</v>
      </c>
      <c r="AM2022" s="6" t="s">
        <v>17042</v>
      </c>
      <c r="AN2022" s="6" t="s">
        <v>104</v>
      </c>
      <c r="AO2022" s="6" t="s">
        <v>104</v>
      </c>
      <c r="AP2022" s="6" t="s">
        <v>104</v>
      </c>
      <c r="AQ2022" s="6" t="s">
        <v>104</v>
      </c>
      <c r="AR2022" s="6" t="s">
        <v>104</v>
      </c>
      <c r="AS2022" s="6" t="s">
        <v>104</v>
      </c>
      <c r="AT2022" s="6" t="s">
        <v>104</v>
      </c>
      <c r="AU2022" s="6" t="s">
        <v>104</v>
      </c>
      <c r="AV2022" s="6" t="s">
        <v>104</v>
      </c>
      <c r="AW2022" s="6" t="s">
        <v>104</v>
      </c>
      <c r="AX2022" s="6" t="s">
        <v>104</v>
      </c>
      <c r="AY2022" s="6" t="s">
        <v>23494</v>
      </c>
      <c r="AZ2022" s="6" t="s">
        <v>104</v>
      </c>
      <c r="BA2022" s="6" t="s">
        <v>104</v>
      </c>
      <c r="BB2022" s="6" t="s">
        <v>104</v>
      </c>
      <c r="BC2022" s="26"/>
      <c r="BD2022" s="26"/>
      <c r="BE2022" s="26"/>
      <c r="BF2022" s="26"/>
      <c r="BG2022" s="26"/>
      <c r="BH2022" s="26"/>
      <c r="BI2022" s="26"/>
      <c r="BJ2022" s="26"/>
      <c r="BK2022" s="26"/>
      <c r="BL2022" s="26"/>
      <c r="BM2022" s="26"/>
      <c r="BN2022" s="26"/>
      <c r="BO2022" s="26"/>
      <c r="BP2022" s="16" t="n">
        <v>45565</v>
      </c>
      <c r="BQ2022" s="28" t="str">
        <f>HYPERLINK("https://organic.ams.usda.gov/Integrity/Certificate.aspx?cid=74&amp;nopid=5350000360")</f>
        <v>https://organic.ams.usda.gov/Integrity/Certificate.aspx?cid=74&amp;nopid=5350000360</v>
      </c>
    </row>
    <row r="2023">
      <c r="A2023" t="s">
        <v>3</v>
      </c>
      <c r="B2023" s="6" t="s">
        <v>53</v>
      </c>
      <c r="C2023" s="6" t="s">
        <v>119</v>
      </c>
      <c r="D2023" s="6" t="s">
        <v>183</v>
      </c>
      <c r="E2023" s="10" t="s">
        <v>2221</v>
      </c>
      <c r="F2023" s="6" t="s">
        <v>4429</v>
      </c>
      <c r="G2023" s="6" t="s">
        <v>104</v>
      </c>
      <c r="H2023" s="6" t="s">
        <v>104</v>
      </c>
      <c r="I2023" s="6" t="s">
        <v>7183</v>
      </c>
      <c r="J2023" s="6" t="s">
        <v>9561</v>
      </c>
      <c r="K2023" s="6" t="s">
        <v>9714</v>
      </c>
      <c r="L2023" s="16" t="n">
        <v>45646</v>
      </c>
      <c r="M2023" s="16" t="n">
        <v>46011</v>
      </c>
      <c r="N2023" s="6" t="s">
        <v>104</v>
      </c>
      <c r="O2023" s="21" t="s">
        <v>104</v>
      </c>
      <c r="P2023" s="6" t="s">
        <v>104</v>
      </c>
      <c r="Q2023" s="6" t="s">
        <v>104</v>
      </c>
      <c r="R2023" s="6" t="s">
        <v>104</v>
      </c>
      <c r="S2023" s="6" t="s">
        <v>104</v>
      </c>
      <c r="T2023" s="21" t="s">
        <v>104</v>
      </c>
      <c r="U2023" s="6" t="s">
        <v>104</v>
      </c>
      <c r="V2023" s="6" t="s">
        <v>104</v>
      </c>
      <c r="W2023" s="6" t="s">
        <v>104</v>
      </c>
      <c r="X2023" s="6" t="s">
        <v>104</v>
      </c>
      <c r="Y2023" s="21" t="s">
        <v>104</v>
      </c>
      <c r="Z2023" s="6" t="s">
        <v>104</v>
      </c>
      <c r="AA2023" s="6" t="s">
        <v>104</v>
      </c>
      <c r="AB2023" s="6" t="s">
        <v>104</v>
      </c>
      <c r="AC2023" s="6" t="s">
        <v>9714</v>
      </c>
      <c r="AD2023" s="16" t="n">
        <v>45646</v>
      </c>
      <c r="AE2023" s="6" t="s">
        <v>10958</v>
      </c>
      <c r="AF2023" s="6" t="s">
        <v>104</v>
      </c>
      <c r="AG2023" s="6" t="s">
        <v>104</v>
      </c>
      <c r="AH2023" s="6" t="s">
        <v>15009</v>
      </c>
      <c r="AI2023" s="6" t="s">
        <v>104</v>
      </c>
      <c r="AJ2023" s="6" t="s">
        <v>16562</v>
      </c>
      <c r="AK2023" s="6" t="s">
        <v>16256</v>
      </c>
      <c r="AL2023" s="6" t="s">
        <v>16931</v>
      </c>
      <c r="AM2023" s="6" t="s">
        <v>18306</v>
      </c>
      <c r="AN2023" s="6" t="s">
        <v>104</v>
      </c>
      <c r="AO2023" s="6" t="s">
        <v>104</v>
      </c>
      <c r="AP2023" s="6" t="s">
        <v>104</v>
      </c>
      <c r="AQ2023" s="6" t="s">
        <v>104</v>
      </c>
      <c r="AR2023" s="6" t="s">
        <v>104</v>
      </c>
      <c r="AS2023" s="6" t="s">
        <v>104</v>
      </c>
      <c r="AT2023" s="6" t="s">
        <v>104</v>
      </c>
      <c r="AU2023" s="6" t="s">
        <v>104</v>
      </c>
      <c r="AV2023" s="6" t="s">
        <v>104</v>
      </c>
      <c r="AW2023" s="6" t="s">
        <v>104</v>
      </c>
      <c r="AX2023" s="6" t="s">
        <v>104</v>
      </c>
      <c r="AY2023" s="6" t="s">
        <v>23495</v>
      </c>
      <c r="AZ2023" s="6" t="s">
        <v>23815</v>
      </c>
      <c r="BA2023" s="6" t="s">
        <v>104</v>
      </c>
      <c r="BB2023" s="6" t="s">
        <v>104</v>
      </c>
      <c r="BC2023" s="26"/>
      <c r="BD2023" s="26"/>
      <c r="BE2023" s="26"/>
      <c r="BF2023" s="26"/>
      <c r="BG2023" s="26"/>
      <c r="BH2023" s="26"/>
      <c r="BI2023" s="26"/>
      <c r="BJ2023" s="26"/>
      <c r="BK2023" s="26"/>
      <c r="BL2023" s="26"/>
      <c r="BM2023" s="26"/>
      <c r="BN2023" s="26"/>
      <c r="BO2023" s="26"/>
      <c r="BP2023" s="16" t="n">
        <v>45708</v>
      </c>
      <c r="BQ2023" s="28" t="str">
        <f>HYPERLINK("https://organic.ams.usda.gov/Integrity/Certificate.aspx?cid=74&amp;nopid=5350000405")</f>
        <v>https://organic.ams.usda.gov/Integrity/Certificate.aspx?cid=74&amp;nopid=5350000405</v>
      </c>
    </row>
    <row r="2024">
      <c r="A2024" t="s">
        <v>3</v>
      </c>
      <c r="B2024" s="6" t="s">
        <v>53</v>
      </c>
      <c r="C2024" s="6" t="s">
        <v>119</v>
      </c>
      <c r="D2024" s="6" t="s">
        <v>183</v>
      </c>
      <c r="E2024" s="10" t="s">
        <v>2222</v>
      </c>
      <c r="F2024" s="6" t="s">
        <v>4430</v>
      </c>
      <c r="G2024" s="6" t="s">
        <v>104</v>
      </c>
      <c r="H2024" s="6" t="s">
        <v>104</v>
      </c>
      <c r="I2024" s="6" t="s">
        <v>8028</v>
      </c>
      <c r="J2024" s="6" t="s">
        <v>9331</v>
      </c>
      <c r="K2024" s="6" t="s">
        <v>9714</v>
      </c>
      <c r="L2024" s="16" t="n">
        <v>45643</v>
      </c>
      <c r="M2024" s="16" t="n">
        <v>46008</v>
      </c>
      <c r="N2024" s="6" t="s">
        <v>104</v>
      </c>
      <c r="O2024" s="21" t="s">
        <v>104</v>
      </c>
      <c r="P2024" s="6" t="s">
        <v>104</v>
      </c>
      <c r="Q2024" s="6" t="s">
        <v>104</v>
      </c>
      <c r="R2024" s="6" t="s">
        <v>104</v>
      </c>
      <c r="S2024" s="6" t="s">
        <v>104</v>
      </c>
      <c r="T2024" s="21" t="s">
        <v>104</v>
      </c>
      <c r="U2024" s="6" t="s">
        <v>104</v>
      </c>
      <c r="V2024" s="6" t="s">
        <v>104</v>
      </c>
      <c r="W2024" s="6" t="s">
        <v>104</v>
      </c>
      <c r="X2024" s="6" t="s">
        <v>104</v>
      </c>
      <c r="Y2024" s="21" t="s">
        <v>104</v>
      </c>
      <c r="Z2024" s="6" t="s">
        <v>104</v>
      </c>
      <c r="AA2024" s="6" t="s">
        <v>104</v>
      </c>
      <c r="AB2024" s="6" t="s">
        <v>104</v>
      </c>
      <c r="AC2024" s="6" t="s">
        <v>9714</v>
      </c>
      <c r="AD2024" s="16" t="n">
        <v>45643</v>
      </c>
      <c r="AE2024" s="6" t="s">
        <v>10958</v>
      </c>
      <c r="AF2024" s="6" t="s">
        <v>104</v>
      </c>
      <c r="AG2024" s="6" t="s">
        <v>104</v>
      </c>
      <c r="AH2024" s="6" t="s">
        <v>15010</v>
      </c>
      <c r="AI2024" s="6" t="s">
        <v>104</v>
      </c>
      <c r="AJ2024" s="6" t="s">
        <v>15621</v>
      </c>
      <c r="AK2024" s="6" t="s">
        <v>16710</v>
      </c>
      <c r="AL2024" s="6" t="s">
        <v>16931</v>
      </c>
      <c r="AM2024" s="6" t="s">
        <v>17241</v>
      </c>
      <c r="AN2024" s="6" t="s">
        <v>104</v>
      </c>
      <c r="AO2024" s="6" t="s">
        <v>104</v>
      </c>
      <c r="AP2024" s="6" t="s">
        <v>104</v>
      </c>
      <c r="AQ2024" s="6" t="s">
        <v>104</v>
      </c>
      <c r="AR2024" s="6" t="s">
        <v>104</v>
      </c>
      <c r="AS2024" s="6" t="s">
        <v>104</v>
      </c>
      <c r="AT2024" s="6" t="s">
        <v>104</v>
      </c>
      <c r="AU2024" s="6" t="s">
        <v>104</v>
      </c>
      <c r="AV2024" s="6" t="s">
        <v>104</v>
      </c>
      <c r="AW2024" s="6" t="s">
        <v>104</v>
      </c>
      <c r="AX2024" s="6" t="s">
        <v>104</v>
      </c>
      <c r="AY2024" s="6" t="s">
        <v>23496</v>
      </c>
      <c r="AZ2024" s="6" t="s">
        <v>23815</v>
      </c>
      <c r="BA2024" s="6" t="s">
        <v>104</v>
      </c>
      <c r="BB2024" s="6" t="s">
        <v>104</v>
      </c>
      <c r="BC2024" s="26"/>
      <c r="BD2024" s="26"/>
      <c r="BE2024" s="26"/>
      <c r="BF2024" s="26"/>
      <c r="BG2024" s="26"/>
      <c r="BH2024" s="26"/>
      <c r="BI2024" s="26"/>
      <c r="BJ2024" s="26"/>
      <c r="BK2024" s="26"/>
      <c r="BL2024" s="26"/>
      <c r="BM2024" s="26"/>
      <c r="BN2024" s="26"/>
      <c r="BO2024" s="26"/>
      <c r="BP2024" s="16" t="n">
        <v>45708</v>
      </c>
      <c r="BQ2024" s="28" t="str">
        <f>HYPERLINK("https://organic.ams.usda.gov/Integrity/Certificate.aspx?cid=74&amp;nopid=5350000401")</f>
        <v>https://organic.ams.usda.gov/Integrity/Certificate.aspx?cid=74&amp;nopid=5350000401</v>
      </c>
    </row>
    <row r="2025">
      <c r="A2025" t="s">
        <v>3</v>
      </c>
      <c r="B2025" s="6" t="s">
        <v>53</v>
      </c>
      <c r="C2025" s="6" t="s">
        <v>119</v>
      </c>
      <c r="D2025" s="6" t="s">
        <v>183</v>
      </c>
      <c r="E2025" s="10" t="s">
        <v>2223</v>
      </c>
      <c r="F2025" s="6" t="s">
        <v>4431</v>
      </c>
      <c r="G2025" s="6" t="s">
        <v>104</v>
      </c>
      <c r="H2025" s="6" t="s">
        <v>104</v>
      </c>
      <c r="I2025" s="6" t="s">
        <v>7003</v>
      </c>
      <c r="J2025" s="6" t="s">
        <v>9562</v>
      </c>
      <c r="K2025" s="6" t="s">
        <v>9714</v>
      </c>
      <c r="L2025" s="16" t="n">
        <v>45713</v>
      </c>
      <c r="M2025" s="16" t="n">
        <v>46078</v>
      </c>
      <c r="N2025" s="6" t="s">
        <v>104</v>
      </c>
      <c r="O2025" s="21" t="s">
        <v>104</v>
      </c>
      <c r="P2025" s="6" t="s">
        <v>104</v>
      </c>
      <c r="Q2025" s="6" t="s">
        <v>104</v>
      </c>
      <c r="R2025" s="6" t="s">
        <v>104</v>
      </c>
      <c r="S2025" s="6" t="s">
        <v>104</v>
      </c>
      <c r="T2025" s="21" t="s">
        <v>104</v>
      </c>
      <c r="U2025" s="6" t="s">
        <v>104</v>
      </c>
      <c r="V2025" s="6" t="s">
        <v>104</v>
      </c>
      <c r="W2025" s="6" t="s">
        <v>104</v>
      </c>
      <c r="X2025" s="6" t="s">
        <v>104</v>
      </c>
      <c r="Y2025" s="21" t="s">
        <v>104</v>
      </c>
      <c r="Z2025" s="6" t="s">
        <v>104</v>
      </c>
      <c r="AA2025" s="6" t="s">
        <v>104</v>
      </c>
      <c r="AB2025" s="6" t="s">
        <v>104</v>
      </c>
      <c r="AC2025" s="6" t="s">
        <v>9714</v>
      </c>
      <c r="AD2025" s="16" t="n">
        <v>45713</v>
      </c>
      <c r="AE2025" s="6" t="s">
        <v>10958</v>
      </c>
      <c r="AF2025" s="6" t="s">
        <v>104</v>
      </c>
      <c r="AG2025" s="6" t="s">
        <v>104</v>
      </c>
      <c r="AH2025" s="6" t="s">
        <v>15011</v>
      </c>
      <c r="AI2025" s="6" t="s">
        <v>104</v>
      </c>
      <c r="AJ2025" s="6" t="s">
        <v>16563</v>
      </c>
      <c r="AK2025" s="6" t="s">
        <v>16706</v>
      </c>
      <c r="AL2025" s="6" t="s">
        <v>16931</v>
      </c>
      <c r="AM2025" s="6" t="s">
        <v>18307</v>
      </c>
      <c r="AN2025" s="6" t="s">
        <v>104</v>
      </c>
      <c r="AO2025" s="6" t="s">
        <v>104</v>
      </c>
      <c r="AP2025" s="6" t="s">
        <v>104</v>
      </c>
      <c r="AQ2025" s="6" t="s">
        <v>104</v>
      </c>
      <c r="AR2025" s="6" t="s">
        <v>104</v>
      </c>
      <c r="AS2025" s="6" t="s">
        <v>104</v>
      </c>
      <c r="AT2025" s="6" t="s">
        <v>104</v>
      </c>
      <c r="AU2025" s="6" t="s">
        <v>104</v>
      </c>
      <c r="AV2025" s="6" t="s">
        <v>104</v>
      </c>
      <c r="AW2025" s="6" t="s">
        <v>104</v>
      </c>
      <c r="AX2025" s="6" t="s">
        <v>104</v>
      </c>
      <c r="AY2025" s="6" t="s">
        <v>23497</v>
      </c>
      <c r="AZ2025" s="6" t="s">
        <v>23815</v>
      </c>
      <c r="BA2025" s="6" t="s">
        <v>104</v>
      </c>
      <c r="BB2025" s="6" t="s">
        <v>104</v>
      </c>
      <c r="BC2025" s="26"/>
      <c r="BD2025" s="26"/>
      <c r="BE2025" s="26"/>
      <c r="BF2025" s="26"/>
      <c r="BG2025" s="26"/>
      <c r="BH2025" s="26"/>
      <c r="BI2025" s="26"/>
      <c r="BJ2025" s="26"/>
      <c r="BK2025" s="26"/>
      <c r="BL2025" s="26"/>
      <c r="BM2025" s="26"/>
      <c r="BN2025" s="26"/>
      <c r="BO2025" s="26"/>
      <c r="BP2025" s="16" t="n">
        <v>45720</v>
      </c>
      <c r="BQ2025" s="28" t="str">
        <f>HYPERLINK("https://organic.ams.usda.gov/Integrity/Certificate.aspx?cid=74&amp;nopid=5350000428")</f>
        <v>https://organic.ams.usda.gov/Integrity/Certificate.aspx?cid=74&amp;nopid=5350000428</v>
      </c>
    </row>
    <row r="2026">
      <c r="A2026" t="s">
        <v>3</v>
      </c>
      <c r="B2026" s="6" t="s">
        <v>53</v>
      </c>
      <c r="C2026" s="6" t="s">
        <v>119</v>
      </c>
      <c r="D2026" s="6" t="s">
        <v>183</v>
      </c>
      <c r="E2026" s="10" t="s">
        <v>2224</v>
      </c>
      <c r="F2026" s="6" t="s">
        <v>4432</v>
      </c>
      <c r="G2026" s="6" t="s">
        <v>104</v>
      </c>
      <c r="H2026" s="6" t="s">
        <v>104</v>
      </c>
      <c r="I2026" s="6" t="s">
        <v>7395</v>
      </c>
      <c r="J2026" s="6" t="s">
        <v>9321</v>
      </c>
      <c r="K2026" s="6" t="s">
        <v>9714</v>
      </c>
      <c r="L2026" s="16" t="n">
        <v>45716</v>
      </c>
      <c r="M2026" s="16" t="n">
        <v>46081</v>
      </c>
      <c r="N2026" s="6" t="s">
        <v>104</v>
      </c>
      <c r="O2026" s="21" t="s">
        <v>104</v>
      </c>
      <c r="P2026" s="6" t="s">
        <v>104</v>
      </c>
      <c r="Q2026" s="6" t="s">
        <v>104</v>
      </c>
      <c r="R2026" s="6" t="s">
        <v>104</v>
      </c>
      <c r="S2026" s="6" t="s">
        <v>104</v>
      </c>
      <c r="T2026" s="21" t="s">
        <v>104</v>
      </c>
      <c r="U2026" s="6" t="s">
        <v>104</v>
      </c>
      <c r="V2026" s="6" t="s">
        <v>104</v>
      </c>
      <c r="W2026" s="6" t="s">
        <v>104</v>
      </c>
      <c r="X2026" s="6" t="s">
        <v>104</v>
      </c>
      <c r="Y2026" s="21" t="s">
        <v>104</v>
      </c>
      <c r="Z2026" s="6" t="s">
        <v>104</v>
      </c>
      <c r="AA2026" s="6" t="s">
        <v>104</v>
      </c>
      <c r="AB2026" s="6" t="s">
        <v>104</v>
      </c>
      <c r="AC2026" s="6" t="s">
        <v>9714</v>
      </c>
      <c r="AD2026" s="16" t="n">
        <v>45716</v>
      </c>
      <c r="AE2026" s="6" t="s">
        <v>10958</v>
      </c>
      <c r="AF2026" s="6" t="s">
        <v>104</v>
      </c>
      <c r="AG2026" s="6" t="s">
        <v>104</v>
      </c>
      <c r="AH2026" s="6" t="s">
        <v>15012</v>
      </c>
      <c r="AI2026" s="6" t="s">
        <v>104</v>
      </c>
      <c r="AJ2026" s="6" t="s">
        <v>16564</v>
      </c>
      <c r="AK2026" s="6" t="s">
        <v>16715</v>
      </c>
      <c r="AL2026" s="6" t="s">
        <v>16931</v>
      </c>
      <c r="AM2026" s="6" t="s">
        <v>18308</v>
      </c>
      <c r="AN2026" s="6" t="s">
        <v>104</v>
      </c>
      <c r="AO2026" s="6" t="s">
        <v>104</v>
      </c>
      <c r="AP2026" s="6" t="s">
        <v>104</v>
      </c>
      <c r="AQ2026" s="6" t="s">
        <v>104</v>
      </c>
      <c r="AR2026" s="6" t="s">
        <v>104</v>
      </c>
      <c r="AS2026" s="6" t="s">
        <v>104</v>
      </c>
      <c r="AT2026" s="6" t="s">
        <v>104</v>
      </c>
      <c r="AU2026" s="6" t="s">
        <v>104</v>
      </c>
      <c r="AV2026" s="6" t="s">
        <v>104</v>
      </c>
      <c r="AW2026" s="6" t="s">
        <v>104</v>
      </c>
      <c r="AX2026" s="6" t="s">
        <v>104</v>
      </c>
      <c r="AY2026" s="6" t="s">
        <v>23498</v>
      </c>
      <c r="AZ2026" s="6" t="s">
        <v>23815</v>
      </c>
      <c r="BA2026" s="6" t="s">
        <v>104</v>
      </c>
      <c r="BB2026" s="6" t="s">
        <v>104</v>
      </c>
      <c r="BC2026" s="26"/>
      <c r="BD2026" s="26"/>
      <c r="BE2026" s="26"/>
      <c r="BF2026" s="26"/>
      <c r="BG2026" s="26"/>
      <c r="BH2026" s="26"/>
      <c r="BI2026" s="26"/>
      <c r="BJ2026" s="26"/>
      <c r="BK2026" s="26"/>
      <c r="BL2026" s="26"/>
      <c r="BM2026" s="26"/>
      <c r="BN2026" s="26"/>
      <c r="BO2026" s="26"/>
      <c r="BP2026" s="16" t="n">
        <v>45720</v>
      </c>
      <c r="BQ2026" s="28" t="str">
        <f>HYPERLINK("https://organic.ams.usda.gov/Integrity/Certificate.aspx?cid=74&amp;nopid=5350000429")</f>
        <v>https://organic.ams.usda.gov/Integrity/Certificate.aspx?cid=74&amp;nopid=5350000429</v>
      </c>
    </row>
    <row r="2027">
      <c r="A2027" t="s">
        <v>3</v>
      </c>
      <c r="B2027" s="6" t="s">
        <v>53</v>
      </c>
      <c r="C2027" s="6" t="s">
        <v>119</v>
      </c>
      <c r="D2027" s="6" t="s">
        <v>183</v>
      </c>
      <c r="E2027" s="10" t="s">
        <v>2225</v>
      </c>
      <c r="F2027" s="6" t="s">
        <v>4432</v>
      </c>
      <c r="G2027" s="6" t="s">
        <v>104</v>
      </c>
      <c r="H2027" s="6" t="s">
        <v>104</v>
      </c>
      <c r="I2027" s="6" t="s">
        <v>7183</v>
      </c>
      <c r="J2027" s="6" t="s">
        <v>9561</v>
      </c>
      <c r="K2027" s="6" t="s">
        <v>9714</v>
      </c>
      <c r="L2027" s="16" t="n">
        <v>45713</v>
      </c>
      <c r="M2027" s="16" t="n">
        <v>46078</v>
      </c>
      <c r="N2027" s="6" t="s">
        <v>104</v>
      </c>
      <c r="O2027" s="21" t="s">
        <v>104</v>
      </c>
      <c r="P2027" s="6" t="s">
        <v>104</v>
      </c>
      <c r="Q2027" s="6" t="s">
        <v>104</v>
      </c>
      <c r="R2027" s="6" t="s">
        <v>104</v>
      </c>
      <c r="S2027" s="6" t="s">
        <v>104</v>
      </c>
      <c r="T2027" s="21" t="s">
        <v>104</v>
      </c>
      <c r="U2027" s="6" t="s">
        <v>104</v>
      </c>
      <c r="V2027" s="6" t="s">
        <v>104</v>
      </c>
      <c r="W2027" s="6" t="s">
        <v>104</v>
      </c>
      <c r="X2027" s="6" t="s">
        <v>104</v>
      </c>
      <c r="Y2027" s="21" t="s">
        <v>104</v>
      </c>
      <c r="Z2027" s="6" t="s">
        <v>104</v>
      </c>
      <c r="AA2027" s="6" t="s">
        <v>104</v>
      </c>
      <c r="AB2027" s="6" t="s">
        <v>104</v>
      </c>
      <c r="AC2027" s="6" t="s">
        <v>9714</v>
      </c>
      <c r="AD2027" s="16" t="n">
        <v>45713</v>
      </c>
      <c r="AE2027" s="6" t="s">
        <v>10958</v>
      </c>
      <c r="AF2027" s="6" t="s">
        <v>104</v>
      </c>
      <c r="AG2027" s="6" t="s">
        <v>104</v>
      </c>
      <c r="AH2027" s="6" t="s">
        <v>15013</v>
      </c>
      <c r="AI2027" s="6" t="s">
        <v>104</v>
      </c>
      <c r="AJ2027" s="6" t="s">
        <v>16565</v>
      </c>
      <c r="AK2027" s="6" t="s">
        <v>16684</v>
      </c>
      <c r="AL2027" s="6" t="s">
        <v>16931</v>
      </c>
      <c r="AM2027" s="6" t="s">
        <v>18309</v>
      </c>
      <c r="AN2027" s="6" t="s">
        <v>104</v>
      </c>
      <c r="AO2027" s="6" t="s">
        <v>104</v>
      </c>
      <c r="AP2027" s="6" t="s">
        <v>104</v>
      </c>
      <c r="AQ2027" s="6" t="s">
        <v>104</v>
      </c>
      <c r="AR2027" s="6" t="s">
        <v>104</v>
      </c>
      <c r="AS2027" s="6" t="s">
        <v>104</v>
      </c>
      <c r="AT2027" s="6" t="s">
        <v>104</v>
      </c>
      <c r="AU2027" s="6" t="s">
        <v>104</v>
      </c>
      <c r="AV2027" s="6" t="s">
        <v>104</v>
      </c>
      <c r="AW2027" s="6" t="s">
        <v>104</v>
      </c>
      <c r="AX2027" s="6" t="s">
        <v>104</v>
      </c>
      <c r="AY2027" s="6" t="s">
        <v>23495</v>
      </c>
      <c r="AZ2027" s="6" t="s">
        <v>23815</v>
      </c>
      <c r="BA2027" s="6" t="s">
        <v>104</v>
      </c>
      <c r="BB2027" s="6" t="s">
        <v>104</v>
      </c>
      <c r="BC2027" s="26"/>
      <c r="BD2027" s="26"/>
      <c r="BE2027" s="26"/>
      <c r="BF2027" s="26"/>
      <c r="BG2027" s="26"/>
      <c r="BH2027" s="26"/>
      <c r="BI2027" s="26"/>
      <c r="BJ2027" s="26"/>
      <c r="BK2027" s="26"/>
      <c r="BL2027" s="26"/>
      <c r="BM2027" s="26"/>
      <c r="BN2027" s="26"/>
      <c r="BO2027" s="26"/>
      <c r="BP2027" s="16" t="n">
        <v>45720</v>
      </c>
      <c r="BQ2027" s="28" t="str">
        <f>HYPERLINK("https://organic.ams.usda.gov/Integrity/Certificate.aspx?cid=74&amp;nopid=5350000426")</f>
        <v>https://organic.ams.usda.gov/Integrity/Certificate.aspx?cid=74&amp;nopid=5350000426</v>
      </c>
    </row>
    <row r="2028">
      <c r="A2028" t="s">
        <v>3</v>
      </c>
      <c r="B2028" s="6" t="s">
        <v>53</v>
      </c>
      <c r="C2028" s="6" t="s">
        <v>119</v>
      </c>
      <c r="D2028" s="6" t="s">
        <v>183</v>
      </c>
      <c r="E2028" s="10" t="s">
        <v>2226</v>
      </c>
      <c r="F2028" s="6" t="s">
        <v>4432</v>
      </c>
      <c r="G2028" s="6" t="s">
        <v>104</v>
      </c>
      <c r="H2028" s="6" t="s">
        <v>104</v>
      </c>
      <c r="I2028" s="6" t="s">
        <v>7183</v>
      </c>
      <c r="J2028" s="6" t="s">
        <v>9561</v>
      </c>
      <c r="K2028" s="6" t="s">
        <v>9714</v>
      </c>
      <c r="L2028" s="16" t="n">
        <v>45692</v>
      </c>
      <c r="M2028" s="16" t="n">
        <v>46057</v>
      </c>
      <c r="N2028" s="6" t="s">
        <v>104</v>
      </c>
      <c r="O2028" s="21" t="s">
        <v>104</v>
      </c>
      <c r="P2028" s="6" t="s">
        <v>104</v>
      </c>
      <c r="Q2028" s="6" t="s">
        <v>104</v>
      </c>
      <c r="R2028" s="6" t="s">
        <v>104</v>
      </c>
      <c r="S2028" s="6" t="s">
        <v>104</v>
      </c>
      <c r="T2028" s="21" t="s">
        <v>104</v>
      </c>
      <c r="U2028" s="6" t="s">
        <v>104</v>
      </c>
      <c r="V2028" s="6" t="s">
        <v>104</v>
      </c>
      <c r="W2028" s="6" t="s">
        <v>104</v>
      </c>
      <c r="X2028" s="6" t="s">
        <v>104</v>
      </c>
      <c r="Y2028" s="21" t="s">
        <v>104</v>
      </c>
      <c r="Z2028" s="6" t="s">
        <v>104</v>
      </c>
      <c r="AA2028" s="6" t="s">
        <v>104</v>
      </c>
      <c r="AB2028" s="6" t="s">
        <v>104</v>
      </c>
      <c r="AC2028" s="6" t="s">
        <v>9714</v>
      </c>
      <c r="AD2028" s="16" t="n">
        <v>45692</v>
      </c>
      <c r="AE2028" s="6" t="s">
        <v>10958</v>
      </c>
      <c r="AF2028" s="6" t="s">
        <v>104</v>
      </c>
      <c r="AG2028" s="6" t="s">
        <v>104</v>
      </c>
      <c r="AH2028" s="6" t="s">
        <v>15014</v>
      </c>
      <c r="AI2028" s="6" t="s">
        <v>104</v>
      </c>
      <c r="AJ2028" s="6" t="s">
        <v>16566</v>
      </c>
      <c r="AK2028" s="6" t="s">
        <v>16687</v>
      </c>
      <c r="AL2028" s="6" t="s">
        <v>16931</v>
      </c>
      <c r="AM2028" s="6" t="s">
        <v>18310</v>
      </c>
      <c r="AN2028" s="6" t="s">
        <v>104</v>
      </c>
      <c r="AO2028" s="6" t="s">
        <v>104</v>
      </c>
      <c r="AP2028" s="6" t="s">
        <v>104</v>
      </c>
      <c r="AQ2028" s="6" t="s">
        <v>104</v>
      </c>
      <c r="AR2028" s="6" t="s">
        <v>104</v>
      </c>
      <c r="AS2028" s="6" t="s">
        <v>104</v>
      </c>
      <c r="AT2028" s="6" t="s">
        <v>104</v>
      </c>
      <c r="AU2028" s="6" t="s">
        <v>104</v>
      </c>
      <c r="AV2028" s="6" t="s">
        <v>104</v>
      </c>
      <c r="AW2028" s="6" t="s">
        <v>104</v>
      </c>
      <c r="AX2028" s="6" t="s">
        <v>104</v>
      </c>
      <c r="AY2028" s="6" t="s">
        <v>23495</v>
      </c>
      <c r="AZ2028" s="6" t="s">
        <v>23815</v>
      </c>
      <c r="BA2028" s="6" t="s">
        <v>104</v>
      </c>
      <c r="BB2028" s="6" t="s">
        <v>104</v>
      </c>
      <c r="BC2028" s="26"/>
      <c r="BD2028" s="26"/>
      <c r="BE2028" s="26"/>
      <c r="BF2028" s="26"/>
      <c r="BG2028" s="26"/>
      <c r="BH2028" s="26"/>
      <c r="BI2028" s="26"/>
      <c r="BJ2028" s="26"/>
      <c r="BK2028" s="26"/>
      <c r="BL2028" s="26"/>
      <c r="BM2028" s="26"/>
      <c r="BN2028" s="26"/>
      <c r="BO2028" s="26"/>
      <c r="BP2028" s="16" t="n">
        <v>45707</v>
      </c>
      <c r="BQ2028" s="28" t="str">
        <f>HYPERLINK("https://organic.ams.usda.gov/Integrity/Certificate.aspx?cid=74&amp;nopid=5350000421")</f>
        <v>https://organic.ams.usda.gov/Integrity/Certificate.aspx?cid=74&amp;nopid=5350000421</v>
      </c>
    </row>
    <row r="2029">
      <c r="A2029" t="s">
        <v>3</v>
      </c>
      <c r="B2029" s="6" t="s">
        <v>53</v>
      </c>
      <c r="C2029" s="6" t="s">
        <v>119</v>
      </c>
      <c r="D2029" s="6" t="s">
        <v>183</v>
      </c>
      <c r="E2029" s="10" t="s">
        <v>2227</v>
      </c>
      <c r="F2029" s="6" t="s">
        <v>4432</v>
      </c>
      <c r="G2029" s="6" t="s">
        <v>104</v>
      </c>
      <c r="H2029" s="6" t="s">
        <v>104</v>
      </c>
      <c r="I2029" s="6" t="s">
        <v>6962</v>
      </c>
      <c r="J2029" s="6" t="s">
        <v>9563</v>
      </c>
      <c r="K2029" s="6" t="s">
        <v>9714</v>
      </c>
      <c r="L2029" s="16" t="n">
        <v>45692</v>
      </c>
      <c r="M2029" s="16" t="n">
        <v>46057</v>
      </c>
      <c r="N2029" s="6" t="s">
        <v>104</v>
      </c>
      <c r="O2029" s="21" t="s">
        <v>104</v>
      </c>
      <c r="P2029" s="6" t="s">
        <v>104</v>
      </c>
      <c r="Q2029" s="6" t="s">
        <v>104</v>
      </c>
      <c r="R2029" s="6" t="s">
        <v>104</v>
      </c>
      <c r="S2029" s="6" t="s">
        <v>104</v>
      </c>
      <c r="T2029" s="21" t="s">
        <v>104</v>
      </c>
      <c r="U2029" s="6" t="s">
        <v>104</v>
      </c>
      <c r="V2029" s="6" t="s">
        <v>104</v>
      </c>
      <c r="W2029" s="6" t="s">
        <v>104</v>
      </c>
      <c r="X2029" s="6" t="s">
        <v>104</v>
      </c>
      <c r="Y2029" s="21" t="s">
        <v>104</v>
      </c>
      <c r="Z2029" s="6" t="s">
        <v>104</v>
      </c>
      <c r="AA2029" s="6" t="s">
        <v>104</v>
      </c>
      <c r="AB2029" s="6" t="s">
        <v>104</v>
      </c>
      <c r="AC2029" s="6" t="s">
        <v>9714</v>
      </c>
      <c r="AD2029" s="16" t="n">
        <v>45692</v>
      </c>
      <c r="AE2029" s="6" t="s">
        <v>10958</v>
      </c>
      <c r="AF2029" s="6" t="s">
        <v>104</v>
      </c>
      <c r="AG2029" s="6" t="s">
        <v>104</v>
      </c>
      <c r="AH2029" s="6" t="s">
        <v>15015</v>
      </c>
      <c r="AI2029" s="6" t="s">
        <v>104</v>
      </c>
      <c r="AJ2029" s="6" t="s">
        <v>15856</v>
      </c>
      <c r="AK2029" s="6" t="s">
        <v>16687</v>
      </c>
      <c r="AL2029" s="6" t="s">
        <v>16931</v>
      </c>
      <c r="AM2029" s="6" t="s">
        <v>17486</v>
      </c>
      <c r="AN2029" s="6" t="s">
        <v>104</v>
      </c>
      <c r="AO2029" s="6" t="s">
        <v>104</v>
      </c>
      <c r="AP2029" s="6" t="s">
        <v>104</v>
      </c>
      <c r="AQ2029" s="6" t="s">
        <v>104</v>
      </c>
      <c r="AR2029" s="6" t="s">
        <v>104</v>
      </c>
      <c r="AS2029" s="6" t="s">
        <v>104</v>
      </c>
      <c r="AT2029" s="6" t="s">
        <v>104</v>
      </c>
      <c r="AU2029" s="6" t="s">
        <v>104</v>
      </c>
      <c r="AV2029" s="6" t="s">
        <v>104</v>
      </c>
      <c r="AW2029" s="6" t="s">
        <v>104</v>
      </c>
      <c r="AX2029" s="6" t="s">
        <v>104</v>
      </c>
      <c r="AY2029" s="6" t="s">
        <v>23499</v>
      </c>
      <c r="AZ2029" s="6" t="s">
        <v>23815</v>
      </c>
      <c r="BA2029" s="6" t="s">
        <v>104</v>
      </c>
      <c r="BB2029" s="6" t="s">
        <v>104</v>
      </c>
      <c r="BC2029" s="26"/>
      <c r="BD2029" s="26"/>
      <c r="BE2029" s="26"/>
      <c r="BF2029" s="26"/>
      <c r="BG2029" s="26"/>
      <c r="BH2029" s="26"/>
      <c r="BI2029" s="26"/>
      <c r="BJ2029" s="26"/>
      <c r="BK2029" s="26"/>
      <c r="BL2029" s="26"/>
      <c r="BM2029" s="26"/>
      <c r="BN2029" s="26"/>
      <c r="BO2029" s="26"/>
      <c r="BP2029" s="16" t="n">
        <v>45707</v>
      </c>
      <c r="BQ2029" s="28" t="str">
        <f>HYPERLINK("https://organic.ams.usda.gov/Integrity/Certificate.aspx?cid=74&amp;nopid=5350000420")</f>
        <v>https://organic.ams.usda.gov/Integrity/Certificate.aspx?cid=74&amp;nopid=5350000420</v>
      </c>
    </row>
    <row r="2030">
      <c r="A2030" t="s">
        <v>3</v>
      </c>
      <c r="B2030" s="6" t="s">
        <v>53</v>
      </c>
      <c r="C2030" s="6" t="s">
        <v>119</v>
      </c>
      <c r="D2030" s="6" t="s">
        <v>183</v>
      </c>
      <c r="E2030" s="10" t="s">
        <v>2228</v>
      </c>
      <c r="F2030" s="6" t="s">
        <v>4432</v>
      </c>
      <c r="G2030" s="6" t="s">
        <v>104</v>
      </c>
      <c r="H2030" s="6" t="s">
        <v>104</v>
      </c>
      <c r="I2030" s="6" t="s">
        <v>6962</v>
      </c>
      <c r="J2030" s="6" t="s">
        <v>9563</v>
      </c>
      <c r="K2030" s="6" t="s">
        <v>9714</v>
      </c>
      <c r="L2030" s="16" t="n">
        <v>45644</v>
      </c>
      <c r="M2030" s="16" t="n">
        <v>46009</v>
      </c>
      <c r="N2030" s="6" t="s">
        <v>104</v>
      </c>
      <c r="O2030" s="21" t="s">
        <v>104</v>
      </c>
      <c r="P2030" s="6" t="s">
        <v>104</v>
      </c>
      <c r="Q2030" s="6" t="s">
        <v>104</v>
      </c>
      <c r="R2030" s="6" t="s">
        <v>104</v>
      </c>
      <c r="S2030" s="6" t="s">
        <v>104</v>
      </c>
      <c r="T2030" s="21" t="s">
        <v>104</v>
      </c>
      <c r="U2030" s="6" t="s">
        <v>104</v>
      </c>
      <c r="V2030" s="6" t="s">
        <v>104</v>
      </c>
      <c r="W2030" s="6" t="s">
        <v>104</v>
      </c>
      <c r="X2030" s="6" t="s">
        <v>104</v>
      </c>
      <c r="Y2030" s="21" t="s">
        <v>104</v>
      </c>
      <c r="Z2030" s="6" t="s">
        <v>104</v>
      </c>
      <c r="AA2030" s="6" t="s">
        <v>104</v>
      </c>
      <c r="AB2030" s="6" t="s">
        <v>104</v>
      </c>
      <c r="AC2030" s="6" t="s">
        <v>9714</v>
      </c>
      <c r="AD2030" s="16" t="n">
        <v>45644</v>
      </c>
      <c r="AE2030" s="6" t="s">
        <v>10958</v>
      </c>
      <c r="AF2030" s="6" t="s">
        <v>104</v>
      </c>
      <c r="AG2030" s="6" t="s">
        <v>104</v>
      </c>
      <c r="AH2030" s="6" t="s">
        <v>15016</v>
      </c>
      <c r="AI2030" s="6" t="s">
        <v>104</v>
      </c>
      <c r="AJ2030" s="6" t="s">
        <v>7127</v>
      </c>
      <c r="AK2030" s="6" t="s">
        <v>16382</v>
      </c>
      <c r="AL2030" s="6" t="s">
        <v>16931</v>
      </c>
      <c r="AM2030" s="6" t="s">
        <v>18166</v>
      </c>
      <c r="AN2030" s="6" t="s">
        <v>104</v>
      </c>
      <c r="AO2030" s="6" t="s">
        <v>104</v>
      </c>
      <c r="AP2030" s="6" t="s">
        <v>104</v>
      </c>
      <c r="AQ2030" s="6" t="s">
        <v>104</v>
      </c>
      <c r="AR2030" s="6" t="s">
        <v>104</v>
      </c>
      <c r="AS2030" s="6" t="s">
        <v>104</v>
      </c>
      <c r="AT2030" s="6" t="s">
        <v>104</v>
      </c>
      <c r="AU2030" s="6" t="s">
        <v>104</v>
      </c>
      <c r="AV2030" s="6" t="s">
        <v>104</v>
      </c>
      <c r="AW2030" s="6" t="s">
        <v>104</v>
      </c>
      <c r="AX2030" s="6" t="s">
        <v>104</v>
      </c>
      <c r="AY2030" s="6" t="s">
        <v>23499</v>
      </c>
      <c r="AZ2030" s="6" t="s">
        <v>23815</v>
      </c>
      <c r="BA2030" s="6" t="s">
        <v>104</v>
      </c>
      <c r="BB2030" s="6" t="s">
        <v>104</v>
      </c>
      <c r="BC2030" s="26"/>
      <c r="BD2030" s="26"/>
      <c r="BE2030" s="26"/>
      <c r="BF2030" s="26"/>
      <c r="BG2030" s="26"/>
      <c r="BH2030" s="26"/>
      <c r="BI2030" s="26"/>
      <c r="BJ2030" s="26"/>
      <c r="BK2030" s="26"/>
      <c r="BL2030" s="26"/>
      <c r="BM2030" s="26"/>
      <c r="BN2030" s="26"/>
      <c r="BO2030" s="26"/>
      <c r="BP2030" s="16" t="n">
        <v>45708</v>
      </c>
      <c r="BQ2030" s="28" t="str">
        <f>HYPERLINK("https://organic.ams.usda.gov/Integrity/Certificate.aspx?cid=74&amp;nopid=5350000399")</f>
        <v>https://organic.ams.usda.gov/Integrity/Certificate.aspx?cid=74&amp;nopid=5350000399</v>
      </c>
    </row>
    <row r="2031">
      <c r="A2031" t="s">
        <v>3</v>
      </c>
      <c r="B2031" s="6" t="s">
        <v>53</v>
      </c>
      <c r="C2031" s="6" t="s">
        <v>119</v>
      </c>
      <c r="D2031" s="6" t="s">
        <v>183</v>
      </c>
      <c r="E2031" s="10" t="s">
        <v>2229</v>
      </c>
      <c r="F2031" s="6" t="s">
        <v>4433</v>
      </c>
      <c r="G2031" s="6" t="s">
        <v>104</v>
      </c>
      <c r="H2031" s="6" t="s">
        <v>104</v>
      </c>
      <c r="I2031" s="6" t="s">
        <v>6962</v>
      </c>
      <c r="J2031" s="6" t="s">
        <v>9563</v>
      </c>
      <c r="K2031" s="6" t="s">
        <v>9714</v>
      </c>
      <c r="L2031" s="16" t="n">
        <v>45644</v>
      </c>
      <c r="M2031" s="16" t="n">
        <v>46009</v>
      </c>
      <c r="N2031" s="6" t="s">
        <v>104</v>
      </c>
      <c r="O2031" s="21" t="s">
        <v>104</v>
      </c>
      <c r="P2031" s="6" t="s">
        <v>104</v>
      </c>
      <c r="Q2031" s="6" t="s">
        <v>104</v>
      </c>
      <c r="R2031" s="6" t="s">
        <v>104</v>
      </c>
      <c r="S2031" s="6" t="s">
        <v>104</v>
      </c>
      <c r="T2031" s="21" t="s">
        <v>104</v>
      </c>
      <c r="U2031" s="6" t="s">
        <v>104</v>
      </c>
      <c r="V2031" s="6" t="s">
        <v>104</v>
      </c>
      <c r="W2031" s="6" t="s">
        <v>104</v>
      </c>
      <c r="X2031" s="6" t="s">
        <v>104</v>
      </c>
      <c r="Y2031" s="21" t="s">
        <v>104</v>
      </c>
      <c r="Z2031" s="6" t="s">
        <v>104</v>
      </c>
      <c r="AA2031" s="6" t="s">
        <v>104</v>
      </c>
      <c r="AB2031" s="6" t="s">
        <v>104</v>
      </c>
      <c r="AC2031" s="6" t="s">
        <v>9714</v>
      </c>
      <c r="AD2031" s="16" t="n">
        <v>45644</v>
      </c>
      <c r="AE2031" s="6" t="s">
        <v>10958</v>
      </c>
      <c r="AF2031" s="6" t="s">
        <v>104</v>
      </c>
      <c r="AG2031" s="6" t="s">
        <v>104</v>
      </c>
      <c r="AH2031" s="6" t="s">
        <v>15017</v>
      </c>
      <c r="AI2031" s="6" t="s">
        <v>104</v>
      </c>
      <c r="AJ2031" s="6" t="s">
        <v>15428</v>
      </c>
      <c r="AK2031" s="6" t="s">
        <v>16687</v>
      </c>
      <c r="AL2031" s="6" t="s">
        <v>16931</v>
      </c>
      <c r="AM2031" s="6" t="s">
        <v>17056</v>
      </c>
      <c r="AN2031" s="6" t="s">
        <v>104</v>
      </c>
      <c r="AO2031" s="6" t="s">
        <v>104</v>
      </c>
      <c r="AP2031" s="6" t="s">
        <v>104</v>
      </c>
      <c r="AQ2031" s="6" t="s">
        <v>104</v>
      </c>
      <c r="AR2031" s="6" t="s">
        <v>104</v>
      </c>
      <c r="AS2031" s="6" t="s">
        <v>104</v>
      </c>
      <c r="AT2031" s="6" t="s">
        <v>104</v>
      </c>
      <c r="AU2031" s="6" t="s">
        <v>104</v>
      </c>
      <c r="AV2031" s="6" t="s">
        <v>104</v>
      </c>
      <c r="AW2031" s="6" t="s">
        <v>104</v>
      </c>
      <c r="AX2031" s="6" t="s">
        <v>104</v>
      </c>
      <c r="AY2031" s="6" t="s">
        <v>23499</v>
      </c>
      <c r="AZ2031" s="6" t="s">
        <v>104</v>
      </c>
      <c r="BA2031" s="6" t="s">
        <v>104</v>
      </c>
      <c r="BB2031" s="6" t="s">
        <v>104</v>
      </c>
      <c r="BC2031" s="26"/>
      <c r="BD2031" s="26"/>
      <c r="BE2031" s="26"/>
      <c r="BF2031" s="26"/>
      <c r="BG2031" s="26"/>
      <c r="BH2031" s="26"/>
      <c r="BI2031" s="26"/>
      <c r="BJ2031" s="26"/>
      <c r="BK2031" s="26"/>
      <c r="BL2031" s="26"/>
      <c r="BM2031" s="26"/>
      <c r="BN2031" s="26"/>
      <c r="BO2031" s="26"/>
      <c r="BP2031" s="16" t="n">
        <v>45708</v>
      </c>
      <c r="BQ2031" s="28" t="str">
        <f>HYPERLINK("https://organic.ams.usda.gov/Integrity/Certificate.aspx?cid=74&amp;nopid=5350000400")</f>
        <v>https://organic.ams.usda.gov/Integrity/Certificate.aspx?cid=74&amp;nopid=5350000400</v>
      </c>
    </row>
    <row r="2032">
      <c r="A2032" t="s">
        <v>3</v>
      </c>
      <c r="B2032" s="6" t="s">
        <v>53</v>
      </c>
      <c r="C2032" s="6" t="s">
        <v>119</v>
      </c>
      <c r="D2032" s="6" t="s">
        <v>183</v>
      </c>
      <c r="E2032" s="10" t="s">
        <v>2230</v>
      </c>
      <c r="F2032" s="6" t="s">
        <v>4434</v>
      </c>
      <c r="G2032" s="6" t="s">
        <v>104</v>
      </c>
      <c r="H2032" s="6" t="s">
        <v>104</v>
      </c>
      <c r="I2032" s="6" t="s">
        <v>7592</v>
      </c>
      <c r="J2032" s="6" t="s">
        <v>9564</v>
      </c>
      <c r="K2032" s="6" t="s">
        <v>9714</v>
      </c>
      <c r="L2032" s="16" t="n">
        <v>45692</v>
      </c>
      <c r="M2032" s="16" t="n">
        <v>46057</v>
      </c>
      <c r="N2032" s="6" t="s">
        <v>104</v>
      </c>
      <c r="O2032" s="21" t="s">
        <v>104</v>
      </c>
      <c r="P2032" s="6" t="s">
        <v>104</v>
      </c>
      <c r="Q2032" s="6" t="s">
        <v>104</v>
      </c>
      <c r="R2032" s="6" t="s">
        <v>104</v>
      </c>
      <c r="S2032" s="6" t="s">
        <v>104</v>
      </c>
      <c r="T2032" s="21" t="s">
        <v>104</v>
      </c>
      <c r="U2032" s="6" t="s">
        <v>104</v>
      </c>
      <c r="V2032" s="6" t="s">
        <v>104</v>
      </c>
      <c r="W2032" s="6" t="s">
        <v>104</v>
      </c>
      <c r="X2032" s="6" t="s">
        <v>104</v>
      </c>
      <c r="Y2032" s="21" t="s">
        <v>104</v>
      </c>
      <c r="Z2032" s="6" t="s">
        <v>104</v>
      </c>
      <c r="AA2032" s="6" t="s">
        <v>104</v>
      </c>
      <c r="AB2032" s="6" t="s">
        <v>104</v>
      </c>
      <c r="AC2032" s="6" t="s">
        <v>9714</v>
      </c>
      <c r="AD2032" s="16" t="n">
        <v>45692</v>
      </c>
      <c r="AE2032" s="6" t="s">
        <v>10958</v>
      </c>
      <c r="AF2032" s="6" t="s">
        <v>104</v>
      </c>
      <c r="AG2032" s="6" t="s">
        <v>104</v>
      </c>
      <c r="AH2032" s="6" t="s">
        <v>15018</v>
      </c>
      <c r="AI2032" s="6" t="s">
        <v>104</v>
      </c>
      <c r="AJ2032" s="6" t="s">
        <v>16415</v>
      </c>
      <c r="AK2032" s="6" t="s">
        <v>16337</v>
      </c>
      <c r="AL2032" s="6" t="s">
        <v>16931</v>
      </c>
      <c r="AM2032" s="6" t="s">
        <v>18127</v>
      </c>
      <c r="AN2032" s="6" t="s">
        <v>104</v>
      </c>
      <c r="AO2032" s="6" t="s">
        <v>104</v>
      </c>
      <c r="AP2032" s="6" t="s">
        <v>104</v>
      </c>
      <c r="AQ2032" s="6" t="s">
        <v>104</v>
      </c>
      <c r="AR2032" s="6" t="s">
        <v>104</v>
      </c>
      <c r="AS2032" s="6" t="s">
        <v>104</v>
      </c>
      <c r="AT2032" s="6" t="s">
        <v>104</v>
      </c>
      <c r="AU2032" s="6" t="s">
        <v>104</v>
      </c>
      <c r="AV2032" s="6" t="s">
        <v>104</v>
      </c>
      <c r="AW2032" s="6" t="s">
        <v>104</v>
      </c>
      <c r="AX2032" s="6" t="s">
        <v>104</v>
      </c>
      <c r="AY2032" s="6" t="s">
        <v>23500</v>
      </c>
      <c r="AZ2032" s="6" t="s">
        <v>24197</v>
      </c>
      <c r="BA2032" s="6" t="s">
        <v>104</v>
      </c>
      <c r="BB2032" s="6" t="s">
        <v>104</v>
      </c>
      <c r="BC2032" s="26"/>
      <c r="BD2032" s="26"/>
      <c r="BE2032" s="26"/>
      <c r="BF2032" s="26"/>
      <c r="BG2032" s="26"/>
      <c r="BH2032" s="26"/>
      <c r="BI2032" s="26"/>
      <c r="BJ2032" s="26"/>
      <c r="BK2032" s="26"/>
      <c r="BL2032" s="26"/>
      <c r="BM2032" s="26"/>
      <c r="BN2032" s="26"/>
      <c r="BO2032" s="26"/>
      <c r="BP2032" s="16" t="n">
        <v>45707</v>
      </c>
      <c r="BQ2032" s="28" t="str">
        <f>HYPERLINK("https://organic.ams.usda.gov/Integrity/Certificate.aspx?cid=74&amp;nopid=5350000419")</f>
        <v>https://organic.ams.usda.gov/Integrity/Certificate.aspx?cid=74&amp;nopid=5350000419</v>
      </c>
    </row>
    <row r="2033">
      <c r="A2033" t="s">
        <v>3</v>
      </c>
      <c r="B2033" s="6" t="s">
        <v>53</v>
      </c>
      <c r="C2033" s="6" t="s">
        <v>119</v>
      </c>
      <c r="D2033" s="6" t="s">
        <v>183</v>
      </c>
      <c r="E2033" s="10" t="s">
        <v>2231</v>
      </c>
      <c r="F2033" s="6" t="s">
        <v>4434</v>
      </c>
      <c r="G2033" s="6" t="s">
        <v>104</v>
      </c>
      <c r="H2033" s="6" t="s">
        <v>104</v>
      </c>
      <c r="I2033" s="6" t="s">
        <v>8029</v>
      </c>
      <c r="J2033" s="6" t="s">
        <v>7253</v>
      </c>
      <c r="K2033" s="6" t="s">
        <v>9714</v>
      </c>
      <c r="L2033" s="16" t="n">
        <v>45691</v>
      </c>
      <c r="M2033" s="16" t="n">
        <v>46056</v>
      </c>
      <c r="N2033" s="6" t="s">
        <v>104</v>
      </c>
      <c r="O2033" s="21" t="s">
        <v>104</v>
      </c>
      <c r="P2033" s="6" t="s">
        <v>104</v>
      </c>
      <c r="Q2033" s="6" t="s">
        <v>104</v>
      </c>
      <c r="R2033" s="6" t="s">
        <v>104</v>
      </c>
      <c r="S2033" s="6" t="s">
        <v>104</v>
      </c>
      <c r="T2033" s="21" t="s">
        <v>104</v>
      </c>
      <c r="U2033" s="6" t="s">
        <v>104</v>
      </c>
      <c r="V2033" s="6" t="s">
        <v>104</v>
      </c>
      <c r="W2033" s="6" t="s">
        <v>104</v>
      </c>
      <c r="X2033" s="6" t="s">
        <v>104</v>
      </c>
      <c r="Y2033" s="21" t="s">
        <v>104</v>
      </c>
      <c r="Z2033" s="6" t="s">
        <v>104</v>
      </c>
      <c r="AA2033" s="6" t="s">
        <v>104</v>
      </c>
      <c r="AB2033" s="6" t="s">
        <v>104</v>
      </c>
      <c r="AC2033" s="6" t="s">
        <v>9714</v>
      </c>
      <c r="AD2033" s="16" t="n">
        <v>45691</v>
      </c>
      <c r="AE2033" s="6" t="s">
        <v>10958</v>
      </c>
      <c r="AF2033" s="6" t="s">
        <v>104</v>
      </c>
      <c r="AG2033" s="6" t="s">
        <v>104</v>
      </c>
      <c r="AH2033" s="6" t="s">
        <v>15019</v>
      </c>
      <c r="AI2033" s="6" t="s">
        <v>104</v>
      </c>
      <c r="AJ2033" s="6" t="s">
        <v>16567</v>
      </c>
      <c r="AK2033" s="6" t="s">
        <v>16680</v>
      </c>
      <c r="AL2033" s="6" t="s">
        <v>16931</v>
      </c>
      <c r="AM2033" s="6" t="s">
        <v>18311</v>
      </c>
      <c r="AN2033" s="6" t="s">
        <v>104</v>
      </c>
      <c r="AO2033" s="6" t="s">
        <v>104</v>
      </c>
      <c r="AP2033" s="6" t="s">
        <v>104</v>
      </c>
      <c r="AQ2033" s="6" t="s">
        <v>104</v>
      </c>
      <c r="AR2033" s="6" t="s">
        <v>104</v>
      </c>
      <c r="AS2033" s="6" t="s">
        <v>104</v>
      </c>
      <c r="AT2033" s="6" t="s">
        <v>104</v>
      </c>
      <c r="AU2033" s="6" t="s">
        <v>104</v>
      </c>
      <c r="AV2033" s="6" t="s">
        <v>104</v>
      </c>
      <c r="AW2033" s="6" t="s">
        <v>104</v>
      </c>
      <c r="AX2033" s="6" t="s">
        <v>104</v>
      </c>
      <c r="AY2033" s="6" t="s">
        <v>23501</v>
      </c>
      <c r="AZ2033" s="6" t="s">
        <v>24197</v>
      </c>
      <c r="BA2033" s="6" t="s">
        <v>104</v>
      </c>
      <c r="BB2033" s="6" t="s">
        <v>104</v>
      </c>
      <c r="BC2033" s="26"/>
      <c r="BD2033" s="26"/>
      <c r="BE2033" s="26"/>
      <c r="BF2033" s="26"/>
      <c r="BG2033" s="26"/>
      <c r="BH2033" s="26"/>
      <c r="BI2033" s="26"/>
      <c r="BJ2033" s="26"/>
      <c r="BK2033" s="26"/>
      <c r="BL2033" s="26"/>
      <c r="BM2033" s="26"/>
      <c r="BN2033" s="26"/>
      <c r="BO2033" s="26"/>
      <c r="BP2033" s="16" t="n">
        <v>45707</v>
      </c>
      <c r="BQ2033" s="28" t="str">
        <f>HYPERLINK("https://organic.ams.usda.gov/Integrity/Certificate.aspx?cid=74&amp;nopid=5350000418")</f>
        <v>https://organic.ams.usda.gov/Integrity/Certificate.aspx?cid=74&amp;nopid=5350000418</v>
      </c>
    </row>
    <row r="2034">
      <c r="A2034" t="s">
        <v>3</v>
      </c>
      <c r="B2034" s="6" t="s">
        <v>53</v>
      </c>
      <c r="C2034" s="6" t="s">
        <v>119</v>
      </c>
      <c r="D2034" s="6" t="s">
        <v>183</v>
      </c>
      <c r="E2034" s="10" t="s">
        <v>2232</v>
      </c>
      <c r="F2034" s="6" t="s">
        <v>4435</v>
      </c>
      <c r="G2034" s="6" t="s">
        <v>104</v>
      </c>
      <c r="H2034" s="6" t="s">
        <v>104</v>
      </c>
      <c r="I2034" s="6" t="s">
        <v>8030</v>
      </c>
      <c r="J2034" s="6" t="s">
        <v>8707</v>
      </c>
      <c r="K2034" s="6" t="s">
        <v>9714</v>
      </c>
      <c r="L2034" s="16" t="n">
        <v>45713</v>
      </c>
      <c r="M2034" s="16" t="n">
        <v>46078</v>
      </c>
      <c r="N2034" s="6" t="s">
        <v>104</v>
      </c>
      <c r="O2034" s="21" t="s">
        <v>104</v>
      </c>
      <c r="P2034" s="6" t="s">
        <v>104</v>
      </c>
      <c r="Q2034" s="6" t="s">
        <v>104</v>
      </c>
      <c r="R2034" s="6" t="s">
        <v>104</v>
      </c>
      <c r="S2034" s="6" t="s">
        <v>104</v>
      </c>
      <c r="T2034" s="21" t="s">
        <v>104</v>
      </c>
      <c r="U2034" s="6" t="s">
        <v>104</v>
      </c>
      <c r="V2034" s="6" t="s">
        <v>104</v>
      </c>
      <c r="W2034" s="6" t="s">
        <v>104</v>
      </c>
      <c r="X2034" s="6" t="s">
        <v>104</v>
      </c>
      <c r="Y2034" s="21" t="s">
        <v>104</v>
      </c>
      <c r="Z2034" s="6" t="s">
        <v>104</v>
      </c>
      <c r="AA2034" s="6" t="s">
        <v>104</v>
      </c>
      <c r="AB2034" s="6" t="s">
        <v>104</v>
      </c>
      <c r="AC2034" s="6" t="s">
        <v>9714</v>
      </c>
      <c r="AD2034" s="16" t="n">
        <v>45713</v>
      </c>
      <c r="AE2034" s="6" t="s">
        <v>10958</v>
      </c>
      <c r="AF2034" s="6" t="s">
        <v>104</v>
      </c>
      <c r="AG2034" s="6" t="s">
        <v>104</v>
      </c>
      <c r="AH2034" s="6" t="s">
        <v>15020</v>
      </c>
      <c r="AI2034" s="6" t="s">
        <v>104</v>
      </c>
      <c r="AJ2034" s="6" t="s">
        <v>16568</v>
      </c>
      <c r="AK2034" s="6" t="s">
        <v>16370</v>
      </c>
      <c r="AL2034" s="6" t="s">
        <v>16931</v>
      </c>
      <c r="AM2034" s="6" t="s">
        <v>18312</v>
      </c>
      <c r="AN2034" s="6" t="s">
        <v>104</v>
      </c>
      <c r="AO2034" s="6" t="s">
        <v>104</v>
      </c>
      <c r="AP2034" s="6" t="s">
        <v>104</v>
      </c>
      <c r="AQ2034" s="6" t="s">
        <v>104</v>
      </c>
      <c r="AR2034" s="6" t="s">
        <v>104</v>
      </c>
      <c r="AS2034" s="6" t="s">
        <v>104</v>
      </c>
      <c r="AT2034" s="6" t="s">
        <v>104</v>
      </c>
      <c r="AU2034" s="6" t="s">
        <v>104</v>
      </c>
      <c r="AV2034" s="6" t="s">
        <v>104</v>
      </c>
      <c r="AW2034" s="6" t="s">
        <v>104</v>
      </c>
      <c r="AX2034" s="6" t="s">
        <v>104</v>
      </c>
      <c r="AY2034" s="6" t="s">
        <v>23502</v>
      </c>
      <c r="AZ2034" s="6" t="s">
        <v>23815</v>
      </c>
      <c r="BA2034" s="6" t="s">
        <v>104</v>
      </c>
      <c r="BB2034" s="6" t="s">
        <v>104</v>
      </c>
      <c r="BC2034" s="26"/>
      <c r="BD2034" s="26"/>
      <c r="BE2034" s="26"/>
      <c r="BF2034" s="26"/>
      <c r="BG2034" s="26"/>
      <c r="BH2034" s="26"/>
      <c r="BI2034" s="26"/>
      <c r="BJ2034" s="26"/>
      <c r="BK2034" s="26"/>
      <c r="BL2034" s="26"/>
      <c r="BM2034" s="26"/>
      <c r="BN2034" s="26"/>
      <c r="BO2034" s="26"/>
      <c r="BP2034" s="16" t="n">
        <v>45720</v>
      </c>
      <c r="BQ2034" s="28" t="str">
        <f>HYPERLINK("https://organic.ams.usda.gov/Integrity/Certificate.aspx?cid=74&amp;nopid=5350000427")</f>
        <v>https://organic.ams.usda.gov/Integrity/Certificate.aspx?cid=74&amp;nopid=5350000427</v>
      </c>
    </row>
    <row r="2035">
      <c r="A2035" t="s">
        <v>3</v>
      </c>
      <c r="B2035" s="6" t="s">
        <v>66</v>
      </c>
      <c r="C2035" s="6" t="s">
        <v>132</v>
      </c>
      <c r="D2035" s="6" t="s">
        <v>196</v>
      </c>
      <c r="E2035" s="10" t="s">
        <v>2233</v>
      </c>
      <c r="F2035" s="6" t="s">
        <v>4436</v>
      </c>
      <c r="G2035" s="6" t="s">
        <v>104</v>
      </c>
      <c r="H2035" s="6" t="s">
        <v>6713</v>
      </c>
      <c r="I2035" s="6" t="s">
        <v>8031</v>
      </c>
      <c r="J2035" s="6" t="s">
        <v>9565</v>
      </c>
      <c r="K2035" s="6" t="s">
        <v>9714</v>
      </c>
      <c r="L2035" s="16" t="n">
        <v>44046</v>
      </c>
      <c r="M2035" s="16" t="n">
        <v>45717</v>
      </c>
      <c r="N2035" s="6" t="s">
        <v>104</v>
      </c>
      <c r="O2035" s="21" t="s">
        <v>104</v>
      </c>
      <c r="P2035" s="6" t="s">
        <v>104</v>
      </c>
      <c r="Q2035" s="6" t="s">
        <v>104</v>
      </c>
      <c r="R2035" s="6" t="s">
        <v>104</v>
      </c>
      <c r="S2035" s="6" t="s">
        <v>104</v>
      </c>
      <c r="T2035" s="21" t="s">
        <v>104</v>
      </c>
      <c r="U2035" s="6" t="s">
        <v>104</v>
      </c>
      <c r="V2035" s="6" t="s">
        <v>104</v>
      </c>
      <c r="W2035" s="6" t="s">
        <v>104</v>
      </c>
      <c r="X2035" s="6" t="s">
        <v>104</v>
      </c>
      <c r="Y2035" s="21" t="s">
        <v>104</v>
      </c>
      <c r="Z2035" s="6" t="s">
        <v>104</v>
      </c>
      <c r="AA2035" s="6" t="s">
        <v>104</v>
      </c>
      <c r="AB2035" s="6" t="s">
        <v>104</v>
      </c>
      <c r="AC2035" s="6" t="s">
        <v>9714</v>
      </c>
      <c r="AD2035" s="16" t="n">
        <v>44046</v>
      </c>
      <c r="AE2035" s="6" t="s">
        <v>12291</v>
      </c>
      <c r="AF2035" s="6" t="s">
        <v>104</v>
      </c>
      <c r="AG2035" s="6" t="s">
        <v>6713</v>
      </c>
      <c r="AH2035" s="6" t="s">
        <v>15021</v>
      </c>
      <c r="AI2035" s="6" t="s">
        <v>15341</v>
      </c>
      <c r="AJ2035" s="6" t="s">
        <v>16569</v>
      </c>
      <c r="AK2035" s="6" t="s">
        <v>16759</v>
      </c>
      <c r="AL2035" s="6" t="s">
        <v>16931</v>
      </c>
      <c r="AM2035" s="6" t="s">
        <v>18313</v>
      </c>
      <c r="AN2035" s="6" t="s">
        <v>18474</v>
      </c>
      <c r="AO2035" s="6" t="s">
        <v>18913</v>
      </c>
      <c r="AP2035" s="6" t="s">
        <v>104</v>
      </c>
      <c r="AQ2035" s="6" t="s">
        <v>104</v>
      </c>
      <c r="AR2035" s="6" t="s">
        <v>104</v>
      </c>
      <c r="AS2035" s="6" t="s">
        <v>104</v>
      </c>
      <c r="AT2035" s="6" t="s">
        <v>104</v>
      </c>
      <c r="AU2035" s="6" t="s">
        <v>104</v>
      </c>
      <c r="AV2035" s="6" t="s">
        <v>104</v>
      </c>
      <c r="AW2035" s="6" t="s">
        <v>104</v>
      </c>
      <c r="AX2035" s="6" t="s">
        <v>21673</v>
      </c>
      <c r="AY2035" s="6" t="s">
        <v>23503</v>
      </c>
      <c r="AZ2035" s="6" t="s">
        <v>24198</v>
      </c>
      <c r="BA2035" s="6" t="s">
        <v>104</v>
      </c>
      <c r="BB2035" s="6" t="s">
        <v>104</v>
      </c>
      <c r="BC2035" s="26"/>
      <c r="BD2035" s="26"/>
      <c r="BE2035" s="26"/>
      <c r="BF2035" s="26"/>
      <c r="BG2035" s="26"/>
      <c r="BH2035" s="26"/>
      <c r="BI2035" s="26"/>
      <c r="BJ2035" s="26"/>
      <c r="BK2035" s="26"/>
      <c r="BL2035" s="26"/>
      <c r="BM2035" s="26"/>
      <c r="BN2035" s="26"/>
      <c r="BO2035" s="26"/>
      <c r="BP2035" s="16" t="n">
        <v>45635</v>
      </c>
      <c r="BQ2035" s="28" t="str">
        <f>HYPERLINK("https://organic.ams.usda.gov/Integrity/Certificate.aspx?cid=22&amp;nopid=6830020008")</f>
        <v>https://organic.ams.usda.gov/Integrity/Certificate.aspx?cid=22&amp;nopid=6830020008</v>
      </c>
    </row>
    <row r="2036">
      <c r="A2036" t="s">
        <v>3</v>
      </c>
      <c r="B2036" s="6" t="s">
        <v>23</v>
      </c>
      <c r="C2036" s="6" t="s">
        <v>89</v>
      </c>
      <c r="D2036" s="6" t="s">
        <v>154</v>
      </c>
      <c r="E2036" s="10" t="s">
        <v>2234</v>
      </c>
      <c r="F2036" s="6" t="s">
        <v>4437</v>
      </c>
      <c r="G2036" s="6" t="s">
        <v>104</v>
      </c>
      <c r="H2036" s="6" t="s">
        <v>6714</v>
      </c>
      <c r="I2036" s="6" t="s">
        <v>7030</v>
      </c>
      <c r="J2036" s="6" t="s">
        <v>9566</v>
      </c>
      <c r="K2036" s="6" t="s">
        <v>9714</v>
      </c>
      <c r="L2036" s="16" t="n">
        <v>42606</v>
      </c>
      <c r="M2036" s="16" t="n">
        <v>45383</v>
      </c>
      <c r="N2036" s="6" t="s">
        <v>104</v>
      </c>
      <c r="O2036" s="21" t="s">
        <v>104</v>
      </c>
      <c r="P2036" s="6" t="s">
        <v>104</v>
      </c>
      <c r="Q2036" s="6" t="s">
        <v>104</v>
      </c>
      <c r="R2036" s="6" t="s">
        <v>104</v>
      </c>
      <c r="S2036" s="6" t="s">
        <v>104</v>
      </c>
      <c r="T2036" s="21" t="s">
        <v>104</v>
      </c>
      <c r="U2036" s="6" t="s">
        <v>104</v>
      </c>
      <c r="V2036" s="6" t="s">
        <v>104</v>
      </c>
      <c r="W2036" s="6" t="s">
        <v>104</v>
      </c>
      <c r="X2036" s="6" t="s">
        <v>104</v>
      </c>
      <c r="Y2036" s="21" t="s">
        <v>104</v>
      </c>
      <c r="Z2036" s="6" t="s">
        <v>104</v>
      </c>
      <c r="AA2036" s="6" t="s">
        <v>104</v>
      </c>
      <c r="AB2036" s="6" t="s">
        <v>104</v>
      </c>
      <c r="AC2036" s="6" t="s">
        <v>9714</v>
      </c>
      <c r="AD2036" s="16" t="n">
        <v>42606</v>
      </c>
      <c r="AE2036" s="6" t="s">
        <v>12292</v>
      </c>
      <c r="AF2036" s="6" t="s">
        <v>104</v>
      </c>
      <c r="AG2036" s="6" t="s">
        <v>6714</v>
      </c>
      <c r="AH2036" s="6" t="s">
        <v>15022</v>
      </c>
      <c r="AI2036" s="6" t="s">
        <v>104</v>
      </c>
      <c r="AJ2036" s="6" t="s">
        <v>16570</v>
      </c>
      <c r="AK2036" s="6" t="s">
        <v>16710</v>
      </c>
      <c r="AL2036" s="6" t="s">
        <v>16931</v>
      </c>
      <c r="AM2036" s="6" t="s">
        <v>18314</v>
      </c>
      <c r="AN2036" s="6" t="s">
        <v>18531</v>
      </c>
      <c r="AO2036" s="6" t="s">
        <v>18751</v>
      </c>
      <c r="AP2036" s="6" t="s">
        <v>19479</v>
      </c>
      <c r="AQ2036" s="6" t="s">
        <v>104</v>
      </c>
      <c r="AR2036" s="6" t="s">
        <v>7473</v>
      </c>
      <c r="AS2036" s="6" t="s">
        <v>16714</v>
      </c>
      <c r="AT2036" s="6" t="s">
        <v>16931</v>
      </c>
      <c r="AU2036" s="6" t="s">
        <v>20049</v>
      </c>
      <c r="AV2036" s="6" t="s">
        <v>104</v>
      </c>
      <c r="AW2036" s="6" t="s">
        <v>104</v>
      </c>
      <c r="AX2036" s="6" t="s">
        <v>21674</v>
      </c>
      <c r="AY2036" s="6" t="s">
        <v>23504</v>
      </c>
      <c r="AZ2036" s="6" t="s">
        <v>24199</v>
      </c>
      <c r="BA2036" s="6" t="s">
        <v>104</v>
      </c>
      <c r="BB2036" s="24" t="n">
        <v>0</v>
      </c>
      <c r="BC2036" s="26"/>
      <c r="BD2036" s="26"/>
      <c r="BE2036" s="26"/>
      <c r="BF2036" s="26"/>
      <c r="BG2036" s="26" t="s">
        <v>24533</v>
      </c>
      <c r="BH2036" s="26"/>
      <c r="BI2036" s="26"/>
      <c r="BJ2036" s="26"/>
      <c r="BK2036" s="26"/>
      <c r="BL2036" s="26"/>
      <c r="BM2036" s="26"/>
      <c r="BN2036" s="26" t="s">
        <v>24533</v>
      </c>
      <c r="BO2036" s="26"/>
      <c r="BP2036" s="16" t="n">
        <v>45385</v>
      </c>
      <c r="BQ2036" s="28" t="str">
        <f>HYPERLINK("https://organic.ams.usda.gov/Integrity/Certificate.aspx?cid=45&amp;nopid=9950009763")</f>
        <v>https://organic.ams.usda.gov/Integrity/Certificate.aspx?cid=45&amp;nopid=9950009763</v>
      </c>
    </row>
    <row r="2037">
      <c r="A2037" t="s">
        <v>3</v>
      </c>
      <c r="B2037" s="6" t="s">
        <v>23</v>
      </c>
      <c r="C2037" s="6" t="s">
        <v>89</v>
      </c>
      <c r="D2037" s="6" t="s">
        <v>154</v>
      </c>
      <c r="E2037" s="10" t="s">
        <v>2235</v>
      </c>
      <c r="F2037" s="6" t="s">
        <v>4438</v>
      </c>
      <c r="G2037" s="6" t="s">
        <v>104</v>
      </c>
      <c r="H2037" s="6" t="s">
        <v>6715</v>
      </c>
      <c r="I2037" s="6" t="s">
        <v>7030</v>
      </c>
      <c r="J2037" s="6" t="s">
        <v>9566</v>
      </c>
      <c r="K2037" s="6" t="s">
        <v>9714</v>
      </c>
      <c r="L2037" s="16" t="n">
        <v>41786</v>
      </c>
      <c r="M2037" s="16" t="n">
        <v>45383</v>
      </c>
      <c r="N2037" s="6" t="s">
        <v>104</v>
      </c>
      <c r="O2037" s="21" t="s">
        <v>104</v>
      </c>
      <c r="P2037" s="6" t="s">
        <v>104</v>
      </c>
      <c r="Q2037" s="6" t="s">
        <v>104</v>
      </c>
      <c r="R2037" s="6" t="s">
        <v>104</v>
      </c>
      <c r="S2037" s="6" t="s">
        <v>104</v>
      </c>
      <c r="T2037" s="21" t="s">
        <v>104</v>
      </c>
      <c r="U2037" s="6" t="s">
        <v>104</v>
      </c>
      <c r="V2037" s="6" t="s">
        <v>104</v>
      </c>
      <c r="W2037" s="6" t="s">
        <v>104</v>
      </c>
      <c r="X2037" s="6" t="s">
        <v>104</v>
      </c>
      <c r="Y2037" s="21" t="s">
        <v>104</v>
      </c>
      <c r="Z2037" s="6" t="s">
        <v>104</v>
      </c>
      <c r="AA2037" s="6" t="s">
        <v>104</v>
      </c>
      <c r="AB2037" s="6" t="s">
        <v>104</v>
      </c>
      <c r="AC2037" s="6" t="s">
        <v>9714</v>
      </c>
      <c r="AD2037" s="16" t="n">
        <v>41786</v>
      </c>
      <c r="AE2037" s="6" t="s">
        <v>12293</v>
      </c>
      <c r="AF2037" s="6" t="s">
        <v>104</v>
      </c>
      <c r="AG2037" s="6" t="s">
        <v>6715</v>
      </c>
      <c r="AH2037" s="6" t="s">
        <v>15023</v>
      </c>
      <c r="AI2037" s="6" t="s">
        <v>104</v>
      </c>
      <c r="AJ2037" s="6" t="s">
        <v>7739</v>
      </c>
      <c r="AK2037" s="6" t="s">
        <v>16714</v>
      </c>
      <c r="AL2037" s="6" t="s">
        <v>16931</v>
      </c>
      <c r="AM2037" s="6" t="s">
        <v>18315</v>
      </c>
      <c r="AN2037" s="6" t="s">
        <v>18520</v>
      </c>
      <c r="AO2037" s="6" t="s">
        <v>18686</v>
      </c>
      <c r="AP2037" s="6" t="s">
        <v>19479</v>
      </c>
      <c r="AQ2037" s="6" t="s">
        <v>104</v>
      </c>
      <c r="AR2037" s="6" t="s">
        <v>7473</v>
      </c>
      <c r="AS2037" s="6" t="s">
        <v>16714</v>
      </c>
      <c r="AT2037" s="6" t="s">
        <v>16931</v>
      </c>
      <c r="AU2037" s="6" t="s">
        <v>20049</v>
      </c>
      <c r="AV2037" s="6" t="s">
        <v>104</v>
      </c>
      <c r="AW2037" s="6" t="s">
        <v>104</v>
      </c>
      <c r="AX2037" s="6" t="s">
        <v>21675</v>
      </c>
      <c r="AY2037" s="6" t="s">
        <v>23504</v>
      </c>
      <c r="AZ2037" s="6" t="s">
        <v>24200</v>
      </c>
      <c r="BA2037" s="6" t="s">
        <v>24508</v>
      </c>
      <c r="BB2037" s="24" t="n">
        <v>0</v>
      </c>
      <c r="BC2037" s="26"/>
      <c r="BD2037" s="26"/>
      <c r="BE2037" s="26"/>
      <c r="BF2037" s="26"/>
      <c r="BG2037" s="26"/>
      <c r="BH2037" s="26"/>
      <c r="BI2037" s="26"/>
      <c r="BJ2037" s="26"/>
      <c r="BK2037" s="26"/>
      <c r="BL2037" s="26"/>
      <c r="BM2037" s="26"/>
      <c r="BN2037" s="26"/>
      <c r="BO2037" s="26"/>
      <c r="BP2037" s="16" t="n">
        <v>45447</v>
      </c>
      <c r="BQ2037" s="28" t="str">
        <f>HYPERLINK("https://organic.ams.usda.gov/Integrity/Certificate.aspx?cid=45&amp;nopid=9950007623")</f>
        <v>https://organic.ams.usda.gov/Integrity/Certificate.aspx?cid=45&amp;nopid=9950007623</v>
      </c>
    </row>
    <row r="2038">
      <c r="A2038" t="s">
        <v>3</v>
      </c>
      <c r="B2038" s="6" t="s">
        <v>34</v>
      </c>
      <c r="C2038" s="6" t="s">
        <v>100</v>
      </c>
      <c r="D2038" s="6" t="s">
        <v>165</v>
      </c>
      <c r="E2038" s="10" t="s">
        <v>2236</v>
      </c>
      <c r="F2038" s="6" t="s">
        <v>4439</v>
      </c>
      <c r="G2038" s="6" t="s">
        <v>104</v>
      </c>
      <c r="H2038" s="6" t="s">
        <v>6716</v>
      </c>
      <c r="I2038" s="6" t="s">
        <v>7235</v>
      </c>
      <c r="J2038" s="6" t="s">
        <v>9567</v>
      </c>
      <c r="K2038" s="6" t="s">
        <v>9714</v>
      </c>
      <c r="L2038" s="16" t="n">
        <v>42143</v>
      </c>
      <c r="M2038" s="16" t="n">
        <v>45776</v>
      </c>
      <c r="N2038" s="6" t="s">
        <v>104</v>
      </c>
      <c r="O2038" s="21" t="s">
        <v>104</v>
      </c>
      <c r="P2038" s="6" t="s">
        <v>104</v>
      </c>
      <c r="Q2038" s="6" t="s">
        <v>104</v>
      </c>
      <c r="R2038" s="6" t="s">
        <v>104</v>
      </c>
      <c r="S2038" s="6" t="s">
        <v>104</v>
      </c>
      <c r="T2038" s="21" t="s">
        <v>104</v>
      </c>
      <c r="U2038" s="6" t="s">
        <v>104</v>
      </c>
      <c r="V2038" s="6" t="s">
        <v>104</v>
      </c>
      <c r="W2038" s="6" t="s">
        <v>104</v>
      </c>
      <c r="X2038" s="6" t="s">
        <v>104</v>
      </c>
      <c r="Y2038" s="21" t="s">
        <v>104</v>
      </c>
      <c r="Z2038" s="6" t="s">
        <v>104</v>
      </c>
      <c r="AA2038" s="6" t="s">
        <v>104</v>
      </c>
      <c r="AB2038" s="6" t="s">
        <v>104</v>
      </c>
      <c r="AC2038" s="6" t="s">
        <v>9714</v>
      </c>
      <c r="AD2038" s="16" t="n">
        <v>42143</v>
      </c>
      <c r="AE2038" s="6" t="s">
        <v>12294</v>
      </c>
      <c r="AF2038" s="6" t="s">
        <v>104</v>
      </c>
      <c r="AG2038" s="6" t="s">
        <v>13095</v>
      </c>
      <c r="AH2038" s="6" t="s">
        <v>15024</v>
      </c>
      <c r="AI2038" s="6" t="s">
        <v>104</v>
      </c>
      <c r="AJ2038" s="6" t="s">
        <v>16177</v>
      </c>
      <c r="AK2038" s="6" t="s">
        <v>16382</v>
      </c>
      <c r="AL2038" s="6" t="s">
        <v>16931</v>
      </c>
      <c r="AM2038" s="6" t="s">
        <v>18132</v>
      </c>
      <c r="AN2038" s="6" t="s">
        <v>5429</v>
      </c>
      <c r="AO2038" s="6" t="s">
        <v>18724</v>
      </c>
      <c r="AP2038" s="6" t="s">
        <v>19480</v>
      </c>
      <c r="AQ2038" s="6" t="s">
        <v>104</v>
      </c>
      <c r="AR2038" s="6" t="s">
        <v>16177</v>
      </c>
      <c r="AS2038" s="6" t="s">
        <v>16382</v>
      </c>
      <c r="AT2038" s="6" t="s">
        <v>16931</v>
      </c>
      <c r="AU2038" s="6" t="s">
        <v>18132</v>
      </c>
      <c r="AV2038" s="6" t="s">
        <v>104</v>
      </c>
      <c r="AW2038" s="6" t="s">
        <v>104</v>
      </c>
      <c r="AX2038" s="6" t="s">
        <v>20259</v>
      </c>
      <c r="AY2038" s="6" t="s">
        <v>23505</v>
      </c>
      <c r="AZ2038" s="6" t="s">
        <v>24201</v>
      </c>
      <c r="BA2038" s="6" t="s">
        <v>104</v>
      </c>
      <c r="BB2038" s="6" t="s">
        <v>104</v>
      </c>
      <c r="BC2038" s="26"/>
      <c r="BD2038" s="26"/>
      <c r="BE2038" s="26"/>
      <c r="BF2038" s="26"/>
      <c r="BG2038" s="26"/>
      <c r="BH2038" s="26"/>
      <c r="BI2038" s="26"/>
      <c r="BJ2038" s="26"/>
      <c r="BK2038" s="26"/>
      <c r="BL2038" s="26"/>
      <c r="BM2038" s="26"/>
      <c r="BN2038" s="26"/>
      <c r="BO2038" s="26"/>
      <c r="BP2038" s="16" t="n">
        <v>45737</v>
      </c>
      <c r="BQ2038" s="28" t="str">
        <f>HYPERLINK("https://organic.ams.usda.gov/Integrity/Certificate.aspx?cid=71&amp;nopid=5520241964")</f>
        <v>https://organic.ams.usda.gov/Integrity/Certificate.aspx?cid=71&amp;nopid=5520241964</v>
      </c>
    </row>
    <row r="2039">
      <c r="A2039" t="s">
        <v>3</v>
      </c>
      <c r="B2039" s="6" t="s">
        <v>13</v>
      </c>
      <c r="C2039" s="6" t="s">
        <v>79</v>
      </c>
      <c r="D2039" s="6" t="s">
        <v>144</v>
      </c>
      <c r="E2039" s="10" t="s">
        <v>2237</v>
      </c>
      <c r="F2039" s="6" t="s">
        <v>4440</v>
      </c>
      <c r="G2039" s="6" t="s">
        <v>104</v>
      </c>
      <c r="H2039" s="6" t="s">
        <v>6717</v>
      </c>
      <c r="I2039" s="6" t="s">
        <v>8032</v>
      </c>
      <c r="J2039" s="6" t="s">
        <v>9568</v>
      </c>
      <c r="K2039" s="6" t="s">
        <v>9714</v>
      </c>
      <c r="L2039" s="16" t="n">
        <v>42755</v>
      </c>
      <c r="M2039" s="16" t="n">
        <v>46023</v>
      </c>
      <c r="N2039" s="6" t="s">
        <v>104</v>
      </c>
      <c r="O2039" s="21" t="s">
        <v>104</v>
      </c>
      <c r="P2039" s="6" t="s">
        <v>104</v>
      </c>
      <c r="Q2039" s="6" t="s">
        <v>104</v>
      </c>
      <c r="R2039" s="6" t="s">
        <v>104</v>
      </c>
      <c r="S2039" s="6" t="s">
        <v>104</v>
      </c>
      <c r="T2039" s="21" t="s">
        <v>104</v>
      </c>
      <c r="U2039" s="6" t="s">
        <v>104</v>
      </c>
      <c r="V2039" s="6" t="s">
        <v>104</v>
      </c>
      <c r="W2039" s="6" t="s">
        <v>104</v>
      </c>
      <c r="X2039" s="6" t="s">
        <v>104</v>
      </c>
      <c r="Y2039" s="21" t="s">
        <v>104</v>
      </c>
      <c r="Z2039" s="6" t="s">
        <v>104</v>
      </c>
      <c r="AA2039" s="6" t="s">
        <v>104</v>
      </c>
      <c r="AB2039" s="6" t="s">
        <v>104</v>
      </c>
      <c r="AC2039" s="6" t="s">
        <v>9714</v>
      </c>
      <c r="AD2039" s="16" t="n">
        <v>42755</v>
      </c>
      <c r="AE2039" s="6" t="s">
        <v>12295</v>
      </c>
      <c r="AF2039" s="6" t="s">
        <v>104</v>
      </c>
      <c r="AG2039" s="6" t="s">
        <v>104</v>
      </c>
      <c r="AH2039" s="6" t="s">
        <v>104</v>
      </c>
      <c r="AI2039" s="6" t="s">
        <v>104</v>
      </c>
      <c r="AJ2039" s="6" t="s">
        <v>104</v>
      </c>
      <c r="AK2039" s="6" t="s">
        <v>104</v>
      </c>
      <c r="AL2039" s="6" t="s">
        <v>104</v>
      </c>
      <c r="AM2039" s="6" t="s">
        <v>104</v>
      </c>
      <c r="AN2039" s="6" t="s">
        <v>104</v>
      </c>
      <c r="AO2039" s="6" t="s">
        <v>104</v>
      </c>
      <c r="AP2039" s="6" t="s">
        <v>19027</v>
      </c>
      <c r="AQ2039" s="6" t="s">
        <v>104</v>
      </c>
      <c r="AR2039" s="6" t="s">
        <v>19613</v>
      </c>
      <c r="AS2039" s="6" t="s">
        <v>16686</v>
      </c>
      <c r="AT2039" s="6" t="s">
        <v>16931</v>
      </c>
      <c r="AU2039" s="6" t="s">
        <v>19837</v>
      </c>
      <c r="AV2039" s="6" t="s">
        <v>18509</v>
      </c>
      <c r="AW2039" s="6" t="s">
        <v>18779</v>
      </c>
      <c r="AX2039" s="6" t="s">
        <v>21676</v>
      </c>
      <c r="AY2039" s="6" t="s">
        <v>23506</v>
      </c>
      <c r="AZ2039" s="6" t="s">
        <v>104</v>
      </c>
      <c r="BA2039" s="6" t="s">
        <v>104</v>
      </c>
      <c r="BB2039" s="6" t="s">
        <v>104</v>
      </c>
      <c r="BC2039" s="26"/>
      <c r="BD2039" s="26"/>
      <c r="BE2039" s="26"/>
      <c r="BF2039" s="26"/>
      <c r="BG2039" s="26"/>
      <c r="BH2039" s="26" t="s">
        <v>24533</v>
      </c>
      <c r="BI2039" s="26"/>
      <c r="BJ2039" s="26"/>
      <c r="BK2039" s="26"/>
      <c r="BL2039" s="26" t="s">
        <v>24533</v>
      </c>
      <c r="BM2039" s="26"/>
      <c r="BN2039" s="26"/>
      <c r="BO2039" s="26"/>
      <c r="BP2039" s="16" t="n">
        <v>45738</v>
      </c>
      <c r="BQ2039" s="28" t="str">
        <f>HYPERLINK("https://organic.ams.usda.gov/Integrity/Certificate.aspx?cid=62&amp;nopid=8150003363")</f>
        <v>https://organic.ams.usda.gov/Integrity/Certificate.aspx?cid=62&amp;nopid=8150003363</v>
      </c>
    </row>
    <row r="2040">
      <c r="A2040" t="s">
        <v>3</v>
      </c>
      <c r="B2040" s="6" t="s">
        <v>21</v>
      </c>
      <c r="C2040" s="6" t="s">
        <v>87</v>
      </c>
      <c r="D2040" s="6" t="s">
        <v>152</v>
      </c>
      <c r="E2040" s="10" t="s">
        <v>2238</v>
      </c>
      <c r="F2040" s="6" t="s">
        <v>4441</v>
      </c>
      <c r="G2040" s="6" t="s">
        <v>104</v>
      </c>
      <c r="H2040" s="6" t="s">
        <v>6718</v>
      </c>
      <c r="I2040" s="6" t="s">
        <v>7232</v>
      </c>
      <c r="J2040" s="6" t="s">
        <v>9569</v>
      </c>
      <c r="K2040" s="6" t="s">
        <v>9714</v>
      </c>
      <c r="L2040" s="16" t="n">
        <v>41523</v>
      </c>
      <c r="M2040" s="16" t="n">
        <v>46023</v>
      </c>
      <c r="N2040" s="6" t="s">
        <v>104</v>
      </c>
      <c r="O2040" s="21" t="s">
        <v>104</v>
      </c>
      <c r="P2040" s="6" t="s">
        <v>104</v>
      </c>
      <c r="Q2040" s="6" t="s">
        <v>104</v>
      </c>
      <c r="R2040" s="6" t="s">
        <v>104</v>
      </c>
      <c r="S2040" s="6" t="s">
        <v>104</v>
      </c>
      <c r="T2040" s="21" t="s">
        <v>104</v>
      </c>
      <c r="U2040" s="6" t="s">
        <v>104</v>
      </c>
      <c r="V2040" s="6" t="s">
        <v>104</v>
      </c>
      <c r="W2040" s="6" t="s">
        <v>104</v>
      </c>
      <c r="X2040" s="6" t="s">
        <v>104</v>
      </c>
      <c r="Y2040" s="21" t="s">
        <v>104</v>
      </c>
      <c r="Z2040" s="6" t="s">
        <v>104</v>
      </c>
      <c r="AA2040" s="6" t="s">
        <v>104</v>
      </c>
      <c r="AB2040" s="6" t="s">
        <v>104</v>
      </c>
      <c r="AC2040" s="6" t="s">
        <v>9714</v>
      </c>
      <c r="AD2040" s="16" t="n">
        <v>41523</v>
      </c>
      <c r="AE2040" s="6" t="s">
        <v>12296</v>
      </c>
      <c r="AF2040" s="6" t="s">
        <v>104</v>
      </c>
      <c r="AG2040" s="6" t="s">
        <v>104</v>
      </c>
      <c r="AH2040" s="6" t="s">
        <v>15025</v>
      </c>
      <c r="AI2040" s="6" t="s">
        <v>104</v>
      </c>
      <c r="AJ2040" s="6" t="s">
        <v>15794</v>
      </c>
      <c r="AK2040" s="6" t="s">
        <v>16680</v>
      </c>
      <c r="AL2040" s="6" t="s">
        <v>16931</v>
      </c>
      <c r="AM2040" s="6" t="s">
        <v>18316</v>
      </c>
      <c r="AN2040" s="6" t="s">
        <v>18468</v>
      </c>
      <c r="AO2040" s="6" t="s">
        <v>18708</v>
      </c>
      <c r="AP2040" s="6" t="s">
        <v>15025</v>
      </c>
      <c r="AQ2040" s="6" t="s">
        <v>104</v>
      </c>
      <c r="AR2040" s="6" t="s">
        <v>15794</v>
      </c>
      <c r="AS2040" s="6" t="s">
        <v>16680</v>
      </c>
      <c r="AT2040" s="6" t="s">
        <v>16931</v>
      </c>
      <c r="AU2040" s="6" t="s">
        <v>18316</v>
      </c>
      <c r="AV2040" s="6" t="s">
        <v>18468</v>
      </c>
      <c r="AW2040" s="6" t="s">
        <v>18708</v>
      </c>
      <c r="AX2040" s="6" t="s">
        <v>21677</v>
      </c>
      <c r="AY2040" s="6" t="s">
        <v>23507</v>
      </c>
      <c r="AZ2040" s="6" t="s">
        <v>24202</v>
      </c>
      <c r="BA2040" s="6" t="s">
        <v>24509</v>
      </c>
      <c r="BB2040" s="6" t="s">
        <v>104</v>
      </c>
      <c r="BC2040" s="26"/>
      <c r="BD2040" s="26"/>
      <c r="BE2040" s="26"/>
      <c r="BF2040" s="26"/>
      <c r="BG2040" s="26" t="s">
        <v>24533</v>
      </c>
      <c r="BH2040" s="26"/>
      <c r="BI2040" s="26"/>
      <c r="BJ2040" s="26"/>
      <c r="BK2040" s="26"/>
      <c r="BL2040" s="26"/>
      <c r="BM2040" s="26"/>
      <c r="BN2040" s="26"/>
      <c r="BO2040" s="26"/>
      <c r="BP2040" s="16" t="n">
        <v>45680</v>
      </c>
      <c r="BQ2040" s="28" t="str">
        <f>HYPERLINK("https://organic.ams.usda.gov/Integrity/Certificate.aspx?cid=15&amp;nopid=5561001851")</f>
        <v>https://organic.ams.usda.gov/Integrity/Certificate.aspx?cid=15&amp;nopid=5561001851</v>
      </c>
    </row>
    <row r="2041">
      <c r="A2041" t="s">
        <v>3</v>
      </c>
      <c r="B2041" s="6" t="s">
        <v>34</v>
      </c>
      <c r="C2041" s="6" t="s">
        <v>100</v>
      </c>
      <c r="D2041" s="6" t="s">
        <v>165</v>
      </c>
      <c r="E2041" s="10" t="s">
        <v>2239</v>
      </c>
      <c r="F2041" s="6" t="s">
        <v>4442</v>
      </c>
      <c r="G2041" s="6" t="s">
        <v>104</v>
      </c>
      <c r="H2041" s="6" t="s">
        <v>6719</v>
      </c>
      <c r="I2041" s="6" t="s">
        <v>8033</v>
      </c>
      <c r="J2041" s="6" t="s">
        <v>9570</v>
      </c>
      <c r="K2041" s="6" t="s">
        <v>9714</v>
      </c>
      <c r="L2041" s="16" t="n">
        <v>43993</v>
      </c>
      <c r="M2041" s="16" t="n">
        <v>45971</v>
      </c>
      <c r="N2041" s="6" t="s">
        <v>104</v>
      </c>
      <c r="O2041" s="21" t="s">
        <v>104</v>
      </c>
      <c r="P2041" s="6" t="s">
        <v>104</v>
      </c>
      <c r="Q2041" s="6" t="s">
        <v>104</v>
      </c>
      <c r="R2041" s="6" t="s">
        <v>104</v>
      </c>
      <c r="S2041" s="6" t="s">
        <v>104</v>
      </c>
      <c r="T2041" s="21" t="s">
        <v>104</v>
      </c>
      <c r="U2041" s="6" t="s">
        <v>104</v>
      </c>
      <c r="V2041" s="6" t="s">
        <v>104</v>
      </c>
      <c r="W2041" s="6" t="s">
        <v>104</v>
      </c>
      <c r="X2041" s="6" t="s">
        <v>104</v>
      </c>
      <c r="Y2041" s="21" t="s">
        <v>104</v>
      </c>
      <c r="Z2041" s="6" t="s">
        <v>104</v>
      </c>
      <c r="AA2041" s="6" t="s">
        <v>104</v>
      </c>
      <c r="AB2041" s="6" t="s">
        <v>104</v>
      </c>
      <c r="AC2041" s="6" t="s">
        <v>9714</v>
      </c>
      <c r="AD2041" s="16" t="n">
        <v>43993</v>
      </c>
      <c r="AE2041" s="6" t="s">
        <v>12297</v>
      </c>
      <c r="AF2041" s="6" t="s">
        <v>104</v>
      </c>
      <c r="AG2041" s="6" t="s">
        <v>13096</v>
      </c>
      <c r="AH2041" s="6" t="s">
        <v>15026</v>
      </c>
      <c r="AI2041" s="6" t="s">
        <v>104</v>
      </c>
      <c r="AJ2041" s="6" t="s">
        <v>16563</v>
      </c>
      <c r="AK2041" s="6" t="s">
        <v>16706</v>
      </c>
      <c r="AL2041" s="6" t="s">
        <v>16931</v>
      </c>
      <c r="AM2041" s="6" t="s">
        <v>18317</v>
      </c>
      <c r="AN2041" s="6" t="s">
        <v>18511</v>
      </c>
      <c r="AO2041" s="6" t="s">
        <v>18630</v>
      </c>
      <c r="AP2041" s="6" t="s">
        <v>15026</v>
      </c>
      <c r="AQ2041" s="6" t="s">
        <v>104</v>
      </c>
      <c r="AR2041" s="6" t="s">
        <v>16563</v>
      </c>
      <c r="AS2041" s="6" t="s">
        <v>16706</v>
      </c>
      <c r="AT2041" s="6" t="s">
        <v>16931</v>
      </c>
      <c r="AU2041" s="6" t="s">
        <v>18317</v>
      </c>
      <c r="AV2041" s="6" t="s">
        <v>104</v>
      </c>
      <c r="AW2041" s="6" t="s">
        <v>104</v>
      </c>
      <c r="AX2041" s="6" t="s">
        <v>20259</v>
      </c>
      <c r="AY2041" s="6" t="s">
        <v>23508</v>
      </c>
      <c r="AZ2041" s="6" t="s">
        <v>104</v>
      </c>
      <c r="BA2041" s="6" t="s">
        <v>104</v>
      </c>
      <c r="BB2041" s="6" t="s">
        <v>104</v>
      </c>
      <c r="BC2041" s="26"/>
      <c r="BD2041" s="26"/>
      <c r="BE2041" s="26"/>
      <c r="BF2041" s="26"/>
      <c r="BG2041" s="26" t="s">
        <v>24533</v>
      </c>
      <c r="BH2041" s="26"/>
      <c r="BI2041" s="26"/>
      <c r="BJ2041" s="26"/>
      <c r="BK2041" s="26"/>
      <c r="BL2041" s="26" t="s">
        <v>24533</v>
      </c>
      <c r="BM2041" s="26"/>
      <c r="BN2041" s="26"/>
      <c r="BO2041" s="26"/>
      <c r="BP2041" s="16" t="n">
        <v>45737</v>
      </c>
      <c r="BQ2041" s="28" t="str">
        <f>HYPERLINK("https://organic.ams.usda.gov/Integrity/Certificate.aspx?cid=71&amp;nopid=5520031507")</f>
        <v>https://organic.ams.usda.gov/Integrity/Certificate.aspx?cid=71&amp;nopid=5520031507</v>
      </c>
    </row>
    <row r="2042">
      <c r="A2042" t="s">
        <v>3</v>
      </c>
      <c r="B2042" s="6" t="s">
        <v>47</v>
      </c>
      <c r="C2042" s="6" t="s">
        <v>113</v>
      </c>
      <c r="D2042" s="6" t="s">
        <v>177</v>
      </c>
      <c r="E2042" s="10" t="s">
        <v>2240</v>
      </c>
      <c r="F2042" s="6" t="s">
        <v>4443</v>
      </c>
      <c r="G2042" s="6" t="s">
        <v>104</v>
      </c>
      <c r="H2042" s="6" t="s">
        <v>6720</v>
      </c>
      <c r="I2042" s="6" t="s">
        <v>8034</v>
      </c>
      <c r="J2042" s="6" t="s">
        <v>9571</v>
      </c>
      <c r="K2042" s="6" t="s">
        <v>9714</v>
      </c>
      <c r="L2042" s="16" t="n">
        <v>39181</v>
      </c>
      <c r="M2042" s="16" t="n">
        <v>46022</v>
      </c>
      <c r="N2042" s="6" t="s">
        <v>104</v>
      </c>
      <c r="O2042" s="21" t="s">
        <v>104</v>
      </c>
      <c r="P2042" s="6" t="s">
        <v>104</v>
      </c>
      <c r="Q2042" s="6" t="s">
        <v>104</v>
      </c>
      <c r="R2042" s="6" t="s">
        <v>104</v>
      </c>
      <c r="S2042" s="6" t="s">
        <v>104</v>
      </c>
      <c r="T2042" s="21" t="s">
        <v>104</v>
      </c>
      <c r="U2042" s="6" t="s">
        <v>104</v>
      </c>
      <c r="V2042" s="6" t="s">
        <v>104</v>
      </c>
      <c r="W2042" s="6" t="s">
        <v>104</v>
      </c>
      <c r="X2042" s="6" t="s">
        <v>104</v>
      </c>
      <c r="Y2042" s="21" t="s">
        <v>104</v>
      </c>
      <c r="Z2042" s="6" t="s">
        <v>104</v>
      </c>
      <c r="AA2042" s="6" t="s">
        <v>104</v>
      </c>
      <c r="AB2042" s="6" t="s">
        <v>104</v>
      </c>
      <c r="AC2042" s="6" t="s">
        <v>9714</v>
      </c>
      <c r="AD2042" s="16" t="n">
        <v>39181</v>
      </c>
      <c r="AE2042" s="6" t="s">
        <v>12298</v>
      </c>
      <c r="AF2042" s="6" t="s">
        <v>104</v>
      </c>
      <c r="AG2042" s="6" t="s">
        <v>13097</v>
      </c>
      <c r="AH2042" s="6" t="s">
        <v>15027</v>
      </c>
      <c r="AI2042" s="6" t="s">
        <v>104</v>
      </c>
      <c r="AJ2042" s="6" t="s">
        <v>15634</v>
      </c>
      <c r="AK2042" s="6" t="s">
        <v>16734</v>
      </c>
      <c r="AL2042" s="6" t="s">
        <v>16931</v>
      </c>
      <c r="AM2042" s="6" t="s">
        <v>18318</v>
      </c>
      <c r="AN2042" s="6" t="s">
        <v>18469</v>
      </c>
      <c r="AO2042" s="6" t="s">
        <v>18914</v>
      </c>
      <c r="AP2042" s="6" t="s">
        <v>19481</v>
      </c>
      <c r="AQ2042" s="6" t="s">
        <v>104</v>
      </c>
      <c r="AR2042" s="6" t="s">
        <v>19768</v>
      </c>
      <c r="AS2042" s="6" t="s">
        <v>16734</v>
      </c>
      <c r="AT2042" s="6" t="s">
        <v>16931</v>
      </c>
      <c r="AU2042" s="6" t="s">
        <v>18150</v>
      </c>
      <c r="AV2042" s="6" t="s">
        <v>104</v>
      </c>
      <c r="AW2042" s="6" t="s">
        <v>104</v>
      </c>
      <c r="AX2042" s="6" t="s">
        <v>21678</v>
      </c>
      <c r="AY2042" s="6" t="s">
        <v>23509</v>
      </c>
      <c r="AZ2042" s="6" t="s">
        <v>24203</v>
      </c>
      <c r="BA2042" s="6" t="s">
        <v>104</v>
      </c>
      <c r="BB2042" s="24" t="n">
        <v>0</v>
      </c>
      <c r="BC2042" s="26"/>
      <c r="BD2042" s="26"/>
      <c r="BE2042" s="26"/>
      <c r="BF2042" s="26"/>
      <c r="BG2042" s="26"/>
      <c r="BH2042" s="26"/>
      <c r="BI2042" s="26"/>
      <c r="BJ2042" s="26"/>
      <c r="BK2042" s="26"/>
      <c r="BL2042" s="26"/>
      <c r="BM2042" s="26"/>
      <c r="BN2042" s="26"/>
      <c r="BO2042" s="26"/>
      <c r="BP2042" s="16" t="n">
        <v>45695</v>
      </c>
      <c r="BQ2042" s="28" t="str">
        <f>HYPERLINK("https://organic.ams.usda.gov/Integrity/Certificate.aspx?cid=47&amp;nopid=7142073823")</f>
        <v>https://organic.ams.usda.gov/Integrity/Certificate.aspx?cid=47&amp;nopid=7142073823</v>
      </c>
    </row>
    <row r="2043">
      <c r="A2043" t="s">
        <v>3</v>
      </c>
      <c r="B2043" s="6" t="s">
        <v>45</v>
      </c>
      <c r="C2043" s="6" t="s">
        <v>111</v>
      </c>
      <c r="D2043" s="6" t="s">
        <v>175</v>
      </c>
      <c r="E2043" s="10" t="s">
        <v>2241</v>
      </c>
      <c r="F2043" s="6" t="s">
        <v>4444</v>
      </c>
      <c r="G2043" s="6" t="s">
        <v>104</v>
      </c>
      <c r="H2043" s="6" t="s">
        <v>6721</v>
      </c>
      <c r="I2043" s="6" t="s">
        <v>7080</v>
      </c>
      <c r="J2043" s="6" t="s">
        <v>8351</v>
      </c>
      <c r="K2043" s="6" t="s">
        <v>9714</v>
      </c>
      <c r="L2043" s="16" t="n">
        <v>42615</v>
      </c>
      <c r="M2043" s="16" t="n">
        <v>46082</v>
      </c>
      <c r="N2043" s="6" t="s">
        <v>104</v>
      </c>
      <c r="O2043" s="21" t="s">
        <v>104</v>
      </c>
      <c r="P2043" s="6" t="s">
        <v>104</v>
      </c>
      <c r="Q2043" s="6" t="s">
        <v>104</v>
      </c>
      <c r="R2043" s="6" t="s">
        <v>104</v>
      </c>
      <c r="S2043" s="6" t="s">
        <v>104</v>
      </c>
      <c r="T2043" s="21" t="s">
        <v>104</v>
      </c>
      <c r="U2043" s="6" t="s">
        <v>104</v>
      </c>
      <c r="V2043" s="6" t="s">
        <v>104</v>
      </c>
      <c r="W2043" s="6" t="s">
        <v>104</v>
      </c>
      <c r="X2043" s="6" t="s">
        <v>104</v>
      </c>
      <c r="Y2043" s="21" t="s">
        <v>104</v>
      </c>
      <c r="Z2043" s="6" t="s">
        <v>104</v>
      </c>
      <c r="AA2043" s="6" t="s">
        <v>104</v>
      </c>
      <c r="AB2043" s="6" t="s">
        <v>104</v>
      </c>
      <c r="AC2043" s="6" t="s">
        <v>9714</v>
      </c>
      <c r="AD2043" s="16" t="n">
        <v>42615</v>
      </c>
      <c r="AE2043" s="6" t="s">
        <v>12299</v>
      </c>
      <c r="AF2043" s="6" t="s">
        <v>104</v>
      </c>
      <c r="AG2043" s="6" t="s">
        <v>4667</v>
      </c>
      <c r="AH2043" s="6" t="s">
        <v>15028</v>
      </c>
      <c r="AI2043" s="6" t="s">
        <v>104</v>
      </c>
      <c r="AJ2043" s="6" t="s">
        <v>16526</v>
      </c>
      <c r="AK2043" s="6" t="s">
        <v>16382</v>
      </c>
      <c r="AL2043" s="6" t="s">
        <v>16931</v>
      </c>
      <c r="AM2043" s="6" t="s">
        <v>18263</v>
      </c>
      <c r="AN2043" s="6" t="s">
        <v>104</v>
      </c>
      <c r="AO2043" s="6" t="s">
        <v>104</v>
      </c>
      <c r="AP2043" s="6" t="s">
        <v>19482</v>
      </c>
      <c r="AQ2043" s="6" t="s">
        <v>104</v>
      </c>
      <c r="AR2043" s="6" t="s">
        <v>16526</v>
      </c>
      <c r="AS2043" s="6" t="s">
        <v>16382</v>
      </c>
      <c r="AT2043" s="6" t="s">
        <v>16931</v>
      </c>
      <c r="AU2043" s="6" t="s">
        <v>18263</v>
      </c>
      <c r="AV2043" s="6" t="s">
        <v>5640</v>
      </c>
      <c r="AW2043" s="6" t="s">
        <v>18901</v>
      </c>
      <c r="AX2043" s="6" t="s">
        <v>21679</v>
      </c>
      <c r="AY2043" s="6" t="s">
        <v>23510</v>
      </c>
      <c r="AZ2043" s="6" t="s">
        <v>24204</v>
      </c>
      <c r="BA2043" s="6" t="s">
        <v>104</v>
      </c>
      <c r="BB2043" s="6" t="s">
        <v>104</v>
      </c>
      <c r="BC2043" s="26"/>
      <c r="BD2043" s="26"/>
      <c r="BE2043" s="26"/>
      <c r="BF2043" s="26"/>
      <c r="BG2043" s="26"/>
      <c r="BH2043" s="26"/>
      <c r="BI2043" s="26"/>
      <c r="BJ2043" s="26"/>
      <c r="BK2043" s="26"/>
      <c r="BL2043" s="26"/>
      <c r="BM2043" s="26"/>
      <c r="BN2043" s="26"/>
      <c r="BO2043" s="26"/>
      <c r="BP2043" s="16" t="n">
        <v>45739</v>
      </c>
      <c r="BQ2043" s="28" t="str">
        <f>HYPERLINK("https://organic.ams.usda.gov/Integrity/Certificate.aspx?cid=82&amp;nopid=2780003152")</f>
        <v>https://organic.ams.usda.gov/Integrity/Certificate.aspx?cid=82&amp;nopid=2780003152</v>
      </c>
    </row>
    <row r="2044">
      <c r="A2044" t="s">
        <v>3</v>
      </c>
      <c r="B2044" s="6" t="s">
        <v>24</v>
      </c>
      <c r="C2044" s="6" t="s">
        <v>90</v>
      </c>
      <c r="D2044" s="6" t="s">
        <v>155</v>
      </c>
      <c r="E2044" s="10" t="s">
        <v>2242</v>
      </c>
      <c r="F2044" s="6" t="s">
        <v>4445</v>
      </c>
      <c r="G2044" s="6" t="s">
        <v>4667</v>
      </c>
      <c r="H2044" s="6" t="s">
        <v>6722</v>
      </c>
      <c r="I2044" s="6" t="s">
        <v>8035</v>
      </c>
      <c r="J2044" s="6" t="s">
        <v>9572</v>
      </c>
      <c r="K2044" s="6" t="s">
        <v>9714</v>
      </c>
      <c r="L2044" s="16" t="n">
        <v>42381</v>
      </c>
      <c r="M2044" s="16" t="n">
        <v>45807</v>
      </c>
      <c r="N2044" s="6" t="s">
        <v>9714</v>
      </c>
      <c r="O2044" s="16" t="n">
        <v>42381</v>
      </c>
      <c r="P2044" s="6" t="s">
        <v>10239</v>
      </c>
      <c r="Q2044" s="6" t="s">
        <v>104</v>
      </c>
      <c r="R2044" s="6" t="s">
        <v>6722</v>
      </c>
      <c r="S2044" s="6" t="s">
        <v>104</v>
      </c>
      <c r="T2044" s="21" t="s">
        <v>104</v>
      </c>
      <c r="U2044" s="6" t="s">
        <v>104</v>
      </c>
      <c r="V2044" s="6" t="s">
        <v>104</v>
      </c>
      <c r="W2044" s="6" t="s">
        <v>104</v>
      </c>
      <c r="X2044" s="6" t="s">
        <v>104</v>
      </c>
      <c r="Y2044" s="21" t="s">
        <v>104</v>
      </c>
      <c r="Z2044" s="6" t="s">
        <v>104</v>
      </c>
      <c r="AA2044" s="6" t="s">
        <v>104</v>
      </c>
      <c r="AB2044" s="6" t="s">
        <v>104</v>
      </c>
      <c r="AC2044" s="6" t="s">
        <v>9714</v>
      </c>
      <c r="AD2044" s="16" t="n">
        <v>42381</v>
      </c>
      <c r="AE2044" s="6" t="s">
        <v>12300</v>
      </c>
      <c r="AF2044" s="6" t="s">
        <v>104</v>
      </c>
      <c r="AG2044" s="6" t="s">
        <v>6722</v>
      </c>
      <c r="AH2044" s="6" t="s">
        <v>104</v>
      </c>
      <c r="AI2044" s="6" t="s">
        <v>104</v>
      </c>
      <c r="AJ2044" s="6" t="s">
        <v>104</v>
      </c>
      <c r="AK2044" s="6" t="s">
        <v>104</v>
      </c>
      <c r="AL2044" s="6" t="s">
        <v>104</v>
      </c>
      <c r="AM2044" s="6" t="s">
        <v>104</v>
      </c>
      <c r="AN2044" s="6" t="s">
        <v>104</v>
      </c>
      <c r="AO2044" s="6" t="s">
        <v>104</v>
      </c>
      <c r="AP2044" s="6" t="s">
        <v>19483</v>
      </c>
      <c r="AQ2044" s="6" t="s">
        <v>104</v>
      </c>
      <c r="AR2044" s="6" t="s">
        <v>19769</v>
      </c>
      <c r="AS2044" s="6" t="s">
        <v>15363</v>
      </c>
      <c r="AT2044" s="6" t="s">
        <v>15513</v>
      </c>
      <c r="AU2044" s="6" t="s">
        <v>17698</v>
      </c>
      <c r="AV2044" s="6" t="s">
        <v>104</v>
      </c>
      <c r="AW2044" s="6" t="s">
        <v>104</v>
      </c>
      <c r="AX2044" s="6" t="s">
        <v>104</v>
      </c>
      <c r="AY2044" s="6" t="s">
        <v>23511</v>
      </c>
      <c r="AZ2044" s="6" t="s">
        <v>24205</v>
      </c>
      <c r="BA2044" s="6" t="s">
        <v>24262</v>
      </c>
      <c r="BB2044" s="24" t="n">
        <v>4555</v>
      </c>
      <c r="BC2044" s="26"/>
      <c r="BD2044" s="26"/>
      <c r="BE2044" s="26"/>
      <c r="BF2044" s="26"/>
      <c r="BG2044" s="26"/>
      <c r="BH2044" s="26"/>
      <c r="BI2044" s="26"/>
      <c r="BJ2044" s="26"/>
      <c r="BK2044" s="26"/>
      <c r="BL2044" s="26"/>
      <c r="BM2044" s="26"/>
      <c r="BN2044" s="26"/>
      <c r="BO2044" s="26" t="s">
        <v>24533</v>
      </c>
      <c r="BP2044" s="16" t="n">
        <v>45662</v>
      </c>
      <c r="BQ2044" s="28" t="str">
        <f>HYPERLINK("https://organic.ams.usda.gov/Integrity/Certificate.aspx?cid=7&amp;nopid=3950000016")</f>
        <v>https://organic.ams.usda.gov/Integrity/Certificate.aspx?cid=7&amp;nopid=3950000016</v>
      </c>
    </row>
    <row r="2045">
      <c r="A2045" t="s">
        <v>3</v>
      </c>
      <c r="B2045" s="6" t="s">
        <v>47</v>
      </c>
      <c r="C2045" s="6" t="s">
        <v>113</v>
      </c>
      <c r="D2045" s="6" t="s">
        <v>177</v>
      </c>
      <c r="E2045" s="10" t="s">
        <v>2243</v>
      </c>
      <c r="F2045" s="6" t="s">
        <v>4446</v>
      </c>
      <c r="G2045" s="6" t="s">
        <v>104</v>
      </c>
      <c r="H2045" s="6" t="s">
        <v>6723</v>
      </c>
      <c r="I2045" s="6" t="s">
        <v>8036</v>
      </c>
      <c r="J2045" s="6" t="s">
        <v>9573</v>
      </c>
      <c r="K2045" s="6" t="s">
        <v>9714</v>
      </c>
      <c r="L2045" s="16" t="n">
        <v>44687</v>
      </c>
      <c r="M2045" s="16" t="n">
        <v>45443</v>
      </c>
      <c r="N2045" s="6" t="s">
        <v>104</v>
      </c>
      <c r="O2045" s="21" t="s">
        <v>104</v>
      </c>
      <c r="P2045" s="6" t="s">
        <v>104</v>
      </c>
      <c r="Q2045" s="6" t="s">
        <v>104</v>
      </c>
      <c r="R2045" s="6" t="s">
        <v>104</v>
      </c>
      <c r="S2045" s="6" t="s">
        <v>104</v>
      </c>
      <c r="T2045" s="21" t="s">
        <v>104</v>
      </c>
      <c r="U2045" s="6" t="s">
        <v>104</v>
      </c>
      <c r="V2045" s="6" t="s">
        <v>104</v>
      </c>
      <c r="W2045" s="6" t="s">
        <v>104</v>
      </c>
      <c r="X2045" s="6" t="s">
        <v>104</v>
      </c>
      <c r="Y2045" s="21" t="s">
        <v>104</v>
      </c>
      <c r="Z2045" s="6" t="s">
        <v>104</v>
      </c>
      <c r="AA2045" s="6" t="s">
        <v>104</v>
      </c>
      <c r="AB2045" s="6" t="s">
        <v>104</v>
      </c>
      <c r="AC2045" s="6" t="s">
        <v>9714</v>
      </c>
      <c r="AD2045" s="16" t="n">
        <v>44687</v>
      </c>
      <c r="AE2045" s="6" t="s">
        <v>12301</v>
      </c>
      <c r="AF2045" s="6" t="s">
        <v>104</v>
      </c>
      <c r="AG2045" s="6" t="s">
        <v>13098</v>
      </c>
      <c r="AH2045" s="6" t="s">
        <v>15029</v>
      </c>
      <c r="AI2045" s="6" t="s">
        <v>104</v>
      </c>
      <c r="AJ2045" s="6" t="s">
        <v>16571</v>
      </c>
      <c r="AK2045" s="6" t="s">
        <v>16905</v>
      </c>
      <c r="AL2045" s="6" t="s">
        <v>16931</v>
      </c>
      <c r="AM2045" s="6" t="s">
        <v>18319</v>
      </c>
      <c r="AN2045" s="6" t="s">
        <v>18466</v>
      </c>
      <c r="AO2045" s="6" t="s">
        <v>18915</v>
      </c>
      <c r="AP2045" s="6" t="s">
        <v>15029</v>
      </c>
      <c r="AQ2045" s="6" t="s">
        <v>104</v>
      </c>
      <c r="AR2045" s="6" t="s">
        <v>16571</v>
      </c>
      <c r="AS2045" s="6" t="s">
        <v>16905</v>
      </c>
      <c r="AT2045" s="6" t="s">
        <v>16931</v>
      </c>
      <c r="AU2045" s="6" t="s">
        <v>18319</v>
      </c>
      <c r="AV2045" s="6" t="s">
        <v>104</v>
      </c>
      <c r="AW2045" s="6" t="s">
        <v>104</v>
      </c>
      <c r="AX2045" s="6" t="s">
        <v>21680</v>
      </c>
      <c r="AY2045" s="6" t="s">
        <v>23512</v>
      </c>
      <c r="AZ2045" s="6" t="s">
        <v>24206</v>
      </c>
      <c r="BA2045" s="6" t="s">
        <v>24510</v>
      </c>
      <c r="BB2045" s="24" t="n">
        <v>0</v>
      </c>
      <c r="BC2045" s="26"/>
      <c r="BD2045" s="26"/>
      <c r="BE2045" s="26"/>
      <c r="BF2045" s="26"/>
      <c r="BG2045" s="26"/>
      <c r="BH2045" s="26"/>
      <c r="BI2045" s="26"/>
      <c r="BJ2045" s="26"/>
      <c r="BK2045" s="26"/>
      <c r="BL2045" s="26"/>
      <c r="BM2045" s="26"/>
      <c r="BN2045" s="26"/>
      <c r="BO2045" s="26"/>
      <c r="BP2045" s="16" t="n">
        <v>45695</v>
      </c>
      <c r="BQ2045" s="28" t="str">
        <f>HYPERLINK("https://organic.ams.usda.gov/Integrity/Certificate.aspx?cid=47&amp;nopid=7142077630")</f>
        <v>https://organic.ams.usda.gov/Integrity/Certificate.aspx?cid=47&amp;nopid=7142077630</v>
      </c>
    </row>
    <row r="2046">
      <c r="A2046" t="s">
        <v>3</v>
      </c>
      <c r="B2046" s="6" t="s">
        <v>12</v>
      </c>
      <c r="C2046" s="6" t="s">
        <v>78</v>
      </c>
      <c r="D2046" s="6" t="s">
        <v>143</v>
      </c>
      <c r="E2046" s="10" t="s">
        <v>2244</v>
      </c>
      <c r="F2046" s="6" t="s">
        <v>4447</v>
      </c>
      <c r="G2046" s="6" t="s">
        <v>104</v>
      </c>
      <c r="H2046" s="6" t="s">
        <v>104</v>
      </c>
      <c r="I2046" s="6" t="s">
        <v>7097</v>
      </c>
      <c r="J2046" s="6" t="s">
        <v>9574</v>
      </c>
      <c r="K2046" s="6" t="s">
        <v>9714</v>
      </c>
      <c r="L2046" s="16" t="n">
        <v>45583</v>
      </c>
      <c r="M2046" s="16" t="n">
        <v>45901</v>
      </c>
      <c r="N2046" s="6" t="s">
        <v>104</v>
      </c>
      <c r="O2046" s="21" t="s">
        <v>104</v>
      </c>
      <c r="P2046" s="6" t="s">
        <v>104</v>
      </c>
      <c r="Q2046" s="6" t="s">
        <v>104</v>
      </c>
      <c r="R2046" s="6" t="s">
        <v>104</v>
      </c>
      <c r="S2046" s="6" t="s">
        <v>104</v>
      </c>
      <c r="T2046" s="21" t="s">
        <v>104</v>
      </c>
      <c r="U2046" s="6" t="s">
        <v>104</v>
      </c>
      <c r="V2046" s="6" t="s">
        <v>104</v>
      </c>
      <c r="W2046" s="6" t="s">
        <v>104</v>
      </c>
      <c r="X2046" s="6" t="s">
        <v>104</v>
      </c>
      <c r="Y2046" s="21" t="s">
        <v>104</v>
      </c>
      <c r="Z2046" s="6" t="s">
        <v>104</v>
      </c>
      <c r="AA2046" s="6" t="s">
        <v>104</v>
      </c>
      <c r="AB2046" s="6" t="s">
        <v>104</v>
      </c>
      <c r="AC2046" s="6" t="s">
        <v>9714</v>
      </c>
      <c r="AD2046" s="16" t="n">
        <v>45583</v>
      </c>
      <c r="AE2046" s="6" t="s">
        <v>12302</v>
      </c>
      <c r="AF2046" s="6" t="s">
        <v>104</v>
      </c>
      <c r="AG2046" s="6" t="s">
        <v>13099</v>
      </c>
      <c r="AH2046" s="6" t="s">
        <v>15030</v>
      </c>
      <c r="AI2046" s="6" t="s">
        <v>104</v>
      </c>
      <c r="AJ2046" s="6" t="s">
        <v>16572</v>
      </c>
      <c r="AK2046" s="6" t="s">
        <v>16256</v>
      </c>
      <c r="AL2046" s="6" t="s">
        <v>16931</v>
      </c>
      <c r="AM2046" s="6" t="s">
        <v>18320</v>
      </c>
      <c r="AN2046" s="6" t="s">
        <v>104</v>
      </c>
      <c r="AO2046" s="6" t="s">
        <v>104</v>
      </c>
      <c r="AP2046" s="6" t="s">
        <v>15030</v>
      </c>
      <c r="AQ2046" s="6" t="s">
        <v>104</v>
      </c>
      <c r="AR2046" s="6" t="s">
        <v>16572</v>
      </c>
      <c r="AS2046" s="6" t="s">
        <v>16256</v>
      </c>
      <c r="AT2046" s="6" t="s">
        <v>16931</v>
      </c>
      <c r="AU2046" s="6" t="s">
        <v>18320</v>
      </c>
      <c r="AV2046" s="6" t="s">
        <v>104</v>
      </c>
      <c r="AW2046" s="6" t="s">
        <v>104</v>
      </c>
      <c r="AX2046" s="6" t="s">
        <v>104</v>
      </c>
      <c r="AY2046" s="6" t="s">
        <v>23513</v>
      </c>
      <c r="AZ2046" s="6" t="s">
        <v>104</v>
      </c>
      <c r="BA2046" s="6" t="s">
        <v>104</v>
      </c>
      <c r="BB2046" s="6" t="s">
        <v>104</v>
      </c>
      <c r="BC2046" s="26"/>
      <c r="BD2046" s="26"/>
      <c r="BE2046" s="26"/>
      <c r="BF2046" s="26"/>
      <c r="BG2046" s="26"/>
      <c r="BH2046" s="26"/>
      <c r="BI2046" s="26"/>
      <c r="BJ2046" s="26"/>
      <c r="BK2046" s="26"/>
      <c r="BL2046" s="26"/>
      <c r="BM2046" s="26"/>
      <c r="BN2046" s="26"/>
      <c r="BO2046" s="26"/>
      <c r="BP2046" s="16" t="n">
        <v>45616</v>
      </c>
      <c r="BQ2046" s="28" t="str">
        <f>HYPERLINK("https://organic.ams.usda.gov/Integrity/Certificate.aspx?cid=1&amp;nopid=9092428401")</f>
        <v>https://organic.ams.usda.gov/Integrity/Certificate.aspx?cid=1&amp;nopid=9092428401</v>
      </c>
    </row>
    <row r="2047">
      <c r="A2047" t="s">
        <v>3</v>
      </c>
      <c r="B2047" s="6" t="s">
        <v>29</v>
      </c>
      <c r="C2047" s="6" t="s">
        <v>95</v>
      </c>
      <c r="D2047" s="6" t="s">
        <v>160</v>
      </c>
      <c r="E2047" s="10" t="s">
        <v>2245</v>
      </c>
      <c r="F2047" s="6" t="s">
        <v>4448</v>
      </c>
      <c r="G2047" s="6" t="s">
        <v>104</v>
      </c>
      <c r="H2047" s="6" t="s">
        <v>6724</v>
      </c>
      <c r="I2047" s="6" t="s">
        <v>104</v>
      </c>
      <c r="J2047" s="6" t="s">
        <v>9575</v>
      </c>
      <c r="K2047" s="6" t="s">
        <v>9714</v>
      </c>
      <c r="L2047" s="16" t="n">
        <v>41625</v>
      </c>
      <c r="M2047" s="16" t="n">
        <v>45778</v>
      </c>
      <c r="N2047" s="6" t="s">
        <v>9714</v>
      </c>
      <c r="O2047" s="16" t="n">
        <v>41625</v>
      </c>
      <c r="P2047" s="6" t="s">
        <v>10240</v>
      </c>
      <c r="Q2047" s="6" t="s">
        <v>104</v>
      </c>
      <c r="R2047" s="6" t="s">
        <v>104</v>
      </c>
      <c r="S2047" s="6" t="s">
        <v>104</v>
      </c>
      <c r="T2047" s="21" t="s">
        <v>104</v>
      </c>
      <c r="U2047" s="6" t="s">
        <v>104</v>
      </c>
      <c r="V2047" s="6" t="s">
        <v>104</v>
      </c>
      <c r="W2047" s="6" t="s">
        <v>104</v>
      </c>
      <c r="X2047" s="6" t="s">
        <v>104</v>
      </c>
      <c r="Y2047" s="21" t="s">
        <v>104</v>
      </c>
      <c r="Z2047" s="6" t="s">
        <v>104</v>
      </c>
      <c r="AA2047" s="6" t="s">
        <v>104</v>
      </c>
      <c r="AB2047" s="6" t="s">
        <v>104</v>
      </c>
      <c r="AC2047" s="6" t="s">
        <v>104</v>
      </c>
      <c r="AD2047" s="21" t="s">
        <v>104</v>
      </c>
      <c r="AE2047" s="6" t="s">
        <v>104</v>
      </c>
      <c r="AF2047" s="6" t="s">
        <v>104</v>
      </c>
      <c r="AG2047" s="6" t="s">
        <v>104</v>
      </c>
      <c r="AH2047" s="6" t="s">
        <v>15031</v>
      </c>
      <c r="AI2047" s="6" t="s">
        <v>15342</v>
      </c>
      <c r="AJ2047" s="6" t="s">
        <v>16573</v>
      </c>
      <c r="AK2047" s="6" t="s">
        <v>16906</v>
      </c>
      <c r="AL2047" s="6" t="s">
        <v>16766</v>
      </c>
      <c r="AM2047" s="6" t="s">
        <v>18321</v>
      </c>
      <c r="AN2047" s="6" t="s">
        <v>104</v>
      </c>
      <c r="AO2047" s="6" t="s">
        <v>104</v>
      </c>
      <c r="AP2047" s="6" t="s">
        <v>104</v>
      </c>
      <c r="AQ2047" s="6" t="s">
        <v>104</v>
      </c>
      <c r="AR2047" s="6" t="s">
        <v>104</v>
      </c>
      <c r="AS2047" s="6" t="s">
        <v>104</v>
      </c>
      <c r="AT2047" s="6" t="s">
        <v>104</v>
      </c>
      <c r="AU2047" s="6" t="s">
        <v>104</v>
      </c>
      <c r="AV2047" s="6" t="s">
        <v>104</v>
      </c>
      <c r="AW2047" s="6" t="s">
        <v>104</v>
      </c>
      <c r="AX2047" s="6" t="s">
        <v>21681</v>
      </c>
      <c r="AY2047" s="6" t="s">
        <v>23514</v>
      </c>
      <c r="AZ2047" s="6" t="s">
        <v>104</v>
      </c>
      <c r="BA2047" s="6" t="s">
        <v>24269</v>
      </c>
      <c r="BB2047" s="24" t="n">
        <v>0</v>
      </c>
      <c r="BC2047" s="26"/>
      <c r="BD2047" s="26"/>
      <c r="BE2047" s="26"/>
      <c r="BF2047" s="26"/>
      <c r="BG2047" s="26"/>
      <c r="BH2047" s="26"/>
      <c r="BI2047" s="26"/>
      <c r="BJ2047" s="26"/>
      <c r="BK2047" s="26"/>
      <c r="BL2047" s="26"/>
      <c r="BM2047" s="26"/>
      <c r="BN2047" s="26"/>
      <c r="BO2047" s="26"/>
      <c r="BP2047" s="16" t="n">
        <v>45680</v>
      </c>
      <c r="BQ2047" s="28" t="str">
        <f>HYPERLINK("https://organic.ams.usda.gov/Integrity/Certificate.aspx?cid=24&amp;nopid=7882230400")</f>
        <v>https://organic.ams.usda.gov/Integrity/Certificate.aspx?cid=24&amp;nopid=7882230400</v>
      </c>
    </row>
    <row r="2048">
      <c r="A2048" t="s">
        <v>3</v>
      </c>
      <c r="B2048" s="6" t="s">
        <v>13</v>
      </c>
      <c r="C2048" s="6" t="s">
        <v>79</v>
      </c>
      <c r="D2048" s="6" t="s">
        <v>144</v>
      </c>
      <c r="E2048" s="10" t="s">
        <v>2246</v>
      </c>
      <c r="F2048" s="6" t="s">
        <v>4449</v>
      </c>
      <c r="G2048" s="6" t="s">
        <v>104</v>
      </c>
      <c r="H2048" s="6" t="s">
        <v>6725</v>
      </c>
      <c r="I2048" s="6" t="s">
        <v>8037</v>
      </c>
      <c r="J2048" s="6" t="s">
        <v>9576</v>
      </c>
      <c r="K2048" s="6" t="s">
        <v>9714</v>
      </c>
      <c r="L2048" s="16" t="n">
        <v>41800</v>
      </c>
      <c r="M2048" s="16" t="n">
        <v>45748</v>
      </c>
      <c r="N2048" s="6" t="s">
        <v>104</v>
      </c>
      <c r="O2048" s="21" t="s">
        <v>104</v>
      </c>
      <c r="P2048" s="6" t="s">
        <v>104</v>
      </c>
      <c r="Q2048" s="6" t="s">
        <v>104</v>
      </c>
      <c r="R2048" s="6" t="s">
        <v>104</v>
      </c>
      <c r="S2048" s="6" t="s">
        <v>104</v>
      </c>
      <c r="T2048" s="21" t="s">
        <v>104</v>
      </c>
      <c r="U2048" s="6" t="s">
        <v>104</v>
      </c>
      <c r="V2048" s="6" t="s">
        <v>104</v>
      </c>
      <c r="W2048" s="6" t="s">
        <v>104</v>
      </c>
      <c r="X2048" s="6" t="s">
        <v>104</v>
      </c>
      <c r="Y2048" s="21" t="s">
        <v>104</v>
      </c>
      <c r="Z2048" s="6" t="s">
        <v>104</v>
      </c>
      <c r="AA2048" s="6" t="s">
        <v>104</v>
      </c>
      <c r="AB2048" s="6" t="s">
        <v>104</v>
      </c>
      <c r="AC2048" s="6" t="s">
        <v>9714</v>
      </c>
      <c r="AD2048" s="16" t="n">
        <v>41800</v>
      </c>
      <c r="AE2048" s="6" t="s">
        <v>12303</v>
      </c>
      <c r="AF2048" s="6" t="s">
        <v>104</v>
      </c>
      <c r="AG2048" s="6" t="s">
        <v>104</v>
      </c>
      <c r="AH2048" s="6" t="s">
        <v>104</v>
      </c>
      <c r="AI2048" s="6" t="s">
        <v>104</v>
      </c>
      <c r="AJ2048" s="6" t="s">
        <v>104</v>
      </c>
      <c r="AK2048" s="6" t="s">
        <v>104</v>
      </c>
      <c r="AL2048" s="6" t="s">
        <v>104</v>
      </c>
      <c r="AM2048" s="6" t="s">
        <v>104</v>
      </c>
      <c r="AN2048" s="6" t="s">
        <v>104</v>
      </c>
      <c r="AO2048" s="6" t="s">
        <v>104</v>
      </c>
      <c r="AP2048" s="6" t="s">
        <v>19484</v>
      </c>
      <c r="AQ2048" s="6" t="s">
        <v>104</v>
      </c>
      <c r="AR2048" s="6" t="s">
        <v>19770</v>
      </c>
      <c r="AS2048" s="6" t="s">
        <v>16687</v>
      </c>
      <c r="AT2048" s="6" t="s">
        <v>16931</v>
      </c>
      <c r="AU2048" s="6" t="s">
        <v>20050</v>
      </c>
      <c r="AV2048" s="6" t="s">
        <v>18494</v>
      </c>
      <c r="AW2048" s="6" t="s">
        <v>18618</v>
      </c>
      <c r="AX2048" s="6" t="s">
        <v>21682</v>
      </c>
      <c r="AY2048" s="6" t="s">
        <v>23515</v>
      </c>
      <c r="AZ2048" s="6" t="s">
        <v>104</v>
      </c>
      <c r="BA2048" s="6" t="s">
        <v>104</v>
      </c>
      <c r="BB2048" s="6" t="s">
        <v>104</v>
      </c>
      <c r="BC2048" s="26"/>
      <c r="BD2048" s="26"/>
      <c r="BE2048" s="26"/>
      <c r="BF2048" s="26"/>
      <c r="BG2048" s="26"/>
      <c r="BH2048" s="26"/>
      <c r="BI2048" s="26"/>
      <c r="BJ2048" s="26"/>
      <c r="BK2048" s="26"/>
      <c r="BL2048" s="26"/>
      <c r="BM2048" s="26"/>
      <c r="BN2048" s="26"/>
      <c r="BO2048" s="26"/>
      <c r="BP2048" s="16" t="n">
        <v>45730</v>
      </c>
      <c r="BQ2048" s="28" t="str">
        <f>HYPERLINK("https://organic.ams.usda.gov/Integrity/Certificate.aspx?cid=62&amp;nopid=8150000392")</f>
        <v>https://organic.ams.usda.gov/Integrity/Certificate.aspx?cid=62&amp;nopid=8150000392</v>
      </c>
    </row>
    <row r="2049">
      <c r="A2049" t="s">
        <v>3</v>
      </c>
      <c r="B2049" s="6" t="s">
        <v>54</v>
      </c>
      <c r="C2049" s="6" t="s">
        <v>120</v>
      </c>
      <c r="D2049" s="6" t="s">
        <v>184</v>
      </c>
      <c r="E2049" s="10" t="s">
        <v>2247</v>
      </c>
      <c r="F2049" s="6" t="s">
        <v>4450</v>
      </c>
      <c r="G2049" s="6" t="s">
        <v>104</v>
      </c>
      <c r="H2049" s="6" t="s">
        <v>6726</v>
      </c>
      <c r="I2049" s="6" t="s">
        <v>6974</v>
      </c>
      <c r="J2049" s="6" t="s">
        <v>9577</v>
      </c>
      <c r="K2049" s="6" t="s">
        <v>9714</v>
      </c>
      <c r="L2049" s="16" t="n">
        <v>40856</v>
      </c>
      <c r="M2049" s="16" t="n">
        <v>45748</v>
      </c>
      <c r="N2049" s="6" t="s">
        <v>104</v>
      </c>
      <c r="O2049" s="21" t="s">
        <v>104</v>
      </c>
      <c r="P2049" s="6" t="s">
        <v>104</v>
      </c>
      <c r="Q2049" s="6" t="s">
        <v>104</v>
      </c>
      <c r="R2049" s="6" t="s">
        <v>104</v>
      </c>
      <c r="S2049" s="6" t="s">
        <v>104</v>
      </c>
      <c r="T2049" s="21" t="s">
        <v>104</v>
      </c>
      <c r="U2049" s="6" t="s">
        <v>104</v>
      </c>
      <c r="V2049" s="6" t="s">
        <v>104</v>
      </c>
      <c r="W2049" s="6" t="s">
        <v>104</v>
      </c>
      <c r="X2049" s="6" t="s">
        <v>104</v>
      </c>
      <c r="Y2049" s="21" t="s">
        <v>104</v>
      </c>
      <c r="Z2049" s="6" t="s">
        <v>104</v>
      </c>
      <c r="AA2049" s="6" t="s">
        <v>104</v>
      </c>
      <c r="AB2049" s="6" t="s">
        <v>104</v>
      </c>
      <c r="AC2049" s="6" t="s">
        <v>9714</v>
      </c>
      <c r="AD2049" s="16" t="n">
        <v>40856</v>
      </c>
      <c r="AE2049" s="6" t="s">
        <v>12304</v>
      </c>
      <c r="AF2049" s="6" t="s">
        <v>104</v>
      </c>
      <c r="AG2049" s="6" t="s">
        <v>104</v>
      </c>
      <c r="AH2049" s="6" t="s">
        <v>15032</v>
      </c>
      <c r="AI2049" s="6" t="s">
        <v>104</v>
      </c>
      <c r="AJ2049" s="6" t="s">
        <v>15825</v>
      </c>
      <c r="AK2049" s="6" t="s">
        <v>16743</v>
      </c>
      <c r="AL2049" s="6" t="s">
        <v>16931</v>
      </c>
      <c r="AM2049" s="6" t="s">
        <v>17459</v>
      </c>
      <c r="AN2049" s="6" t="s">
        <v>5429</v>
      </c>
      <c r="AO2049" s="6" t="s">
        <v>18718</v>
      </c>
      <c r="AP2049" s="6" t="s">
        <v>19485</v>
      </c>
      <c r="AQ2049" s="6" t="s">
        <v>104</v>
      </c>
      <c r="AR2049" s="6" t="s">
        <v>19682</v>
      </c>
      <c r="AS2049" s="6" t="s">
        <v>16743</v>
      </c>
      <c r="AT2049" s="6" t="s">
        <v>16931</v>
      </c>
      <c r="AU2049" s="6" t="s">
        <v>20051</v>
      </c>
      <c r="AV2049" s="6" t="s">
        <v>104</v>
      </c>
      <c r="AW2049" s="6" t="s">
        <v>104</v>
      </c>
      <c r="AX2049" s="6" t="s">
        <v>21683</v>
      </c>
      <c r="AY2049" s="6" t="s">
        <v>23516</v>
      </c>
      <c r="AZ2049" s="6" t="s">
        <v>104</v>
      </c>
      <c r="BA2049" s="6" t="s">
        <v>104</v>
      </c>
      <c r="BB2049" s="6" t="s">
        <v>104</v>
      </c>
      <c r="BC2049" s="26"/>
      <c r="BD2049" s="26"/>
      <c r="BE2049" s="26"/>
      <c r="BF2049" s="26"/>
      <c r="BG2049" s="26"/>
      <c r="BH2049" s="26"/>
      <c r="BI2049" s="26"/>
      <c r="BJ2049" s="26"/>
      <c r="BK2049" s="26"/>
      <c r="BL2049" s="26"/>
      <c r="BM2049" s="26"/>
      <c r="BN2049" s="26" t="s">
        <v>24533</v>
      </c>
      <c r="BO2049" s="26"/>
      <c r="BP2049" s="16" t="n">
        <v>45488</v>
      </c>
      <c r="BQ2049" s="28" t="str">
        <f>HYPERLINK("https://organic.ams.usda.gov/Integrity/Certificate.aspx?cid=60&amp;nopid=2580001095")</f>
        <v>https://organic.ams.usda.gov/Integrity/Certificate.aspx?cid=60&amp;nopid=2580001095</v>
      </c>
    </row>
    <row r="2050">
      <c r="A2050" t="s">
        <v>3</v>
      </c>
      <c r="B2050" s="6" t="s">
        <v>54</v>
      </c>
      <c r="C2050" s="6" t="s">
        <v>120</v>
      </c>
      <c r="D2050" s="6" t="s">
        <v>184</v>
      </c>
      <c r="E2050" s="10" t="s">
        <v>2248</v>
      </c>
      <c r="F2050" s="6" t="s">
        <v>4451</v>
      </c>
      <c r="G2050" s="6" t="s">
        <v>104</v>
      </c>
      <c r="H2050" s="6" t="s">
        <v>6727</v>
      </c>
      <c r="I2050" s="6" t="s">
        <v>7377</v>
      </c>
      <c r="J2050" s="6" t="s">
        <v>9578</v>
      </c>
      <c r="K2050" s="6" t="s">
        <v>9714</v>
      </c>
      <c r="L2050" s="16" t="n">
        <v>45511</v>
      </c>
      <c r="M2050" s="16" t="n">
        <v>45383</v>
      </c>
      <c r="N2050" s="6" t="s">
        <v>104</v>
      </c>
      <c r="O2050" s="21" t="s">
        <v>104</v>
      </c>
      <c r="P2050" s="6" t="s">
        <v>104</v>
      </c>
      <c r="Q2050" s="6" t="s">
        <v>104</v>
      </c>
      <c r="R2050" s="6" t="s">
        <v>104</v>
      </c>
      <c r="S2050" s="6" t="s">
        <v>104</v>
      </c>
      <c r="T2050" s="21" t="s">
        <v>104</v>
      </c>
      <c r="U2050" s="6" t="s">
        <v>104</v>
      </c>
      <c r="V2050" s="6" t="s">
        <v>104</v>
      </c>
      <c r="W2050" s="6" t="s">
        <v>104</v>
      </c>
      <c r="X2050" s="6" t="s">
        <v>104</v>
      </c>
      <c r="Y2050" s="21" t="s">
        <v>104</v>
      </c>
      <c r="Z2050" s="6" t="s">
        <v>104</v>
      </c>
      <c r="AA2050" s="6" t="s">
        <v>104</v>
      </c>
      <c r="AB2050" s="6" t="s">
        <v>104</v>
      </c>
      <c r="AC2050" s="6" t="s">
        <v>9714</v>
      </c>
      <c r="AD2050" s="16" t="n">
        <v>45511</v>
      </c>
      <c r="AE2050" s="6" t="s">
        <v>12305</v>
      </c>
      <c r="AF2050" s="6" t="s">
        <v>104</v>
      </c>
      <c r="AG2050" s="6" t="s">
        <v>104</v>
      </c>
      <c r="AH2050" s="6" t="s">
        <v>15033</v>
      </c>
      <c r="AI2050" s="6" t="s">
        <v>104</v>
      </c>
      <c r="AJ2050" s="6" t="s">
        <v>9114</v>
      </c>
      <c r="AK2050" s="6" t="s">
        <v>16678</v>
      </c>
      <c r="AL2050" s="6" t="s">
        <v>16931</v>
      </c>
      <c r="AM2050" s="6" t="s">
        <v>17387</v>
      </c>
      <c r="AN2050" s="6" t="s">
        <v>104</v>
      </c>
      <c r="AO2050" s="6" t="s">
        <v>104</v>
      </c>
      <c r="AP2050" s="6" t="s">
        <v>19486</v>
      </c>
      <c r="AQ2050" s="6" t="s">
        <v>104</v>
      </c>
      <c r="AR2050" s="6" t="s">
        <v>19771</v>
      </c>
      <c r="AS2050" s="6" t="s">
        <v>16678</v>
      </c>
      <c r="AT2050" s="6" t="s">
        <v>16931</v>
      </c>
      <c r="AU2050" s="6" t="s">
        <v>20052</v>
      </c>
      <c r="AV2050" s="6" t="s">
        <v>104</v>
      </c>
      <c r="AW2050" s="6" t="s">
        <v>104</v>
      </c>
      <c r="AX2050" s="6" t="s">
        <v>104</v>
      </c>
      <c r="AY2050" s="6" t="s">
        <v>23517</v>
      </c>
      <c r="AZ2050" s="6" t="s">
        <v>104</v>
      </c>
      <c r="BA2050" s="6" t="s">
        <v>104</v>
      </c>
      <c r="BB2050" s="6" t="s">
        <v>104</v>
      </c>
      <c r="BC2050" s="26"/>
      <c r="BD2050" s="26"/>
      <c r="BE2050" s="26"/>
      <c r="BF2050" s="26"/>
      <c r="BG2050" s="26" t="s">
        <v>24533</v>
      </c>
      <c r="BH2050" s="26"/>
      <c r="BI2050" s="26"/>
      <c r="BJ2050" s="26"/>
      <c r="BK2050" s="26"/>
      <c r="BL2050" s="26"/>
      <c r="BM2050" s="26"/>
      <c r="BN2050" s="26"/>
      <c r="BO2050" s="26"/>
      <c r="BP2050" s="16" t="n">
        <v>45511</v>
      </c>
      <c r="BQ2050" s="28" t="str">
        <f>HYPERLINK("https://organic.ams.usda.gov/Integrity/Certificate.aspx?cid=60&amp;nopid=2580006837")</f>
        <v>https://organic.ams.usda.gov/Integrity/Certificate.aspx?cid=60&amp;nopid=2580006837</v>
      </c>
    </row>
    <row r="2051">
      <c r="A2051" t="s">
        <v>3</v>
      </c>
      <c r="B2051" s="6" t="s">
        <v>7</v>
      </c>
      <c r="C2051" s="6" t="s">
        <v>73</v>
      </c>
      <c r="D2051" s="6" t="s">
        <v>138</v>
      </c>
      <c r="E2051" s="10" t="s">
        <v>2249</v>
      </c>
      <c r="F2051" s="6" t="s">
        <v>4452</v>
      </c>
      <c r="G2051" s="6" t="s">
        <v>104</v>
      </c>
      <c r="H2051" s="6" t="s">
        <v>6728</v>
      </c>
      <c r="I2051" s="6" t="s">
        <v>7944</v>
      </c>
      <c r="J2051" s="6" t="s">
        <v>9579</v>
      </c>
      <c r="K2051" s="6" t="s">
        <v>9714</v>
      </c>
      <c r="L2051" s="16" t="n">
        <v>44515</v>
      </c>
      <c r="M2051" s="16" t="n">
        <v>45931</v>
      </c>
      <c r="N2051" s="6" t="s">
        <v>104</v>
      </c>
      <c r="O2051" s="21" t="s">
        <v>104</v>
      </c>
      <c r="P2051" s="6" t="s">
        <v>104</v>
      </c>
      <c r="Q2051" s="6" t="s">
        <v>104</v>
      </c>
      <c r="R2051" s="6" t="s">
        <v>104</v>
      </c>
      <c r="S2051" s="6" t="s">
        <v>104</v>
      </c>
      <c r="T2051" s="21" t="s">
        <v>104</v>
      </c>
      <c r="U2051" s="6" t="s">
        <v>104</v>
      </c>
      <c r="V2051" s="6" t="s">
        <v>104</v>
      </c>
      <c r="W2051" s="6" t="s">
        <v>104</v>
      </c>
      <c r="X2051" s="6" t="s">
        <v>104</v>
      </c>
      <c r="Y2051" s="21" t="s">
        <v>104</v>
      </c>
      <c r="Z2051" s="6" t="s">
        <v>104</v>
      </c>
      <c r="AA2051" s="6" t="s">
        <v>104</v>
      </c>
      <c r="AB2051" s="6" t="s">
        <v>104</v>
      </c>
      <c r="AC2051" s="6" t="s">
        <v>9714</v>
      </c>
      <c r="AD2051" s="16" t="n">
        <v>44515</v>
      </c>
      <c r="AE2051" s="6" t="s">
        <v>12306</v>
      </c>
      <c r="AF2051" s="6" t="s">
        <v>104</v>
      </c>
      <c r="AG2051" s="6" t="s">
        <v>104</v>
      </c>
      <c r="AH2051" s="6" t="s">
        <v>15034</v>
      </c>
      <c r="AI2051" s="6" t="s">
        <v>104</v>
      </c>
      <c r="AJ2051" s="6" t="s">
        <v>16278</v>
      </c>
      <c r="AK2051" s="6" t="s">
        <v>16678</v>
      </c>
      <c r="AL2051" s="6" t="s">
        <v>16931</v>
      </c>
      <c r="AM2051" s="6" t="s">
        <v>18322</v>
      </c>
      <c r="AN2051" s="6" t="s">
        <v>18465</v>
      </c>
      <c r="AO2051" s="6" t="s">
        <v>18845</v>
      </c>
      <c r="AP2051" s="6" t="s">
        <v>15034</v>
      </c>
      <c r="AQ2051" s="6" t="s">
        <v>104</v>
      </c>
      <c r="AR2051" s="6" t="s">
        <v>16278</v>
      </c>
      <c r="AS2051" s="6" t="s">
        <v>16678</v>
      </c>
      <c r="AT2051" s="6" t="s">
        <v>16931</v>
      </c>
      <c r="AU2051" s="6" t="s">
        <v>18322</v>
      </c>
      <c r="AV2051" s="6" t="s">
        <v>104</v>
      </c>
      <c r="AW2051" s="6" t="s">
        <v>104</v>
      </c>
      <c r="AX2051" s="6" t="s">
        <v>21684</v>
      </c>
      <c r="AY2051" s="6" t="s">
        <v>23518</v>
      </c>
      <c r="AZ2051" s="6" t="s">
        <v>24207</v>
      </c>
      <c r="BA2051" s="6" t="s">
        <v>104</v>
      </c>
      <c r="BB2051" s="24" t="n">
        <v>0</v>
      </c>
      <c r="BC2051" s="26"/>
      <c r="BD2051" s="26"/>
      <c r="BE2051" s="26"/>
      <c r="BF2051" s="26"/>
      <c r="BG2051" s="26"/>
      <c r="BH2051" s="26"/>
      <c r="BI2051" s="26"/>
      <c r="BJ2051" s="26"/>
      <c r="BK2051" s="26"/>
      <c r="BL2051" s="26"/>
      <c r="BM2051" s="26"/>
      <c r="BN2051" s="26"/>
      <c r="BO2051" s="26"/>
      <c r="BP2051" s="16" t="n">
        <v>45714</v>
      </c>
      <c r="BQ2051" s="28" t="str">
        <f>HYPERLINK("https://organic.ams.usda.gov/Integrity/Certificate.aspx?cid=33&amp;nopid=2170011167")</f>
        <v>https://organic.ams.usda.gov/Integrity/Certificate.aspx?cid=33&amp;nopid=2170011167</v>
      </c>
    </row>
    <row r="2052">
      <c r="A2052" t="s">
        <v>3</v>
      </c>
      <c r="B2052" s="6" t="s">
        <v>21</v>
      </c>
      <c r="C2052" s="6" t="s">
        <v>87</v>
      </c>
      <c r="D2052" s="6" t="s">
        <v>152</v>
      </c>
      <c r="E2052" s="10" t="s">
        <v>2250</v>
      </c>
      <c r="F2052" s="6" t="s">
        <v>4453</v>
      </c>
      <c r="G2052" s="6" t="s">
        <v>104</v>
      </c>
      <c r="H2052" s="6" t="s">
        <v>6729</v>
      </c>
      <c r="I2052" s="6" t="s">
        <v>7636</v>
      </c>
      <c r="J2052" s="6" t="s">
        <v>9580</v>
      </c>
      <c r="K2052" s="6" t="s">
        <v>9714</v>
      </c>
      <c r="L2052" s="16" t="n">
        <v>44018</v>
      </c>
      <c r="M2052" s="16" t="n">
        <v>46023</v>
      </c>
      <c r="N2052" s="6" t="s">
        <v>9714</v>
      </c>
      <c r="O2052" s="16" t="n">
        <v>44018</v>
      </c>
      <c r="P2052" s="6" t="s">
        <v>10241</v>
      </c>
      <c r="Q2052" s="6" t="s">
        <v>104</v>
      </c>
      <c r="R2052" s="6" t="s">
        <v>104</v>
      </c>
      <c r="S2052" s="6" t="s">
        <v>104</v>
      </c>
      <c r="T2052" s="21" t="s">
        <v>104</v>
      </c>
      <c r="U2052" s="6" t="s">
        <v>104</v>
      </c>
      <c r="V2052" s="6" t="s">
        <v>104</v>
      </c>
      <c r="W2052" s="6" t="s">
        <v>104</v>
      </c>
      <c r="X2052" s="6" t="s">
        <v>104</v>
      </c>
      <c r="Y2052" s="21" t="s">
        <v>104</v>
      </c>
      <c r="Z2052" s="6" t="s">
        <v>104</v>
      </c>
      <c r="AA2052" s="6" t="s">
        <v>104</v>
      </c>
      <c r="AB2052" s="6" t="s">
        <v>104</v>
      </c>
      <c r="AC2052" s="6" t="s">
        <v>9714</v>
      </c>
      <c r="AD2052" s="16" t="n">
        <v>44018</v>
      </c>
      <c r="AE2052" s="6" t="s">
        <v>12307</v>
      </c>
      <c r="AF2052" s="6" t="s">
        <v>104</v>
      </c>
      <c r="AG2052" s="6" t="s">
        <v>104</v>
      </c>
      <c r="AH2052" s="6" t="s">
        <v>15035</v>
      </c>
      <c r="AI2052" s="6" t="s">
        <v>104</v>
      </c>
      <c r="AJ2052" s="6" t="s">
        <v>16574</v>
      </c>
      <c r="AK2052" s="6" t="s">
        <v>16687</v>
      </c>
      <c r="AL2052" s="6" t="s">
        <v>16931</v>
      </c>
      <c r="AM2052" s="6" t="s">
        <v>18323</v>
      </c>
      <c r="AN2052" s="6" t="s">
        <v>18473</v>
      </c>
      <c r="AO2052" s="6" t="s">
        <v>18916</v>
      </c>
      <c r="AP2052" s="6" t="s">
        <v>19487</v>
      </c>
      <c r="AQ2052" s="6" t="s">
        <v>104</v>
      </c>
      <c r="AR2052" s="6" t="s">
        <v>16574</v>
      </c>
      <c r="AS2052" s="6" t="s">
        <v>16687</v>
      </c>
      <c r="AT2052" s="6" t="s">
        <v>16931</v>
      </c>
      <c r="AU2052" s="6" t="s">
        <v>18323</v>
      </c>
      <c r="AV2052" s="6" t="s">
        <v>104</v>
      </c>
      <c r="AW2052" s="6" t="s">
        <v>104</v>
      </c>
      <c r="AX2052" s="6" t="s">
        <v>21685</v>
      </c>
      <c r="AY2052" s="6" t="s">
        <v>23519</v>
      </c>
      <c r="AZ2052" s="6" t="s">
        <v>24208</v>
      </c>
      <c r="BA2052" s="6" t="s">
        <v>104</v>
      </c>
      <c r="BB2052" s="24" t="n">
        <v>900</v>
      </c>
      <c r="BC2052" s="26"/>
      <c r="BD2052" s="26"/>
      <c r="BE2052" s="26"/>
      <c r="BF2052" s="26"/>
      <c r="BG2052" s="26"/>
      <c r="BH2052" s="26"/>
      <c r="BI2052" s="26"/>
      <c r="BJ2052" s="26"/>
      <c r="BK2052" s="26"/>
      <c r="BL2052" s="26"/>
      <c r="BM2052" s="26"/>
      <c r="BN2052" s="26"/>
      <c r="BO2052" s="26"/>
      <c r="BP2052" s="16" t="n">
        <v>45667</v>
      </c>
      <c r="BQ2052" s="28" t="str">
        <f>HYPERLINK("https://organic.ams.usda.gov/Integrity/Certificate.aspx?cid=15&amp;nopid=5561006446")</f>
        <v>https://organic.ams.usda.gov/Integrity/Certificate.aspx?cid=15&amp;nopid=5561006446</v>
      </c>
    </row>
    <row r="2053">
      <c r="A2053" t="s">
        <v>3</v>
      </c>
      <c r="B2053" s="6" t="s">
        <v>34</v>
      </c>
      <c r="C2053" s="6" t="s">
        <v>100</v>
      </c>
      <c r="D2053" s="6" t="s">
        <v>165</v>
      </c>
      <c r="E2053" s="10" t="s">
        <v>2251</v>
      </c>
      <c r="F2053" s="6" t="s">
        <v>4454</v>
      </c>
      <c r="G2053" s="6" t="s">
        <v>104</v>
      </c>
      <c r="H2053" s="6" t="s">
        <v>6730</v>
      </c>
      <c r="I2053" s="6" t="s">
        <v>7839</v>
      </c>
      <c r="J2053" s="6" t="s">
        <v>9581</v>
      </c>
      <c r="K2053" s="6" t="s">
        <v>9714</v>
      </c>
      <c r="L2053" s="16" t="n">
        <v>42716</v>
      </c>
      <c r="M2053" s="16" t="n">
        <v>45636</v>
      </c>
      <c r="N2053" s="6" t="s">
        <v>104</v>
      </c>
      <c r="O2053" s="21" t="s">
        <v>104</v>
      </c>
      <c r="P2053" s="6" t="s">
        <v>104</v>
      </c>
      <c r="Q2053" s="6" t="s">
        <v>104</v>
      </c>
      <c r="R2053" s="6" t="s">
        <v>104</v>
      </c>
      <c r="S2053" s="6" t="s">
        <v>104</v>
      </c>
      <c r="T2053" s="21" t="s">
        <v>104</v>
      </c>
      <c r="U2053" s="6" t="s">
        <v>104</v>
      </c>
      <c r="V2053" s="6" t="s">
        <v>104</v>
      </c>
      <c r="W2053" s="6" t="s">
        <v>104</v>
      </c>
      <c r="X2053" s="6" t="s">
        <v>104</v>
      </c>
      <c r="Y2053" s="21" t="s">
        <v>104</v>
      </c>
      <c r="Z2053" s="6" t="s">
        <v>104</v>
      </c>
      <c r="AA2053" s="6" t="s">
        <v>104</v>
      </c>
      <c r="AB2053" s="6" t="s">
        <v>104</v>
      </c>
      <c r="AC2053" s="6" t="s">
        <v>9714</v>
      </c>
      <c r="AD2053" s="16" t="n">
        <v>42716</v>
      </c>
      <c r="AE2053" s="6" t="s">
        <v>12308</v>
      </c>
      <c r="AF2053" s="6" t="s">
        <v>104</v>
      </c>
      <c r="AG2053" s="6" t="s">
        <v>13100</v>
      </c>
      <c r="AH2053" s="6" t="s">
        <v>15036</v>
      </c>
      <c r="AI2053" s="6" t="s">
        <v>104</v>
      </c>
      <c r="AJ2053" s="6" t="s">
        <v>16575</v>
      </c>
      <c r="AK2053" s="6" t="s">
        <v>16730</v>
      </c>
      <c r="AL2053" s="6" t="s">
        <v>16931</v>
      </c>
      <c r="AM2053" s="6" t="s">
        <v>18324</v>
      </c>
      <c r="AN2053" s="6" t="s">
        <v>18463</v>
      </c>
      <c r="AO2053" s="6" t="s">
        <v>18596</v>
      </c>
      <c r="AP2053" s="6" t="s">
        <v>19488</v>
      </c>
      <c r="AQ2053" s="6" t="s">
        <v>104</v>
      </c>
      <c r="AR2053" s="6" t="s">
        <v>16575</v>
      </c>
      <c r="AS2053" s="6" t="s">
        <v>16730</v>
      </c>
      <c r="AT2053" s="6" t="s">
        <v>16931</v>
      </c>
      <c r="AU2053" s="6" t="s">
        <v>18324</v>
      </c>
      <c r="AV2053" s="6" t="s">
        <v>104</v>
      </c>
      <c r="AW2053" s="6" t="s">
        <v>104</v>
      </c>
      <c r="AX2053" s="6" t="s">
        <v>21686</v>
      </c>
      <c r="AY2053" s="6" t="s">
        <v>104</v>
      </c>
      <c r="AZ2053" s="6" t="s">
        <v>104</v>
      </c>
      <c r="BA2053" s="6" t="s">
        <v>104</v>
      </c>
      <c r="BB2053" s="6" t="s">
        <v>104</v>
      </c>
      <c r="BC2053" s="26"/>
      <c r="BD2053" s="26"/>
      <c r="BE2053" s="26" t="s">
        <v>24533</v>
      </c>
      <c r="BF2053" s="26"/>
      <c r="BG2053" s="26"/>
      <c r="BH2053" s="26"/>
      <c r="BI2053" s="26"/>
      <c r="BJ2053" s="26"/>
      <c r="BK2053" s="26"/>
      <c r="BL2053" s="26"/>
      <c r="BM2053" s="26"/>
      <c r="BN2053" s="26"/>
      <c r="BO2053" s="26"/>
      <c r="BP2053" s="16" t="n">
        <v>45737</v>
      </c>
      <c r="BQ2053" s="28" t="str">
        <f>HYPERLINK("https://organic.ams.usda.gov/Integrity/Certificate.aspx?cid=71&amp;nopid=5520031212")</f>
        <v>https://organic.ams.usda.gov/Integrity/Certificate.aspx?cid=71&amp;nopid=5520031212</v>
      </c>
    </row>
    <row r="2054">
      <c r="A2054" t="s">
        <v>3</v>
      </c>
      <c r="B2054" s="6" t="s">
        <v>36</v>
      </c>
      <c r="C2054" s="6" t="s">
        <v>102</v>
      </c>
      <c r="D2054" s="6" t="s">
        <v>167</v>
      </c>
      <c r="E2054" s="10" t="s">
        <v>2252</v>
      </c>
      <c r="F2054" s="6" t="s">
        <v>4455</v>
      </c>
      <c r="G2054" s="6" t="s">
        <v>104</v>
      </c>
      <c r="H2054" s="6" t="s">
        <v>6731</v>
      </c>
      <c r="I2054" s="6" t="s">
        <v>8038</v>
      </c>
      <c r="J2054" s="6" t="s">
        <v>9582</v>
      </c>
      <c r="K2054" s="6" t="s">
        <v>9714</v>
      </c>
      <c r="L2054" s="16" t="n">
        <v>41502</v>
      </c>
      <c r="M2054" s="16" t="n">
        <v>45808</v>
      </c>
      <c r="N2054" s="6" t="s">
        <v>104</v>
      </c>
      <c r="O2054" s="21" t="s">
        <v>104</v>
      </c>
      <c r="P2054" s="6" t="s">
        <v>104</v>
      </c>
      <c r="Q2054" s="6" t="s">
        <v>104</v>
      </c>
      <c r="R2054" s="6" t="s">
        <v>104</v>
      </c>
      <c r="S2054" s="6" t="s">
        <v>104</v>
      </c>
      <c r="T2054" s="21" t="s">
        <v>104</v>
      </c>
      <c r="U2054" s="6" t="s">
        <v>104</v>
      </c>
      <c r="V2054" s="6" t="s">
        <v>104</v>
      </c>
      <c r="W2054" s="6" t="s">
        <v>104</v>
      </c>
      <c r="X2054" s="6" t="s">
        <v>104</v>
      </c>
      <c r="Y2054" s="21" t="s">
        <v>104</v>
      </c>
      <c r="Z2054" s="6" t="s">
        <v>104</v>
      </c>
      <c r="AA2054" s="6" t="s">
        <v>104</v>
      </c>
      <c r="AB2054" s="6" t="s">
        <v>104</v>
      </c>
      <c r="AC2054" s="6" t="s">
        <v>9714</v>
      </c>
      <c r="AD2054" s="16" t="n">
        <v>41502</v>
      </c>
      <c r="AE2054" s="6" t="s">
        <v>12309</v>
      </c>
      <c r="AF2054" s="6" t="s">
        <v>104</v>
      </c>
      <c r="AG2054" s="6" t="s">
        <v>104</v>
      </c>
      <c r="AH2054" s="6" t="s">
        <v>15037</v>
      </c>
      <c r="AI2054" s="6" t="s">
        <v>104</v>
      </c>
      <c r="AJ2054" s="6" t="s">
        <v>15415</v>
      </c>
      <c r="AK2054" s="6" t="s">
        <v>16705</v>
      </c>
      <c r="AL2054" s="6" t="s">
        <v>16931</v>
      </c>
      <c r="AM2054" s="6" t="s">
        <v>18325</v>
      </c>
      <c r="AN2054" s="6" t="s">
        <v>17550</v>
      </c>
      <c r="AO2054" s="6" t="s">
        <v>18702</v>
      </c>
      <c r="AP2054" s="6" t="s">
        <v>19489</v>
      </c>
      <c r="AQ2054" s="6" t="s">
        <v>104</v>
      </c>
      <c r="AR2054" s="6" t="s">
        <v>15415</v>
      </c>
      <c r="AS2054" s="6" t="s">
        <v>16705</v>
      </c>
      <c r="AT2054" s="6" t="s">
        <v>16931</v>
      </c>
      <c r="AU2054" s="6" t="s">
        <v>18325</v>
      </c>
      <c r="AV2054" s="6" t="s">
        <v>104</v>
      </c>
      <c r="AW2054" s="6" t="s">
        <v>104</v>
      </c>
      <c r="AX2054" s="6" t="s">
        <v>21687</v>
      </c>
      <c r="AY2054" s="6" t="s">
        <v>23520</v>
      </c>
      <c r="AZ2054" s="6" t="s">
        <v>104</v>
      </c>
      <c r="BA2054" s="6" t="s">
        <v>104</v>
      </c>
      <c r="BB2054" s="6" t="s">
        <v>104</v>
      </c>
      <c r="BC2054" s="26"/>
      <c r="BD2054" s="26"/>
      <c r="BE2054" s="26"/>
      <c r="BF2054" s="26"/>
      <c r="BG2054" s="26"/>
      <c r="BH2054" s="26"/>
      <c r="BI2054" s="26"/>
      <c r="BJ2054" s="26"/>
      <c r="BK2054" s="26"/>
      <c r="BL2054" s="26"/>
      <c r="BM2054" s="26"/>
      <c r="BN2054" s="26"/>
      <c r="BO2054" s="26"/>
      <c r="BP2054" s="16" t="n">
        <v>45729</v>
      </c>
      <c r="BQ2054" s="28" t="str">
        <f>HYPERLINK("https://organic.ams.usda.gov/Integrity/Certificate.aspx?cid=61&amp;nopid=7270000892")</f>
        <v>https://organic.ams.usda.gov/Integrity/Certificate.aspx?cid=61&amp;nopid=7270000892</v>
      </c>
    </row>
    <row r="2055">
      <c r="A2055" t="s">
        <v>3</v>
      </c>
      <c r="B2055" s="6" t="s">
        <v>50</v>
      </c>
      <c r="C2055" s="6" t="s">
        <v>116</v>
      </c>
      <c r="D2055" s="6" t="s">
        <v>180</v>
      </c>
      <c r="E2055" s="10" t="s">
        <v>2253</v>
      </c>
      <c r="F2055" s="6" t="s">
        <v>4456</v>
      </c>
      <c r="G2055" s="6" t="s">
        <v>4874</v>
      </c>
      <c r="H2055" s="6" t="s">
        <v>6732</v>
      </c>
      <c r="I2055" s="6" t="s">
        <v>7416</v>
      </c>
      <c r="J2055" s="6" t="s">
        <v>9583</v>
      </c>
      <c r="K2055" s="6" t="s">
        <v>9714</v>
      </c>
      <c r="L2055" s="16" t="n">
        <v>41101</v>
      </c>
      <c r="M2055" s="16" t="n">
        <v>46054</v>
      </c>
      <c r="N2055" s="6" t="s">
        <v>104</v>
      </c>
      <c r="O2055" s="21" t="s">
        <v>104</v>
      </c>
      <c r="P2055" s="6" t="s">
        <v>104</v>
      </c>
      <c r="Q2055" s="6" t="s">
        <v>104</v>
      </c>
      <c r="R2055" s="6" t="s">
        <v>104</v>
      </c>
      <c r="S2055" s="6" t="s">
        <v>104</v>
      </c>
      <c r="T2055" s="21" t="s">
        <v>104</v>
      </c>
      <c r="U2055" s="6" t="s">
        <v>104</v>
      </c>
      <c r="V2055" s="6" t="s">
        <v>104</v>
      </c>
      <c r="W2055" s="6" t="s">
        <v>104</v>
      </c>
      <c r="X2055" s="6" t="s">
        <v>104</v>
      </c>
      <c r="Y2055" s="21" t="s">
        <v>104</v>
      </c>
      <c r="Z2055" s="6" t="s">
        <v>104</v>
      </c>
      <c r="AA2055" s="6" t="s">
        <v>104</v>
      </c>
      <c r="AB2055" s="6" t="s">
        <v>104</v>
      </c>
      <c r="AC2055" s="6" t="s">
        <v>9714</v>
      </c>
      <c r="AD2055" s="16" t="n">
        <v>41101</v>
      </c>
      <c r="AE2055" s="6" t="s">
        <v>12310</v>
      </c>
      <c r="AF2055" s="6" t="s">
        <v>104</v>
      </c>
      <c r="AG2055" s="6" t="s">
        <v>6732</v>
      </c>
      <c r="AH2055" s="6" t="s">
        <v>15038</v>
      </c>
      <c r="AI2055" s="6" t="s">
        <v>104</v>
      </c>
      <c r="AJ2055" s="6" t="s">
        <v>16576</v>
      </c>
      <c r="AK2055" s="6" t="s">
        <v>16745</v>
      </c>
      <c r="AL2055" s="6" t="s">
        <v>16931</v>
      </c>
      <c r="AM2055" s="6" t="s">
        <v>18326</v>
      </c>
      <c r="AN2055" s="6" t="s">
        <v>18459</v>
      </c>
      <c r="AO2055" s="6" t="s">
        <v>18616</v>
      </c>
      <c r="AP2055" s="6" t="s">
        <v>15038</v>
      </c>
      <c r="AQ2055" s="6" t="s">
        <v>104</v>
      </c>
      <c r="AR2055" s="6" t="s">
        <v>16576</v>
      </c>
      <c r="AS2055" s="6" t="s">
        <v>16745</v>
      </c>
      <c r="AT2055" s="6" t="s">
        <v>16931</v>
      </c>
      <c r="AU2055" s="6" t="s">
        <v>18326</v>
      </c>
      <c r="AV2055" s="6" t="s">
        <v>104</v>
      </c>
      <c r="AW2055" s="6" t="s">
        <v>104</v>
      </c>
      <c r="AX2055" s="6" t="s">
        <v>21688</v>
      </c>
      <c r="AY2055" s="6" t="s">
        <v>23521</v>
      </c>
      <c r="AZ2055" s="6" t="s">
        <v>24209</v>
      </c>
      <c r="BA2055" s="6" t="s">
        <v>104</v>
      </c>
      <c r="BB2055" s="24" t="n">
        <v>0</v>
      </c>
      <c r="BC2055" s="26"/>
      <c r="BD2055" s="26"/>
      <c r="BE2055" s="26"/>
      <c r="BF2055" s="26"/>
      <c r="BG2055" s="26"/>
      <c r="BH2055" s="26"/>
      <c r="BI2055" s="26"/>
      <c r="BJ2055" s="26"/>
      <c r="BK2055" s="26"/>
      <c r="BL2055" s="26"/>
      <c r="BM2055" s="26"/>
      <c r="BN2055" s="26"/>
      <c r="BO2055" s="26"/>
      <c r="BP2055" s="16" t="n">
        <v>45699</v>
      </c>
      <c r="BQ2055" s="28" t="str">
        <f>HYPERLINK("https://organic.ams.usda.gov/Integrity/Certificate.aspx?cid=80&amp;nopid=5090311601")</f>
        <v>https://organic.ams.usda.gov/Integrity/Certificate.aspx?cid=80&amp;nopid=5090311601</v>
      </c>
    </row>
    <row r="2056">
      <c r="A2056" t="s">
        <v>3</v>
      </c>
      <c r="B2056" s="6" t="s">
        <v>15</v>
      </c>
      <c r="C2056" s="6" t="s">
        <v>81</v>
      </c>
      <c r="D2056" s="6" t="s">
        <v>146</v>
      </c>
      <c r="E2056" s="10" t="s">
        <v>2254</v>
      </c>
      <c r="F2056" s="6" t="s">
        <v>4457</v>
      </c>
      <c r="G2056" s="6" t="s">
        <v>104</v>
      </c>
      <c r="H2056" s="6" t="s">
        <v>6733</v>
      </c>
      <c r="I2056" s="6" t="s">
        <v>104</v>
      </c>
      <c r="J2056" s="6" t="s">
        <v>104</v>
      </c>
      <c r="K2056" s="6" t="s">
        <v>9714</v>
      </c>
      <c r="L2056" s="16" t="n">
        <v>43525</v>
      </c>
      <c r="M2056" s="16" t="n">
        <v>45748</v>
      </c>
      <c r="N2056" s="6" t="s">
        <v>104</v>
      </c>
      <c r="O2056" s="21" t="s">
        <v>104</v>
      </c>
      <c r="P2056" s="6" t="s">
        <v>104</v>
      </c>
      <c r="Q2056" s="6" t="s">
        <v>104</v>
      </c>
      <c r="R2056" s="6" t="s">
        <v>104</v>
      </c>
      <c r="S2056" s="6" t="s">
        <v>104</v>
      </c>
      <c r="T2056" s="21" t="s">
        <v>104</v>
      </c>
      <c r="U2056" s="6" t="s">
        <v>104</v>
      </c>
      <c r="V2056" s="6" t="s">
        <v>104</v>
      </c>
      <c r="W2056" s="6" t="s">
        <v>104</v>
      </c>
      <c r="X2056" s="6" t="s">
        <v>104</v>
      </c>
      <c r="Y2056" s="21" t="s">
        <v>104</v>
      </c>
      <c r="Z2056" s="6" t="s">
        <v>104</v>
      </c>
      <c r="AA2056" s="6" t="s">
        <v>104</v>
      </c>
      <c r="AB2056" s="6" t="s">
        <v>104</v>
      </c>
      <c r="AC2056" s="6" t="s">
        <v>9714</v>
      </c>
      <c r="AD2056" s="16" t="n">
        <v>43525</v>
      </c>
      <c r="AE2056" s="6" t="s">
        <v>12311</v>
      </c>
      <c r="AF2056" s="6" t="s">
        <v>104</v>
      </c>
      <c r="AG2056" s="6" t="s">
        <v>13101</v>
      </c>
      <c r="AH2056" s="6" t="s">
        <v>15039</v>
      </c>
      <c r="AI2056" s="6" t="s">
        <v>104</v>
      </c>
      <c r="AJ2056" s="6" t="s">
        <v>16577</v>
      </c>
      <c r="AK2056" s="6" t="s">
        <v>16683</v>
      </c>
      <c r="AL2056" s="6" t="s">
        <v>16931</v>
      </c>
      <c r="AM2056" s="6" t="s">
        <v>18327</v>
      </c>
      <c r="AN2056" s="6" t="s">
        <v>18489</v>
      </c>
      <c r="AO2056" s="6" t="s">
        <v>18917</v>
      </c>
      <c r="AP2056" s="6" t="s">
        <v>19490</v>
      </c>
      <c r="AQ2056" s="6" t="s">
        <v>104</v>
      </c>
      <c r="AR2056" s="6" t="s">
        <v>16577</v>
      </c>
      <c r="AS2056" s="6" t="s">
        <v>16683</v>
      </c>
      <c r="AT2056" s="6" t="s">
        <v>16931</v>
      </c>
      <c r="AU2056" s="6" t="s">
        <v>18327</v>
      </c>
      <c r="AV2056" s="6" t="s">
        <v>104</v>
      </c>
      <c r="AW2056" s="6" t="s">
        <v>104</v>
      </c>
      <c r="AX2056" s="6" t="s">
        <v>21689</v>
      </c>
      <c r="AY2056" s="6" t="s">
        <v>23522</v>
      </c>
      <c r="AZ2056" s="6" t="s">
        <v>104</v>
      </c>
      <c r="BA2056" s="6" t="s">
        <v>24441</v>
      </c>
      <c r="BB2056" s="6" t="s">
        <v>104</v>
      </c>
      <c r="BC2056" s="26"/>
      <c r="BD2056" s="26"/>
      <c r="BE2056" s="26"/>
      <c r="BF2056" s="26"/>
      <c r="BG2056" s="26"/>
      <c r="BH2056" s="26"/>
      <c r="BI2056" s="26"/>
      <c r="BJ2056" s="26"/>
      <c r="BK2056" s="26"/>
      <c r="BL2056" s="26"/>
      <c r="BM2056" s="26"/>
      <c r="BN2056" s="26"/>
      <c r="BO2056" s="26"/>
      <c r="BP2056" s="16" t="n">
        <v>45738</v>
      </c>
      <c r="BQ2056" s="28" t="str">
        <f>HYPERLINK("https://organic.ams.usda.gov/Integrity/Certificate.aspx?cid=52&amp;nopid=8431901586")</f>
        <v>https://organic.ams.usda.gov/Integrity/Certificate.aspx?cid=52&amp;nopid=8431901586</v>
      </c>
    </row>
    <row r="2057">
      <c r="A2057" t="s">
        <v>3</v>
      </c>
      <c r="B2057" s="6" t="s">
        <v>6</v>
      </c>
      <c r="C2057" s="6" t="s">
        <v>72</v>
      </c>
      <c r="D2057" s="6" t="s">
        <v>137</v>
      </c>
      <c r="E2057" s="10" t="s">
        <v>2255</v>
      </c>
      <c r="F2057" s="6" t="s">
        <v>4458</v>
      </c>
      <c r="G2057" s="6" t="s">
        <v>104</v>
      </c>
      <c r="H2057" s="6" t="s">
        <v>6734</v>
      </c>
      <c r="I2057" s="6" t="s">
        <v>7278</v>
      </c>
      <c r="J2057" s="6" t="s">
        <v>9447</v>
      </c>
      <c r="K2057" s="6" t="s">
        <v>9714</v>
      </c>
      <c r="L2057" s="16" t="n">
        <v>45363</v>
      </c>
      <c r="M2057" s="16" t="n">
        <v>45693</v>
      </c>
      <c r="N2057" s="6" t="s">
        <v>104</v>
      </c>
      <c r="O2057" s="21" t="s">
        <v>104</v>
      </c>
      <c r="P2057" s="6" t="s">
        <v>104</v>
      </c>
      <c r="Q2057" s="6" t="s">
        <v>104</v>
      </c>
      <c r="R2057" s="6" t="s">
        <v>104</v>
      </c>
      <c r="S2057" s="6" t="s">
        <v>104</v>
      </c>
      <c r="T2057" s="21" t="s">
        <v>104</v>
      </c>
      <c r="U2057" s="6" t="s">
        <v>104</v>
      </c>
      <c r="V2057" s="6" t="s">
        <v>104</v>
      </c>
      <c r="W2057" s="6" t="s">
        <v>104</v>
      </c>
      <c r="X2057" s="6" t="s">
        <v>104</v>
      </c>
      <c r="Y2057" s="21" t="s">
        <v>104</v>
      </c>
      <c r="Z2057" s="6" t="s">
        <v>104</v>
      </c>
      <c r="AA2057" s="6" t="s">
        <v>104</v>
      </c>
      <c r="AB2057" s="6" t="s">
        <v>104</v>
      </c>
      <c r="AC2057" s="6" t="s">
        <v>9714</v>
      </c>
      <c r="AD2057" s="16" t="n">
        <v>45363</v>
      </c>
      <c r="AE2057" s="6" t="s">
        <v>12312</v>
      </c>
      <c r="AF2057" s="6" t="s">
        <v>104</v>
      </c>
      <c r="AG2057" s="6" t="s">
        <v>104</v>
      </c>
      <c r="AH2057" s="6" t="s">
        <v>15040</v>
      </c>
      <c r="AI2057" s="6" t="s">
        <v>104</v>
      </c>
      <c r="AJ2057" s="6" t="s">
        <v>15645</v>
      </c>
      <c r="AK2057" s="6" t="s">
        <v>104</v>
      </c>
      <c r="AL2057" s="6" t="s">
        <v>16766</v>
      </c>
      <c r="AM2057" s="6" t="s">
        <v>104</v>
      </c>
      <c r="AN2057" s="6" t="s">
        <v>104</v>
      </c>
      <c r="AO2057" s="6" t="s">
        <v>104</v>
      </c>
      <c r="AP2057" s="6" t="s">
        <v>104</v>
      </c>
      <c r="AQ2057" s="6" t="s">
        <v>104</v>
      </c>
      <c r="AR2057" s="6" t="s">
        <v>104</v>
      </c>
      <c r="AS2057" s="6" t="s">
        <v>104</v>
      </c>
      <c r="AT2057" s="6" t="s">
        <v>104</v>
      </c>
      <c r="AU2057" s="6" t="s">
        <v>104</v>
      </c>
      <c r="AV2057" s="6" t="s">
        <v>104</v>
      </c>
      <c r="AW2057" s="6" t="s">
        <v>104</v>
      </c>
      <c r="AX2057" s="6" t="s">
        <v>104</v>
      </c>
      <c r="AY2057" s="6" t="s">
        <v>23523</v>
      </c>
      <c r="AZ2057" s="6" t="s">
        <v>104</v>
      </c>
      <c r="BA2057" s="6" t="s">
        <v>24258</v>
      </c>
      <c r="BB2057" s="6" t="s">
        <v>104</v>
      </c>
      <c r="BC2057" s="26"/>
      <c r="BD2057" s="26"/>
      <c r="BE2057" s="26"/>
      <c r="BF2057" s="26"/>
      <c r="BG2057" s="26"/>
      <c r="BH2057" s="26"/>
      <c r="BI2057" s="26"/>
      <c r="BJ2057" s="26"/>
      <c r="BK2057" s="26"/>
      <c r="BL2057" s="26"/>
      <c r="BM2057" s="26"/>
      <c r="BN2057" s="26"/>
      <c r="BO2057" s="26"/>
      <c r="BP2057" s="16" t="n">
        <v>45737</v>
      </c>
      <c r="BQ2057" s="28" t="str">
        <f>HYPERLINK("https://organic.ams.usda.gov/Integrity/Certificate.aspx?cid=32&amp;nopid=2230010863")</f>
        <v>https://organic.ams.usda.gov/Integrity/Certificate.aspx?cid=32&amp;nopid=2230010863</v>
      </c>
    </row>
    <row r="2058">
      <c r="A2058" t="s">
        <v>3</v>
      </c>
      <c r="B2058" s="6" t="s">
        <v>6</v>
      </c>
      <c r="C2058" s="6" t="s">
        <v>72</v>
      </c>
      <c r="D2058" s="6" t="s">
        <v>137</v>
      </c>
      <c r="E2058" s="10" t="s">
        <v>2256</v>
      </c>
      <c r="F2058" s="6" t="s">
        <v>4459</v>
      </c>
      <c r="G2058" s="6" t="s">
        <v>104</v>
      </c>
      <c r="H2058" s="6" t="s">
        <v>6735</v>
      </c>
      <c r="I2058" s="6" t="s">
        <v>7282</v>
      </c>
      <c r="J2058" s="6" t="s">
        <v>9584</v>
      </c>
      <c r="K2058" s="6" t="s">
        <v>9714</v>
      </c>
      <c r="L2058" s="16" t="n">
        <v>43300</v>
      </c>
      <c r="M2058" s="16" t="n">
        <v>45800</v>
      </c>
      <c r="N2058" s="6" t="s">
        <v>104</v>
      </c>
      <c r="O2058" s="21" t="s">
        <v>104</v>
      </c>
      <c r="P2058" s="6" t="s">
        <v>104</v>
      </c>
      <c r="Q2058" s="6" t="s">
        <v>104</v>
      </c>
      <c r="R2058" s="6" t="s">
        <v>104</v>
      </c>
      <c r="S2058" s="6" t="s">
        <v>104</v>
      </c>
      <c r="T2058" s="21" t="s">
        <v>104</v>
      </c>
      <c r="U2058" s="6" t="s">
        <v>104</v>
      </c>
      <c r="V2058" s="6" t="s">
        <v>104</v>
      </c>
      <c r="W2058" s="6" t="s">
        <v>104</v>
      </c>
      <c r="X2058" s="6" t="s">
        <v>104</v>
      </c>
      <c r="Y2058" s="21" t="s">
        <v>104</v>
      </c>
      <c r="Z2058" s="6" t="s">
        <v>104</v>
      </c>
      <c r="AA2058" s="6" t="s">
        <v>104</v>
      </c>
      <c r="AB2058" s="6" t="s">
        <v>104</v>
      </c>
      <c r="AC2058" s="6" t="s">
        <v>9714</v>
      </c>
      <c r="AD2058" s="16" t="n">
        <v>43300</v>
      </c>
      <c r="AE2058" s="6" t="s">
        <v>12313</v>
      </c>
      <c r="AF2058" s="6" t="s">
        <v>104</v>
      </c>
      <c r="AG2058" s="6" t="s">
        <v>13102</v>
      </c>
      <c r="AH2058" s="6" t="s">
        <v>15041</v>
      </c>
      <c r="AI2058" s="6" t="s">
        <v>104</v>
      </c>
      <c r="AJ2058" s="6" t="s">
        <v>15491</v>
      </c>
      <c r="AK2058" s="6" t="s">
        <v>16779</v>
      </c>
      <c r="AL2058" s="6" t="s">
        <v>16766</v>
      </c>
      <c r="AM2058" s="6" t="s">
        <v>104</v>
      </c>
      <c r="AN2058" s="6" t="s">
        <v>104</v>
      </c>
      <c r="AO2058" s="6" t="s">
        <v>104</v>
      </c>
      <c r="AP2058" s="6" t="s">
        <v>104</v>
      </c>
      <c r="AQ2058" s="6" t="s">
        <v>104</v>
      </c>
      <c r="AR2058" s="6" t="s">
        <v>104</v>
      </c>
      <c r="AS2058" s="6" t="s">
        <v>104</v>
      </c>
      <c r="AT2058" s="6" t="s">
        <v>104</v>
      </c>
      <c r="AU2058" s="6" t="s">
        <v>104</v>
      </c>
      <c r="AV2058" s="6" t="s">
        <v>104</v>
      </c>
      <c r="AW2058" s="6" t="s">
        <v>104</v>
      </c>
      <c r="AX2058" s="6" t="s">
        <v>104</v>
      </c>
      <c r="AY2058" s="6" t="s">
        <v>23524</v>
      </c>
      <c r="AZ2058" s="6" t="s">
        <v>104</v>
      </c>
      <c r="BA2058" s="6" t="s">
        <v>104</v>
      </c>
      <c r="BB2058" s="6" t="s">
        <v>104</v>
      </c>
      <c r="BC2058" s="26"/>
      <c r="BD2058" s="26"/>
      <c r="BE2058" s="26"/>
      <c r="BF2058" s="26"/>
      <c r="BG2058" s="26"/>
      <c r="BH2058" s="26"/>
      <c r="BI2058" s="26"/>
      <c r="BJ2058" s="26"/>
      <c r="BK2058" s="26"/>
      <c r="BL2058" s="26"/>
      <c r="BM2058" s="26"/>
      <c r="BN2058" s="26"/>
      <c r="BO2058" s="26"/>
      <c r="BP2058" s="16" t="n">
        <v>45737</v>
      </c>
      <c r="BQ2058" s="28" t="str">
        <f>HYPERLINK("https://organic.ams.usda.gov/Integrity/Certificate.aspx?cid=32&amp;nopid=2230005741")</f>
        <v>https://organic.ams.usda.gov/Integrity/Certificate.aspx?cid=32&amp;nopid=2230005741</v>
      </c>
    </row>
    <row r="2059">
      <c r="A2059" t="s">
        <v>3</v>
      </c>
      <c r="B2059" s="6" t="s">
        <v>6</v>
      </c>
      <c r="C2059" s="6" t="s">
        <v>72</v>
      </c>
      <c r="D2059" s="6" t="s">
        <v>137</v>
      </c>
      <c r="E2059" s="10" t="s">
        <v>2257</v>
      </c>
      <c r="F2059" s="6" t="s">
        <v>4460</v>
      </c>
      <c r="G2059" s="6" t="s">
        <v>104</v>
      </c>
      <c r="H2059" s="6" t="s">
        <v>6736</v>
      </c>
      <c r="I2059" s="6" t="s">
        <v>7282</v>
      </c>
      <c r="J2059" s="6" t="s">
        <v>9584</v>
      </c>
      <c r="K2059" s="6" t="s">
        <v>9714</v>
      </c>
      <c r="L2059" s="16" t="n">
        <v>43300</v>
      </c>
      <c r="M2059" s="16" t="n">
        <v>45801</v>
      </c>
      <c r="N2059" s="6" t="s">
        <v>104</v>
      </c>
      <c r="O2059" s="21" t="s">
        <v>104</v>
      </c>
      <c r="P2059" s="6" t="s">
        <v>104</v>
      </c>
      <c r="Q2059" s="6" t="s">
        <v>104</v>
      </c>
      <c r="R2059" s="6" t="s">
        <v>104</v>
      </c>
      <c r="S2059" s="6" t="s">
        <v>104</v>
      </c>
      <c r="T2059" s="21" t="s">
        <v>104</v>
      </c>
      <c r="U2059" s="6" t="s">
        <v>104</v>
      </c>
      <c r="V2059" s="6" t="s">
        <v>104</v>
      </c>
      <c r="W2059" s="6" t="s">
        <v>104</v>
      </c>
      <c r="X2059" s="6" t="s">
        <v>104</v>
      </c>
      <c r="Y2059" s="21" t="s">
        <v>104</v>
      </c>
      <c r="Z2059" s="6" t="s">
        <v>104</v>
      </c>
      <c r="AA2059" s="6" t="s">
        <v>104</v>
      </c>
      <c r="AB2059" s="6" t="s">
        <v>104</v>
      </c>
      <c r="AC2059" s="6" t="s">
        <v>9714</v>
      </c>
      <c r="AD2059" s="16" t="n">
        <v>43300</v>
      </c>
      <c r="AE2059" s="6" t="s">
        <v>12314</v>
      </c>
      <c r="AF2059" s="6" t="s">
        <v>104</v>
      </c>
      <c r="AG2059" s="6" t="s">
        <v>13103</v>
      </c>
      <c r="AH2059" s="6" t="s">
        <v>15042</v>
      </c>
      <c r="AI2059" s="6" t="s">
        <v>104</v>
      </c>
      <c r="AJ2059" s="6" t="s">
        <v>16578</v>
      </c>
      <c r="AK2059" s="6" t="s">
        <v>104</v>
      </c>
      <c r="AL2059" s="6" t="s">
        <v>16766</v>
      </c>
      <c r="AM2059" s="6" t="s">
        <v>18328</v>
      </c>
      <c r="AN2059" s="6" t="s">
        <v>104</v>
      </c>
      <c r="AO2059" s="6" t="s">
        <v>104</v>
      </c>
      <c r="AP2059" s="6" t="s">
        <v>104</v>
      </c>
      <c r="AQ2059" s="6" t="s">
        <v>104</v>
      </c>
      <c r="AR2059" s="6" t="s">
        <v>104</v>
      </c>
      <c r="AS2059" s="6" t="s">
        <v>104</v>
      </c>
      <c r="AT2059" s="6" t="s">
        <v>104</v>
      </c>
      <c r="AU2059" s="6" t="s">
        <v>104</v>
      </c>
      <c r="AV2059" s="6" t="s">
        <v>104</v>
      </c>
      <c r="AW2059" s="6" t="s">
        <v>104</v>
      </c>
      <c r="AX2059" s="6" t="s">
        <v>104</v>
      </c>
      <c r="AY2059" s="6" t="s">
        <v>23524</v>
      </c>
      <c r="AZ2059" s="6" t="s">
        <v>104</v>
      </c>
      <c r="BA2059" s="6" t="s">
        <v>104</v>
      </c>
      <c r="BB2059" s="6" t="s">
        <v>104</v>
      </c>
      <c r="BC2059" s="26"/>
      <c r="BD2059" s="26"/>
      <c r="BE2059" s="26"/>
      <c r="BF2059" s="26"/>
      <c r="BG2059" s="26"/>
      <c r="BH2059" s="26"/>
      <c r="BI2059" s="26"/>
      <c r="BJ2059" s="26"/>
      <c r="BK2059" s="26"/>
      <c r="BL2059" s="26"/>
      <c r="BM2059" s="26"/>
      <c r="BN2059" s="26"/>
      <c r="BO2059" s="26"/>
      <c r="BP2059" s="16" t="n">
        <v>45737</v>
      </c>
      <c r="BQ2059" s="28" t="str">
        <f>HYPERLINK("https://organic.ams.usda.gov/Integrity/Certificate.aspx?cid=32&amp;nopid=2230008527")</f>
        <v>https://organic.ams.usda.gov/Integrity/Certificate.aspx?cid=32&amp;nopid=2230008527</v>
      </c>
    </row>
    <row r="2060">
      <c r="A2060" t="s">
        <v>3</v>
      </c>
      <c r="B2060" s="6" t="s">
        <v>42</v>
      </c>
      <c r="C2060" s="6" t="s">
        <v>108</v>
      </c>
      <c r="D2060" s="6" t="s">
        <v>172</v>
      </c>
      <c r="E2060" s="10" t="s">
        <v>2258</v>
      </c>
      <c r="F2060" s="6" t="s">
        <v>4461</v>
      </c>
      <c r="G2060" s="6" t="s">
        <v>104</v>
      </c>
      <c r="H2060" s="6" t="s">
        <v>6737</v>
      </c>
      <c r="I2060" s="6" t="s">
        <v>7107</v>
      </c>
      <c r="J2060" s="6" t="s">
        <v>9585</v>
      </c>
      <c r="K2060" s="6" t="s">
        <v>9714</v>
      </c>
      <c r="L2060" s="16" t="n">
        <v>45504</v>
      </c>
      <c r="M2060" s="16" t="n">
        <v>45869</v>
      </c>
      <c r="N2060" s="6" t="s">
        <v>104</v>
      </c>
      <c r="O2060" s="21" t="s">
        <v>104</v>
      </c>
      <c r="P2060" s="6" t="s">
        <v>104</v>
      </c>
      <c r="Q2060" s="6" t="s">
        <v>104</v>
      </c>
      <c r="R2060" s="6" t="s">
        <v>104</v>
      </c>
      <c r="S2060" s="6" t="s">
        <v>104</v>
      </c>
      <c r="T2060" s="21" t="s">
        <v>104</v>
      </c>
      <c r="U2060" s="6" t="s">
        <v>104</v>
      </c>
      <c r="V2060" s="6" t="s">
        <v>104</v>
      </c>
      <c r="W2060" s="6" t="s">
        <v>104</v>
      </c>
      <c r="X2060" s="6" t="s">
        <v>104</v>
      </c>
      <c r="Y2060" s="21" t="s">
        <v>104</v>
      </c>
      <c r="Z2060" s="6" t="s">
        <v>104</v>
      </c>
      <c r="AA2060" s="6" t="s">
        <v>104</v>
      </c>
      <c r="AB2060" s="6" t="s">
        <v>104</v>
      </c>
      <c r="AC2060" s="6" t="s">
        <v>9714</v>
      </c>
      <c r="AD2060" s="16" t="n">
        <v>45504</v>
      </c>
      <c r="AE2060" s="6" t="s">
        <v>12315</v>
      </c>
      <c r="AF2060" s="6" t="s">
        <v>104</v>
      </c>
      <c r="AG2060" s="6" t="s">
        <v>6737</v>
      </c>
      <c r="AH2060" s="6" t="s">
        <v>15043</v>
      </c>
      <c r="AI2060" s="6" t="s">
        <v>104</v>
      </c>
      <c r="AJ2060" s="6" t="s">
        <v>15512</v>
      </c>
      <c r="AK2060" s="6" t="s">
        <v>16687</v>
      </c>
      <c r="AL2060" s="6" t="s">
        <v>16931</v>
      </c>
      <c r="AM2060" s="6" t="s">
        <v>17128</v>
      </c>
      <c r="AN2060" s="6" t="s">
        <v>104</v>
      </c>
      <c r="AO2060" s="6" t="s">
        <v>104</v>
      </c>
      <c r="AP2060" s="6" t="s">
        <v>15043</v>
      </c>
      <c r="AQ2060" s="6" t="s">
        <v>104</v>
      </c>
      <c r="AR2060" s="6" t="s">
        <v>15512</v>
      </c>
      <c r="AS2060" s="6" t="s">
        <v>16687</v>
      </c>
      <c r="AT2060" s="6" t="s">
        <v>16931</v>
      </c>
      <c r="AU2060" s="6" t="s">
        <v>17128</v>
      </c>
      <c r="AV2060" s="6" t="s">
        <v>104</v>
      </c>
      <c r="AW2060" s="6" t="s">
        <v>104</v>
      </c>
      <c r="AX2060" s="6" t="s">
        <v>21690</v>
      </c>
      <c r="AY2060" s="6" t="s">
        <v>23525</v>
      </c>
      <c r="AZ2060" s="6" t="s">
        <v>104</v>
      </c>
      <c r="BA2060" s="6" t="s">
        <v>104</v>
      </c>
      <c r="BB2060" s="6" t="s">
        <v>104</v>
      </c>
      <c r="BC2060" s="26" t="s">
        <v>24533</v>
      </c>
      <c r="BD2060" s="26"/>
      <c r="BE2060" s="26"/>
      <c r="BF2060" s="26"/>
      <c r="BG2060" s="26"/>
      <c r="BH2060" s="26" t="s">
        <v>24533</v>
      </c>
      <c r="BI2060" s="26"/>
      <c r="BJ2060" s="26"/>
      <c r="BK2060" s="26"/>
      <c r="BL2060" s="26"/>
      <c r="BM2060" s="26"/>
      <c r="BN2060" s="26"/>
      <c r="BO2060" s="26"/>
      <c r="BP2060" s="16" t="n">
        <v>45637</v>
      </c>
      <c r="BQ2060" s="28" t="str">
        <f>HYPERLINK("https://organic.ams.usda.gov/Integrity/Certificate.aspx?cid=69&amp;nopid=1560013330")</f>
        <v>https://organic.ams.usda.gov/Integrity/Certificate.aspx?cid=69&amp;nopid=1560013330</v>
      </c>
    </row>
    <row r="2061">
      <c r="A2061" t="s">
        <v>3</v>
      </c>
      <c r="B2061" s="6" t="s">
        <v>32</v>
      </c>
      <c r="C2061" s="6" t="s">
        <v>98</v>
      </c>
      <c r="D2061" s="6" t="s">
        <v>163</v>
      </c>
      <c r="E2061" s="10" t="s">
        <v>2259</v>
      </c>
      <c r="F2061" s="6" t="s">
        <v>4462</v>
      </c>
      <c r="G2061" s="6" t="s">
        <v>104</v>
      </c>
      <c r="H2061" s="6" t="s">
        <v>6738</v>
      </c>
      <c r="I2061" s="6" t="s">
        <v>8039</v>
      </c>
      <c r="J2061" s="6" t="s">
        <v>9586</v>
      </c>
      <c r="K2061" s="6" t="s">
        <v>9714</v>
      </c>
      <c r="L2061" s="16" t="n">
        <v>37284</v>
      </c>
      <c r="M2061" s="16" t="n">
        <v>45717</v>
      </c>
      <c r="N2061" s="6" t="s">
        <v>9714</v>
      </c>
      <c r="O2061" s="16" t="n">
        <v>37284</v>
      </c>
      <c r="P2061" s="6" t="s">
        <v>10242</v>
      </c>
      <c r="Q2061" s="6" t="s">
        <v>104</v>
      </c>
      <c r="R2061" s="6" t="s">
        <v>104</v>
      </c>
      <c r="S2061" s="6" t="s">
        <v>104</v>
      </c>
      <c r="T2061" s="21" t="s">
        <v>104</v>
      </c>
      <c r="U2061" s="6" t="s">
        <v>104</v>
      </c>
      <c r="V2061" s="6" t="s">
        <v>104</v>
      </c>
      <c r="W2061" s="6" t="s">
        <v>104</v>
      </c>
      <c r="X2061" s="6" t="s">
        <v>104</v>
      </c>
      <c r="Y2061" s="21" t="s">
        <v>104</v>
      </c>
      <c r="Z2061" s="6" t="s">
        <v>104</v>
      </c>
      <c r="AA2061" s="6" t="s">
        <v>104</v>
      </c>
      <c r="AB2061" s="6" t="s">
        <v>104</v>
      </c>
      <c r="AC2061" s="6" t="s">
        <v>9714</v>
      </c>
      <c r="AD2061" s="16" t="n">
        <v>40290</v>
      </c>
      <c r="AE2061" s="6" t="s">
        <v>12316</v>
      </c>
      <c r="AF2061" s="6" t="s">
        <v>104</v>
      </c>
      <c r="AG2061" s="6" t="s">
        <v>104</v>
      </c>
      <c r="AH2061" s="6" t="s">
        <v>15044</v>
      </c>
      <c r="AI2061" s="6" t="s">
        <v>104</v>
      </c>
      <c r="AJ2061" s="6" t="s">
        <v>16579</v>
      </c>
      <c r="AK2061" s="6" t="s">
        <v>16743</v>
      </c>
      <c r="AL2061" s="6" t="s">
        <v>16931</v>
      </c>
      <c r="AM2061" s="6" t="s">
        <v>18329</v>
      </c>
      <c r="AN2061" s="6" t="s">
        <v>18514</v>
      </c>
      <c r="AO2061" s="6" t="s">
        <v>18918</v>
      </c>
      <c r="AP2061" s="6" t="s">
        <v>104</v>
      </c>
      <c r="AQ2061" s="6" t="s">
        <v>104</v>
      </c>
      <c r="AR2061" s="6" t="s">
        <v>104</v>
      </c>
      <c r="AS2061" s="6" t="s">
        <v>104</v>
      </c>
      <c r="AT2061" s="6" t="s">
        <v>104</v>
      </c>
      <c r="AU2061" s="6" t="s">
        <v>104</v>
      </c>
      <c r="AV2061" s="6" t="s">
        <v>104</v>
      </c>
      <c r="AW2061" s="6" t="s">
        <v>104</v>
      </c>
      <c r="AX2061" s="6" t="s">
        <v>21691</v>
      </c>
      <c r="AY2061" s="6" t="s">
        <v>23526</v>
      </c>
      <c r="AZ2061" s="6" t="s">
        <v>104</v>
      </c>
      <c r="BA2061" s="6" t="s">
        <v>104</v>
      </c>
      <c r="BB2061" s="24" t="n">
        <v>2827</v>
      </c>
      <c r="BC2061" s="26"/>
      <c r="BD2061" s="26"/>
      <c r="BE2061" s="26"/>
      <c r="BF2061" s="26"/>
      <c r="BG2061" s="26"/>
      <c r="BH2061" s="26"/>
      <c r="BI2061" s="26"/>
      <c r="BJ2061" s="26"/>
      <c r="BK2061" s="26"/>
      <c r="BL2061" s="26"/>
      <c r="BM2061" s="26"/>
      <c r="BN2061" s="26" t="s">
        <v>24533</v>
      </c>
      <c r="BO2061" s="26"/>
      <c r="BP2061" s="16" t="n">
        <v>45538</v>
      </c>
      <c r="BQ2061" s="28" t="str">
        <f>HYPERLINK("https://organic.ams.usda.gov/Integrity/Certificate.aspx?cid=64&amp;nopid=8830000266")</f>
        <v>https://organic.ams.usda.gov/Integrity/Certificate.aspx?cid=64&amp;nopid=8830000266</v>
      </c>
    </row>
    <row r="2062">
      <c r="A2062" t="s">
        <v>3</v>
      </c>
      <c r="B2062" s="6" t="s">
        <v>44</v>
      </c>
      <c r="C2062" s="6" t="s">
        <v>110</v>
      </c>
      <c r="D2062" s="6" t="s">
        <v>174</v>
      </c>
      <c r="E2062" s="10" t="s">
        <v>2260</v>
      </c>
      <c r="F2062" s="6" t="s">
        <v>4463</v>
      </c>
      <c r="G2062" s="6" t="s">
        <v>104</v>
      </c>
      <c r="H2062" s="6" t="s">
        <v>6739</v>
      </c>
      <c r="I2062" s="6" t="s">
        <v>8040</v>
      </c>
      <c r="J2062" s="6" t="s">
        <v>9587</v>
      </c>
      <c r="K2062" s="6" t="s">
        <v>9714</v>
      </c>
      <c r="L2062" s="16" t="n">
        <v>37550</v>
      </c>
      <c r="M2062" s="16" t="n">
        <v>45672</v>
      </c>
      <c r="N2062" s="6" t="s">
        <v>104</v>
      </c>
      <c r="O2062" s="21" t="s">
        <v>104</v>
      </c>
      <c r="P2062" s="6" t="s">
        <v>104</v>
      </c>
      <c r="Q2062" s="6" t="s">
        <v>104</v>
      </c>
      <c r="R2062" s="6" t="s">
        <v>104</v>
      </c>
      <c r="S2062" s="6" t="s">
        <v>104</v>
      </c>
      <c r="T2062" s="21" t="s">
        <v>104</v>
      </c>
      <c r="U2062" s="6" t="s">
        <v>104</v>
      </c>
      <c r="V2062" s="6" t="s">
        <v>104</v>
      </c>
      <c r="W2062" s="6" t="s">
        <v>104</v>
      </c>
      <c r="X2062" s="6" t="s">
        <v>104</v>
      </c>
      <c r="Y2062" s="21" t="s">
        <v>104</v>
      </c>
      <c r="Z2062" s="6" t="s">
        <v>104</v>
      </c>
      <c r="AA2062" s="6" t="s">
        <v>104</v>
      </c>
      <c r="AB2062" s="6" t="s">
        <v>104</v>
      </c>
      <c r="AC2062" s="6" t="s">
        <v>9714</v>
      </c>
      <c r="AD2062" s="16" t="n">
        <v>37550</v>
      </c>
      <c r="AE2062" s="6" t="s">
        <v>12317</v>
      </c>
      <c r="AF2062" s="6" t="s">
        <v>104</v>
      </c>
      <c r="AG2062" s="6" t="s">
        <v>104</v>
      </c>
      <c r="AH2062" s="6" t="s">
        <v>15045</v>
      </c>
      <c r="AI2062" s="6" t="s">
        <v>104</v>
      </c>
      <c r="AJ2062" s="6" t="s">
        <v>16580</v>
      </c>
      <c r="AK2062" s="6" t="s">
        <v>15697</v>
      </c>
      <c r="AL2062" s="6" t="s">
        <v>16931</v>
      </c>
      <c r="AM2062" s="6" t="s">
        <v>18330</v>
      </c>
      <c r="AN2062" s="6" t="s">
        <v>18492</v>
      </c>
      <c r="AO2062" s="6" t="s">
        <v>18729</v>
      </c>
      <c r="AP2062" s="6" t="s">
        <v>19491</v>
      </c>
      <c r="AQ2062" s="6" t="s">
        <v>104</v>
      </c>
      <c r="AR2062" s="6" t="s">
        <v>16580</v>
      </c>
      <c r="AS2062" s="6" t="s">
        <v>15697</v>
      </c>
      <c r="AT2062" s="6" t="s">
        <v>16931</v>
      </c>
      <c r="AU2062" s="6" t="s">
        <v>18330</v>
      </c>
      <c r="AV2062" s="6" t="s">
        <v>104</v>
      </c>
      <c r="AW2062" s="6" t="s">
        <v>104</v>
      </c>
      <c r="AX2062" s="6" t="s">
        <v>21692</v>
      </c>
      <c r="AY2062" s="6" t="s">
        <v>104</v>
      </c>
      <c r="AZ2062" s="6" t="s">
        <v>24210</v>
      </c>
      <c r="BA2062" s="6" t="s">
        <v>104</v>
      </c>
      <c r="BB2062" s="24" t="n">
        <v>0</v>
      </c>
      <c r="BC2062" s="26"/>
      <c r="BD2062" s="26"/>
      <c r="BE2062" s="26"/>
      <c r="BF2062" s="26"/>
      <c r="BG2062" s="26"/>
      <c r="BH2062" s="26"/>
      <c r="BI2062" s="26"/>
      <c r="BJ2062" s="26"/>
      <c r="BK2062" s="26"/>
      <c r="BL2062" s="26"/>
      <c r="BM2062" s="26"/>
      <c r="BN2062" s="26"/>
      <c r="BO2062" s="26"/>
      <c r="BP2062" s="16" t="n">
        <v>45715</v>
      </c>
      <c r="BQ2062" s="28" t="str">
        <f>HYPERLINK("https://organic.ams.usda.gov/Integrity/Certificate.aspx?cid=57&amp;nopid=3250200245")</f>
        <v>https://organic.ams.usda.gov/Integrity/Certificate.aspx?cid=57&amp;nopid=3250200245</v>
      </c>
    </row>
    <row r="2063">
      <c r="A2063" t="s">
        <v>3</v>
      </c>
      <c r="B2063" s="6" t="s">
        <v>13</v>
      </c>
      <c r="C2063" s="6" t="s">
        <v>79</v>
      </c>
      <c r="D2063" s="6" t="s">
        <v>144</v>
      </c>
      <c r="E2063" s="10" t="s">
        <v>2261</v>
      </c>
      <c r="F2063" s="6" t="s">
        <v>4464</v>
      </c>
      <c r="G2063" s="6" t="s">
        <v>104</v>
      </c>
      <c r="H2063" s="6" t="s">
        <v>6740</v>
      </c>
      <c r="I2063" s="6" t="s">
        <v>8041</v>
      </c>
      <c r="J2063" s="6" t="s">
        <v>9588</v>
      </c>
      <c r="K2063" s="6" t="s">
        <v>9714</v>
      </c>
      <c r="L2063" s="16" t="n">
        <v>45453</v>
      </c>
      <c r="M2063" s="16" t="n">
        <v>46023</v>
      </c>
      <c r="N2063" s="6" t="s">
        <v>104</v>
      </c>
      <c r="O2063" s="21" t="s">
        <v>104</v>
      </c>
      <c r="P2063" s="6" t="s">
        <v>104</v>
      </c>
      <c r="Q2063" s="6" t="s">
        <v>104</v>
      </c>
      <c r="R2063" s="6" t="s">
        <v>104</v>
      </c>
      <c r="S2063" s="6" t="s">
        <v>104</v>
      </c>
      <c r="T2063" s="21" t="s">
        <v>104</v>
      </c>
      <c r="U2063" s="6" t="s">
        <v>104</v>
      </c>
      <c r="V2063" s="6" t="s">
        <v>104</v>
      </c>
      <c r="W2063" s="6" t="s">
        <v>104</v>
      </c>
      <c r="X2063" s="6" t="s">
        <v>104</v>
      </c>
      <c r="Y2063" s="21" t="s">
        <v>104</v>
      </c>
      <c r="Z2063" s="6" t="s">
        <v>104</v>
      </c>
      <c r="AA2063" s="6" t="s">
        <v>104</v>
      </c>
      <c r="AB2063" s="6" t="s">
        <v>104</v>
      </c>
      <c r="AC2063" s="6" t="s">
        <v>9714</v>
      </c>
      <c r="AD2063" s="16" t="n">
        <v>45453</v>
      </c>
      <c r="AE2063" s="6" t="s">
        <v>12318</v>
      </c>
      <c r="AF2063" s="6" t="s">
        <v>104</v>
      </c>
      <c r="AG2063" s="6" t="s">
        <v>104</v>
      </c>
      <c r="AH2063" s="6" t="s">
        <v>104</v>
      </c>
      <c r="AI2063" s="6" t="s">
        <v>104</v>
      </c>
      <c r="AJ2063" s="6" t="s">
        <v>104</v>
      </c>
      <c r="AK2063" s="6" t="s">
        <v>104</v>
      </c>
      <c r="AL2063" s="6" t="s">
        <v>104</v>
      </c>
      <c r="AM2063" s="6" t="s">
        <v>104</v>
      </c>
      <c r="AN2063" s="6" t="s">
        <v>104</v>
      </c>
      <c r="AO2063" s="6" t="s">
        <v>104</v>
      </c>
      <c r="AP2063" s="6" t="s">
        <v>19492</v>
      </c>
      <c r="AQ2063" s="6" t="s">
        <v>104</v>
      </c>
      <c r="AR2063" s="6" t="s">
        <v>19772</v>
      </c>
      <c r="AS2063" s="6" t="s">
        <v>16684</v>
      </c>
      <c r="AT2063" s="6" t="s">
        <v>16931</v>
      </c>
      <c r="AU2063" s="6" t="s">
        <v>20053</v>
      </c>
      <c r="AV2063" s="6" t="s">
        <v>104</v>
      </c>
      <c r="AW2063" s="6" t="s">
        <v>104</v>
      </c>
      <c r="AX2063" s="6" t="s">
        <v>21693</v>
      </c>
      <c r="AY2063" s="6" t="s">
        <v>23527</v>
      </c>
      <c r="AZ2063" s="6" t="s">
        <v>104</v>
      </c>
      <c r="BA2063" s="6" t="s">
        <v>104</v>
      </c>
      <c r="BB2063" s="6" t="s">
        <v>104</v>
      </c>
      <c r="BC2063" s="26" t="s">
        <v>24533</v>
      </c>
      <c r="BD2063" s="26"/>
      <c r="BE2063" s="26"/>
      <c r="BF2063" s="26"/>
      <c r="BG2063" s="26"/>
      <c r="BH2063" s="26"/>
      <c r="BI2063" s="26"/>
      <c r="BJ2063" s="26"/>
      <c r="BK2063" s="26"/>
      <c r="BL2063" s="26"/>
      <c r="BM2063" s="26"/>
      <c r="BN2063" s="26"/>
      <c r="BO2063" s="26"/>
      <c r="BP2063" s="16" t="n">
        <v>45657</v>
      </c>
      <c r="BQ2063" s="28" t="str">
        <f>HYPERLINK("https://organic.ams.usda.gov/Integrity/Certificate.aspx?cid=62&amp;nopid=8150024793")</f>
        <v>https://organic.ams.usda.gov/Integrity/Certificate.aspx?cid=62&amp;nopid=8150024793</v>
      </c>
    </row>
    <row r="2064">
      <c r="A2064" t="s">
        <v>3</v>
      </c>
      <c r="B2064" s="6" t="s">
        <v>8</v>
      </c>
      <c r="C2064" s="6" t="s">
        <v>74</v>
      </c>
      <c r="D2064" s="6" t="s">
        <v>139</v>
      </c>
      <c r="E2064" s="10" t="s">
        <v>2262</v>
      </c>
      <c r="F2064" s="6" t="s">
        <v>4465</v>
      </c>
      <c r="G2064" s="6" t="s">
        <v>104</v>
      </c>
      <c r="H2064" s="6" t="s">
        <v>2262</v>
      </c>
      <c r="I2064" s="6" t="s">
        <v>7630</v>
      </c>
      <c r="J2064" s="6" t="s">
        <v>9356</v>
      </c>
      <c r="K2064" s="6" t="s">
        <v>9714</v>
      </c>
      <c r="L2064" s="16" t="n">
        <v>38058</v>
      </c>
      <c r="M2064" s="16" t="n">
        <v>45915</v>
      </c>
      <c r="N2064" s="6" t="s">
        <v>104</v>
      </c>
      <c r="O2064" s="21" t="s">
        <v>104</v>
      </c>
      <c r="P2064" s="6" t="s">
        <v>104</v>
      </c>
      <c r="Q2064" s="6" t="s">
        <v>104</v>
      </c>
      <c r="R2064" s="6" t="s">
        <v>104</v>
      </c>
      <c r="S2064" s="6" t="s">
        <v>104</v>
      </c>
      <c r="T2064" s="21" t="s">
        <v>104</v>
      </c>
      <c r="U2064" s="6" t="s">
        <v>104</v>
      </c>
      <c r="V2064" s="6" t="s">
        <v>104</v>
      </c>
      <c r="W2064" s="6" t="s">
        <v>104</v>
      </c>
      <c r="X2064" s="6" t="s">
        <v>104</v>
      </c>
      <c r="Y2064" s="21" t="s">
        <v>104</v>
      </c>
      <c r="Z2064" s="6" t="s">
        <v>104</v>
      </c>
      <c r="AA2064" s="6" t="s">
        <v>104</v>
      </c>
      <c r="AB2064" s="6" t="s">
        <v>104</v>
      </c>
      <c r="AC2064" s="6" t="s">
        <v>9714</v>
      </c>
      <c r="AD2064" s="16" t="n">
        <v>38058</v>
      </c>
      <c r="AE2064" s="6" t="s">
        <v>12319</v>
      </c>
      <c r="AF2064" s="6" t="s">
        <v>104</v>
      </c>
      <c r="AG2064" s="6" t="s">
        <v>104</v>
      </c>
      <c r="AH2064" s="6" t="s">
        <v>15046</v>
      </c>
      <c r="AI2064" s="6" t="s">
        <v>104</v>
      </c>
      <c r="AJ2064" s="6" t="s">
        <v>16581</v>
      </c>
      <c r="AK2064" s="6" t="s">
        <v>16679</v>
      </c>
      <c r="AL2064" s="6" t="s">
        <v>16931</v>
      </c>
      <c r="AM2064" s="6" t="s">
        <v>18331</v>
      </c>
      <c r="AN2064" s="6" t="s">
        <v>18463</v>
      </c>
      <c r="AO2064" s="6" t="s">
        <v>18656</v>
      </c>
      <c r="AP2064" s="6" t="s">
        <v>19493</v>
      </c>
      <c r="AQ2064" s="6" t="s">
        <v>104</v>
      </c>
      <c r="AR2064" s="6" t="s">
        <v>16581</v>
      </c>
      <c r="AS2064" s="6" t="s">
        <v>16679</v>
      </c>
      <c r="AT2064" s="6" t="s">
        <v>16931</v>
      </c>
      <c r="AU2064" s="6" t="s">
        <v>18331</v>
      </c>
      <c r="AV2064" s="6" t="s">
        <v>104</v>
      </c>
      <c r="AW2064" s="6" t="s">
        <v>104</v>
      </c>
      <c r="AX2064" s="6" t="s">
        <v>21694</v>
      </c>
      <c r="AY2064" s="6" t="s">
        <v>23528</v>
      </c>
      <c r="AZ2064" s="6" t="s">
        <v>24211</v>
      </c>
      <c r="BA2064" s="6" t="s">
        <v>104</v>
      </c>
      <c r="BB2064" s="6" t="s">
        <v>104</v>
      </c>
      <c r="BC2064" s="26"/>
      <c r="BD2064" s="26"/>
      <c r="BE2064" s="26"/>
      <c r="BF2064" s="26"/>
      <c r="BG2064" s="26"/>
      <c r="BH2064" s="26"/>
      <c r="BI2064" s="26"/>
      <c r="BJ2064" s="26"/>
      <c r="BK2064" s="26"/>
      <c r="BL2064" s="26"/>
      <c r="BM2064" s="26"/>
      <c r="BN2064" s="26"/>
      <c r="BO2064" s="26"/>
      <c r="BP2064" s="16" t="n">
        <v>45699</v>
      </c>
      <c r="BQ2064" s="28" t="str">
        <f>HYPERLINK("https://organic.ams.usda.gov/Integrity/Certificate.aspx?cid=48&amp;nopid=1460029784")</f>
        <v>https://organic.ams.usda.gov/Integrity/Certificate.aspx?cid=48&amp;nopid=1460029784</v>
      </c>
    </row>
    <row r="2065">
      <c r="A2065" t="s">
        <v>3</v>
      </c>
      <c r="B2065" s="6" t="s">
        <v>45</v>
      </c>
      <c r="C2065" s="6" t="s">
        <v>111</v>
      </c>
      <c r="D2065" s="6" t="s">
        <v>175</v>
      </c>
      <c r="E2065" s="10" t="s">
        <v>2263</v>
      </c>
      <c r="F2065" s="6" t="s">
        <v>4466</v>
      </c>
      <c r="G2065" s="6" t="s">
        <v>104</v>
      </c>
      <c r="H2065" s="6" t="s">
        <v>6741</v>
      </c>
      <c r="I2065" s="6" t="s">
        <v>8042</v>
      </c>
      <c r="J2065" s="6" t="s">
        <v>9589</v>
      </c>
      <c r="K2065" s="6" t="s">
        <v>9714</v>
      </c>
      <c r="L2065" s="16" t="n">
        <v>39420</v>
      </c>
      <c r="M2065" s="16" t="n">
        <v>46082</v>
      </c>
      <c r="N2065" s="6" t="s">
        <v>104</v>
      </c>
      <c r="O2065" s="21" t="s">
        <v>104</v>
      </c>
      <c r="P2065" s="6" t="s">
        <v>104</v>
      </c>
      <c r="Q2065" s="6" t="s">
        <v>104</v>
      </c>
      <c r="R2065" s="6" t="s">
        <v>104</v>
      </c>
      <c r="S2065" s="6" t="s">
        <v>104</v>
      </c>
      <c r="T2065" s="21" t="s">
        <v>104</v>
      </c>
      <c r="U2065" s="6" t="s">
        <v>104</v>
      </c>
      <c r="V2065" s="6" t="s">
        <v>104</v>
      </c>
      <c r="W2065" s="6" t="s">
        <v>104</v>
      </c>
      <c r="X2065" s="6" t="s">
        <v>104</v>
      </c>
      <c r="Y2065" s="21" t="s">
        <v>104</v>
      </c>
      <c r="Z2065" s="6" t="s">
        <v>104</v>
      </c>
      <c r="AA2065" s="6" t="s">
        <v>104</v>
      </c>
      <c r="AB2065" s="6" t="s">
        <v>104</v>
      </c>
      <c r="AC2065" s="6" t="s">
        <v>9714</v>
      </c>
      <c r="AD2065" s="16" t="n">
        <v>39420</v>
      </c>
      <c r="AE2065" s="6" t="s">
        <v>12320</v>
      </c>
      <c r="AF2065" s="6" t="s">
        <v>104</v>
      </c>
      <c r="AG2065" s="6" t="s">
        <v>4667</v>
      </c>
      <c r="AH2065" s="6" t="s">
        <v>15047</v>
      </c>
      <c r="AI2065" s="6" t="s">
        <v>104</v>
      </c>
      <c r="AJ2065" s="6" t="s">
        <v>16582</v>
      </c>
      <c r="AK2065" s="6" t="s">
        <v>16382</v>
      </c>
      <c r="AL2065" s="6" t="s">
        <v>16931</v>
      </c>
      <c r="AM2065" s="6" t="s">
        <v>18332</v>
      </c>
      <c r="AN2065" s="6" t="s">
        <v>104</v>
      </c>
      <c r="AO2065" s="6" t="s">
        <v>104</v>
      </c>
      <c r="AP2065" s="6" t="s">
        <v>15047</v>
      </c>
      <c r="AQ2065" s="6" t="s">
        <v>104</v>
      </c>
      <c r="AR2065" s="6" t="s">
        <v>16582</v>
      </c>
      <c r="AS2065" s="6" t="s">
        <v>16382</v>
      </c>
      <c r="AT2065" s="6" t="s">
        <v>16931</v>
      </c>
      <c r="AU2065" s="6" t="s">
        <v>18332</v>
      </c>
      <c r="AV2065" s="6" t="s">
        <v>18503</v>
      </c>
      <c r="AW2065" s="6" t="s">
        <v>18837</v>
      </c>
      <c r="AX2065" s="6" t="s">
        <v>21695</v>
      </c>
      <c r="AY2065" s="6" t="s">
        <v>23529</v>
      </c>
      <c r="AZ2065" s="6" t="s">
        <v>104</v>
      </c>
      <c r="BA2065" s="6" t="s">
        <v>104</v>
      </c>
      <c r="BB2065" s="6" t="s">
        <v>104</v>
      </c>
      <c r="BC2065" s="26"/>
      <c r="BD2065" s="26"/>
      <c r="BE2065" s="26"/>
      <c r="BF2065" s="26"/>
      <c r="BG2065" s="26"/>
      <c r="BH2065" s="26" t="s">
        <v>24533</v>
      </c>
      <c r="BI2065" s="26"/>
      <c r="BJ2065" s="26"/>
      <c r="BK2065" s="26"/>
      <c r="BL2065" s="26"/>
      <c r="BM2065" s="26"/>
      <c r="BN2065" s="26"/>
      <c r="BO2065" s="26"/>
      <c r="BP2065" s="16" t="n">
        <v>45739</v>
      </c>
      <c r="BQ2065" s="28" t="str">
        <f>HYPERLINK("https://organic.ams.usda.gov/Integrity/Certificate.aspx?cid=82&amp;nopid=2780001862")</f>
        <v>https://organic.ams.usda.gov/Integrity/Certificate.aspx?cid=82&amp;nopid=2780001862</v>
      </c>
    </row>
    <row r="2066">
      <c r="A2066" t="s">
        <v>3</v>
      </c>
      <c r="B2066" s="6" t="s">
        <v>12</v>
      </c>
      <c r="C2066" s="6" t="s">
        <v>78</v>
      </c>
      <c r="D2066" s="6" t="s">
        <v>143</v>
      </c>
      <c r="E2066" s="10" t="s">
        <v>2264</v>
      </c>
      <c r="F2066" s="6" t="s">
        <v>4467</v>
      </c>
      <c r="G2066" s="6" t="s">
        <v>104</v>
      </c>
      <c r="H2066" s="6" t="s">
        <v>104</v>
      </c>
      <c r="I2066" s="6" t="s">
        <v>7162</v>
      </c>
      <c r="J2066" s="6" t="s">
        <v>9590</v>
      </c>
      <c r="K2066" s="6" t="s">
        <v>9714</v>
      </c>
      <c r="L2066" s="16" t="n">
        <v>44587</v>
      </c>
      <c r="M2066" s="16" t="n">
        <v>45809</v>
      </c>
      <c r="N2066" s="6" t="s">
        <v>9714</v>
      </c>
      <c r="O2066" s="16" t="n">
        <v>45021</v>
      </c>
      <c r="P2066" s="6" t="s">
        <v>10243</v>
      </c>
      <c r="Q2066" s="6" t="s">
        <v>104</v>
      </c>
      <c r="R2066" s="6" t="s">
        <v>104</v>
      </c>
      <c r="S2066" s="6" t="s">
        <v>9714</v>
      </c>
      <c r="T2066" s="16" t="n">
        <v>43802</v>
      </c>
      <c r="U2066" s="6" t="s">
        <v>10504</v>
      </c>
      <c r="V2066" s="6" t="s">
        <v>104</v>
      </c>
      <c r="W2066" s="6" t="s">
        <v>104</v>
      </c>
      <c r="X2066" s="6" t="s">
        <v>104</v>
      </c>
      <c r="Y2066" s="21" t="s">
        <v>104</v>
      </c>
      <c r="Z2066" s="6" t="s">
        <v>104</v>
      </c>
      <c r="AA2066" s="6" t="s">
        <v>104</v>
      </c>
      <c r="AB2066" s="6" t="s">
        <v>104</v>
      </c>
      <c r="AC2066" s="6" t="s">
        <v>9714</v>
      </c>
      <c r="AD2066" s="16" t="n">
        <v>44587</v>
      </c>
      <c r="AE2066" s="6" t="s">
        <v>12321</v>
      </c>
      <c r="AF2066" s="6" t="s">
        <v>104</v>
      </c>
      <c r="AG2066" s="6" t="s">
        <v>104</v>
      </c>
      <c r="AH2066" s="6" t="s">
        <v>15048</v>
      </c>
      <c r="AI2066" s="6" t="s">
        <v>104</v>
      </c>
      <c r="AJ2066" s="6" t="s">
        <v>8057</v>
      </c>
      <c r="AK2066" s="6" t="s">
        <v>16742</v>
      </c>
      <c r="AL2066" s="6" t="s">
        <v>16931</v>
      </c>
      <c r="AM2066" s="6" t="s">
        <v>18333</v>
      </c>
      <c r="AN2066" s="6" t="s">
        <v>18516</v>
      </c>
      <c r="AO2066" s="6" t="s">
        <v>18919</v>
      </c>
      <c r="AP2066" s="6" t="s">
        <v>15048</v>
      </c>
      <c r="AQ2066" s="6" t="s">
        <v>104</v>
      </c>
      <c r="AR2066" s="6" t="s">
        <v>8057</v>
      </c>
      <c r="AS2066" s="6" t="s">
        <v>16742</v>
      </c>
      <c r="AT2066" s="6" t="s">
        <v>16931</v>
      </c>
      <c r="AU2066" s="6" t="s">
        <v>18333</v>
      </c>
      <c r="AV2066" s="6" t="s">
        <v>104</v>
      </c>
      <c r="AW2066" s="6" t="s">
        <v>104</v>
      </c>
      <c r="AX2066" s="6" t="s">
        <v>104</v>
      </c>
      <c r="AY2066" s="6" t="s">
        <v>23530</v>
      </c>
      <c r="AZ2066" s="6" t="s">
        <v>104</v>
      </c>
      <c r="BA2066" s="6" t="s">
        <v>104</v>
      </c>
      <c r="BB2066" s="24" t="n">
        <v>426</v>
      </c>
      <c r="BC2066" s="26"/>
      <c r="BD2066" s="26"/>
      <c r="BE2066" s="26"/>
      <c r="BF2066" s="26"/>
      <c r="BG2066" s="26"/>
      <c r="BH2066" s="26"/>
      <c r="BI2066" s="26"/>
      <c r="BJ2066" s="26"/>
      <c r="BK2066" s="26"/>
      <c r="BL2066" s="26"/>
      <c r="BM2066" s="26"/>
      <c r="BN2066" s="26"/>
      <c r="BO2066" s="26"/>
      <c r="BP2066" s="16" t="n">
        <v>45628</v>
      </c>
      <c r="BQ2066" s="28" t="str">
        <f>HYPERLINK("https://organic.ams.usda.gov/Integrity/Certificate.aspx?cid=1&amp;nopid=9092129205")</f>
        <v>https://organic.ams.usda.gov/Integrity/Certificate.aspx?cid=1&amp;nopid=9092129205</v>
      </c>
    </row>
    <row r="2067">
      <c r="A2067" t="s">
        <v>3</v>
      </c>
      <c r="B2067" s="6" t="s">
        <v>34</v>
      </c>
      <c r="C2067" s="6" t="s">
        <v>100</v>
      </c>
      <c r="D2067" s="6" t="s">
        <v>165</v>
      </c>
      <c r="E2067" s="10" t="s">
        <v>2265</v>
      </c>
      <c r="F2067" s="6" t="s">
        <v>4468</v>
      </c>
      <c r="G2067" s="6" t="s">
        <v>104</v>
      </c>
      <c r="H2067" s="6" t="s">
        <v>6742</v>
      </c>
      <c r="I2067" s="6" t="s">
        <v>8043</v>
      </c>
      <c r="J2067" s="6" t="s">
        <v>9591</v>
      </c>
      <c r="K2067" s="6" t="s">
        <v>9714</v>
      </c>
      <c r="L2067" s="16" t="n">
        <v>45639</v>
      </c>
      <c r="M2067" s="16" t="n">
        <v>45868</v>
      </c>
      <c r="N2067" s="6" t="s">
        <v>104</v>
      </c>
      <c r="O2067" s="21" t="s">
        <v>104</v>
      </c>
      <c r="P2067" s="6" t="s">
        <v>104</v>
      </c>
      <c r="Q2067" s="6" t="s">
        <v>104</v>
      </c>
      <c r="R2067" s="6" t="s">
        <v>104</v>
      </c>
      <c r="S2067" s="6" t="s">
        <v>104</v>
      </c>
      <c r="T2067" s="21" t="s">
        <v>104</v>
      </c>
      <c r="U2067" s="6" t="s">
        <v>104</v>
      </c>
      <c r="V2067" s="6" t="s">
        <v>104</v>
      </c>
      <c r="W2067" s="6" t="s">
        <v>104</v>
      </c>
      <c r="X2067" s="6" t="s">
        <v>104</v>
      </c>
      <c r="Y2067" s="21" t="s">
        <v>104</v>
      </c>
      <c r="Z2067" s="6" t="s">
        <v>104</v>
      </c>
      <c r="AA2067" s="6" t="s">
        <v>104</v>
      </c>
      <c r="AB2067" s="6" t="s">
        <v>104</v>
      </c>
      <c r="AC2067" s="6" t="s">
        <v>9714</v>
      </c>
      <c r="AD2067" s="16" t="n">
        <v>45639</v>
      </c>
      <c r="AE2067" s="6" t="s">
        <v>12322</v>
      </c>
      <c r="AF2067" s="6" t="s">
        <v>104</v>
      </c>
      <c r="AG2067" s="6" t="s">
        <v>13104</v>
      </c>
      <c r="AH2067" s="6" t="s">
        <v>15049</v>
      </c>
      <c r="AI2067" s="6" t="s">
        <v>104</v>
      </c>
      <c r="AJ2067" s="6" t="s">
        <v>16583</v>
      </c>
      <c r="AK2067" s="6" t="s">
        <v>16680</v>
      </c>
      <c r="AL2067" s="6" t="s">
        <v>16931</v>
      </c>
      <c r="AM2067" s="6" t="s">
        <v>18334</v>
      </c>
      <c r="AN2067" s="6" t="s">
        <v>104</v>
      </c>
      <c r="AO2067" s="6" t="s">
        <v>104</v>
      </c>
      <c r="AP2067" s="6" t="s">
        <v>19494</v>
      </c>
      <c r="AQ2067" s="6" t="s">
        <v>19582</v>
      </c>
      <c r="AR2067" s="6" t="s">
        <v>19773</v>
      </c>
      <c r="AS2067" s="6" t="s">
        <v>16710</v>
      </c>
      <c r="AT2067" s="6" t="s">
        <v>16931</v>
      </c>
      <c r="AU2067" s="6" t="s">
        <v>20054</v>
      </c>
      <c r="AV2067" s="6" t="s">
        <v>104</v>
      </c>
      <c r="AW2067" s="6" t="s">
        <v>104</v>
      </c>
      <c r="AX2067" s="6" t="s">
        <v>20259</v>
      </c>
      <c r="AY2067" s="6" t="s">
        <v>23531</v>
      </c>
      <c r="AZ2067" s="6" t="s">
        <v>104</v>
      </c>
      <c r="BA2067" s="6" t="s">
        <v>104</v>
      </c>
      <c r="BB2067" s="6" t="s">
        <v>104</v>
      </c>
      <c r="BC2067" s="26" t="s">
        <v>24533</v>
      </c>
      <c r="BD2067" s="26"/>
      <c r="BE2067" s="26"/>
      <c r="BF2067" s="26"/>
      <c r="BG2067" s="26"/>
      <c r="BH2067" s="26"/>
      <c r="BI2067" s="26"/>
      <c r="BJ2067" s="26"/>
      <c r="BK2067" s="26"/>
      <c r="BL2067" s="26"/>
      <c r="BM2067" s="26"/>
      <c r="BN2067" s="26"/>
      <c r="BO2067" s="26"/>
      <c r="BP2067" s="16" t="n">
        <v>45737</v>
      </c>
      <c r="BQ2067" s="28" t="str">
        <f>HYPERLINK("https://organic.ams.usda.gov/Integrity/Certificate.aspx?cid=71&amp;nopid=5520822787")</f>
        <v>https://organic.ams.usda.gov/Integrity/Certificate.aspx?cid=71&amp;nopid=5520822787</v>
      </c>
    </row>
    <row r="2068">
      <c r="A2068" t="s">
        <v>3</v>
      </c>
      <c r="B2068" s="6" t="s">
        <v>52</v>
      </c>
      <c r="C2068" s="6" t="s">
        <v>118</v>
      </c>
      <c r="D2068" s="6" t="s">
        <v>182</v>
      </c>
      <c r="E2068" s="10" t="s">
        <v>2266</v>
      </c>
      <c r="F2068" s="6" t="s">
        <v>4469</v>
      </c>
      <c r="G2068" s="6" t="s">
        <v>104</v>
      </c>
      <c r="H2068" s="6" t="s">
        <v>6743</v>
      </c>
      <c r="I2068" s="6" t="s">
        <v>7249</v>
      </c>
      <c r="J2068" s="6" t="s">
        <v>9592</v>
      </c>
      <c r="K2068" s="6" t="s">
        <v>9714</v>
      </c>
      <c r="L2068" s="16" t="n">
        <v>37621</v>
      </c>
      <c r="M2068" s="16" t="n">
        <v>46068</v>
      </c>
      <c r="N2068" s="6" t="s">
        <v>104</v>
      </c>
      <c r="O2068" s="21" t="s">
        <v>104</v>
      </c>
      <c r="P2068" s="6" t="s">
        <v>104</v>
      </c>
      <c r="Q2068" s="6" t="s">
        <v>104</v>
      </c>
      <c r="R2068" s="6" t="s">
        <v>104</v>
      </c>
      <c r="S2068" s="6" t="s">
        <v>104</v>
      </c>
      <c r="T2068" s="21" t="s">
        <v>104</v>
      </c>
      <c r="U2068" s="6" t="s">
        <v>104</v>
      </c>
      <c r="V2068" s="6" t="s">
        <v>104</v>
      </c>
      <c r="W2068" s="6" t="s">
        <v>104</v>
      </c>
      <c r="X2068" s="6" t="s">
        <v>104</v>
      </c>
      <c r="Y2068" s="21" t="s">
        <v>104</v>
      </c>
      <c r="Z2068" s="6" t="s">
        <v>104</v>
      </c>
      <c r="AA2068" s="6" t="s">
        <v>104</v>
      </c>
      <c r="AB2068" s="6" t="s">
        <v>104</v>
      </c>
      <c r="AC2068" s="6" t="s">
        <v>9714</v>
      </c>
      <c r="AD2068" s="16" t="n">
        <v>37621</v>
      </c>
      <c r="AE2068" s="6" t="s">
        <v>12323</v>
      </c>
      <c r="AF2068" s="6" t="s">
        <v>104</v>
      </c>
      <c r="AG2068" s="6" t="s">
        <v>6743</v>
      </c>
      <c r="AH2068" s="6" t="s">
        <v>15050</v>
      </c>
      <c r="AI2068" s="6" t="s">
        <v>104</v>
      </c>
      <c r="AJ2068" s="6" t="s">
        <v>16089</v>
      </c>
      <c r="AK2068" s="6" t="s">
        <v>16681</v>
      </c>
      <c r="AL2068" s="6" t="s">
        <v>16931</v>
      </c>
      <c r="AM2068" s="6" t="s">
        <v>18335</v>
      </c>
      <c r="AN2068" s="6" t="s">
        <v>18451</v>
      </c>
      <c r="AO2068" s="6" t="s">
        <v>18556</v>
      </c>
      <c r="AP2068" s="6" t="s">
        <v>15050</v>
      </c>
      <c r="AQ2068" s="6" t="s">
        <v>104</v>
      </c>
      <c r="AR2068" s="6" t="s">
        <v>16089</v>
      </c>
      <c r="AS2068" s="6" t="s">
        <v>16681</v>
      </c>
      <c r="AT2068" s="6" t="s">
        <v>16931</v>
      </c>
      <c r="AU2068" s="6" t="s">
        <v>18335</v>
      </c>
      <c r="AV2068" s="6" t="s">
        <v>104</v>
      </c>
      <c r="AW2068" s="6" t="s">
        <v>104</v>
      </c>
      <c r="AX2068" s="6" t="s">
        <v>21696</v>
      </c>
      <c r="AY2068" s="6" t="s">
        <v>104</v>
      </c>
      <c r="AZ2068" s="6" t="s">
        <v>104</v>
      </c>
      <c r="BA2068" s="6" t="s">
        <v>104</v>
      </c>
      <c r="BB2068" s="6" t="s">
        <v>104</v>
      </c>
      <c r="BC2068" s="26"/>
      <c r="BD2068" s="26"/>
      <c r="BE2068" s="26"/>
      <c r="BF2068" s="26"/>
      <c r="BG2068" s="26"/>
      <c r="BH2068" s="26"/>
      <c r="BI2068" s="26"/>
      <c r="BJ2068" s="26"/>
      <c r="BK2068" s="26"/>
      <c r="BL2068" s="26" t="s">
        <v>24533</v>
      </c>
      <c r="BM2068" s="26"/>
      <c r="BN2068" s="26"/>
      <c r="BO2068" s="26"/>
      <c r="BP2068" s="16" t="n">
        <v>45707</v>
      </c>
      <c r="BQ2068" s="28" t="str">
        <f>HYPERLINK("https://organic.ams.usda.gov/Integrity/Certificate.aspx?cid=36&amp;nopid=5400000164")</f>
        <v>https://organic.ams.usda.gov/Integrity/Certificate.aspx?cid=36&amp;nopid=5400000164</v>
      </c>
    </row>
    <row r="2069">
      <c r="A2069" t="s">
        <v>3</v>
      </c>
      <c r="B2069" s="6" t="s">
        <v>13</v>
      </c>
      <c r="C2069" s="6" t="s">
        <v>79</v>
      </c>
      <c r="D2069" s="6" t="s">
        <v>144</v>
      </c>
      <c r="E2069" s="10" t="s">
        <v>2267</v>
      </c>
      <c r="F2069" s="6" t="s">
        <v>4470</v>
      </c>
      <c r="G2069" s="6" t="s">
        <v>104</v>
      </c>
      <c r="H2069" s="6" t="s">
        <v>6744</v>
      </c>
      <c r="I2069" s="6" t="s">
        <v>7209</v>
      </c>
      <c r="J2069" s="6" t="s">
        <v>7433</v>
      </c>
      <c r="K2069" s="6" t="s">
        <v>9714</v>
      </c>
      <c r="L2069" s="16" t="n">
        <v>44165</v>
      </c>
      <c r="M2069" s="16" t="n">
        <v>46023</v>
      </c>
      <c r="N2069" s="6" t="s">
        <v>9714</v>
      </c>
      <c r="O2069" s="16" t="n">
        <v>44165</v>
      </c>
      <c r="P2069" s="6" t="s">
        <v>10244</v>
      </c>
      <c r="Q2069" s="6" t="s">
        <v>104</v>
      </c>
      <c r="R2069" s="6" t="s">
        <v>104</v>
      </c>
      <c r="S2069" s="6" t="s">
        <v>9714</v>
      </c>
      <c r="T2069" s="16" t="n">
        <v>44165</v>
      </c>
      <c r="U2069" s="6" t="s">
        <v>10505</v>
      </c>
      <c r="V2069" s="6" t="s">
        <v>104</v>
      </c>
      <c r="W2069" s="6" t="s">
        <v>104</v>
      </c>
      <c r="X2069" s="6" t="s">
        <v>104</v>
      </c>
      <c r="Y2069" s="21" t="s">
        <v>104</v>
      </c>
      <c r="Z2069" s="6" t="s">
        <v>104</v>
      </c>
      <c r="AA2069" s="6" t="s">
        <v>104</v>
      </c>
      <c r="AB2069" s="6" t="s">
        <v>104</v>
      </c>
      <c r="AC2069" s="6" t="s">
        <v>104</v>
      </c>
      <c r="AD2069" s="21" t="s">
        <v>104</v>
      </c>
      <c r="AE2069" s="6" t="s">
        <v>104</v>
      </c>
      <c r="AF2069" s="6" t="s">
        <v>104</v>
      </c>
      <c r="AG2069" s="6" t="s">
        <v>104</v>
      </c>
      <c r="AH2069" s="6" t="s">
        <v>104</v>
      </c>
      <c r="AI2069" s="6" t="s">
        <v>104</v>
      </c>
      <c r="AJ2069" s="6" t="s">
        <v>104</v>
      </c>
      <c r="AK2069" s="6" t="s">
        <v>104</v>
      </c>
      <c r="AL2069" s="6" t="s">
        <v>104</v>
      </c>
      <c r="AM2069" s="6" t="s">
        <v>104</v>
      </c>
      <c r="AN2069" s="6" t="s">
        <v>104</v>
      </c>
      <c r="AO2069" s="6" t="s">
        <v>104</v>
      </c>
      <c r="AP2069" s="6" t="s">
        <v>19495</v>
      </c>
      <c r="AQ2069" s="6" t="s">
        <v>104</v>
      </c>
      <c r="AR2069" s="6" t="s">
        <v>19774</v>
      </c>
      <c r="AS2069" s="6" t="s">
        <v>16681</v>
      </c>
      <c r="AT2069" s="6" t="s">
        <v>16931</v>
      </c>
      <c r="AU2069" s="6" t="s">
        <v>20055</v>
      </c>
      <c r="AV2069" s="6" t="s">
        <v>18455</v>
      </c>
      <c r="AW2069" s="6" t="s">
        <v>20109</v>
      </c>
      <c r="AX2069" s="6" t="s">
        <v>21697</v>
      </c>
      <c r="AY2069" s="6" t="s">
        <v>23532</v>
      </c>
      <c r="AZ2069" s="6" t="s">
        <v>104</v>
      </c>
      <c r="BA2069" s="6" t="s">
        <v>104</v>
      </c>
      <c r="BB2069" s="24" t="n">
        <v>385</v>
      </c>
      <c r="BC2069" s="26"/>
      <c r="BD2069" s="26"/>
      <c r="BE2069" s="26"/>
      <c r="BF2069" s="26" t="s">
        <v>24533</v>
      </c>
      <c r="BG2069" s="26"/>
      <c r="BH2069" s="26"/>
      <c r="BI2069" s="26"/>
      <c r="BJ2069" s="26"/>
      <c r="BK2069" s="26" t="s">
        <v>24533</v>
      </c>
      <c r="BL2069" s="26"/>
      <c r="BM2069" s="26"/>
      <c r="BN2069" s="26"/>
      <c r="BO2069" s="26"/>
      <c r="BP2069" s="16" t="n">
        <v>45720</v>
      </c>
      <c r="BQ2069" s="28" t="str">
        <f>HYPERLINK("https://organic.ams.usda.gov/Integrity/Certificate.aspx?cid=62&amp;nopid=8150014785")</f>
        <v>https://organic.ams.usda.gov/Integrity/Certificate.aspx?cid=62&amp;nopid=8150014785</v>
      </c>
    </row>
    <row r="2070">
      <c r="A2070" t="s">
        <v>3</v>
      </c>
      <c r="B2070" s="6" t="s">
        <v>29</v>
      </c>
      <c r="C2070" s="6" t="s">
        <v>95</v>
      </c>
      <c r="D2070" s="6" t="s">
        <v>160</v>
      </c>
      <c r="E2070" s="10" t="s">
        <v>2268</v>
      </c>
      <c r="F2070" s="6" t="s">
        <v>4471</v>
      </c>
      <c r="G2070" s="6" t="s">
        <v>104</v>
      </c>
      <c r="H2070" s="6" t="s">
        <v>6745</v>
      </c>
      <c r="I2070" s="6" t="s">
        <v>104</v>
      </c>
      <c r="J2070" s="6" t="s">
        <v>9593</v>
      </c>
      <c r="K2070" s="6" t="s">
        <v>9714</v>
      </c>
      <c r="L2070" s="16" t="n">
        <v>44238</v>
      </c>
      <c r="M2070" s="16" t="n">
        <v>46054</v>
      </c>
      <c r="N2070" s="6" t="s">
        <v>9714</v>
      </c>
      <c r="O2070" s="16" t="n">
        <v>44238</v>
      </c>
      <c r="P2070" s="6" t="s">
        <v>10245</v>
      </c>
      <c r="Q2070" s="6" t="s">
        <v>104</v>
      </c>
      <c r="R2070" s="6" t="s">
        <v>104</v>
      </c>
      <c r="S2070" s="6" t="s">
        <v>104</v>
      </c>
      <c r="T2070" s="21" t="s">
        <v>104</v>
      </c>
      <c r="U2070" s="6" t="s">
        <v>104</v>
      </c>
      <c r="V2070" s="6" t="s">
        <v>104</v>
      </c>
      <c r="W2070" s="6" t="s">
        <v>104</v>
      </c>
      <c r="X2070" s="6" t="s">
        <v>104</v>
      </c>
      <c r="Y2070" s="21" t="s">
        <v>104</v>
      </c>
      <c r="Z2070" s="6" t="s">
        <v>104</v>
      </c>
      <c r="AA2070" s="6" t="s">
        <v>104</v>
      </c>
      <c r="AB2070" s="6" t="s">
        <v>104</v>
      </c>
      <c r="AC2070" s="6" t="s">
        <v>9714</v>
      </c>
      <c r="AD2070" s="16" t="n">
        <v>44238</v>
      </c>
      <c r="AE2070" s="6" t="s">
        <v>12324</v>
      </c>
      <c r="AF2070" s="6" t="s">
        <v>104</v>
      </c>
      <c r="AG2070" s="6" t="s">
        <v>104</v>
      </c>
      <c r="AH2070" s="6" t="s">
        <v>15051</v>
      </c>
      <c r="AI2070" s="6" t="s">
        <v>104</v>
      </c>
      <c r="AJ2070" s="6" t="s">
        <v>8057</v>
      </c>
      <c r="AK2070" s="6" t="s">
        <v>16693</v>
      </c>
      <c r="AL2070" s="6" t="s">
        <v>16931</v>
      </c>
      <c r="AM2070" s="6" t="s">
        <v>18336</v>
      </c>
      <c r="AN2070" s="6" t="s">
        <v>18521</v>
      </c>
      <c r="AO2070" s="6" t="s">
        <v>18901</v>
      </c>
      <c r="AP2070" s="6" t="s">
        <v>104</v>
      </c>
      <c r="AQ2070" s="6" t="s">
        <v>104</v>
      </c>
      <c r="AR2070" s="6" t="s">
        <v>104</v>
      </c>
      <c r="AS2070" s="6" t="s">
        <v>104</v>
      </c>
      <c r="AT2070" s="6" t="s">
        <v>104</v>
      </c>
      <c r="AU2070" s="6" t="s">
        <v>104</v>
      </c>
      <c r="AV2070" s="6" t="s">
        <v>104</v>
      </c>
      <c r="AW2070" s="6" t="s">
        <v>104</v>
      </c>
      <c r="AX2070" s="6" t="s">
        <v>21698</v>
      </c>
      <c r="AY2070" s="6" t="s">
        <v>23533</v>
      </c>
      <c r="AZ2070" s="6" t="s">
        <v>104</v>
      </c>
      <c r="BA2070" s="6" t="s">
        <v>104</v>
      </c>
      <c r="BB2070" s="24" t="n">
        <v>408</v>
      </c>
      <c r="BC2070" s="26"/>
      <c r="BD2070" s="26"/>
      <c r="BE2070" s="26"/>
      <c r="BF2070" s="26"/>
      <c r="BG2070" s="26"/>
      <c r="BH2070" s="26"/>
      <c r="BI2070" s="26"/>
      <c r="BJ2070" s="26"/>
      <c r="BK2070" s="26"/>
      <c r="BL2070" s="26"/>
      <c r="BM2070" s="26"/>
      <c r="BN2070" s="26"/>
      <c r="BO2070" s="26"/>
      <c r="BP2070" s="16" t="n">
        <v>45690</v>
      </c>
      <c r="BQ2070" s="28" t="str">
        <f>HYPERLINK("https://organic.ams.usda.gov/Integrity/Certificate.aspx?cid=24&amp;nopid=7881636290")</f>
        <v>https://organic.ams.usda.gov/Integrity/Certificate.aspx?cid=24&amp;nopid=7881636290</v>
      </c>
    </row>
    <row r="2071">
      <c r="A2071" t="s">
        <v>3</v>
      </c>
      <c r="B2071" s="6" t="s">
        <v>23</v>
      </c>
      <c r="C2071" s="6" t="s">
        <v>89</v>
      </c>
      <c r="D2071" s="6" t="s">
        <v>154</v>
      </c>
      <c r="E2071" s="10" t="s">
        <v>2269</v>
      </c>
      <c r="F2071" s="6" t="s">
        <v>4472</v>
      </c>
      <c r="G2071" s="6" t="s">
        <v>104</v>
      </c>
      <c r="H2071" s="6" t="s">
        <v>6746</v>
      </c>
      <c r="I2071" s="6" t="s">
        <v>6945</v>
      </c>
      <c r="J2071" s="6" t="s">
        <v>9594</v>
      </c>
      <c r="K2071" s="6" t="s">
        <v>9714</v>
      </c>
      <c r="L2071" s="16" t="n">
        <v>37402</v>
      </c>
      <c r="M2071" s="16" t="n">
        <v>45383</v>
      </c>
      <c r="N2071" s="6" t="s">
        <v>9714</v>
      </c>
      <c r="O2071" s="16" t="n">
        <v>37402</v>
      </c>
      <c r="P2071" s="6" t="s">
        <v>10246</v>
      </c>
      <c r="Q2071" s="6" t="s">
        <v>104</v>
      </c>
      <c r="R2071" s="6" t="s">
        <v>6746</v>
      </c>
      <c r="S2071" s="6" t="s">
        <v>104</v>
      </c>
      <c r="T2071" s="21" t="s">
        <v>104</v>
      </c>
      <c r="U2071" s="6" t="s">
        <v>104</v>
      </c>
      <c r="V2071" s="6" t="s">
        <v>104</v>
      </c>
      <c r="W2071" s="6" t="s">
        <v>104</v>
      </c>
      <c r="X2071" s="6" t="s">
        <v>104</v>
      </c>
      <c r="Y2071" s="21" t="s">
        <v>104</v>
      </c>
      <c r="Z2071" s="6" t="s">
        <v>104</v>
      </c>
      <c r="AA2071" s="6" t="s">
        <v>104</v>
      </c>
      <c r="AB2071" s="6" t="s">
        <v>104</v>
      </c>
      <c r="AC2071" s="6" t="s">
        <v>9714</v>
      </c>
      <c r="AD2071" s="16" t="n">
        <v>37402</v>
      </c>
      <c r="AE2071" s="6" t="s">
        <v>12325</v>
      </c>
      <c r="AF2071" s="6" t="s">
        <v>104</v>
      </c>
      <c r="AG2071" s="6" t="s">
        <v>6746</v>
      </c>
      <c r="AH2071" s="6" t="s">
        <v>15052</v>
      </c>
      <c r="AI2071" s="6" t="s">
        <v>104</v>
      </c>
      <c r="AJ2071" s="6" t="s">
        <v>15459</v>
      </c>
      <c r="AK2071" s="6" t="s">
        <v>16714</v>
      </c>
      <c r="AL2071" s="6" t="s">
        <v>16931</v>
      </c>
      <c r="AM2071" s="6" t="s">
        <v>18337</v>
      </c>
      <c r="AN2071" s="6" t="s">
        <v>18529</v>
      </c>
      <c r="AO2071" s="6" t="s">
        <v>18920</v>
      </c>
      <c r="AP2071" s="6" t="s">
        <v>15052</v>
      </c>
      <c r="AQ2071" s="6" t="s">
        <v>104</v>
      </c>
      <c r="AR2071" s="6" t="s">
        <v>15459</v>
      </c>
      <c r="AS2071" s="6" t="s">
        <v>16714</v>
      </c>
      <c r="AT2071" s="6" t="s">
        <v>16931</v>
      </c>
      <c r="AU2071" s="6" t="s">
        <v>18337</v>
      </c>
      <c r="AV2071" s="6" t="s">
        <v>104</v>
      </c>
      <c r="AW2071" s="6" t="s">
        <v>104</v>
      </c>
      <c r="AX2071" s="6" t="s">
        <v>21699</v>
      </c>
      <c r="AY2071" s="6" t="s">
        <v>23534</v>
      </c>
      <c r="AZ2071" s="6" t="s">
        <v>24212</v>
      </c>
      <c r="BA2071" s="6" t="s">
        <v>24511</v>
      </c>
      <c r="BB2071" s="24" t="n">
        <v>15</v>
      </c>
      <c r="BC2071" s="26"/>
      <c r="BD2071" s="26"/>
      <c r="BE2071" s="26"/>
      <c r="BF2071" s="26"/>
      <c r="BG2071" s="26" t="s">
        <v>24533</v>
      </c>
      <c r="BH2071" s="26"/>
      <c r="BI2071" s="26"/>
      <c r="BJ2071" s="26"/>
      <c r="BK2071" s="26"/>
      <c r="BL2071" s="26"/>
      <c r="BM2071" s="26"/>
      <c r="BN2071" s="26"/>
      <c r="BO2071" s="26"/>
      <c r="BP2071" s="16" t="n">
        <v>45587</v>
      </c>
      <c r="BQ2071" s="28" t="str">
        <f>HYPERLINK("https://organic.ams.usda.gov/Integrity/Certificate.aspx?cid=45&amp;nopid=9950000052")</f>
        <v>https://organic.ams.usda.gov/Integrity/Certificate.aspx?cid=45&amp;nopid=9950000052</v>
      </c>
    </row>
    <row r="2072">
      <c r="A2072" t="s">
        <v>3</v>
      </c>
      <c r="B2072" s="6" t="s">
        <v>29</v>
      </c>
      <c r="C2072" s="6" t="s">
        <v>95</v>
      </c>
      <c r="D2072" s="6" t="s">
        <v>160</v>
      </c>
      <c r="E2072" s="10" t="s">
        <v>2270</v>
      </c>
      <c r="F2072" s="6" t="s">
        <v>4473</v>
      </c>
      <c r="G2072" s="6" t="s">
        <v>104</v>
      </c>
      <c r="H2072" s="6" t="s">
        <v>6747</v>
      </c>
      <c r="I2072" s="6" t="s">
        <v>104</v>
      </c>
      <c r="J2072" s="6" t="s">
        <v>9595</v>
      </c>
      <c r="K2072" s="6" t="s">
        <v>9714</v>
      </c>
      <c r="L2072" s="16" t="n">
        <v>45371</v>
      </c>
      <c r="M2072" s="16" t="n">
        <v>46054</v>
      </c>
      <c r="N2072" s="6" t="s">
        <v>104</v>
      </c>
      <c r="O2072" s="21" t="s">
        <v>104</v>
      </c>
      <c r="P2072" s="6" t="s">
        <v>104</v>
      </c>
      <c r="Q2072" s="6" t="s">
        <v>104</v>
      </c>
      <c r="R2072" s="6" t="s">
        <v>104</v>
      </c>
      <c r="S2072" s="6" t="s">
        <v>104</v>
      </c>
      <c r="T2072" s="21" t="s">
        <v>104</v>
      </c>
      <c r="U2072" s="6" t="s">
        <v>104</v>
      </c>
      <c r="V2072" s="6" t="s">
        <v>104</v>
      </c>
      <c r="W2072" s="6" t="s">
        <v>104</v>
      </c>
      <c r="X2072" s="6" t="s">
        <v>104</v>
      </c>
      <c r="Y2072" s="21" t="s">
        <v>104</v>
      </c>
      <c r="Z2072" s="6" t="s">
        <v>104</v>
      </c>
      <c r="AA2072" s="6" t="s">
        <v>104</v>
      </c>
      <c r="AB2072" s="6" t="s">
        <v>104</v>
      </c>
      <c r="AC2072" s="6" t="s">
        <v>9714</v>
      </c>
      <c r="AD2072" s="16" t="n">
        <v>45371</v>
      </c>
      <c r="AE2072" s="6" t="s">
        <v>12326</v>
      </c>
      <c r="AF2072" s="6" t="s">
        <v>104</v>
      </c>
      <c r="AG2072" s="6" t="s">
        <v>104</v>
      </c>
      <c r="AH2072" s="6" t="s">
        <v>15053</v>
      </c>
      <c r="AI2072" s="6" t="s">
        <v>15337</v>
      </c>
      <c r="AJ2072" s="6" t="s">
        <v>16584</v>
      </c>
      <c r="AK2072" s="6" t="s">
        <v>16680</v>
      </c>
      <c r="AL2072" s="6" t="s">
        <v>16931</v>
      </c>
      <c r="AM2072" s="6" t="s">
        <v>18338</v>
      </c>
      <c r="AN2072" s="6" t="s">
        <v>104</v>
      </c>
      <c r="AO2072" s="6" t="s">
        <v>104</v>
      </c>
      <c r="AP2072" s="6" t="s">
        <v>104</v>
      </c>
      <c r="AQ2072" s="6" t="s">
        <v>104</v>
      </c>
      <c r="AR2072" s="6" t="s">
        <v>104</v>
      </c>
      <c r="AS2072" s="6" t="s">
        <v>104</v>
      </c>
      <c r="AT2072" s="6" t="s">
        <v>104</v>
      </c>
      <c r="AU2072" s="6" t="s">
        <v>104</v>
      </c>
      <c r="AV2072" s="6" t="s">
        <v>104</v>
      </c>
      <c r="AW2072" s="6" t="s">
        <v>104</v>
      </c>
      <c r="AX2072" s="6" t="s">
        <v>21700</v>
      </c>
      <c r="AY2072" s="6" t="s">
        <v>23535</v>
      </c>
      <c r="AZ2072" s="6" t="s">
        <v>104</v>
      </c>
      <c r="BA2072" s="6" t="s">
        <v>104</v>
      </c>
      <c r="BB2072" s="24" t="n">
        <v>0</v>
      </c>
      <c r="BC2072" s="26"/>
      <c r="BD2072" s="26"/>
      <c r="BE2072" s="26"/>
      <c r="BF2072" s="26"/>
      <c r="BG2072" s="26"/>
      <c r="BH2072" s="26"/>
      <c r="BI2072" s="26"/>
      <c r="BJ2072" s="26"/>
      <c r="BK2072" s="26"/>
      <c r="BL2072" s="26"/>
      <c r="BM2072" s="26"/>
      <c r="BN2072" s="26"/>
      <c r="BO2072" s="26"/>
      <c r="BP2072" s="16" t="n">
        <v>45691</v>
      </c>
      <c r="BQ2072" s="28" t="str">
        <f>HYPERLINK("https://organic.ams.usda.gov/Integrity/Certificate.aspx?cid=24&amp;nopid=7880286022")</f>
        <v>https://organic.ams.usda.gov/Integrity/Certificate.aspx?cid=24&amp;nopid=7880286022</v>
      </c>
    </row>
    <row r="2073">
      <c r="A2073" t="s">
        <v>3</v>
      </c>
      <c r="B2073" s="6" t="s">
        <v>20</v>
      </c>
      <c r="C2073" s="6" t="s">
        <v>86</v>
      </c>
      <c r="D2073" s="6" t="s">
        <v>151</v>
      </c>
      <c r="E2073" s="10" t="s">
        <v>2271</v>
      </c>
      <c r="F2073" s="6" t="s">
        <v>4474</v>
      </c>
      <c r="G2073" s="6" t="s">
        <v>104</v>
      </c>
      <c r="H2073" s="6" t="s">
        <v>6748</v>
      </c>
      <c r="I2073" s="6" t="s">
        <v>8044</v>
      </c>
      <c r="J2073" s="6" t="s">
        <v>9596</v>
      </c>
      <c r="K2073" s="6" t="s">
        <v>9714</v>
      </c>
      <c r="L2073" s="16" t="n">
        <v>45642</v>
      </c>
      <c r="M2073" s="16" t="n">
        <v>46022</v>
      </c>
      <c r="N2073" s="6" t="s">
        <v>104</v>
      </c>
      <c r="O2073" s="21" t="s">
        <v>104</v>
      </c>
      <c r="P2073" s="6" t="s">
        <v>104</v>
      </c>
      <c r="Q2073" s="6" t="s">
        <v>104</v>
      </c>
      <c r="R2073" s="6" t="s">
        <v>104</v>
      </c>
      <c r="S2073" s="6" t="s">
        <v>104</v>
      </c>
      <c r="T2073" s="21" t="s">
        <v>104</v>
      </c>
      <c r="U2073" s="6" t="s">
        <v>104</v>
      </c>
      <c r="V2073" s="6" t="s">
        <v>104</v>
      </c>
      <c r="W2073" s="6" t="s">
        <v>104</v>
      </c>
      <c r="X2073" s="6" t="s">
        <v>104</v>
      </c>
      <c r="Y2073" s="21" t="s">
        <v>104</v>
      </c>
      <c r="Z2073" s="6" t="s">
        <v>104</v>
      </c>
      <c r="AA2073" s="6" t="s">
        <v>104</v>
      </c>
      <c r="AB2073" s="6" t="s">
        <v>104</v>
      </c>
      <c r="AC2073" s="6" t="s">
        <v>9714</v>
      </c>
      <c r="AD2073" s="16" t="n">
        <v>45642</v>
      </c>
      <c r="AE2073" s="6" t="s">
        <v>12327</v>
      </c>
      <c r="AF2073" s="6" t="s">
        <v>104</v>
      </c>
      <c r="AG2073" s="6" t="s">
        <v>13105</v>
      </c>
      <c r="AH2073" s="6" t="s">
        <v>15054</v>
      </c>
      <c r="AI2073" s="6" t="s">
        <v>104</v>
      </c>
      <c r="AJ2073" s="6" t="s">
        <v>16585</v>
      </c>
      <c r="AK2073" s="6" t="s">
        <v>15792</v>
      </c>
      <c r="AL2073" s="6" t="s">
        <v>16703</v>
      </c>
      <c r="AM2073" s="6" t="s">
        <v>17420</v>
      </c>
      <c r="AN2073" s="6" t="s">
        <v>104</v>
      </c>
      <c r="AO2073" s="6" t="s">
        <v>104</v>
      </c>
      <c r="AP2073" s="6" t="s">
        <v>104</v>
      </c>
      <c r="AQ2073" s="6" t="s">
        <v>104</v>
      </c>
      <c r="AR2073" s="6" t="s">
        <v>104</v>
      </c>
      <c r="AS2073" s="6" t="s">
        <v>104</v>
      </c>
      <c r="AT2073" s="6" t="s">
        <v>104</v>
      </c>
      <c r="AU2073" s="6" t="s">
        <v>104</v>
      </c>
      <c r="AV2073" s="6" t="s">
        <v>104</v>
      </c>
      <c r="AW2073" s="6" t="s">
        <v>104</v>
      </c>
      <c r="AX2073" s="6" t="s">
        <v>21701</v>
      </c>
      <c r="AY2073" s="6" t="s">
        <v>23536</v>
      </c>
      <c r="AZ2073" s="6" t="s">
        <v>104</v>
      </c>
      <c r="BA2073" s="6" t="s">
        <v>104</v>
      </c>
      <c r="BB2073" s="6" t="s">
        <v>104</v>
      </c>
      <c r="BC2073" s="26"/>
      <c r="BD2073" s="26"/>
      <c r="BE2073" s="26"/>
      <c r="BF2073" s="26"/>
      <c r="BG2073" s="26"/>
      <c r="BH2073" s="26"/>
      <c r="BI2073" s="26"/>
      <c r="BJ2073" s="26"/>
      <c r="BK2073" s="26"/>
      <c r="BL2073" s="26"/>
      <c r="BM2073" s="26"/>
      <c r="BN2073" s="26"/>
      <c r="BO2073" s="26"/>
      <c r="BP2073" s="16" t="n">
        <v>45643</v>
      </c>
      <c r="BQ2073" s="28" t="str">
        <f>HYPERLINK("https://organic.ams.usda.gov/Integrity/Certificate.aspx?cid=17&amp;nopid=4080208516")</f>
        <v>https://organic.ams.usda.gov/Integrity/Certificate.aspx?cid=17&amp;nopid=4080208516</v>
      </c>
    </row>
    <row r="2074">
      <c r="A2074" t="s">
        <v>3</v>
      </c>
      <c r="B2074" s="6" t="s">
        <v>9</v>
      </c>
      <c r="C2074" s="6" t="s">
        <v>75</v>
      </c>
      <c r="D2074" s="6" t="s">
        <v>140</v>
      </c>
      <c r="E2074" s="10" t="s">
        <v>2272</v>
      </c>
      <c r="F2074" s="6" t="s">
        <v>4475</v>
      </c>
      <c r="G2074" s="6" t="s">
        <v>104</v>
      </c>
      <c r="H2074" s="6" t="s">
        <v>6749</v>
      </c>
      <c r="I2074" s="6" t="s">
        <v>8045</v>
      </c>
      <c r="J2074" s="6" t="s">
        <v>9597</v>
      </c>
      <c r="K2074" s="6" t="s">
        <v>9714</v>
      </c>
      <c r="L2074" s="16" t="n">
        <v>37561</v>
      </c>
      <c r="M2074" s="16" t="n">
        <v>45717</v>
      </c>
      <c r="N2074" s="6" t="s">
        <v>104</v>
      </c>
      <c r="O2074" s="21" t="s">
        <v>104</v>
      </c>
      <c r="P2074" s="6" t="s">
        <v>104</v>
      </c>
      <c r="Q2074" s="6" t="s">
        <v>104</v>
      </c>
      <c r="R2074" s="6" t="s">
        <v>104</v>
      </c>
      <c r="S2074" s="6" t="s">
        <v>104</v>
      </c>
      <c r="T2074" s="21" t="s">
        <v>104</v>
      </c>
      <c r="U2074" s="6" t="s">
        <v>104</v>
      </c>
      <c r="V2074" s="6" t="s">
        <v>104</v>
      </c>
      <c r="W2074" s="6" t="s">
        <v>104</v>
      </c>
      <c r="X2074" s="6" t="s">
        <v>104</v>
      </c>
      <c r="Y2074" s="21" t="s">
        <v>104</v>
      </c>
      <c r="Z2074" s="6" t="s">
        <v>104</v>
      </c>
      <c r="AA2074" s="6" t="s">
        <v>104</v>
      </c>
      <c r="AB2074" s="6" t="s">
        <v>104</v>
      </c>
      <c r="AC2074" s="6" t="s">
        <v>9714</v>
      </c>
      <c r="AD2074" s="16" t="n">
        <v>37561</v>
      </c>
      <c r="AE2074" s="6" t="s">
        <v>12328</v>
      </c>
      <c r="AF2074" s="6" t="s">
        <v>104</v>
      </c>
      <c r="AG2074" s="6" t="s">
        <v>104</v>
      </c>
      <c r="AH2074" s="6" t="s">
        <v>104</v>
      </c>
      <c r="AI2074" s="6" t="s">
        <v>104</v>
      </c>
      <c r="AJ2074" s="6" t="s">
        <v>104</v>
      </c>
      <c r="AK2074" s="6" t="s">
        <v>104</v>
      </c>
      <c r="AL2074" s="6" t="s">
        <v>104</v>
      </c>
      <c r="AM2074" s="6" t="s">
        <v>104</v>
      </c>
      <c r="AN2074" s="6" t="s">
        <v>104</v>
      </c>
      <c r="AO2074" s="6" t="s">
        <v>104</v>
      </c>
      <c r="AP2074" s="6" t="s">
        <v>19496</v>
      </c>
      <c r="AQ2074" s="6" t="s">
        <v>104</v>
      </c>
      <c r="AR2074" s="6" t="s">
        <v>19775</v>
      </c>
      <c r="AS2074" s="6" t="s">
        <v>16687</v>
      </c>
      <c r="AT2074" s="6" t="s">
        <v>16931</v>
      </c>
      <c r="AU2074" s="6" t="s">
        <v>20056</v>
      </c>
      <c r="AV2074" s="6" t="s">
        <v>18487</v>
      </c>
      <c r="AW2074" s="6" t="s">
        <v>18601</v>
      </c>
      <c r="AX2074" s="6" t="s">
        <v>21702</v>
      </c>
      <c r="AY2074" s="6" t="s">
        <v>23537</v>
      </c>
      <c r="AZ2074" s="6" t="s">
        <v>104</v>
      </c>
      <c r="BA2074" s="6" t="s">
        <v>104</v>
      </c>
      <c r="BB2074" s="6" t="s">
        <v>104</v>
      </c>
      <c r="BC2074" s="26"/>
      <c r="BD2074" s="26"/>
      <c r="BE2074" s="26"/>
      <c r="BF2074" s="26"/>
      <c r="BG2074" s="26"/>
      <c r="BH2074" s="26"/>
      <c r="BI2074" s="26"/>
      <c r="BJ2074" s="26"/>
      <c r="BK2074" s="26"/>
      <c r="BL2074" s="26"/>
      <c r="BM2074" s="26"/>
      <c r="BN2074" s="26"/>
      <c r="BO2074" s="26"/>
      <c r="BP2074" s="16" t="n">
        <v>45685</v>
      </c>
      <c r="BQ2074" s="28" t="str">
        <f>HYPERLINK("https://organic.ams.usda.gov/Integrity/Certificate.aspx?cid=63&amp;nopid=6220005191")</f>
        <v>https://organic.ams.usda.gov/Integrity/Certificate.aspx?cid=63&amp;nopid=6220005191</v>
      </c>
    </row>
    <row r="2075">
      <c r="A2075" t="s">
        <v>3</v>
      </c>
      <c r="B2075" s="6" t="s">
        <v>20</v>
      </c>
      <c r="C2075" s="6" t="s">
        <v>86</v>
      </c>
      <c r="D2075" s="6" t="s">
        <v>151</v>
      </c>
      <c r="E2075" s="10" t="s">
        <v>2273</v>
      </c>
      <c r="F2075" s="6" t="s">
        <v>4476</v>
      </c>
      <c r="G2075" s="6" t="s">
        <v>104</v>
      </c>
      <c r="H2075" s="6" t="s">
        <v>6750</v>
      </c>
      <c r="I2075" s="6" t="s">
        <v>7458</v>
      </c>
      <c r="J2075" s="6" t="s">
        <v>9598</v>
      </c>
      <c r="K2075" s="6" t="s">
        <v>9714</v>
      </c>
      <c r="L2075" s="16" t="n">
        <v>43632</v>
      </c>
      <c r="M2075" s="16" t="n">
        <v>45777</v>
      </c>
      <c r="N2075" s="6" t="s">
        <v>104</v>
      </c>
      <c r="O2075" s="21" t="s">
        <v>104</v>
      </c>
      <c r="P2075" s="6" t="s">
        <v>104</v>
      </c>
      <c r="Q2075" s="6" t="s">
        <v>104</v>
      </c>
      <c r="R2075" s="6" t="s">
        <v>104</v>
      </c>
      <c r="S2075" s="6" t="s">
        <v>104</v>
      </c>
      <c r="T2075" s="21" t="s">
        <v>104</v>
      </c>
      <c r="U2075" s="6" t="s">
        <v>104</v>
      </c>
      <c r="V2075" s="6" t="s">
        <v>104</v>
      </c>
      <c r="W2075" s="6" t="s">
        <v>104</v>
      </c>
      <c r="X2075" s="6" t="s">
        <v>104</v>
      </c>
      <c r="Y2075" s="21" t="s">
        <v>104</v>
      </c>
      <c r="Z2075" s="6" t="s">
        <v>104</v>
      </c>
      <c r="AA2075" s="6" t="s">
        <v>104</v>
      </c>
      <c r="AB2075" s="6" t="s">
        <v>104</v>
      </c>
      <c r="AC2075" s="6" t="s">
        <v>9714</v>
      </c>
      <c r="AD2075" s="16" t="n">
        <v>43632</v>
      </c>
      <c r="AE2075" s="6" t="s">
        <v>12329</v>
      </c>
      <c r="AF2075" s="6" t="s">
        <v>104</v>
      </c>
      <c r="AG2075" s="6" t="s">
        <v>13106</v>
      </c>
      <c r="AH2075" s="6" t="s">
        <v>15055</v>
      </c>
      <c r="AI2075" s="6" t="s">
        <v>104</v>
      </c>
      <c r="AJ2075" s="6" t="s">
        <v>16586</v>
      </c>
      <c r="AK2075" s="6" t="s">
        <v>16907</v>
      </c>
      <c r="AL2075" s="6" t="s">
        <v>16933</v>
      </c>
      <c r="AM2075" s="6" t="s">
        <v>104</v>
      </c>
      <c r="AN2075" s="6" t="s">
        <v>104</v>
      </c>
      <c r="AO2075" s="6" t="s">
        <v>104</v>
      </c>
      <c r="AP2075" s="6" t="s">
        <v>104</v>
      </c>
      <c r="AQ2075" s="6" t="s">
        <v>104</v>
      </c>
      <c r="AR2075" s="6" t="s">
        <v>104</v>
      </c>
      <c r="AS2075" s="6" t="s">
        <v>104</v>
      </c>
      <c r="AT2075" s="6" t="s">
        <v>104</v>
      </c>
      <c r="AU2075" s="6" t="s">
        <v>104</v>
      </c>
      <c r="AV2075" s="6" t="s">
        <v>104</v>
      </c>
      <c r="AW2075" s="6" t="s">
        <v>104</v>
      </c>
      <c r="AX2075" s="6" t="s">
        <v>21703</v>
      </c>
      <c r="AY2075" s="6" t="s">
        <v>23538</v>
      </c>
      <c r="AZ2075" s="6" t="s">
        <v>104</v>
      </c>
      <c r="BA2075" s="6" t="s">
        <v>104</v>
      </c>
      <c r="BB2075" s="6" t="s">
        <v>104</v>
      </c>
      <c r="BC2075" s="26"/>
      <c r="BD2075" s="26"/>
      <c r="BE2075" s="26"/>
      <c r="BF2075" s="26"/>
      <c r="BG2075" s="26"/>
      <c r="BH2075" s="26"/>
      <c r="BI2075" s="26"/>
      <c r="BJ2075" s="26"/>
      <c r="BK2075" s="26"/>
      <c r="BL2075" s="26"/>
      <c r="BM2075" s="26"/>
      <c r="BN2075" s="26"/>
      <c r="BO2075" s="26"/>
      <c r="BP2075" s="16" t="n">
        <v>45372</v>
      </c>
      <c r="BQ2075" s="28" t="str">
        <f>HYPERLINK("https://organic.ams.usda.gov/Integrity/Certificate.aspx?cid=17&amp;nopid=4087185251")</f>
        <v>https://organic.ams.usda.gov/Integrity/Certificate.aspx?cid=17&amp;nopid=4087185251</v>
      </c>
    </row>
    <row r="2076">
      <c r="A2076" t="s">
        <v>3</v>
      </c>
      <c r="B2076" s="6" t="s">
        <v>13</v>
      </c>
      <c r="C2076" s="6" t="s">
        <v>79</v>
      </c>
      <c r="D2076" s="6" t="s">
        <v>144</v>
      </c>
      <c r="E2076" s="10" t="s">
        <v>2274</v>
      </c>
      <c r="F2076" s="6" t="s">
        <v>4477</v>
      </c>
      <c r="G2076" s="6" t="s">
        <v>104</v>
      </c>
      <c r="H2076" s="6" t="s">
        <v>6751</v>
      </c>
      <c r="I2076" s="6" t="s">
        <v>8046</v>
      </c>
      <c r="J2076" s="6" t="s">
        <v>9599</v>
      </c>
      <c r="K2076" s="6" t="s">
        <v>9714</v>
      </c>
      <c r="L2076" s="16" t="n">
        <v>42508</v>
      </c>
      <c r="M2076" s="16" t="n">
        <v>45748</v>
      </c>
      <c r="N2076" s="6" t="s">
        <v>104</v>
      </c>
      <c r="O2076" s="21" t="s">
        <v>104</v>
      </c>
      <c r="P2076" s="6" t="s">
        <v>104</v>
      </c>
      <c r="Q2076" s="6" t="s">
        <v>104</v>
      </c>
      <c r="R2076" s="6" t="s">
        <v>104</v>
      </c>
      <c r="S2076" s="6" t="s">
        <v>104</v>
      </c>
      <c r="T2076" s="21" t="s">
        <v>104</v>
      </c>
      <c r="U2076" s="6" t="s">
        <v>104</v>
      </c>
      <c r="V2076" s="6" t="s">
        <v>104</v>
      </c>
      <c r="W2076" s="6" t="s">
        <v>104</v>
      </c>
      <c r="X2076" s="6" t="s">
        <v>104</v>
      </c>
      <c r="Y2076" s="21" t="s">
        <v>104</v>
      </c>
      <c r="Z2076" s="6" t="s">
        <v>104</v>
      </c>
      <c r="AA2076" s="6" t="s">
        <v>104</v>
      </c>
      <c r="AB2076" s="6" t="s">
        <v>104</v>
      </c>
      <c r="AC2076" s="6" t="s">
        <v>9714</v>
      </c>
      <c r="AD2076" s="16" t="n">
        <v>42508</v>
      </c>
      <c r="AE2076" s="6" t="s">
        <v>12330</v>
      </c>
      <c r="AF2076" s="6" t="s">
        <v>104</v>
      </c>
      <c r="AG2076" s="6" t="s">
        <v>104</v>
      </c>
      <c r="AH2076" s="6" t="s">
        <v>104</v>
      </c>
      <c r="AI2076" s="6" t="s">
        <v>104</v>
      </c>
      <c r="AJ2076" s="6" t="s">
        <v>104</v>
      </c>
      <c r="AK2076" s="6" t="s">
        <v>104</v>
      </c>
      <c r="AL2076" s="6" t="s">
        <v>104</v>
      </c>
      <c r="AM2076" s="6" t="s">
        <v>104</v>
      </c>
      <c r="AN2076" s="6" t="s">
        <v>104</v>
      </c>
      <c r="AO2076" s="6" t="s">
        <v>104</v>
      </c>
      <c r="AP2076" s="6" t="s">
        <v>19497</v>
      </c>
      <c r="AQ2076" s="6" t="s">
        <v>104</v>
      </c>
      <c r="AR2076" s="6" t="s">
        <v>19776</v>
      </c>
      <c r="AS2076" s="6" t="s">
        <v>16738</v>
      </c>
      <c r="AT2076" s="6" t="s">
        <v>16931</v>
      </c>
      <c r="AU2076" s="6" t="s">
        <v>20057</v>
      </c>
      <c r="AV2076" s="6" t="s">
        <v>18551</v>
      </c>
      <c r="AW2076" s="6" t="s">
        <v>18892</v>
      </c>
      <c r="AX2076" s="6" t="s">
        <v>21704</v>
      </c>
      <c r="AY2076" s="6" t="s">
        <v>23539</v>
      </c>
      <c r="AZ2076" s="6" t="s">
        <v>104</v>
      </c>
      <c r="BA2076" s="6" t="s">
        <v>104</v>
      </c>
      <c r="BB2076" s="6" t="s">
        <v>104</v>
      </c>
      <c r="BC2076" s="26"/>
      <c r="BD2076" s="26"/>
      <c r="BE2076" s="26" t="s">
        <v>24533</v>
      </c>
      <c r="BF2076" s="26"/>
      <c r="BG2076" s="26"/>
      <c r="BH2076" s="26"/>
      <c r="BI2076" s="26"/>
      <c r="BJ2076" s="26"/>
      <c r="BK2076" s="26"/>
      <c r="BL2076" s="26"/>
      <c r="BM2076" s="26"/>
      <c r="BN2076" s="26"/>
      <c r="BO2076" s="26"/>
      <c r="BP2076" s="16" t="n">
        <v>45628</v>
      </c>
      <c r="BQ2076" s="28" t="str">
        <f>HYPERLINK("https://organic.ams.usda.gov/Integrity/Certificate.aspx?cid=62&amp;nopid=8150001991")</f>
        <v>https://organic.ams.usda.gov/Integrity/Certificate.aspx?cid=62&amp;nopid=8150001991</v>
      </c>
    </row>
    <row r="2077">
      <c r="A2077" t="s">
        <v>3</v>
      </c>
      <c r="B2077" s="6" t="s">
        <v>34</v>
      </c>
      <c r="C2077" s="6" t="s">
        <v>100</v>
      </c>
      <c r="D2077" s="6" t="s">
        <v>165</v>
      </c>
      <c r="E2077" s="10" t="s">
        <v>2275</v>
      </c>
      <c r="F2077" s="6" t="s">
        <v>4478</v>
      </c>
      <c r="G2077" s="6" t="s">
        <v>104</v>
      </c>
      <c r="H2077" s="6" t="s">
        <v>6752</v>
      </c>
      <c r="I2077" s="6" t="s">
        <v>7670</v>
      </c>
      <c r="J2077" s="6" t="s">
        <v>8425</v>
      </c>
      <c r="K2077" s="6" t="s">
        <v>9714</v>
      </c>
      <c r="L2077" s="16" t="n">
        <v>45554</v>
      </c>
      <c r="M2077" s="16" t="n">
        <v>45834</v>
      </c>
      <c r="N2077" s="6" t="s">
        <v>104</v>
      </c>
      <c r="O2077" s="21" t="s">
        <v>104</v>
      </c>
      <c r="P2077" s="6" t="s">
        <v>104</v>
      </c>
      <c r="Q2077" s="6" t="s">
        <v>104</v>
      </c>
      <c r="R2077" s="6" t="s">
        <v>104</v>
      </c>
      <c r="S2077" s="6" t="s">
        <v>104</v>
      </c>
      <c r="T2077" s="21" t="s">
        <v>104</v>
      </c>
      <c r="U2077" s="6" t="s">
        <v>104</v>
      </c>
      <c r="V2077" s="6" t="s">
        <v>104</v>
      </c>
      <c r="W2077" s="6" t="s">
        <v>104</v>
      </c>
      <c r="X2077" s="6" t="s">
        <v>104</v>
      </c>
      <c r="Y2077" s="21" t="s">
        <v>104</v>
      </c>
      <c r="Z2077" s="6" t="s">
        <v>104</v>
      </c>
      <c r="AA2077" s="6" t="s">
        <v>104</v>
      </c>
      <c r="AB2077" s="6" t="s">
        <v>104</v>
      </c>
      <c r="AC2077" s="6" t="s">
        <v>9714</v>
      </c>
      <c r="AD2077" s="16" t="n">
        <v>45554</v>
      </c>
      <c r="AE2077" s="6" t="s">
        <v>12331</v>
      </c>
      <c r="AF2077" s="6" t="s">
        <v>104</v>
      </c>
      <c r="AG2077" s="6" t="s">
        <v>13107</v>
      </c>
      <c r="AH2077" s="6" t="s">
        <v>15056</v>
      </c>
      <c r="AI2077" s="6" t="s">
        <v>15343</v>
      </c>
      <c r="AJ2077" s="6" t="s">
        <v>16587</v>
      </c>
      <c r="AK2077" s="6" t="s">
        <v>16710</v>
      </c>
      <c r="AL2077" s="6" t="s">
        <v>16931</v>
      </c>
      <c r="AM2077" s="6" t="s">
        <v>18339</v>
      </c>
      <c r="AN2077" s="6" t="s">
        <v>104</v>
      </c>
      <c r="AO2077" s="6" t="s">
        <v>104</v>
      </c>
      <c r="AP2077" s="6" t="s">
        <v>19498</v>
      </c>
      <c r="AQ2077" s="6" t="s">
        <v>104</v>
      </c>
      <c r="AR2077" s="6" t="s">
        <v>16587</v>
      </c>
      <c r="AS2077" s="6" t="s">
        <v>16710</v>
      </c>
      <c r="AT2077" s="6" t="s">
        <v>16931</v>
      </c>
      <c r="AU2077" s="6" t="s">
        <v>18339</v>
      </c>
      <c r="AV2077" s="6" t="s">
        <v>104</v>
      </c>
      <c r="AW2077" s="6" t="s">
        <v>104</v>
      </c>
      <c r="AX2077" s="6" t="s">
        <v>21705</v>
      </c>
      <c r="AY2077" s="6" t="s">
        <v>23540</v>
      </c>
      <c r="AZ2077" s="6" t="s">
        <v>24213</v>
      </c>
      <c r="BA2077" s="6" t="s">
        <v>104</v>
      </c>
      <c r="BB2077" s="6" t="s">
        <v>104</v>
      </c>
      <c r="BC2077" s="26"/>
      <c r="BD2077" s="26"/>
      <c r="BE2077" s="26"/>
      <c r="BF2077" s="26"/>
      <c r="BG2077" s="26"/>
      <c r="BH2077" s="26" t="s">
        <v>24533</v>
      </c>
      <c r="BI2077" s="26"/>
      <c r="BJ2077" s="26"/>
      <c r="BK2077" s="26"/>
      <c r="BL2077" s="26"/>
      <c r="BM2077" s="26"/>
      <c r="BN2077" s="26"/>
      <c r="BO2077" s="26"/>
      <c r="BP2077" s="16" t="n">
        <v>45737</v>
      </c>
      <c r="BQ2077" s="28" t="str">
        <f>HYPERLINK("https://organic.ams.usda.gov/Integrity/Certificate.aspx?cid=71&amp;nopid=5520813867")</f>
        <v>https://organic.ams.usda.gov/Integrity/Certificate.aspx?cid=71&amp;nopid=5520813867</v>
      </c>
    </row>
    <row r="2078">
      <c r="A2078" t="s">
        <v>3</v>
      </c>
      <c r="B2078" s="6" t="s">
        <v>20</v>
      </c>
      <c r="C2078" s="6" t="s">
        <v>86</v>
      </c>
      <c r="D2078" s="6" t="s">
        <v>151</v>
      </c>
      <c r="E2078" s="10" t="s">
        <v>2276</v>
      </c>
      <c r="F2078" s="6" t="s">
        <v>4479</v>
      </c>
      <c r="G2078" s="6" t="s">
        <v>104</v>
      </c>
      <c r="H2078" s="6" t="s">
        <v>6753</v>
      </c>
      <c r="I2078" s="6" t="s">
        <v>8047</v>
      </c>
      <c r="J2078" s="6" t="s">
        <v>9600</v>
      </c>
      <c r="K2078" s="6" t="s">
        <v>9714</v>
      </c>
      <c r="L2078" s="16" t="n">
        <v>43603</v>
      </c>
      <c r="M2078" s="16" t="n">
        <v>45900</v>
      </c>
      <c r="N2078" s="6" t="s">
        <v>104</v>
      </c>
      <c r="O2078" s="21" t="s">
        <v>104</v>
      </c>
      <c r="P2078" s="6" t="s">
        <v>104</v>
      </c>
      <c r="Q2078" s="6" t="s">
        <v>104</v>
      </c>
      <c r="R2078" s="6" t="s">
        <v>104</v>
      </c>
      <c r="S2078" s="6" t="s">
        <v>104</v>
      </c>
      <c r="T2078" s="21" t="s">
        <v>104</v>
      </c>
      <c r="U2078" s="6" t="s">
        <v>104</v>
      </c>
      <c r="V2078" s="6" t="s">
        <v>104</v>
      </c>
      <c r="W2078" s="6" t="s">
        <v>104</v>
      </c>
      <c r="X2078" s="6" t="s">
        <v>104</v>
      </c>
      <c r="Y2078" s="21" t="s">
        <v>104</v>
      </c>
      <c r="Z2078" s="6" t="s">
        <v>104</v>
      </c>
      <c r="AA2078" s="6" t="s">
        <v>104</v>
      </c>
      <c r="AB2078" s="6" t="s">
        <v>104</v>
      </c>
      <c r="AC2078" s="6" t="s">
        <v>9714</v>
      </c>
      <c r="AD2078" s="16" t="n">
        <v>43603</v>
      </c>
      <c r="AE2078" s="6" t="s">
        <v>12332</v>
      </c>
      <c r="AF2078" s="6" t="s">
        <v>104</v>
      </c>
      <c r="AG2078" s="6" t="s">
        <v>13108</v>
      </c>
      <c r="AH2078" s="6" t="s">
        <v>15057</v>
      </c>
      <c r="AI2078" s="6" t="s">
        <v>104</v>
      </c>
      <c r="AJ2078" s="6" t="s">
        <v>16588</v>
      </c>
      <c r="AK2078" s="6" t="s">
        <v>16588</v>
      </c>
      <c r="AL2078" s="6" t="s">
        <v>15513</v>
      </c>
      <c r="AM2078" s="6" t="s">
        <v>18340</v>
      </c>
      <c r="AN2078" s="6" t="s">
        <v>104</v>
      </c>
      <c r="AO2078" s="6" t="s">
        <v>104</v>
      </c>
      <c r="AP2078" s="6" t="s">
        <v>104</v>
      </c>
      <c r="AQ2078" s="6" t="s">
        <v>104</v>
      </c>
      <c r="AR2078" s="6" t="s">
        <v>104</v>
      </c>
      <c r="AS2078" s="6" t="s">
        <v>104</v>
      </c>
      <c r="AT2078" s="6" t="s">
        <v>104</v>
      </c>
      <c r="AU2078" s="6" t="s">
        <v>104</v>
      </c>
      <c r="AV2078" s="6" t="s">
        <v>104</v>
      </c>
      <c r="AW2078" s="6" t="s">
        <v>104</v>
      </c>
      <c r="AX2078" s="6" t="s">
        <v>21706</v>
      </c>
      <c r="AY2078" s="6" t="s">
        <v>23541</v>
      </c>
      <c r="AZ2078" s="6" t="s">
        <v>24214</v>
      </c>
      <c r="BA2078" s="6" t="s">
        <v>24512</v>
      </c>
      <c r="BB2078" s="6" t="s">
        <v>104</v>
      </c>
      <c r="BC2078" s="26"/>
      <c r="BD2078" s="26"/>
      <c r="BE2078" s="26"/>
      <c r="BF2078" s="26"/>
      <c r="BG2078" s="26"/>
      <c r="BH2078" s="26"/>
      <c r="BI2078" s="26"/>
      <c r="BJ2078" s="26"/>
      <c r="BK2078" s="26"/>
      <c r="BL2078" s="26"/>
      <c r="BM2078" s="26"/>
      <c r="BN2078" s="26"/>
      <c r="BO2078" s="26"/>
      <c r="BP2078" s="16" t="n">
        <v>45588</v>
      </c>
      <c r="BQ2078" s="28" t="str">
        <f>HYPERLINK("https://organic.ams.usda.gov/Integrity/Certificate.aspx?cid=17&amp;nopid=4087185701")</f>
        <v>https://organic.ams.usda.gov/Integrity/Certificate.aspx?cid=17&amp;nopid=4087185701</v>
      </c>
    </row>
    <row r="2079">
      <c r="A2079" t="s">
        <v>3</v>
      </c>
      <c r="B2079" s="6" t="s">
        <v>11</v>
      </c>
      <c r="C2079" s="6" t="s">
        <v>77</v>
      </c>
      <c r="D2079" s="6" t="s">
        <v>142</v>
      </c>
      <c r="E2079" s="10" t="s">
        <v>2277</v>
      </c>
      <c r="F2079" s="6" t="s">
        <v>4480</v>
      </c>
      <c r="G2079" s="6" t="s">
        <v>104</v>
      </c>
      <c r="H2079" s="6" t="s">
        <v>6754</v>
      </c>
      <c r="I2079" s="6" t="s">
        <v>8048</v>
      </c>
      <c r="J2079" s="6" t="s">
        <v>9601</v>
      </c>
      <c r="K2079" s="6" t="s">
        <v>9714</v>
      </c>
      <c r="L2079" s="16" t="n">
        <v>43801</v>
      </c>
      <c r="M2079" s="16" t="n">
        <v>45993</v>
      </c>
      <c r="N2079" s="6" t="s">
        <v>104</v>
      </c>
      <c r="O2079" s="21" t="s">
        <v>104</v>
      </c>
      <c r="P2079" s="6" t="s">
        <v>104</v>
      </c>
      <c r="Q2079" s="6" t="s">
        <v>104</v>
      </c>
      <c r="R2079" s="6" t="s">
        <v>104</v>
      </c>
      <c r="S2079" s="6" t="s">
        <v>104</v>
      </c>
      <c r="T2079" s="21" t="s">
        <v>104</v>
      </c>
      <c r="U2079" s="6" t="s">
        <v>104</v>
      </c>
      <c r="V2079" s="6" t="s">
        <v>104</v>
      </c>
      <c r="W2079" s="6" t="s">
        <v>104</v>
      </c>
      <c r="X2079" s="6" t="s">
        <v>104</v>
      </c>
      <c r="Y2079" s="21" t="s">
        <v>104</v>
      </c>
      <c r="Z2079" s="6" t="s">
        <v>104</v>
      </c>
      <c r="AA2079" s="6" t="s">
        <v>104</v>
      </c>
      <c r="AB2079" s="6" t="s">
        <v>104</v>
      </c>
      <c r="AC2079" s="6" t="s">
        <v>9714</v>
      </c>
      <c r="AD2079" s="16" t="n">
        <v>43801</v>
      </c>
      <c r="AE2079" s="6" t="s">
        <v>12333</v>
      </c>
      <c r="AF2079" s="6" t="s">
        <v>104</v>
      </c>
      <c r="AG2079" s="6" t="s">
        <v>104</v>
      </c>
      <c r="AH2079" s="6" t="s">
        <v>15058</v>
      </c>
      <c r="AI2079" s="6" t="s">
        <v>15344</v>
      </c>
      <c r="AJ2079" s="6" t="s">
        <v>16589</v>
      </c>
      <c r="AK2079" s="6" t="s">
        <v>16908</v>
      </c>
      <c r="AL2079" s="6" t="s">
        <v>16946</v>
      </c>
      <c r="AM2079" s="6" t="s">
        <v>104</v>
      </c>
      <c r="AN2079" s="6" t="s">
        <v>104</v>
      </c>
      <c r="AO2079" s="6" t="s">
        <v>104</v>
      </c>
      <c r="AP2079" s="6" t="s">
        <v>15058</v>
      </c>
      <c r="AQ2079" s="6" t="s">
        <v>15344</v>
      </c>
      <c r="AR2079" s="6" t="s">
        <v>16589</v>
      </c>
      <c r="AS2079" s="6" t="s">
        <v>16908</v>
      </c>
      <c r="AT2079" s="6" t="s">
        <v>16946</v>
      </c>
      <c r="AU2079" s="6" t="s">
        <v>104</v>
      </c>
      <c r="AV2079" s="6" t="s">
        <v>104</v>
      </c>
      <c r="AW2079" s="6" t="s">
        <v>104</v>
      </c>
      <c r="AX2079" s="6" t="s">
        <v>21707</v>
      </c>
      <c r="AY2079" s="6" t="s">
        <v>23542</v>
      </c>
      <c r="AZ2079" s="6" t="s">
        <v>104</v>
      </c>
      <c r="BA2079" s="6" t="s">
        <v>104</v>
      </c>
      <c r="BB2079" s="24" t="n">
        <v>0</v>
      </c>
      <c r="BC2079" s="26"/>
      <c r="BD2079" s="26"/>
      <c r="BE2079" s="26"/>
      <c r="BF2079" s="26"/>
      <c r="BG2079" s="26"/>
      <c r="BH2079" s="26"/>
      <c r="BI2079" s="26"/>
      <c r="BJ2079" s="26"/>
      <c r="BK2079" s="26"/>
      <c r="BL2079" s="26"/>
      <c r="BM2079" s="26"/>
      <c r="BN2079" s="26"/>
      <c r="BO2079" s="26"/>
      <c r="BP2079" s="16" t="n">
        <v>45681</v>
      </c>
      <c r="BQ2079" s="28" t="str">
        <f>HYPERLINK("https://organic.ams.usda.gov/Integrity/Certificate.aspx?cid=21&amp;nopid=1780868566")</f>
        <v>https://organic.ams.usda.gov/Integrity/Certificate.aspx?cid=21&amp;nopid=1780868566</v>
      </c>
    </row>
    <row r="2080">
      <c r="A2080" t="s">
        <v>3</v>
      </c>
      <c r="B2080" s="6" t="s">
        <v>34</v>
      </c>
      <c r="C2080" s="6" t="s">
        <v>100</v>
      </c>
      <c r="D2080" s="6" t="s">
        <v>165</v>
      </c>
      <c r="E2080" s="10" t="s">
        <v>2278</v>
      </c>
      <c r="F2080" s="6" t="s">
        <v>4481</v>
      </c>
      <c r="G2080" s="6" t="s">
        <v>104</v>
      </c>
      <c r="H2080" s="6" t="s">
        <v>6755</v>
      </c>
      <c r="I2080" s="6" t="s">
        <v>7158</v>
      </c>
      <c r="J2080" s="6" t="s">
        <v>9602</v>
      </c>
      <c r="K2080" s="6" t="s">
        <v>9714</v>
      </c>
      <c r="L2080" s="16" t="n">
        <v>37391</v>
      </c>
      <c r="M2080" s="16" t="n">
        <v>45861</v>
      </c>
      <c r="N2080" s="6" t="s">
        <v>104</v>
      </c>
      <c r="O2080" s="21" t="s">
        <v>104</v>
      </c>
      <c r="P2080" s="6" t="s">
        <v>104</v>
      </c>
      <c r="Q2080" s="6" t="s">
        <v>104</v>
      </c>
      <c r="R2080" s="6" t="s">
        <v>104</v>
      </c>
      <c r="S2080" s="6" t="s">
        <v>104</v>
      </c>
      <c r="T2080" s="21" t="s">
        <v>104</v>
      </c>
      <c r="U2080" s="6" t="s">
        <v>104</v>
      </c>
      <c r="V2080" s="6" t="s">
        <v>104</v>
      </c>
      <c r="W2080" s="6" t="s">
        <v>104</v>
      </c>
      <c r="X2080" s="6" t="s">
        <v>104</v>
      </c>
      <c r="Y2080" s="21" t="s">
        <v>104</v>
      </c>
      <c r="Z2080" s="6" t="s">
        <v>104</v>
      </c>
      <c r="AA2080" s="6" t="s">
        <v>104</v>
      </c>
      <c r="AB2080" s="6" t="s">
        <v>104</v>
      </c>
      <c r="AC2080" s="6" t="s">
        <v>9714</v>
      </c>
      <c r="AD2080" s="16" t="n">
        <v>37391</v>
      </c>
      <c r="AE2080" s="6" t="s">
        <v>12334</v>
      </c>
      <c r="AF2080" s="6" t="s">
        <v>104</v>
      </c>
      <c r="AG2080" s="6" t="s">
        <v>13109</v>
      </c>
      <c r="AH2080" s="6" t="s">
        <v>15059</v>
      </c>
      <c r="AI2080" s="6" t="s">
        <v>104</v>
      </c>
      <c r="AJ2080" s="6" t="s">
        <v>16590</v>
      </c>
      <c r="AK2080" s="6" t="s">
        <v>16687</v>
      </c>
      <c r="AL2080" s="6" t="s">
        <v>16931</v>
      </c>
      <c r="AM2080" s="6" t="s">
        <v>18341</v>
      </c>
      <c r="AN2080" s="6" t="s">
        <v>18487</v>
      </c>
      <c r="AO2080" s="6" t="s">
        <v>18601</v>
      </c>
      <c r="AP2080" s="6" t="s">
        <v>15059</v>
      </c>
      <c r="AQ2080" s="6" t="s">
        <v>104</v>
      </c>
      <c r="AR2080" s="6" t="s">
        <v>16590</v>
      </c>
      <c r="AS2080" s="6" t="s">
        <v>16687</v>
      </c>
      <c r="AT2080" s="6" t="s">
        <v>16931</v>
      </c>
      <c r="AU2080" s="6" t="s">
        <v>18341</v>
      </c>
      <c r="AV2080" s="6" t="s">
        <v>104</v>
      </c>
      <c r="AW2080" s="6" t="s">
        <v>104</v>
      </c>
      <c r="AX2080" s="6" t="s">
        <v>21708</v>
      </c>
      <c r="AY2080" s="6" t="s">
        <v>23543</v>
      </c>
      <c r="AZ2080" s="6" t="s">
        <v>104</v>
      </c>
      <c r="BA2080" s="6" t="s">
        <v>104</v>
      </c>
      <c r="BB2080" s="6" t="s">
        <v>104</v>
      </c>
      <c r="BC2080" s="26"/>
      <c r="BD2080" s="26"/>
      <c r="BE2080" s="26"/>
      <c r="BF2080" s="26"/>
      <c r="BG2080" s="26" t="s">
        <v>24533</v>
      </c>
      <c r="BH2080" s="26"/>
      <c r="BI2080" s="26"/>
      <c r="BJ2080" s="26"/>
      <c r="BK2080" s="26"/>
      <c r="BL2080" s="26" t="s">
        <v>24533</v>
      </c>
      <c r="BM2080" s="26"/>
      <c r="BN2080" s="26"/>
      <c r="BO2080" s="26"/>
      <c r="BP2080" s="16" t="n">
        <v>45737</v>
      </c>
      <c r="BQ2080" s="28" t="str">
        <f>HYPERLINK("https://organic.ams.usda.gov/Integrity/Certificate.aspx?cid=71&amp;nopid=5520031486")</f>
        <v>https://organic.ams.usda.gov/Integrity/Certificate.aspx?cid=71&amp;nopid=5520031486</v>
      </c>
    </row>
    <row r="2081">
      <c r="A2081" t="s">
        <v>3</v>
      </c>
      <c r="B2081" s="6" t="s">
        <v>34</v>
      </c>
      <c r="C2081" s="6" t="s">
        <v>100</v>
      </c>
      <c r="D2081" s="6" t="s">
        <v>165</v>
      </c>
      <c r="E2081" s="10" t="s">
        <v>2279</v>
      </c>
      <c r="F2081" s="6" t="s">
        <v>4482</v>
      </c>
      <c r="G2081" s="6" t="s">
        <v>104</v>
      </c>
      <c r="H2081" s="6" t="s">
        <v>6756</v>
      </c>
      <c r="I2081" s="6" t="s">
        <v>7633</v>
      </c>
      <c r="J2081" s="6" t="s">
        <v>9603</v>
      </c>
      <c r="K2081" s="6" t="s">
        <v>9714</v>
      </c>
      <c r="L2081" s="16" t="n">
        <v>43089</v>
      </c>
      <c r="M2081" s="16" t="n">
        <v>45846</v>
      </c>
      <c r="N2081" s="6" t="s">
        <v>104</v>
      </c>
      <c r="O2081" s="21" t="s">
        <v>104</v>
      </c>
      <c r="P2081" s="6" t="s">
        <v>104</v>
      </c>
      <c r="Q2081" s="6" t="s">
        <v>104</v>
      </c>
      <c r="R2081" s="6" t="s">
        <v>104</v>
      </c>
      <c r="S2081" s="6" t="s">
        <v>104</v>
      </c>
      <c r="T2081" s="21" t="s">
        <v>104</v>
      </c>
      <c r="U2081" s="6" t="s">
        <v>104</v>
      </c>
      <c r="V2081" s="6" t="s">
        <v>104</v>
      </c>
      <c r="W2081" s="6" t="s">
        <v>104</v>
      </c>
      <c r="X2081" s="6" t="s">
        <v>104</v>
      </c>
      <c r="Y2081" s="21" t="s">
        <v>104</v>
      </c>
      <c r="Z2081" s="6" t="s">
        <v>104</v>
      </c>
      <c r="AA2081" s="6" t="s">
        <v>104</v>
      </c>
      <c r="AB2081" s="6" t="s">
        <v>104</v>
      </c>
      <c r="AC2081" s="6" t="s">
        <v>9714</v>
      </c>
      <c r="AD2081" s="16" t="n">
        <v>43089</v>
      </c>
      <c r="AE2081" s="6" t="s">
        <v>12335</v>
      </c>
      <c r="AF2081" s="6" t="s">
        <v>104</v>
      </c>
      <c r="AG2081" s="6" t="s">
        <v>13110</v>
      </c>
      <c r="AH2081" s="6" t="s">
        <v>15060</v>
      </c>
      <c r="AI2081" s="6" t="s">
        <v>104</v>
      </c>
      <c r="AJ2081" s="6" t="s">
        <v>15776</v>
      </c>
      <c r="AK2081" s="6" t="s">
        <v>16694</v>
      </c>
      <c r="AL2081" s="6" t="s">
        <v>16931</v>
      </c>
      <c r="AM2081" s="6" t="s">
        <v>17400</v>
      </c>
      <c r="AN2081" s="6" t="s">
        <v>104</v>
      </c>
      <c r="AO2081" s="6" t="s">
        <v>104</v>
      </c>
      <c r="AP2081" s="6" t="s">
        <v>19499</v>
      </c>
      <c r="AQ2081" s="6" t="s">
        <v>104</v>
      </c>
      <c r="AR2081" s="6" t="s">
        <v>15776</v>
      </c>
      <c r="AS2081" s="6" t="s">
        <v>16694</v>
      </c>
      <c r="AT2081" s="6" t="s">
        <v>16931</v>
      </c>
      <c r="AU2081" s="6" t="s">
        <v>17400</v>
      </c>
      <c r="AV2081" s="6" t="s">
        <v>104</v>
      </c>
      <c r="AW2081" s="6" t="s">
        <v>104</v>
      </c>
      <c r="AX2081" s="6" t="s">
        <v>21709</v>
      </c>
      <c r="AY2081" s="6" t="s">
        <v>23544</v>
      </c>
      <c r="AZ2081" s="6" t="s">
        <v>104</v>
      </c>
      <c r="BA2081" s="6" t="s">
        <v>104</v>
      </c>
      <c r="BB2081" s="6" t="s">
        <v>104</v>
      </c>
      <c r="BC2081" s="26"/>
      <c r="BD2081" s="26"/>
      <c r="BE2081" s="26"/>
      <c r="BF2081" s="26"/>
      <c r="BG2081" s="26"/>
      <c r="BH2081" s="26"/>
      <c r="BI2081" s="26"/>
      <c r="BJ2081" s="26"/>
      <c r="BK2081" s="26"/>
      <c r="BL2081" s="26"/>
      <c r="BM2081" s="26"/>
      <c r="BN2081" s="26"/>
      <c r="BO2081" s="26"/>
      <c r="BP2081" s="16" t="n">
        <v>45737</v>
      </c>
      <c r="BQ2081" s="28" t="str">
        <f>HYPERLINK("https://organic.ams.usda.gov/Integrity/Certificate.aspx?cid=71&amp;nopid=5520030907")</f>
        <v>https://organic.ams.usda.gov/Integrity/Certificate.aspx?cid=71&amp;nopid=5520030907</v>
      </c>
    </row>
    <row r="2082">
      <c r="A2082" t="s">
        <v>3</v>
      </c>
      <c r="B2082" s="6" t="s">
        <v>54</v>
      </c>
      <c r="C2082" s="6" t="s">
        <v>120</v>
      </c>
      <c r="D2082" s="6" t="s">
        <v>184</v>
      </c>
      <c r="E2082" s="10" t="s">
        <v>2280</v>
      </c>
      <c r="F2082" s="6" t="s">
        <v>4483</v>
      </c>
      <c r="G2082" s="6" t="s">
        <v>104</v>
      </c>
      <c r="H2082" s="6" t="s">
        <v>6757</v>
      </c>
      <c r="I2082" s="6" t="s">
        <v>8049</v>
      </c>
      <c r="J2082" s="6" t="s">
        <v>9604</v>
      </c>
      <c r="K2082" s="6" t="s">
        <v>9714</v>
      </c>
      <c r="L2082" s="16" t="n">
        <v>40494</v>
      </c>
      <c r="M2082" s="16" t="n">
        <v>46082</v>
      </c>
      <c r="N2082" s="6" t="s">
        <v>9714</v>
      </c>
      <c r="O2082" s="16" t="n">
        <v>40494</v>
      </c>
      <c r="P2082" s="6" t="s">
        <v>10247</v>
      </c>
      <c r="Q2082" s="6" t="s">
        <v>104</v>
      </c>
      <c r="R2082" s="6" t="s">
        <v>104</v>
      </c>
      <c r="S2082" s="6" t="s">
        <v>9714</v>
      </c>
      <c r="T2082" s="16" t="n">
        <v>42667</v>
      </c>
      <c r="U2082" s="6" t="s">
        <v>10506</v>
      </c>
      <c r="V2082" s="6" t="s">
        <v>104</v>
      </c>
      <c r="W2082" s="6" t="s">
        <v>104</v>
      </c>
      <c r="X2082" s="6" t="s">
        <v>104</v>
      </c>
      <c r="Y2082" s="21" t="s">
        <v>104</v>
      </c>
      <c r="Z2082" s="6" t="s">
        <v>104</v>
      </c>
      <c r="AA2082" s="6" t="s">
        <v>104</v>
      </c>
      <c r="AB2082" s="6" t="s">
        <v>104</v>
      </c>
      <c r="AC2082" s="6" t="s">
        <v>104</v>
      </c>
      <c r="AD2082" s="21" t="s">
        <v>104</v>
      </c>
      <c r="AE2082" s="6" t="s">
        <v>104</v>
      </c>
      <c r="AF2082" s="6" t="s">
        <v>104</v>
      </c>
      <c r="AG2082" s="6" t="s">
        <v>104</v>
      </c>
      <c r="AH2082" s="6" t="s">
        <v>15061</v>
      </c>
      <c r="AI2082" s="6" t="s">
        <v>104</v>
      </c>
      <c r="AJ2082" s="6" t="s">
        <v>16591</v>
      </c>
      <c r="AK2082" s="6" t="s">
        <v>16683</v>
      </c>
      <c r="AL2082" s="6" t="s">
        <v>16931</v>
      </c>
      <c r="AM2082" s="6" t="s">
        <v>18342</v>
      </c>
      <c r="AN2082" s="6" t="s">
        <v>18463</v>
      </c>
      <c r="AO2082" s="6" t="s">
        <v>18921</v>
      </c>
      <c r="AP2082" s="6" t="s">
        <v>104</v>
      </c>
      <c r="AQ2082" s="6" t="s">
        <v>104</v>
      </c>
      <c r="AR2082" s="6" t="s">
        <v>104</v>
      </c>
      <c r="AS2082" s="6" t="s">
        <v>104</v>
      </c>
      <c r="AT2082" s="6" t="s">
        <v>104</v>
      </c>
      <c r="AU2082" s="6" t="s">
        <v>104</v>
      </c>
      <c r="AV2082" s="6" t="s">
        <v>104</v>
      </c>
      <c r="AW2082" s="6" t="s">
        <v>104</v>
      </c>
      <c r="AX2082" s="6" t="s">
        <v>21710</v>
      </c>
      <c r="AY2082" s="6" t="s">
        <v>23545</v>
      </c>
      <c r="AZ2082" s="6" t="s">
        <v>104</v>
      </c>
      <c r="BA2082" s="6" t="s">
        <v>24272</v>
      </c>
      <c r="BB2082" s="24" t="n">
        <v>763</v>
      </c>
      <c r="BC2082" s="26"/>
      <c r="BD2082" s="26"/>
      <c r="BE2082" s="26"/>
      <c r="BF2082" s="26"/>
      <c r="BG2082" s="26"/>
      <c r="BH2082" s="26"/>
      <c r="BI2082" s="26"/>
      <c r="BJ2082" s="26"/>
      <c r="BK2082" s="26"/>
      <c r="BL2082" s="26"/>
      <c r="BM2082" s="26"/>
      <c r="BN2082" s="26"/>
      <c r="BO2082" s="26"/>
      <c r="BP2082" s="16" t="n">
        <v>45733</v>
      </c>
      <c r="BQ2082" s="28" t="str">
        <f>HYPERLINK("https://organic.ams.usda.gov/Integrity/Certificate.aspx?cid=60&amp;nopid=2580000444")</f>
        <v>https://organic.ams.usda.gov/Integrity/Certificate.aspx?cid=60&amp;nopid=2580000444</v>
      </c>
    </row>
    <row r="2083">
      <c r="A2083" t="s">
        <v>3</v>
      </c>
      <c r="B2083" s="6" t="s">
        <v>41</v>
      </c>
      <c r="C2083" s="6" t="s">
        <v>107</v>
      </c>
      <c r="D2083" s="6" t="s">
        <v>171</v>
      </c>
      <c r="E2083" s="10" t="s">
        <v>2281</v>
      </c>
      <c r="F2083" s="6" t="s">
        <v>4484</v>
      </c>
      <c r="G2083" s="6" t="s">
        <v>104</v>
      </c>
      <c r="H2083" s="6" t="s">
        <v>6758</v>
      </c>
      <c r="I2083" s="6" t="s">
        <v>8049</v>
      </c>
      <c r="J2083" s="6" t="s">
        <v>9605</v>
      </c>
      <c r="K2083" s="6" t="s">
        <v>9714</v>
      </c>
      <c r="L2083" s="16" t="n">
        <v>44365</v>
      </c>
      <c r="M2083" s="16" t="n">
        <v>46157</v>
      </c>
      <c r="N2083" s="6" t="s">
        <v>9714</v>
      </c>
      <c r="O2083" s="16" t="n">
        <v>44365</v>
      </c>
      <c r="P2083" s="6" t="s">
        <v>10248</v>
      </c>
      <c r="Q2083" s="6" t="s">
        <v>104</v>
      </c>
      <c r="R2083" s="6" t="s">
        <v>104</v>
      </c>
      <c r="S2083" s="6" t="s">
        <v>104</v>
      </c>
      <c r="T2083" s="21" t="s">
        <v>104</v>
      </c>
      <c r="U2083" s="6" t="s">
        <v>104</v>
      </c>
      <c r="V2083" s="6" t="s">
        <v>104</v>
      </c>
      <c r="W2083" s="6" t="s">
        <v>104</v>
      </c>
      <c r="X2083" s="6" t="s">
        <v>104</v>
      </c>
      <c r="Y2083" s="21" t="s">
        <v>104</v>
      </c>
      <c r="Z2083" s="6" t="s">
        <v>104</v>
      </c>
      <c r="AA2083" s="6" t="s">
        <v>104</v>
      </c>
      <c r="AB2083" s="6" t="s">
        <v>104</v>
      </c>
      <c r="AC2083" s="6" t="s">
        <v>9714</v>
      </c>
      <c r="AD2083" s="16" t="n">
        <v>45475</v>
      </c>
      <c r="AE2083" s="6" t="s">
        <v>12336</v>
      </c>
      <c r="AF2083" s="6" t="s">
        <v>104</v>
      </c>
      <c r="AG2083" s="6" t="s">
        <v>104</v>
      </c>
      <c r="AH2083" s="6" t="s">
        <v>15062</v>
      </c>
      <c r="AI2083" s="6" t="s">
        <v>104</v>
      </c>
      <c r="AJ2083" s="6" t="s">
        <v>16592</v>
      </c>
      <c r="AK2083" s="6" t="s">
        <v>16710</v>
      </c>
      <c r="AL2083" s="6" t="s">
        <v>16931</v>
      </c>
      <c r="AM2083" s="6" t="s">
        <v>18343</v>
      </c>
      <c r="AN2083" s="6" t="s">
        <v>18487</v>
      </c>
      <c r="AO2083" s="6" t="s">
        <v>18922</v>
      </c>
      <c r="AP2083" s="6" t="s">
        <v>15062</v>
      </c>
      <c r="AQ2083" s="6" t="s">
        <v>104</v>
      </c>
      <c r="AR2083" s="6" t="s">
        <v>16592</v>
      </c>
      <c r="AS2083" s="6" t="s">
        <v>16710</v>
      </c>
      <c r="AT2083" s="6" t="s">
        <v>16931</v>
      </c>
      <c r="AU2083" s="6" t="s">
        <v>18343</v>
      </c>
      <c r="AV2083" s="6" t="s">
        <v>104</v>
      </c>
      <c r="AW2083" s="6" t="s">
        <v>104</v>
      </c>
      <c r="AX2083" s="6" t="s">
        <v>21711</v>
      </c>
      <c r="AY2083" s="6" t="s">
        <v>23546</v>
      </c>
      <c r="AZ2083" s="6" t="s">
        <v>104</v>
      </c>
      <c r="BA2083" s="6" t="s">
        <v>104</v>
      </c>
      <c r="BB2083" s="24" t="n">
        <v>190</v>
      </c>
      <c r="BC2083" s="26"/>
      <c r="BD2083" s="26"/>
      <c r="BE2083" s="26"/>
      <c r="BF2083" s="26"/>
      <c r="BG2083" s="26"/>
      <c r="BH2083" s="26"/>
      <c r="BI2083" s="26"/>
      <c r="BJ2083" s="26"/>
      <c r="BK2083" s="26"/>
      <c r="BL2083" s="26"/>
      <c r="BM2083" s="26"/>
      <c r="BN2083" s="26" t="s">
        <v>24533</v>
      </c>
      <c r="BO2083" s="26"/>
      <c r="BP2083" s="16" t="n">
        <v>45737</v>
      </c>
      <c r="BQ2083" s="28" t="str">
        <f>HYPERLINK("https://organic.ams.usda.gov/Integrity/Certificate.aspx?cid=58&amp;nopid=1600003520")</f>
        <v>https://organic.ams.usda.gov/Integrity/Certificate.aspx?cid=58&amp;nopid=1600003520</v>
      </c>
    </row>
    <row r="2084">
      <c r="A2084" t="s">
        <v>3</v>
      </c>
      <c r="B2084" s="6" t="s">
        <v>14</v>
      </c>
      <c r="C2084" s="6" t="s">
        <v>80</v>
      </c>
      <c r="D2084" s="6" t="s">
        <v>145</v>
      </c>
      <c r="E2084" s="10" t="s">
        <v>2282</v>
      </c>
      <c r="F2084" s="6" t="s">
        <v>4485</v>
      </c>
      <c r="G2084" s="6" t="s">
        <v>104</v>
      </c>
      <c r="H2084" s="6" t="s">
        <v>6759</v>
      </c>
      <c r="I2084" s="6" t="s">
        <v>8050</v>
      </c>
      <c r="J2084" s="6" t="s">
        <v>9606</v>
      </c>
      <c r="K2084" s="6" t="s">
        <v>9714</v>
      </c>
      <c r="L2084" s="16" t="n">
        <v>45313</v>
      </c>
      <c r="M2084" s="16" t="n">
        <v>45958</v>
      </c>
      <c r="N2084" s="6" t="s">
        <v>104</v>
      </c>
      <c r="O2084" s="21" t="s">
        <v>104</v>
      </c>
      <c r="P2084" s="6" t="s">
        <v>104</v>
      </c>
      <c r="Q2084" s="6" t="s">
        <v>104</v>
      </c>
      <c r="R2084" s="6" t="s">
        <v>104</v>
      </c>
      <c r="S2084" s="6" t="s">
        <v>104</v>
      </c>
      <c r="T2084" s="21" t="s">
        <v>104</v>
      </c>
      <c r="U2084" s="6" t="s">
        <v>104</v>
      </c>
      <c r="V2084" s="6" t="s">
        <v>104</v>
      </c>
      <c r="W2084" s="6" t="s">
        <v>104</v>
      </c>
      <c r="X2084" s="6" t="s">
        <v>104</v>
      </c>
      <c r="Y2084" s="21" t="s">
        <v>104</v>
      </c>
      <c r="Z2084" s="6" t="s">
        <v>104</v>
      </c>
      <c r="AA2084" s="6" t="s">
        <v>104</v>
      </c>
      <c r="AB2084" s="6" t="s">
        <v>104</v>
      </c>
      <c r="AC2084" s="6" t="s">
        <v>9714</v>
      </c>
      <c r="AD2084" s="16" t="n">
        <v>45313</v>
      </c>
      <c r="AE2084" s="6" t="s">
        <v>12337</v>
      </c>
      <c r="AF2084" s="6" t="s">
        <v>104</v>
      </c>
      <c r="AG2084" s="6" t="s">
        <v>104</v>
      </c>
      <c r="AH2084" s="6" t="s">
        <v>15063</v>
      </c>
      <c r="AI2084" s="6" t="s">
        <v>104</v>
      </c>
      <c r="AJ2084" s="6" t="s">
        <v>16448</v>
      </c>
      <c r="AK2084" s="6" t="s">
        <v>16802</v>
      </c>
      <c r="AL2084" s="6" t="s">
        <v>16932</v>
      </c>
      <c r="AM2084" s="6" t="s">
        <v>18344</v>
      </c>
      <c r="AN2084" s="6" t="s">
        <v>104</v>
      </c>
      <c r="AO2084" s="6" t="s">
        <v>104</v>
      </c>
      <c r="AP2084" s="6" t="s">
        <v>104</v>
      </c>
      <c r="AQ2084" s="6" t="s">
        <v>104</v>
      </c>
      <c r="AR2084" s="6" t="s">
        <v>104</v>
      </c>
      <c r="AS2084" s="6" t="s">
        <v>104</v>
      </c>
      <c r="AT2084" s="6" t="s">
        <v>104</v>
      </c>
      <c r="AU2084" s="6" t="s">
        <v>104</v>
      </c>
      <c r="AV2084" s="6" t="s">
        <v>104</v>
      </c>
      <c r="AW2084" s="6" t="s">
        <v>104</v>
      </c>
      <c r="AX2084" s="6" t="s">
        <v>21712</v>
      </c>
      <c r="AY2084" s="6" t="s">
        <v>23547</v>
      </c>
      <c r="AZ2084" s="6" t="s">
        <v>104</v>
      </c>
      <c r="BA2084" s="6" t="s">
        <v>104</v>
      </c>
      <c r="BB2084" s="6" t="s">
        <v>104</v>
      </c>
      <c r="BC2084" s="26"/>
      <c r="BD2084" s="26"/>
      <c r="BE2084" s="26"/>
      <c r="BF2084" s="26"/>
      <c r="BG2084" s="26"/>
      <c r="BH2084" s="26"/>
      <c r="BI2084" s="26"/>
      <c r="BJ2084" s="26"/>
      <c r="BK2084" s="26"/>
      <c r="BL2084" s="26"/>
      <c r="BM2084" s="26"/>
      <c r="BN2084" s="26"/>
      <c r="BO2084" s="26"/>
      <c r="BP2084" s="16" t="n">
        <v>45737</v>
      </c>
      <c r="BQ2084" s="28" t="str">
        <f>HYPERLINK("https://organic.ams.usda.gov/Integrity/Certificate.aspx?cid=89&amp;nopid=4920004095")</f>
        <v>https://organic.ams.usda.gov/Integrity/Certificate.aspx?cid=89&amp;nopid=4920004095</v>
      </c>
    </row>
    <row r="2085">
      <c r="A2085" t="s">
        <v>3</v>
      </c>
      <c r="B2085" s="6" t="s">
        <v>21</v>
      </c>
      <c r="C2085" s="6" t="s">
        <v>87</v>
      </c>
      <c r="D2085" s="6" t="s">
        <v>152</v>
      </c>
      <c r="E2085" s="10" t="s">
        <v>2283</v>
      </c>
      <c r="F2085" s="6" t="s">
        <v>4486</v>
      </c>
      <c r="G2085" s="6" t="s">
        <v>4875</v>
      </c>
      <c r="H2085" s="6" t="s">
        <v>6760</v>
      </c>
      <c r="I2085" s="6" t="s">
        <v>7903</v>
      </c>
      <c r="J2085" s="6" t="s">
        <v>9607</v>
      </c>
      <c r="K2085" s="6" t="s">
        <v>9714</v>
      </c>
      <c r="L2085" s="16" t="n">
        <v>42502</v>
      </c>
      <c r="M2085" s="16" t="n">
        <v>46023</v>
      </c>
      <c r="N2085" s="6" t="s">
        <v>104</v>
      </c>
      <c r="O2085" s="21" t="s">
        <v>104</v>
      </c>
      <c r="P2085" s="6" t="s">
        <v>104</v>
      </c>
      <c r="Q2085" s="6" t="s">
        <v>104</v>
      </c>
      <c r="R2085" s="6" t="s">
        <v>104</v>
      </c>
      <c r="S2085" s="6" t="s">
        <v>104</v>
      </c>
      <c r="T2085" s="21" t="s">
        <v>104</v>
      </c>
      <c r="U2085" s="6" t="s">
        <v>104</v>
      </c>
      <c r="V2085" s="6" t="s">
        <v>104</v>
      </c>
      <c r="W2085" s="6" t="s">
        <v>104</v>
      </c>
      <c r="X2085" s="6" t="s">
        <v>104</v>
      </c>
      <c r="Y2085" s="21" t="s">
        <v>104</v>
      </c>
      <c r="Z2085" s="6" t="s">
        <v>104</v>
      </c>
      <c r="AA2085" s="6" t="s">
        <v>104</v>
      </c>
      <c r="AB2085" s="6" t="s">
        <v>104</v>
      </c>
      <c r="AC2085" s="6" t="s">
        <v>9714</v>
      </c>
      <c r="AD2085" s="16" t="n">
        <v>42502</v>
      </c>
      <c r="AE2085" s="6" t="s">
        <v>12338</v>
      </c>
      <c r="AF2085" s="6" t="s">
        <v>104</v>
      </c>
      <c r="AG2085" s="6" t="s">
        <v>104</v>
      </c>
      <c r="AH2085" s="6" t="s">
        <v>15064</v>
      </c>
      <c r="AI2085" s="6" t="s">
        <v>104</v>
      </c>
      <c r="AJ2085" s="6" t="s">
        <v>15456</v>
      </c>
      <c r="AK2085" s="6" t="s">
        <v>16714</v>
      </c>
      <c r="AL2085" s="6" t="s">
        <v>16931</v>
      </c>
      <c r="AM2085" s="6" t="s">
        <v>18345</v>
      </c>
      <c r="AN2085" s="6" t="s">
        <v>5640</v>
      </c>
      <c r="AO2085" s="6" t="s">
        <v>18589</v>
      </c>
      <c r="AP2085" s="6" t="s">
        <v>15064</v>
      </c>
      <c r="AQ2085" s="6" t="s">
        <v>104</v>
      </c>
      <c r="AR2085" s="6" t="s">
        <v>15456</v>
      </c>
      <c r="AS2085" s="6" t="s">
        <v>16714</v>
      </c>
      <c r="AT2085" s="6" t="s">
        <v>16931</v>
      </c>
      <c r="AU2085" s="6" t="s">
        <v>18345</v>
      </c>
      <c r="AV2085" s="6" t="s">
        <v>104</v>
      </c>
      <c r="AW2085" s="6" t="s">
        <v>104</v>
      </c>
      <c r="AX2085" s="6" t="s">
        <v>21713</v>
      </c>
      <c r="AY2085" s="6" t="s">
        <v>23548</v>
      </c>
      <c r="AZ2085" s="6" t="s">
        <v>24215</v>
      </c>
      <c r="BA2085" s="6" t="s">
        <v>24513</v>
      </c>
      <c r="BB2085" s="6" t="s">
        <v>104</v>
      </c>
      <c r="BC2085" s="26"/>
      <c r="BD2085" s="26"/>
      <c r="BE2085" s="26"/>
      <c r="BF2085" s="26"/>
      <c r="BG2085" s="26"/>
      <c r="BH2085" s="26"/>
      <c r="BI2085" s="26"/>
      <c r="BJ2085" s="26"/>
      <c r="BK2085" s="26"/>
      <c r="BL2085" s="26"/>
      <c r="BM2085" s="26"/>
      <c r="BN2085" s="26"/>
      <c r="BO2085" s="26"/>
      <c r="BP2085" s="16" t="n">
        <v>45723</v>
      </c>
      <c r="BQ2085" s="28" t="str">
        <f>HYPERLINK("https://organic.ams.usda.gov/Integrity/Certificate.aspx?cid=15&amp;nopid=5561004204")</f>
        <v>https://organic.ams.usda.gov/Integrity/Certificate.aspx?cid=15&amp;nopid=5561004204</v>
      </c>
    </row>
    <row r="2086">
      <c r="A2086" t="s">
        <v>3</v>
      </c>
      <c r="B2086" s="6" t="s">
        <v>21</v>
      </c>
      <c r="C2086" s="6" t="s">
        <v>87</v>
      </c>
      <c r="D2086" s="6" t="s">
        <v>152</v>
      </c>
      <c r="E2086" s="10" t="s">
        <v>2284</v>
      </c>
      <c r="F2086" s="6" t="s">
        <v>4487</v>
      </c>
      <c r="G2086" s="6" t="s">
        <v>104</v>
      </c>
      <c r="H2086" s="6" t="s">
        <v>6761</v>
      </c>
      <c r="I2086" s="6" t="s">
        <v>6943</v>
      </c>
      <c r="J2086" s="6" t="s">
        <v>9608</v>
      </c>
      <c r="K2086" s="6" t="s">
        <v>9714</v>
      </c>
      <c r="L2086" s="16" t="n">
        <v>36301</v>
      </c>
      <c r="M2086" s="16" t="n">
        <v>46023</v>
      </c>
      <c r="N2086" s="6" t="s">
        <v>104</v>
      </c>
      <c r="O2086" s="21" t="s">
        <v>104</v>
      </c>
      <c r="P2086" s="6" t="s">
        <v>104</v>
      </c>
      <c r="Q2086" s="6" t="s">
        <v>104</v>
      </c>
      <c r="R2086" s="6" t="s">
        <v>104</v>
      </c>
      <c r="S2086" s="6" t="s">
        <v>104</v>
      </c>
      <c r="T2086" s="21" t="s">
        <v>104</v>
      </c>
      <c r="U2086" s="6" t="s">
        <v>104</v>
      </c>
      <c r="V2086" s="6" t="s">
        <v>104</v>
      </c>
      <c r="W2086" s="6" t="s">
        <v>104</v>
      </c>
      <c r="X2086" s="6" t="s">
        <v>104</v>
      </c>
      <c r="Y2086" s="21" t="s">
        <v>104</v>
      </c>
      <c r="Z2086" s="6" t="s">
        <v>104</v>
      </c>
      <c r="AA2086" s="6" t="s">
        <v>104</v>
      </c>
      <c r="AB2086" s="6" t="s">
        <v>104</v>
      </c>
      <c r="AC2086" s="6" t="s">
        <v>9714</v>
      </c>
      <c r="AD2086" s="16" t="n">
        <v>36301</v>
      </c>
      <c r="AE2086" s="6" t="s">
        <v>12339</v>
      </c>
      <c r="AF2086" s="6" t="s">
        <v>104</v>
      </c>
      <c r="AG2086" s="6" t="s">
        <v>104</v>
      </c>
      <c r="AH2086" s="6" t="s">
        <v>15065</v>
      </c>
      <c r="AI2086" s="6" t="s">
        <v>104</v>
      </c>
      <c r="AJ2086" s="6" t="s">
        <v>16515</v>
      </c>
      <c r="AK2086" s="6" t="s">
        <v>16730</v>
      </c>
      <c r="AL2086" s="6" t="s">
        <v>16931</v>
      </c>
      <c r="AM2086" s="6" t="s">
        <v>18346</v>
      </c>
      <c r="AN2086" s="6" t="s">
        <v>18510</v>
      </c>
      <c r="AO2086" s="6" t="s">
        <v>18805</v>
      </c>
      <c r="AP2086" s="6" t="s">
        <v>19500</v>
      </c>
      <c r="AQ2086" s="6" t="s">
        <v>104</v>
      </c>
      <c r="AR2086" s="6" t="s">
        <v>15901</v>
      </c>
      <c r="AS2086" s="6" t="s">
        <v>16730</v>
      </c>
      <c r="AT2086" s="6" t="s">
        <v>16931</v>
      </c>
      <c r="AU2086" s="6" t="s">
        <v>20058</v>
      </c>
      <c r="AV2086" s="6" t="s">
        <v>104</v>
      </c>
      <c r="AW2086" s="6" t="s">
        <v>104</v>
      </c>
      <c r="AX2086" s="6" t="s">
        <v>21714</v>
      </c>
      <c r="AY2086" s="6" t="s">
        <v>23549</v>
      </c>
      <c r="AZ2086" s="6" t="s">
        <v>24216</v>
      </c>
      <c r="BA2086" s="6" t="s">
        <v>24514</v>
      </c>
      <c r="BB2086" s="6" t="s">
        <v>104</v>
      </c>
      <c r="BC2086" s="26"/>
      <c r="BD2086" s="26"/>
      <c r="BE2086" s="26" t="s">
        <v>24533</v>
      </c>
      <c r="BF2086" s="26"/>
      <c r="BG2086" s="26"/>
      <c r="BH2086" s="26"/>
      <c r="BI2086" s="26"/>
      <c r="BJ2086" s="26"/>
      <c r="BK2086" s="26"/>
      <c r="BL2086" s="26"/>
      <c r="BM2086" s="26"/>
      <c r="BN2086" s="26" t="s">
        <v>24533</v>
      </c>
      <c r="BO2086" s="26"/>
      <c r="BP2086" s="16" t="n">
        <v>45729</v>
      </c>
      <c r="BQ2086" s="28" t="str">
        <f>HYPERLINK("https://organic.ams.usda.gov/Integrity/Certificate.aspx?cid=15&amp;nopid=5561001957")</f>
        <v>https://organic.ams.usda.gov/Integrity/Certificate.aspx?cid=15&amp;nopid=5561001957</v>
      </c>
    </row>
    <row r="2087">
      <c r="A2087" t="s">
        <v>3</v>
      </c>
      <c r="B2087" s="6" t="s">
        <v>57</v>
      </c>
      <c r="C2087" s="6" t="s">
        <v>123</v>
      </c>
      <c r="D2087" s="6" t="s">
        <v>187</v>
      </c>
      <c r="E2087" s="10" t="s">
        <v>2285</v>
      </c>
      <c r="F2087" s="6" t="s">
        <v>4488</v>
      </c>
      <c r="G2087" s="6" t="s">
        <v>104</v>
      </c>
      <c r="H2087" s="6" t="s">
        <v>6762</v>
      </c>
      <c r="I2087" s="6" t="s">
        <v>7051</v>
      </c>
      <c r="J2087" s="6" t="s">
        <v>9609</v>
      </c>
      <c r="K2087" s="6" t="s">
        <v>9714</v>
      </c>
      <c r="L2087" s="16" t="n">
        <v>38239</v>
      </c>
      <c r="M2087" s="16" t="n">
        <v>45931</v>
      </c>
      <c r="N2087" s="6" t="s">
        <v>104</v>
      </c>
      <c r="O2087" s="21" t="s">
        <v>104</v>
      </c>
      <c r="P2087" s="6" t="s">
        <v>104</v>
      </c>
      <c r="Q2087" s="6" t="s">
        <v>104</v>
      </c>
      <c r="R2087" s="6" t="s">
        <v>104</v>
      </c>
      <c r="S2087" s="6" t="s">
        <v>104</v>
      </c>
      <c r="T2087" s="21" t="s">
        <v>104</v>
      </c>
      <c r="U2087" s="6" t="s">
        <v>104</v>
      </c>
      <c r="V2087" s="6" t="s">
        <v>104</v>
      </c>
      <c r="W2087" s="6" t="s">
        <v>104</v>
      </c>
      <c r="X2087" s="6" t="s">
        <v>104</v>
      </c>
      <c r="Y2087" s="21" t="s">
        <v>104</v>
      </c>
      <c r="Z2087" s="6" t="s">
        <v>104</v>
      </c>
      <c r="AA2087" s="6" t="s">
        <v>104</v>
      </c>
      <c r="AB2087" s="6" t="s">
        <v>104</v>
      </c>
      <c r="AC2087" s="6" t="s">
        <v>9714</v>
      </c>
      <c r="AD2087" s="16" t="n">
        <v>38239</v>
      </c>
      <c r="AE2087" s="6" t="s">
        <v>12340</v>
      </c>
      <c r="AF2087" s="6" t="s">
        <v>104</v>
      </c>
      <c r="AG2087" s="6" t="s">
        <v>104</v>
      </c>
      <c r="AH2087" s="6" t="s">
        <v>15066</v>
      </c>
      <c r="AI2087" s="6" t="s">
        <v>104</v>
      </c>
      <c r="AJ2087" s="6" t="s">
        <v>16593</v>
      </c>
      <c r="AK2087" s="6" t="s">
        <v>16730</v>
      </c>
      <c r="AL2087" s="6" t="s">
        <v>16931</v>
      </c>
      <c r="AM2087" s="6" t="s">
        <v>18347</v>
      </c>
      <c r="AN2087" s="6" t="s">
        <v>18491</v>
      </c>
      <c r="AO2087" s="6" t="s">
        <v>18739</v>
      </c>
      <c r="AP2087" s="6" t="s">
        <v>15066</v>
      </c>
      <c r="AQ2087" s="6" t="s">
        <v>104</v>
      </c>
      <c r="AR2087" s="6" t="s">
        <v>16593</v>
      </c>
      <c r="AS2087" s="6" t="s">
        <v>16730</v>
      </c>
      <c r="AT2087" s="6" t="s">
        <v>16931</v>
      </c>
      <c r="AU2087" s="6" t="s">
        <v>18347</v>
      </c>
      <c r="AV2087" s="6" t="s">
        <v>104</v>
      </c>
      <c r="AW2087" s="6" t="s">
        <v>104</v>
      </c>
      <c r="AX2087" s="6" t="s">
        <v>21715</v>
      </c>
      <c r="AY2087" s="6" t="s">
        <v>23550</v>
      </c>
      <c r="AZ2087" s="6" t="s">
        <v>104</v>
      </c>
      <c r="BA2087" s="6" t="s">
        <v>104</v>
      </c>
      <c r="BB2087" s="6" t="s">
        <v>104</v>
      </c>
      <c r="BC2087" s="26"/>
      <c r="BD2087" s="26"/>
      <c r="BE2087" s="26"/>
      <c r="BF2087" s="26"/>
      <c r="BG2087" s="26"/>
      <c r="BH2087" s="26"/>
      <c r="BI2087" s="26"/>
      <c r="BJ2087" s="26"/>
      <c r="BK2087" s="26"/>
      <c r="BL2087" s="26"/>
      <c r="BM2087" s="26"/>
      <c r="BN2087" s="26"/>
      <c r="BO2087" s="26"/>
      <c r="BP2087" s="16" t="n">
        <v>45735</v>
      </c>
      <c r="BQ2087" s="28" t="str">
        <f>HYPERLINK("https://organic.ams.usda.gov/Integrity/Certificate.aspx?cid=19&amp;nopid=6350000235")</f>
        <v>https://organic.ams.usda.gov/Integrity/Certificate.aspx?cid=19&amp;nopid=6350000235</v>
      </c>
    </row>
    <row r="2088">
      <c r="A2088" t="s">
        <v>3</v>
      </c>
      <c r="B2088" s="6" t="s">
        <v>21</v>
      </c>
      <c r="C2088" s="6" t="s">
        <v>87</v>
      </c>
      <c r="D2088" s="6" t="s">
        <v>152</v>
      </c>
      <c r="E2088" s="10" t="s">
        <v>2286</v>
      </c>
      <c r="F2088" s="6" t="s">
        <v>4489</v>
      </c>
      <c r="G2088" s="6" t="s">
        <v>4876</v>
      </c>
      <c r="H2088" s="6" t="s">
        <v>6763</v>
      </c>
      <c r="I2088" s="6" t="s">
        <v>7562</v>
      </c>
      <c r="J2088" s="6" t="s">
        <v>9610</v>
      </c>
      <c r="K2088" s="6" t="s">
        <v>9714</v>
      </c>
      <c r="L2088" s="16" t="n">
        <v>29646</v>
      </c>
      <c r="M2088" s="16" t="n">
        <v>46023</v>
      </c>
      <c r="N2088" s="6" t="s">
        <v>9721</v>
      </c>
      <c r="O2088" s="16" t="n">
        <v>45373</v>
      </c>
      <c r="P2088" s="6" t="s">
        <v>104</v>
      </c>
      <c r="Q2088" s="6" t="s">
        <v>104</v>
      </c>
      <c r="R2088" s="6" t="s">
        <v>104</v>
      </c>
      <c r="S2088" s="6" t="s">
        <v>104</v>
      </c>
      <c r="T2088" s="21" t="s">
        <v>104</v>
      </c>
      <c r="U2088" s="6" t="s">
        <v>104</v>
      </c>
      <c r="V2088" s="6" t="s">
        <v>104</v>
      </c>
      <c r="W2088" s="6" t="s">
        <v>104</v>
      </c>
      <c r="X2088" s="6" t="s">
        <v>104</v>
      </c>
      <c r="Y2088" s="21" t="s">
        <v>104</v>
      </c>
      <c r="Z2088" s="6" t="s">
        <v>104</v>
      </c>
      <c r="AA2088" s="6" t="s">
        <v>104</v>
      </c>
      <c r="AB2088" s="6" t="s">
        <v>104</v>
      </c>
      <c r="AC2088" s="6" t="s">
        <v>9714</v>
      </c>
      <c r="AD2088" s="16" t="n">
        <v>38467</v>
      </c>
      <c r="AE2088" s="6" t="s">
        <v>12341</v>
      </c>
      <c r="AF2088" s="6" t="s">
        <v>104</v>
      </c>
      <c r="AG2088" s="6" t="s">
        <v>104</v>
      </c>
      <c r="AH2088" s="6" t="s">
        <v>15067</v>
      </c>
      <c r="AI2088" s="6" t="s">
        <v>104</v>
      </c>
      <c r="AJ2088" s="6" t="s">
        <v>15445</v>
      </c>
      <c r="AK2088" s="6" t="s">
        <v>16687</v>
      </c>
      <c r="AL2088" s="6" t="s">
        <v>16931</v>
      </c>
      <c r="AM2088" s="6" t="s">
        <v>17074</v>
      </c>
      <c r="AN2088" s="6" t="s">
        <v>18477</v>
      </c>
      <c r="AO2088" s="6" t="s">
        <v>18586</v>
      </c>
      <c r="AP2088" s="6" t="s">
        <v>19501</v>
      </c>
      <c r="AQ2088" s="6" t="s">
        <v>104</v>
      </c>
      <c r="AR2088" s="6" t="s">
        <v>15445</v>
      </c>
      <c r="AS2088" s="6" t="s">
        <v>16687</v>
      </c>
      <c r="AT2088" s="6" t="s">
        <v>16931</v>
      </c>
      <c r="AU2088" s="6" t="s">
        <v>17074</v>
      </c>
      <c r="AV2088" s="6" t="s">
        <v>104</v>
      </c>
      <c r="AW2088" s="6" t="s">
        <v>104</v>
      </c>
      <c r="AX2088" s="6" t="s">
        <v>21716</v>
      </c>
      <c r="AY2088" s="6" t="s">
        <v>23551</v>
      </c>
      <c r="AZ2088" s="6" t="s">
        <v>24217</v>
      </c>
      <c r="BA2088" s="6" t="s">
        <v>24515</v>
      </c>
      <c r="BB2088" s="6" t="s">
        <v>104</v>
      </c>
      <c r="BC2088" s="26"/>
      <c r="BD2088" s="26"/>
      <c r="BE2088" s="26"/>
      <c r="BF2088" s="26"/>
      <c r="BG2088" s="26"/>
      <c r="BH2088" s="26"/>
      <c r="BI2088" s="26"/>
      <c r="BJ2088" s="26"/>
      <c r="BK2088" s="26"/>
      <c r="BL2088" s="26"/>
      <c r="BM2088" s="26"/>
      <c r="BN2088" s="26"/>
      <c r="BO2088" s="26"/>
      <c r="BP2088" s="16" t="n">
        <v>45667</v>
      </c>
      <c r="BQ2088" s="28" t="str">
        <f>HYPERLINK("https://organic.ams.usda.gov/Integrity/Certificate.aspx?cid=15&amp;nopid=5561000385")</f>
        <v>https://organic.ams.usda.gov/Integrity/Certificate.aspx?cid=15&amp;nopid=5561000385</v>
      </c>
    </row>
    <row r="2089">
      <c r="A2089" t="s">
        <v>3</v>
      </c>
      <c r="B2089" s="6" t="s">
        <v>45</v>
      </c>
      <c r="C2089" s="6" t="s">
        <v>111</v>
      </c>
      <c r="D2089" s="6" t="s">
        <v>175</v>
      </c>
      <c r="E2089" s="10" t="s">
        <v>2287</v>
      </c>
      <c r="F2089" s="6" t="s">
        <v>4490</v>
      </c>
      <c r="G2089" s="6" t="s">
        <v>104</v>
      </c>
      <c r="H2089" s="6" t="s">
        <v>6764</v>
      </c>
      <c r="I2089" s="6" t="s">
        <v>7749</v>
      </c>
      <c r="J2089" s="6" t="s">
        <v>9611</v>
      </c>
      <c r="K2089" s="6" t="s">
        <v>9714</v>
      </c>
      <c r="L2089" s="16" t="n">
        <v>42893</v>
      </c>
      <c r="M2089" s="16" t="n">
        <v>46082</v>
      </c>
      <c r="N2089" s="6" t="s">
        <v>104</v>
      </c>
      <c r="O2089" s="21" t="s">
        <v>104</v>
      </c>
      <c r="P2089" s="6" t="s">
        <v>104</v>
      </c>
      <c r="Q2089" s="6" t="s">
        <v>104</v>
      </c>
      <c r="R2089" s="6" t="s">
        <v>104</v>
      </c>
      <c r="S2089" s="6" t="s">
        <v>104</v>
      </c>
      <c r="T2089" s="21" t="s">
        <v>104</v>
      </c>
      <c r="U2089" s="6" t="s">
        <v>104</v>
      </c>
      <c r="V2089" s="6" t="s">
        <v>104</v>
      </c>
      <c r="W2089" s="6" t="s">
        <v>104</v>
      </c>
      <c r="X2089" s="6" t="s">
        <v>104</v>
      </c>
      <c r="Y2089" s="21" t="s">
        <v>104</v>
      </c>
      <c r="Z2089" s="6" t="s">
        <v>104</v>
      </c>
      <c r="AA2089" s="6" t="s">
        <v>104</v>
      </c>
      <c r="AB2089" s="6" t="s">
        <v>104</v>
      </c>
      <c r="AC2089" s="6" t="s">
        <v>9714</v>
      </c>
      <c r="AD2089" s="16" t="n">
        <v>42893</v>
      </c>
      <c r="AE2089" s="6" t="s">
        <v>12342</v>
      </c>
      <c r="AF2089" s="6" t="s">
        <v>104</v>
      </c>
      <c r="AG2089" s="6" t="s">
        <v>4667</v>
      </c>
      <c r="AH2089" s="6" t="s">
        <v>15068</v>
      </c>
      <c r="AI2089" s="6" t="s">
        <v>104</v>
      </c>
      <c r="AJ2089" s="6" t="s">
        <v>16177</v>
      </c>
      <c r="AK2089" s="6" t="s">
        <v>16382</v>
      </c>
      <c r="AL2089" s="6" t="s">
        <v>16931</v>
      </c>
      <c r="AM2089" s="6" t="s">
        <v>18117</v>
      </c>
      <c r="AN2089" s="6" t="s">
        <v>104</v>
      </c>
      <c r="AO2089" s="6" t="s">
        <v>104</v>
      </c>
      <c r="AP2089" s="6" t="s">
        <v>19502</v>
      </c>
      <c r="AQ2089" s="6" t="s">
        <v>104</v>
      </c>
      <c r="AR2089" s="6" t="s">
        <v>16177</v>
      </c>
      <c r="AS2089" s="6" t="s">
        <v>16382</v>
      </c>
      <c r="AT2089" s="6" t="s">
        <v>16931</v>
      </c>
      <c r="AU2089" s="6" t="s">
        <v>18117</v>
      </c>
      <c r="AV2089" s="6" t="s">
        <v>5429</v>
      </c>
      <c r="AW2089" s="6" t="s">
        <v>18724</v>
      </c>
      <c r="AX2089" s="6" t="s">
        <v>21717</v>
      </c>
      <c r="AY2089" s="6" t="s">
        <v>23552</v>
      </c>
      <c r="AZ2089" s="6" t="s">
        <v>104</v>
      </c>
      <c r="BA2089" s="6" t="s">
        <v>104</v>
      </c>
      <c r="BB2089" s="6" t="s">
        <v>104</v>
      </c>
      <c r="BC2089" s="26"/>
      <c r="BD2089" s="26"/>
      <c r="BE2089" s="26"/>
      <c r="BF2089" s="26"/>
      <c r="BG2089" s="26"/>
      <c r="BH2089" s="26"/>
      <c r="BI2089" s="26"/>
      <c r="BJ2089" s="26"/>
      <c r="BK2089" s="26"/>
      <c r="BL2089" s="26"/>
      <c r="BM2089" s="26"/>
      <c r="BN2089" s="26"/>
      <c r="BO2089" s="26"/>
      <c r="BP2089" s="16" t="n">
        <v>45739</v>
      </c>
      <c r="BQ2089" s="28" t="str">
        <f>HYPERLINK("https://organic.ams.usda.gov/Integrity/Certificate.aspx?cid=82&amp;nopid=2780003297")</f>
        <v>https://organic.ams.usda.gov/Integrity/Certificate.aspx?cid=82&amp;nopid=2780003297</v>
      </c>
    </row>
    <row r="2090">
      <c r="A2090" t="s">
        <v>3</v>
      </c>
      <c r="B2090" s="6" t="s">
        <v>54</v>
      </c>
      <c r="C2090" s="6" t="s">
        <v>120</v>
      </c>
      <c r="D2090" s="6" t="s">
        <v>184</v>
      </c>
      <c r="E2090" s="10" t="s">
        <v>2288</v>
      </c>
      <c r="F2090" s="6" t="s">
        <v>4491</v>
      </c>
      <c r="G2090" s="6" t="s">
        <v>104</v>
      </c>
      <c r="H2090" s="6" t="s">
        <v>6765</v>
      </c>
      <c r="I2090" s="6" t="s">
        <v>7610</v>
      </c>
      <c r="J2090" s="6" t="s">
        <v>9612</v>
      </c>
      <c r="K2090" s="6" t="s">
        <v>9714</v>
      </c>
      <c r="L2090" s="16" t="n">
        <v>40102</v>
      </c>
      <c r="M2090" s="16" t="n">
        <v>45748</v>
      </c>
      <c r="N2090" s="6" t="s">
        <v>104</v>
      </c>
      <c r="O2090" s="21" t="s">
        <v>104</v>
      </c>
      <c r="P2090" s="6" t="s">
        <v>104</v>
      </c>
      <c r="Q2090" s="6" t="s">
        <v>104</v>
      </c>
      <c r="R2090" s="6" t="s">
        <v>104</v>
      </c>
      <c r="S2090" s="6" t="s">
        <v>104</v>
      </c>
      <c r="T2090" s="21" t="s">
        <v>104</v>
      </c>
      <c r="U2090" s="6" t="s">
        <v>104</v>
      </c>
      <c r="V2090" s="6" t="s">
        <v>104</v>
      </c>
      <c r="W2090" s="6" t="s">
        <v>104</v>
      </c>
      <c r="X2090" s="6" t="s">
        <v>104</v>
      </c>
      <c r="Y2090" s="21" t="s">
        <v>104</v>
      </c>
      <c r="Z2090" s="6" t="s">
        <v>104</v>
      </c>
      <c r="AA2090" s="6" t="s">
        <v>104</v>
      </c>
      <c r="AB2090" s="6" t="s">
        <v>104</v>
      </c>
      <c r="AC2090" s="6" t="s">
        <v>9714</v>
      </c>
      <c r="AD2090" s="16" t="n">
        <v>40102</v>
      </c>
      <c r="AE2090" s="6" t="s">
        <v>12343</v>
      </c>
      <c r="AF2090" s="6" t="s">
        <v>104</v>
      </c>
      <c r="AG2090" s="6" t="s">
        <v>104</v>
      </c>
      <c r="AH2090" s="6" t="s">
        <v>15069</v>
      </c>
      <c r="AI2090" s="6" t="s">
        <v>104</v>
      </c>
      <c r="AJ2090" s="6" t="s">
        <v>16594</v>
      </c>
      <c r="AK2090" s="6" t="s">
        <v>16684</v>
      </c>
      <c r="AL2090" s="6" t="s">
        <v>16931</v>
      </c>
      <c r="AM2090" s="6" t="s">
        <v>18348</v>
      </c>
      <c r="AN2090" s="6" t="s">
        <v>18466</v>
      </c>
      <c r="AO2090" s="6" t="s">
        <v>18923</v>
      </c>
      <c r="AP2090" s="6" t="s">
        <v>19503</v>
      </c>
      <c r="AQ2090" s="6" t="s">
        <v>104</v>
      </c>
      <c r="AR2090" s="6" t="s">
        <v>16594</v>
      </c>
      <c r="AS2090" s="6" t="s">
        <v>16684</v>
      </c>
      <c r="AT2090" s="6" t="s">
        <v>16931</v>
      </c>
      <c r="AU2090" s="6" t="s">
        <v>18348</v>
      </c>
      <c r="AV2090" s="6" t="s">
        <v>104</v>
      </c>
      <c r="AW2090" s="6" t="s">
        <v>104</v>
      </c>
      <c r="AX2090" s="6" t="s">
        <v>21718</v>
      </c>
      <c r="AY2090" s="6" t="s">
        <v>23553</v>
      </c>
      <c r="AZ2090" s="6" t="s">
        <v>104</v>
      </c>
      <c r="BA2090" s="6" t="s">
        <v>104</v>
      </c>
      <c r="BB2090" s="6" t="s">
        <v>104</v>
      </c>
      <c r="BC2090" s="26"/>
      <c r="BD2090" s="26"/>
      <c r="BE2090" s="26"/>
      <c r="BF2090" s="26"/>
      <c r="BG2090" s="26"/>
      <c r="BH2090" s="26" t="s">
        <v>24533</v>
      </c>
      <c r="BI2090" s="26"/>
      <c r="BJ2090" s="26"/>
      <c r="BK2090" s="26"/>
      <c r="BL2090" s="26"/>
      <c r="BM2090" s="26"/>
      <c r="BN2090" s="26" t="s">
        <v>24533</v>
      </c>
      <c r="BO2090" s="26"/>
      <c r="BP2090" s="16" t="n">
        <v>45727</v>
      </c>
      <c r="BQ2090" s="28" t="str">
        <f>HYPERLINK("https://organic.ams.usda.gov/Integrity/Certificate.aspx?cid=60&amp;nopid=2580000625")</f>
        <v>https://organic.ams.usda.gov/Integrity/Certificate.aspx?cid=60&amp;nopid=2580000625</v>
      </c>
    </row>
    <row r="2091">
      <c r="A2091" t="s">
        <v>3</v>
      </c>
      <c r="B2091" s="6" t="s">
        <v>54</v>
      </c>
      <c r="C2091" s="6" t="s">
        <v>120</v>
      </c>
      <c r="D2091" s="6" t="s">
        <v>184</v>
      </c>
      <c r="E2091" s="10" t="s">
        <v>2289</v>
      </c>
      <c r="F2091" s="6" t="s">
        <v>4491</v>
      </c>
      <c r="G2091" s="6" t="s">
        <v>104</v>
      </c>
      <c r="H2091" s="6" t="s">
        <v>6766</v>
      </c>
      <c r="I2091" s="6" t="s">
        <v>7985</v>
      </c>
      <c r="J2091" s="6" t="s">
        <v>9612</v>
      </c>
      <c r="K2091" s="6" t="s">
        <v>9714</v>
      </c>
      <c r="L2091" s="16" t="n">
        <v>41221</v>
      </c>
      <c r="M2091" s="16" t="n">
        <v>45748</v>
      </c>
      <c r="N2091" s="6" t="s">
        <v>104</v>
      </c>
      <c r="O2091" s="21" t="s">
        <v>104</v>
      </c>
      <c r="P2091" s="6" t="s">
        <v>104</v>
      </c>
      <c r="Q2091" s="6" t="s">
        <v>104</v>
      </c>
      <c r="R2091" s="6" t="s">
        <v>104</v>
      </c>
      <c r="S2091" s="6" t="s">
        <v>104</v>
      </c>
      <c r="T2091" s="21" t="s">
        <v>104</v>
      </c>
      <c r="U2091" s="6" t="s">
        <v>104</v>
      </c>
      <c r="V2091" s="6" t="s">
        <v>104</v>
      </c>
      <c r="W2091" s="6" t="s">
        <v>104</v>
      </c>
      <c r="X2091" s="6" t="s">
        <v>104</v>
      </c>
      <c r="Y2091" s="21" t="s">
        <v>104</v>
      </c>
      <c r="Z2091" s="6" t="s">
        <v>104</v>
      </c>
      <c r="AA2091" s="6" t="s">
        <v>104</v>
      </c>
      <c r="AB2091" s="6" t="s">
        <v>104</v>
      </c>
      <c r="AC2091" s="6" t="s">
        <v>9714</v>
      </c>
      <c r="AD2091" s="16" t="n">
        <v>41221</v>
      </c>
      <c r="AE2091" s="6" t="s">
        <v>12344</v>
      </c>
      <c r="AF2091" s="6" t="s">
        <v>104</v>
      </c>
      <c r="AG2091" s="6" t="s">
        <v>104</v>
      </c>
      <c r="AH2091" s="6" t="s">
        <v>15070</v>
      </c>
      <c r="AI2091" s="6" t="s">
        <v>104</v>
      </c>
      <c r="AJ2091" s="6" t="s">
        <v>16594</v>
      </c>
      <c r="AK2091" s="6" t="s">
        <v>16684</v>
      </c>
      <c r="AL2091" s="6" t="s">
        <v>16931</v>
      </c>
      <c r="AM2091" s="6" t="s">
        <v>18348</v>
      </c>
      <c r="AN2091" s="6" t="s">
        <v>18466</v>
      </c>
      <c r="AO2091" s="6" t="s">
        <v>18923</v>
      </c>
      <c r="AP2091" s="6" t="s">
        <v>19504</v>
      </c>
      <c r="AQ2091" s="6" t="s">
        <v>104</v>
      </c>
      <c r="AR2091" s="6" t="s">
        <v>16594</v>
      </c>
      <c r="AS2091" s="6" t="s">
        <v>16684</v>
      </c>
      <c r="AT2091" s="6" t="s">
        <v>16931</v>
      </c>
      <c r="AU2091" s="6" t="s">
        <v>18348</v>
      </c>
      <c r="AV2091" s="6" t="s">
        <v>104</v>
      </c>
      <c r="AW2091" s="6" t="s">
        <v>104</v>
      </c>
      <c r="AX2091" s="6" t="s">
        <v>21719</v>
      </c>
      <c r="AY2091" s="6" t="s">
        <v>23554</v>
      </c>
      <c r="AZ2091" s="6" t="s">
        <v>24218</v>
      </c>
      <c r="BA2091" s="6" t="s">
        <v>104</v>
      </c>
      <c r="BB2091" s="6" t="s">
        <v>104</v>
      </c>
      <c r="BC2091" s="26"/>
      <c r="BD2091" s="26"/>
      <c r="BE2091" s="26"/>
      <c r="BF2091" s="26"/>
      <c r="BG2091" s="26"/>
      <c r="BH2091" s="26" t="s">
        <v>24533</v>
      </c>
      <c r="BI2091" s="26"/>
      <c r="BJ2091" s="26"/>
      <c r="BK2091" s="26"/>
      <c r="BL2091" s="26"/>
      <c r="BM2091" s="26"/>
      <c r="BN2091" s="26" t="s">
        <v>24533</v>
      </c>
      <c r="BO2091" s="26"/>
      <c r="BP2091" s="16" t="n">
        <v>45700</v>
      </c>
      <c r="BQ2091" s="28" t="str">
        <f>HYPERLINK("https://organic.ams.usda.gov/Integrity/Certificate.aspx?cid=60&amp;nopid=2580001220")</f>
        <v>https://organic.ams.usda.gov/Integrity/Certificate.aspx?cid=60&amp;nopid=2580001220</v>
      </c>
    </row>
    <row r="2092">
      <c r="A2092" t="s">
        <v>3</v>
      </c>
      <c r="B2092" s="6" t="s">
        <v>54</v>
      </c>
      <c r="C2092" s="6" t="s">
        <v>120</v>
      </c>
      <c r="D2092" s="6" t="s">
        <v>184</v>
      </c>
      <c r="E2092" s="10" t="s">
        <v>2290</v>
      </c>
      <c r="F2092" s="6" t="s">
        <v>4492</v>
      </c>
      <c r="G2092" s="6" t="s">
        <v>104</v>
      </c>
      <c r="H2092" s="6" t="s">
        <v>6767</v>
      </c>
      <c r="I2092" s="6" t="s">
        <v>8051</v>
      </c>
      <c r="J2092" s="6" t="s">
        <v>9095</v>
      </c>
      <c r="K2092" s="6" t="s">
        <v>9714</v>
      </c>
      <c r="L2092" s="16" t="n">
        <v>44378</v>
      </c>
      <c r="M2092" s="16" t="n">
        <v>45717</v>
      </c>
      <c r="N2092" s="6" t="s">
        <v>9714</v>
      </c>
      <c r="O2092" s="16" t="n">
        <v>44378</v>
      </c>
      <c r="P2092" s="6" t="s">
        <v>9842</v>
      </c>
      <c r="Q2092" s="6" t="s">
        <v>104</v>
      </c>
      <c r="R2092" s="6" t="s">
        <v>104</v>
      </c>
      <c r="S2092" s="6" t="s">
        <v>104</v>
      </c>
      <c r="T2092" s="21" t="s">
        <v>104</v>
      </c>
      <c r="U2092" s="6" t="s">
        <v>104</v>
      </c>
      <c r="V2092" s="6" t="s">
        <v>104</v>
      </c>
      <c r="W2092" s="6" t="s">
        <v>104</v>
      </c>
      <c r="X2092" s="6" t="s">
        <v>104</v>
      </c>
      <c r="Y2092" s="21" t="s">
        <v>104</v>
      </c>
      <c r="Z2092" s="6" t="s">
        <v>104</v>
      </c>
      <c r="AA2092" s="6" t="s">
        <v>104</v>
      </c>
      <c r="AB2092" s="6" t="s">
        <v>104</v>
      </c>
      <c r="AC2092" s="6" t="s">
        <v>104</v>
      </c>
      <c r="AD2092" s="21" t="s">
        <v>104</v>
      </c>
      <c r="AE2092" s="6" t="s">
        <v>104</v>
      </c>
      <c r="AF2092" s="6" t="s">
        <v>104</v>
      </c>
      <c r="AG2092" s="6" t="s">
        <v>104</v>
      </c>
      <c r="AH2092" s="6" t="s">
        <v>15071</v>
      </c>
      <c r="AI2092" s="6" t="s">
        <v>104</v>
      </c>
      <c r="AJ2092" s="6" t="s">
        <v>16188</v>
      </c>
      <c r="AK2092" s="6" t="s">
        <v>16743</v>
      </c>
      <c r="AL2092" s="6" t="s">
        <v>16931</v>
      </c>
      <c r="AM2092" s="6" t="s">
        <v>17849</v>
      </c>
      <c r="AN2092" s="6" t="s">
        <v>18525</v>
      </c>
      <c r="AO2092" s="6" t="s">
        <v>18820</v>
      </c>
      <c r="AP2092" s="6" t="s">
        <v>19505</v>
      </c>
      <c r="AQ2092" s="6" t="s">
        <v>104</v>
      </c>
      <c r="AR2092" s="6" t="s">
        <v>16188</v>
      </c>
      <c r="AS2092" s="6" t="s">
        <v>16743</v>
      </c>
      <c r="AT2092" s="6" t="s">
        <v>16931</v>
      </c>
      <c r="AU2092" s="6" t="s">
        <v>17849</v>
      </c>
      <c r="AV2092" s="6" t="s">
        <v>104</v>
      </c>
      <c r="AW2092" s="6" t="s">
        <v>104</v>
      </c>
      <c r="AX2092" s="6" t="s">
        <v>104</v>
      </c>
      <c r="AY2092" s="6" t="s">
        <v>23555</v>
      </c>
      <c r="AZ2092" s="6" t="s">
        <v>104</v>
      </c>
      <c r="BA2092" s="6" t="s">
        <v>24323</v>
      </c>
      <c r="BB2092" s="24" t="n">
        <v>696</v>
      </c>
      <c r="BC2092" s="26"/>
      <c r="BD2092" s="26"/>
      <c r="BE2092" s="26"/>
      <c r="BF2092" s="26"/>
      <c r="BG2092" s="26"/>
      <c r="BH2092" s="26"/>
      <c r="BI2092" s="26"/>
      <c r="BJ2092" s="26"/>
      <c r="BK2092" s="26"/>
      <c r="BL2092" s="26"/>
      <c r="BM2092" s="26"/>
      <c r="BN2092" s="26"/>
      <c r="BO2092" s="26"/>
      <c r="BP2092" s="16" t="n">
        <v>45553</v>
      </c>
      <c r="BQ2092" s="28" t="str">
        <f>HYPERLINK("https://organic.ams.usda.gov/Integrity/Certificate.aspx?cid=60&amp;nopid=2580004312")</f>
        <v>https://organic.ams.usda.gov/Integrity/Certificate.aspx?cid=60&amp;nopid=2580004312</v>
      </c>
    </row>
    <row r="2093">
      <c r="A2093" t="s">
        <v>3</v>
      </c>
      <c r="B2093" s="6" t="s">
        <v>14</v>
      </c>
      <c r="C2093" s="6" t="s">
        <v>80</v>
      </c>
      <c r="D2093" s="6" t="s">
        <v>145</v>
      </c>
      <c r="E2093" s="10" t="s">
        <v>2291</v>
      </c>
      <c r="F2093" s="6" t="s">
        <v>4493</v>
      </c>
      <c r="G2093" s="6" t="s">
        <v>104</v>
      </c>
      <c r="H2093" s="6" t="s">
        <v>6768</v>
      </c>
      <c r="I2093" s="6" t="s">
        <v>8052</v>
      </c>
      <c r="J2093" s="6" t="s">
        <v>9059</v>
      </c>
      <c r="K2093" s="6" t="s">
        <v>9714</v>
      </c>
      <c r="L2093" s="16" t="n">
        <v>45660</v>
      </c>
      <c r="M2093" s="16" t="n">
        <v>45949</v>
      </c>
      <c r="N2093" s="6" t="s">
        <v>104</v>
      </c>
      <c r="O2093" s="21" t="s">
        <v>104</v>
      </c>
      <c r="P2093" s="6" t="s">
        <v>104</v>
      </c>
      <c r="Q2093" s="6" t="s">
        <v>104</v>
      </c>
      <c r="R2093" s="6" t="s">
        <v>104</v>
      </c>
      <c r="S2093" s="6" t="s">
        <v>104</v>
      </c>
      <c r="T2093" s="21" t="s">
        <v>104</v>
      </c>
      <c r="U2093" s="6" t="s">
        <v>104</v>
      </c>
      <c r="V2093" s="6" t="s">
        <v>104</v>
      </c>
      <c r="W2093" s="6" t="s">
        <v>104</v>
      </c>
      <c r="X2093" s="6" t="s">
        <v>104</v>
      </c>
      <c r="Y2093" s="21" t="s">
        <v>104</v>
      </c>
      <c r="Z2093" s="6" t="s">
        <v>104</v>
      </c>
      <c r="AA2093" s="6" t="s">
        <v>104</v>
      </c>
      <c r="AB2093" s="6" t="s">
        <v>104</v>
      </c>
      <c r="AC2093" s="6" t="s">
        <v>9714</v>
      </c>
      <c r="AD2093" s="16" t="n">
        <v>45660</v>
      </c>
      <c r="AE2093" s="6" t="s">
        <v>12345</v>
      </c>
      <c r="AF2093" s="6" t="s">
        <v>104</v>
      </c>
      <c r="AG2093" s="6" t="s">
        <v>104</v>
      </c>
      <c r="AH2093" s="6" t="s">
        <v>15072</v>
      </c>
      <c r="AI2093" s="6" t="s">
        <v>104</v>
      </c>
      <c r="AJ2093" s="6" t="s">
        <v>16595</v>
      </c>
      <c r="AK2093" s="6" t="s">
        <v>16773</v>
      </c>
      <c r="AL2093" s="6" t="s">
        <v>16932</v>
      </c>
      <c r="AM2093" s="6" t="s">
        <v>18349</v>
      </c>
      <c r="AN2093" s="6" t="s">
        <v>104</v>
      </c>
      <c r="AO2093" s="6" t="s">
        <v>104</v>
      </c>
      <c r="AP2093" s="6" t="s">
        <v>104</v>
      </c>
      <c r="AQ2093" s="6" t="s">
        <v>104</v>
      </c>
      <c r="AR2093" s="6" t="s">
        <v>104</v>
      </c>
      <c r="AS2093" s="6" t="s">
        <v>104</v>
      </c>
      <c r="AT2093" s="6" t="s">
        <v>104</v>
      </c>
      <c r="AU2093" s="6" t="s">
        <v>104</v>
      </c>
      <c r="AV2093" s="6" t="s">
        <v>104</v>
      </c>
      <c r="AW2093" s="6" t="s">
        <v>104</v>
      </c>
      <c r="AX2093" s="6" t="s">
        <v>21720</v>
      </c>
      <c r="AY2093" s="6" t="s">
        <v>23556</v>
      </c>
      <c r="AZ2093" s="6" t="s">
        <v>104</v>
      </c>
      <c r="BA2093" s="6" t="s">
        <v>24267</v>
      </c>
      <c r="BB2093" s="6" t="s">
        <v>104</v>
      </c>
      <c r="BC2093" s="26"/>
      <c r="BD2093" s="26"/>
      <c r="BE2093" s="26"/>
      <c r="BF2093" s="26"/>
      <c r="BG2093" s="26" t="s">
        <v>24533</v>
      </c>
      <c r="BH2093" s="26" t="s">
        <v>24533</v>
      </c>
      <c r="BI2093" s="26"/>
      <c r="BJ2093" s="26"/>
      <c r="BK2093" s="26"/>
      <c r="BL2093" s="26"/>
      <c r="BM2093" s="26"/>
      <c r="BN2093" s="26" t="s">
        <v>24533</v>
      </c>
      <c r="BO2093" s="26"/>
      <c r="BP2093" s="16" t="n">
        <v>45720</v>
      </c>
      <c r="BQ2093" s="28" t="str">
        <f>HYPERLINK("https://organic.ams.usda.gov/Integrity/Certificate.aspx?cid=89&amp;nopid=4920007180")</f>
        <v>https://organic.ams.usda.gov/Integrity/Certificate.aspx?cid=89&amp;nopid=4920007180</v>
      </c>
    </row>
    <row r="2094">
      <c r="A2094" t="s">
        <v>3</v>
      </c>
      <c r="B2094" s="6" t="s">
        <v>45</v>
      </c>
      <c r="C2094" s="6" t="s">
        <v>111</v>
      </c>
      <c r="D2094" s="6" t="s">
        <v>175</v>
      </c>
      <c r="E2094" s="10" t="s">
        <v>2292</v>
      </c>
      <c r="F2094" s="6" t="s">
        <v>4494</v>
      </c>
      <c r="G2094" s="6" t="s">
        <v>104</v>
      </c>
      <c r="H2094" s="6" t="s">
        <v>6769</v>
      </c>
      <c r="I2094" s="6" t="s">
        <v>7593</v>
      </c>
      <c r="J2094" s="6" t="s">
        <v>9613</v>
      </c>
      <c r="K2094" s="6" t="s">
        <v>9714</v>
      </c>
      <c r="L2094" s="16" t="n">
        <v>37375</v>
      </c>
      <c r="M2094" s="16" t="n">
        <v>46082</v>
      </c>
      <c r="N2094" s="6" t="s">
        <v>104</v>
      </c>
      <c r="O2094" s="21" t="s">
        <v>104</v>
      </c>
      <c r="P2094" s="6" t="s">
        <v>104</v>
      </c>
      <c r="Q2094" s="6" t="s">
        <v>104</v>
      </c>
      <c r="R2094" s="6" t="s">
        <v>104</v>
      </c>
      <c r="S2094" s="6" t="s">
        <v>104</v>
      </c>
      <c r="T2094" s="21" t="s">
        <v>104</v>
      </c>
      <c r="U2094" s="6" t="s">
        <v>104</v>
      </c>
      <c r="V2094" s="6" t="s">
        <v>104</v>
      </c>
      <c r="W2094" s="6" t="s">
        <v>104</v>
      </c>
      <c r="X2094" s="6" t="s">
        <v>104</v>
      </c>
      <c r="Y2094" s="21" t="s">
        <v>104</v>
      </c>
      <c r="Z2094" s="6" t="s">
        <v>104</v>
      </c>
      <c r="AA2094" s="6" t="s">
        <v>104</v>
      </c>
      <c r="AB2094" s="6" t="s">
        <v>104</v>
      </c>
      <c r="AC2094" s="6" t="s">
        <v>9714</v>
      </c>
      <c r="AD2094" s="16" t="n">
        <v>37375</v>
      </c>
      <c r="AE2094" s="6" t="s">
        <v>12346</v>
      </c>
      <c r="AF2094" s="6" t="s">
        <v>104</v>
      </c>
      <c r="AG2094" s="6" t="s">
        <v>4667</v>
      </c>
      <c r="AH2094" s="6" t="s">
        <v>15073</v>
      </c>
      <c r="AI2094" s="6" t="s">
        <v>104</v>
      </c>
      <c r="AJ2094" s="6" t="s">
        <v>16596</v>
      </c>
      <c r="AK2094" s="6" t="s">
        <v>16382</v>
      </c>
      <c r="AL2094" s="6" t="s">
        <v>16931</v>
      </c>
      <c r="AM2094" s="6" t="s">
        <v>18350</v>
      </c>
      <c r="AN2094" s="6" t="s">
        <v>104</v>
      </c>
      <c r="AO2094" s="6" t="s">
        <v>104</v>
      </c>
      <c r="AP2094" s="6" t="s">
        <v>19506</v>
      </c>
      <c r="AQ2094" s="6" t="s">
        <v>104</v>
      </c>
      <c r="AR2094" s="6" t="s">
        <v>16596</v>
      </c>
      <c r="AS2094" s="6" t="s">
        <v>16382</v>
      </c>
      <c r="AT2094" s="6" t="s">
        <v>16931</v>
      </c>
      <c r="AU2094" s="6" t="s">
        <v>18350</v>
      </c>
      <c r="AV2094" s="6" t="s">
        <v>18486</v>
      </c>
      <c r="AW2094" s="6" t="s">
        <v>20110</v>
      </c>
      <c r="AX2094" s="6" t="s">
        <v>21721</v>
      </c>
      <c r="AY2094" s="6" t="s">
        <v>23557</v>
      </c>
      <c r="AZ2094" s="6" t="s">
        <v>24219</v>
      </c>
      <c r="BA2094" s="6" t="s">
        <v>104</v>
      </c>
      <c r="BB2094" s="6" t="s">
        <v>104</v>
      </c>
      <c r="BC2094" s="26"/>
      <c r="BD2094" s="26"/>
      <c r="BE2094" s="26"/>
      <c r="BF2094" s="26"/>
      <c r="BG2094" s="26"/>
      <c r="BH2094" s="26" t="s">
        <v>24533</v>
      </c>
      <c r="BI2094" s="26"/>
      <c r="BJ2094" s="26"/>
      <c r="BK2094" s="26"/>
      <c r="BL2094" s="26"/>
      <c r="BM2094" s="26"/>
      <c r="BN2094" s="26"/>
      <c r="BO2094" s="26"/>
      <c r="BP2094" s="16" t="n">
        <v>45739</v>
      </c>
      <c r="BQ2094" s="28" t="str">
        <f>HYPERLINK("https://organic.ams.usda.gov/Integrity/Certificate.aspx?cid=82&amp;nopid=2780098598")</f>
        <v>https://organic.ams.usda.gov/Integrity/Certificate.aspx?cid=82&amp;nopid=2780098598</v>
      </c>
    </row>
    <row r="2095">
      <c r="A2095" t="s">
        <v>3</v>
      </c>
      <c r="B2095" s="6" t="s">
        <v>45</v>
      </c>
      <c r="C2095" s="6" t="s">
        <v>111</v>
      </c>
      <c r="D2095" s="6" t="s">
        <v>175</v>
      </c>
      <c r="E2095" s="10" t="s">
        <v>2293</v>
      </c>
      <c r="F2095" s="6" t="s">
        <v>4495</v>
      </c>
      <c r="G2095" s="6" t="s">
        <v>104</v>
      </c>
      <c r="H2095" s="6" t="s">
        <v>6770</v>
      </c>
      <c r="I2095" s="6" t="s">
        <v>7593</v>
      </c>
      <c r="J2095" s="6" t="s">
        <v>9613</v>
      </c>
      <c r="K2095" s="6" t="s">
        <v>9714</v>
      </c>
      <c r="L2095" s="16" t="n">
        <v>37375</v>
      </c>
      <c r="M2095" s="16" t="n">
        <v>46082</v>
      </c>
      <c r="N2095" s="6" t="s">
        <v>9714</v>
      </c>
      <c r="O2095" s="16" t="n">
        <v>37375</v>
      </c>
      <c r="P2095" s="6" t="s">
        <v>10249</v>
      </c>
      <c r="Q2095" s="6" t="s">
        <v>104</v>
      </c>
      <c r="R2095" s="6" t="s">
        <v>4667</v>
      </c>
      <c r="S2095" s="6" t="s">
        <v>104</v>
      </c>
      <c r="T2095" s="21" t="s">
        <v>104</v>
      </c>
      <c r="U2095" s="6" t="s">
        <v>104</v>
      </c>
      <c r="V2095" s="6" t="s">
        <v>104</v>
      </c>
      <c r="W2095" s="6" t="s">
        <v>104</v>
      </c>
      <c r="X2095" s="6" t="s">
        <v>104</v>
      </c>
      <c r="Y2095" s="21" t="s">
        <v>104</v>
      </c>
      <c r="Z2095" s="6" t="s">
        <v>104</v>
      </c>
      <c r="AA2095" s="6" t="s">
        <v>104</v>
      </c>
      <c r="AB2095" s="6" t="s">
        <v>104</v>
      </c>
      <c r="AC2095" s="6" t="s">
        <v>104</v>
      </c>
      <c r="AD2095" s="21" t="s">
        <v>104</v>
      </c>
      <c r="AE2095" s="6" t="s">
        <v>104</v>
      </c>
      <c r="AF2095" s="6" t="s">
        <v>104</v>
      </c>
      <c r="AG2095" s="6" t="s">
        <v>104</v>
      </c>
      <c r="AH2095" s="6" t="s">
        <v>15074</v>
      </c>
      <c r="AI2095" s="6" t="s">
        <v>104</v>
      </c>
      <c r="AJ2095" s="6" t="s">
        <v>16596</v>
      </c>
      <c r="AK2095" s="6" t="s">
        <v>16382</v>
      </c>
      <c r="AL2095" s="6" t="s">
        <v>16931</v>
      </c>
      <c r="AM2095" s="6" t="s">
        <v>18350</v>
      </c>
      <c r="AN2095" s="6" t="s">
        <v>104</v>
      </c>
      <c r="AO2095" s="6" t="s">
        <v>104</v>
      </c>
      <c r="AP2095" s="6" t="s">
        <v>19506</v>
      </c>
      <c r="AQ2095" s="6" t="s">
        <v>104</v>
      </c>
      <c r="AR2095" s="6" t="s">
        <v>16596</v>
      </c>
      <c r="AS2095" s="6" t="s">
        <v>16382</v>
      </c>
      <c r="AT2095" s="6" t="s">
        <v>16931</v>
      </c>
      <c r="AU2095" s="6" t="s">
        <v>18350</v>
      </c>
      <c r="AV2095" s="6" t="s">
        <v>18486</v>
      </c>
      <c r="AW2095" s="6" t="s">
        <v>20110</v>
      </c>
      <c r="AX2095" s="6" t="s">
        <v>21722</v>
      </c>
      <c r="AY2095" s="6" t="s">
        <v>23557</v>
      </c>
      <c r="AZ2095" s="6" t="s">
        <v>24219</v>
      </c>
      <c r="BA2095" s="6" t="s">
        <v>104</v>
      </c>
      <c r="BB2095" s="24" t="n">
        <v>323</v>
      </c>
      <c r="BC2095" s="26"/>
      <c r="BD2095" s="26"/>
      <c r="BE2095" s="26"/>
      <c r="BF2095" s="26"/>
      <c r="BG2095" s="26"/>
      <c r="BH2095" s="26"/>
      <c r="BI2095" s="26"/>
      <c r="BJ2095" s="26"/>
      <c r="BK2095" s="26"/>
      <c r="BL2095" s="26"/>
      <c r="BM2095" s="26"/>
      <c r="BN2095" s="26"/>
      <c r="BO2095" s="26"/>
      <c r="BP2095" s="16" t="n">
        <v>45739</v>
      </c>
      <c r="BQ2095" s="28" t="str">
        <f>HYPERLINK("https://organic.ams.usda.gov/Integrity/Certificate.aspx?cid=82&amp;nopid=2780000009")</f>
        <v>https://organic.ams.usda.gov/Integrity/Certificate.aspx?cid=82&amp;nopid=2780000009</v>
      </c>
    </row>
    <row r="2096">
      <c r="A2096" t="s">
        <v>3</v>
      </c>
      <c r="B2096" s="6" t="s">
        <v>11</v>
      </c>
      <c r="C2096" s="6" t="s">
        <v>77</v>
      </c>
      <c r="D2096" s="6" t="s">
        <v>142</v>
      </c>
      <c r="E2096" s="10" t="s">
        <v>2294</v>
      </c>
      <c r="F2096" s="6" t="s">
        <v>4496</v>
      </c>
      <c r="G2096" s="6" t="s">
        <v>104</v>
      </c>
      <c r="H2096" s="6" t="s">
        <v>6771</v>
      </c>
      <c r="I2096" s="6" t="s">
        <v>8053</v>
      </c>
      <c r="J2096" s="6" t="s">
        <v>9614</v>
      </c>
      <c r="K2096" s="6" t="s">
        <v>9714</v>
      </c>
      <c r="L2096" s="16" t="n">
        <v>38532</v>
      </c>
      <c r="M2096" s="16" t="n">
        <v>45847</v>
      </c>
      <c r="N2096" s="6" t="s">
        <v>104</v>
      </c>
      <c r="O2096" s="21" t="s">
        <v>104</v>
      </c>
      <c r="P2096" s="6" t="s">
        <v>104</v>
      </c>
      <c r="Q2096" s="6" t="s">
        <v>104</v>
      </c>
      <c r="R2096" s="6" t="s">
        <v>104</v>
      </c>
      <c r="S2096" s="6" t="s">
        <v>104</v>
      </c>
      <c r="T2096" s="21" t="s">
        <v>104</v>
      </c>
      <c r="U2096" s="6" t="s">
        <v>104</v>
      </c>
      <c r="V2096" s="6" t="s">
        <v>104</v>
      </c>
      <c r="W2096" s="6" t="s">
        <v>104</v>
      </c>
      <c r="X2096" s="6" t="s">
        <v>104</v>
      </c>
      <c r="Y2096" s="21" t="s">
        <v>104</v>
      </c>
      <c r="Z2096" s="6" t="s">
        <v>104</v>
      </c>
      <c r="AA2096" s="6" t="s">
        <v>104</v>
      </c>
      <c r="AB2096" s="6" t="s">
        <v>104</v>
      </c>
      <c r="AC2096" s="6" t="s">
        <v>9714</v>
      </c>
      <c r="AD2096" s="16" t="n">
        <v>38532</v>
      </c>
      <c r="AE2096" s="6" t="s">
        <v>12347</v>
      </c>
      <c r="AF2096" s="6" t="s">
        <v>104</v>
      </c>
      <c r="AG2096" s="6" t="s">
        <v>104</v>
      </c>
      <c r="AH2096" s="6" t="s">
        <v>15075</v>
      </c>
      <c r="AI2096" s="6" t="s">
        <v>104</v>
      </c>
      <c r="AJ2096" s="6" t="s">
        <v>16597</v>
      </c>
      <c r="AK2096" s="6" t="s">
        <v>16909</v>
      </c>
      <c r="AL2096" s="6" t="s">
        <v>16979</v>
      </c>
      <c r="AM2096" s="6" t="s">
        <v>18351</v>
      </c>
      <c r="AN2096" s="6" t="s">
        <v>104</v>
      </c>
      <c r="AO2096" s="6" t="s">
        <v>104</v>
      </c>
      <c r="AP2096" s="6" t="s">
        <v>15075</v>
      </c>
      <c r="AQ2096" s="6" t="s">
        <v>104</v>
      </c>
      <c r="AR2096" s="6" t="s">
        <v>16597</v>
      </c>
      <c r="AS2096" s="6" t="s">
        <v>16909</v>
      </c>
      <c r="AT2096" s="6" t="s">
        <v>16979</v>
      </c>
      <c r="AU2096" s="6" t="s">
        <v>18351</v>
      </c>
      <c r="AV2096" s="6" t="s">
        <v>104</v>
      </c>
      <c r="AW2096" s="6" t="s">
        <v>104</v>
      </c>
      <c r="AX2096" s="6" t="s">
        <v>21723</v>
      </c>
      <c r="AY2096" s="6" t="s">
        <v>23558</v>
      </c>
      <c r="AZ2096" s="6" t="s">
        <v>24220</v>
      </c>
      <c r="BA2096" s="6" t="s">
        <v>104</v>
      </c>
      <c r="BB2096" s="6" t="s">
        <v>104</v>
      </c>
      <c r="BC2096" s="26"/>
      <c r="BD2096" s="26"/>
      <c r="BE2096" s="26"/>
      <c r="BF2096" s="26"/>
      <c r="BG2096" s="26"/>
      <c r="BH2096" s="26"/>
      <c r="BI2096" s="26"/>
      <c r="BJ2096" s="26"/>
      <c r="BK2096" s="26"/>
      <c r="BL2096" s="26"/>
      <c r="BM2096" s="26"/>
      <c r="BN2096" s="26"/>
      <c r="BO2096" s="26"/>
      <c r="BP2096" s="16" t="n">
        <v>45629</v>
      </c>
      <c r="BQ2096" s="28" t="str">
        <f>HYPERLINK("https://organic.ams.usda.gov/Integrity/Certificate.aspx?cid=21&amp;nopid=1780803416")</f>
        <v>https://organic.ams.usda.gov/Integrity/Certificate.aspx?cid=21&amp;nopid=1780803416</v>
      </c>
    </row>
    <row r="2097">
      <c r="A2097" t="s">
        <v>3</v>
      </c>
      <c r="B2097" s="6" t="s">
        <v>21</v>
      </c>
      <c r="C2097" s="6" t="s">
        <v>87</v>
      </c>
      <c r="D2097" s="6" t="s">
        <v>152</v>
      </c>
      <c r="E2097" s="10" t="s">
        <v>2295</v>
      </c>
      <c r="F2097" s="6" t="s">
        <v>4497</v>
      </c>
      <c r="G2097" s="6" t="s">
        <v>4877</v>
      </c>
      <c r="H2097" s="6" t="s">
        <v>6772</v>
      </c>
      <c r="I2097" s="6" t="s">
        <v>8054</v>
      </c>
      <c r="J2097" s="6" t="s">
        <v>9615</v>
      </c>
      <c r="K2097" s="6" t="s">
        <v>9714</v>
      </c>
      <c r="L2097" s="16" t="n">
        <v>43224</v>
      </c>
      <c r="M2097" s="16" t="n">
        <v>46023</v>
      </c>
      <c r="N2097" s="6" t="s">
        <v>104</v>
      </c>
      <c r="O2097" s="21" t="s">
        <v>104</v>
      </c>
      <c r="P2097" s="6" t="s">
        <v>104</v>
      </c>
      <c r="Q2097" s="6" t="s">
        <v>104</v>
      </c>
      <c r="R2097" s="6" t="s">
        <v>104</v>
      </c>
      <c r="S2097" s="6" t="s">
        <v>104</v>
      </c>
      <c r="T2097" s="21" t="s">
        <v>104</v>
      </c>
      <c r="U2097" s="6" t="s">
        <v>104</v>
      </c>
      <c r="V2097" s="6" t="s">
        <v>104</v>
      </c>
      <c r="W2097" s="6" t="s">
        <v>104</v>
      </c>
      <c r="X2097" s="6" t="s">
        <v>104</v>
      </c>
      <c r="Y2097" s="21" t="s">
        <v>104</v>
      </c>
      <c r="Z2097" s="6" t="s">
        <v>104</v>
      </c>
      <c r="AA2097" s="6" t="s">
        <v>104</v>
      </c>
      <c r="AB2097" s="6" t="s">
        <v>104</v>
      </c>
      <c r="AC2097" s="6" t="s">
        <v>9714</v>
      </c>
      <c r="AD2097" s="16" t="n">
        <v>43224</v>
      </c>
      <c r="AE2097" s="6" t="s">
        <v>12348</v>
      </c>
      <c r="AF2097" s="6" t="s">
        <v>104</v>
      </c>
      <c r="AG2097" s="6" t="s">
        <v>104</v>
      </c>
      <c r="AH2097" s="6" t="s">
        <v>15076</v>
      </c>
      <c r="AI2097" s="6" t="s">
        <v>104</v>
      </c>
      <c r="AJ2097" s="6" t="s">
        <v>16514</v>
      </c>
      <c r="AK2097" s="6" t="s">
        <v>16687</v>
      </c>
      <c r="AL2097" s="6" t="s">
        <v>16931</v>
      </c>
      <c r="AM2097" s="6" t="s">
        <v>18352</v>
      </c>
      <c r="AN2097" s="6" t="s">
        <v>18517</v>
      </c>
      <c r="AO2097" s="6" t="s">
        <v>18726</v>
      </c>
      <c r="AP2097" s="6" t="s">
        <v>19507</v>
      </c>
      <c r="AQ2097" s="6" t="s">
        <v>104</v>
      </c>
      <c r="AR2097" s="6" t="s">
        <v>16514</v>
      </c>
      <c r="AS2097" s="6" t="s">
        <v>16687</v>
      </c>
      <c r="AT2097" s="6" t="s">
        <v>16931</v>
      </c>
      <c r="AU2097" s="6" t="s">
        <v>18352</v>
      </c>
      <c r="AV2097" s="6" t="s">
        <v>104</v>
      </c>
      <c r="AW2097" s="6" t="s">
        <v>104</v>
      </c>
      <c r="AX2097" s="6" t="s">
        <v>21724</v>
      </c>
      <c r="AY2097" s="6" t="s">
        <v>23559</v>
      </c>
      <c r="AZ2097" s="6" t="s">
        <v>104</v>
      </c>
      <c r="BA2097" s="6" t="s">
        <v>24263</v>
      </c>
      <c r="BB2097" s="6" t="s">
        <v>104</v>
      </c>
      <c r="BC2097" s="26"/>
      <c r="BD2097" s="26"/>
      <c r="BE2097" s="26"/>
      <c r="BF2097" s="26"/>
      <c r="BG2097" s="26"/>
      <c r="BH2097" s="26"/>
      <c r="BI2097" s="26"/>
      <c r="BJ2097" s="26"/>
      <c r="BK2097" s="26"/>
      <c r="BL2097" s="26"/>
      <c r="BM2097" s="26"/>
      <c r="BN2097" s="26"/>
      <c r="BO2097" s="26"/>
      <c r="BP2097" s="16" t="n">
        <v>45686</v>
      </c>
      <c r="BQ2097" s="28" t="str">
        <f>HYPERLINK("https://organic.ams.usda.gov/Integrity/Certificate.aspx?cid=15&amp;nopid=5561005252")</f>
        <v>https://organic.ams.usda.gov/Integrity/Certificate.aspx?cid=15&amp;nopid=5561005252</v>
      </c>
    </row>
    <row r="2098">
      <c r="A2098" t="s">
        <v>3</v>
      </c>
      <c r="B2098" s="6" t="s">
        <v>13</v>
      </c>
      <c r="C2098" s="6" t="s">
        <v>79</v>
      </c>
      <c r="D2098" s="6" t="s">
        <v>144</v>
      </c>
      <c r="E2098" s="10" t="s">
        <v>2296</v>
      </c>
      <c r="F2098" s="6" t="s">
        <v>4498</v>
      </c>
      <c r="G2098" s="6" t="s">
        <v>104</v>
      </c>
      <c r="H2098" s="6" t="s">
        <v>6773</v>
      </c>
      <c r="I2098" s="6" t="s">
        <v>8055</v>
      </c>
      <c r="J2098" s="6" t="s">
        <v>9616</v>
      </c>
      <c r="K2098" s="6" t="s">
        <v>9714</v>
      </c>
      <c r="L2098" s="16" t="n">
        <v>42142</v>
      </c>
      <c r="M2098" s="16" t="n">
        <v>45748</v>
      </c>
      <c r="N2098" s="6" t="s">
        <v>104</v>
      </c>
      <c r="O2098" s="21" t="s">
        <v>104</v>
      </c>
      <c r="P2098" s="6" t="s">
        <v>104</v>
      </c>
      <c r="Q2098" s="6" t="s">
        <v>104</v>
      </c>
      <c r="R2098" s="6" t="s">
        <v>104</v>
      </c>
      <c r="S2098" s="6" t="s">
        <v>104</v>
      </c>
      <c r="T2098" s="21" t="s">
        <v>104</v>
      </c>
      <c r="U2098" s="6" t="s">
        <v>104</v>
      </c>
      <c r="V2098" s="6" t="s">
        <v>104</v>
      </c>
      <c r="W2098" s="6" t="s">
        <v>104</v>
      </c>
      <c r="X2098" s="6" t="s">
        <v>104</v>
      </c>
      <c r="Y2098" s="21" t="s">
        <v>104</v>
      </c>
      <c r="Z2098" s="6" t="s">
        <v>104</v>
      </c>
      <c r="AA2098" s="6" t="s">
        <v>104</v>
      </c>
      <c r="AB2098" s="6" t="s">
        <v>104</v>
      </c>
      <c r="AC2098" s="6" t="s">
        <v>9714</v>
      </c>
      <c r="AD2098" s="16" t="n">
        <v>42142</v>
      </c>
      <c r="AE2098" s="6" t="s">
        <v>12349</v>
      </c>
      <c r="AF2098" s="6" t="s">
        <v>12486</v>
      </c>
      <c r="AG2098" s="6" t="s">
        <v>104</v>
      </c>
      <c r="AH2098" s="6" t="s">
        <v>104</v>
      </c>
      <c r="AI2098" s="6" t="s">
        <v>104</v>
      </c>
      <c r="AJ2098" s="6" t="s">
        <v>104</v>
      </c>
      <c r="AK2098" s="6" t="s">
        <v>104</v>
      </c>
      <c r="AL2098" s="6" t="s">
        <v>104</v>
      </c>
      <c r="AM2098" s="6" t="s">
        <v>104</v>
      </c>
      <c r="AN2098" s="6" t="s">
        <v>104</v>
      </c>
      <c r="AO2098" s="6" t="s">
        <v>104</v>
      </c>
      <c r="AP2098" s="6" t="s">
        <v>19508</v>
      </c>
      <c r="AQ2098" s="6" t="s">
        <v>104</v>
      </c>
      <c r="AR2098" s="6" t="s">
        <v>19777</v>
      </c>
      <c r="AS2098" s="6" t="s">
        <v>16745</v>
      </c>
      <c r="AT2098" s="6" t="s">
        <v>16931</v>
      </c>
      <c r="AU2098" s="6" t="s">
        <v>20059</v>
      </c>
      <c r="AV2098" s="6" t="s">
        <v>18473</v>
      </c>
      <c r="AW2098" s="6" t="s">
        <v>18867</v>
      </c>
      <c r="AX2098" s="6" t="s">
        <v>21725</v>
      </c>
      <c r="AY2098" s="6" t="s">
        <v>23560</v>
      </c>
      <c r="AZ2098" s="6" t="s">
        <v>104</v>
      </c>
      <c r="BA2098" s="6" t="s">
        <v>104</v>
      </c>
      <c r="BB2098" s="6" t="s">
        <v>104</v>
      </c>
      <c r="BC2098" s="26"/>
      <c r="BD2098" s="26"/>
      <c r="BE2098" s="26" t="s">
        <v>24533</v>
      </c>
      <c r="BF2098" s="26"/>
      <c r="BG2098" s="26"/>
      <c r="BH2098" s="26"/>
      <c r="BI2098" s="26"/>
      <c r="BJ2098" s="26"/>
      <c r="BK2098" s="26"/>
      <c r="BL2098" s="26"/>
      <c r="BM2098" s="26"/>
      <c r="BN2098" s="26"/>
      <c r="BO2098" s="26"/>
      <c r="BP2098" s="16" t="n">
        <v>45729</v>
      </c>
      <c r="BQ2098" s="28" t="str">
        <f>HYPERLINK("https://organic.ams.usda.gov/Integrity/Certificate.aspx?cid=62&amp;nopid=8150001723")</f>
        <v>https://organic.ams.usda.gov/Integrity/Certificate.aspx?cid=62&amp;nopid=8150001723</v>
      </c>
    </row>
    <row r="2099">
      <c r="A2099" t="s">
        <v>3</v>
      </c>
      <c r="B2099" s="6" t="s">
        <v>21</v>
      </c>
      <c r="C2099" s="6" t="s">
        <v>87</v>
      </c>
      <c r="D2099" s="6" t="s">
        <v>152</v>
      </c>
      <c r="E2099" s="10" t="s">
        <v>2297</v>
      </c>
      <c r="F2099" s="6" t="s">
        <v>4499</v>
      </c>
      <c r="G2099" s="6" t="s">
        <v>104</v>
      </c>
      <c r="H2099" s="6" t="s">
        <v>6774</v>
      </c>
      <c r="I2099" s="6" t="s">
        <v>7138</v>
      </c>
      <c r="J2099" s="6" t="s">
        <v>8567</v>
      </c>
      <c r="K2099" s="6" t="s">
        <v>9714</v>
      </c>
      <c r="L2099" s="16" t="n">
        <v>44265</v>
      </c>
      <c r="M2099" s="16" t="n">
        <v>46023</v>
      </c>
      <c r="N2099" s="6" t="s">
        <v>104</v>
      </c>
      <c r="O2099" s="21" t="s">
        <v>104</v>
      </c>
      <c r="P2099" s="6" t="s">
        <v>104</v>
      </c>
      <c r="Q2099" s="6" t="s">
        <v>104</v>
      </c>
      <c r="R2099" s="6" t="s">
        <v>104</v>
      </c>
      <c r="S2099" s="6" t="s">
        <v>104</v>
      </c>
      <c r="T2099" s="21" t="s">
        <v>104</v>
      </c>
      <c r="U2099" s="6" t="s">
        <v>104</v>
      </c>
      <c r="V2099" s="6" t="s">
        <v>104</v>
      </c>
      <c r="W2099" s="6" t="s">
        <v>104</v>
      </c>
      <c r="X2099" s="6" t="s">
        <v>104</v>
      </c>
      <c r="Y2099" s="21" t="s">
        <v>104</v>
      </c>
      <c r="Z2099" s="6" t="s">
        <v>104</v>
      </c>
      <c r="AA2099" s="6" t="s">
        <v>104</v>
      </c>
      <c r="AB2099" s="6" t="s">
        <v>104</v>
      </c>
      <c r="AC2099" s="6" t="s">
        <v>9714</v>
      </c>
      <c r="AD2099" s="16" t="n">
        <v>44265</v>
      </c>
      <c r="AE2099" s="6" t="s">
        <v>12350</v>
      </c>
      <c r="AF2099" s="6" t="s">
        <v>104</v>
      </c>
      <c r="AG2099" s="6" t="s">
        <v>104</v>
      </c>
      <c r="AH2099" s="6" t="s">
        <v>15077</v>
      </c>
      <c r="AI2099" s="6" t="s">
        <v>104</v>
      </c>
      <c r="AJ2099" s="6" t="s">
        <v>15474</v>
      </c>
      <c r="AK2099" s="6" t="s">
        <v>16687</v>
      </c>
      <c r="AL2099" s="6" t="s">
        <v>16931</v>
      </c>
      <c r="AM2099" s="6" t="s">
        <v>17919</v>
      </c>
      <c r="AN2099" s="6" t="s">
        <v>5771</v>
      </c>
      <c r="AO2099" s="6" t="s">
        <v>18563</v>
      </c>
      <c r="AP2099" s="6" t="s">
        <v>14336</v>
      </c>
      <c r="AQ2099" s="6" t="s">
        <v>104</v>
      </c>
      <c r="AR2099" s="6" t="s">
        <v>16189</v>
      </c>
      <c r="AS2099" s="6" t="s">
        <v>16687</v>
      </c>
      <c r="AT2099" s="6" t="s">
        <v>16931</v>
      </c>
      <c r="AU2099" s="6" t="s">
        <v>17852</v>
      </c>
      <c r="AV2099" s="6" t="s">
        <v>104</v>
      </c>
      <c r="AW2099" s="6" t="s">
        <v>104</v>
      </c>
      <c r="AX2099" s="6" t="s">
        <v>20555</v>
      </c>
      <c r="AY2099" s="6" t="s">
        <v>22328</v>
      </c>
      <c r="AZ2099" s="6" t="s">
        <v>24221</v>
      </c>
      <c r="BA2099" s="6" t="s">
        <v>24516</v>
      </c>
      <c r="BB2099" s="6" t="s">
        <v>104</v>
      </c>
      <c r="BC2099" s="26" t="s">
        <v>24533</v>
      </c>
      <c r="BD2099" s="26"/>
      <c r="BE2099" s="26"/>
      <c r="BF2099" s="26"/>
      <c r="BG2099" s="26"/>
      <c r="BH2099" s="26"/>
      <c r="BI2099" s="26"/>
      <c r="BJ2099" s="26"/>
      <c r="BK2099" s="26"/>
      <c r="BL2099" s="26"/>
      <c r="BM2099" s="26"/>
      <c r="BN2099" s="26"/>
      <c r="BO2099" s="26"/>
      <c r="BP2099" s="16" t="n">
        <v>45720</v>
      </c>
      <c r="BQ2099" s="28" t="str">
        <f>HYPERLINK("https://organic.ams.usda.gov/Integrity/Certificate.aspx?cid=15&amp;nopid=5561006758")</f>
        <v>https://organic.ams.usda.gov/Integrity/Certificate.aspx?cid=15&amp;nopid=5561006758</v>
      </c>
    </row>
    <row r="2100">
      <c r="A2100" t="s">
        <v>3</v>
      </c>
      <c r="B2100" s="6" t="s">
        <v>20</v>
      </c>
      <c r="C2100" s="6" t="s">
        <v>86</v>
      </c>
      <c r="D2100" s="6" t="s">
        <v>151</v>
      </c>
      <c r="E2100" s="10" t="s">
        <v>2298</v>
      </c>
      <c r="F2100" s="6" t="s">
        <v>4500</v>
      </c>
      <c r="G2100" s="6" t="s">
        <v>104</v>
      </c>
      <c r="H2100" s="6" t="s">
        <v>6775</v>
      </c>
      <c r="I2100" s="6" t="s">
        <v>8056</v>
      </c>
      <c r="J2100" s="6" t="s">
        <v>9617</v>
      </c>
      <c r="K2100" s="6" t="s">
        <v>9714</v>
      </c>
      <c r="L2100" s="16" t="n">
        <v>42669</v>
      </c>
      <c r="M2100" s="16" t="n">
        <v>45657</v>
      </c>
      <c r="N2100" s="6" t="s">
        <v>104</v>
      </c>
      <c r="O2100" s="21" t="s">
        <v>104</v>
      </c>
      <c r="P2100" s="6" t="s">
        <v>104</v>
      </c>
      <c r="Q2100" s="6" t="s">
        <v>104</v>
      </c>
      <c r="R2100" s="6" t="s">
        <v>104</v>
      </c>
      <c r="S2100" s="6" t="s">
        <v>104</v>
      </c>
      <c r="T2100" s="21" t="s">
        <v>104</v>
      </c>
      <c r="U2100" s="6" t="s">
        <v>104</v>
      </c>
      <c r="V2100" s="6" t="s">
        <v>104</v>
      </c>
      <c r="W2100" s="6" t="s">
        <v>104</v>
      </c>
      <c r="X2100" s="6" t="s">
        <v>104</v>
      </c>
      <c r="Y2100" s="21" t="s">
        <v>104</v>
      </c>
      <c r="Z2100" s="6" t="s">
        <v>104</v>
      </c>
      <c r="AA2100" s="6" t="s">
        <v>104</v>
      </c>
      <c r="AB2100" s="6" t="s">
        <v>104</v>
      </c>
      <c r="AC2100" s="6" t="s">
        <v>9714</v>
      </c>
      <c r="AD2100" s="16" t="n">
        <v>42669</v>
      </c>
      <c r="AE2100" s="6" t="s">
        <v>12351</v>
      </c>
      <c r="AF2100" s="6" t="s">
        <v>104</v>
      </c>
      <c r="AG2100" s="6" t="s">
        <v>13111</v>
      </c>
      <c r="AH2100" s="6" t="s">
        <v>15078</v>
      </c>
      <c r="AI2100" s="6" t="s">
        <v>104</v>
      </c>
      <c r="AJ2100" s="6" t="s">
        <v>16598</v>
      </c>
      <c r="AK2100" s="6" t="s">
        <v>104</v>
      </c>
      <c r="AL2100" s="6" t="s">
        <v>15513</v>
      </c>
      <c r="AM2100" s="6" t="s">
        <v>18353</v>
      </c>
      <c r="AN2100" s="6" t="s">
        <v>104</v>
      </c>
      <c r="AO2100" s="6" t="s">
        <v>104</v>
      </c>
      <c r="AP2100" s="6" t="s">
        <v>104</v>
      </c>
      <c r="AQ2100" s="6" t="s">
        <v>104</v>
      </c>
      <c r="AR2100" s="6" t="s">
        <v>104</v>
      </c>
      <c r="AS2100" s="6" t="s">
        <v>104</v>
      </c>
      <c r="AT2100" s="6" t="s">
        <v>104</v>
      </c>
      <c r="AU2100" s="6" t="s">
        <v>104</v>
      </c>
      <c r="AV2100" s="6" t="s">
        <v>104</v>
      </c>
      <c r="AW2100" s="6" t="s">
        <v>104</v>
      </c>
      <c r="AX2100" s="6" t="s">
        <v>21726</v>
      </c>
      <c r="AY2100" s="6" t="s">
        <v>23561</v>
      </c>
      <c r="AZ2100" s="6" t="s">
        <v>104</v>
      </c>
      <c r="BA2100" s="6" t="s">
        <v>104</v>
      </c>
      <c r="BB2100" s="6" t="s">
        <v>104</v>
      </c>
      <c r="BC2100" s="26"/>
      <c r="BD2100" s="26"/>
      <c r="BE2100" s="26"/>
      <c r="BF2100" s="26"/>
      <c r="BG2100" s="26"/>
      <c r="BH2100" s="26"/>
      <c r="BI2100" s="26"/>
      <c r="BJ2100" s="26"/>
      <c r="BK2100" s="26"/>
      <c r="BL2100" s="26"/>
      <c r="BM2100" s="26"/>
      <c r="BN2100" s="26"/>
      <c r="BO2100" s="26"/>
      <c r="BP2100" s="16" t="n">
        <v>45439</v>
      </c>
      <c r="BQ2100" s="28" t="str">
        <f>HYPERLINK("https://organic.ams.usda.gov/Integrity/Certificate.aspx?cid=17&amp;nopid=4087184217")</f>
        <v>https://organic.ams.usda.gov/Integrity/Certificate.aspx?cid=17&amp;nopid=4087184217</v>
      </c>
    </row>
    <row r="2101">
      <c r="A2101" t="s">
        <v>3</v>
      </c>
      <c r="B2101" s="6" t="s">
        <v>25</v>
      </c>
      <c r="C2101" s="6" t="s">
        <v>91</v>
      </c>
      <c r="D2101" s="6" t="s">
        <v>156</v>
      </c>
      <c r="E2101" s="10" t="s">
        <v>2299</v>
      </c>
      <c r="F2101" s="6" t="s">
        <v>4501</v>
      </c>
      <c r="G2101" s="6" t="s">
        <v>4878</v>
      </c>
      <c r="H2101" s="6" t="s">
        <v>6621</v>
      </c>
      <c r="I2101" s="6" t="s">
        <v>6939</v>
      </c>
      <c r="J2101" s="6" t="s">
        <v>8151</v>
      </c>
      <c r="K2101" s="6" t="s">
        <v>9714</v>
      </c>
      <c r="L2101" s="16" t="n">
        <v>44676</v>
      </c>
      <c r="M2101" s="16" t="n">
        <v>45726</v>
      </c>
      <c r="N2101" s="6" t="s">
        <v>104</v>
      </c>
      <c r="O2101" s="21" t="s">
        <v>104</v>
      </c>
      <c r="P2101" s="6" t="s">
        <v>104</v>
      </c>
      <c r="Q2101" s="6" t="s">
        <v>104</v>
      </c>
      <c r="R2101" s="6" t="s">
        <v>104</v>
      </c>
      <c r="S2101" s="6" t="s">
        <v>104</v>
      </c>
      <c r="T2101" s="21" t="s">
        <v>104</v>
      </c>
      <c r="U2101" s="6" t="s">
        <v>104</v>
      </c>
      <c r="V2101" s="6" t="s">
        <v>104</v>
      </c>
      <c r="W2101" s="6" t="s">
        <v>104</v>
      </c>
      <c r="X2101" s="6" t="s">
        <v>104</v>
      </c>
      <c r="Y2101" s="21" t="s">
        <v>104</v>
      </c>
      <c r="Z2101" s="6" t="s">
        <v>104</v>
      </c>
      <c r="AA2101" s="6" t="s">
        <v>104</v>
      </c>
      <c r="AB2101" s="6" t="s">
        <v>104</v>
      </c>
      <c r="AC2101" s="6" t="s">
        <v>9714</v>
      </c>
      <c r="AD2101" s="16" t="n">
        <v>44676</v>
      </c>
      <c r="AE2101" s="6" t="s">
        <v>12352</v>
      </c>
      <c r="AF2101" s="6" t="s">
        <v>104</v>
      </c>
      <c r="AG2101" s="6" t="s">
        <v>104</v>
      </c>
      <c r="AH2101" s="6" t="s">
        <v>15079</v>
      </c>
      <c r="AI2101" s="6" t="s">
        <v>104</v>
      </c>
      <c r="AJ2101" s="6" t="s">
        <v>15897</v>
      </c>
      <c r="AK2101" s="6" t="s">
        <v>16691</v>
      </c>
      <c r="AL2101" s="6" t="s">
        <v>16935</v>
      </c>
      <c r="AM2101" s="6" t="s">
        <v>18354</v>
      </c>
      <c r="AN2101" s="6" t="s">
        <v>104</v>
      </c>
      <c r="AO2101" s="6" t="s">
        <v>104</v>
      </c>
      <c r="AP2101" s="6" t="s">
        <v>15079</v>
      </c>
      <c r="AQ2101" s="6" t="s">
        <v>104</v>
      </c>
      <c r="AR2101" s="6" t="s">
        <v>15897</v>
      </c>
      <c r="AS2101" s="6" t="s">
        <v>16691</v>
      </c>
      <c r="AT2101" s="6" t="s">
        <v>16935</v>
      </c>
      <c r="AU2101" s="6" t="s">
        <v>18354</v>
      </c>
      <c r="AV2101" s="6" t="s">
        <v>104</v>
      </c>
      <c r="AW2101" s="6" t="s">
        <v>104</v>
      </c>
      <c r="AX2101" s="6" t="s">
        <v>20137</v>
      </c>
      <c r="AY2101" s="6" t="s">
        <v>21875</v>
      </c>
      <c r="AZ2101" s="6" t="s">
        <v>104</v>
      </c>
      <c r="BA2101" s="6" t="s">
        <v>24264</v>
      </c>
      <c r="BB2101" s="6" t="s">
        <v>104</v>
      </c>
      <c r="BC2101" s="26"/>
      <c r="BD2101" s="26"/>
      <c r="BE2101" s="26"/>
      <c r="BF2101" s="26"/>
      <c r="BG2101" s="26"/>
      <c r="BH2101" s="26" t="s">
        <v>24533</v>
      </c>
      <c r="BI2101" s="26"/>
      <c r="BJ2101" s="26"/>
      <c r="BK2101" s="26"/>
      <c r="BL2101" s="26"/>
      <c r="BM2101" s="26"/>
      <c r="BN2101" s="26"/>
      <c r="BO2101" s="26"/>
      <c r="BP2101" s="16" t="n">
        <v>45635</v>
      </c>
      <c r="BQ2101" s="28" t="str">
        <f>HYPERLINK("https://organic.ams.usda.gov/Integrity/Certificate.aspx?cid=66&amp;nopid=5500006733")</f>
        <v>https://organic.ams.usda.gov/Integrity/Certificate.aspx?cid=66&amp;nopid=5500006733</v>
      </c>
    </row>
    <row r="2102">
      <c r="A2102" t="s">
        <v>3</v>
      </c>
      <c r="B2102" s="6" t="s">
        <v>25</v>
      </c>
      <c r="C2102" s="6" t="s">
        <v>91</v>
      </c>
      <c r="D2102" s="6" t="s">
        <v>156</v>
      </c>
      <c r="E2102" s="10" t="s">
        <v>2300</v>
      </c>
      <c r="F2102" s="6" t="s">
        <v>4501</v>
      </c>
      <c r="G2102" s="6" t="s">
        <v>104</v>
      </c>
      <c r="H2102" s="6" t="s">
        <v>6776</v>
      </c>
      <c r="I2102" s="6" t="s">
        <v>6939</v>
      </c>
      <c r="J2102" s="6" t="s">
        <v>8151</v>
      </c>
      <c r="K2102" s="6" t="s">
        <v>9714</v>
      </c>
      <c r="L2102" s="16" t="n">
        <v>45356</v>
      </c>
      <c r="M2102" s="16" t="n">
        <v>45631</v>
      </c>
      <c r="N2102" s="6" t="s">
        <v>104</v>
      </c>
      <c r="O2102" s="21" t="s">
        <v>104</v>
      </c>
      <c r="P2102" s="6" t="s">
        <v>104</v>
      </c>
      <c r="Q2102" s="6" t="s">
        <v>104</v>
      </c>
      <c r="R2102" s="6" t="s">
        <v>104</v>
      </c>
      <c r="S2102" s="6" t="s">
        <v>104</v>
      </c>
      <c r="T2102" s="21" t="s">
        <v>104</v>
      </c>
      <c r="U2102" s="6" t="s">
        <v>104</v>
      </c>
      <c r="V2102" s="6" t="s">
        <v>104</v>
      </c>
      <c r="W2102" s="6" t="s">
        <v>104</v>
      </c>
      <c r="X2102" s="6" t="s">
        <v>104</v>
      </c>
      <c r="Y2102" s="21" t="s">
        <v>104</v>
      </c>
      <c r="Z2102" s="6" t="s">
        <v>104</v>
      </c>
      <c r="AA2102" s="6" t="s">
        <v>104</v>
      </c>
      <c r="AB2102" s="6" t="s">
        <v>104</v>
      </c>
      <c r="AC2102" s="6" t="s">
        <v>9714</v>
      </c>
      <c r="AD2102" s="16" t="n">
        <v>45356</v>
      </c>
      <c r="AE2102" s="6" t="s">
        <v>12353</v>
      </c>
      <c r="AF2102" s="6" t="s">
        <v>104</v>
      </c>
      <c r="AG2102" s="6" t="s">
        <v>104</v>
      </c>
      <c r="AH2102" s="6" t="s">
        <v>15080</v>
      </c>
      <c r="AI2102" s="6" t="s">
        <v>104</v>
      </c>
      <c r="AJ2102" s="6" t="s">
        <v>16599</v>
      </c>
      <c r="AK2102" s="6" t="s">
        <v>16691</v>
      </c>
      <c r="AL2102" s="6" t="s">
        <v>16935</v>
      </c>
      <c r="AM2102" s="6" t="s">
        <v>104</v>
      </c>
      <c r="AN2102" s="6" t="s">
        <v>104</v>
      </c>
      <c r="AO2102" s="6" t="s">
        <v>104</v>
      </c>
      <c r="AP2102" s="6" t="s">
        <v>15079</v>
      </c>
      <c r="AQ2102" s="6" t="s">
        <v>104</v>
      </c>
      <c r="AR2102" s="6" t="s">
        <v>15897</v>
      </c>
      <c r="AS2102" s="6" t="s">
        <v>16691</v>
      </c>
      <c r="AT2102" s="6" t="s">
        <v>16935</v>
      </c>
      <c r="AU2102" s="6" t="s">
        <v>18354</v>
      </c>
      <c r="AV2102" s="6" t="s">
        <v>104</v>
      </c>
      <c r="AW2102" s="6" t="s">
        <v>104</v>
      </c>
      <c r="AX2102" s="6" t="s">
        <v>20137</v>
      </c>
      <c r="AY2102" s="6" t="s">
        <v>21875</v>
      </c>
      <c r="AZ2102" s="6" t="s">
        <v>104</v>
      </c>
      <c r="BA2102" s="6" t="s">
        <v>24264</v>
      </c>
      <c r="BB2102" s="6" t="s">
        <v>104</v>
      </c>
      <c r="BC2102" s="26"/>
      <c r="BD2102" s="26"/>
      <c r="BE2102" s="26"/>
      <c r="BF2102" s="26"/>
      <c r="BG2102" s="26"/>
      <c r="BH2102" s="26"/>
      <c r="BI2102" s="26"/>
      <c r="BJ2102" s="26"/>
      <c r="BK2102" s="26"/>
      <c r="BL2102" s="26"/>
      <c r="BM2102" s="26"/>
      <c r="BN2102" s="26"/>
      <c r="BO2102" s="26"/>
      <c r="BP2102" s="16" t="n">
        <v>45511</v>
      </c>
      <c r="BQ2102" s="28" t="str">
        <f>HYPERLINK("https://organic.ams.usda.gov/Integrity/Certificate.aspx?cid=66&amp;nopid=5500007144")</f>
        <v>https://organic.ams.usda.gov/Integrity/Certificate.aspx?cid=66&amp;nopid=5500007144</v>
      </c>
    </row>
    <row r="2103">
      <c r="A2103" t="s">
        <v>3</v>
      </c>
      <c r="B2103" s="6" t="s">
        <v>66</v>
      </c>
      <c r="C2103" s="6" t="s">
        <v>132</v>
      </c>
      <c r="D2103" s="6" t="s">
        <v>196</v>
      </c>
      <c r="E2103" s="10" t="s">
        <v>2301</v>
      </c>
      <c r="F2103" s="6" t="s">
        <v>4502</v>
      </c>
      <c r="G2103" s="6" t="s">
        <v>104</v>
      </c>
      <c r="H2103" s="6" t="s">
        <v>6777</v>
      </c>
      <c r="I2103" s="6" t="s">
        <v>8057</v>
      </c>
      <c r="J2103" s="6" t="s">
        <v>9618</v>
      </c>
      <c r="K2103" s="6" t="s">
        <v>9714</v>
      </c>
      <c r="L2103" s="16" t="n">
        <v>45209</v>
      </c>
      <c r="M2103" s="16" t="n">
        <v>45717</v>
      </c>
      <c r="N2103" s="6" t="s">
        <v>9714</v>
      </c>
      <c r="O2103" s="16" t="n">
        <v>45209</v>
      </c>
      <c r="P2103" s="6" t="s">
        <v>10250</v>
      </c>
      <c r="Q2103" s="6" t="s">
        <v>104</v>
      </c>
      <c r="R2103" s="6" t="s">
        <v>6777</v>
      </c>
      <c r="S2103" s="6" t="s">
        <v>104</v>
      </c>
      <c r="T2103" s="21" t="s">
        <v>104</v>
      </c>
      <c r="U2103" s="6" t="s">
        <v>104</v>
      </c>
      <c r="V2103" s="6" t="s">
        <v>104</v>
      </c>
      <c r="W2103" s="6" t="s">
        <v>104</v>
      </c>
      <c r="X2103" s="6" t="s">
        <v>104</v>
      </c>
      <c r="Y2103" s="21" t="s">
        <v>104</v>
      </c>
      <c r="Z2103" s="6" t="s">
        <v>104</v>
      </c>
      <c r="AA2103" s="6" t="s">
        <v>104</v>
      </c>
      <c r="AB2103" s="6" t="s">
        <v>104</v>
      </c>
      <c r="AC2103" s="6" t="s">
        <v>104</v>
      </c>
      <c r="AD2103" s="21" t="s">
        <v>104</v>
      </c>
      <c r="AE2103" s="6" t="s">
        <v>104</v>
      </c>
      <c r="AF2103" s="6" t="s">
        <v>104</v>
      </c>
      <c r="AG2103" s="6" t="s">
        <v>104</v>
      </c>
      <c r="AH2103" s="6" t="s">
        <v>15081</v>
      </c>
      <c r="AI2103" s="6" t="s">
        <v>104</v>
      </c>
      <c r="AJ2103" s="6" t="s">
        <v>16600</v>
      </c>
      <c r="AK2103" s="6" t="s">
        <v>16759</v>
      </c>
      <c r="AL2103" s="6" t="s">
        <v>16931</v>
      </c>
      <c r="AM2103" s="6" t="s">
        <v>18355</v>
      </c>
      <c r="AN2103" s="6" t="s">
        <v>18521</v>
      </c>
      <c r="AO2103" s="6" t="s">
        <v>18721</v>
      </c>
      <c r="AP2103" s="6" t="s">
        <v>104</v>
      </c>
      <c r="AQ2103" s="6" t="s">
        <v>104</v>
      </c>
      <c r="AR2103" s="6" t="s">
        <v>104</v>
      </c>
      <c r="AS2103" s="6" t="s">
        <v>104</v>
      </c>
      <c r="AT2103" s="6" t="s">
        <v>104</v>
      </c>
      <c r="AU2103" s="6" t="s">
        <v>104</v>
      </c>
      <c r="AV2103" s="6" t="s">
        <v>104</v>
      </c>
      <c r="AW2103" s="6" t="s">
        <v>104</v>
      </c>
      <c r="AX2103" s="6" t="s">
        <v>21727</v>
      </c>
      <c r="AY2103" s="6" t="s">
        <v>23562</v>
      </c>
      <c r="AZ2103" s="6" t="s">
        <v>104</v>
      </c>
      <c r="BA2103" s="6" t="s">
        <v>104</v>
      </c>
      <c r="BB2103" s="24" t="n">
        <v>47</v>
      </c>
      <c r="BC2103" s="26"/>
      <c r="BD2103" s="26"/>
      <c r="BE2103" s="26"/>
      <c r="BF2103" s="26"/>
      <c r="BG2103" s="26"/>
      <c r="BH2103" s="26"/>
      <c r="BI2103" s="26"/>
      <c r="BJ2103" s="26"/>
      <c r="BK2103" s="26"/>
      <c r="BL2103" s="26"/>
      <c r="BM2103" s="26"/>
      <c r="BN2103" s="26"/>
      <c r="BO2103" s="26"/>
      <c r="BP2103" s="16" t="n">
        <v>45673</v>
      </c>
      <c r="BQ2103" s="28" t="str">
        <f>HYPERLINK("https://organic.ams.usda.gov/Integrity/Certificate.aspx?cid=22&amp;nopid=6830023007")</f>
        <v>https://organic.ams.usda.gov/Integrity/Certificate.aspx?cid=22&amp;nopid=6830023007</v>
      </c>
    </row>
    <row r="2104">
      <c r="A2104" t="s">
        <v>3</v>
      </c>
      <c r="B2104" s="6" t="s">
        <v>33</v>
      </c>
      <c r="C2104" s="6" t="s">
        <v>99</v>
      </c>
      <c r="D2104" s="6" t="s">
        <v>164</v>
      </c>
      <c r="E2104" s="10" t="s">
        <v>2302</v>
      </c>
      <c r="F2104" s="6" t="s">
        <v>4503</v>
      </c>
      <c r="G2104" s="6" t="s">
        <v>4879</v>
      </c>
      <c r="H2104" s="6" t="s">
        <v>104</v>
      </c>
      <c r="I2104" s="6" t="s">
        <v>104</v>
      </c>
      <c r="J2104" s="6" t="s">
        <v>104</v>
      </c>
      <c r="K2104" s="6" t="s">
        <v>9714</v>
      </c>
      <c r="L2104" s="16" t="n">
        <v>43007</v>
      </c>
      <c r="M2104" s="16" t="n">
        <v>45337</v>
      </c>
      <c r="N2104" s="6" t="s">
        <v>104</v>
      </c>
      <c r="O2104" s="21" t="s">
        <v>104</v>
      </c>
      <c r="P2104" s="6" t="s">
        <v>104</v>
      </c>
      <c r="Q2104" s="6" t="s">
        <v>104</v>
      </c>
      <c r="R2104" s="6" t="s">
        <v>104</v>
      </c>
      <c r="S2104" s="6" t="s">
        <v>104</v>
      </c>
      <c r="T2104" s="21" t="s">
        <v>104</v>
      </c>
      <c r="U2104" s="6" t="s">
        <v>104</v>
      </c>
      <c r="V2104" s="6" t="s">
        <v>104</v>
      </c>
      <c r="W2104" s="6" t="s">
        <v>104</v>
      </c>
      <c r="X2104" s="6" t="s">
        <v>104</v>
      </c>
      <c r="Y2104" s="21" t="s">
        <v>104</v>
      </c>
      <c r="Z2104" s="6" t="s">
        <v>104</v>
      </c>
      <c r="AA2104" s="6" t="s">
        <v>104</v>
      </c>
      <c r="AB2104" s="6" t="s">
        <v>104</v>
      </c>
      <c r="AC2104" s="6" t="s">
        <v>9714</v>
      </c>
      <c r="AD2104" s="16" t="n">
        <v>43007</v>
      </c>
      <c r="AE2104" s="6" t="s">
        <v>12354</v>
      </c>
      <c r="AF2104" s="6" t="s">
        <v>104</v>
      </c>
      <c r="AG2104" s="6" t="s">
        <v>104</v>
      </c>
      <c r="AH2104" s="6" t="s">
        <v>15082</v>
      </c>
      <c r="AI2104" s="6" t="s">
        <v>104</v>
      </c>
      <c r="AJ2104" s="6" t="s">
        <v>16218</v>
      </c>
      <c r="AK2104" s="6" t="s">
        <v>16738</v>
      </c>
      <c r="AL2104" s="6" t="s">
        <v>16931</v>
      </c>
      <c r="AM2104" s="6" t="s">
        <v>18356</v>
      </c>
      <c r="AN2104" s="6" t="s">
        <v>18484</v>
      </c>
      <c r="AO2104" s="6" t="s">
        <v>18924</v>
      </c>
      <c r="AP2104" s="6" t="s">
        <v>15082</v>
      </c>
      <c r="AQ2104" s="6" t="s">
        <v>104</v>
      </c>
      <c r="AR2104" s="6" t="s">
        <v>16218</v>
      </c>
      <c r="AS2104" s="6" t="s">
        <v>16738</v>
      </c>
      <c r="AT2104" s="6" t="s">
        <v>16931</v>
      </c>
      <c r="AU2104" s="6" t="s">
        <v>18356</v>
      </c>
      <c r="AV2104" s="6" t="s">
        <v>104</v>
      </c>
      <c r="AW2104" s="6" t="s">
        <v>104</v>
      </c>
      <c r="AX2104" s="6" t="s">
        <v>21728</v>
      </c>
      <c r="AY2104" s="6" t="s">
        <v>104</v>
      </c>
      <c r="AZ2104" s="6" t="s">
        <v>24222</v>
      </c>
      <c r="BA2104" s="6" t="s">
        <v>104</v>
      </c>
      <c r="BB2104" s="6" t="s">
        <v>104</v>
      </c>
      <c r="BC2104" s="26"/>
      <c r="BD2104" s="26"/>
      <c r="BE2104" s="26"/>
      <c r="BF2104" s="26"/>
      <c r="BG2104" s="26"/>
      <c r="BH2104" s="26"/>
      <c r="BI2104" s="26"/>
      <c r="BJ2104" s="26"/>
      <c r="BK2104" s="26"/>
      <c r="BL2104" s="26"/>
      <c r="BM2104" s="26"/>
      <c r="BN2104" s="26"/>
      <c r="BO2104" s="26"/>
      <c r="BP2104" s="16" t="n">
        <v>45201</v>
      </c>
      <c r="BQ2104" s="28" t="str">
        <f>HYPERLINK("https://organic.ams.usda.gov/Integrity/Certificate.aspx?cid=46&amp;nopid=3671700074")</f>
        <v>https://organic.ams.usda.gov/Integrity/Certificate.aspx?cid=46&amp;nopid=3671700074</v>
      </c>
    </row>
    <row r="2105">
      <c r="A2105" t="s">
        <v>3</v>
      </c>
      <c r="B2105" s="6" t="s">
        <v>34</v>
      </c>
      <c r="C2105" s="6" t="s">
        <v>100</v>
      </c>
      <c r="D2105" s="6" t="s">
        <v>165</v>
      </c>
      <c r="E2105" s="10" t="s">
        <v>2303</v>
      </c>
      <c r="F2105" s="6" t="s">
        <v>4504</v>
      </c>
      <c r="G2105" s="6" t="s">
        <v>104</v>
      </c>
      <c r="H2105" s="6" t="s">
        <v>6778</v>
      </c>
      <c r="I2105" s="6" t="s">
        <v>7303</v>
      </c>
      <c r="J2105" s="6" t="s">
        <v>8561</v>
      </c>
      <c r="K2105" s="6" t="s">
        <v>9714</v>
      </c>
      <c r="L2105" s="16" t="n">
        <v>42468</v>
      </c>
      <c r="M2105" s="16" t="n">
        <v>45784</v>
      </c>
      <c r="N2105" s="6" t="s">
        <v>104</v>
      </c>
      <c r="O2105" s="21" t="s">
        <v>104</v>
      </c>
      <c r="P2105" s="6" t="s">
        <v>104</v>
      </c>
      <c r="Q2105" s="6" t="s">
        <v>104</v>
      </c>
      <c r="R2105" s="6" t="s">
        <v>104</v>
      </c>
      <c r="S2105" s="6" t="s">
        <v>104</v>
      </c>
      <c r="T2105" s="21" t="s">
        <v>104</v>
      </c>
      <c r="U2105" s="6" t="s">
        <v>104</v>
      </c>
      <c r="V2105" s="6" t="s">
        <v>104</v>
      </c>
      <c r="W2105" s="6" t="s">
        <v>104</v>
      </c>
      <c r="X2105" s="6" t="s">
        <v>104</v>
      </c>
      <c r="Y2105" s="21" t="s">
        <v>104</v>
      </c>
      <c r="Z2105" s="6" t="s">
        <v>104</v>
      </c>
      <c r="AA2105" s="6" t="s">
        <v>104</v>
      </c>
      <c r="AB2105" s="6" t="s">
        <v>104</v>
      </c>
      <c r="AC2105" s="6" t="s">
        <v>9714</v>
      </c>
      <c r="AD2105" s="16" t="n">
        <v>42468</v>
      </c>
      <c r="AE2105" s="6" t="s">
        <v>12355</v>
      </c>
      <c r="AF2105" s="6" t="s">
        <v>104</v>
      </c>
      <c r="AG2105" s="6" t="s">
        <v>13112</v>
      </c>
      <c r="AH2105" s="6" t="s">
        <v>15083</v>
      </c>
      <c r="AI2105" s="6" t="s">
        <v>104</v>
      </c>
      <c r="AJ2105" s="6" t="s">
        <v>16601</v>
      </c>
      <c r="AK2105" s="6" t="s">
        <v>16803</v>
      </c>
      <c r="AL2105" s="6" t="s">
        <v>16931</v>
      </c>
      <c r="AM2105" s="6" t="s">
        <v>18357</v>
      </c>
      <c r="AN2105" s="6" t="s">
        <v>18516</v>
      </c>
      <c r="AO2105" s="6" t="s">
        <v>18925</v>
      </c>
      <c r="AP2105" s="6" t="s">
        <v>19093</v>
      </c>
      <c r="AQ2105" s="6" t="s">
        <v>104</v>
      </c>
      <c r="AR2105" s="6" t="s">
        <v>19639</v>
      </c>
      <c r="AS2105" s="6" t="s">
        <v>16711</v>
      </c>
      <c r="AT2105" s="6" t="s">
        <v>16931</v>
      </c>
      <c r="AU2105" s="6" t="s">
        <v>19868</v>
      </c>
      <c r="AV2105" s="6" t="s">
        <v>104</v>
      </c>
      <c r="AW2105" s="6" t="s">
        <v>104</v>
      </c>
      <c r="AX2105" s="6" t="s">
        <v>21729</v>
      </c>
      <c r="AY2105" s="6" t="s">
        <v>22323</v>
      </c>
      <c r="AZ2105" s="6" t="s">
        <v>104</v>
      </c>
      <c r="BA2105" s="6" t="s">
        <v>104</v>
      </c>
      <c r="BB2105" s="6" t="s">
        <v>104</v>
      </c>
      <c r="BC2105" s="26"/>
      <c r="BD2105" s="26"/>
      <c r="BE2105" s="26"/>
      <c r="BF2105" s="26"/>
      <c r="BG2105" s="26"/>
      <c r="BH2105" s="26"/>
      <c r="BI2105" s="26"/>
      <c r="BJ2105" s="26"/>
      <c r="BK2105" s="26"/>
      <c r="BL2105" s="26"/>
      <c r="BM2105" s="26"/>
      <c r="BN2105" s="26"/>
      <c r="BO2105" s="26"/>
      <c r="BP2105" s="16" t="n">
        <v>45737</v>
      </c>
      <c r="BQ2105" s="28" t="str">
        <f>HYPERLINK("https://organic.ams.usda.gov/Integrity/Certificate.aspx?cid=71&amp;nopid=5520461431")</f>
        <v>https://organic.ams.usda.gov/Integrity/Certificate.aspx?cid=71&amp;nopid=5520461431</v>
      </c>
    </row>
    <row r="2106">
      <c r="A2106" t="s">
        <v>3</v>
      </c>
      <c r="B2106" s="6" t="s">
        <v>19</v>
      </c>
      <c r="C2106" s="6" t="s">
        <v>85</v>
      </c>
      <c r="D2106" s="6" t="s">
        <v>150</v>
      </c>
      <c r="E2106" s="10" t="s">
        <v>2304</v>
      </c>
      <c r="F2106" s="6" t="s">
        <v>4505</v>
      </c>
      <c r="G2106" s="6" t="s">
        <v>104</v>
      </c>
      <c r="H2106" s="6" t="s">
        <v>6779</v>
      </c>
      <c r="I2106" s="6" t="s">
        <v>8058</v>
      </c>
      <c r="J2106" s="6" t="s">
        <v>8958</v>
      </c>
      <c r="K2106" s="6" t="s">
        <v>9714</v>
      </c>
      <c r="L2106" s="16" t="n">
        <v>43920</v>
      </c>
      <c r="M2106" s="16" t="n">
        <v>46082</v>
      </c>
      <c r="N2106" s="6" t="s">
        <v>104</v>
      </c>
      <c r="O2106" s="21" t="s">
        <v>104</v>
      </c>
      <c r="P2106" s="6" t="s">
        <v>104</v>
      </c>
      <c r="Q2106" s="6" t="s">
        <v>104</v>
      </c>
      <c r="R2106" s="6" t="s">
        <v>104</v>
      </c>
      <c r="S2106" s="6" t="s">
        <v>104</v>
      </c>
      <c r="T2106" s="21" t="s">
        <v>104</v>
      </c>
      <c r="U2106" s="6" t="s">
        <v>104</v>
      </c>
      <c r="V2106" s="6" t="s">
        <v>104</v>
      </c>
      <c r="W2106" s="6" t="s">
        <v>104</v>
      </c>
      <c r="X2106" s="6" t="s">
        <v>104</v>
      </c>
      <c r="Y2106" s="21" t="s">
        <v>104</v>
      </c>
      <c r="Z2106" s="6" t="s">
        <v>104</v>
      </c>
      <c r="AA2106" s="6" t="s">
        <v>104</v>
      </c>
      <c r="AB2106" s="6" t="s">
        <v>104</v>
      </c>
      <c r="AC2106" s="6" t="s">
        <v>9714</v>
      </c>
      <c r="AD2106" s="16" t="n">
        <v>43920</v>
      </c>
      <c r="AE2106" s="6" t="s">
        <v>12356</v>
      </c>
      <c r="AF2106" s="6" t="s">
        <v>104</v>
      </c>
      <c r="AG2106" s="6" t="s">
        <v>104</v>
      </c>
      <c r="AH2106" s="6" t="s">
        <v>15084</v>
      </c>
      <c r="AI2106" s="6" t="s">
        <v>104</v>
      </c>
      <c r="AJ2106" s="6" t="s">
        <v>16602</v>
      </c>
      <c r="AK2106" s="6" t="s">
        <v>16686</v>
      </c>
      <c r="AL2106" s="6" t="s">
        <v>16931</v>
      </c>
      <c r="AM2106" s="6" t="s">
        <v>18358</v>
      </c>
      <c r="AN2106" s="6" t="s">
        <v>18487</v>
      </c>
      <c r="AO2106" s="6" t="s">
        <v>18729</v>
      </c>
      <c r="AP2106" s="6" t="s">
        <v>19509</v>
      </c>
      <c r="AQ2106" s="6" t="s">
        <v>104</v>
      </c>
      <c r="AR2106" s="6" t="s">
        <v>19778</v>
      </c>
      <c r="AS2106" s="6" t="s">
        <v>16686</v>
      </c>
      <c r="AT2106" s="6" t="s">
        <v>16931</v>
      </c>
      <c r="AU2106" s="6" t="s">
        <v>20060</v>
      </c>
      <c r="AV2106" s="6" t="s">
        <v>104</v>
      </c>
      <c r="AW2106" s="6" t="s">
        <v>104</v>
      </c>
      <c r="AX2106" s="6" t="s">
        <v>21730</v>
      </c>
      <c r="AY2106" s="6" t="s">
        <v>23563</v>
      </c>
      <c r="AZ2106" s="6" t="s">
        <v>104</v>
      </c>
      <c r="BA2106" s="6" t="s">
        <v>104</v>
      </c>
      <c r="BB2106" s="6" t="s">
        <v>104</v>
      </c>
      <c r="BC2106" s="26" t="s">
        <v>24533</v>
      </c>
      <c r="BD2106" s="26"/>
      <c r="BE2106" s="26"/>
      <c r="BF2106" s="26"/>
      <c r="BG2106" s="26" t="s">
        <v>24533</v>
      </c>
      <c r="BH2106" s="26" t="s">
        <v>24533</v>
      </c>
      <c r="BI2106" s="26"/>
      <c r="BJ2106" s="26"/>
      <c r="BK2106" s="26"/>
      <c r="BL2106" s="26"/>
      <c r="BM2106" s="26"/>
      <c r="BN2106" s="26" t="s">
        <v>24533</v>
      </c>
      <c r="BO2106" s="26"/>
      <c r="BP2106" s="16" t="n">
        <v>45736</v>
      </c>
      <c r="BQ2106" s="28" t="str">
        <f>HYPERLINK("https://organic.ams.usda.gov/Integrity/Certificate.aspx?cid=68&amp;nopid=8210007344")</f>
        <v>https://organic.ams.usda.gov/Integrity/Certificate.aspx?cid=68&amp;nopid=8210007344</v>
      </c>
    </row>
    <row r="2107">
      <c r="A2107" t="s">
        <v>3</v>
      </c>
      <c r="B2107" s="6" t="s">
        <v>11</v>
      </c>
      <c r="C2107" s="6" t="s">
        <v>77</v>
      </c>
      <c r="D2107" s="6" t="s">
        <v>142</v>
      </c>
      <c r="E2107" s="10" t="s">
        <v>2305</v>
      </c>
      <c r="F2107" s="6" t="s">
        <v>4506</v>
      </c>
      <c r="G2107" s="6" t="s">
        <v>104</v>
      </c>
      <c r="H2107" s="6" t="s">
        <v>6780</v>
      </c>
      <c r="I2107" s="6" t="s">
        <v>8059</v>
      </c>
      <c r="J2107" s="6" t="s">
        <v>104</v>
      </c>
      <c r="K2107" s="6" t="s">
        <v>9714</v>
      </c>
      <c r="L2107" s="16" t="n">
        <v>43445</v>
      </c>
      <c r="M2107" s="16" t="n">
        <v>46002</v>
      </c>
      <c r="N2107" s="6" t="s">
        <v>9721</v>
      </c>
      <c r="O2107" s="16" t="n">
        <v>45671</v>
      </c>
      <c r="P2107" s="6" t="s">
        <v>104</v>
      </c>
      <c r="Q2107" s="6" t="s">
        <v>104</v>
      </c>
      <c r="R2107" s="6" t="s">
        <v>104</v>
      </c>
      <c r="S2107" s="6" t="s">
        <v>104</v>
      </c>
      <c r="T2107" s="21" t="s">
        <v>104</v>
      </c>
      <c r="U2107" s="6" t="s">
        <v>104</v>
      </c>
      <c r="V2107" s="6" t="s">
        <v>104</v>
      </c>
      <c r="W2107" s="6" t="s">
        <v>104</v>
      </c>
      <c r="X2107" s="6" t="s">
        <v>104</v>
      </c>
      <c r="Y2107" s="21" t="s">
        <v>104</v>
      </c>
      <c r="Z2107" s="6" t="s">
        <v>104</v>
      </c>
      <c r="AA2107" s="6" t="s">
        <v>104</v>
      </c>
      <c r="AB2107" s="6" t="s">
        <v>104</v>
      </c>
      <c r="AC2107" s="6" t="s">
        <v>9714</v>
      </c>
      <c r="AD2107" s="16" t="n">
        <v>43445</v>
      </c>
      <c r="AE2107" s="6" t="s">
        <v>12357</v>
      </c>
      <c r="AF2107" s="6" t="s">
        <v>104</v>
      </c>
      <c r="AG2107" s="6" t="s">
        <v>104</v>
      </c>
      <c r="AH2107" s="6" t="s">
        <v>15085</v>
      </c>
      <c r="AI2107" s="6" t="s">
        <v>15345</v>
      </c>
      <c r="AJ2107" s="6" t="s">
        <v>104</v>
      </c>
      <c r="AK2107" s="6" t="s">
        <v>16910</v>
      </c>
      <c r="AL2107" s="6" t="s">
        <v>16946</v>
      </c>
      <c r="AM2107" s="6" t="s">
        <v>104</v>
      </c>
      <c r="AN2107" s="6" t="s">
        <v>104</v>
      </c>
      <c r="AO2107" s="6" t="s">
        <v>104</v>
      </c>
      <c r="AP2107" s="6" t="s">
        <v>15085</v>
      </c>
      <c r="AQ2107" s="6" t="s">
        <v>15345</v>
      </c>
      <c r="AR2107" s="6" t="s">
        <v>104</v>
      </c>
      <c r="AS2107" s="6" t="s">
        <v>16910</v>
      </c>
      <c r="AT2107" s="6" t="s">
        <v>16946</v>
      </c>
      <c r="AU2107" s="6" t="s">
        <v>104</v>
      </c>
      <c r="AV2107" s="6" t="s">
        <v>104</v>
      </c>
      <c r="AW2107" s="6" t="s">
        <v>104</v>
      </c>
      <c r="AX2107" s="6" t="s">
        <v>21731</v>
      </c>
      <c r="AY2107" s="6" t="s">
        <v>23564</v>
      </c>
      <c r="AZ2107" s="6" t="s">
        <v>104</v>
      </c>
      <c r="BA2107" s="6" t="s">
        <v>24517</v>
      </c>
      <c r="BB2107" s="6" t="s">
        <v>104</v>
      </c>
      <c r="BC2107" s="26"/>
      <c r="BD2107" s="26"/>
      <c r="BE2107" s="26"/>
      <c r="BF2107" s="26"/>
      <c r="BG2107" s="26"/>
      <c r="BH2107" s="26"/>
      <c r="BI2107" s="26"/>
      <c r="BJ2107" s="26"/>
      <c r="BK2107" s="26"/>
      <c r="BL2107" s="26"/>
      <c r="BM2107" s="26"/>
      <c r="BN2107" s="26"/>
      <c r="BO2107" s="26"/>
      <c r="BP2107" s="16" t="n">
        <v>45676</v>
      </c>
      <c r="BQ2107" s="28" t="str">
        <f>HYPERLINK("https://organic.ams.usda.gov/Integrity/Certificate.aspx?cid=21&amp;nopid=1780863321")</f>
        <v>https://organic.ams.usda.gov/Integrity/Certificate.aspx?cid=21&amp;nopid=1780863321</v>
      </c>
    </row>
    <row r="2108">
      <c r="A2108" t="s">
        <v>3</v>
      </c>
      <c r="B2108" s="6" t="s">
        <v>12</v>
      </c>
      <c r="C2108" s="6" t="s">
        <v>78</v>
      </c>
      <c r="D2108" s="6" t="s">
        <v>143</v>
      </c>
      <c r="E2108" s="10" t="s">
        <v>2306</v>
      </c>
      <c r="F2108" s="6" t="s">
        <v>4507</v>
      </c>
      <c r="G2108" s="6" t="s">
        <v>104</v>
      </c>
      <c r="H2108" s="6" t="s">
        <v>104</v>
      </c>
      <c r="I2108" s="6" t="s">
        <v>7636</v>
      </c>
      <c r="J2108" s="6" t="s">
        <v>9619</v>
      </c>
      <c r="K2108" s="6" t="s">
        <v>9714</v>
      </c>
      <c r="L2108" s="16" t="n">
        <v>45316</v>
      </c>
      <c r="M2108" s="16" t="n">
        <v>45809</v>
      </c>
      <c r="N2108" s="6" t="s">
        <v>9714</v>
      </c>
      <c r="O2108" s="16" t="n">
        <v>45316</v>
      </c>
      <c r="P2108" s="6" t="s">
        <v>10251</v>
      </c>
      <c r="Q2108" s="6" t="s">
        <v>104</v>
      </c>
      <c r="R2108" s="6" t="s">
        <v>104</v>
      </c>
      <c r="S2108" s="6" t="s">
        <v>104</v>
      </c>
      <c r="T2108" s="21" t="s">
        <v>104</v>
      </c>
      <c r="U2108" s="6" t="s">
        <v>104</v>
      </c>
      <c r="V2108" s="6" t="s">
        <v>104</v>
      </c>
      <c r="W2108" s="6" t="s">
        <v>104</v>
      </c>
      <c r="X2108" s="6" t="s">
        <v>104</v>
      </c>
      <c r="Y2108" s="21" t="s">
        <v>104</v>
      </c>
      <c r="Z2108" s="6" t="s">
        <v>104</v>
      </c>
      <c r="AA2108" s="6" t="s">
        <v>104</v>
      </c>
      <c r="AB2108" s="6" t="s">
        <v>104</v>
      </c>
      <c r="AC2108" s="6" t="s">
        <v>9714</v>
      </c>
      <c r="AD2108" s="16" t="n">
        <v>45607</v>
      </c>
      <c r="AE2108" s="6" t="s">
        <v>12358</v>
      </c>
      <c r="AF2108" s="6" t="s">
        <v>104</v>
      </c>
      <c r="AG2108" s="6" t="s">
        <v>13113</v>
      </c>
      <c r="AH2108" s="6" t="s">
        <v>15086</v>
      </c>
      <c r="AI2108" s="6" t="s">
        <v>104</v>
      </c>
      <c r="AJ2108" s="6" t="s">
        <v>16603</v>
      </c>
      <c r="AK2108" s="6" t="s">
        <v>16678</v>
      </c>
      <c r="AL2108" s="6" t="s">
        <v>16931</v>
      </c>
      <c r="AM2108" s="6" t="s">
        <v>18359</v>
      </c>
      <c r="AN2108" s="6" t="s">
        <v>104</v>
      </c>
      <c r="AO2108" s="6" t="s">
        <v>104</v>
      </c>
      <c r="AP2108" s="6" t="s">
        <v>15086</v>
      </c>
      <c r="AQ2108" s="6" t="s">
        <v>104</v>
      </c>
      <c r="AR2108" s="6" t="s">
        <v>16603</v>
      </c>
      <c r="AS2108" s="6" t="s">
        <v>16678</v>
      </c>
      <c r="AT2108" s="6" t="s">
        <v>16931</v>
      </c>
      <c r="AU2108" s="6" t="s">
        <v>18359</v>
      </c>
      <c r="AV2108" s="6" t="s">
        <v>104</v>
      </c>
      <c r="AW2108" s="6" t="s">
        <v>104</v>
      </c>
      <c r="AX2108" s="6" t="s">
        <v>104</v>
      </c>
      <c r="AY2108" s="6" t="s">
        <v>23565</v>
      </c>
      <c r="AZ2108" s="6" t="s">
        <v>104</v>
      </c>
      <c r="BA2108" s="6" t="s">
        <v>104</v>
      </c>
      <c r="BB2108" s="24" t="n">
        <v>1068</v>
      </c>
      <c r="BC2108" s="26"/>
      <c r="BD2108" s="26"/>
      <c r="BE2108" s="26"/>
      <c r="BF2108" s="26"/>
      <c r="BG2108" s="26"/>
      <c r="BH2108" s="26"/>
      <c r="BI2108" s="26"/>
      <c r="BJ2108" s="26"/>
      <c r="BK2108" s="26"/>
      <c r="BL2108" s="26"/>
      <c r="BM2108" s="26"/>
      <c r="BN2108" s="26"/>
      <c r="BO2108" s="26"/>
      <c r="BP2108" s="16" t="n">
        <v>45616</v>
      </c>
      <c r="BQ2108" s="28" t="str">
        <f>HYPERLINK("https://organic.ams.usda.gov/Integrity/Certificate.aspx?cid=1&amp;nopid=9092435001")</f>
        <v>https://organic.ams.usda.gov/Integrity/Certificate.aspx?cid=1&amp;nopid=9092435001</v>
      </c>
    </row>
    <row r="2109">
      <c r="A2109" t="s">
        <v>3</v>
      </c>
      <c r="B2109" s="6" t="s">
        <v>57</v>
      </c>
      <c r="C2109" s="6" t="s">
        <v>123</v>
      </c>
      <c r="D2109" s="6" t="s">
        <v>187</v>
      </c>
      <c r="E2109" s="10" t="s">
        <v>2307</v>
      </c>
      <c r="F2109" s="6" t="s">
        <v>4508</v>
      </c>
      <c r="G2109" s="6" t="s">
        <v>4880</v>
      </c>
      <c r="H2109" s="6" t="s">
        <v>6781</v>
      </c>
      <c r="I2109" s="6" t="s">
        <v>7383</v>
      </c>
      <c r="J2109" s="6" t="s">
        <v>9620</v>
      </c>
      <c r="K2109" s="6" t="s">
        <v>9714</v>
      </c>
      <c r="L2109" s="16" t="n">
        <v>40653</v>
      </c>
      <c r="M2109" s="16" t="n">
        <v>45931</v>
      </c>
      <c r="N2109" s="6" t="s">
        <v>104</v>
      </c>
      <c r="O2109" s="21" t="s">
        <v>104</v>
      </c>
      <c r="P2109" s="6" t="s">
        <v>104</v>
      </c>
      <c r="Q2109" s="6" t="s">
        <v>104</v>
      </c>
      <c r="R2109" s="6" t="s">
        <v>104</v>
      </c>
      <c r="S2109" s="6" t="s">
        <v>104</v>
      </c>
      <c r="T2109" s="21" t="s">
        <v>104</v>
      </c>
      <c r="U2109" s="6" t="s">
        <v>104</v>
      </c>
      <c r="V2109" s="6" t="s">
        <v>104</v>
      </c>
      <c r="W2109" s="6" t="s">
        <v>104</v>
      </c>
      <c r="X2109" s="6" t="s">
        <v>104</v>
      </c>
      <c r="Y2109" s="21" t="s">
        <v>104</v>
      </c>
      <c r="Z2109" s="6" t="s">
        <v>104</v>
      </c>
      <c r="AA2109" s="6" t="s">
        <v>104</v>
      </c>
      <c r="AB2109" s="6" t="s">
        <v>104</v>
      </c>
      <c r="AC2109" s="6" t="s">
        <v>9714</v>
      </c>
      <c r="AD2109" s="16" t="n">
        <v>40653</v>
      </c>
      <c r="AE2109" s="6" t="s">
        <v>12359</v>
      </c>
      <c r="AF2109" s="6" t="s">
        <v>104</v>
      </c>
      <c r="AG2109" s="6" t="s">
        <v>104</v>
      </c>
      <c r="AH2109" s="6" t="s">
        <v>15087</v>
      </c>
      <c r="AI2109" s="6" t="s">
        <v>104</v>
      </c>
      <c r="AJ2109" s="6" t="s">
        <v>15490</v>
      </c>
      <c r="AK2109" s="6" t="s">
        <v>16730</v>
      </c>
      <c r="AL2109" s="6" t="s">
        <v>16931</v>
      </c>
      <c r="AM2109" s="6" t="s">
        <v>17752</v>
      </c>
      <c r="AN2109" s="6" t="s">
        <v>18491</v>
      </c>
      <c r="AO2109" s="6" t="s">
        <v>18739</v>
      </c>
      <c r="AP2109" s="6" t="s">
        <v>15087</v>
      </c>
      <c r="AQ2109" s="6" t="s">
        <v>104</v>
      </c>
      <c r="AR2109" s="6" t="s">
        <v>15490</v>
      </c>
      <c r="AS2109" s="6" t="s">
        <v>16730</v>
      </c>
      <c r="AT2109" s="6" t="s">
        <v>16931</v>
      </c>
      <c r="AU2109" s="6" t="s">
        <v>17752</v>
      </c>
      <c r="AV2109" s="6" t="s">
        <v>104</v>
      </c>
      <c r="AW2109" s="6" t="s">
        <v>104</v>
      </c>
      <c r="AX2109" s="6" t="s">
        <v>21732</v>
      </c>
      <c r="AY2109" s="6" t="s">
        <v>23566</v>
      </c>
      <c r="AZ2109" s="6" t="s">
        <v>104</v>
      </c>
      <c r="BA2109" s="6" t="s">
        <v>104</v>
      </c>
      <c r="BB2109" s="6" t="s">
        <v>104</v>
      </c>
      <c r="BC2109" s="26"/>
      <c r="BD2109" s="26"/>
      <c r="BE2109" s="26"/>
      <c r="BF2109" s="26"/>
      <c r="BG2109" s="26"/>
      <c r="BH2109" s="26"/>
      <c r="BI2109" s="26"/>
      <c r="BJ2109" s="26"/>
      <c r="BK2109" s="26"/>
      <c r="BL2109" s="26"/>
      <c r="BM2109" s="26"/>
      <c r="BN2109" s="26"/>
      <c r="BO2109" s="26"/>
      <c r="BP2109" s="16" t="n">
        <v>45735</v>
      </c>
      <c r="BQ2109" s="28" t="str">
        <f>HYPERLINK("https://organic.ams.usda.gov/Integrity/Certificate.aspx?cid=19&amp;nopid=6350000353")</f>
        <v>https://organic.ams.usda.gov/Integrity/Certificate.aspx?cid=19&amp;nopid=6350000353</v>
      </c>
    </row>
    <row r="2110">
      <c r="A2110" t="s">
        <v>3</v>
      </c>
      <c r="B2110" s="6" t="s">
        <v>47</v>
      </c>
      <c r="C2110" s="6" t="s">
        <v>113</v>
      </c>
      <c r="D2110" s="6" t="s">
        <v>177</v>
      </c>
      <c r="E2110" s="10" t="s">
        <v>2308</v>
      </c>
      <c r="F2110" s="6" t="s">
        <v>4509</v>
      </c>
      <c r="G2110" s="6" t="s">
        <v>104</v>
      </c>
      <c r="H2110" s="6" t="s">
        <v>6782</v>
      </c>
      <c r="I2110" s="6" t="s">
        <v>7833</v>
      </c>
      <c r="J2110" s="6" t="s">
        <v>9621</v>
      </c>
      <c r="K2110" s="6" t="s">
        <v>9714</v>
      </c>
      <c r="L2110" s="16" t="n">
        <v>37514</v>
      </c>
      <c r="M2110" s="16" t="n">
        <v>45762</v>
      </c>
      <c r="N2110" s="6" t="s">
        <v>9714</v>
      </c>
      <c r="O2110" s="16" t="n">
        <v>37514</v>
      </c>
      <c r="P2110" s="6" t="s">
        <v>10252</v>
      </c>
      <c r="Q2110" s="6" t="s">
        <v>104</v>
      </c>
      <c r="R2110" s="6" t="s">
        <v>10447</v>
      </c>
      <c r="S2110" s="6" t="s">
        <v>9714</v>
      </c>
      <c r="T2110" s="16" t="n">
        <v>37514</v>
      </c>
      <c r="U2110" s="6" t="s">
        <v>10507</v>
      </c>
      <c r="V2110" s="6" t="s">
        <v>104</v>
      </c>
      <c r="W2110" s="6" t="s">
        <v>10447</v>
      </c>
      <c r="X2110" s="6" t="s">
        <v>104</v>
      </c>
      <c r="Y2110" s="21" t="s">
        <v>104</v>
      </c>
      <c r="Z2110" s="6" t="s">
        <v>104</v>
      </c>
      <c r="AA2110" s="6" t="s">
        <v>104</v>
      </c>
      <c r="AB2110" s="6" t="s">
        <v>104</v>
      </c>
      <c r="AC2110" s="6" t="s">
        <v>104</v>
      </c>
      <c r="AD2110" s="21" t="s">
        <v>104</v>
      </c>
      <c r="AE2110" s="6" t="s">
        <v>104</v>
      </c>
      <c r="AF2110" s="6" t="s">
        <v>104</v>
      </c>
      <c r="AG2110" s="6" t="s">
        <v>104</v>
      </c>
      <c r="AH2110" s="6" t="s">
        <v>15088</v>
      </c>
      <c r="AI2110" s="6" t="s">
        <v>104</v>
      </c>
      <c r="AJ2110" s="6" t="s">
        <v>16604</v>
      </c>
      <c r="AK2110" s="6" t="s">
        <v>16734</v>
      </c>
      <c r="AL2110" s="6" t="s">
        <v>16931</v>
      </c>
      <c r="AM2110" s="6" t="s">
        <v>18360</v>
      </c>
      <c r="AN2110" s="6" t="s">
        <v>18456</v>
      </c>
      <c r="AO2110" s="6" t="s">
        <v>18758</v>
      </c>
      <c r="AP2110" s="6" t="s">
        <v>15088</v>
      </c>
      <c r="AQ2110" s="6" t="s">
        <v>104</v>
      </c>
      <c r="AR2110" s="6" t="s">
        <v>16604</v>
      </c>
      <c r="AS2110" s="6" t="s">
        <v>16734</v>
      </c>
      <c r="AT2110" s="6" t="s">
        <v>16931</v>
      </c>
      <c r="AU2110" s="6" t="s">
        <v>18360</v>
      </c>
      <c r="AV2110" s="6" t="s">
        <v>104</v>
      </c>
      <c r="AW2110" s="6" t="s">
        <v>104</v>
      </c>
      <c r="AX2110" s="6" t="s">
        <v>21733</v>
      </c>
      <c r="AY2110" s="6" t="s">
        <v>104</v>
      </c>
      <c r="AZ2110" s="6" t="s">
        <v>104</v>
      </c>
      <c r="BA2110" s="6" t="s">
        <v>104</v>
      </c>
      <c r="BB2110" s="24" t="n">
        <v>249</v>
      </c>
      <c r="BC2110" s="26"/>
      <c r="BD2110" s="26"/>
      <c r="BE2110" s="26"/>
      <c r="BF2110" s="26"/>
      <c r="BG2110" s="26"/>
      <c r="BH2110" s="26"/>
      <c r="BI2110" s="26"/>
      <c r="BJ2110" s="26"/>
      <c r="BK2110" s="26"/>
      <c r="BL2110" s="26"/>
      <c r="BM2110" s="26"/>
      <c r="BN2110" s="26"/>
      <c r="BO2110" s="26"/>
      <c r="BP2110" s="16" t="n">
        <v>45734</v>
      </c>
      <c r="BQ2110" s="28" t="str">
        <f>HYPERLINK("https://organic.ams.usda.gov/Integrity/Certificate.aspx?cid=47&amp;nopid=7142070046")</f>
        <v>https://organic.ams.usda.gov/Integrity/Certificate.aspx?cid=47&amp;nopid=7142070046</v>
      </c>
    </row>
    <row r="2111">
      <c r="A2111" t="s">
        <v>3</v>
      </c>
      <c r="B2111" s="6" t="s">
        <v>53</v>
      </c>
      <c r="C2111" s="6" t="s">
        <v>119</v>
      </c>
      <c r="D2111" s="6" t="s">
        <v>183</v>
      </c>
      <c r="E2111" s="10" t="s">
        <v>2309</v>
      </c>
      <c r="F2111" s="6" t="s">
        <v>4510</v>
      </c>
      <c r="G2111" s="6" t="s">
        <v>104</v>
      </c>
      <c r="H2111" s="6" t="s">
        <v>104</v>
      </c>
      <c r="I2111" s="6" t="s">
        <v>8060</v>
      </c>
      <c r="J2111" s="6" t="s">
        <v>9622</v>
      </c>
      <c r="K2111" s="6" t="s">
        <v>9714</v>
      </c>
      <c r="L2111" s="16" t="n">
        <v>42018</v>
      </c>
      <c r="M2111" s="16" t="n">
        <v>46036</v>
      </c>
      <c r="N2111" s="6" t="s">
        <v>104</v>
      </c>
      <c r="O2111" s="21" t="s">
        <v>104</v>
      </c>
      <c r="P2111" s="6" t="s">
        <v>104</v>
      </c>
      <c r="Q2111" s="6" t="s">
        <v>104</v>
      </c>
      <c r="R2111" s="6" t="s">
        <v>104</v>
      </c>
      <c r="S2111" s="6" t="s">
        <v>104</v>
      </c>
      <c r="T2111" s="21" t="s">
        <v>104</v>
      </c>
      <c r="U2111" s="6" t="s">
        <v>104</v>
      </c>
      <c r="V2111" s="6" t="s">
        <v>104</v>
      </c>
      <c r="W2111" s="6" t="s">
        <v>104</v>
      </c>
      <c r="X2111" s="6" t="s">
        <v>104</v>
      </c>
      <c r="Y2111" s="21" t="s">
        <v>104</v>
      </c>
      <c r="Z2111" s="6" t="s">
        <v>104</v>
      </c>
      <c r="AA2111" s="6" t="s">
        <v>104</v>
      </c>
      <c r="AB2111" s="6" t="s">
        <v>104</v>
      </c>
      <c r="AC2111" s="6" t="s">
        <v>9714</v>
      </c>
      <c r="AD2111" s="16" t="n">
        <v>42018</v>
      </c>
      <c r="AE2111" s="6" t="s">
        <v>12360</v>
      </c>
      <c r="AF2111" s="6" t="s">
        <v>104</v>
      </c>
      <c r="AG2111" s="6" t="s">
        <v>104</v>
      </c>
      <c r="AH2111" s="6" t="s">
        <v>15089</v>
      </c>
      <c r="AI2111" s="6" t="s">
        <v>104</v>
      </c>
      <c r="AJ2111" s="6" t="s">
        <v>15415</v>
      </c>
      <c r="AK2111" s="6" t="s">
        <v>16705</v>
      </c>
      <c r="AL2111" s="6" t="s">
        <v>16931</v>
      </c>
      <c r="AM2111" s="6" t="s">
        <v>18361</v>
      </c>
      <c r="AN2111" s="6" t="s">
        <v>17550</v>
      </c>
      <c r="AO2111" s="6" t="s">
        <v>18702</v>
      </c>
      <c r="AP2111" s="6" t="s">
        <v>104</v>
      </c>
      <c r="AQ2111" s="6" t="s">
        <v>104</v>
      </c>
      <c r="AR2111" s="6" t="s">
        <v>104</v>
      </c>
      <c r="AS2111" s="6" t="s">
        <v>104</v>
      </c>
      <c r="AT2111" s="6" t="s">
        <v>104</v>
      </c>
      <c r="AU2111" s="6" t="s">
        <v>104</v>
      </c>
      <c r="AV2111" s="6" t="s">
        <v>104</v>
      </c>
      <c r="AW2111" s="6" t="s">
        <v>104</v>
      </c>
      <c r="AX2111" s="6" t="s">
        <v>104</v>
      </c>
      <c r="AY2111" s="6" t="s">
        <v>23567</v>
      </c>
      <c r="AZ2111" s="6" t="s">
        <v>24223</v>
      </c>
      <c r="BA2111" s="6" t="s">
        <v>104</v>
      </c>
      <c r="BB2111" s="6" t="s">
        <v>104</v>
      </c>
      <c r="BC2111" s="26"/>
      <c r="BD2111" s="26"/>
      <c r="BE2111" s="26"/>
      <c r="BF2111" s="26"/>
      <c r="BG2111" s="26"/>
      <c r="BH2111" s="26"/>
      <c r="BI2111" s="26"/>
      <c r="BJ2111" s="26"/>
      <c r="BK2111" s="26"/>
      <c r="BL2111" s="26"/>
      <c r="BM2111" s="26"/>
      <c r="BN2111" s="26"/>
      <c r="BO2111" s="26"/>
      <c r="BP2111" s="16" t="n">
        <v>45722</v>
      </c>
      <c r="BQ2111" s="28" t="str">
        <f>HYPERLINK("https://organic.ams.usda.gov/Integrity/Certificate.aspx?cid=74&amp;nopid=5350000038")</f>
        <v>https://organic.ams.usda.gov/Integrity/Certificate.aspx?cid=74&amp;nopid=5350000038</v>
      </c>
    </row>
    <row r="2112">
      <c r="A2112" t="s">
        <v>3</v>
      </c>
      <c r="B2112" s="6" t="s">
        <v>11</v>
      </c>
      <c r="C2112" s="6" t="s">
        <v>77</v>
      </c>
      <c r="D2112" s="6" t="s">
        <v>142</v>
      </c>
      <c r="E2112" s="10" t="s">
        <v>2310</v>
      </c>
      <c r="F2112" s="6" t="s">
        <v>4511</v>
      </c>
      <c r="G2112" s="6" t="s">
        <v>104</v>
      </c>
      <c r="H2112" s="6" t="s">
        <v>6783</v>
      </c>
      <c r="I2112" s="6" t="s">
        <v>8061</v>
      </c>
      <c r="J2112" s="6" t="s">
        <v>9623</v>
      </c>
      <c r="K2112" s="6" t="s">
        <v>9714</v>
      </c>
      <c r="L2112" s="16" t="n">
        <v>44207</v>
      </c>
      <c r="M2112" s="16" t="n">
        <v>45615</v>
      </c>
      <c r="N2112" s="6" t="s">
        <v>104</v>
      </c>
      <c r="O2112" s="21" t="s">
        <v>104</v>
      </c>
      <c r="P2112" s="6" t="s">
        <v>104</v>
      </c>
      <c r="Q2112" s="6" t="s">
        <v>104</v>
      </c>
      <c r="R2112" s="6" t="s">
        <v>104</v>
      </c>
      <c r="S2112" s="6" t="s">
        <v>104</v>
      </c>
      <c r="T2112" s="21" t="s">
        <v>104</v>
      </c>
      <c r="U2112" s="6" t="s">
        <v>104</v>
      </c>
      <c r="V2112" s="6" t="s">
        <v>104</v>
      </c>
      <c r="W2112" s="6" t="s">
        <v>104</v>
      </c>
      <c r="X2112" s="6" t="s">
        <v>104</v>
      </c>
      <c r="Y2112" s="21" t="s">
        <v>104</v>
      </c>
      <c r="Z2112" s="6" t="s">
        <v>104</v>
      </c>
      <c r="AA2112" s="6" t="s">
        <v>104</v>
      </c>
      <c r="AB2112" s="6" t="s">
        <v>104</v>
      </c>
      <c r="AC2112" s="6" t="s">
        <v>9714</v>
      </c>
      <c r="AD2112" s="16" t="n">
        <v>44207</v>
      </c>
      <c r="AE2112" s="6" t="s">
        <v>12361</v>
      </c>
      <c r="AF2112" s="6" t="s">
        <v>104</v>
      </c>
      <c r="AG2112" s="6" t="s">
        <v>104</v>
      </c>
      <c r="AH2112" s="6" t="s">
        <v>15090</v>
      </c>
      <c r="AI2112" s="6" t="s">
        <v>104</v>
      </c>
      <c r="AJ2112" s="6" t="s">
        <v>16605</v>
      </c>
      <c r="AK2112" s="6" t="s">
        <v>16911</v>
      </c>
      <c r="AL2112" s="6" t="s">
        <v>15513</v>
      </c>
      <c r="AM2112" s="6" t="s">
        <v>18362</v>
      </c>
      <c r="AN2112" s="6" t="s">
        <v>104</v>
      </c>
      <c r="AO2112" s="6" t="s">
        <v>104</v>
      </c>
      <c r="AP2112" s="6" t="s">
        <v>15090</v>
      </c>
      <c r="AQ2112" s="6" t="s">
        <v>104</v>
      </c>
      <c r="AR2112" s="6" t="s">
        <v>16605</v>
      </c>
      <c r="AS2112" s="6" t="s">
        <v>16911</v>
      </c>
      <c r="AT2112" s="6" t="s">
        <v>15513</v>
      </c>
      <c r="AU2112" s="6" t="s">
        <v>18362</v>
      </c>
      <c r="AV2112" s="6" t="s">
        <v>104</v>
      </c>
      <c r="AW2112" s="6" t="s">
        <v>104</v>
      </c>
      <c r="AX2112" s="6" t="s">
        <v>21734</v>
      </c>
      <c r="AY2112" s="6" t="s">
        <v>23568</v>
      </c>
      <c r="AZ2112" s="6" t="s">
        <v>104</v>
      </c>
      <c r="BA2112" s="6" t="s">
        <v>104</v>
      </c>
      <c r="BB2112" s="6" t="s">
        <v>104</v>
      </c>
      <c r="BC2112" s="26"/>
      <c r="BD2112" s="26"/>
      <c r="BE2112" s="26"/>
      <c r="BF2112" s="26"/>
      <c r="BG2112" s="26"/>
      <c r="BH2112" s="26"/>
      <c r="BI2112" s="26"/>
      <c r="BJ2112" s="26"/>
      <c r="BK2112" s="26"/>
      <c r="BL2112" s="26"/>
      <c r="BM2112" s="26"/>
      <c r="BN2112" s="26"/>
      <c r="BO2112" s="26"/>
      <c r="BP2112" s="16" t="n">
        <v>45480</v>
      </c>
      <c r="BQ2112" s="28" t="str">
        <f>HYPERLINK("https://organic.ams.usda.gov/Integrity/Certificate.aspx?cid=21&amp;nopid=1780876067")</f>
        <v>https://organic.ams.usda.gov/Integrity/Certificate.aspx?cid=21&amp;nopid=1780876067</v>
      </c>
    </row>
    <row r="2113">
      <c r="A2113" t="s">
        <v>3</v>
      </c>
      <c r="B2113" s="6" t="s">
        <v>11</v>
      </c>
      <c r="C2113" s="6" t="s">
        <v>77</v>
      </c>
      <c r="D2113" s="6" t="s">
        <v>142</v>
      </c>
      <c r="E2113" s="10" t="s">
        <v>2311</v>
      </c>
      <c r="F2113" s="6" t="s">
        <v>4512</v>
      </c>
      <c r="G2113" s="6" t="s">
        <v>104</v>
      </c>
      <c r="H2113" s="6" t="s">
        <v>6784</v>
      </c>
      <c r="I2113" s="6" t="s">
        <v>8061</v>
      </c>
      <c r="J2113" s="6" t="s">
        <v>9623</v>
      </c>
      <c r="K2113" s="6" t="s">
        <v>9714</v>
      </c>
      <c r="L2113" s="16" t="n">
        <v>42403</v>
      </c>
      <c r="M2113" s="16" t="n">
        <v>45673</v>
      </c>
      <c r="N2113" s="6" t="s">
        <v>9714</v>
      </c>
      <c r="O2113" s="16" t="n">
        <v>42403</v>
      </c>
      <c r="P2113" s="6" t="s">
        <v>10253</v>
      </c>
      <c r="Q2113" s="6" t="s">
        <v>104</v>
      </c>
      <c r="R2113" s="6" t="s">
        <v>104</v>
      </c>
      <c r="S2113" s="6" t="s">
        <v>104</v>
      </c>
      <c r="T2113" s="21" t="s">
        <v>104</v>
      </c>
      <c r="U2113" s="6" t="s">
        <v>104</v>
      </c>
      <c r="V2113" s="6" t="s">
        <v>104</v>
      </c>
      <c r="W2113" s="6" t="s">
        <v>104</v>
      </c>
      <c r="X2113" s="6" t="s">
        <v>104</v>
      </c>
      <c r="Y2113" s="21" t="s">
        <v>104</v>
      </c>
      <c r="Z2113" s="6" t="s">
        <v>104</v>
      </c>
      <c r="AA2113" s="6" t="s">
        <v>104</v>
      </c>
      <c r="AB2113" s="6" t="s">
        <v>104</v>
      </c>
      <c r="AC2113" s="6" t="s">
        <v>9714</v>
      </c>
      <c r="AD2113" s="16" t="n">
        <v>42403</v>
      </c>
      <c r="AE2113" s="6" t="s">
        <v>12362</v>
      </c>
      <c r="AF2113" s="6" t="s">
        <v>104</v>
      </c>
      <c r="AG2113" s="6" t="s">
        <v>104</v>
      </c>
      <c r="AH2113" s="6" t="s">
        <v>15091</v>
      </c>
      <c r="AI2113" s="6" t="s">
        <v>104</v>
      </c>
      <c r="AJ2113" s="6" t="s">
        <v>16606</v>
      </c>
      <c r="AK2113" s="6" t="s">
        <v>16606</v>
      </c>
      <c r="AL2113" s="6" t="s">
        <v>15513</v>
      </c>
      <c r="AM2113" s="6" t="s">
        <v>104</v>
      </c>
      <c r="AN2113" s="6" t="s">
        <v>104</v>
      </c>
      <c r="AO2113" s="6" t="s">
        <v>104</v>
      </c>
      <c r="AP2113" s="6" t="s">
        <v>19510</v>
      </c>
      <c r="AQ2113" s="6" t="s">
        <v>104</v>
      </c>
      <c r="AR2113" s="6" t="s">
        <v>16606</v>
      </c>
      <c r="AS2113" s="6" t="s">
        <v>16606</v>
      </c>
      <c r="AT2113" s="6" t="s">
        <v>15513</v>
      </c>
      <c r="AU2113" s="6" t="s">
        <v>104</v>
      </c>
      <c r="AV2113" s="6" t="s">
        <v>104</v>
      </c>
      <c r="AW2113" s="6" t="s">
        <v>104</v>
      </c>
      <c r="AX2113" s="6" t="s">
        <v>21735</v>
      </c>
      <c r="AY2113" s="6" t="s">
        <v>23568</v>
      </c>
      <c r="AZ2113" s="6" t="s">
        <v>104</v>
      </c>
      <c r="BA2113" s="6" t="s">
        <v>104</v>
      </c>
      <c r="BB2113" s="24" t="n">
        <v>8154</v>
      </c>
      <c r="BC2113" s="26"/>
      <c r="BD2113" s="26"/>
      <c r="BE2113" s="26"/>
      <c r="BF2113" s="26"/>
      <c r="BG2113" s="26"/>
      <c r="BH2113" s="26"/>
      <c r="BI2113" s="26"/>
      <c r="BJ2113" s="26"/>
      <c r="BK2113" s="26"/>
      <c r="BL2113" s="26"/>
      <c r="BM2113" s="26"/>
      <c r="BN2113" s="26"/>
      <c r="BO2113" s="26" t="s">
        <v>24533</v>
      </c>
      <c r="BP2113" s="16" t="n">
        <v>45600</v>
      </c>
      <c r="BQ2113" s="28" t="str">
        <f>HYPERLINK("https://organic.ams.usda.gov/Integrity/Certificate.aspx?cid=21&amp;nopid=1780842683")</f>
        <v>https://organic.ams.usda.gov/Integrity/Certificate.aspx?cid=21&amp;nopid=1780842683</v>
      </c>
    </row>
    <row r="2114">
      <c r="A2114" t="s">
        <v>3</v>
      </c>
      <c r="B2114" s="6" t="s">
        <v>20</v>
      </c>
      <c r="C2114" s="6" t="s">
        <v>86</v>
      </c>
      <c r="D2114" s="6" t="s">
        <v>151</v>
      </c>
      <c r="E2114" s="10" t="s">
        <v>2312</v>
      </c>
      <c r="F2114" s="6" t="s">
        <v>4513</v>
      </c>
      <c r="G2114" s="6" t="s">
        <v>104</v>
      </c>
      <c r="H2114" s="6" t="s">
        <v>6785</v>
      </c>
      <c r="I2114" s="6" t="s">
        <v>8062</v>
      </c>
      <c r="J2114" s="6" t="s">
        <v>9624</v>
      </c>
      <c r="K2114" s="6" t="s">
        <v>9714</v>
      </c>
      <c r="L2114" s="16" t="n">
        <v>42068</v>
      </c>
      <c r="M2114" s="16" t="n">
        <v>46081</v>
      </c>
      <c r="N2114" s="6" t="s">
        <v>104</v>
      </c>
      <c r="O2114" s="21" t="s">
        <v>104</v>
      </c>
      <c r="P2114" s="6" t="s">
        <v>104</v>
      </c>
      <c r="Q2114" s="6" t="s">
        <v>104</v>
      </c>
      <c r="R2114" s="6" t="s">
        <v>104</v>
      </c>
      <c r="S2114" s="6" t="s">
        <v>104</v>
      </c>
      <c r="T2114" s="21" t="s">
        <v>104</v>
      </c>
      <c r="U2114" s="6" t="s">
        <v>104</v>
      </c>
      <c r="V2114" s="6" t="s">
        <v>104</v>
      </c>
      <c r="W2114" s="6" t="s">
        <v>104</v>
      </c>
      <c r="X2114" s="6" t="s">
        <v>104</v>
      </c>
      <c r="Y2114" s="21" t="s">
        <v>104</v>
      </c>
      <c r="Z2114" s="6" t="s">
        <v>104</v>
      </c>
      <c r="AA2114" s="6" t="s">
        <v>104</v>
      </c>
      <c r="AB2114" s="6" t="s">
        <v>104</v>
      </c>
      <c r="AC2114" s="6" t="s">
        <v>9714</v>
      </c>
      <c r="AD2114" s="16" t="n">
        <v>42068</v>
      </c>
      <c r="AE2114" s="6" t="s">
        <v>12363</v>
      </c>
      <c r="AF2114" s="6" t="s">
        <v>104</v>
      </c>
      <c r="AG2114" s="6" t="s">
        <v>13114</v>
      </c>
      <c r="AH2114" s="6" t="s">
        <v>15092</v>
      </c>
      <c r="AI2114" s="6" t="s">
        <v>104</v>
      </c>
      <c r="AJ2114" s="6" t="s">
        <v>16351</v>
      </c>
      <c r="AK2114" s="6" t="s">
        <v>16804</v>
      </c>
      <c r="AL2114" s="6" t="s">
        <v>15513</v>
      </c>
      <c r="AM2114" s="6" t="s">
        <v>17070</v>
      </c>
      <c r="AN2114" s="6" t="s">
        <v>104</v>
      </c>
      <c r="AO2114" s="6" t="s">
        <v>104</v>
      </c>
      <c r="AP2114" s="6" t="s">
        <v>104</v>
      </c>
      <c r="AQ2114" s="6" t="s">
        <v>104</v>
      </c>
      <c r="AR2114" s="6" t="s">
        <v>104</v>
      </c>
      <c r="AS2114" s="6" t="s">
        <v>104</v>
      </c>
      <c r="AT2114" s="6" t="s">
        <v>104</v>
      </c>
      <c r="AU2114" s="6" t="s">
        <v>104</v>
      </c>
      <c r="AV2114" s="6" t="s">
        <v>104</v>
      </c>
      <c r="AW2114" s="6" t="s">
        <v>104</v>
      </c>
      <c r="AX2114" s="6" t="s">
        <v>21736</v>
      </c>
      <c r="AY2114" s="6" t="s">
        <v>23569</v>
      </c>
      <c r="AZ2114" s="6" t="s">
        <v>104</v>
      </c>
      <c r="BA2114" s="6" t="s">
        <v>24518</v>
      </c>
      <c r="BB2114" s="6" t="s">
        <v>104</v>
      </c>
      <c r="BC2114" s="26"/>
      <c r="BD2114" s="26"/>
      <c r="BE2114" s="26"/>
      <c r="BF2114" s="26"/>
      <c r="BG2114" s="26"/>
      <c r="BH2114" s="26"/>
      <c r="BI2114" s="26"/>
      <c r="BJ2114" s="26"/>
      <c r="BK2114" s="26"/>
      <c r="BL2114" s="26"/>
      <c r="BM2114" s="26"/>
      <c r="BN2114" s="26"/>
      <c r="BO2114" s="26"/>
      <c r="BP2114" s="16" t="n">
        <v>45712</v>
      </c>
      <c r="BQ2114" s="28" t="str">
        <f>HYPERLINK("https://organic.ams.usda.gov/Integrity/Certificate.aspx?cid=17&amp;nopid=4083800006")</f>
        <v>https://organic.ams.usda.gov/Integrity/Certificate.aspx?cid=17&amp;nopid=4083800006</v>
      </c>
    </row>
    <row r="2115">
      <c r="A2115" t="s">
        <v>3</v>
      </c>
      <c r="B2115" s="6" t="s">
        <v>48</v>
      </c>
      <c r="C2115" s="6" t="s">
        <v>114</v>
      </c>
      <c r="D2115" s="6" t="s">
        <v>178</v>
      </c>
      <c r="E2115" s="10" t="s">
        <v>2313</v>
      </c>
      <c r="F2115" s="6" t="s">
        <v>4514</v>
      </c>
      <c r="G2115" s="6" t="s">
        <v>104</v>
      </c>
      <c r="H2115" s="6" t="s">
        <v>6786</v>
      </c>
      <c r="I2115" s="6" t="s">
        <v>8063</v>
      </c>
      <c r="J2115" s="6" t="s">
        <v>9276</v>
      </c>
      <c r="K2115" s="6" t="s">
        <v>9714</v>
      </c>
      <c r="L2115" s="16" t="n">
        <v>42296</v>
      </c>
      <c r="M2115" s="16" t="n">
        <v>45716</v>
      </c>
      <c r="N2115" s="6" t="s">
        <v>104</v>
      </c>
      <c r="O2115" s="21" t="s">
        <v>104</v>
      </c>
      <c r="P2115" s="6" t="s">
        <v>104</v>
      </c>
      <c r="Q2115" s="6" t="s">
        <v>104</v>
      </c>
      <c r="R2115" s="6" t="s">
        <v>104</v>
      </c>
      <c r="S2115" s="6" t="s">
        <v>104</v>
      </c>
      <c r="T2115" s="21" t="s">
        <v>104</v>
      </c>
      <c r="U2115" s="6" t="s">
        <v>104</v>
      </c>
      <c r="V2115" s="6" t="s">
        <v>104</v>
      </c>
      <c r="W2115" s="6" t="s">
        <v>104</v>
      </c>
      <c r="X2115" s="6" t="s">
        <v>104</v>
      </c>
      <c r="Y2115" s="21" t="s">
        <v>104</v>
      </c>
      <c r="Z2115" s="6" t="s">
        <v>104</v>
      </c>
      <c r="AA2115" s="6" t="s">
        <v>104</v>
      </c>
      <c r="AB2115" s="6" t="s">
        <v>104</v>
      </c>
      <c r="AC2115" s="6" t="s">
        <v>9714</v>
      </c>
      <c r="AD2115" s="16" t="n">
        <v>42296</v>
      </c>
      <c r="AE2115" s="6" t="s">
        <v>12364</v>
      </c>
      <c r="AF2115" s="6" t="s">
        <v>104</v>
      </c>
      <c r="AG2115" s="6" t="s">
        <v>104</v>
      </c>
      <c r="AH2115" s="6" t="s">
        <v>15093</v>
      </c>
      <c r="AI2115" s="6" t="s">
        <v>104</v>
      </c>
      <c r="AJ2115" s="6" t="s">
        <v>15383</v>
      </c>
      <c r="AK2115" s="6" t="s">
        <v>104</v>
      </c>
      <c r="AL2115" s="6" t="s">
        <v>16933</v>
      </c>
      <c r="AM2115" s="6" t="s">
        <v>104</v>
      </c>
      <c r="AN2115" s="6" t="s">
        <v>104</v>
      </c>
      <c r="AO2115" s="6" t="s">
        <v>104</v>
      </c>
      <c r="AP2115" s="6" t="s">
        <v>15093</v>
      </c>
      <c r="AQ2115" s="6" t="s">
        <v>104</v>
      </c>
      <c r="AR2115" s="6" t="s">
        <v>15383</v>
      </c>
      <c r="AS2115" s="6" t="s">
        <v>104</v>
      </c>
      <c r="AT2115" s="6" t="s">
        <v>16933</v>
      </c>
      <c r="AU2115" s="6" t="s">
        <v>104</v>
      </c>
      <c r="AV2115" s="6" t="s">
        <v>104</v>
      </c>
      <c r="AW2115" s="6" t="s">
        <v>104</v>
      </c>
      <c r="AX2115" s="6" t="s">
        <v>21737</v>
      </c>
      <c r="AY2115" s="6" t="s">
        <v>23570</v>
      </c>
      <c r="AZ2115" s="6" t="s">
        <v>104</v>
      </c>
      <c r="BA2115" s="6" t="s">
        <v>104</v>
      </c>
      <c r="BB2115" s="6" t="s">
        <v>104</v>
      </c>
      <c r="BC2115" s="26"/>
      <c r="BD2115" s="26"/>
      <c r="BE2115" s="26"/>
      <c r="BF2115" s="26"/>
      <c r="BG2115" s="26"/>
      <c r="BH2115" s="26"/>
      <c r="BI2115" s="26"/>
      <c r="BJ2115" s="26"/>
      <c r="BK2115" s="26"/>
      <c r="BL2115" s="26"/>
      <c r="BM2115" s="26"/>
      <c r="BN2115" s="26"/>
      <c r="BO2115" s="26"/>
      <c r="BP2115" s="16" t="n">
        <v>45656</v>
      </c>
      <c r="BQ2115" s="28" t="str">
        <f>HYPERLINK("https://organic.ams.usda.gov/Integrity/Certificate.aspx?cid=9&amp;nopid=1202450800")</f>
        <v>https://organic.ams.usda.gov/Integrity/Certificate.aspx?cid=9&amp;nopid=1202450800</v>
      </c>
    </row>
    <row r="2116">
      <c r="A2116" t="s">
        <v>3</v>
      </c>
      <c r="B2116" s="6" t="s">
        <v>34</v>
      </c>
      <c r="C2116" s="6" t="s">
        <v>100</v>
      </c>
      <c r="D2116" s="6" t="s">
        <v>165</v>
      </c>
      <c r="E2116" s="10" t="s">
        <v>2314</v>
      </c>
      <c r="F2116" s="6" t="s">
        <v>4515</v>
      </c>
      <c r="G2116" s="6" t="s">
        <v>104</v>
      </c>
      <c r="H2116" s="6" t="s">
        <v>6787</v>
      </c>
      <c r="I2116" s="6" t="s">
        <v>8064</v>
      </c>
      <c r="J2116" s="6" t="s">
        <v>9625</v>
      </c>
      <c r="K2116" s="6" t="s">
        <v>9714</v>
      </c>
      <c r="L2116" s="16" t="n">
        <v>45446</v>
      </c>
      <c r="M2116" s="16" t="n">
        <v>45729</v>
      </c>
      <c r="N2116" s="6" t="s">
        <v>104</v>
      </c>
      <c r="O2116" s="21" t="s">
        <v>104</v>
      </c>
      <c r="P2116" s="6" t="s">
        <v>104</v>
      </c>
      <c r="Q2116" s="6" t="s">
        <v>104</v>
      </c>
      <c r="R2116" s="6" t="s">
        <v>104</v>
      </c>
      <c r="S2116" s="6" t="s">
        <v>104</v>
      </c>
      <c r="T2116" s="21" t="s">
        <v>104</v>
      </c>
      <c r="U2116" s="6" t="s">
        <v>104</v>
      </c>
      <c r="V2116" s="6" t="s">
        <v>104</v>
      </c>
      <c r="W2116" s="6" t="s">
        <v>104</v>
      </c>
      <c r="X2116" s="6" t="s">
        <v>104</v>
      </c>
      <c r="Y2116" s="21" t="s">
        <v>104</v>
      </c>
      <c r="Z2116" s="6" t="s">
        <v>104</v>
      </c>
      <c r="AA2116" s="6" t="s">
        <v>104</v>
      </c>
      <c r="AB2116" s="6" t="s">
        <v>104</v>
      </c>
      <c r="AC2116" s="6" t="s">
        <v>9714</v>
      </c>
      <c r="AD2116" s="16" t="n">
        <v>45446</v>
      </c>
      <c r="AE2116" s="6" t="s">
        <v>12365</v>
      </c>
      <c r="AF2116" s="6" t="s">
        <v>104</v>
      </c>
      <c r="AG2116" s="6" t="s">
        <v>13115</v>
      </c>
      <c r="AH2116" s="6" t="s">
        <v>15094</v>
      </c>
      <c r="AI2116" s="6" t="s">
        <v>104</v>
      </c>
      <c r="AJ2116" s="6" t="s">
        <v>16575</v>
      </c>
      <c r="AK2116" s="6" t="s">
        <v>16689</v>
      </c>
      <c r="AL2116" s="6" t="s">
        <v>16931</v>
      </c>
      <c r="AM2116" s="6" t="s">
        <v>18363</v>
      </c>
      <c r="AN2116" s="6" t="s">
        <v>104</v>
      </c>
      <c r="AO2116" s="6" t="s">
        <v>104</v>
      </c>
      <c r="AP2116" s="6" t="s">
        <v>15095</v>
      </c>
      <c r="AQ2116" s="6" t="s">
        <v>104</v>
      </c>
      <c r="AR2116" s="6" t="s">
        <v>16607</v>
      </c>
      <c r="AS2116" s="6" t="s">
        <v>16735</v>
      </c>
      <c r="AT2116" s="6" t="s">
        <v>16931</v>
      </c>
      <c r="AU2116" s="6" t="s">
        <v>18364</v>
      </c>
      <c r="AV2116" s="6" t="s">
        <v>104</v>
      </c>
      <c r="AW2116" s="6" t="s">
        <v>104</v>
      </c>
      <c r="AX2116" s="6" t="s">
        <v>21738</v>
      </c>
      <c r="AY2116" s="6" t="s">
        <v>23571</v>
      </c>
      <c r="AZ2116" s="6" t="s">
        <v>24224</v>
      </c>
      <c r="BA2116" s="6" t="s">
        <v>104</v>
      </c>
      <c r="BB2116" s="6" t="s">
        <v>104</v>
      </c>
      <c r="BC2116" s="26"/>
      <c r="BD2116" s="26"/>
      <c r="BE2116" s="26"/>
      <c r="BF2116" s="26"/>
      <c r="BG2116" s="26"/>
      <c r="BH2116" s="26"/>
      <c r="BI2116" s="26"/>
      <c r="BJ2116" s="26"/>
      <c r="BK2116" s="26"/>
      <c r="BL2116" s="26"/>
      <c r="BM2116" s="26"/>
      <c r="BN2116" s="26"/>
      <c r="BO2116" s="26"/>
      <c r="BP2116" s="16" t="n">
        <v>45737</v>
      </c>
      <c r="BQ2116" s="28" t="str">
        <f>HYPERLINK("https://organic.ams.usda.gov/Integrity/Certificate.aspx?cid=71&amp;nopid=5520783266")</f>
        <v>https://organic.ams.usda.gov/Integrity/Certificate.aspx?cid=71&amp;nopid=5520783266</v>
      </c>
    </row>
    <row r="2117">
      <c r="A2117" t="s">
        <v>3</v>
      </c>
      <c r="B2117" s="6" t="s">
        <v>34</v>
      </c>
      <c r="C2117" s="6" t="s">
        <v>100</v>
      </c>
      <c r="D2117" s="6" t="s">
        <v>165</v>
      </c>
      <c r="E2117" s="10" t="s">
        <v>2315</v>
      </c>
      <c r="F2117" s="6" t="s">
        <v>4516</v>
      </c>
      <c r="G2117" s="6" t="s">
        <v>104</v>
      </c>
      <c r="H2117" s="6" t="s">
        <v>6788</v>
      </c>
      <c r="I2117" s="6" t="s">
        <v>8064</v>
      </c>
      <c r="J2117" s="6" t="s">
        <v>9625</v>
      </c>
      <c r="K2117" s="6" t="s">
        <v>9714</v>
      </c>
      <c r="L2117" s="16" t="n">
        <v>45383</v>
      </c>
      <c r="M2117" s="16" t="n">
        <v>45681</v>
      </c>
      <c r="N2117" s="6" t="s">
        <v>104</v>
      </c>
      <c r="O2117" s="21" t="s">
        <v>104</v>
      </c>
      <c r="P2117" s="6" t="s">
        <v>104</v>
      </c>
      <c r="Q2117" s="6" t="s">
        <v>104</v>
      </c>
      <c r="R2117" s="6" t="s">
        <v>104</v>
      </c>
      <c r="S2117" s="6" t="s">
        <v>104</v>
      </c>
      <c r="T2117" s="21" t="s">
        <v>104</v>
      </c>
      <c r="U2117" s="6" t="s">
        <v>104</v>
      </c>
      <c r="V2117" s="6" t="s">
        <v>104</v>
      </c>
      <c r="W2117" s="6" t="s">
        <v>104</v>
      </c>
      <c r="X2117" s="6" t="s">
        <v>104</v>
      </c>
      <c r="Y2117" s="21" t="s">
        <v>104</v>
      </c>
      <c r="Z2117" s="6" t="s">
        <v>104</v>
      </c>
      <c r="AA2117" s="6" t="s">
        <v>104</v>
      </c>
      <c r="AB2117" s="6" t="s">
        <v>104</v>
      </c>
      <c r="AC2117" s="6" t="s">
        <v>9714</v>
      </c>
      <c r="AD2117" s="16" t="n">
        <v>45383</v>
      </c>
      <c r="AE2117" s="6" t="s">
        <v>12366</v>
      </c>
      <c r="AF2117" s="6" t="s">
        <v>104</v>
      </c>
      <c r="AG2117" s="6" t="s">
        <v>13116</v>
      </c>
      <c r="AH2117" s="6" t="s">
        <v>15095</v>
      </c>
      <c r="AI2117" s="6" t="s">
        <v>104</v>
      </c>
      <c r="AJ2117" s="6" t="s">
        <v>16607</v>
      </c>
      <c r="AK2117" s="6" t="s">
        <v>16735</v>
      </c>
      <c r="AL2117" s="6" t="s">
        <v>16931</v>
      </c>
      <c r="AM2117" s="6" t="s">
        <v>18364</v>
      </c>
      <c r="AN2117" s="6" t="s">
        <v>104</v>
      </c>
      <c r="AO2117" s="6" t="s">
        <v>104</v>
      </c>
      <c r="AP2117" s="6" t="s">
        <v>15095</v>
      </c>
      <c r="AQ2117" s="6" t="s">
        <v>104</v>
      </c>
      <c r="AR2117" s="6" t="s">
        <v>16607</v>
      </c>
      <c r="AS2117" s="6" t="s">
        <v>16735</v>
      </c>
      <c r="AT2117" s="6" t="s">
        <v>16931</v>
      </c>
      <c r="AU2117" s="6" t="s">
        <v>18364</v>
      </c>
      <c r="AV2117" s="6" t="s">
        <v>104</v>
      </c>
      <c r="AW2117" s="6" t="s">
        <v>104</v>
      </c>
      <c r="AX2117" s="6" t="s">
        <v>21739</v>
      </c>
      <c r="AY2117" s="6" t="s">
        <v>23571</v>
      </c>
      <c r="AZ2117" s="6" t="s">
        <v>24224</v>
      </c>
      <c r="BA2117" s="6" t="s">
        <v>104</v>
      </c>
      <c r="BB2117" s="6" t="s">
        <v>104</v>
      </c>
      <c r="BC2117" s="26"/>
      <c r="BD2117" s="26"/>
      <c r="BE2117" s="26"/>
      <c r="BF2117" s="26"/>
      <c r="BG2117" s="26"/>
      <c r="BH2117" s="26" t="s">
        <v>24533</v>
      </c>
      <c r="BI2117" s="26"/>
      <c r="BJ2117" s="26"/>
      <c r="BK2117" s="26"/>
      <c r="BL2117" s="26"/>
      <c r="BM2117" s="26"/>
      <c r="BN2117" s="26"/>
      <c r="BO2117" s="26"/>
      <c r="BP2117" s="16" t="n">
        <v>45737</v>
      </c>
      <c r="BQ2117" s="28" t="str">
        <f>HYPERLINK("https://organic.ams.usda.gov/Integrity/Certificate.aspx?cid=71&amp;nopid=5520783262")</f>
        <v>https://organic.ams.usda.gov/Integrity/Certificate.aspx?cid=71&amp;nopid=5520783262</v>
      </c>
    </row>
    <row r="2118">
      <c r="A2118" t="s">
        <v>3</v>
      </c>
      <c r="B2118" s="6" t="s">
        <v>49</v>
      </c>
      <c r="C2118" s="6" t="s">
        <v>115</v>
      </c>
      <c r="D2118" s="6" t="s">
        <v>179</v>
      </c>
      <c r="E2118" s="10" t="s">
        <v>2316</v>
      </c>
      <c r="F2118" s="6" t="s">
        <v>4517</v>
      </c>
      <c r="G2118" s="6" t="s">
        <v>104</v>
      </c>
      <c r="H2118" s="6" t="s">
        <v>6789</v>
      </c>
      <c r="I2118" s="6" t="s">
        <v>104</v>
      </c>
      <c r="J2118" s="6" t="s">
        <v>8295</v>
      </c>
      <c r="K2118" s="6" t="s">
        <v>9714</v>
      </c>
      <c r="L2118" s="16" t="n">
        <v>45448</v>
      </c>
      <c r="M2118" s="16" t="n">
        <v>45609</v>
      </c>
      <c r="N2118" s="6" t="s">
        <v>104</v>
      </c>
      <c r="O2118" s="21" t="s">
        <v>104</v>
      </c>
      <c r="P2118" s="6" t="s">
        <v>104</v>
      </c>
      <c r="Q2118" s="6" t="s">
        <v>104</v>
      </c>
      <c r="R2118" s="6" t="s">
        <v>104</v>
      </c>
      <c r="S2118" s="6" t="s">
        <v>104</v>
      </c>
      <c r="T2118" s="21" t="s">
        <v>104</v>
      </c>
      <c r="U2118" s="6" t="s">
        <v>104</v>
      </c>
      <c r="V2118" s="6" t="s">
        <v>104</v>
      </c>
      <c r="W2118" s="6" t="s">
        <v>104</v>
      </c>
      <c r="X2118" s="6" t="s">
        <v>104</v>
      </c>
      <c r="Y2118" s="21" t="s">
        <v>104</v>
      </c>
      <c r="Z2118" s="6" t="s">
        <v>104</v>
      </c>
      <c r="AA2118" s="6" t="s">
        <v>104</v>
      </c>
      <c r="AB2118" s="6" t="s">
        <v>104</v>
      </c>
      <c r="AC2118" s="6" t="s">
        <v>9714</v>
      </c>
      <c r="AD2118" s="16" t="n">
        <v>45448</v>
      </c>
      <c r="AE2118" s="6" t="s">
        <v>12367</v>
      </c>
      <c r="AF2118" s="6" t="s">
        <v>104</v>
      </c>
      <c r="AG2118" s="6" t="s">
        <v>13117</v>
      </c>
      <c r="AH2118" s="6" t="s">
        <v>15096</v>
      </c>
      <c r="AI2118" s="6" t="s">
        <v>104</v>
      </c>
      <c r="AJ2118" s="6" t="s">
        <v>15513</v>
      </c>
      <c r="AK2118" s="6" t="s">
        <v>104</v>
      </c>
      <c r="AL2118" s="6" t="s">
        <v>15513</v>
      </c>
      <c r="AM2118" s="6" t="s">
        <v>17129</v>
      </c>
      <c r="AN2118" s="6" t="s">
        <v>104</v>
      </c>
      <c r="AO2118" s="6" t="s">
        <v>104</v>
      </c>
      <c r="AP2118" s="6" t="s">
        <v>104</v>
      </c>
      <c r="AQ2118" s="6" t="s">
        <v>104</v>
      </c>
      <c r="AR2118" s="6" t="s">
        <v>104</v>
      </c>
      <c r="AS2118" s="6" t="s">
        <v>104</v>
      </c>
      <c r="AT2118" s="6" t="s">
        <v>104</v>
      </c>
      <c r="AU2118" s="6" t="s">
        <v>104</v>
      </c>
      <c r="AV2118" s="6" t="s">
        <v>104</v>
      </c>
      <c r="AW2118" s="6" t="s">
        <v>104</v>
      </c>
      <c r="AX2118" s="6" t="s">
        <v>20285</v>
      </c>
      <c r="AY2118" s="6" t="s">
        <v>23572</v>
      </c>
      <c r="AZ2118" s="6" t="s">
        <v>104</v>
      </c>
      <c r="BA2118" s="6" t="s">
        <v>104</v>
      </c>
      <c r="BB2118" s="24" t="n">
        <v>0</v>
      </c>
      <c r="BC2118" s="26"/>
      <c r="BD2118" s="26"/>
      <c r="BE2118" s="26"/>
      <c r="BF2118" s="26"/>
      <c r="BG2118" s="26"/>
      <c r="BH2118" s="26"/>
      <c r="BI2118" s="26"/>
      <c r="BJ2118" s="26"/>
      <c r="BK2118" s="26"/>
      <c r="BL2118" s="26"/>
      <c r="BM2118" s="26"/>
      <c r="BN2118" s="26"/>
      <c r="BO2118" s="26"/>
      <c r="BP2118" s="16" t="n">
        <v>45509</v>
      </c>
      <c r="BQ2118" s="28" t="str">
        <f>HYPERLINK("https://organic.ams.usda.gov/Integrity/Certificate.aspx?cid=12&amp;nopid=8699694598")</f>
        <v>https://organic.ams.usda.gov/Integrity/Certificate.aspx?cid=12&amp;nopid=8699694598</v>
      </c>
    </row>
    <row r="2119">
      <c r="A2119" t="s">
        <v>3</v>
      </c>
      <c r="B2119" s="6" t="s">
        <v>13</v>
      </c>
      <c r="C2119" s="6" t="s">
        <v>79</v>
      </c>
      <c r="D2119" s="6" t="s">
        <v>144</v>
      </c>
      <c r="E2119" s="10" t="s">
        <v>2317</v>
      </c>
      <c r="F2119" s="6" t="s">
        <v>4518</v>
      </c>
      <c r="G2119" s="6" t="s">
        <v>104</v>
      </c>
      <c r="H2119" s="6" t="s">
        <v>6790</v>
      </c>
      <c r="I2119" s="6" t="s">
        <v>8065</v>
      </c>
      <c r="J2119" s="6" t="s">
        <v>9626</v>
      </c>
      <c r="K2119" s="6" t="s">
        <v>9714</v>
      </c>
      <c r="L2119" s="16" t="n">
        <v>39436</v>
      </c>
      <c r="M2119" s="16" t="n">
        <v>46023</v>
      </c>
      <c r="N2119" s="6" t="s">
        <v>104</v>
      </c>
      <c r="O2119" s="21" t="s">
        <v>104</v>
      </c>
      <c r="P2119" s="6" t="s">
        <v>104</v>
      </c>
      <c r="Q2119" s="6" t="s">
        <v>104</v>
      </c>
      <c r="R2119" s="6" t="s">
        <v>104</v>
      </c>
      <c r="S2119" s="6" t="s">
        <v>104</v>
      </c>
      <c r="T2119" s="21" t="s">
        <v>104</v>
      </c>
      <c r="U2119" s="6" t="s">
        <v>104</v>
      </c>
      <c r="V2119" s="6" t="s">
        <v>104</v>
      </c>
      <c r="W2119" s="6" t="s">
        <v>104</v>
      </c>
      <c r="X2119" s="6" t="s">
        <v>104</v>
      </c>
      <c r="Y2119" s="21" t="s">
        <v>104</v>
      </c>
      <c r="Z2119" s="6" t="s">
        <v>104</v>
      </c>
      <c r="AA2119" s="6" t="s">
        <v>104</v>
      </c>
      <c r="AB2119" s="6" t="s">
        <v>104</v>
      </c>
      <c r="AC2119" s="6" t="s">
        <v>9714</v>
      </c>
      <c r="AD2119" s="16" t="n">
        <v>39436</v>
      </c>
      <c r="AE2119" s="6" t="s">
        <v>12368</v>
      </c>
      <c r="AF2119" s="6" t="s">
        <v>104</v>
      </c>
      <c r="AG2119" s="6" t="s">
        <v>104</v>
      </c>
      <c r="AH2119" s="6" t="s">
        <v>104</v>
      </c>
      <c r="AI2119" s="6" t="s">
        <v>104</v>
      </c>
      <c r="AJ2119" s="6" t="s">
        <v>104</v>
      </c>
      <c r="AK2119" s="6" t="s">
        <v>104</v>
      </c>
      <c r="AL2119" s="6" t="s">
        <v>104</v>
      </c>
      <c r="AM2119" s="6" t="s">
        <v>104</v>
      </c>
      <c r="AN2119" s="6" t="s">
        <v>104</v>
      </c>
      <c r="AO2119" s="6" t="s">
        <v>104</v>
      </c>
      <c r="AP2119" s="6" t="s">
        <v>19511</v>
      </c>
      <c r="AQ2119" s="6" t="s">
        <v>104</v>
      </c>
      <c r="AR2119" s="6" t="s">
        <v>19779</v>
      </c>
      <c r="AS2119" s="6" t="s">
        <v>16680</v>
      </c>
      <c r="AT2119" s="6" t="s">
        <v>16931</v>
      </c>
      <c r="AU2119" s="6" t="s">
        <v>20061</v>
      </c>
      <c r="AV2119" s="6" t="s">
        <v>18483</v>
      </c>
      <c r="AW2119" s="6" t="s">
        <v>18906</v>
      </c>
      <c r="AX2119" s="6" t="s">
        <v>21740</v>
      </c>
      <c r="AY2119" s="6" t="s">
        <v>23573</v>
      </c>
      <c r="AZ2119" s="6" t="s">
        <v>24225</v>
      </c>
      <c r="BA2119" s="6" t="s">
        <v>104</v>
      </c>
      <c r="BB2119" s="6" t="s">
        <v>104</v>
      </c>
      <c r="BC2119" s="26"/>
      <c r="BD2119" s="26"/>
      <c r="BE2119" s="26"/>
      <c r="BF2119" s="26"/>
      <c r="BG2119" s="26"/>
      <c r="BH2119" s="26"/>
      <c r="BI2119" s="26"/>
      <c r="BJ2119" s="26"/>
      <c r="BK2119" s="26"/>
      <c r="BL2119" s="26"/>
      <c r="BM2119" s="26"/>
      <c r="BN2119" s="26"/>
      <c r="BO2119" s="26"/>
      <c r="BP2119" s="16" t="n">
        <v>45699</v>
      </c>
      <c r="BQ2119" s="28" t="str">
        <f>HYPERLINK("https://organic.ams.usda.gov/Integrity/Certificate.aspx?cid=62&amp;nopid=8150000976")</f>
        <v>https://organic.ams.usda.gov/Integrity/Certificate.aspx?cid=62&amp;nopid=8150000976</v>
      </c>
    </row>
    <row r="2120">
      <c r="A2120" t="s">
        <v>3</v>
      </c>
      <c r="B2120" s="6" t="s">
        <v>14</v>
      </c>
      <c r="C2120" s="6" t="s">
        <v>80</v>
      </c>
      <c r="D2120" s="6" t="s">
        <v>145</v>
      </c>
      <c r="E2120" s="10" t="s">
        <v>2318</v>
      </c>
      <c r="F2120" s="6" t="s">
        <v>4519</v>
      </c>
      <c r="G2120" s="6" t="s">
        <v>104</v>
      </c>
      <c r="H2120" s="6" t="s">
        <v>6791</v>
      </c>
      <c r="I2120" s="6" t="s">
        <v>8066</v>
      </c>
      <c r="J2120" s="6" t="s">
        <v>9627</v>
      </c>
      <c r="K2120" s="6" t="s">
        <v>9714</v>
      </c>
      <c r="L2120" s="16" t="n">
        <v>45240</v>
      </c>
      <c r="M2120" s="16" t="n">
        <v>45894</v>
      </c>
      <c r="N2120" s="6" t="s">
        <v>104</v>
      </c>
      <c r="O2120" s="21" t="s">
        <v>104</v>
      </c>
      <c r="P2120" s="6" t="s">
        <v>104</v>
      </c>
      <c r="Q2120" s="6" t="s">
        <v>104</v>
      </c>
      <c r="R2120" s="6" t="s">
        <v>104</v>
      </c>
      <c r="S2120" s="6" t="s">
        <v>104</v>
      </c>
      <c r="T2120" s="21" t="s">
        <v>104</v>
      </c>
      <c r="U2120" s="6" t="s">
        <v>104</v>
      </c>
      <c r="V2120" s="6" t="s">
        <v>104</v>
      </c>
      <c r="W2120" s="6" t="s">
        <v>104</v>
      </c>
      <c r="X2120" s="6" t="s">
        <v>104</v>
      </c>
      <c r="Y2120" s="21" t="s">
        <v>104</v>
      </c>
      <c r="Z2120" s="6" t="s">
        <v>104</v>
      </c>
      <c r="AA2120" s="6" t="s">
        <v>104</v>
      </c>
      <c r="AB2120" s="6" t="s">
        <v>104</v>
      </c>
      <c r="AC2120" s="6" t="s">
        <v>9714</v>
      </c>
      <c r="AD2120" s="16" t="n">
        <v>45240</v>
      </c>
      <c r="AE2120" s="6" t="s">
        <v>12369</v>
      </c>
      <c r="AF2120" s="6" t="s">
        <v>104</v>
      </c>
      <c r="AG2120" s="6" t="s">
        <v>104</v>
      </c>
      <c r="AH2120" s="6" t="s">
        <v>15097</v>
      </c>
      <c r="AI2120" s="6" t="s">
        <v>104</v>
      </c>
      <c r="AJ2120" s="6" t="s">
        <v>16608</v>
      </c>
      <c r="AK2120" s="6" t="s">
        <v>16608</v>
      </c>
      <c r="AL2120" s="6" t="s">
        <v>16936</v>
      </c>
      <c r="AM2120" s="6" t="s">
        <v>18365</v>
      </c>
      <c r="AN2120" s="6" t="s">
        <v>104</v>
      </c>
      <c r="AO2120" s="6" t="s">
        <v>104</v>
      </c>
      <c r="AP2120" s="6" t="s">
        <v>104</v>
      </c>
      <c r="AQ2120" s="6" t="s">
        <v>104</v>
      </c>
      <c r="AR2120" s="6" t="s">
        <v>104</v>
      </c>
      <c r="AS2120" s="6" t="s">
        <v>104</v>
      </c>
      <c r="AT2120" s="6" t="s">
        <v>104</v>
      </c>
      <c r="AU2120" s="6" t="s">
        <v>104</v>
      </c>
      <c r="AV2120" s="6" t="s">
        <v>104</v>
      </c>
      <c r="AW2120" s="6" t="s">
        <v>104</v>
      </c>
      <c r="AX2120" s="6" t="s">
        <v>104</v>
      </c>
      <c r="AY2120" s="6" t="s">
        <v>23574</v>
      </c>
      <c r="AZ2120" s="6" t="s">
        <v>104</v>
      </c>
      <c r="BA2120" s="6" t="s">
        <v>104</v>
      </c>
      <c r="BB2120" s="6" t="s">
        <v>104</v>
      </c>
      <c r="BC2120" s="26"/>
      <c r="BD2120" s="26"/>
      <c r="BE2120" s="26"/>
      <c r="BF2120" s="26"/>
      <c r="BG2120" s="26"/>
      <c r="BH2120" s="26"/>
      <c r="BI2120" s="26"/>
      <c r="BJ2120" s="26"/>
      <c r="BK2120" s="26"/>
      <c r="BL2120" s="26"/>
      <c r="BM2120" s="26"/>
      <c r="BN2120" s="26"/>
      <c r="BO2120" s="26"/>
      <c r="BP2120" s="16" t="n">
        <v>45667</v>
      </c>
      <c r="BQ2120" s="28" t="str">
        <f>HYPERLINK("https://organic.ams.usda.gov/Integrity/Certificate.aspx?cid=89&amp;nopid=4920006483")</f>
        <v>https://organic.ams.usda.gov/Integrity/Certificate.aspx?cid=89&amp;nopid=4920006483</v>
      </c>
    </row>
    <row r="2121">
      <c r="A2121" t="s">
        <v>3</v>
      </c>
      <c r="B2121" s="6" t="s">
        <v>27</v>
      </c>
      <c r="C2121" s="6" t="s">
        <v>93</v>
      </c>
      <c r="D2121" s="6" t="s">
        <v>158</v>
      </c>
      <c r="E2121" s="10" t="s">
        <v>2319</v>
      </c>
      <c r="F2121" s="6" t="s">
        <v>4520</v>
      </c>
      <c r="G2121" s="6" t="s">
        <v>104</v>
      </c>
      <c r="H2121" s="6" t="s">
        <v>6792</v>
      </c>
      <c r="I2121" s="6" t="s">
        <v>8067</v>
      </c>
      <c r="J2121" s="6" t="s">
        <v>9461</v>
      </c>
      <c r="K2121" s="6" t="s">
        <v>9714</v>
      </c>
      <c r="L2121" s="16" t="n">
        <v>45203</v>
      </c>
      <c r="M2121" s="16" t="n">
        <v>45504</v>
      </c>
      <c r="N2121" s="6" t="s">
        <v>104</v>
      </c>
      <c r="O2121" s="21" t="s">
        <v>104</v>
      </c>
      <c r="P2121" s="6" t="s">
        <v>104</v>
      </c>
      <c r="Q2121" s="6" t="s">
        <v>104</v>
      </c>
      <c r="R2121" s="6" t="s">
        <v>104</v>
      </c>
      <c r="S2121" s="6" t="s">
        <v>104</v>
      </c>
      <c r="T2121" s="21" t="s">
        <v>104</v>
      </c>
      <c r="U2121" s="6" t="s">
        <v>104</v>
      </c>
      <c r="V2121" s="6" t="s">
        <v>104</v>
      </c>
      <c r="W2121" s="6" t="s">
        <v>104</v>
      </c>
      <c r="X2121" s="6" t="s">
        <v>104</v>
      </c>
      <c r="Y2121" s="21" t="s">
        <v>104</v>
      </c>
      <c r="Z2121" s="6" t="s">
        <v>104</v>
      </c>
      <c r="AA2121" s="6" t="s">
        <v>104</v>
      </c>
      <c r="AB2121" s="6" t="s">
        <v>104</v>
      </c>
      <c r="AC2121" s="6" t="s">
        <v>9714</v>
      </c>
      <c r="AD2121" s="16" t="n">
        <v>45203</v>
      </c>
      <c r="AE2121" s="6" t="s">
        <v>12370</v>
      </c>
      <c r="AF2121" s="6" t="s">
        <v>104</v>
      </c>
      <c r="AG2121" s="6" t="s">
        <v>13118</v>
      </c>
      <c r="AH2121" s="6" t="s">
        <v>104</v>
      </c>
      <c r="AI2121" s="6" t="s">
        <v>104</v>
      </c>
      <c r="AJ2121" s="6" t="s">
        <v>104</v>
      </c>
      <c r="AK2121" s="6" t="s">
        <v>104</v>
      </c>
      <c r="AL2121" s="6" t="s">
        <v>104</v>
      </c>
      <c r="AM2121" s="6" t="s">
        <v>104</v>
      </c>
      <c r="AN2121" s="6" t="s">
        <v>104</v>
      </c>
      <c r="AO2121" s="6" t="s">
        <v>104</v>
      </c>
      <c r="AP2121" s="6" t="s">
        <v>19512</v>
      </c>
      <c r="AQ2121" s="6" t="s">
        <v>104</v>
      </c>
      <c r="AR2121" s="6" t="s">
        <v>15769</v>
      </c>
      <c r="AS2121" s="6" t="s">
        <v>16699</v>
      </c>
      <c r="AT2121" s="6" t="s">
        <v>16932</v>
      </c>
      <c r="AU2121" s="6" t="s">
        <v>104</v>
      </c>
      <c r="AV2121" s="6" t="s">
        <v>104</v>
      </c>
      <c r="AW2121" s="6" t="s">
        <v>104</v>
      </c>
      <c r="AX2121" s="6" t="s">
        <v>21741</v>
      </c>
      <c r="AY2121" s="6" t="s">
        <v>23575</v>
      </c>
      <c r="AZ2121" s="6" t="s">
        <v>24226</v>
      </c>
      <c r="BA2121" s="6" t="s">
        <v>24355</v>
      </c>
      <c r="BB2121" s="6" t="s">
        <v>104</v>
      </c>
      <c r="BC2121" s="26"/>
      <c r="BD2121" s="26"/>
      <c r="BE2121" s="26"/>
      <c r="BF2121" s="26"/>
      <c r="BG2121" s="26"/>
      <c r="BH2121" s="26"/>
      <c r="BI2121" s="26"/>
      <c r="BJ2121" s="26"/>
      <c r="BK2121" s="26"/>
      <c r="BL2121" s="26"/>
      <c r="BM2121" s="26"/>
      <c r="BN2121" s="26"/>
      <c r="BO2121" s="26"/>
      <c r="BP2121" s="16" t="n">
        <v>45282</v>
      </c>
      <c r="BQ2121" s="28" t="str">
        <f>HYPERLINK("https://organic.ams.usda.gov/Integrity/Certificate.aspx?cid=93&amp;nopid=6369796167")</f>
        <v>https://organic.ams.usda.gov/Integrity/Certificate.aspx?cid=93&amp;nopid=6369796167</v>
      </c>
    </row>
    <row r="2122">
      <c r="A2122" t="s">
        <v>3</v>
      </c>
      <c r="B2122" s="6" t="s">
        <v>49</v>
      </c>
      <c r="C2122" s="6" t="s">
        <v>115</v>
      </c>
      <c r="D2122" s="6" t="s">
        <v>179</v>
      </c>
      <c r="E2122" s="10" t="s">
        <v>2320</v>
      </c>
      <c r="F2122" s="6" t="s">
        <v>4521</v>
      </c>
      <c r="G2122" s="6" t="s">
        <v>104</v>
      </c>
      <c r="H2122" s="6" t="s">
        <v>6793</v>
      </c>
      <c r="I2122" s="6" t="s">
        <v>104</v>
      </c>
      <c r="J2122" s="6" t="s">
        <v>104</v>
      </c>
      <c r="K2122" s="6" t="s">
        <v>9714</v>
      </c>
      <c r="L2122" s="16" t="n">
        <v>44376</v>
      </c>
      <c r="M2122" s="16" t="n">
        <v>45736</v>
      </c>
      <c r="N2122" s="6" t="s">
        <v>104</v>
      </c>
      <c r="O2122" s="21" t="s">
        <v>104</v>
      </c>
      <c r="P2122" s="6" t="s">
        <v>104</v>
      </c>
      <c r="Q2122" s="6" t="s">
        <v>104</v>
      </c>
      <c r="R2122" s="6" t="s">
        <v>104</v>
      </c>
      <c r="S2122" s="6" t="s">
        <v>104</v>
      </c>
      <c r="T2122" s="21" t="s">
        <v>104</v>
      </c>
      <c r="U2122" s="6" t="s">
        <v>104</v>
      </c>
      <c r="V2122" s="6" t="s">
        <v>104</v>
      </c>
      <c r="W2122" s="6" t="s">
        <v>104</v>
      </c>
      <c r="X2122" s="6" t="s">
        <v>104</v>
      </c>
      <c r="Y2122" s="21" t="s">
        <v>104</v>
      </c>
      <c r="Z2122" s="6" t="s">
        <v>104</v>
      </c>
      <c r="AA2122" s="6" t="s">
        <v>104</v>
      </c>
      <c r="AB2122" s="6" t="s">
        <v>104</v>
      </c>
      <c r="AC2122" s="6" t="s">
        <v>9714</v>
      </c>
      <c r="AD2122" s="16" t="n">
        <v>44376</v>
      </c>
      <c r="AE2122" s="6" t="s">
        <v>12371</v>
      </c>
      <c r="AF2122" s="6" t="s">
        <v>104</v>
      </c>
      <c r="AG2122" s="6" t="s">
        <v>13119</v>
      </c>
      <c r="AH2122" s="6" t="s">
        <v>15098</v>
      </c>
      <c r="AI2122" s="6" t="s">
        <v>104</v>
      </c>
      <c r="AJ2122" s="6" t="s">
        <v>16609</v>
      </c>
      <c r="AK2122" s="6" t="s">
        <v>16686</v>
      </c>
      <c r="AL2122" s="6" t="s">
        <v>16931</v>
      </c>
      <c r="AM2122" s="6" t="s">
        <v>18366</v>
      </c>
      <c r="AN2122" s="6" t="s">
        <v>104</v>
      </c>
      <c r="AO2122" s="6" t="s">
        <v>104</v>
      </c>
      <c r="AP2122" s="6" t="s">
        <v>104</v>
      </c>
      <c r="AQ2122" s="6" t="s">
        <v>104</v>
      </c>
      <c r="AR2122" s="6" t="s">
        <v>104</v>
      </c>
      <c r="AS2122" s="6" t="s">
        <v>104</v>
      </c>
      <c r="AT2122" s="6" t="s">
        <v>104</v>
      </c>
      <c r="AU2122" s="6" t="s">
        <v>104</v>
      </c>
      <c r="AV2122" s="6" t="s">
        <v>104</v>
      </c>
      <c r="AW2122" s="6" t="s">
        <v>104</v>
      </c>
      <c r="AX2122" s="6" t="s">
        <v>104</v>
      </c>
      <c r="AY2122" s="6" t="s">
        <v>104</v>
      </c>
      <c r="AZ2122" s="6" t="s">
        <v>104</v>
      </c>
      <c r="BA2122" s="6" t="s">
        <v>104</v>
      </c>
      <c r="BB2122" s="24" t="n">
        <v>0</v>
      </c>
      <c r="BC2122" s="26"/>
      <c r="BD2122" s="26"/>
      <c r="BE2122" s="26"/>
      <c r="BF2122" s="26"/>
      <c r="BG2122" s="26"/>
      <c r="BH2122" s="26"/>
      <c r="BI2122" s="26"/>
      <c r="BJ2122" s="26"/>
      <c r="BK2122" s="26"/>
      <c r="BL2122" s="26"/>
      <c r="BM2122" s="26"/>
      <c r="BN2122" s="26"/>
      <c r="BO2122" s="26"/>
      <c r="BP2122" s="16" t="n">
        <v>45548</v>
      </c>
      <c r="BQ2122" s="28" t="str">
        <f>HYPERLINK("https://organic.ams.usda.gov/Integrity/Certificate.aspx?cid=12&amp;nopid=8699693992")</f>
        <v>https://organic.ams.usda.gov/Integrity/Certificate.aspx?cid=12&amp;nopid=8699693992</v>
      </c>
    </row>
    <row r="2123">
      <c r="A2123" t="s">
        <v>3</v>
      </c>
      <c r="B2123" s="6" t="s">
        <v>8</v>
      </c>
      <c r="C2123" s="6" t="s">
        <v>74</v>
      </c>
      <c r="D2123" s="6" t="s">
        <v>139</v>
      </c>
      <c r="E2123" s="10" t="s">
        <v>2321</v>
      </c>
      <c r="F2123" s="6" t="s">
        <v>4522</v>
      </c>
      <c r="G2123" s="6" t="s">
        <v>104</v>
      </c>
      <c r="H2123" s="6" t="s">
        <v>2321</v>
      </c>
      <c r="I2123" s="6" t="s">
        <v>7480</v>
      </c>
      <c r="J2123" s="6" t="s">
        <v>9628</v>
      </c>
      <c r="K2123" s="6" t="s">
        <v>9714</v>
      </c>
      <c r="L2123" s="16" t="n">
        <v>45457</v>
      </c>
      <c r="M2123" s="16" t="n">
        <v>45915</v>
      </c>
      <c r="N2123" s="6" t="s">
        <v>104</v>
      </c>
      <c r="O2123" s="21" t="s">
        <v>104</v>
      </c>
      <c r="P2123" s="6" t="s">
        <v>104</v>
      </c>
      <c r="Q2123" s="6" t="s">
        <v>104</v>
      </c>
      <c r="R2123" s="6" t="s">
        <v>104</v>
      </c>
      <c r="S2123" s="6" t="s">
        <v>104</v>
      </c>
      <c r="T2123" s="21" t="s">
        <v>104</v>
      </c>
      <c r="U2123" s="6" t="s">
        <v>104</v>
      </c>
      <c r="V2123" s="6" t="s">
        <v>104</v>
      </c>
      <c r="W2123" s="6" t="s">
        <v>104</v>
      </c>
      <c r="X2123" s="6" t="s">
        <v>104</v>
      </c>
      <c r="Y2123" s="21" t="s">
        <v>104</v>
      </c>
      <c r="Z2123" s="6" t="s">
        <v>104</v>
      </c>
      <c r="AA2123" s="6" t="s">
        <v>104</v>
      </c>
      <c r="AB2123" s="6" t="s">
        <v>104</v>
      </c>
      <c r="AC2123" s="6" t="s">
        <v>9714</v>
      </c>
      <c r="AD2123" s="16" t="n">
        <v>45457</v>
      </c>
      <c r="AE2123" s="6" t="s">
        <v>12372</v>
      </c>
      <c r="AF2123" s="6" t="s">
        <v>104</v>
      </c>
      <c r="AG2123" s="6" t="s">
        <v>104</v>
      </c>
      <c r="AH2123" s="6" t="s">
        <v>15099</v>
      </c>
      <c r="AI2123" s="6" t="s">
        <v>104</v>
      </c>
      <c r="AJ2123" s="6" t="s">
        <v>8133</v>
      </c>
      <c r="AK2123" s="6" t="s">
        <v>16679</v>
      </c>
      <c r="AL2123" s="6" t="s">
        <v>16931</v>
      </c>
      <c r="AM2123" s="6" t="s">
        <v>17881</v>
      </c>
      <c r="AN2123" s="6" t="s">
        <v>104</v>
      </c>
      <c r="AO2123" s="6" t="s">
        <v>104</v>
      </c>
      <c r="AP2123" s="6" t="s">
        <v>15099</v>
      </c>
      <c r="AQ2123" s="6" t="s">
        <v>104</v>
      </c>
      <c r="AR2123" s="6" t="s">
        <v>8133</v>
      </c>
      <c r="AS2123" s="6" t="s">
        <v>16679</v>
      </c>
      <c r="AT2123" s="6" t="s">
        <v>16931</v>
      </c>
      <c r="AU2123" s="6" t="s">
        <v>17881</v>
      </c>
      <c r="AV2123" s="6" t="s">
        <v>104</v>
      </c>
      <c r="AW2123" s="6" t="s">
        <v>104</v>
      </c>
      <c r="AX2123" s="6" t="s">
        <v>21742</v>
      </c>
      <c r="AY2123" s="6" t="s">
        <v>23576</v>
      </c>
      <c r="AZ2123" s="6" t="s">
        <v>24227</v>
      </c>
      <c r="BA2123" s="6" t="s">
        <v>104</v>
      </c>
      <c r="BB2123" s="6" t="s">
        <v>104</v>
      </c>
      <c r="BC2123" s="26"/>
      <c r="BD2123" s="26"/>
      <c r="BE2123" s="26"/>
      <c r="BF2123" s="26"/>
      <c r="BG2123" s="26"/>
      <c r="BH2123" s="26"/>
      <c r="BI2123" s="26"/>
      <c r="BJ2123" s="26"/>
      <c r="BK2123" s="26"/>
      <c r="BL2123" s="26"/>
      <c r="BM2123" s="26"/>
      <c r="BN2123" s="26"/>
      <c r="BO2123" s="26"/>
      <c r="BP2123" s="16" t="n">
        <v>45672</v>
      </c>
      <c r="BQ2123" s="28" t="str">
        <f>HYPERLINK("https://organic.ams.usda.gov/Integrity/Certificate.aspx?cid=48&amp;nopid=1463560077")</f>
        <v>https://organic.ams.usda.gov/Integrity/Certificate.aspx?cid=48&amp;nopid=1463560077</v>
      </c>
    </row>
    <row r="2124">
      <c r="A2124" t="s">
        <v>3</v>
      </c>
      <c r="B2124" s="6" t="s">
        <v>12</v>
      </c>
      <c r="C2124" s="6" t="s">
        <v>78</v>
      </c>
      <c r="D2124" s="6" t="s">
        <v>143</v>
      </c>
      <c r="E2124" s="10" t="s">
        <v>2322</v>
      </c>
      <c r="F2124" s="6" t="s">
        <v>4523</v>
      </c>
      <c r="G2124" s="6" t="s">
        <v>104</v>
      </c>
      <c r="H2124" s="6" t="s">
        <v>104</v>
      </c>
      <c r="I2124" s="6" t="s">
        <v>6945</v>
      </c>
      <c r="J2124" s="6" t="s">
        <v>9629</v>
      </c>
      <c r="K2124" s="6" t="s">
        <v>9714</v>
      </c>
      <c r="L2124" s="16" t="n">
        <v>41982</v>
      </c>
      <c r="M2124" s="16" t="n">
        <v>46000</v>
      </c>
      <c r="N2124" s="6" t="s">
        <v>104</v>
      </c>
      <c r="O2124" s="21" t="s">
        <v>104</v>
      </c>
      <c r="P2124" s="6" t="s">
        <v>104</v>
      </c>
      <c r="Q2124" s="6" t="s">
        <v>104</v>
      </c>
      <c r="R2124" s="6" t="s">
        <v>104</v>
      </c>
      <c r="S2124" s="6" t="s">
        <v>104</v>
      </c>
      <c r="T2124" s="21" t="s">
        <v>104</v>
      </c>
      <c r="U2124" s="6" t="s">
        <v>104</v>
      </c>
      <c r="V2124" s="6" t="s">
        <v>104</v>
      </c>
      <c r="W2124" s="6" t="s">
        <v>104</v>
      </c>
      <c r="X2124" s="6" t="s">
        <v>104</v>
      </c>
      <c r="Y2124" s="21" t="s">
        <v>104</v>
      </c>
      <c r="Z2124" s="6" t="s">
        <v>104</v>
      </c>
      <c r="AA2124" s="6" t="s">
        <v>104</v>
      </c>
      <c r="AB2124" s="6" t="s">
        <v>104</v>
      </c>
      <c r="AC2124" s="6" t="s">
        <v>9714</v>
      </c>
      <c r="AD2124" s="16" t="n">
        <v>41982</v>
      </c>
      <c r="AE2124" s="6" t="s">
        <v>12373</v>
      </c>
      <c r="AF2124" s="6" t="s">
        <v>104</v>
      </c>
      <c r="AG2124" s="6" t="s">
        <v>104</v>
      </c>
      <c r="AH2124" s="6" t="s">
        <v>15100</v>
      </c>
      <c r="AI2124" s="6" t="s">
        <v>104</v>
      </c>
      <c r="AJ2124" s="6" t="s">
        <v>16457</v>
      </c>
      <c r="AK2124" s="6" t="s">
        <v>16687</v>
      </c>
      <c r="AL2124" s="6" t="s">
        <v>16931</v>
      </c>
      <c r="AM2124" s="6" t="s">
        <v>18181</v>
      </c>
      <c r="AN2124" s="6" t="s">
        <v>18517</v>
      </c>
      <c r="AO2124" s="6" t="s">
        <v>18726</v>
      </c>
      <c r="AP2124" s="6" t="s">
        <v>15100</v>
      </c>
      <c r="AQ2124" s="6" t="s">
        <v>104</v>
      </c>
      <c r="AR2124" s="6" t="s">
        <v>16457</v>
      </c>
      <c r="AS2124" s="6" t="s">
        <v>16687</v>
      </c>
      <c r="AT2124" s="6" t="s">
        <v>16931</v>
      </c>
      <c r="AU2124" s="6" t="s">
        <v>18181</v>
      </c>
      <c r="AV2124" s="6" t="s">
        <v>104</v>
      </c>
      <c r="AW2124" s="6" t="s">
        <v>104</v>
      </c>
      <c r="AX2124" s="6" t="s">
        <v>104</v>
      </c>
      <c r="AY2124" s="6" t="s">
        <v>23577</v>
      </c>
      <c r="AZ2124" s="6" t="s">
        <v>104</v>
      </c>
      <c r="BA2124" s="6" t="s">
        <v>104</v>
      </c>
      <c r="BB2124" s="6" t="s">
        <v>104</v>
      </c>
      <c r="BC2124" s="26"/>
      <c r="BD2124" s="26"/>
      <c r="BE2124" s="26"/>
      <c r="BF2124" s="26"/>
      <c r="BG2124" s="26"/>
      <c r="BH2124" s="26"/>
      <c r="BI2124" s="26"/>
      <c r="BJ2124" s="26"/>
      <c r="BK2124" s="26"/>
      <c r="BL2124" s="26"/>
      <c r="BM2124" s="26"/>
      <c r="BN2124" s="26"/>
      <c r="BO2124" s="26"/>
      <c r="BP2124" s="16" t="n">
        <v>45628</v>
      </c>
      <c r="BQ2124" s="28" t="str">
        <f>HYPERLINK("https://organic.ams.usda.gov/Integrity/Certificate.aspx?cid=1&amp;nopid=9091434301")</f>
        <v>https://organic.ams.usda.gov/Integrity/Certificate.aspx?cid=1&amp;nopid=9091434301</v>
      </c>
    </row>
    <row r="2125">
      <c r="A2125" t="s">
        <v>3</v>
      </c>
      <c r="B2125" s="6" t="s">
        <v>34</v>
      </c>
      <c r="C2125" s="6" t="s">
        <v>100</v>
      </c>
      <c r="D2125" s="6" t="s">
        <v>165</v>
      </c>
      <c r="E2125" s="10" t="s">
        <v>2323</v>
      </c>
      <c r="F2125" s="6" t="s">
        <v>4524</v>
      </c>
      <c r="G2125" s="6" t="s">
        <v>104</v>
      </c>
      <c r="H2125" s="6" t="s">
        <v>6794</v>
      </c>
      <c r="I2125" s="6" t="s">
        <v>7886</v>
      </c>
      <c r="J2125" s="6" t="s">
        <v>9630</v>
      </c>
      <c r="K2125" s="6" t="s">
        <v>9714</v>
      </c>
      <c r="L2125" s="16" t="n">
        <v>37470</v>
      </c>
      <c r="M2125" s="16" t="n">
        <v>45803</v>
      </c>
      <c r="N2125" s="6" t="s">
        <v>104</v>
      </c>
      <c r="O2125" s="21" t="s">
        <v>104</v>
      </c>
      <c r="P2125" s="6" t="s">
        <v>104</v>
      </c>
      <c r="Q2125" s="6" t="s">
        <v>104</v>
      </c>
      <c r="R2125" s="6" t="s">
        <v>104</v>
      </c>
      <c r="S2125" s="6" t="s">
        <v>104</v>
      </c>
      <c r="T2125" s="21" t="s">
        <v>104</v>
      </c>
      <c r="U2125" s="6" t="s">
        <v>104</v>
      </c>
      <c r="V2125" s="6" t="s">
        <v>104</v>
      </c>
      <c r="W2125" s="6" t="s">
        <v>104</v>
      </c>
      <c r="X2125" s="6" t="s">
        <v>104</v>
      </c>
      <c r="Y2125" s="21" t="s">
        <v>104</v>
      </c>
      <c r="Z2125" s="6" t="s">
        <v>104</v>
      </c>
      <c r="AA2125" s="6" t="s">
        <v>104</v>
      </c>
      <c r="AB2125" s="6" t="s">
        <v>104</v>
      </c>
      <c r="AC2125" s="6" t="s">
        <v>9714</v>
      </c>
      <c r="AD2125" s="16" t="n">
        <v>37470</v>
      </c>
      <c r="AE2125" s="6" t="s">
        <v>12374</v>
      </c>
      <c r="AF2125" s="6" t="s">
        <v>104</v>
      </c>
      <c r="AG2125" s="6" t="s">
        <v>13120</v>
      </c>
      <c r="AH2125" s="6" t="s">
        <v>15101</v>
      </c>
      <c r="AI2125" s="6" t="s">
        <v>104</v>
      </c>
      <c r="AJ2125" s="6" t="s">
        <v>16610</v>
      </c>
      <c r="AK2125" s="6" t="s">
        <v>16735</v>
      </c>
      <c r="AL2125" s="6" t="s">
        <v>16931</v>
      </c>
      <c r="AM2125" s="6" t="s">
        <v>18367</v>
      </c>
      <c r="AN2125" s="6" t="s">
        <v>104</v>
      </c>
      <c r="AO2125" s="6" t="s">
        <v>104</v>
      </c>
      <c r="AP2125" s="6" t="s">
        <v>19513</v>
      </c>
      <c r="AQ2125" s="6" t="s">
        <v>104</v>
      </c>
      <c r="AR2125" s="6" t="s">
        <v>19780</v>
      </c>
      <c r="AS2125" s="6" t="s">
        <v>19795</v>
      </c>
      <c r="AT2125" s="6" t="s">
        <v>16931</v>
      </c>
      <c r="AU2125" s="6" t="s">
        <v>20062</v>
      </c>
      <c r="AV2125" s="6" t="s">
        <v>104</v>
      </c>
      <c r="AW2125" s="6" t="s">
        <v>104</v>
      </c>
      <c r="AX2125" s="6" t="s">
        <v>21743</v>
      </c>
      <c r="AY2125" s="6" t="s">
        <v>23578</v>
      </c>
      <c r="AZ2125" s="6" t="s">
        <v>24228</v>
      </c>
      <c r="BA2125" s="6" t="s">
        <v>104</v>
      </c>
      <c r="BB2125" s="6" t="s">
        <v>104</v>
      </c>
      <c r="BC2125" s="26"/>
      <c r="BD2125" s="26"/>
      <c r="BE2125" s="26"/>
      <c r="BF2125" s="26"/>
      <c r="BG2125" s="26" t="s">
        <v>24533</v>
      </c>
      <c r="BH2125" s="26"/>
      <c r="BI2125" s="26"/>
      <c r="BJ2125" s="26"/>
      <c r="BK2125" s="26"/>
      <c r="BL2125" s="26"/>
      <c r="BM2125" s="26"/>
      <c r="BN2125" s="26"/>
      <c r="BO2125" s="26"/>
      <c r="BP2125" s="16" t="n">
        <v>45737</v>
      </c>
      <c r="BQ2125" s="28" t="str">
        <f>HYPERLINK("https://organic.ams.usda.gov/Integrity/Certificate.aspx?cid=71&amp;nopid=5520030898")</f>
        <v>https://organic.ams.usda.gov/Integrity/Certificate.aspx?cid=71&amp;nopid=5520030898</v>
      </c>
    </row>
    <row r="2126">
      <c r="A2126" t="s">
        <v>3</v>
      </c>
      <c r="B2126" s="6" t="s">
        <v>17</v>
      </c>
      <c r="C2126" s="6" t="s">
        <v>83</v>
      </c>
      <c r="D2126" s="6" t="s">
        <v>148</v>
      </c>
      <c r="E2126" s="10" t="s">
        <v>2324</v>
      </c>
      <c r="F2126" s="6" t="s">
        <v>4525</v>
      </c>
      <c r="G2126" s="6" t="s">
        <v>104</v>
      </c>
      <c r="H2126" s="6" t="s">
        <v>6795</v>
      </c>
      <c r="I2126" s="6" t="s">
        <v>8068</v>
      </c>
      <c r="J2126" s="6" t="s">
        <v>9631</v>
      </c>
      <c r="K2126" s="6" t="s">
        <v>9714</v>
      </c>
      <c r="L2126" s="16" t="n">
        <v>45532</v>
      </c>
      <c r="M2126" s="16" t="n">
        <v>45778</v>
      </c>
      <c r="N2126" s="6" t="s">
        <v>104</v>
      </c>
      <c r="O2126" s="21" t="s">
        <v>104</v>
      </c>
      <c r="P2126" s="6" t="s">
        <v>104</v>
      </c>
      <c r="Q2126" s="6" t="s">
        <v>104</v>
      </c>
      <c r="R2126" s="6" t="s">
        <v>104</v>
      </c>
      <c r="S2126" s="6" t="s">
        <v>104</v>
      </c>
      <c r="T2126" s="21" t="s">
        <v>104</v>
      </c>
      <c r="U2126" s="6" t="s">
        <v>104</v>
      </c>
      <c r="V2126" s="6" t="s">
        <v>104</v>
      </c>
      <c r="W2126" s="6" t="s">
        <v>104</v>
      </c>
      <c r="X2126" s="6" t="s">
        <v>104</v>
      </c>
      <c r="Y2126" s="21" t="s">
        <v>104</v>
      </c>
      <c r="Z2126" s="6" t="s">
        <v>104</v>
      </c>
      <c r="AA2126" s="6" t="s">
        <v>104</v>
      </c>
      <c r="AB2126" s="6" t="s">
        <v>104</v>
      </c>
      <c r="AC2126" s="6" t="s">
        <v>9714</v>
      </c>
      <c r="AD2126" s="16" t="n">
        <v>45532</v>
      </c>
      <c r="AE2126" s="6" t="s">
        <v>12375</v>
      </c>
      <c r="AF2126" s="6" t="s">
        <v>104</v>
      </c>
      <c r="AG2126" s="6" t="s">
        <v>104</v>
      </c>
      <c r="AH2126" s="6" t="s">
        <v>15102</v>
      </c>
      <c r="AI2126" s="6" t="s">
        <v>15346</v>
      </c>
      <c r="AJ2126" s="6" t="s">
        <v>16611</v>
      </c>
      <c r="AK2126" s="6" t="s">
        <v>16680</v>
      </c>
      <c r="AL2126" s="6" t="s">
        <v>16931</v>
      </c>
      <c r="AM2126" s="6" t="s">
        <v>18368</v>
      </c>
      <c r="AN2126" s="6" t="s">
        <v>104</v>
      </c>
      <c r="AO2126" s="6" t="s">
        <v>104</v>
      </c>
      <c r="AP2126" s="6" t="s">
        <v>19514</v>
      </c>
      <c r="AQ2126" s="6" t="s">
        <v>19583</v>
      </c>
      <c r="AR2126" s="6" t="s">
        <v>19781</v>
      </c>
      <c r="AS2126" s="6" t="s">
        <v>16680</v>
      </c>
      <c r="AT2126" s="6" t="s">
        <v>16931</v>
      </c>
      <c r="AU2126" s="6" t="s">
        <v>20063</v>
      </c>
      <c r="AV2126" s="6" t="s">
        <v>104</v>
      </c>
      <c r="AW2126" s="6" t="s">
        <v>104</v>
      </c>
      <c r="AX2126" s="6" t="s">
        <v>21744</v>
      </c>
      <c r="AY2126" s="6" t="s">
        <v>23579</v>
      </c>
      <c r="AZ2126" s="6" t="s">
        <v>104</v>
      </c>
      <c r="BA2126" s="6" t="s">
        <v>104</v>
      </c>
      <c r="BB2126" s="24" t="n">
        <v>0</v>
      </c>
      <c r="BC2126" s="26"/>
      <c r="BD2126" s="26"/>
      <c r="BE2126" s="26"/>
      <c r="BF2126" s="26"/>
      <c r="BG2126" s="26"/>
      <c r="BH2126" s="26" t="s">
        <v>24533</v>
      </c>
      <c r="BI2126" s="26"/>
      <c r="BJ2126" s="26"/>
      <c r="BK2126" s="26"/>
      <c r="BL2126" s="26"/>
      <c r="BM2126" s="26"/>
      <c r="BN2126" s="26"/>
      <c r="BO2126" s="26"/>
      <c r="BP2126" s="16" t="n">
        <v>45664</v>
      </c>
      <c r="BQ2126" s="28" t="str">
        <f>HYPERLINK("https://organic.ams.usda.gov/Integrity/Certificate.aspx?cid=51&amp;nopid=8241000096")</f>
        <v>https://organic.ams.usda.gov/Integrity/Certificate.aspx?cid=51&amp;nopid=8241000096</v>
      </c>
    </row>
    <row r="2127">
      <c r="A2127" t="s">
        <v>3</v>
      </c>
      <c r="B2127" s="6" t="s">
        <v>13</v>
      </c>
      <c r="C2127" s="6" t="s">
        <v>79</v>
      </c>
      <c r="D2127" s="6" t="s">
        <v>144</v>
      </c>
      <c r="E2127" s="10" t="s">
        <v>2325</v>
      </c>
      <c r="F2127" s="6" t="s">
        <v>4526</v>
      </c>
      <c r="G2127" s="6" t="s">
        <v>104</v>
      </c>
      <c r="H2127" s="6" t="s">
        <v>6796</v>
      </c>
      <c r="I2127" s="6" t="s">
        <v>7041</v>
      </c>
      <c r="J2127" s="6" t="s">
        <v>9632</v>
      </c>
      <c r="K2127" s="6" t="s">
        <v>9714</v>
      </c>
      <c r="L2127" s="16" t="n">
        <v>40248</v>
      </c>
      <c r="M2127" s="16" t="n">
        <v>46023</v>
      </c>
      <c r="N2127" s="6" t="s">
        <v>104</v>
      </c>
      <c r="O2127" s="21" t="s">
        <v>104</v>
      </c>
      <c r="P2127" s="6" t="s">
        <v>104</v>
      </c>
      <c r="Q2127" s="6" t="s">
        <v>104</v>
      </c>
      <c r="R2127" s="6" t="s">
        <v>104</v>
      </c>
      <c r="S2127" s="6" t="s">
        <v>104</v>
      </c>
      <c r="T2127" s="21" t="s">
        <v>104</v>
      </c>
      <c r="U2127" s="6" t="s">
        <v>104</v>
      </c>
      <c r="V2127" s="6" t="s">
        <v>104</v>
      </c>
      <c r="W2127" s="6" t="s">
        <v>104</v>
      </c>
      <c r="X2127" s="6" t="s">
        <v>104</v>
      </c>
      <c r="Y2127" s="21" t="s">
        <v>104</v>
      </c>
      <c r="Z2127" s="6" t="s">
        <v>104</v>
      </c>
      <c r="AA2127" s="6" t="s">
        <v>104</v>
      </c>
      <c r="AB2127" s="6" t="s">
        <v>104</v>
      </c>
      <c r="AC2127" s="6" t="s">
        <v>9714</v>
      </c>
      <c r="AD2127" s="16" t="n">
        <v>40248</v>
      </c>
      <c r="AE2127" s="6" t="s">
        <v>12376</v>
      </c>
      <c r="AF2127" s="6" t="s">
        <v>104</v>
      </c>
      <c r="AG2127" s="6" t="s">
        <v>104</v>
      </c>
      <c r="AH2127" s="6" t="s">
        <v>104</v>
      </c>
      <c r="AI2127" s="6" t="s">
        <v>104</v>
      </c>
      <c r="AJ2127" s="6" t="s">
        <v>104</v>
      </c>
      <c r="AK2127" s="6" t="s">
        <v>104</v>
      </c>
      <c r="AL2127" s="6" t="s">
        <v>104</v>
      </c>
      <c r="AM2127" s="6" t="s">
        <v>104</v>
      </c>
      <c r="AN2127" s="6" t="s">
        <v>104</v>
      </c>
      <c r="AO2127" s="6" t="s">
        <v>104</v>
      </c>
      <c r="AP2127" s="6" t="s">
        <v>19515</v>
      </c>
      <c r="AQ2127" s="6" t="s">
        <v>104</v>
      </c>
      <c r="AR2127" s="6" t="s">
        <v>15415</v>
      </c>
      <c r="AS2127" s="6" t="s">
        <v>16705</v>
      </c>
      <c r="AT2127" s="6" t="s">
        <v>16931</v>
      </c>
      <c r="AU2127" s="6" t="s">
        <v>20064</v>
      </c>
      <c r="AV2127" s="6" t="s">
        <v>17550</v>
      </c>
      <c r="AW2127" s="6" t="s">
        <v>18702</v>
      </c>
      <c r="AX2127" s="6" t="s">
        <v>21745</v>
      </c>
      <c r="AY2127" s="6" t="s">
        <v>23580</v>
      </c>
      <c r="AZ2127" s="6" t="s">
        <v>24229</v>
      </c>
      <c r="BA2127" s="6" t="s">
        <v>104</v>
      </c>
      <c r="BB2127" s="6" t="s">
        <v>104</v>
      </c>
      <c r="BC2127" s="26"/>
      <c r="BD2127" s="26"/>
      <c r="BE2127" s="26" t="s">
        <v>24533</v>
      </c>
      <c r="BF2127" s="26"/>
      <c r="BG2127" s="26"/>
      <c r="BH2127" s="26"/>
      <c r="BI2127" s="26"/>
      <c r="BJ2127" s="26"/>
      <c r="BK2127" s="26"/>
      <c r="BL2127" s="26"/>
      <c r="BM2127" s="26"/>
      <c r="BN2127" s="26"/>
      <c r="BO2127" s="26"/>
      <c r="BP2127" s="16" t="n">
        <v>45670</v>
      </c>
      <c r="BQ2127" s="28" t="str">
        <f>HYPERLINK("https://organic.ams.usda.gov/Integrity/Certificate.aspx?cid=62&amp;nopid=8150001833")</f>
        <v>https://organic.ams.usda.gov/Integrity/Certificate.aspx?cid=62&amp;nopid=8150001833</v>
      </c>
    </row>
    <row r="2128">
      <c r="A2128" t="s">
        <v>3</v>
      </c>
      <c r="B2128" s="6" t="s">
        <v>24</v>
      </c>
      <c r="C2128" s="6" t="s">
        <v>90</v>
      </c>
      <c r="D2128" s="6" t="s">
        <v>155</v>
      </c>
      <c r="E2128" s="10" t="s">
        <v>2326</v>
      </c>
      <c r="F2128" s="6" t="s">
        <v>4527</v>
      </c>
      <c r="G2128" s="6" t="s">
        <v>104</v>
      </c>
      <c r="H2128" s="6" t="s">
        <v>6797</v>
      </c>
      <c r="I2128" s="6" t="s">
        <v>7772</v>
      </c>
      <c r="J2128" s="6" t="s">
        <v>7310</v>
      </c>
      <c r="K2128" s="6" t="s">
        <v>9714</v>
      </c>
      <c r="L2128" s="16" t="n">
        <v>45701</v>
      </c>
      <c r="M2128" s="16" t="n">
        <v>45868</v>
      </c>
      <c r="N2128" s="6" t="s">
        <v>104</v>
      </c>
      <c r="O2128" s="21" t="s">
        <v>104</v>
      </c>
      <c r="P2128" s="6" t="s">
        <v>104</v>
      </c>
      <c r="Q2128" s="6" t="s">
        <v>104</v>
      </c>
      <c r="R2128" s="6" t="s">
        <v>104</v>
      </c>
      <c r="S2128" s="6" t="s">
        <v>104</v>
      </c>
      <c r="T2128" s="21" t="s">
        <v>104</v>
      </c>
      <c r="U2128" s="6" t="s">
        <v>104</v>
      </c>
      <c r="V2128" s="6" t="s">
        <v>104</v>
      </c>
      <c r="W2128" s="6" t="s">
        <v>104</v>
      </c>
      <c r="X2128" s="6" t="s">
        <v>104</v>
      </c>
      <c r="Y2128" s="21" t="s">
        <v>104</v>
      </c>
      <c r="Z2128" s="6" t="s">
        <v>104</v>
      </c>
      <c r="AA2128" s="6" t="s">
        <v>104</v>
      </c>
      <c r="AB2128" s="6" t="s">
        <v>104</v>
      </c>
      <c r="AC2128" s="6" t="s">
        <v>9714</v>
      </c>
      <c r="AD2128" s="16" t="n">
        <v>45701</v>
      </c>
      <c r="AE2128" s="6" t="s">
        <v>12377</v>
      </c>
      <c r="AF2128" s="6" t="s">
        <v>104</v>
      </c>
      <c r="AG2128" s="6" t="s">
        <v>6797</v>
      </c>
      <c r="AH2128" s="6" t="s">
        <v>15103</v>
      </c>
      <c r="AI2128" s="6" t="s">
        <v>104</v>
      </c>
      <c r="AJ2128" s="6" t="s">
        <v>16612</v>
      </c>
      <c r="AK2128" s="6" t="s">
        <v>16826</v>
      </c>
      <c r="AL2128" s="6" t="s">
        <v>16934</v>
      </c>
      <c r="AM2128" s="6" t="s">
        <v>18369</v>
      </c>
      <c r="AN2128" s="6" t="s">
        <v>104</v>
      </c>
      <c r="AO2128" s="6" t="s">
        <v>104</v>
      </c>
      <c r="AP2128" s="6" t="s">
        <v>19516</v>
      </c>
      <c r="AQ2128" s="6" t="s">
        <v>104</v>
      </c>
      <c r="AR2128" s="6" t="s">
        <v>19782</v>
      </c>
      <c r="AS2128" s="6" t="s">
        <v>7191</v>
      </c>
      <c r="AT2128" s="6" t="s">
        <v>16934</v>
      </c>
      <c r="AU2128" s="6" t="s">
        <v>20065</v>
      </c>
      <c r="AV2128" s="6" t="s">
        <v>104</v>
      </c>
      <c r="AW2128" s="6" t="s">
        <v>104</v>
      </c>
      <c r="AX2128" s="6" t="s">
        <v>21746</v>
      </c>
      <c r="AY2128" s="6" t="s">
        <v>23581</v>
      </c>
      <c r="AZ2128" s="6" t="s">
        <v>104</v>
      </c>
      <c r="BA2128" s="6" t="s">
        <v>24306</v>
      </c>
      <c r="BB2128" s="6" t="s">
        <v>104</v>
      </c>
      <c r="BC2128" s="26"/>
      <c r="BD2128" s="26"/>
      <c r="BE2128" s="26"/>
      <c r="BF2128" s="26"/>
      <c r="BG2128" s="26"/>
      <c r="BH2128" s="26"/>
      <c r="BI2128" s="26"/>
      <c r="BJ2128" s="26"/>
      <c r="BK2128" s="26"/>
      <c r="BL2128" s="26"/>
      <c r="BM2128" s="26"/>
      <c r="BN2128" s="26"/>
      <c r="BO2128" s="26"/>
      <c r="BP2128" s="16" t="n">
        <v>45701</v>
      </c>
      <c r="BQ2128" s="28" t="str">
        <f>HYPERLINK("https://organic.ams.usda.gov/Integrity/Certificate.aspx?cid=7&amp;nopid=3950001346")</f>
        <v>https://organic.ams.usda.gov/Integrity/Certificate.aspx?cid=7&amp;nopid=3950001346</v>
      </c>
    </row>
    <row r="2129">
      <c r="A2129" t="s">
        <v>3</v>
      </c>
      <c r="B2129" s="6" t="s">
        <v>49</v>
      </c>
      <c r="C2129" s="6" t="s">
        <v>115</v>
      </c>
      <c r="D2129" s="6" t="s">
        <v>179</v>
      </c>
      <c r="E2129" s="10" t="s">
        <v>2327</v>
      </c>
      <c r="F2129" s="6" t="s">
        <v>4528</v>
      </c>
      <c r="G2129" s="6" t="s">
        <v>104</v>
      </c>
      <c r="H2129" s="6" t="s">
        <v>6798</v>
      </c>
      <c r="I2129" s="6" t="s">
        <v>104</v>
      </c>
      <c r="J2129" s="6" t="s">
        <v>104</v>
      </c>
      <c r="K2129" s="6" t="s">
        <v>9714</v>
      </c>
      <c r="L2129" s="16" t="n">
        <v>39510</v>
      </c>
      <c r="M2129" s="16" t="n">
        <v>45925</v>
      </c>
      <c r="N2129" s="6" t="s">
        <v>104</v>
      </c>
      <c r="O2129" s="21" t="s">
        <v>104</v>
      </c>
      <c r="P2129" s="6" t="s">
        <v>104</v>
      </c>
      <c r="Q2129" s="6" t="s">
        <v>104</v>
      </c>
      <c r="R2129" s="6" t="s">
        <v>104</v>
      </c>
      <c r="S2129" s="6" t="s">
        <v>104</v>
      </c>
      <c r="T2129" s="21" t="s">
        <v>104</v>
      </c>
      <c r="U2129" s="6" t="s">
        <v>104</v>
      </c>
      <c r="V2129" s="6" t="s">
        <v>104</v>
      </c>
      <c r="W2129" s="6" t="s">
        <v>104</v>
      </c>
      <c r="X2129" s="6" t="s">
        <v>104</v>
      </c>
      <c r="Y2129" s="21" t="s">
        <v>104</v>
      </c>
      <c r="Z2129" s="6" t="s">
        <v>104</v>
      </c>
      <c r="AA2129" s="6" t="s">
        <v>104</v>
      </c>
      <c r="AB2129" s="6" t="s">
        <v>104</v>
      </c>
      <c r="AC2129" s="6" t="s">
        <v>9714</v>
      </c>
      <c r="AD2129" s="16" t="n">
        <v>39510</v>
      </c>
      <c r="AE2129" s="6" t="s">
        <v>12378</v>
      </c>
      <c r="AF2129" s="6" t="s">
        <v>104</v>
      </c>
      <c r="AG2129" s="6" t="s">
        <v>13121</v>
      </c>
      <c r="AH2129" s="6" t="s">
        <v>15104</v>
      </c>
      <c r="AI2129" s="6" t="s">
        <v>104</v>
      </c>
      <c r="AJ2129" s="6" t="s">
        <v>15513</v>
      </c>
      <c r="AK2129" s="6" t="s">
        <v>104</v>
      </c>
      <c r="AL2129" s="6" t="s">
        <v>15513</v>
      </c>
      <c r="AM2129" s="6" t="s">
        <v>17753</v>
      </c>
      <c r="AN2129" s="6" t="s">
        <v>104</v>
      </c>
      <c r="AO2129" s="6" t="s">
        <v>104</v>
      </c>
      <c r="AP2129" s="6" t="s">
        <v>104</v>
      </c>
      <c r="AQ2129" s="6" t="s">
        <v>104</v>
      </c>
      <c r="AR2129" s="6" t="s">
        <v>104</v>
      </c>
      <c r="AS2129" s="6" t="s">
        <v>104</v>
      </c>
      <c r="AT2129" s="6" t="s">
        <v>104</v>
      </c>
      <c r="AU2129" s="6" t="s">
        <v>104</v>
      </c>
      <c r="AV2129" s="6" t="s">
        <v>104</v>
      </c>
      <c r="AW2129" s="6" t="s">
        <v>104</v>
      </c>
      <c r="AX2129" s="6" t="s">
        <v>104</v>
      </c>
      <c r="AY2129" s="6" t="s">
        <v>104</v>
      </c>
      <c r="AZ2129" s="6" t="s">
        <v>104</v>
      </c>
      <c r="BA2129" s="6" t="s">
        <v>104</v>
      </c>
      <c r="BB2129" s="24" t="n">
        <v>0</v>
      </c>
      <c r="BC2129" s="26"/>
      <c r="BD2129" s="26"/>
      <c r="BE2129" s="26"/>
      <c r="BF2129" s="26"/>
      <c r="BG2129" s="26"/>
      <c r="BH2129" s="26"/>
      <c r="BI2129" s="26"/>
      <c r="BJ2129" s="26"/>
      <c r="BK2129" s="26"/>
      <c r="BL2129" s="26"/>
      <c r="BM2129" s="26"/>
      <c r="BN2129" s="26"/>
      <c r="BO2129" s="26"/>
      <c r="BP2129" s="16" t="n">
        <v>45596</v>
      </c>
      <c r="BQ2129" s="28" t="str">
        <f>HYPERLINK("https://organic.ams.usda.gov/Integrity/Certificate.aspx?cid=12&amp;nopid=8690009381")</f>
        <v>https://organic.ams.usda.gov/Integrity/Certificate.aspx?cid=12&amp;nopid=8690009381</v>
      </c>
    </row>
    <row r="2130">
      <c r="A2130" t="s">
        <v>3</v>
      </c>
      <c r="B2130" s="6" t="s">
        <v>47</v>
      </c>
      <c r="C2130" s="6" t="s">
        <v>113</v>
      </c>
      <c r="D2130" s="6" t="s">
        <v>177</v>
      </c>
      <c r="E2130" s="10" t="s">
        <v>2328</v>
      </c>
      <c r="F2130" s="6" t="s">
        <v>4529</v>
      </c>
      <c r="G2130" s="6" t="s">
        <v>104</v>
      </c>
      <c r="H2130" s="6" t="s">
        <v>6799</v>
      </c>
      <c r="I2130" s="6" t="s">
        <v>8069</v>
      </c>
      <c r="J2130" s="6" t="s">
        <v>9633</v>
      </c>
      <c r="K2130" s="6" t="s">
        <v>9714</v>
      </c>
      <c r="L2130" s="16" t="n">
        <v>39300</v>
      </c>
      <c r="M2130" s="16" t="n">
        <v>46127</v>
      </c>
      <c r="N2130" s="6" t="s">
        <v>9714</v>
      </c>
      <c r="O2130" s="16" t="n">
        <v>39300</v>
      </c>
      <c r="P2130" s="6" t="s">
        <v>10254</v>
      </c>
      <c r="Q2130" s="6" t="s">
        <v>104</v>
      </c>
      <c r="R2130" s="6" t="s">
        <v>10448</v>
      </c>
      <c r="S2130" s="6" t="s">
        <v>104</v>
      </c>
      <c r="T2130" s="21" t="s">
        <v>104</v>
      </c>
      <c r="U2130" s="6" t="s">
        <v>104</v>
      </c>
      <c r="V2130" s="6" t="s">
        <v>104</v>
      </c>
      <c r="W2130" s="6" t="s">
        <v>104</v>
      </c>
      <c r="X2130" s="6" t="s">
        <v>104</v>
      </c>
      <c r="Y2130" s="21" t="s">
        <v>104</v>
      </c>
      <c r="Z2130" s="6" t="s">
        <v>104</v>
      </c>
      <c r="AA2130" s="6" t="s">
        <v>104</v>
      </c>
      <c r="AB2130" s="6" t="s">
        <v>104</v>
      </c>
      <c r="AC2130" s="6" t="s">
        <v>104</v>
      </c>
      <c r="AD2130" s="21" t="s">
        <v>104</v>
      </c>
      <c r="AE2130" s="6" t="s">
        <v>104</v>
      </c>
      <c r="AF2130" s="6" t="s">
        <v>104</v>
      </c>
      <c r="AG2130" s="6" t="s">
        <v>104</v>
      </c>
      <c r="AH2130" s="6" t="s">
        <v>15105</v>
      </c>
      <c r="AI2130" s="6" t="s">
        <v>104</v>
      </c>
      <c r="AJ2130" s="6" t="s">
        <v>16613</v>
      </c>
      <c r="AK2130" s="6" t="s">
        <v>16734</v>
      </c>
      <c r="AL2130" s="6" t="s">
        <v>16931</v>
      </c>
      <c r="AM2130" s="6" t="s">
        <v>18370</v>
      </c>
      <c r="AN2130" s="6" t="s">
        <v>18469</v>
      </c>
      <c r="AO2130" s="6" t="s">
        <v>18914</v>
      </c>
      <c r="AP2130" s="6" t="s">
        <v>19517</v>
      </c>
      <c r="AQ2130" s="6" t="s">
        <v>104</v>
      </c>
      <c r="AR2130" s="6" t="s">
        <v>19783</v>
      </c>
      <c r="AS2130" s="6" t="s">
        <v>16734</v>
      </c>
      <c r="AT2130" s="6" t="s">
        <v>16931</v>
      </c>
      <c r="AU2130" s="6" t="s">
        <v>20066</v>
      </c>
      <c r="AV2130" s="6" t="s">
        <v>104</v>
      </c>
      <c r="AW2130" s="6" t="s">
        <v>104</v>
      </c>
      <c r="AX2130" s="6" t="s">
        <v>21747</v>
      </c>
      <c r="AY2130" s="6" t="s">
        <v>23582</v>
      </c>
      <c r="AZ2130" s="6" t="s">
        <v>24230</v>
      </c>
      <c r="BA2130" s="6" t="s">
        <v>104</v>
      </c>
      <c r="BB2130" s="24" t="n">
        <v>6</v>
      </c>
      <c r="BC2130" s="26"/>
      <c r="BD2130" s="26"/>
      <c r="BE2130" s="26"/>
      <c r="BF2130" s="26"/>
      <c r="BG2130" s="26"/>
      <c r="BH2130" s="26"/>
      <c r="BI2130" s="26"/>
      <c r="BJ2130" s="26"/>
      <c r="BK2130" s="26"/>
      <c r="BL2130" s="26"/>
      <c r="BM2130" s="26"/>
      <c r="BN2130" s="26"/>
      <c r="BO2130" s="26"/>
      <c r="BP2130" s="16" t="n">
        <v>45717</v>
      </c>
      <c r="BQ2130" s="28" t="str">
        <f>HYPERLINK("https://organic.ams.usda.gov/Integrity/Certificate.aspx?cid=47&amp;nopid=7142073829")</f>
        <v>https://organic.ams.usda.gov/Integrity/Certificate.aspx?cid=47&amp;nopid=7142073829</v>
      </c>
    </row>
    <row r="2131">
      <c r="A2131" t="s">
        <v>3</v>
      </c>
      <c r="B2131" s="6" t="s">
        <v>33</v>
      </c>
      <c r="C2131" s="6" t="s">
        <v>99</v>
      </c>
      <c r="D2131" s="6" t="s">
        <v>164</v>
      </c>
      <c r="E2131" s="10" t="s">
        <v>2329</v>
      </c>
      <c r="F2131" s="6" t="s">
        <v>4530</v>
      </c>
      <c r="G2131" s="6" t="s">
        <v>4881</v>
      </c>
      <c r="H2131" s="6" t="s">
        <v>104</v>
      </c>
      <c r="I2131" s="6" t="s">
        <v>8070</v>
      </c>
      <c r="J2131" s="6" t="s">
        <v>9634</v>
      </c>
      <c r="K2131" s="6" t="s">
        <v>9714</v>
      </c>
      <c r="L2131" s="16" t="n">
        <v>42963</v>
      </c>
      <c r="M2131" s="16" t="n">
        <v>45748</v>
      </c>
      <c r="N2131" s="6" t="s">
        <v>104</v>
      </c>
      <c r="O2131" s="21" t="s">
        <v>104</v>
      </c>
      <c r="P2131" s="6" t="s">
        <v>104</v>
      </c>
      <c r="Q2131" s="6" t="s">
        <v>104</v>
      </c>
      <c r="R2131" s="6" t="s">
        <v>104</v>
      </c>
      <c r="S2131" s="6" t="s">
        <v>104</v>
      </c>
      <c r="T2131" s="21" t="s">
        <v>104</v>
      </c>
      <c r="U2131" s="6" t="s">
        <v>104</v>
      </c>
      <c r="V2131" s="6" t="s">
        <v>104</v>
      </c>
      <c r="W2131" s="6" t="s">
        <v>104</v>
      </c>
      <c r="X2131" s="6" t="s">
        <v>104</v>
      </c>
      <c r="Y2131" s="21" t="s">
        <v>104</v>
      </c>
      <c r="Z2131" s="6" t="s">
        <v>104</v>
      </c>
      <c r="AA2131" s="6" t="s">
        <v>104</v>
      </c>
      <c r="AB2131" s="6" t="s">
        <v>104</v>
      </c>
      <c r="AC2131" s="6" t="s">
        <v>9714</v>
      </c>
      <c r="AD2131" s="16" t="n">
        <v>42963</v>
      </c>
      <c r="AE2131" s="6" t="s">
        <v>12379</v>
      </c>
      <c r="AF2131" s="6" t="s">
        <v>104</v>
      </c>
      <c r="AG2131" s="6" t="s">
        <v>104</v>
      </c>
      <c r="AH2131" s="6" t="s">
        <v>15106</v>
      </c>
      <c r="AI2131" s="6" t="s">
        <v>104</v>
      </c>
      <c r="AJ2131" s="6" t="s">
        <v>16614</v>
      </c>
      <c r="AK2131" s="6" t="s">
        <v>16720</v>
      </c>
      <c r="AL2131" s="6" t="s">
        <v>16931</v>
      </c>
      <c r="AM2131" s="6" t="s">
        <v>18371</v>
      </c>
      <c r="AN2131" s="6" t="s">
        <v>18471</v>
      </c>
      <c r="AO2131" s="6" t="s">
        <v>18926</v>
      </c>
      <c r="AP2131" s="6" t="s">
        <v>15106</v>
      </c>
      <c r="AQ2131" s="6" t="s">
        <v>104</v>
      </c>
      <c r="AR2131" s="6" t="s">
        <v>16614</v>
      </c>
      <c r="AS2131" s="6" t="s">
        <v>16720</v>
      </c>
      <c r="AT2131" s="6" t="s">
        <v>16931</v>
      </c>
      <c r="AU2131" s="6" t="s">
        <v>18371</v>
      </c>
      <c r="AV2131" s="6" t="s">
        <v>104</v>
      </c>
      <c r="AW2131" s="6" t="s">
        <v>104</v>
      </c>
      <c r="AX2131" s="6" t="s">
        <v>21748</v>
      </c>
      <c r="AY2131" s="6" t="s">
        <v>23583</v>
      </c>
      <c r="AZ2131" s="6" t="s">
        <v>24231</v>
      </c>
      <c r="BA2131" s="6" t="s">
        <v>24264</v>
      </c>
      <c r="BB2131" s="6" t="s">
        <v>104</v>
      </c>
      <c r="BC2131" s="26"/>
      <c r="BD2131" s="26"/>
      <c r="BE2131" s="26"/>
      <c r="BF2131" s="26"/>
      <c r="BG2131" s="26"/>
      <c r="BH2131" s="26"/>
      <c r="BI2131" s="26"/>
      <c r="BJ2131" s="26"/>
      <c r="BK2131" s="26"/>
      <c r="BL2131" s="26"/>
      <c r="BM2131" s="26"/>
      <c r="BN2131" s="26"/>
      <c r="BO2131" s="26"/>
      <c r="BP2131" s="16" t="n">
        <v>45559</v>
      </c>
      <c r="BQ2131" s="28" t="str">
        <f>HYPERLINK("https://organic.ams.usda.gov/Integrity/Certificate.aspx?cid=46&amp;nopid=3671700048")</f>
        <v>https://organic.ams.usda.gov/Integrity/Certificate.aspx?cid=46&amp;nopid=3671700048</v>
      </c>
    </row>
    <row r="2132">
      <c r="A2132" t="s">
        <v>3</v>
      </c>
      <c r="B2132" s="6" t="s">
        <v>27</v>
      </c>
      <c r="C2132" s="6" t="s">
        <v>93</v>
      </c>
      <c r="D2132" s="6" t="s">
        <v>158</v>
      </c>
      <c r="E2132" s="10" t="s">
        <v>2330</v>
      </c>
      <c r="F2132" s="6" t="s">
        <v>4531</v>
      </c>
      <c r="G2132" s="6" t="s">
        <v>104</v>
      </c>
      <c r="H2132" s="6" t="s">
        <v>6800</v>
      </c>
      <c r="I2132" s="6" t="s">
        <v>7688</v>
      </c>
      <c r="J2132" s="6" t="s">
        <v>9079</v>
      </c>
      <c r="K2132" s="6" t="s">
        <v>9714</v>
      </c>
      <c r="L2132" s="16" t="n">
        <v>45126</v>
      </c>
      <c r="M2132" s="16" t="n">
        <v>45900</v>
      </c>
      <c r="N2132" s="6" t="s">
        <v>9714</v>
      </c>
      <c r="O2132" s="16" t="n">
        <v>45126</v>
      </c>
      <c r="P2132" s="6" t="s">
        <v>10255</v>
      </c>
      <c r="Q2132" s="6" t="s">
        <v>104</v>
      </c>
      <c r="R2132" s="6" t="s">
        <v>10449</v>
      </c>
      <c r="S2132" s="6" t="s">
        <v>104</v>
      </c>
      <c r="T2132" s="21" t="s">
        <v>104</v>
      </c>
      <c r="U2132" s="6" t="s">
        <v>104</v>
      </c>
      <c r="V2132" s="6" t="s">
        <v>104</v>
      </c>
      <c r="W2132" s="6" t="s">
        <v>104</v>
      </c>
      <c r="X2132" s="6" t="s">
        <v>104</v>
      </c>
      <c r="Y2132" s="21" t="s">
        <v>104</v>
      </c>
      <c r="Z2132" s="6" t="s">
        <v>104</v>
      </c>
      <c r="AA2132" s="6" t="s">
        <v>104</v>
      </c>
      <c r="AB2132" s="6" t="s">
        <v>104</v>
      </c>
      <c r="AC2132" s="6" t="s">
        <v>104</v>
      </c>
      <c r="AD2132" s="21" t="s">
        <v>104</v>
      </c>
      <c r="AE2132" s="6" t="s">
        <v>104</v>
      </c>
      <c r="AF2132" s="6" t="s">
        <v>104</v>
      </c>
      <c r="AG2132" s="6" t="s">
        <v>104</v>
      </c>
      <c r="AH2132" s="6" t="s">
        <v>15107</v>
      </c>
      <c r="AI2132" s="6" t="s">
        <v>104</v>
      </c>
      <c r="AJ2132" s="6" t="s">
        <v>15992</v>
      </c>
      <c r="AK2132" s="6" t="s">
        <v>16788</v>
      </c>
      <c r="AL2132" s="6" t="s">
        <v>16932</v>
      </c>
      <c r="AM2132" s="6" t="s">
        <v>18372</v>
      </c>
      <c r="AN2132" s="6" t="s">
        <v>104</v>
      </c>
      <c r="AO2132" s="6" t="s">
        <v>104</v>
      </c>
      <c r="AP2132" s="6" t="s">
        <v>15107</v>
      </c>
      <c r="AQ2132" s="6" t="s">
        <v>104</v>
      </c>
      <c r="AR2132" s="6" t="s">
        <v>15992</v>
      </c>
      <c r="AS2132" s="6" t="s">
        <v>16788</v>
      </c>
      <c r="AT2132" s="6" t="s">
        <v>16932</v>
      </c>
      <c r="AU2132" s="6" t="s">
        <v>18372</v>
      </c>
      <c r="AV2132" s="6" t="s">
        <v>104</v>
      </c>
      <c r="AW2132" s="6" t="s">
        <v>104</v>
      </c>
      <c r="AX2132" s="6" t="s">
        <v>21749</v>
      </c>
      <c r="AY2132" s="6" t="s">
        <v>22654</v>
      </c>
      <c r="AZ2132" s="6" t="s">
        <v>104</v>
      </c>
      <c r="BA2132" s="6" t="s">
        <v>24355</v>
      </c>
      <c r="BB2132" s="24" t="n">
        <v>137</v>
      </c>
      <c r="BC2132" s="26"/>
      <c r="BD2132" s="26"/>
      <c r="BE2132" s="26"/>
      <c r="BF2132" s="26"/>
      <c r="BG2132" s="26"/>
      <c r="BH2132" s="26"/>
      <c r="BI2132" s="26"/>
      <c r="BJ2132" s="26"/>
      <c r="BK2132" s="26"/>
      <c r="BL2132" s="26"/>
      <c r="BM2132" s="26"/>
      <c r="BN2132" s="26"/>
      <c r="BO2132" s="26" t="s">
        <v>24533</v>
      </c>
      <c r="BP2132" s="16" t="n">
        <v>45595</v>
      </c>
      <c r="BQ2132" s="28" t="str">
        <f>HYPERLINK("https://organic.ams.usda.gov/Integrity/Certificate.aspx?cid=93&amp;nopid=6361658544")</f>
        <v>https://organic.ams.usda.gov/Integrity/Certificate.aspx?cid=93&amp;nopid=6361658544</v>
      </c>
    </row>
    <row r="2133">
      <c r="A2133" t="s">
        <v>3</v>
      </c>
      <c r="B2133" s="6" t="s">
        <v>45</v>
      </c>
      <c r="C2133" s="6" t="s">
        <v>111</v>
      </c>
      <c r="D2133" s="6" t="s">
        <v>175</v>
      </c>
      <c r="E2133" s="10" t="s">
        <v>2331</v>
      </c>
      <c r="F2133" s="6" t="s">
        <v>4532</v>
      </c>
      <c r="G2133" s="6" t="s">
        <v>104</v>
      </c>
      <c r="H2133" s="6" t="s">
        <v>6291</v>
      </c>
      <c r="I2133" s="6" t="s">
        <v>7097</v>
      </c>
      <c r="J2133" s="6" t="s">
        <v>8838</v>
      </c>
      <c r="K2133" s="6" t="s">
        <v>9714</v>
      </c>
      <c r="L2133" s="16" t="n">
        <v>38127</v>
      </c>
      <c r="M2133" s="16" t="n">
        <v>46082</v>
      </c>
      <c r="N2133" s="6" t="s">
        <v>9714</v>
      </c>
      <c r="O2133" s="16" t="n">
        <v>38127</v>
      </c>
      <c r="P2133" s="6" t="s">
        <v>10256</v>
      </c>
      <c r="Q2133" s="6" t="s">
        <v>104</v>
      </c>
      <c r="R2133" s="6" t="s">
        <v>4667</v>
      </c>
      <c r="S2133" s="6" t="s">
        <v>104</v>
      </c>
      <c r="T2133" s="21" t="s">
        <v>104</v>
      </c>
      <c r="U2133" s="6" t="s">
        <v>104</v>
      </c>
      <c r="V2133" s="6" t="s">
        <v>104</v>
      </c>
      <c r="W2133" s="6" t="s">
        <v>104</v>
      </c>
      <c r="X2133" s="6" t="s">
        <v>104</v>
      </c>
      <c r="Y2133" s="21" t="s">
        <v>104</v>
      </c>
      <c r="Z2133" s="6" t="s">
        <v>104</v>
      </c>
      <c r="AA2133" s="6" t="s">
        <v>104</v>
      </c>
      <c r="AB2133" s="6" t="s">
        <v>104</v>
      </c>
      <c r="AC2133" s="6" t="s">
        <v>104</v>
      </c>
      <c r="AD2133" s="21" t="s">
        <v>104</v>
      </c>
      <c r="AE2133" s="6" t="s">
        <v>104</v>
      </c>
      <c r="AF2133" s="6" t="s">
        <v>104</v>
      </c>
      <c r="AG2133" s="6" t="s">
        <v>104</v>
      </c>
      <c r="AH2133" s="6" t="s">
        <v>15108</v>
      </c>
      <c r="AI2133" s="6" t="s">
        <v>104</v>
      </c>
      <c r="AJ2133" s="6" t="s">
        <v>16178</v>
      </c>
      <c r="AK2133" s="6" t="s">
        <v>16382</v>
      </c>
      <c r="AL2133" s="6" t="s">
        <v>16931</v>
      </c>
      <c r="AM2133" s="6" t="s">
        <v>17838</v>
      </c>
      <c r="AN2133" s="6" t="s">
        <v>104</v>
      </c>
      <c r="AO2133" s="6" t="s">
        <v>104</v>
      </c>
      <c r="AP2133" s="6" t="s">
        <v>19518</v>
      </c>
      <c r="AQ2133" s="6" t="s">
        <v>104</v>
      </c>
      <c r="AR2133" s="6" t="s">
        <v>15481</v>
      </c>
      <c r="AS2133" s="6" t="s">
        <v>16382</v>
      </c>
      <c r="AT2133" s="6" t="s">
        <v>16931</v>
      </c>
      <c r="AU2133" s="6" t="s">
        <v>18373</v>
      </c>
      <c r="AV2133" s="6" t="s">
        <v>18503</v>
      </c>
      <c r="AW2133" s="6" t="s">
        <v>18837</v>
      </c>
      <c r="AX2133" s="6" t="s">
        <v>21750</v>
      </c>
      <c r="AY2133" s="6" t="s">
        <v>23584</v>
      </c>
      <c r="AZ2133" s="6" t="s">
        <v>24232</v>
      </c>
      <c r="BA2133" s="6" t="s">
        <v>104</v>
      </c>
      <c r="BB2133" s="24" t="n">
        <v>8</v>
      </c>
      <c r="BC2133" s="26"/>
      <c r="BD2133" s="26"/>
      <c r="BE2133" s="26"/>
      <c r="BF2133" s="26"/>
      <c r="BG2133" s="26"/>
      <c r="BH2133" s="26"/>
      <c r="BI2133" s="26"/>
      <c r="BJ2133" s="26"/>
      <c r="BK2133" s="26"/>
      <c r="BL2133" s="26"/>
      <c r="BM2133" s="26"/>
      <c r="BN2133" s="26"/>
      <c r="BO2133" s="26"/>
      <c r="BP2133" s="16" t="n">
        <v>45739</v>
      </c>
      <c r="BQ2133" s="28" t="str">
        <f>HYPERLINK("https://organic.ams.usda.gov/Integrity/Certificate.aspx?cid=82&amp;nopid=2780001390")</f>
        <v>https://organic.ams.usda.gov/Integrity/Certificate.aspx?cid=82&amp;nopid=2780001390</v>
      </c>
    </row>
    <row r="2134">
      <c r="A2134" t="s">
        <v>3</v>
      </c>
      <c r="B2134" s="6" t="s">
        <v>45</v>
      </c>
      <c r="C2134" s="6" t="s">
        <v>111</v>
      </c>
      <c r="D2134" s="6" t="s">
        <v>175</v>
      </c>
      <c r="E2134" s="10" t="s">
        <v>2332</v>
      </c>
      <c r="F2134" s="6" t="s">
        <v>4533</v>
      </c>
      <c r="G2134" s="6" t="s">
        <v>104</v>
      </c>
      <c r="H2134" s="6" t="s">
        <v>6801</v>
      </c>
      <c r="I2134" s="6" t="s">
        <v>7097</v>
      </c>
      <c r="J2134" s="6" t="s">
        <v>8838</v>
      </c>
      <c r="K2134" s="6" t="s">
        <v>9714</v>
      </c>
      <c r="L2134" s="16" t="n">
        <v>39136</v>
      </c>
      <c r="M2134" s="16" t="n">
        <v>46082</v>
      </c>
      <c r="N2134" s="6" t="s">
        <v>104</v>
      </c>
      <c r="O2134" s="21" t="s">
        <v>104</v>
      </c>
      <c r="P2134" s="6" t="s">
        <v>104</v>
      </c>
      <c r="Q2134" s="6" t="s">
        <v>104</v>
      </c>
      <c r="R2134" s="6" t="s">
        <v>104</v>
      </c>
      <c r="S2134" s="6" t="s">
        <v>104</v>
      </c>
      <c r="T2134" s="21" t="s">
        <v>104</v>
      </c>
      <c r="U2134" s="6" t="s">
        <v>104</v>
      </c>
      <c r="V2134" s="6" t="s">
        <v>104</v>
      </c>
      <c r="W2134" s="6" t="s">
        <v>104</v>
      </c>
      <c r="X2134" s="6" t="s">
        <v>104</v>
      </c>
      <c r="Y2134" s="21" t="s">
        <v>104</v>
      </c>
      <c r="Z2134" s="6" t="s">
        <v>104</v>
      </c>
      <c r="AA2134" s="6" t="s">
        <v>104</v>
      </c>
      <c r="AB2134" s="6" t="s">
        <v>104</v>
      </c>
      <c r="AC2134" s="6" t="s">
        <v>9714</v>
      </c>
      <c r="AD2134" s="16" t="n">
        <v>39136</v>
      </c>
      <c r="AE2134" s="6" t="s">
        <v>12380</v>
      </c>
      <c r="AF2134" s="6" t="s">
        <v>104</v>
      </c>
      <c r="AG2134" s="6" t="s">
        <v>4667</v>
      </c>
      <c r="AH2134" s="6" t="s">
        <v>15109</v>
      </c>
      <c r="AI2134" s="6" t="s">
        <v>104</v>
      </c>
      <c r="AJ2134" s="6" t="s">
        <v>15481</v>
      </c>
      <c r="AK2134" s="6" t="s">
        <v>16382</v>
      </c>
      <c r="AL2134" s="6" t="s">
        <v>16931</v>
      </c>
      <c r="AM2134" s="6" t="s">
        <v>18373</v>
      </c>
      <c r="AN2134" s="6" t="s">
        <v>104</v>
      </c>
      <c r="AO2134" s="6" t="s">
        <v>104</v>
      </c>
      <c r="AP2134" s="6" t="s">
        <v>19518</v>
      </c>
      <c r="AQ2134" s="6" t="s">
        <v>104</v>
      </c>
      <c r="AR2134" s="6" t="s">
        <v>15481</v>
      </c>
      <c r="AS2134" s="6" t="s">
        <v>16382</v>
      </c>
      <c r="AT2134" s="6" t="s">
        <v>16931</v>
      </c>
      <c r="AU2134" s="6" t="s">
        <v>18373</v>
      </c>
      <c r="AV2134" s="6" t="s">
        <v>18503</v>
      </c>
      <c r="AW2134" s="6" t="s">
        <v>18837</v>
      </c>
      <c r="AX2134" s="6" t="s">
        <v>21750</v>
      </c>
      <c r="AY2134" s="6" t="s">
        <v>23585</v>
      </c>
      <c r="AZ2134" s="6" t="s">
        <v>24232</v>
      </c>
      <c r="BA2134" s="6" t="s">
        <v>104</v>
      </c>
      <c r="BB2134" s="6" t="s">
        <v>104</v>
      </c>
      <c r="BC2134" s="26"/>
      <c r="BD2134" s="26"/>
      <c r="BE2134" s="26"/>
      <c r="BF2134" s="26"/>
      <c r="BG2134" s="26"/>
      <c r="BH2134" s="26"/>
      <c r="BI2134" s="26"/>
      <c r="BJ2134" s="26"/>
      <c r="BK2134" s="26"/>
      <c r="BL2134" s="26"/>
      <c r="BM2134" s="26"/>
      <c r="BN2134" s="26"/>
      <c r="BO2134" s="26"/>
      <c r="BP2134" s="16" t="n">
        <v>45739</v>
      </c>
      <c r="BQ2134" s="28" t="str">
        <f>HYPERLINK("https://organic.ams.usda.gov/Integrity/Certificate.aspx?cid=82&amp;nopid=2780001787")</f>
        <v>https://organic.ams.usda.gov/Integrity/Certificate.aspx?cid=82&amp;nopid=2780001787</v>
      </c>
    </row>
    <row r="2135">
      <c r="A2135" t="s">
        <v>3</v>
      </c>
      <c r="B2135" s="6" t="s">
        <v>29</v>
      </c>
      <c r="C2135" s="6" t="s">
        <v>95</v>
      </c>
      <c r="D2135" s="6" t="s">
        <v>160</v>
      </c>
      <c r="E2135" s="10" t="s">
        <v>2333</v>
      </c>
      <c r="F2135" s="6" t="s">
        <v>4534</v>
      </c>
      <c r="G2135" s="6" t="s">
        <v>104</v>
      </c>
      <c r="H2135" s="6" t="s">
        <v>6802</v>
      </c>
      <c r="I2135" s="6" t="s">
        <v>104</v>
      </c>
      <c r="J2135" s="6" t="s">
        <v>9635</v>
      </c>
      <c r="K2135" s="6" t="s">
        <v>9714</v>
      </c>
      <c r="L2135" s="16" t="n">
        <v>37895</v>
      </c>
      <c r="M2135" s="16" t="n">
        <v>45870</v>
      </c>
      <c r="N2135" s="6" t="s">
        <v>9714</v>
      </c>
      <c r="O2135" s="16" t="n">
        <v>37895</v>
      </c>
      <c r="P2135" s="6" t="s">
        <v>9944</v>
      </c>
      <c r="Q2135" s="6" t="s">
        <v>104</v>
      </c>
      <c r="R2135" s="6" t="s">
        <v>104</v>
      </c>
      <c r="S2135" s="6" t="s">
        <v>104</v>
      </c>
      <c r="T2135" s="21" t="s">
        <v>104</v>
      </c>
      <c r="U2135" s="6" t="s">
        <v>104</v>
      </c>
      <c r="V2135" s="6" t="s">
        <v>104</v>
      </c>
      <c r="W2135" s="6" t="s">
        <v>104</v>
      </c>
      <c r="X2135" s="6" t="s">
        <v>104</v>
      </c>
      <c r="Y2135" s="21" t="s">
        <v>104</v>
      </c>
      <c r="Z2135" s="6" t="s">
        <v>104</v>
      </c>
      <c r="AA2135" s="6" t="s">
        <v>104</v>
      </c>
      <c r="AB2135" s="6" t="s">
        <v>104</v>
      </c>
      <c r="AC2135" s="6" t="s">
        <v>9714</v>
      </c>
      <c r="AD2135" s="16" t="n">
        <v>37895</v>
      </c>
      <c r="AE2135" s="6" t="s">
        <v>12381</v>
      </c>
      <c r="AF2135" s="6" t="s">
        <v>104</v>
      </c>
      <c r="AG2135" s="6" t="s">
        <v>104</v>
      </c>
      <c r="AH2135" s="6" t="s">
        <v>15110</v>
      </c>
      <c r="AI2135" s="6" t="s">
        <v>15347</v>
      </c>
      <c r="AJ2135" s="6" t="s">
        <v>16615</v>
      </c>
      <c r="AK2135" s="6" t="s">
        <v>104</v>
      </c>
      <c r="AL2135" s="6" t="s">
        <v>15513</v>
      </c>
      <c r="AM2135" s="6" t="s">
        <v>18374</v>
      </c>
      <c r="AN2135" s="6" t="s">
        <v>104</v>
      </c>
      <c r="AO2135" s="6" t="s">
        <v>104</v>
      </c>
      <c r="AP2135" s="6" t="s">
        <v>104</v>
      </c>
      <c r="AQ2135" s="6" t="s">
        <v>104</v>
      </c>
      <c r="AR2135" s="6" t="s">
        <v>104</v>
      </c>
      <c r="AS2135" s="6" t="s">
        <v>104</v>
      </c>
      <c r="AT2135" s="6" t="s">
        <v>104</v>
      </c>
      <c r="AU2135" s="6" t="s">
        <v>104</v>
      </c>
      <c r="AV2135" s="6" t="s">
        <v>104</v>
      </c>
      <c r="AW2135" s="6" t="s">
        <v>104</v>
      </c>
      <c r="AX2135" s="6" t="s">
        <v>21751</v>
      </c>
      <c r="AY2135" s="6" t="s">
        <v>23586</v>
      </c>
      <c r="AZ2135" s="6" t="s">
        <v>104</v>
      </c>
      <c r="BA2135" s="6" t="s">
        <v>24269</v>
      </c>
      <c r="BB2135" s="24" t="n">
        <v>6048</v>
      </c>
      <c r="BC2135" s="26"/>
      <c r="BD2135" s="26"/>
      <c r="BE2135" s="26"/>
      <c r="BF2135" s="26"/>
      <c r="BG2135" s="26"/>
      <c r="BH2135" s="26"/>
      <c r="BI2135" s="26"/>
      <c r="BJ2135" s="26"/>
      <c r="BK2135" s="26"/>
      <c r="BL2135" s="26"/>
      <c r="BM2135" s="26"/>
      <c r="BN2135" s="26"/>
      <c r="BO2135" s="26" t="s">
        <v>24533</v>
      </c>
      <c r="BP2135" s="16" t="n">
        <v>45680</v>
      </c>
      <c r="BQ2135" s="28" t="str">
        <f>HYPERLINK("https://organic.ams.usda.gov/Integrity/Certificate.aspx?cid=24&amp;nopid=7888361300")</f>
        <v>https://organic.ams.usda.gov/Integrity/Certificate.aspx?cid=24&amp;nopid=7888361300</v>
      </c>
    </row>
    <row r="2136">
      <c r="A2136" t="s">
        <v>3</v>
      </c>
      <c r="B2136" s="6" t="s">
        <v>29</v>
      </c>
      <c r="C2136" s="6" t="s">
        <v>95</v>
      </c>
      <c r="D2136" s="6" t="s">
        <v>160</v>
      </c>
      <c r="E2136" s="10" t="s">
        <v>2334</v>
      </c>
      <c r="F2136" s="6" t="s">
        <v>4535</v>
      </c>
      <c r="G2136" s="6" t="s">
        <v>104</v>
      </c>
      <c r="H2136" s="6" t="s">
        <v>6803</v>
      </c>
      <c r="I2136" s="6" t="s">
        <v>104</v>
      </c>
      <c r="J2136" s="6" t="s">
        <v>9636</v>
      </c>
      <c r="K2136" s="6" t="s">
        <v>9714</v>
      </c>
      <c r="L2136" s="16" t="n">
        <v>44165</v>
      </c>
      <c r="M2136" s="16" t="n">
        <v>46054</v>
      </c>
      <c r="N2136" s="6" t="s">
        <v>104</v>
      </c>
      <c r="O2136" s="21" t="s">
        <v>104</v>
      </c>
      <c r="P2136" s="6" t="s">
        <v>104</v>
      </c>
      <c r="Q2136" s="6" t="s">
        <v>104</v>
      </c>
      <c r="R2136" s="6" t="s">
        <v>104</v>
      </c>
      <c r="S2136" s="6" t="s">
        <v>104</v>
      </c>
      <c r="T2136" s="21" t="s">
        <v>104</v>
      </c>
      <c r="U2136" s="6" t="s">
        <v>104</v>
      </c>
      <c r="V2136" s="6" t="s">
        <v>104</v>
      </c>
      <c r="W2136" s="6" t="s">
        <v>104</v>
      </c>
      <c r="X2136" s="6" t="s">
        <v>104</v>
      </c>
      <c r="Y2136" s="21" t="s">
        <v>104</v>
      </c>
      <c r="Z2136" s="6" t="s">
        <v>104</v>
      </c>
      <c r="AA2136" s="6" t="s">
        <v>104</v>
      </c>
      <c r="AB2136" s="6" t="s">
        <v>104</v>
      </c>
      <c r="AC2136" s="6" t="s">
        <v>9714</v>
      </c>
      <c r="AD2136" s="16" t="n">
        <v>44165</v>
      </c>
      <c r="AE2136" s="6" t="s">
        <v>12382</v>
      </c>
      <c r="AF2136" s="6" t="s">
        <v>104</v>
      </c>
      <c r="AG2136" s="6" t="s">
        <v>104</v>
      </c>
      <c r="AH2136" s="6" t="s">
        <v>15111</v>
      </c>
      <c r="AI2136" s="6" t="s">
        <v>104</v>
      </c>
      <c r="AJ2136" s="6" t="s">
        <v>16616</v>
      </c>
      <c r="AK2136" s="6" t="s">
        <v>16694</v>
      </c>
      <c r="AL2136" s="6" t="s">
        <v>16931</v>
      </c>
      <c r="AM2136" s="6" t="s">
        <v>18375</v>
      </c>
      <c r="AN2136" s="6" t="s">
        <v>18522</v>
      </c>
      <c r="AO2136" s="6" t="s">
        <v>18698</v>
      </c>
      <c r="AP2136" s="6" t="s">
        <v>104</v>
      </c>
      <c r="AQ2136" s="6" t="s">
        <v>104</v>
      </c>
      <c r="AR2136" s="6" t="s">
        <v>104</v>
      </c>
      <c r="AS2136" s="6" t="s">
        <v>104</v>
      </c>
      <c r="AT2136" s="6" t="s">
        <v>104</v>
      </c>
      <c r="AU2136" s="6" t="s">
        <v>104</v>
      </c>
      <c r="AV2136" s="6" t="s">
        <v>104</v>
      </c>
      <c r="AW2136" s="6" t="s">
        <v>104</v>
      </c>
      <c r="AX2136" s="6" t="s">
        <v>21752</v>
      </c>
      <c r="AY2136" s="6" t="s">
        <v>23587</v>
      </c>
      <c r="AZ2136" s="6" t="s">
        <v>104</v>
      </c>
      <c r="BA2136" s="6" t="s">
        <v>24269</v>
      </c>
      <c r="BB2136" s="24" t="n">
        <v>0</v>
      </c>
      <c r="BC2136" s="26"/>
      <c r="BD2136" s="26"/>
      <c r="BE2136" s="26"/>
      <c r="BF2136" s="26"/>
      <c r="BG2136" s="26"/>
      <c r="BH2136" s="26"/>
      <c r="BI2136" s="26"/>
      <c r="BJ2136" s="26"/>
      <c r="BK2136" s="26"/>
      <c r="BL2136" s="26"/>
      <c r="BM2136" s="26"/>
      <c r="BN2136" s="26"/>
      <c r="BO2136" s="26"/>
      <c r="BP2136" s="16" t="n">
        <v>45690</v>
      </c>
      <c r="BQ2136" s="28" t="str">
        <f>HYPERLINK("https://organic.ams.usda.gov/Integrity/Certificate.aspx?cid=24&amp;nopid=7880153697")</f>
        <v>https://organic.ams.usda.gov/Integrity/Certificate.aspx?cid=24&amp;nopid=7880153697</v>
      </c>
    </row>
    <row r="2137">
      <c r="A2137" t="s">
        <v>3</v>
      </c>
      <c r="B2137" s="6" t="s">
        <v>60</v>
      </c>
      <c r="C2137" s="6" t="s">
        <v>126</v>
      </c>
      <c r="D2137" s="6" t="s">
        <v>190</v>
      </c>
      <c r="E2137" s="10" t="s">
        <v>2335</v>
      </c>
      <c r="F2137" s="6" t="s">
        <v>4536</v>
      </c>
      <c r="G2137" s="6" t="s">
        <v>104</v>
      </c>
      <c r="H2137" s="6" t="s">
        <v>6169</v>
      </c>
      <c r="I2137" s="6" t="s">
        <v>7747</v>
      </c>
      <c r="J2137" s="6" t="s">
        <v>9171</v>
      </c>
      <c r="K2137" s="6" t="s">
        <v>9714</v>
      </c>
      <c r="L2137" s="16" t="n">
        <v>45347</v>
      </c>
      <c r="M2137" s="16" t="n">
        <v>46068</v>
      </c>
      <c r="N2137" s="6" t="s">
        <v>104</v>
      </c>
      <c r="O2137" s="21" t="s">
        <v>104</v>
      </c>
      <c r="P2137" s="6" t="s">
        <v>104</v>
      </c>
      <c r="Q2137" s="6" t="s">
        <v>104</v>
      </c>
      <c r="R2137" s="6" t="s">
        <v>104</v>
      </c>
      <c r="S2137" s="6" t="s">
        <v>104</v>
      </c>
      <c r="T2137" s="21" t="s">
        <v>104</v>
      </c>
      <c r="U2137" s="6" t="s">
        <v>104</v>
      </c>
      <c r="V2137" s="6" t="s">
        <v>104</v>
      </c>
      <c r="W2137" s="6" t="s">
        <v>104</v>
      </c>
      <c r="X2137" s="6" t="s">
        <v>104</v>
      </c>
      <c r="Y2137" s="21" t="s">
        <v>104</v>
      </c>
      <c r="Z2137" s="6" t="s">
        <v>104</v>
      </c>
      <c r="AA2137" s="6" t="s">
        <v>104</v>
      </c>
      <c r="AB2137" s="6" t="s">
        <v>104</v>
      </c>
      <c r="AC2137" s="6" t="s">
        <v>9714</v>
      </c>
      <c r="AD2137" s="16" t="n">
        <v>45347</v>
      </c>
      <c r="AE2137" s="6" t="s">
        <v>12383</v>
      </c>
      <c r="AF2137" s="6" t="s">
        <v>104</v>
      </c>
      <c r="AG2137" s="6" t="s">
        <v>13122</v>
      </c>
      <c r="AH2137" s="6" t="s">
        <v>14441</v>
      </c>
      <c r="AI2137" s="6" t="s">
        <v>15306</v>
      </c>
      <c r="AJ2137" s="6" t="s">
        <v>16258</v>
      </c>
      <c r="AK2137" s="6" t="s">
        <v>16370</v>
      </c>
      <c r="AL2137" s="6" t="s">
        <v>16931</v>
      </c>
      <c r="AM2137" s="6" t="s">
        <v>17936</v>
      </c>
      <c r="AN2137" s="6" t="s">
        <v>104</v>
      </c>
      <c r="AO2137" s="6" t="s">
        <v>104</v>
      </c>
      <c r="AP2137" s="6" t="s">
        <v>19330</v>
      </c>
      <c r="AQ2137" s="6" t="s">
        <v>19569</v>
      </c>
      <c r="AR2137" s="6" t="s">
        <v>19727</v>
      </c>
      <c r="AS2137" s="6" t="s">
        <v>15697</v>
      </c>
      <c r="AT2137" s="6" t="s">
        <v>16931</v>
      </c>
      <c r="AU2137" s="6" t="s">
        <v>19985</v>
      </c>
      <c r="AV2137" s="6" t="s">
        <v>104</v>
      </c>
      <c r="AW2137" s="6" t="s">
        <v>104</v>
      </c>
      <c r="AX2137" s="6" t="s">
        <v>21217</v>
      </c>
      <c r="AY2137" s="6" t="s">
        <v>23588</v>
      </c>
      <c r="AZ2137" s="6" t="s">
        <v>104</v>
      </c>
      <c r="BA2137" s="6" t="s">
        <v>104</v>
      </c>
      <c r="BB2137" s="6" t="s">
        <v>104</v>
      </c>
      <c r="BC2137" s="26" t="s">
        <v>24533</v>
      </c>
      <c r="BD2137" s="26"/>
      <c r="BE2137" s="26"/>
      <c r="BF2137" s="26"/>
      <c r="BG2137" s="26" t="s">
        <v>24533</v>
      </c>
      <c r="BH2137" s="26" t="s">
        <v>24533</v>
      </c>
      <c r="BI2137" s="26"/>
      <c r="BJ2137" s="26"/>
      <c r="BK2137" s="26"/>
      <c r="BL2137" s="26"/>
      <c r="BM2137" s="26"/>
      <c r="BN2137" s="26"/>
      <c r="BO2137" s="26"/>
      <c r="BP2137" s="16" t="n">
        <v>45709</v>
      </c>
      <c r="BQ2137" s="28" t="str">
        <f>HYPERLINK("https://organic.ams.usda.gov/Integrity/Certificate.aspx?cid=4&amp;nopid=6240225242")</f>
        <v>https://organic.ams.usda.gov/Integrity/Certificate.aspx?cid=4&amp;nopid=6240225242</v>
      </c>
    </row>
    <row r="2138">
      <c r="A2138" t="s">
        <v>3</v>
      </c>
      <c r="B2138" s="6" t="s">
        <v>6</v>
      </c>
      <c r="C2138" s="6" t="s">
        <v>72</v>
      </c>
      <c r="D2138" s="6" t="s">
        <v>137</v>
      </c>
      <c r="E2138" s="10" t="s">
        <v>2336</v>
      </c>
      <c r="F2138" s="6" t="s">
        <v>4537</v>
      </c>
      <c r="G2138" s="6" t="s">
        <v>104</v>
      </c>
      <c r="H2138" s="6" t="s">
        <v>6804</v>
      </c>
      <c r="I2138" s="6" t="s">
        <v>8071</v>
      </c>
      <c r="J2138" s="6" t="s">
        <v>8479</v>
      </c>
      <c r="K2138" s="6" t="s">
        <v>9714</v>
      </c>
      <c r="L2138" s="16" t="n">
        <v>44785</v>
      </c>
      <c r="M2138" s="16" t="n">
        <v>45772</v>
      </c>
      <c r="N2138" s="6" t="s">
        <v>9714</v>
      </c>
      <c r="O2138" s="16" t="n">
        <v>44785</v>
      </c>
      <c r="P2138" s="6" t="s">
        <v>10257</v>
      </c>
      <c r="Q2138" s="6" t="s">
        <v>104</v>
      </c>
      <c r="R2138" s="6" t="s">
        <v>10450</v>
      </c>
      <c r="S2138" s="6" t="s">
        <v>104</v>
      </c>
      <c r="T2138" s="21" t="s">
        <v>104</v>
      </c>
      <c r="U2138" s="6" t="s">
        <v>104</v>
      </c>
      <c r="V2138" s="6" t="s">
        <v>104</v>
      </c>
      <c r="W2138" s="6" t="s">
        <v>104</v>
      </c>
      <c r="X2138" s="6" t="s">
        <v>104</v>
      </c>
      <c r="Y2138" s="21" t="s">
        <v>104</v>
      </c>
      <c r="Z2138" s="6" t="s">
        <v>104</v>
      </c>
      <c r="AA2138" s="6" t="s">
        <v>104</v>
      </c>
      <c r="AB2138" s="6" t="s">
        <v>104</v>
      </c>
      <c r="AC2138" s="6" t="s">
        <v>9714</v>
      </c>
      <c r="AD2138" s="16" t="n">
        <v>44785</v>
      </c>
      <c r="AE2138" s="6" t="s">
        <v>12384</v>
      </c>
      <c r="AF2138" s="6" t="s">
        <v>104</v>
      </c>
      <c r="AG2138" s="6" t="s">
        <v>10450</v>
      </c>
      <c r="AH2138" s="6" t="s">
        <v>15112</v>
      </c>
      <c r="AI2138" s="6" t="s">
        <v>104</v>
      </c>
      <c r="AJ2138" s="6" t="s">
        <v>16617</v>
      </c>
      <c r="AK2138" s="6" t="s">
        <v>16912</v>
      </c>
      <c r="AL2138" s="6" t="s">
        <v>16930</v>
      </c>
      <c r="AM2138" s="6" t="s">
        <v>18376</v>
      </c>
      <c r="AN2138" s="6" t="s">
        <v>104</v>
      </c>
      <c r="AO2138" s="6" t="s">
        <v>104</v>
      </c>
      <c r="AP2138" s="6" t="s">
        <v>104</v>
      </c>
      <c r="AQ2138" s="6" t="s">
        <v>104</v>
      </c>
      <c r="AR2138" s="6" t="s">
        <v>104</v>
      </c>
      <c r="AS2138" s="6" t="s">
        <v>104</v>
      </c>
      <c r="AT2138" s="6" t="s">
        <v>104</v>
      </c>
      <c r="AU2138" s="6" t="s">
        <v>104</v>
      </c>
      <c r="AV2138" s="6" t="s">
        <v>104</v>
      </c>
      <c r="AW2138" s="6" t="s">
        <v>104</v>
      </c>
      <c r="AX2138" s="6" t="s">
        <v>21753</v>
      </c>
      <c r="AY2138" s="6" t="s">
        <v>23589</v>
      </c>
      <c r="AZ2138" s="6" t="s">
        <v>104</v>
      </c>
      <c r="BA2138" s="6" t="s">
        <v>24258</v>
      </c>
      <c r="BB2138" s="24" t="n">
        <v>5582</v>
      </c>
      <c r="BC2138" s="26"/>
      <c r="BD2138" s="26"/>
      <c r="BE2138" s="26"/>
      <c r="BF2138" s="26"/>
      <c r="BG2138" s="26"/>
      <c r="BH2138" s="26"/>
      <c r="BI2138" s="26"/>
      <c r="BJ2138" s="26"/>
      <c r="BK2138" s="26"/>
      <c r="BL2138" s="26"/>
      <c r="BM2138" s="26"/>
      <c r="BN2138" s="26"/>
      <c r="BO2138" s="26" t="s">
        <v>24533</v>
      </c>
      <c r="BP2138" s="16" t="n">
        <v>45737</v>
      </c>
      <c r="BQ2138" s="28" t="str">
        <f>HYPERLINK("https://organic.ams.usda.gov/Integrity/Certificate.aspx?cid=32&amp;nopid=2230001523")</f>
        <v>https://organic.ams.usda.gov/Integrity/Certificate.aspx?cid=32&amp;nopid=2230001523</v>
      </c>
    </row>
    <row r="2139">
      <c r="A2139" t="s">
        <v>3</v>
      </c>
      <c r="B2139" s="6" t="s">
        <v>6</v>
      </c>
      <c r="C2139" s="6" t="s">
        <v>72</v>
      </c>
      <c r="D2139" s="6" t="s">
        <v>137</v>
      </c>
      <c r="E2139" s="10" t="s">
        <v>2337</v>
      </c>
      <c r="F2139" s="6" t="s">
        <v>4538</v>
      </c>
      <c r="G2139" s="6" t="s">
        <v>104</v>
      </c>
      <c r="H2139" s="6" t="s">
        <v>6805</v>
      </c>
      <c r="I2139" s="6" t="s">
        <v>7002</v>
      </c>
      <c r="J2139" s="6" t="s">
        <v>9637</v>
      </c>
      <c r="K2139" s="6" t="s">
        <v>9714</v>
      </c>
      <c r="L2139" s="16" t="n">
        <v>45624</v>
      </c>
      <c r="M2139" s="16" t="n">
        <v>45926</v>
      </c>
      <c r="N2139" s="6" t="s">
        <v>104</v>
      </c>
      <c r="O2139" s="21" t="s">
        <v>104</v>
      </c>
      <c r="P2139" s="6" t="s">
        <v>104</v>
      </c>
      <c r="Q2139" s="6" t="s">
        <v>104</v>
      </c>
      <c r="R2139" s="6" t="s">
        <v>104</v>
      </c>
      <c r="S2139" s="6" t="s">
        <v>104</v>
      </c>
      <c r="T2139" s="21" t="s">
        <v>104</v>
      </c>
      <c r="U2139" s="6" t="s">
        <v>104</v>
      </c>
      <c r="V2139" s="6" t="s">
        <v>104</v>
      </c>
      <c r="W2139" s="6" t="s">
        <v>104</v>
      </c>
      <c r="X2139" s="6" t="s">
        <v>104</v>
      </c>
      <c r="Y2139" s="21" t="s">
        <v>104</v>
      </c>
      <c r="Z2139" s="6" t="s">
        <v>104</v>
      </c>
      <c r="AA2139" s="6" t="s">
        <v>104</v>
      </c>
      <c r="AB2139" s="6" t="s">
        <v>104</v>
      </c>
      <c r="AC2139" s="6" t="s">
        <v>9714</v>
      </c>
      <c r="AD2139" s="16" t="n">
        <v>45624</v>
      </c>
      <c r="AE2139" s="6" t="s">
        <v>12385</v>
      </c>
      <c r="AF2139" s="6" t="s">
        <v>104</v>
      </c>
      <c r="AG2139" s="6" t="s">
        <v>13123</v>
      </c>
      <c r="AH2139" s="6" t="s">
        <v>15113</v>
      </c>
      <c r="AI2139" s="6" t="s">
        <v>104</v>
      </c>
      <c r="AJ2139" s="6" t="s">
        <v>16618</v>
      </c>
      <c r="AK2139" s="6" t="s">
        <v>16913</v>
      </c>
      <c r="AL2139" s="6" t="s">
        <v>16930</v>
      </c>
      <c r="AM2139" s="6" t="s">
        <v>18377</v>
      </c>
      <c r="AN2139" s="6" t="s">
        <v>104</v>
      </c>
      <c r="AO2139" s="6" t="s">
        <v>104</v>
      </c>
      <c r="AP2139" s="6" t="s">
        <v>104</v>
      </c>
      <c r="AQ2139" s="6" t="s">
        <v>104</v>
      </c>
      <c r="AR2139" s="6" t="s">
        <v>104</v>
      </c>
      <c r="AS2139" s="6" t="s">
        <v>104</v>
      </c>
      <c r="AT2139" s="6" t="s">
        <v>104</v>
      </c>
      <c r="AU2139" s="6" t="s">
        <v>104</v>
      </c>
      <c r="AV2139" s="6" t="s">
        <v>104</v>
      </c>
      <c r="AW2139" s="6" t="s">
        <v>104</v>
      </c>
      <c r="AX2139" s="6" t="s">
        <v>21754</v>
      </c>
      <c r="AY2139" s="6" t="s">
        <v>23589</v>
      </c>
      <c r="AZ2139" s="6" t="s">
        <v>104</v>
      </c>
      <c r="BA2139" s="6" t="s">
        <v>24483</v>
      </c>
      <c r="BB2139" s="6" t="s">
        <v>104</v>
      </c>
      <c r="BC2139" s="26"/>
      <c r="BD2139" s="26"/>
      <c r="BE2139" s="26"/>
      <c r="BF2139" s="26"/>
      <c r="BG2139" s="26"/>
      <c r="BH2139" s="26"/>
      <c r="BI2139" s="26"/>
      <c r="BJ2139" s="26"/>
      <c r="BK2139" s="26"/>
      <c r="BL2139" s="26"/>
      <c r="BM2139" s="26"/>
      <c r="BN2139" s="26"/>
      <c r="BO2139" s="26"/>
      <c r="BP2139" s="16" t="n">
        <v>45737</v>
      </c>
      <c r="BQ2139" s="28" t="str">
        <f>HYPERLINK("https://organic.ams.usda.gov/Integrity/Certificate.aspx?cid=32&amp;nopid=2230011564")</f>
        <v>https://organic.ams.usda.gov/Integrity/Certificate.aspx?cid=32&amp;nopid=2230011564</v>
      </c>
    </row>
    <row r="2140">
      <c r="A2140" t="s">
        <v>3</v>
      </c>
      <c r="B2140" s="6" t="s">
        <v>13</v>
      </c>
      <c r="C2140" s="6" t="s">
        <v>79</v>
      </c>
      <c r="D2140" s="6" t="s">
        <v>144</v>
      </c>
      <c r="E2140" s="10" t="s">
        <v>2338</v>
      </c>
      <c r="F2140" s="6" t="s">
        <v>4539</v>
      </c>
      <c r="G2140" s="6" t="s">
        <v>104</v>
      </c>
      <c r="H2140" s="6" t="s">
        <v>6806</v>
      </c>
      <c r="I2140" s="6" t="s">
        <v>7091</v>
      </c>
      <c r="J2140" s="6" t="s">
        <v>9638</v>
      </c>
      <c r="K2140" s="6" t="s">
        <v>9714</v>
      </c>
      <c r="L2140" s="16" t="n">
        <v>41172</v>
      </c>
      <c r="M2140" s="16" t="n">
        <v>46113</v>
      </c>
      <c r="N2140" s="6" t="s">
        <v>9714</v>
      </c>
      <c r="O2140" s="16" t="n">
        <v>41172</v>
      </c>
      <c r="P2140" s="6" t="s">
        <v>10258</v>
      </c>
      <c r="Q2140" s="6" t="s">
        <v>104</v>
      </c>
      <c r="R2140" s="6" t="s">
        <v>104</v>
      </c>
      <c r="S2140" s="6" t="s">
        <v>104</v>
      </c>
      <c r="T2140" s="21" t="s">
        <v>104</v>
      </c>
      <c r="U2140" s="6" t="s">
        <v>104</v>
      </c>
      <c r="V2140" s="6" t="s">
        <v>104</v>
      </c>
      <c r="W2140" s="6" t="s">
        <v>104</v>
      </c>
      <c r="X2140" s="6" t="s">
        <v>104</v>
      </c>
      <c r="Y2140" s="21" t="s">
        <v>104</v>
      </c>
      <c r="Z2140" s="6" t="s">
        <v>104</v>
      </c>
      <c r="AA2140" s="6" t="s">
        <v>104</v>
      </c>
      <c r="AB2140" s="6" t="s">
        <v>104</v>
      </c>
      <c r="AC2140" s="6" t="s">
        <v>104</v>
      </c>
      <c r="AD2140" s="21" t="s">
        <v>104</v>
      </c>
      <c r="AE2140" s="6" t="s">
        <v>104</v>
      </c>
      <c r="AF2140" s="6" t="s">
        <v>104</v>
      </c>
      <c r="AG2140" s="6" t="s">
        <v>104</v>
      </c>
      <c r="AH2140" s="6" t="s">
        <v>104</v>
      </c>
      <c r="AI2140" s="6" t="s">
        <v>104</v>
      </c>
      <c r="AJ2140" s="6" t="s">
        <v>104</v>
      </c>
      <c r="AK2140" s="6" t="s">
        <v>104</v>
      </c>
      <c r="AL2140" s="6" t="s">
        <v>104</v>
      </c>
      <c r="AM2140" s="6" t="s">
        <v>104</v>
      </c>
      <c r="AN2140" s="6" t="s">
        <v>104</v>
      </c>
      <c r="AO2140" s="6" t="s">
        <v>104</v>
      </c>
      <c r="AP2140" s="6" t="s">
        <v>19519</v>
      </c>
      <c r="AQ2140" s="6" t="s">
        <v>104</v>
      </c>
      <c r="AR2140" s="6" t="s">
        <v>19784</v>
      </c>
      <c r="AS2140" s="6" t="s">
        <v>16827</v>
      </c>
      <c r="AT2140" s="6" t="s">
        <v>16931</v>
      </c>
      <c r="AU2140" s="6" t="s">
        <v>20067</v>
      </c>
      <c r="AV2140" s="6" t="s">
        <v>18455</v>
      </c>
      <c r="AW2140" s="6" t="s">
        <v>18624</v>
      </c>
      <c r="AX2140" s="6" t="s">
        <v>21755</v>
      </c>
      <c r="AY2140" s="6" t="s">
        <v>23590</v>
      </c>
      <c r="AZ2140" s="6" t="s">
        <v>24233</v>
      </c>
      <c r="BA2140" s="6" t="s">
        <v>104</v>
      </c>
      <c r="BB2140" s="24" t="n">
        <v>14</v>
      </c>
      <c r="BC2140" s="26"/>
      <c r="BD2140" s="26" t="s">
        <v>24533</v>
      </c>
      <c r="BE2140" s="26"/>
      <c r="BF2140" s="26"/>
      <c r="BG2140" s="26"/>
      <c r="BH2140" s="26"/>
      <c r="BI2140" s="26"/>
      <c r="BJ2140" s="26"/>
      <c r="BK2140" s="26"/>
      <c r="BL2140" s="26"/>
      <c r="BM2140" s="26"/>
      <c r="BN2140" s="26"/>
      <c r="BO2140" s="26"/>
      <c r="BP2140" s="16" t="n">
        <v>45729</v>
      </c>
      <c r="BQ2140" s="28" t="str">
        <f>HYPERLINK("https://organic.ams.usda.gov/Integrity/Certificate.aspx?cid=62&amp;nopid=8150000569")</f>
        <v>https://organic.ams.usda.gov/Integrity/Certificate.aspx?cid=62&amp;nopid=8150000569</v>
      </c>
    </row>
    <row r="2141">
      <c r="A2141" t="s">
        <v>3</v>
      </c>
      <c r="B2141" s="6" t="s">
        <v>20</v>
      </c>
      <c r="C2141" s="6" t="s">
        <v>86</v>
      </c>
      <c r="D2141" s="6" t="s">
        <v>151</v>
      </c>
      <c r="E2141" s="10" t="s">
        <v>2339</v>
      </c>
      <c r="F2141" s="6" t="s">
        <v>4540</v>
      </c>
      <c r="G2141" s="6" t="s">
        <v>104</v>
      </c>
      <c r="H2141" s="6" t="s">
        <v>6807</v>
      </c>
      <c r="I2141" s="6" t="s">
        <v>8013</v>
      </c>
      <c r="J2141" s="6" t="s">
        <v>9529</v>
      </c>
      <c r="K2141" s="6" t="s">
        <v>9714</v>
      </c>
      <c r="L2141" s="16" t="n">
        <v>44285</v>
      </c>
      <c r="M2141" s="16" t="n">
        <v>45657</v>
      </c>
      <c r="N2141" s="6" t="s">
        <v>9714</v>
      </c>
      <c r="O2141" s="16" t="n">
        <v>44285</v>
      </c>
      <c r="P2141" s="6" t="s">
        <v>10259</v>
      </c>
      <c r="Q2141" s="6" t="s">
        <v>104</v>
      </c>
      <c r="R2141" s="6" t="s">
        <v>10451</v>
      </c>
      <c r="S2141" s="6" t="s">
        <v>104</v>
      </c>
      <c r="T2141" s="21" t="s">
        <v>104</v>
      </c>
      <c r="U2141" s="6" t="s">
        <v>104</v>
      </c>
      <c r="V2141" s="6" t="s">
        <v>104</v>
      </c>
      <c r="W2141" s="6" t="s">
        <v>104</v>
      </c>
      <c r="X2141" s="6" t="s">
        <v>104</v>
      </c>
      <c r="Y2141" s="21" t="s">
        <v>104</v>
      </c>
      <c r="Z2141" s="6" t="s">
        <v>104</v>
      </c>
      <c r="AA2141" s="6" t="s">
        <v>104</v>
      </c>
      <c r="AB2141" s="6" t="s">
        <v>104</v>
      </c>
      <c r="AC2141" s="6" t="s">
        <v>9714</v>
      </c>
      <c r="AD2141" s="16" t="n">
        <v>44285</v>
      </c>
      <c r="AE2141" s="6" t="s">
        <v>12386</v>
      </c>
      <c r="AF2141" s="6" t="s">
        <v>104</v>
      </c>
      <c r="AG2141" s="6" t="s">
        <v>10451</v>
      </c>
      <c r="AH2141" s="6" t="s">
        <v>15114</v>
      </c>
      <c r="AI2141" s="6" t="s">
        <v>104</v>
      </c>
      <c r="AJ2141" s="6" t="s">
        <v>16619</v>
      </c>
      <c r="AK2141" s="6" t="s">
        <v>16900</v>
      </c>
      <c r="AL2141" s="6" t="s">
        <v>15513</v>
      </c>
      <c r="AM2141" s="6" t="s">
        <v>18378</v>
      </c>
      <c r="AN2141" s="6" t="s">
        <v>104</v>
      </c>
      <c r="AO2141" s="6" t="s">
        <v>104</v>
      </c>
      <c r="AP2141" s="6" t="s">
        <v>104</v>
      </c>
      <c r="AQ2141" s="6" t="s">
        <v>104</v>
      </c>
      <c r="AR2141" s="6" t="s">
        <v>104</v>
      </c>
      <c r="AS2141" s="6" t="s">
        <v>104</v>
      </c>
      <c r="AT2141" s="6" t="s">
        <v>104</v>
      </c>
      <c r="AU2141" s="6" t="s">
        <v>104</v>
      </c>
      <c r="AV2141" s="6" t="s">
        <v>104</v>
      </c>
      <c r="AW2141" s="6" t="s">
        <v>104</v>
      </c>
      <c r="AX2141" s="6" t="s">
        <v>21756</v>
      </c>
      <c r="AY2141" s="6" t="s">
        <v>23591</v>
      </c>
      <c r="AZ2141" s="6" t="s">
        <v>104</v>
      </c>
      <c r="BA2141" s="6" t="s">
        <v>104</v>
      </c>
      <c r="BB2141" s="24" t="n">
        <v>68</v>
      </c>
      <c r="BC2141" s="26"/>
      <c r="BD2141" s="26"/>
      <c r="BE2141" s="26"/>
      <c r="BF2141" s="26"/>
      <c r="BG2141" s="26"/>
      <c r="BH2141" s="26"/>
      <c r="BI2141" s="26"/>
      <c r="BJ2141" s="26"/>
      <c r="BK2141" s="26"/>
      <c r="BL2141" s="26"/>
      <c r="BM2141" s="26"/>
      <c r="BN2141" s="26"/>
      <c r="BO2141" s="26" t="s">
        <v>24533</v>
      </c>
      <c r="BP2141" s="16" t="n">
        <v>45706</v>
      </c>
      <c r="BQ2141" s="28" t="str">
        <f>HYPERLINK("https://organic.ams.usda.gov/Integrity/Certificate.aspx?cid=17&amp;nopid=4081096210")</f>
        <v>https://organic.ams.usda.gov/Integrity/Certificate.aspx?cid=17&amp;nopid=4081096210</v>
      </c>
    </row>
    <row r="2142">
      <c r="A2142" t="s">
        <v>3</v>
      </c>
      <c r="B2142" s="6" t="s">
        <v>11</v>
      </c>
      <c r="C2142" s="6" t="s">
        <v>77</v>
      </c>
      <c r="D2142" s="6" t="s">
        <v>142</v>
      </c>
      <c r="E2142" s="10" t="s">
        <v>2340</v>
      </c>
      <c r="F2142" s="6" t="s">
        <v>4541</v>
      </c>
      <c r="G2142" s="6" t="s">
        <v>104</v>
      </c>
      <c r="H2142" s="6" t="s">
        <v>6808</v>
      </c>
      <c r="I2142" s="6" t="s">
        <v>8072</v>
      </c>
      <c r="J2142" s="6" t="s">
        <v>9461</v>
      </c>
      <c r="K2142" s="6" t="s">
        <v>9714</v>
      </c>
      <c r="L2142" s="16" t="n">
        <v>45399</v>
      </c>
      <c r="M2142" s="16" t="n">
        <v>45728</v>
      </c>
      <c r="N2142" s="6" t="s">
        <v>104</v>
      </c>
      <c r="O2142" s="21" t="s">
        <v>104</v>
      </c>
      <c r="P2142" s="6" t="s">
        <v>104</v>
      </c>
      <c r="Q2142" s="6" t="s">
        <v>104</v>
      </c>
      <c r="R2142" s="6" t="s">
        <v>104</v>
      </c>
      <c r="S2142" s="6" t="s">
        <v>104</v>
      </c>
      <c r="T2142" s="21" t="s">
        <v>104</v>
      </c>
      <c r="U2142" s="6" t="s">
        <v>104</v>
      </c>
      <c r="V2142" s="6" t="s">
        <v>104</v>
      </c>
      <c r="W2142" s="6" t="s">
        <v>104</v>
      </c>
      <c r="X2142" s="6" t="s">
        <v>104</v>
      </c>
      <c r="Y2142" s="21" t="s">
        <v>104</v>
      </c>
      <c r="Z2142" s="6" t="s">
        <v>104</v>
      </c>
      <c r="AA2142" s="6" t="s">
        <v>104</v>
      </c>
      <c r="AB2142" s="6" t="s">
        <v>104</v>
      </c>
      <c r="AC2142" s="6" t="s">
        <v>9714</v>
      </c>
      <c r="AD2142" s="16" t="n">
        <v>45399</v>
      </c>
      <c r="AE2142" s="6" t="s">
        <v>12387</v>
      </c>
      <c r="AF2142" s="6" t="s">
        <v>104</v>
      </c>
      <c r="AG2142" s="6" t="s">
        <v>13124</v>
      </c>
      <c r="AH2142" s="6" t="s">
        <v>15115</v>
      </c>
      <c r="AI2142" s="6" t="s">
        <v>104</v>
      </c>
      <c r="AJ2142" s="6" t="s">
        <v>16620</v>
      </c>
      <c r="AK2142" s="6" t="s">
        <v>16914</v>
      </c>
      <c r="AL2142" s="6" t="s">
        <v>16932</v>
      </c>
      <c r="AM2142" s="6" t="s">
        <v>17046</v>
      </c>
      <c r="AN2142" s="6" t="s">
        <v>104</v>
      </c>
      <c r="AO2142" s="6" t="s">
        <v>104</v>
      </c>
      <c r="AP2142" s="6" t="s">
        <v>15115</v>
      </c>
      <c r="AQ2142" s="6" t="s">
        <v>104</v>
      </c>
      <c r="AR2142" s="6" t="s">
        <v>16620</v>
      </c>
      <c r="AS2142" s="6" t="s">
        <v>16914</v>
      </c>
      <c r="AT2142" s="6" t="s">
        <v>16932</v>
      </c>
      <c r="AU2142" s="6" t="s">
        <v>17046</v>
      </c>
      <c r="AV2142" s="6" t="s">
        <v>104</v>
      </c>
      <c r="AW2142" s="6" t="s">
        <v>104</v>
      </c>
      <c r="AX2142" s="6" t="s">
        <v>21757</v>
      </c>
      <c r="AY2142" s="6" t="s">
        <v>23592</v>
      </c>
      <c r="AZ2142" s="6" t="s">
        <v>104</v>
      </c>
      <c r="BA2142" s="6" t="s">
        <v>104</v>
      </c>
      <c r="BB2142" s="6" t="s">
        <v>104</v>
      </c>
      <c r="BC2142" s="26"/>
      <c r="BD2142" s="26"/>
      <c r="BE2142" s="26"/>
      <c r="BF2142" s="26"/>
      <c r="BG2142" s="26"/>
      <c r="BH2142" s="26"/>
      <c r="BI2142" s="26"/>
      <c r="BJ2142" s="26"/>
      <c r="BK2142" s="26"/>
      <c r="BL2142" s="26"/>
      <c r="BM2142" s="26"/>
      <c r="BN2142" s="26"/>
      <c r="BO2142" s="26"/>
      <c r="BP2142" s="16" t="n">
        <v>45691</v>
      </c>
      <c r="BQ2142" s="28" t="str">
        <f>HYPERLINK("https://organic.ams.usda.gov/Integrity/Certificate.aspx?cid=21&amp;nopid=1780901569")</f>
        <v>https://organic.ams.usda.gov/Integrity/Certificate.aspx?cid=21&amp;nopid=1780901569</v>
      </c>
    </row>
    <row r="2143">
      <c r="A2143" t="s">
        <v>3</v>
      </c>
      <c r="B2143" s="6" t="s">
        <v>14</v>
      </c>
      <c r="C2143" s="6" t="s">
        <v>80</v>
      </c>
      <c r="D2143" s="6" t="s">
        <v>145</v>
      </c>
      <c r="E2143" s="10" t="s">
        <v>2341</v>
      </c>
      <c r="F2143" s="6" t="s">
        <v>4542</v>
      </c>
      <c r="G2143" s="6" t="s">
        <v>104</v>
      </c>
      <c r="H2143" s="6" t="s">
        <v>6809</v>
      </c>
      <c r="I2143" s="6" t="s">
        <v>8073</v>
      </c>
      <c r="J2143" s="6" t="s">
        <v>9639</v>
      </c>
      <c r="K2143" s="6" t="s">
        <v>9714</v>
      </c>
      <c r="L2143" s="16" t="n">
        <v>44347</v>
      </c>
      <c r="M2143" s="16" t="n">
        <v>45644</v>
      </c>
      <c r="N2143" s="6" t="s">
        <v>104</v>
      </c>
      <c r="O2143" s="21" t="s">
        <v>104</v>
      </c>
      <c r="P2143" s="6" t="s">
        <v>104</v>
      </c>
      <c r="Q2143" s="6" t="s">
        <v>104</v>
      </c>
      <c r="R2143" s="6" t="s">
        <v>104</v>
      </c>
      <c r="S2143" s="6" t="s">
        <v>104</v>
      </c>
      <c r="T2143" s="21" t="s">
        <v>104</v>
      </c>
      <c r="U2143" s="6" t="s">
        <v>104</v>
      </c>
      <c r="V2143" s="6" t="s">
        <v>104</v>
      </c>
      <c r="W2143" s="6" t="s">
        <v>104</v>
      </c>
      <c r="X2143" s="6" t="s">
        <v>104</v>
      </c>
      <c r="Y2143" s="21" t="s">
        <v>104</v>
      </c>
      <c r="Z2143" s="6" t="s">
        <v>104</v>
      </c>
      <c r="AA2143" s="6" t="s">
        <v>104</v>
      </c>
      <c r="AB2143" s="6" t="s">
        <v>104</v>
      </c>
      <c r="AC2143" s="6" t="s">
        <v>9714</v>
      </c>
      <c r="AD2143" s="16" t="n">
        <v>44347</v>
      </c>
      <c r="AE2143" s="6" t="s">
        <v>12388</v>
      </c>
      <c r="AF2143" s="6" t="s">
        <v>104</v>
      </c>
      <c r="AG2143" s="6" t="s">
        <v>104</v>
      </c>
      <c r="AH2143" s="6" t="s">
        <v>15116</v>
      </c>
      <c r="AI2143" s="6" t="s">
        <v>104</v>
      </c>
      <c r="AJ2143" s="6" t="s">
        <v>15396</v>
      </c>
      <c r="AK2143" s="6" t="s">
        <v>16697</v>
      </c>
      <c r="AL2143" s="6" t="s">
        <v>16932</v>
      </c>
      <c r="AM2143" s="6" t="s">
        <v>18379</v>
      </c>
      <c r="AN2143" s="6" t="s">
        <v>104</v>
      </c>
      <c r="AO2143" s="6" t="s">
        <v>104</v>
      </c>
      <c r="AP2143" s="6" t="s">
        <v>104</v>
      </c>
      <c r="AQ2143" s="6" t="s">
        <v>104</v>
      </c>
      <c r="AR2143" s="6" t="s">
        <v>104</v>
      </c>
      <c r="AS2143" s="6" t="s">
        <v>104</v>
      </c>
      <c r="AT2143" s="6" t="s">
        <v>104</v>
      </c>
      <c r="AU2143" s="6" t="s">
        <v>104</v>
      </c>
      <c r="AV2143" s="6" t="s">
        <v>104</v>
      </c>
      <c r="AW2143" s="6" t="s">
        <v>104</v>
      </c>
      <c r="AX2143" s="6" t="s">
        <v>21758</v>
      </c>
      <c r="AY2143" s="6" t="s">
        <v>23593</v>
      </c>
      <c r="AZ2143" s="6" t="s">
        <v>104</v>
      </c>
      <c r="BA2143" s="6" t="s">
        <v>24413</v>
      </c>
      <c r="BB2143" s="6" t="s">
        <v>104</v>
      </c>
      <c r="BC2143" s="26"/>
      <c r="BD2143" s="26"/>
      <c r="BE2143" s="26"/>
      <c r="BF2143" s="26"/>
      <c r="BG2143" s="26"/>
      <c r="BH2143" s="26"/>
      <c r="BI2143" s="26"/>
      <c r="BJ2143" s="26"/>
      <c r="BK2143" s="26"/>
      <c r="BL2143" s="26"/>
      <c r="BM2143" s="26"/>
      <c r="BN2143" s="26"/>
      <c r="BO2143" s="26"/>
      <c r="BP2143" s="16" t="n">
        <v>45547</v>
      </c>
      <c r="BQ2143" s="28" t="str">
        <f>HYPERLINK("https://organic.ams.usda.gov/Integrity/Certificate.aspx?cid=89&amp;nopid=4920004280")</f>
        <v>https://organic.ams.usda.gov/Integrity/Certificate.aspx?cid=89&amp;nopid=4920004280</v>
      </c>
    </row>
    <row r="2144">
      <c r="A2144" t="s">
        <v>3</v>
      </c>
      <c r="B2144" s="6" t="s">
        <v>21</v>
      </c>
      <c r="C2144" s="6" t="s">
        <v>87</v>
      </c>
      <c r="D2144" s="6" t="s">
        <v>152</v>
      </c>
      <c r="E2144" s="10" t="s">
        <v>2342</v>
      </c>
      <c r="F2144" s="6" t="s">
        <v>4543</v>
      </c>
      <c r="G2144" s="6" t="s">
        <v>104</v>
      </c>
      <c r="H2144" s="6" t="s">
        <v>6810</v>
      </c>
      <c r="I2144" s="6" t="s">
        <v>8074</v>
      </c>
      <c r="J2144" s="6" t="s">
        <v>9640</v>
      </c>
      <c r="K2144" s="6" t="s">
        <v>9714</v>
      </c>
      <c r="L2144" s="16" t="n">
        <v>42940</v>
      </c>
      <c r="M2144" s="16" t="n">
        <v>46023</v>
      </c>
      <c r="N2144" s="6" t="s">
        <v>104</v>
      </c>
      <c r="O2144" s="21" t="s">
        <v>104</v>
      </c>
      <c r="P2144" s="6" t="s">
        <v>104</v>
      </c>
      <c r="Q2144" s="6" t="s">
        <v>104</v>
      </c>
      <c r="R2144" s="6" t="s">
        <v>104</v>
      </c>
      <c r="S2144" s="6" t="s">
        <v>104</v>
      </c>
      <c r="T2144" s="21" t="s">
        <v>104</v>
      </c>
      <c r="U2144" s="6" t="s">
        <v>104</v>
      </c>
      <c r="V2144" s="6" t="s">
        <v>104</v>
      </c>
      <c r="W2144" s="6" t="s">
        <v>104</v>
      </c>
      <c r="X2144" s="6" t="s">
        <v>104</v>
      </c>
      <c r="Y2144" s="21" t="s">
        <v>104</v>
      </c>
      <c r="Z2144" s="6" t="s">
        <v>104</v>
      </c>
      <c r="AA2144" s="6" t="s">
        <v>104</v>
      </c>
      <c r="AB2144" s="6" t="s">
        <v>104</v>
      </c>
      <c r="AC2144" s="6" t="s">
        <v>9714</v>
      </c>
      <c r="AD2144" s="16" t="n">
        <v>42940</v>
      </c>
      <c r="AE2144" s="6" t="s">
        <v>12389</v>
      </c>
      <c r="AF2144" s="6" t="s">
        <v>104</v>
      </c>
      <c r="AG2144" s="6" t="s">
        <v>104</v>
      </c>
      <c r="AH2144" s="6" t="s">
        <v>15117</v>
      </c>
      <c r="AI2144" s="6" t="s">
        <v>104</v>
      </c>
      <c r="AJ2144" s="6" t="s">
        <v>15928</v>
      </c>
      <c r="AK2144" s="6" t="s">
        <v>16687</v>
      </c>
      <c r="AL2144" s="6" t="s">
        <v>16931</v>
      </c>
      <c r="AM2144" s="6" t="s">
        <v>18380</v>
      </c>
      <c r="AN2144" s="6" t="s">
        <v>18487</v>
      </c>
      <c r="AO2144" s="6" t="s">
        <v>18601</v>
      </c>
      <c r="AP2144" s="6" t="s">
        <v>19520</v>
      </c>
      <c r="AQ2144" s="6" t="s">
        <v>104</v>
      </c>
      <c r="AR2144" s="6" t="s">
        <v>15928</v>
      </c>
      <c r="AS2144" s="6" t="s">
        <v>16687</v>
      </c>
      <c r="AT2144" s="6" t="s">
        <v>16931</v>
      </c>
      <c r="AU2144" s="6" t="s">
        <v>20068</v>
      </c>
      <c r="AV2144" s="6" t="s">
        <v>104</v>
      </c>
      <c r="AW2144" s="6" t="s">
        <v>104</v>
      </c>
      <c r="AX2144" s="6" t="s">
        <v>21759</v>
      </c>
      <c r="AY2144" s="6" t="s">
        <v>23594</v>
      </c>
      <c r="AZ2144" s="6" t="s">
        <v>104</v>
      </c>
      <c r="BA2144" s="6" t="s">
        <v>104</v>
      </c>
      <c r="BB2144" s="6" t="s">
        <v>104</v>
      </c>
      <c r="BC2144" s="26"/>
      <c r="BD2144" s="26"/>
      <c r="BE2144" s="26"/>
      <c r="BF2144" s="26"/>
      <c r="BG2144" s="26"/>
      <c r="BH2144" s="26"/>
      <c r="BI2144" s="26"/>
      <c r="BJ2144" s="26"/>
      <c r="BK2144" s="26"/>
      <c r="BL2144" s="26"/>
      <c r="BM2144" s="26"/>
      <c r="BN2144" s="26"/>
      <c r="BO2144" s="26"/>
      <c r="BP2144" s="16" t="n">
        <v>45667</v>
      </c>
      <c r="BQ2144" s="28" t="str">
        <f>HYPERLINK("https://organic.ams.usda.gov/Integrity/Certificate.aspx?cid=15&amp;nopid=5561004595")</f>
        <v>https://organic.ams.usda.gov/Integrity/Certificate.aspx?cid=15&amp;nopid=5561004595</v>
      </c>
    </row>
    <row r="2145">
      <c r="A2145" t="s">
        <v>3</v>
      </c>
      <c r="B2145" s="6" t="s">
        <v>22</v>
      </c>
      <c r="C2145" s="6" t="s">
        <v>88</v>
      </c>
      <c r="D2145" s="6" t="s">
        <v>153</v>
      </c>
      <c r="E2145" s="10" t="s">
        <v>2343</v>
      </c>
      <c r="F2145" s="6" t="s">
        <v>4544</v>
      </c>
      <c r="G2145" s="6" t="s">
        <v>104</v>
      </c>
      <c r="H2145" s="6" t="s">
        <v>6811</v>
      </c>
      <c r="I2145" s="6" t="s">
        <v>8075</v>
      </c>
      <c r="J2145" s="6" t="s">
        <v>9641</v>
      </c>
      <c r="K2145" s="6" t="s">
        <v>9714</v>
      </c>
      <c r="L2145" s="16" t="n">
        <v>43107</v>
      </c>
      <c r="M2145" s="16" t="n">
        <v>45731</v>
      </c>
      <c r="N2145" s="6" t="s">
        <v>104</v>
      </c>
      <c r="O2145" s="21" t="s">
        <v>104</v>
      </c>
      <c r="P2145" s="6" t="s">
        <v>104</v>
      </c>
      <c r="Q2145" s="6" t="s">
        <v>104</v>
      </c>
      <c r="R2145" s="6" t="s">
        <v>104</v>
      </c>
      <c r="S2145" s="6" t="s">
        <v>104</v>
      </c>
      <c r="T2145" s="21" t="s">
        <v>104</v>
      </c>
      <c r="U2145" s="6" t="s">
        <v>104</v>
      </c>
      <c r="V2145" s="6" t="s">
        <v>104</v>
      </c>
      <c r="W2145" s="6" t="s">
        <v>104</v>
      </c>
      <c r="X2145" s="6" t="s">
        <v>104</v>
      </c>
      <c r="Y2145" s="21" t="s">
        <v>104</v>
      </c>
      <c r="Z2145" s="6" t="s">
        <v>104</v>
      </c>
      <c r="AA2145" s="6" t="s">
        <v>104</v>
      </c>
      <c r="AB2145" s="6" t="s">
        <v>104</v>
      </c>
      <c r="AC2145" s="6" t="s">
        <v>9714</v>
      </c>
      <c r="AD2145" s="16" t="n">
        <v>43107</v>
      </c>
      <c r="AE2145" s="6" t="s">
        <v>12390</v>
      </c>
      <c r="AF2145" s="6" t="s">
        <v>104</v>
      </c>
      <c r="AG2145" s="6" t="s">
        <v>13125</v>
      </c>
      <c r="AH2145" s="6" t="s">
        <v>15118</v>
      </c>
      <c r="AI2145" s="6" t="s">
        <v>15348</v>
      </c>
      <c r="AJ2145" s="6" t="s">
        <v>16621</v>
      </c>
      <c r="AK2145" s="6" t="s">
        <v>16915</v>
      </c>
      <c r="AL2145" s="6" t="s">
        <v>16963</v>
      </c>
      <c r="AM2145" s="6" t="s">
        <v>104</v>
      </c>
      <c r="AN2145" s="6" t="s">
        <v>104</v>
      </c>
      <c r="AO2145" s="6" t="s">
        <v>104</v>
      </c>
      <c r="AP2145" s="6" t="s">
        <v>15118</v>
      </c>
      <c r="AQ2145" s="6" t="s">
        <v>15348</v>
      </c>
      <c r="AR2145" s="6" t="s">
        <v>16621</v>
      </c>
      <c r="AS2145" s="6" t="s">
        <v>16915</v>
      </c>
      <c r="AT2145" s="6" t="s">
        <v>16963</v>
      </c>
      <c r="AU2145" s="6" t="s">
        <v>104</v>
      </c>
      <c r="AV2145" s="6" t="s">
        <v>104</v>
      </c>
      <c r="AW2145" s="6" t="s">
        <v>104</v>
      </c>
      <c r="AX2145" s="6" t="s">
        <v>21760</v>
      </c>
      <c r="AY2145" s="6" t="s">
        <v>23595</v>
      </c>
      <c r="AZ2145" s="6" t="s">
        <v>104</v>
      </c>
      <c r="BA2145" s="6" t="s">
        <v>104</v>
      </c>
      <c r="BB2145" s="6" t="s">
        <v>104</v>
      </c>
      <c r="BC2145" s="26"/>
      <c r="BD2145" s="26"/>
      <c r="BE2145" s="26"/>
      <c r="BF2145" s="26"/>
      <c r="BG2145" s="26"/>
      <c r="BH2145" s="26"/>
      <c r="BI2145" s="26"/>
      <c r="BJ2145" s="26"/>
      <c r="BK2145" s="26"/>
      <c r="BL2145" s="26"/>
      <c r="BM2145" s="26"/>
      <c r="BN2145" s="26"/>
      <c r="BO2145" s="26"/>
      <c r="BP2145" s="16" t="n">
        <v>45730</v>
      </c>
      <c r="BQ2145" s="28" t="str">
        <f>HYPERLINK("https://organic.ams.usda.gov/Integrity/Certificate.aspx?cid=72&amp;nopid=5870002051")</f>
        <v>https://organic.ams.usda.gov/Integrity/Certificate.aspx?cid=72&amp;nopid=5870002051</v>
      </c>
    </row>
    <row r="2146">
      <c r="A2146" t="s">
        <v>3</v>
      </c>
      <c r="B2146" s="6" t="s">
        <v>57</v>
      </c>
      <c r="C2146" s="6" t="s">
        <v>123</v>
      </c>
      <c r="D2146" s="6" t="s">
        <v>187</v>
      </c>
      <c r="E2146" s="10" t="s">
        <v>2344</v>
      </c>
      <c r="F2146" s="6" t="s">
        <v>4545</v>
      </c>
      <c r="G2146" s="6" t="s">
        <v>4882</v>
      </c>
      <c r="H2146" s="6" t="s">
        <v>6812</v>
      </c>
      <c r="I2146" s="6" t="s">
        <v>8076</v>
      </c>
      <c r="J2146" s="6" t="s">
        <v>9642</v>
      </c>
      <c r="K2146" s="6" t="s">
        <v>9714</v>
      </c>
      <c r="L2146" s="16" t="n">
        <v>45428</v>
      </c>
      <c r="M2146" s="16" t="n">
        <v>45809</v>
      </c>
      <c r="N2146" s="6" t="s">
        <v>104</v>
      </c>
      <c r="O2146" s="21" t="s">
        <v>104</v>
      </c>
      <c r="P2146" s="6" t="s">
        <v>104</v>
      </c>
      <c r="Q2146" s="6" t="s">
        <v>104</v>
      </c>
      <c r="R2146" s="6" t="s">
        <v>104</v>
      </c>
      <c r="S2146" s="6" t="s">
        <v>104</v>
      </c>
      <c r="T2146" s="21" t="s">
        <v>104</v>
      </c>
      <c r="U2146" s="6" t="s">
        <v>104</v>
      </c>
      <c r="V2146" s="6" t="s">
        <v>104</v>
      </c>
      <c r="W2146" s="6" t="s">
        <v>104</v>
      </c>
      <c r="X2146" s="6" t="s">
        <v>104</v>
      </c>
      <c r="Y2146" s="21" t="s">
        <v>104</v>
      </c>
      <c r="Z2146" s="6" t="s">
        <v>104</v>
      </c>
      <c r="AA2146" s="6" t="s">
        <v>104</v>
      </c>
      <c r="AB2146" s="6" t="s">
        <v>104</v>
      </c>
      <c r="AC2146" s="6" t="s">
        <v>9714</v>
      </c>
      <c r="AD2146" s="16" t="n">
        <v>45428</v>
      </c>
      <c r="AE2146" s="6" t="s">
        <v>12391</v>
      </c>
      <c r="AF2146" s="6" t="s">
        <v>104</v>
      </c>
      <c r="AG2146" s="6" t="s">
        <v>104</v>
      </c>
      <c r="AH2146" s="6" t="s">
        <v>15119</v>
      </c>
      <c r="AI2146" s="6" t="s">
        <v>104</v>
      </c>
      <c r="AJ2146" s="6" t="s">
        <v>15655</v>
      </c>
      <c r="AK2146" s="6" t="s">
        <v>16730</v>
      </c>
      <c r="AL2146" s="6" t="s">
        <v>16931</v>
      </c>
      <c r="AM2146" s="6" t="s">
        <v>17272</v>
      </c>
      <c r="AN2146" s="6" t="s">
        <v>104</v>
      </c>
      <c r="AO2146" s="6" t="s">
        <v>104</v>
      </c>
      <c r="AP2146" s="6" t="s">
        <v>19521</v>
      </c>
      <c r="AQ2146" s="6" t="s">
        <v>104</v>
      </c>
      <c r="AR2146" s="6" t="s">
        <v>15655</v>
      </c>
      <c r="AS2146" s="6" t="s">
        <v>16730</v>
      </c>
      <c r="AT2146" s="6" t="s">
        <v>16931</v>
      </c>
      <c r="AU2146" s="6" t="s">
        <v>17272</v>
      </c>
      <c r="AV2146" s="6" t="s">
        <v>104</v>
      </c>
      <c r="AW2146" s="6" t="s">
        <v>104</v>
      </c>
      <c r="AX2146" s="6" t="s">
        <v>21761</v>
      </c>
      <c r="AY2146" s="6" t="s">
        <v>23596</v>
      </c>
      <c r="AZ2146" s="6" t="s">
        <v>104</v>
      </c>
      <c r="BA2146" s="6" t="s">
        <v>104</v>
      </c>
      <c r="BB2146" s="6" t="s">
        <v>104</v>
      </c>
      <c r="BC2146" s="26"/>
      <c r="BD2146" s="26"/>
      <c r="BE2146" s="26"/>
      <c r="BF2146" s="26"/>
      <c r="BG2146" s="26"/>
      <c r="BH2146" s="26"/>
      <c r="BI2146" s="26"/>
      <c r="BJ2146" s="26"/>
      <c r="BK2146" s="26"/>
      <c r="BL2146" s="26"/>
      <c r="BM2146" s="26"/>
      <c r="BN2146" s="26"/>
      <c r="BO2146" s="26"/>
      <c r="BP2146" s="16" t="n">
        <v>45735</v>
      </c>
      <c r="BQ2146" s="28" t="str">
        <f>HYPERLINK("https://organic.ams.usda.gov/Integrity/Certificate.aspx?cid=19&amp;nopid=6350000625")</f>
        <v>https://organic.ams.usda.gov/Integrity/Certificate.aspx?cid=19&amp;nopid=6350000625</v>
      </c>
    </row>
    <row r="2147">
      <c r="A2147" t="s">
        <v>3</v>
      </c>
      <c r="B2147" s="6" t="s">
        <v>21</v>
      </c>
      <c r="C2147" s="6" t="s">
        <v>87</v>
      </c>
      <c r="D2147" s="6" t="s">
        <v>152</v>
      </c>
      <c r="E2147" s="10" t="s">
        <v>2345</v>
      </c>
      <c r="F2147" s="6" t="s">
        <v>4546</v>
      </c>
      <c r="G2147" s="6" t="s">
        <v>104</v>
      </c>
      <c r="H2147" s="6" t="s">
        <v>6813</v>
      </c>
      <c r="I2147" s="6" t="s">
        <v>8077</v>
      </c>
      <c r="J2147" s="6" t="s">
        <v>9643</v>
      </c>
      <c r="K2147" s="6" t="s">
        <v>9714</v>
      </c>
      <c r="L2147" s="16" t="n">
        <v>45076</v>
      </c>
      <c r="M2147" s="16" t="n">
        <v>46023</v>
      </c>
      <c r="N2147" s="6" t="s">
        <v>9714</v>
      </c>
      <c r="O2147" s="16" t="n">
        <v>45076</v>
      </c>
      <c r="P2147" s="6" t="s">
        <v>10260</v>
      </c>
      <c r="Q2147" s="6" t="s">
        <v>104</v>
      </c>
      <c r="R2147" s="6" t="s">
        <v>104</v>
      </c>
      <c r="S2147" s="6" t="s">
        <v>9714</v>
      </c>
      <c r="T2147" s="16" t="n">
        <v>45076</v>
      </c>
      <c r="U2147" s="6" t="s">
        <v>10508</v>
      </c>
      <c r="V2147" s="6" t="s">
        <v>104</v>
      </c>
      <c r="W2147" s="6" t="s">
        <v>104</v>
      </c>
      <c r="X2147" s="6" t="s">
        <v>104</v>
      </c>
      <c r="Y2147" s="21" t="s">
        <v>104</v>
      </c>
      <c r="Z2147" s="6" t="s">
        <v>104</v>
      </c>
      <c r="AA2147" s="6" t="s">
        <v>104</v>
      </c>
      <c r="AB2147" s="6" t="s">
        <v>104</v>
      </c>
      <c r="AC2147" s="6" t="s">
        <v>9714</v>
      </c>
      <c r="AD2147" s="16" t="n">
        <v>45076</v>
      </c>
      <c r="AE2147" s="6" t="s">
        <v>11501</v>
      </c>
      <c r="AF2147" s="6" t="s">
        <v>104</v>
      </c>
      <c r="AG2147" s="6" t="s">
        <v>104</v>
      </c>
      <c r="AH2147" s="6" t="s">
        <v>15120</v>
      </c>
      <c r="AI2147" s="6" t="s">
        <v>104</v>
      </c>
      <c r="AJ2147" s="6" t="s">
        <v>15428</v>
      </c>
      <c r="AK2147" s="6" t="s">
        <v>16687</v>
      </c>
      <c r="AL2147" s="6" t="s">
        <v>16931</v>
      </c>
      <c r="AM2147" s="6" t="s">
        <v>17322</v>
      </c>
      <c r="AN2147" s="6" t="s">
        <v>18471</v>
      </c>
      <c r="AO2147" s="6" t="s">
        <v>18579</v>
      </c>
      <c r="AP2147" s="6" t="s">
        <v>15120</v>
      </c>
      <c r="AQ2147" s="6" t="s">
        <v>104</v>
      </c>
      <c r="AR2147" s="6" t="s">
        <v>15428</v>
      </c>
      <c r="AS2147" s="6" t="s">
        <v>16687</v>
      </c>
      <c r="AT2147" s="6" t="s">
        <v>16931</v>
      </c>
      <c r="AU2147" s="6" t="s">
        <v>17322</v>
      </c>
      <c r="AV2147" s="6" t="s">
        <v>104</v>
      </c>
      <c r="AW2147" s="6" t="s">
        <v>104</v>
      </c>
      <c r="AX2147" s="6" t="s">
        <v>21762</v>
      </c>
      <c r="AY2147" s="6" t="s">
        <v>23597</v>
      </c>
      <c r="AZ2147" s="6" t="s">
        <v>104</v>
      </c>
      <c r="BA2147" s="6" t="s">
        <v>24263</v>
      </c>
      <c r="BB2147" s="24" t="n">
        <v>2380</v>
      </c>
      <c r="BC2147" s="26"/>
      <c r="BD2147" s="26"/>
      <c r="BE2147" s="26"/>
      <c r="BF2147" s="26"/>
      <c r="BG2147" s="26"/>
      <c r="BH2147" s="26"/>
      <c r="BI2147" s="26"/>
      <c r="BJ2147" s="26"/>
      <c r="BK2147" s="26"/>
      <c r="BL2147" s="26"/>
      <c r="BM2147" s="26"/>
      <c r="BN2147" s="26"/>
      <c r="BO2147" s="26"/>
      <c r="BP2147" s="16" t="n">
        <v>45702</v>
      </c>
      <c r="BQ2147" s="28" t="str">
        <f>HYPERLINK("https://organic.ams.usda.gov/Integrity/Certificate.aspx?cid=15&amp;nopid=5561007735")</f>
        <v>https://organic.ams.usda.gov/Integrity/Certificate.aspx?cid=15&amp;nopid=5561007735</v>
      </c>
    </row>
    <row r="2148">
      <c r="A2148" t="s">
        <v>3</v>
      </c>
      <c r="B2148" s="6" t="s">
        <v>32</v>
      </c>
      <c r="C2148" s="6" t="s">
        <v>98</v>
      </c>
      <c r="D2148" s="6" t="s">
        <v>163</v>
      </c>
      <c r="E2148" s="10" t="s">
        <v>2346</v>
      </c>
      <c r="F2148" s="6" t="s">
        <v>4547</v>
      </c>
      <c r="G2148" s="6" t="s">
        <v>104</v>
      </c>
      <c r="H2148" s="6" t="s">
        <v>6814</v>
      </c>
      <c r="I2148" s="6" t="s">
        <v>7041</v>
      </c>
      <c r="J2148" s="6" t="s">
        <v>9644</v>
      </c>
      <c r="K2148" s="6" t="s">
        <v>9714</v>
      </c>
      <c r="L2148" s="16" t="n">
        <v>40646</v>
      </c>
      <c r="M2148" s="16" t="n">
        <v>45778</v>
      </c>
      <c r="N2148" s="6" t="s">
        <v>104</v>
      </c>
      <c r="O2148" s="21" t="s">
        <v>104</v>
      </c>
      <c r="P2148" s="6" t="s">
        <v>104</v>
      </c>
      <c r="Q2148" s="6" t="s">
        <v>104</v>
      </c>
      <c r="R2148" s="6" t="s">
        <v>104</v>
      </c>
      <c r="S2148" s="6" t="s">
        <v>104</v>
      </c>
      <c r="T2148" s="21" t="s">
        <v>104</v>
      </c>
      <c r="U2148" s="6" t="s">
        <v>104</v>
      </c>
      <c r="V2148" s="6" t="s">
        <v>104</v>
      </c>
      <c r="W2148" s="6" t="s">
        <v>104</v>
      </c>
      <c r="X2148" s="6" t="s">
        <v>104</v>
      </c>
      <c r="Y2148" s="21" t="s">
        <v>104</v>
      </c>
      <c r="Z2148" s="6" t="s">
        <v>104</v>
      </c>
      <c r="AA2148" s="6" t="s">
        <v>104</v>
      </c>
      <c r="AB2148" s="6" t="s">
        <v>104</v>
      </c>
      <c r="AC2148" s="6" t="s">
        <v>9714</v>
      </c>
      <c r="AD2148" s="16" t="n">
        <v>40646</v>
      </c>
      <c r="AE2148" s="6" t="s">
        <v>12392</v>
      </c>
      <c r="AF2148" s="6" t="s">
        <v>104</v>
      </c>
      <c r="AG2148" s="6" t="s">
        <v>104</v>
      </c>
      <c r="AH2148" s="6" t="s">
        <v>15121</v>
      </c>
      <c r="AI2148" s="6" t="s">
        <v>104</v>
      </c>
      <c r="AJ2148" s="6" t="s">
        <v>16622</v>
      </c>
      <c r="AK2148" s="6" t="s">
        <v>16704</v>
      </c>
      <c r="AL2148" s="6" t="s">
        <v>16931</v>
      </c>
      <c r="AM2148" s="6" t="s">
        <v>18381</v>
      </c>
      <c r="AN2148" s="6" t="s">
        <v>18541</v>
      </c>
      <c r="AO2148" s="6" t="s">
        <v>18927</v>
      </c>
      <c r="AP2148" s="6" t="s">
        <v>104</v>
      </c>
      <c r="AQ2148" s="6" t="s">
        <v>104</v>
      </c>
      <c r="AR2148" s="6" t="s">
        <v>104</v>
      </c>
      <c r="AS2148" s="6" t="s">
        <v>104</v>
      </c>
      <c r="AT2148" s="6" t="s">
        <v>104</v>
      </c>
      <c r="AU2148" s="6" t="s">
        <v>104</v>
      </c>
      <c r="AV2148" s="6" t="s">
        <v>104</v>
      </c>
      <c r="AW2148" s="6" t="s">
        <v>104</v>
      </c>
      <c r="AX2148" s="6" t="s">
        <v>21763</v>
      </c>
      <c r="AY2148" s="6" t="s">
        <v>23598</v>
      </c>
      <c r="AZ2148" s="6" t="s">
        <v>24234</v>
      </c>
      <c r="BA2148" s="6" t="s">
        <v>104</v>
      </c>
      <c r="BB2148" s="6" t="s">
        <v>104</v>
      </c>
      <c r="BC2148" s="26"/>
      <c r="BD2148" s="26"/>
      <c r="BE2148" s="26"/>
      <c r="BF2148" s="26"/>
      <c r="BG2148" s="26"/>
      <c r="BH2148" s="26"/>
      <c r="BI2148" s="26"/>
      <c r="BJ2148" s="26"/>
      <c r="BK2148" s="26"/>
      <c r="BL2148" s="26" t="s">
        <v>24533</v>
      </c>
      <c r="BM2148" s="26"/>
      <c r="BN2148" s="26"/>
      <c r="BO2148" s="26"/>
      <c r="BP2148" s="16" t="n">
        <v>45623</v>
      </c>
      <c r="BQ2148" s="28" t="str">
        <f>HYPERLINK("https://organic.ams.usda.gov/Integrity/Certificate.aspx?cid=64&amp;nopid=8830000148")</f>
        <v>https://organic.ams.usda.gov/Integrity/Certificate.aspx?cid=64&amp;nopid=8830000148</v>
      </c>
    </row>
    <row r="2149">
      <c r="A2149" t="s">
        <v>3</v>
      </c>
      <c r="B2149" s="6" t="s">
        <v>14</v>
      </c>
      <c r="C2149" s="6" t="s">
        <v>80</v>
      </c>
      <c r="D2149" s="6" t="s">
        <v>145</v>
      </c>
      <c r="E2149" s="10" t="s">
        <v>2347</v>
      </c>
      <c r="F2149" s="6" t="s">
        <v>4548</v>
      </c>
      <c r="G2149" s="6" t="s">
        <v>104</v>
      </c>
      <c r="H2149" s="6" t="s">
        <v>6815</v>
      </c>
      <c r="I2149" s="6" t="s">
        <v>6950</v>
      </c>
      <c r="J2149" s="6" t="s">
        <v>9645</v>
      </c>
      <c r="K2149" s="6" t="s">
        <v>9714</v>
      </c>
      <c r="L2149" s="16" t="n">
        <v>43942</v>
      </c>
      <c r="M2149" s="16" t="n">
        <v>45983</v>
      </c>
      <c r="N2149" s="6" t="s">
        <v>104</v>
      </c>
      <c r="O2149" s="21" t="s">
        <v>104</v>
      </c>
      <c r="P2149" s="6" t="s">
        <v>104</v>
      </c>
      <c r="Q2149" s="6" t="s">
        <v>104</v>
      </c>
      <c r="R2149" s="6" t="s">
        <v>104</v>
      </c>
      <c r="S2149" s="6" t="s">
        <v>104</v>
      </c>
      <c r="T2149" s="21" t="s">
        <v>104</v>
      </c>
      <c r="U2149" s="6" t="s">
        <v>104</v>
      </c>
      <c r="V2149" s="6" t="s">
        <v>104</v>
      </c>
      <c r="W2149" s="6" t="s">
        <v>104</v>
      </c>
      <c r="X2149" s="6" t="s">
        <v>104</v>
      </c>
      <c r="Y2149" s="21" t="s">
        <v>104</v>
      </c>
      <c r="Z2149" s="6" t="s">
        <v>104</v>
      </c>
      <c r="AA2149" s="6" t="s">
        <v>104</v>
      </c>
      <c r="AB2149" s="6" t="s">
        <v>104</v>
      </c>
      <c r="AC2149" s="6" t="s">
        <v>9714</v>
      </c>
      <c r="AD2149" s="16" t="n">
        <v>43942</v>
      </c>
      <c r="AE2149" s="6" t="s">
        <v>12393</v>
      </c>
      <c r="AF2149" s="6" t="s">
        <v>104</v>
      </c>
      <c r="AG2149" s="6" t="s">
        <v>104</v>
      </c>
      <c r="AH2149" s="6" t="s">
        <v>15122</v>
      </c>
      <c r="AI2149" s="6" t="s">
        <v>104</v>
      </c>
      <c r="AJ2149" s="6" t="s">
        <v>15398</v>
      </c>
      <c r="AK2149" s="6" t="s">
        <v>16699</v>
      </c>
      <c r="AL2149" s="6" t="s">
        <v>16932</v>
      </c>
      <c r="AM2149" s="6" t="s">
        <v>18382</v>
      </c>
      <c r="AN2149" s="6" t="s">
        <v>104</v>
      </c>
      <c r="AO2149" s="6" t="s">
        <v>104</v>
      </c>
      <c r="AP2149" s="6" t="s">
        <v>104</v>
      </c>
      <c r="AQ2149" s="6" t="s">
        <v>104</v>
      </c>
      <c r="AR2149" s="6" t="s">
        <v>104</v>
      </c>
      <c r="AS2149" s="6" t="s">
        <v>104</v>
      </c>
      <c r="AT2149" s="6" t="s">
        <v>104</v>
      </c>
      <c r="AU2149" s="6" t="s">
        <v>104</v>
      </c>
      <c r="AV2149" s="6" t="s">
        <v>104</v>
      </c>
      <c r="AW2149" s="6" t="s">
        <v>104</v>
      </c>
      <c r="AX2149" s="6" t="s">
        <v>21764</v>
      </c>
      <c r="AY2149" s="6" t="s">
        <v>23599</v>
      </c>
      <c r="AZ2149" s="6" t="s">
        <v>104</v>
      </c>
      <c r="BA2149" s="6" t="s">
        <v>24272</v>
      </c>
      <c r="BB2149" s="6" t="s">
        <v>104</v>
      </c>
      <c r="BC2149" s="26"/>
      <c r="BD2149" s="26"/>
      <c r="BE2149" s="26"/>
      <c r="BF2149" s="26"/>
      <c r="BG2149" s="26"/>
      <c r="BH2149" s="26"/>
      <c r="BI2149" s="26"/>
      <c r="BJ2149" s="26"/>
      <c r="BK2149" s="26"/>
      <c r="BL2149" s="26"/>
      <c r="BM2149" s="26"/>
      <c r="BN2149" s="26"/>
      <c r="BO2149" s="26"/>
      <c r="BP2149" s="16" t="n">
        <v>45735</v>
      </c>
      <c r="BQ2149" s="28" t="str">
        <f>HYPERLINK("https://organic.ams.usda.gov/Integrity/Certificate.aspx?cid=89&amp;nopid=4920003713")</f>
        <v>https://organic.ams.usda.gov/Integrity/Certificate.aspx?cid=89&amp;nopid=4920003713</v>
      </c>
    </row>
    <row r="2150">
      <c r="A2150" t="s">
        <v>3</v>
      </c>
      <c r="B2150" s="6" t="s">
        <v>14</v>
      </c>
      <c r="C2150" s="6" t="s">
        <v>80</v>
      </c>
      <c r="D2150" s="6" t="s">
        <v>145</v>
      </c>
      <c r="E2150" s="10" t="s">
        <v>2348</v>
      </c>
      <c r="F2150" s="6" t="s">
        <v>4549</v>
      </c>
      <c r="G2150" s="6" t="s">
        <v>104</v>
      </c>
      <c r="H2150" s="6" t="s">
        <v>6816</v>
      </c>
      <c r="I2150" s="6" t="s">
        <v>8078</v>
      </c>
      <c r="J2150" s="6" t="s">
        <v>9646</v>
      </c>
      <c r="K2150" s="6" t="s">
        <v>9714</v>
      </c>
      <c r="L2150" s="16" t="n">
        <v>44984</v>
      </c>
      <c r="M2150" s="16" t="n">
        <v>45934</v>
      </c>
      <c r="N2150" s="6" t="s">
        <v>104</v>
      </c>
      <c r="O2150" s="21" t="s">
        <v>104</v>
      </c>
      <c r="P2150" s="6" t="s">
        <v>104</v>
      </c>
      <c r="Q2150" s="6" t="s">
        <v>104</v>
      </c>
      <c r="R2150" s="6" t="s">
        <v>104</v>
      </c>
      <c r="S2150" s="6" t="s">
        <v>104</v>
      </c>
      <c r="T2150" s="21" t="s">
        <v>104</v>
      </c>
      <c r="U2150" s="6" t="s">
        <v>104</v>
      </c>
      <c r="V2150" s="6" t="s">
        <v>104</v>
      </c>
      <c r="W2150" s="6" t="s">
        <v>104</v>
      </c>
      <c r="X2150" s="6" t="s">
        <v>104</v>
      </c>
      <c r="Y2150" s="21" t="s">
        <v>104</v>
      </c>
      <c r="Z2150" s="6" t="s">
        <v>104</v>
      </c>
      <c r="AA2150" s="6" t="s">
        <v>104</v>
      </c>
      <c r="AB2150" s="6" t="s">
        <v>104</v>
      </c>
      <c r="AC2150" s="6" t="s">
        <v>9714</v>
      </c>
      <c r="AD2150" s="16" t="n">
        <v>44984</v>
      </c>
      <c r="AE2150" s="6" t="s">
        <v>12394</v>
      </c>
      <c r="AF2150" s="6" t="s">
        <v>104</v>
      </c>
      <c r="AG2150" s="6" t="s">
        <v>104</v>
      </c>
      <c r="AH2150" s="6" t="s">
        <v>15123</v>
      </c>
      <c r="AI2150" s="6" t="s">
        <v>104</v>
      </c>
      <c r="AJ2150" s="6" t="s">
        <v>15387</v>
      </c>
      <c r="AK2150" s="6" t="s">
        <v>16270</v>
      </c>
      <c r="AL2150" s="6" t="s">
        <v>16932</v>
      </c>
      <c r="AM2150" s="6" t="s">
        <v>18173</v>
      </c>
      <c r="AN2150" s="6" t="s">
        <v>104</v>
      </c>
      <c r="AO2150" s="6" t="s">
        <v>104</v>
      </c>
      <c r="AP2150" s="6" t="s">
        <v>104</v>
      </c>
      <c r="AQ2150" s="6" t="s">
        <v>104</v>
      </c>
      <c r="AR2150" s="6" t="s">
        <v>104</v>
      </c>
      <c r="AS2150" s="6" t="s">
        <v>104</v>
      </c>
      <c r="AT2150" s="6" t="s">
        <v>104</v>
      </c>
      <c r="AU2150" s="6" t="s">
        <v>104</v>
      </c>
      <c r="AV2150" s="6" t="s">
        <v>104</v>
      </c>
      <c r="AW2150" s="6" t="s">
        <v>104</v>
      </c>
      <c r="AX2150" s="6" t="s">
        <v>21765</v>
      </c>
      <c r="AY2150" s="6" t="s">
        <v>23600</v>
      </c>
      <c r="AZ2150" s="6" t="s">
        <v>104</v>
      </c>
      <c r="BA2150" s="6" t="s">
        <v>24272</v>
      </c>
      <c r="BB2150" s="6" t="s">
        <v>104</v>
      </c>
      <c r="BC2150" s="26"/>
      <c r="BD2150" s="26"/>
      <c r="BE2150" s="26"/>
      <c r="BF2150" s="26"/>
      <c r="BG2150" s="26"/>
      <c r="BH2150" s="26"/>
      <c r="BI2150" s="26"/>
      <c r="BJ2150" s="26"/>
      <c r="BK2150" s="26"/>
      <c r="BL2150" s="26"/>
      <c r="BM2150" s="26"/>
      <c r="BN2150" s="26"/>
      <c r="BO2150" s="26"/>
      <c r="BP2150" s="16" t="n">
        <v>45729</v>
      </c>
      <c r="BQ2150" s="28" t="str">
        <f>HYPERLINK("https://organic.ams.usda.gov/Integrity/Certificate.aspx?cid=89&amp;nopid=4920006139")</f>
        <v>https://organic.ams.usda.gov/Integrity/Certificate.aspx?cid=89&amp;nopid=4920006139</v>
      </c>
    </row>
    <row r="2151">
      <c r="A2151" t="s">
        <v>3</v>
      </c>
      <c r="B2151" s="6" t="s">
        <v>54</v>
      </c>
      <c r="C2151" s="6" t="s">
        <v>120</v>
      </c>
      <c r="D2151" s="6" t="s">
        <v>184</v>
      </c>
      <c r="E2151" s="10" t="s">
        <v>2349</v>
      </c>
      <c r="F2151" s="6" t="s">
        <v>4550</v>
      </c>
      <c r="G2151" s="6" t="s">
        <v>104</v>
      </c>
      <c r="H2151" s="6" t="s">
        <v>6485</v>
      </c>
      <c r="I2151" s="6" t="s">
        <v>8079</v>
      </c>
      <c r="J2151" s="6" t="s">
        <v>9647</v>
      </c>
      <c r="K2151" s="6" t="s">
        <v>9714</v>
      </c>
      <c r="L2151" s="16" t="n">
        <v>45587</v>
      </c>
      <c r="M2151" s="16" t="n">
        <v>45748</v>
      </c>
      <c r="N2151" s="6" t="s">
        <v>104</v>
      </c>
      <c r="O2151" s="21" t="s">
        <v>104</v>
      </c>
      <c r="P2151" s="6" t="s">
        <v>104</v>
      </c>
      <c r="Q2151" s="6" t="s">
        <v>104</v>
      </c>
      <c r="R2151" s="6" t="s">
        <v>104</v>
      </c>
      <c r="S2151" s="6" t="s">
        <v>104</v>
      </c>
      <c r="T2151" s="21" t="s">
        <v>104</v>
      </c>
      <c r="U2151" s="6" t="s">
        <v>104</v>
      </c>
      <c r="V2151" s="6" t="s">
        <v>104</v>
      </c>
      <c r="W2151" s="6" t="s">
        <v>104</v>
      </c>
      <c r="X2151" s="6" t="s">
        <v>104</v>
      </c>
      <c r="Y2151" s="21" t="s">
        <v>104</v>
      </c>
      <c r="Z2151" s="6" t="s">
        <v>104</v>
      </c>
      <c r="AA2151" s="6" t="s">
        <v>104</v>
      </c>
      <c r="AB2151" s="6" t="s">
        <v>104</v>
      </c>
      <c r="AC2151" s="6" t="s">
        <v>9714</v>
      </c>
      <c r="AD2151" s="16" t="n">
        <v>45587</v>
      </c>
      <c r="AE2151" s="6" t="s">
        <v>12395</v>
      </c>
      <c r="AF2151" s="6" t="s">
        <v>104</v>
      </c>
      <c r="AG2151" s="6" t="s">
        <v>104</v>
      </c>
      <c r="AH2151" s="6" t="s">
        <v>15124</v>
      </c>
      <c r="AI2151" s="6" t="s">
        <v>104</v>
      </c>
      <c r="AJ2151" s="6" t="s">
        <v>16623</v>
      </c>
      <c r="AK2151" s="6" t="s">
        <v>16684</v>
      </c>
      <c r="AL2151" s="6" t="s">
        <v>16931</v>
      </c>
      <c r="AM2151" s="6" t="s">
        <v>18383</v>
      </c>
      <c r="AN2151" s="6" t="s">
        <v>104</v>
      </c>
      <c r="AO2151" s="6" t="s">
        <v>104</v>
      </c>
      <c r="AP2151" s="6" t="s">
        <v>104</v>
      </c>
      <c r="AQ2151" s="6" t="s">
        <v>104</v>
      </c>
      <c r="AR2151" s="6" t="s">
        <v>104</v>
      </c>
      <c r="AS2151" s="6" t="s">
        <v>104</v>
      </c>
      <c r="AT2151" s="6" t="s">
        <v>104</v>
      </c>
      <c r="AU2151" s="6" t="s">
        <v>104</v>
      </c>
      <c r="AV2151" s="6" t="s">
        <v>104</v>
      </c>
      <c r="AW2151" s="6" t="s">
        <v>104</v>
      </c>
      <c r="AX2151" s="6" t="s">
        <v>21766</v>
      </c>
      <c r="AY2151" s="6" t="s">
        <v>23601</v>
      </c>
      <c r="AZ2151" s="6" t="s">
        <v>104</v>
      </c>
      <c r="BA2151" s="6" t="s">
        <v>104</v>
      </c>
      <c r="BB2151" s="6" t="s">
        <v>104</v>
      </c>
      <c r="BC2151" s="26"/>
      <c r="BD2151" s="26"/>
      <c r="BE2151" s="26"/>
      <c r="BF2151" s="26"/>
      <c r="BG2151" s="26" t="s">
        <v>24533</v>
      </c>
      <c r="BH2151" s="26" t="s">
        <v>24533</v>
      </c>
      <c r="BI2151" s="26"/>
      <c r="BJ2151" s="26"/>
      <c r="BK2151" s="26"/>
      <c r="BL2151" s="26"/>
      <c r="BM2151" s="26"/>
      <c r="BN2151" s="26" t="s">
        <v>24533</v>
      </c>
      <c r="BO2151" s="26"/>
      <c r="BP2151" s="16" t="n">
        <v>45588</v>
      </c>
      <c r="BQ2151" s="28" t="str">
        <f>HYPERLINK("https://organic.ams.usda.gov/Integrity/Certificate.aspx?cid=60&amp;nopid=2580006940")</f>
        <v>https://organic.ams.usda.gov/Integrity/Certificate.aspx?cid=60&amp;nopid=2580006940</v>
      </c>
    </row>
    <row r="2152">
      <c r="A2152" t="s">
        <v>3</v>
      </c>
      <c r="B2152" s="6" t="s">
        <v>32</v>
      </c>
      <c r="C2152" s="6" t="s">
        <v>98</v>
      </c>
      <c r="D2152" s="6" t="s">
        <v>163</v>
      </c>
      <c r="E2152" s="10" t="s">
        <v>2350</v>
      </c>
      <c r="F2152" s="6" t="s">
        <v>4551</v>
      </c>
      <c r="G2152" s="6" t="s">
        <v>104</v>
      </c>
      <c r="H2152" s="6" t="s">
        <v>6817</v>
      </c>
      <c r="I2152" s="6" t="s">
        <v>8080</v>
      </c>
      <c r="J2152" s="6" t="s">
        <v>9648</v>
      </c>
      <c r="K2152" s="6" t="s">
        <v>9714</v>
      </c>
      <c r="L2152" s="16" t="n">
        <v>45607</v>
      </c>
      <c r="M2152" s="16" t="n">
        <v>45901</v>
      </c>
      <c r="N2152" s="6" t="s">
        <v>104</v>
      </c>
      <c r="O2152" s="21" t="s">
        <v>104</v>
      </c>
      <c r="P2152" s="6" t="s">
        <v>104</v>
      </c>
      <c r="Q2152" s="6" t="s">
        <v>104</v>
      </c>
      <c r="R2152" s="6" t="s">
        <v>104</v>
      </c>
      <c r="S2152" s="6" t="s">
        <v>104</v>
      </c>
      <c r="T2152" s="21" t="s">
        <v>104</v>
      </c>
      <c r="U2152" s="6" t="s">
        <v>104</v>
      </c>
      <c r="V2152" s="6" t="s">
        <v>104</v>
      </c>
      <c r="W2152" s="6" t="s">
        <v>104</v>
      </c>
      <c r="X2152" s="6" t="s">
        <v>104</v>
      </c>
      <c r="Y2152" s="21" t="s">
        <v>104</v>
      </c>
      <c r="Z2152" s="6" t="s">
        <v>104</v>
      </c>
      <c r="AA2152" s="6" t="s">
        <v>104</v>
      </c>
      <c r="AB2152" s="6" t="s">
        <v>104</v>
      </c>
      <c r="AC2152" s="6" t="s">
        <v>9714</v>
      </c>
      <c r="AD2152" s="16" t="n">
        <v>45607</v>
      </c>
      <c r="AE2152" s="6" t="s">
        <v>12396</v>
      </c>
      <c r="AF2152" s="6" t="s">
        <v>104</v>
      </c>
      <c r="AG2152" s="6" t="s">
        <v>104</v>
      </c>
      <c r="AH2152" s="6" t="s">
        <v>15125</v>
      </c>
      <c r="AI2152" s="6" t="s">
        <v>104</v>
      </c>
      <c r="AJ2152" s="6" t="s">
        <v>16624</v>
      </c>
      <c r="AK2152" s="6" t="s">
        <v>16817</v>
      </c>
      <c r="AL2152" s="6" t="s">
        <v>16958</v>
      </c>
      <c r="AM2152" s="6" t="s">
        <v>18384</v>
      </c>
      <c r="AN2152" s="6" t="s">
        <v>104</v>
      </c>
      <c r="AO2152" s="6" t="s">
        <v>104</v>
      </c>
      <c r="AP2152" s="6" t="s">
        <v>104</v>
      </c>
      <c r="AQ2152" s="6" t="s">
        <v>104</v>
      </c>
      <c r="AR2152" s="6" t="s">
        <v>104</v>
      </c>
      <c r="AS2152" s="6" t="s">
        <v>104</v>
      </c>
      <c r="AT2152" s="6" t="s">
        <v>104</v>
      </c>
      <c r="AU2152" s="6" t="s">
        <v>104</v>
      </c>
      <c r="AV2152" s="6" t="s">
        <v>104</v>
      </c>
      <c r="AW2152" s="6" t="s">
        <v>104</v>
      </c>
      <c r="AX2152" s="6" t="s">
        <v>21767</v>
      </c>
      <c r="AY2152" s="6" t="s">
        <v>23602</v>
      </c>
      <c r="AZ2152" s="6" t="s">
        <v>24235</v>
      </c>
      <c r="BA2152" s="6" t="s">
        <v>104</v>
      </c>
      <c r="BB2152" s="6" t="s">
        <v>104</v>
      </c>
      <c r="BC2152" s="26"/>
      <c r="BD2152" s="26"/>
      <c r="BE2152" s="26"/>
      <c r="BF2152" s="26"/>
      <c r="BG2152" s="26"/>
      <c r="BH2152" s="26"/>
      <c r="BI2152" s="26"/>
      <c r="BJ2152" s="26"/>
      <c r="BK2152" s="26"/>
      <c r="BL2152" s="26"/>
      <c r="BM2152" s="26"/>
      <c r="BN2152" s="26"/>
      <c r="BO2152" s="26"/>
      <c r="BP2152" s="16" t="n">
        <v>45607</v>
      </c>
      <c r="BQ2152" s="28" t="str">
        <f>HYPERLINK("https://organic.ams.usda.gov/Integrity/Certificate.aspx?cid=64&amp;nopid=8830001819")</f>
        <v>https://organic.ams.usda.gov/Integrity/Certificate.aspx?cid=64&amp;nopid=8830001819</v>
      </c>
    </row>
    <row r="2153">
      <c r="A2153" t="s">
        <v>3</v>
      </c>
      <c r="B2153" s="6" t="s">
        <v>28</v>
      </c>
      <c r="C2153" s="6" t="s">
        <v>94</v>
      </c>
      <c r="D2153" s="6" t="s">
        <v>159</v>
      </c>
      <c r="E2153" s="10" t="s">
        <v>2351</v>
      </c>
      <c r="F2153" s="6" t="s">
        <v>4552</v>
      </c>
      <c r="G2153" s="6" t="s">
        <v>104</v>
      </c>
      <c r="H2153" s="6" t="s">
        <v>6818</v>
      </c>
      <c r="I2153" s="6" t="s">
        <v>7063</v>
      </c>
      <c r="J2153" s="6" t="s">
        <v>8283</v>
      </c>
      <c r="K2153" s="6" t="s">
        <v>9714</v>
      </c>
      <c r="L2153" s="16" t="n">
        <v>44567</v>
      </c>
      <c r="M2153" s="16" t="n">
        <v>45748</v>
      </c>
      <c r="N2153" s="6" t="s">
        <v>104</v>
      </c>
      <c r="O2153" s="21" t="s">
        <v>104</v>
      </c>
      <c r="P2153" s="6" t="s">
        <v>104</v>
      </c>
      <c r="Q2153" s="6" t="s">
        <v>104</v>
      </c>
      <c r="R2153" s="6" t="s">
        <v>104</v>
      </c>
      <c r="S2153" s="6" t="s">
        <v>104</v>
      </c>
      <c r="T2153" s="21" t="s">
        <v>104</v>
      </c>
      <c r="U2153" s="6" t="s">
        <v>104</v>
      </c>
      <c r="V2153" s="6" t="s">
        <v>104</v>
      </c>
      <c r="W2153" s="6" t="s">
        <v>104</v>
      </c>
      <c r="X2153" s="6" t="s">
        <v>104</v>
      </c>
      <c r="Y2153" s="21" t="s">
        <v>104</v>
      </c>
      <c r="Z2153" s="6" t="s">
        <v>104</v>
      </c>
      <c r="AA2153" s="6" t="s">
        <v>104</v>
      </c>
      <c r="AB2153" s="6" t="s">
        <v>104</v>
      </c>
      <c r="AC2153" s="6" t="s">
        <v>9714</v>
      </c>
      <c r="AD2153" s="16" t="n">
        <v>44567</v>
      </c>
      <c r="AE2153" s="6" t="s">
        <v>12397</v>
      </c>
      <c r="AF2153" s="6" t="s">
        <v>104</v>
      </c>
      <c r="AG2153" s="6" t="s">
        <v>13126</v>
      </c>
      <c r="AH2153" s="6" t="s">
        <v>15126</v>
      </c>
      <c r="AI2153" s="6" t="s">
        <v>104</v>
      </c>
      <c r="AJ2153" s="6" t="s">
        <v>16625</v>
      </c>
      <c r="AK2153" s="6" t="s">
        <v>104</v>
      </c>
      <c r="AL2153" s="6" t="s">
        <v>16932</v>
      </c>
      <c r="AM2153" s="6" t="s">
        <v>18385</v>
      </c>
      <c r="AN2153" s="6" t="s">
        <v>104</v>
      </c>
      <c r="AO2153" s="6" t="s">
        <v>104</v>
      </c>
      <c r="AP2153" s="6" t="s">
        <v>104</v>
      </c>
      <c r="AQ2153" s="6" t="s">
        <v>104</v>
      </c>
      <c r="AR2153" s="6" t="s">
        <v>104</v>
      </c>
      <c r="AS2153" s="6" t="s">
        <v>104</v>
      </c>
      <c r="AT2153" s="6" t="s">
        <v>104</v>
      </c>
      <c r="AU2153" s="6" t="s">
        <v>104</v>
      </c>
      <c r="AV2153" s="6" t="s">
        <v>104</v>
      </c>
      <c r="AW2153" s="6" t="s">
        <v>104</v>
      </c>
      <c r="AX2153" s="6" t="s">
        <v>21768</v>
      </c>
      <c r="AY2153" s="6" t="s">
        <v>23603</v>
      </c>
      <c r="AZ2153" s="6" t="s">
        <v>23961</v>
      </c>
      <c r="BA2153" s="6" t="s">
        <v>24519</v>
      </c>
      <c r="BB2153" s="6" t="s">
        <v>104</v>
      </c>
      <c r="BC2153" s="26"/>
      <c r="BD2153" s="26"/>
      <c r="BE2153" s="26"/>
      <c r="BF2153" s="26"/>
      <c r="BG2153" s="26"/>
      <c r="BH2153" s="26"/>
      <c r="BI2153" s="26"/>
      <c r="BJ2153" s="26"/>
      <c r="BK2153" s="26"/>
      <c r="BL2153" s="26"/>
      <c r="BM2153" s="26"/>
      <c r="BN2153" s="26"/>
      <c r="BO2153" s="26"/>
      <c r="BP2153" s="16" t="n">
        <v>45663</v>
      </c>
      <c r="BQ2153" s="28" t="str">
        <f>HYPERLINK("https://organic.ams.usda.gov/Integrity/Certificate.aspx?cid=11&amp;nopid=4797103800")</f>
        <v>https://organic.ams.usda.gov/Integrity/Certificate.aspx?cid=11&amp;nopid=4797103800</v>
      </c>
    </row>
    <row r="2154">
      <c r="A2154" t="s">
        <v>3</v>
      </c>
      <c r="B2154" s="6" t="s">
        <v>14</v>
      </c>
      <c r="C2154" s="6" t="s">
        <v>80</v>
      </c>
      <c r="D2154" s="6" t="s">
        <v>145</v>
      </c>
      <c r="E2154" s="10" t="s">
        <v>2352</v>
      </c>
      <c r="F2154" s="6" t="s">
        <v>4553</v>
      </c>
      <c r="G2154" s="6" t="s">
        <v>104</v>
      </c>
      <c r="H2154" s="6" t="s">
        <v>6819</v>
      </c>
      <c r="I2154" s="6" t="s">
        <v>7063</v>
      </c>
      <c r="J2154" s="6" t="s">
        <v>8283</v>
      </c>
      <c r="K2154" s="6" t="s">
        <v>9714</v>
      </c>
      <c r="L2154" s="16" t="n">
        <v>44686</v>
      </c>
      <c r="M2154" s="16" t="n">
        <v>45696</v>
      </c>
      <c r="N2154" s="6" t="s">
        <v>104</v>
      </c>
      <c r="O2154" s="21" t="s">
        <v>104</v>
      </c>
      <c r="P2154" s="6" t="s">
        <v>104</v>
      </c>
      <c r="Q2154" s="6" t="s">
        <v>104</v>
      </c>
      <c r="R2154" s="6" t="s">
        <v>104</v>
      </c>
      <c r="S2154" s="6" t="s">
        <v>104</v>
      </c>
      <c r="T2154" s="21" t="s">
        <v>104</v>
      </c>
      <c r="U2154" s="6" t="s">
        <v>104</v>
      </c>
      <c r="V2154" s="6" t="s">
        <v>104</v>
      </c>
      <c r="W2154" s="6" t="s">
        <v>104</v>
      </c>
      <c r="X2154" s="6" t="s">
        <v>104</v>
      </c>
      <c r="Y2154" s="21" t="s">
        <v>104</v>
      </c>
      <c r="Z2154" s="6" t="s">
        <v>104</v>
      </c>
      <c r="AA2154" s="6" t="s">
        <v>104</v>
      </c>
      <c r="AB2154" s="6" t="s">
        <v>104</v>
      </c>
      <c r="AC2154" s="6" t="s">
        <v>9714</v>
      </c>
      <c r="AD2154" s="16" t="n">
        <v>44686</v>
      </c>
      <c r="AE2154" s="6" t="s">
        <v>12398</v>
      </c>
      <c r="AF2154" s="6" t="s">
        <v>104</v>
      </c>
      <c r="AG2154" s="6" t="s">
        <v>104</v>
      </c>
      <c r="AH2154" s="6" t="s">
        <v>15127</v>
      </c>
      <c r="AI2154" s="6" t="s">
        <v>104</v>
      </c>
      <c r="AJ2154" s="6" t="s">
        <v>15696</v>
      </c>
      <c r="AK2154" s="6" t="s">
        <v>16270</v>
      </c>
      <c r="AL2154" s="6" t="s">
        <v>16932</v>
      </c>
      <c r="AM2154" s="6" t="s">
        <v>17316</v>
      </c>
      <c r="AN2154" s="6" t="s">
        <v>104</v>
      </c>
      <c r="AO2154" s="6" t="s">
        <v>104</v>
      </c>
      <c r="AP2154" s="6" t="s">
        <v>104</v>
      </c>
      <c r="AQ2154" s="6" t="s">
        <v>104</v>
      </c>
      <c r="AR2154" s="6" t="s">
        <v>104</v>
      </c>
      <c r="AS2154" s="6" t="s">
        <v>104</v>
      </c>
      <c r="AT2154" s="6" t="s">
        <v>104</v>
      </c>
      <c r="AU2154" s="6" t="s">
        <v>104</v>
      </c>
      <c r="AV2154" s="6" t="s">
        <v>104</v>
      </c>
      <c r="AW2154" s="6" t="s">
        <v>104</v>
      </c>
      <c r="AX2154" s="6" t="s">
        <v>21769</v>
      </c>
      <c r="AY2154" s="6" t="s">
        <v>22012</v>
      </c>
      <c r="AZ2154" s="6" t="s">
        <v>104</v>
      </c>
      <c r="BA2154" s="6" t="s">
        <v>24259</v>
      </c>
      <c r="BB2154" s="6" t="s">
        <v>104</v>
      </c>
      <c r="BC2154" s="26"/>
      <c r="BD2154" s="26"/>
      <c r="BE2154" s="26"/>
      <c r="BF2154" s="26"/>
      <c r="BG2154" s="26"/>
      <c r="BH2154" s="26"/>
      <c r="BI2154" s="26"/>
      <c r="BJ2154" s="26"/>
      <c r="BK2154" s="26"/>
      <c r="BL2154" s="26"/>
      <c r="BM2154" s="26"/>
      <c r="BN2154" s="26"/>
      <c r="BO2154" s="26"/>
      <c r="BP2154" s="16" t="n">
        <v>45453</v>
      </c>
      <c r="BQ2154" s="28" t="str">
        <f>HYPERLINK("https://organic.ams.usda.gov/Integrity/Certificate.aspx?cid=89&amp;nopid=4920001817")</f>
        <v>https://organic.ams.usda.gov/Integrity/Certificate.aspx?cid=89&amp;nopid=4920001817</v>
      </c>
    </row>
    <row r="2155">
      <c r="A2155" t="s">
        <v>3</v>
      </c>
      <c r="B2155" s="6" t="s">
        <v>21</v>
      </c>
      <c r="C2155" s="6" t="s">
        <v>87</v>
      </c>
      <c r="D2155" s="6" t="s">
        <v>152</v>
      </c>
      <c r="E2155" s="10" t="s">
        <v>2353</v>
      </c>
      <c r="F2155" s="6" t="s">
        <v>4554</v>
      </c>
      <c r="G2155" s="6" t="s">
        <v>4883</v>
      </c>
      <c r="H2155" s="6" t="s">
        <v>6820</v>
      </c>
      <c r="I2155" s="6" t="s">
        <v>7225</v>
      </c>
      <c r="J2155" s="6" t="s">
        <v>9649</v>
      </c>
      <c r="K2155" s="6" t="s">
        <v>9714</v>
      </c>
      <c r="L2155" s="16" t="n">
        <v>45540</v>
      </c>
      <c r="M2155" s="16" t="n">
        <v>46023</v>
      </c>
      <c r="N2155" s="6" t="s">
        <v>104</v>
      </c>
      <c r="O2155" s="21" t="s">
        <v>104</v>
      </c>
      <c r="P2155" s="6" t="s">
        <v>104</v>
      </c>
      <c r="Q2155" s="6" t="s">
        <v>104</v>
      </c>
      <c r="R2155" s="6" t="s">
        <v>104</v>
      </c>
      <c r="S2155" s="6" t="s">
        <v>104</v>
      </c>
      <c r="T2155" s="21" t="s">
        <v>104</v>
      </c>
      <c r="U2155" s="6" t="s">
        <v>104</v>
      </c>
      <c r="V2155" s="6" t="s">
        <v>104</v>
      </c>
      <c r="W2155" s="6" t="s">
        <v>104</v>
      </c>
      <c r="X2155" s="6" t="s">
        <v>104</v>
      </c>
      <c r="Y2155" s="21" t="s">
        <v>104</v>
      </c>
      <c r="Z2155" s="6" t="s">
        <v>104</v>
      </c>
      <c r="AA2155" s="6" t="s">
        <v>104</v>
      </c>
      <c r="AB2155" s="6" t="s">
        <v>104</v>
      </c>
      <c r="AC2155" s="6" t="s">
        <v>9714</v>
      </c>
      <c r="AD2155" s="16" t="n">
        <v>45540</v>
      </c>
      <c r="AE2155" s="6" t="s">
        <v>12399</v>
      </c>
      <c r="AF2155" s="6" t="s">
        <v>104</v>
      </c>
      <c r="AG2155" s="6" t="s">
        <v>104</v>
      </c>
      <c r="AH2155" s="6" t="s">
        <v>15128</v>
      </c>
      <c r="AI2155" s="6" t="s">
        <v>104</v>
      </c>
      <c r="AJ2155" s="6" t="s">
        <v>16626</v>
      </c>
      <c r="AK2155" s="6" t="s">
        <v>16715</v>
      </c>
      <c r="AL2155" s="6" t="s">
        <v>16931</v>
      </c>
      <c r="AM2155" s="6" t="s">
        <v>18386</v>
      </c>
      <c r="AN2155" s="6" t="s">
        <v>104</v>
      </c>
      <c r="AO2155" s="6" t="s">
        <v>104</v>
      </c>
      <c r="AP2155" s="6" t="s">
        <v>19522</v>
      </c>
      <c r="AQ2155" s="6" t="s">
        <v>104</v>
      </c>
      <c r="AR2155" s="6" t="s">
        <v>16626</v>
      </c>
      <c r="AS2155" s="6" t="s">
        <v>16715</v>
      </c>
      <c r="AT2155" s="6" t="s">
        <v>16931</v>
      </c>
      <c r="AU2155" s="6" t="s">
        <v>18386</v>
      </c>
      <c r="AV2155" s="6" t="s">
        <v>104</v>
      </c>
      <c r="AW2155" s="6" t="s">
        <v>104</v>
      </c>
      <c r="AX2155" s="6" t="s">
        <v>21770</v>
      </c>
      <c r="AY2155" s="6" t="s">
        <v>23604</v>
      </c>
      <c r="AZ2155" s="6" t="s">
        <v>104</v>
      </c>
      <c r="BA2155" s="6" t="s">
        <v>104</v>
      </c>
      <c r="BB2155" s="6" t="s">
        <v>104</v>
      </c>
      <c r="BC2155" s="26"/>
      <c r="BD2155" s="26"/>
      <c r="BE2155" s="26"/>
      <c r="BF2155" s="26"/>
      <c r="BG2155" s="26"/>
      <c r="BH2155" s="26"/>
      <c r="BI2155" s="26"/>
      <c r="BJ2155" s="26"/>
      <c r="BK2155" s="26"/>
      <c r="BL2155" s="26"/>
      <c r="BM2155" s="26"/>
      <c r="BN2155" s="26"/>
      <c r="BO2155" s="26"/>
      <c r="BP2155" s="16" t="n">
        <v>45667</v>
      </c>
      <c r="BQ2155" s="28" t="str">
        <f>HYPERLINK("https://organic.ams.usda.gov/Integrity/Certificate.aspx?cid=15&amp;nopid=5561008565")</f>
        <v>https://organic.ams.usda.gov/Integrity/Certificate.aspx?cid=15&amp;nopid=5561008565</v>
      </c>
    </row>
    <row r="2156">
      <c r="A2156" t="s">
        <v>3</v>
      </c>
      <c r="B2156" s="6" t="s">
        <v>29</v>
      </c>
      <c r="C2156" s="6" t="s">
        <v>95</v>
      </c>
      <c r="D2156" s="6" t="s">
        <v>160</v>
      </c>
      <c r="E2156" s="10" t="s">
        <v>2354</v>
      </c>
      <c r="F2156" s="6" t="s">
        <v>4555</v>
      </c>
      <c r="G2156" s="6" t="s">
        <v>104</v>
      </c>
      <c r="H2156" s="6" t="s">
        <v>6821</v>
      </c>
      <c r="I2156" s="6" t="s">
        <v>104</v>
      </c>
      <c r="J2156" s="6" t="s">
        <v>9650</v>
      </c>
      <c r="K2156" s="6" t="s">
        <v>9714</v>
      </c>
      <c r="L2156" s="16" t="n">
        <v>45596</v>
      </c>
      <c r="M2156" s="16" t="n">
        <v>45778</v>
      </c>
      <c r="N2156" s="6" t="s">
        <v>104</v>
      </c>
      <c r="O2156" s="21" t="s">
        <v>104</v>
      </c>
      <c r="P2156" s="6" t="s">
        <v>104</v>
      </c>
      <c r="Q2156" s="6" t="s">
        <v>104</v>
      </c>
      <c r="R2156" s="6" t="s">
        <v>104</v>
      </c>
      <c r="S2156" s="6" t="s">
        <v>104</v>
      </c>
      <c r="T2156" s="21" t="s">
        <v>104</v>
      </c>
      <c r="U2156" s="6" t="s">
        <v>104</v>
      </c>
      <c r="V2156" s="6" t="s">
        <v>104</v>
      </c>
      <c r="W2156" s="6" t="s">
        <v>104</v>
      </c>
      <c r="X2156" s="6" t="s">
        <v>104</v>
      </c>
      <c r="Y2156" s="21" t="s">
        <v>104</v>
      </c>
      <c r="Z2156" s="6" t="s">
        <v>104</v>
      </c>
      <c r="AA2156" s="6" t="s">
        <v>104</v>
      </c>
      <c r="AB2156" s="6" t="s">
        <v>104</v>
      </c>
      <c r="AC2156" s="6" t="s">
        <v>9714</v>
      </c>
      <c r="AD2156" s="16" t="n">
        <v>45596</v>
      </c>
      <c r="AE2156" s="6" t="s">
        <v>12400</v>
      </c>
      <c r="AF2156" s="6" t="s">
        <v>104</v>
      </c>
      <c r="AG2156" s="6" t="s">
        <v>104</v>
      </c>
      <c r="AH2156" s="6" t="s">
        <v>15129</v>
      </c>
      <c r="AI2156" s="6" t="s">
        <v>104</v>
      </c>
      <c r="AJ2156" s="6" t="s">
        <v>16627</v>
      </c>
      <c r="AK2156" s="6" t="s">
        <v>16916</v>
      </c>
      <c r="AL2156" s="6" t="s">
        <v>16956</v>
      </c>
      <c r="AM2156" s="6" t="s">
        <v>18387</v>
      </c>
      <c r="AN2156" s="6" t="s">
        <v>104</v>
      </c>
      <c r="AO2156" s="6" t="s">
        <v>104</v>
      </c>
      <c r="AP2156" s="6" t="s">
        <v>104</v>
      </c>
      <c r="AQ2156" s="6" t="s">
        <v>104</v>
      </c>
      <c r="AR2156" s="6" t="s">
        <v>104</v>
      </c>
      <c r="AS2156" s="6" t="s">
        <v>104</v>
      </c>
      <c r="AT2156" s="6" t="s">
        <v>104</v>
      </c>
      <c r="AU2156" s="6" t="s">
        <v>104</v>
      </c>
      <c r="AV2156" s="6" t="s">
        <v>104</v>
      </c>
      <c r="AW2156" s="6" t="s">
        <v>104</v>
      </c>
      <c r="AX2156" s="6" t="s">
        <v>21771</v>
      </c>
      <c r="AY2156" s="6" t="s">
        <v>23605</v>
      </c>
      <c r="AZ2156" s="6" t="s">
        <v>104</v>
      </c>
      <c r="BA2156" s="6" t="s">
        <v>104</v>
      </c>
      <c r="BB2156" s="24" t="n">
        <v>0</v>
      </c>
      <c r="BC2156" s="26"/>
      <c r="BD2156" s="26"/>
      <c r="BE2156" s="26"/>
      <c r="BF2156" s="26"/>
      <c r="BG2156" s="26"/>
      <c r="BH2156" s="26"/>
      <c r="BI2156" s="26"/>
      <c r="BJ2156" s="26"/>
      <c r="BK2156" s="26"/>
      <c r="BL2156" s="26"/>
      <c r="BM2156" s="26"/>
      <c r="BN2156" s="26"/>
      <c r="BO2156" s="26"/>
      <c r="BP2156" s="16" t="n">
        <v>45610</v>
      </c>
      <c r="BQ2156" s="28" t="str">
        <f>HYPERLINK("https://organic.ams.usda.gov/Integrity/Certificate.aspx?cid=24&amp;nopid=7880138231")</f>
        <v>https://organic.ams.usda.gov/Integrity/Certificate.aspx?cid=24&amp;nopid=7880138231</v>
      </c>
    </row>
    <row r="2157">
      <c r="A2157" t="s">
        <v>3</v>
      </c>
      <c r="B2157" s="6" t="s">
        <v>11</v>
      </c>
      <c r="C2157" s="6" t="s">
        <v>77</v>
      </c>
      <c r="D2157" s="6" t="s">
        <v>142</v>
      </c>
      <c r="E2157" s="10" t="s">
        <v>2355</v>
      </c>
      <c r="F2157" s="6" t="s">
        <v>4556</v>
      </c>
      <c r="G2157" s="6" t="s">
        <v>104</v>
      </c>
      <c r="H2157" s="6" t="s">
        <v>6822</v>
      </c>
      <c r="I2157" s="6" t="s">
        <v>8081</v>
      </c>
      <c r="J2157" s="6" t="s">
        <v>8141</v>
      </c>
      <c r="K2157" s="6" t="s">
        <v>9714</v>
      </c>
      <c r="L2157" s="16" t="n">
        <v>44162</v>
      </c>
      <c r="M2157" s="16" t="n">
        <v>45957</v>
      </c>
      <c r="N2157" s="6" t="s">
        <v>104</v>
      </c>
      <c r="O2157" s="21" t="s">
        <v>104</v>
      </c>
      <c r="P2157" s="6" t="s">
        <v>104</v>
      </c>
      <c r="Q2157" s="6" t="s">
        <v>104</v>
      </c>
      <c r="R2157" s="6" t="s">
        <v>104</v>
      </c>
      <c r="S2157" s="6" t="s">
        <v>104</v>
      </c>
      <c r="T2157" s="21" t="s">
        <v>104</v>
      </c>
      <c r="U2157" s="6" t="s">
        <v>104</v>
      </c>
      <c r="V2157" s="6" t="s">
        <v>104</v>
      </c>
      <c r="W2157" s="6" t="s">
        <v>104</v>
      </c>
      <c r="X2157" s="6" t="s">
        <v>104</v>
      </c>
      <c r="Y2157" s="21" t="s">
        <v>104</v>
      </c>
      <c r="Z2157" s="6" t="s">
        <v>104</v>
      </c>
      <c r="AA2157" s="6" t="s">
        <v>104</v>
      </c>
      <c r="AB2157" s="6" t="s">
        <v>104</v>
      </c>
      <c r="AC2157" s="6" t="s">
        <v>9714</v>
      </c>
      <c r="AD2157" s="16" t="n">
        <v>44162</v>
      </c>
      <c r="AE2157" s="6" t="s">
        <v>12401</v>
      </c>
      <c r="AF2157" s="6" t="s">
        <v>104</v>
      </c>
      <c r="AG2157" s="6" t="s">
        <v>104</v>
      </c>
      <c r="AH2157" s="6" t="s">
        <v>15130</v>
      </c>
      <c r="AI2157" s="6" t="s">
        <v>104</v>
      </c>
      <c r="AJ2157" s="6" t="s">
        <v>16628</v>
      </c>
      <c r="AK2157" s="6" t="s">
        <v>104</v>
      </c>
      <c r="AL2157" s="6" t="s">
        <v>16979</v>
      </c>
      <c r="AM2157" s="6" t="s">
        <v>18388</v>
      </c>
      <c r="AN2157" s="6" t="s">
        <v>104</v>
      </c>
      <c r="AO2157" s="6" t="s">
        <v>104</v>
      </c>
      <c r="AP2157" s="6" t="s">
        <v>15130</v>
      </c>
      <c r="AQ2157" s="6" t="s">
        <v>104</v>
      </c>
      <c r="AR2157" s="6" t="s">
        <v>16628</v>
      </c>
      <c r="AS2157" s="6" t="s">
        <v>104</v>
      </c>
      <c r="AT2157" s="6" t="s">
        <v>16979</v>
      </c>
      <c r="AU2157" s="6" t="s">
        <v>18388</v>
      </c>
      <c r="AV2157" s="6" t="s">
        <v>104</v>
      </c>
      <c r="AW2157" s="6" t="s">
        <v>104</v>
      </c>
      <c r="AX2157" s="6" t="s">
        <v>21772</v>
      </c>
      <c r="AY2157" s="6" t="s">
        <v>23606</v>
      </c>
      <c r="AZ2157" s="6" t="s">
        <v>104</v>
      </c>
      <c r="BA2157" s="6" t="s">
        <v>24520</v>
      </c>
      <c r="BB2157" s="6" t="s">
        <v>104</v>
      </c>
      <c r="BC2157" s="26"/>
      <c r="BD2157" s="26"/>
      <c r="BE2157" s="26"/>
      <c r="BF2157" s="26"/>
      <c r="BG2157" s="26"/>
      <c r="BH2157" s="26"/>
      <c r="BI2157" s="26"/>
      <c r="BJ2157" s="26"/>
      <c r="BK2157" s="26"/>
      <c r="BL2157" s="26"/>
      <c r="BM2157" s="26"/>
      <c r="BN2157" s="26"/>
      <c r="BO2157" s="26"/>
      <c r="BP2157" s="16" t="n">
        <v>45708</v>
      </c>
      <c r="BQ2157" s="28" t="str">
        <f>HYPERLINK("https://organic.ams.usda.gov/Integrity/Certificate.aspx?cid=21&amp;nopid=1780864650")</f>
        <v>https://organic.ams.usda.gov/Integrity/Certificate.aspx?cid=21&amp;nopid=1780864650</v>
      </c>
    </row>
    <row r="2158">
      <c r="A2158" t="s">
        <v>3</v>
      </c>
      <c r="B2158" s="6" t="s">
        <v>29</v>
      </c>
      <c r="C2158" s="6" t="s">
        <v>95</v>
      </c>
      <c r="D2158" s="6" t="s">
        <v>160</v>
      </c>
      <c r="E2158" s="10" t="s">
        <v>2356</v>
      </c>
      <c r="F2158" s="6" t="s">
        <v>4557</v>
      </c>
      <c r="G2158" s="6" t="s">
        <v>104</v>
      </c>
      <c r="H2158" s="6" t="s">
        <v>6823</v>
      </c>
      <c r="I2158" s="6" t="s">
        <v>104</v>
      </c>
      <c r="J2158" s="6" t="s">
        <v>9651</v>
      </c>
      <c r="K2158" s="6" t="s">
        <v>9714</v>
      </c>
      <c r="L2158" s="16" t="n">
        <v>42815</v>
      </c>
      <c r="M2158" s="16" t="n">
        <v>45962</v>
      </c>
      <c r="N2158" s="6" t="s">
        <v>104</v>
      </c>
      <c r="O2158" s="21" t="s">
        <v>104</v>
      </c>
      <c r="P2158" s="6" t="s">
        <v>104</v>
      </c>
      <c r="Q2158" s="6" t="s">
        <v>104</v>
      </c>
      <c r="R2158" s="6" t="s">
        <v>104</v>
      </c>
      <c r="S2158" s="6" t="s">
        <v>104</v>
      </c>
      <c r="T2158" s="21" t="s">
        <v>104</v>
      </c>
      <c r="U2158" s="6" t="s">
        <v>104</v>
      </c>
      <c r="V2158" s="6" t="s">
        <v>104</v>
      </c>
      <c r="W2158" s="6" t="s">
        <v>104</v>
      </c>
      <c r="X2158" s="6" t="s">
        <v>104</v>
      </c>
      <c r="Y2158" s="21" t="s">
        <v>104</v>
      </c>
      <c r="Z2158" s="6" t="s">
        <v>104</v>
      </c>
      <c r="AA2158" s="6" t="s">
        <v>104</v>
      </c>
      <c r="AB2158" s="6" t="s">
        <v>104</v>
      </c>
      <c r="AC2158" s="6" t="s">
        <v>9714</v>
      </c>
      <c r="AD2158" s="16" t="n">
        <v>42815</v>
      </c>
      <c r="AE2158" s="6" t="s">
        <v>12402</v>
      </c>
      <c r="AF2158" s="6" t="s">
        <v>104</v>
      </c>
      <c r="AG2158" s="6" t="s">
        <v>104</v>
      </c>
      <c r="AH2158" s="6" t="s">
        <v>15131</v>
      </c>
      <c r="AI2158" s="6" t="s">
        <v>104</v>
      </c>
      <c r="AJ2158" s="6" t="s">
        <v>8479</v>
      </c>
      <c r="AK2158" s="6" t="s">
        <v>16887</v>
      </c>
      <c r="AL2158" s="6" t="s">
        <v>16930</v>
      </c>
      <c r="AM2158" s="6" t="s">
        <v>18389</v>
      </c>
      <c r="AN2158" s="6" t="s">
        <v>104</v>
      </c>
      <c r="AO2158" s="6" t="s">
        <v>104</v>
      </c>
      <c r="AP2158" s="6" t="s">
        <v>104</v>
      </c>
      <c r="AQ2158" s="6" t="s">
        <v>104</v>
      </c>
      <c r="AR2158" s="6" t="s">
        <v>104</v>
      </c>
      <c r="AS2158" s="6" t="s">
        <v>104</v>
      </c>
      <c r="AT2158" s="6" t="s">
        <v>104</v>
      </c>
      <c r="AU2158" s="6" t="s">
        <v>104</v>
      </c>
      <c r="AV2158" s="6" t="s">
        <v>104</v>
      </c>
      <c r="AW2158" s="6" t="s">
        <v>104</v>
      </c>
      <c r="AX2158" s="6" t="s">
        <v>21773</v>
      </c>
      <c r="AY2158" s="6" t="s">
        <v>23607</v>
      </c>
      <c r="AZ2158" s="6" t="s">
        <v>104</v>
      </c>
      <c r="BA2158" s="6" t="s">
        <v>24269</v>
      </c>
      <c r="BB2158" s="24" t="n">
        <v>0</v>
      </c>
      <c r="BC2158" s="26"/>
      <c r="BD2158" s="26"/>
      <c r="BE2158" s="26"/>
      <c r="BF2158" s="26"/>
      <c r="BG2158" s="26"/>
      <c r="BH2158" s="26"/>
      <c r="BI2158" s="26"/>
      <c r="BJ2158" s="26"/>
      <c r="BK2158" s="26"/>
      <c r="BL2158" s="26"/>
      <c r="BM2158" s="26"/>
      <c r="BN2158" s="26"/>
      <c r="BO2158" s="26"/>
      <c r="BP2158" s="16" t="n">
        <v>45727</v>
      </c>
      <c r="BQ2158" s="28" t="str">
        <f>HYPERLINK("https://organic.ams.usda.gov/Integrity/Certificate.aspx?cid=24&amp;nopid=7880168500")</f>
        <v>https://organic.ams.usda.gov/Integrity/Certificate.aspx?cid=24&amp;nopid=7880168500</v>
      </c>
    </row>
    <row r="2159">
      <c r="A2159" t="s">
        <v>3</v>
      </c>
      <c r="B2159" s="6" t="s">
        <v>48</v>
      </c>
      <c r="C2159" s="6" t="s">
        <v>114</v>
      </c>
      <c r="D2159" s="6" t="s">
        <v>178</v>
      </c>
      <c r="E2159" s="10" t="s">
        <v>2357</v>
      </c>
      <c r="F2159" s="6" t="s">
        <v>4558</v>
      </c>
      <c r="G2159" s="6" t="s">
        <v>104</v>
      </c>
      <c r="H2159" s="6" t="s">
        <v>6824</v>
      </c>
      <c r="I2159" s="6" t="s">
        <v>104</v>
      </c>
      <c r="J2159" s="6" t="s">
        <v>104</v>
      </c>
      <c r="K2159" s="6" t="s">
        <v>9714</v>
      </c>
      <c r="L2159" s="16" t="n">
        <v>38118</v>
      </c>
      <c r="M2159" s="16" t="n">
        <v>46053</v>
      </c>
      <c r="N2159" s="6" t="s">
        <v>9714</v>
      </c>
      <c r="O2159" s="16" t="n">
        <v>38118</v>
      </c>
      <c r="P2159" s="6" t="s">
        <v>10261</v>
      </c>
      <c r="Q2159" s="6" t="s">
        <v>104</v>
      </c>
      <c r="R2159" s="6" t="s">
        <v>104</v>
      </c>
      <c r="S2159" s="6" t="s">
        <v>104</v>
      </c>
      <c r="T2159" s="21" t="s">
        <v>104</v>
      </c>
      <c r="U2159" s="6" t="s">
        <v>104</v>
      </c>
      <c r="V2159" s="6" t="s">
        <v>104</v>
      </c>
      <c r="W2159" s="6" t="s">
        <v>104</v>
      </c>
      <c r="X2159" s="6" t="s">
        <v>104</v>
      </c>
      <c r="Y2159" s="21" t="s">
        <v>104</v>
      </c>
      <c r="Z2159" s="6" t="s">
        <v>104</v>
      </c>
      <c r="AA2159" s="6" t="s">
        <v>104</v>
      </c>
      <c r="AB2159" s="6" t="s">
        <v>104</v>
      </c>
      <c r="AC2159" s="6" t="s">
        <v>9714</v>
      </c>
      <c r="AD2159" s="16" t="n">
        <v>38118</v>
      </c>
      <c r="AE2159" s="6" t="s">
        <v>12403</v>
      </c>
      <c r="AF2159" s="6" t="s">
        <v>104</v>
      </c>
      <c r="AG2159" s="6" t="s">
        <v>104</v>
      </c>
      <c r="AH2159" s="6" t="s">
        <v>15132</v>
      </c>
      <c r="AI2159" s="6" t="s">
        <v>104</v>
      </c>
      <c r="AJ2159" s="6" t="s">
        <v>16629</v>
      </c>
      <c r="AK2159" s="6" t="s">
        <v>104</v>
      </c>
      <c r="AL2159" s="6" t="s">
        <v>16960</v>
      </c>
      <c r="AM2159" s="6" t="s">
        <v>18390</v>
      </c>
      <c r="AN2159" s="6" t="s">
        <v>104</v>
      </c>
      <c r="AO2159" s="6" t="s">
        <v>104</v>
      </c>
      <c r="AP2159" s="6" t="s">
        <v>15132</v>
      </c>
      <c r="AQ2159" s="6" t="s">
        <v>104</v>
      </c>
      <c r="AR2159" s="6" t="s">
        <v>16629</v>
      </c>
      <c r="AS2159" s="6" t="s">
        <v>104</v>
      </c>
      <c r="AT2159" s="6" t="s">
        <v>16960</v>
      </c>
      <c r="AU2159" s="6" t="s">
        <v>18390</v>
      </c>
      <c r="AV2159" s="6" t="s">
        <v>104</v>
      </c>
      <c r="AW2159" s="6" t="s">
        <v>104</v>
      </c>
      <c r="AX2159" s="6" t="s">
        <v>21774</v>
      </c>
      <c r="AY2159" s="6" t="s">
        <v>23608</v>
      </c>
      <c r="AZ2159" s="6" t="s">
        <v>104</v>
      </c>
      <c r="BA2159" s="6" t="s">
        <v>104</v>
      </c>
      <c r="BB2159" s="24" t="n">
        <v>147</v>
      </c>
      <c r="BC2159" s="26"/>
      <c r="BD2159" s="26"/>
      <c r="BE2159" s="26"/>
      <c r="BF2159" s="26"/>
      <c r="BG2159" s="26"/>
      <c r="BH2159" s="26"/>
      <c r="BI2159" s="26"/>
      <c r="BJ2159" s="26"/>
      <c r="BK2159" s="26"/>
      <c r="BL2159" s="26"/>
      <c r="BM2159" s="26"/>
      <c r="BN2159" s="26"/>
      <c r="BO2159" s="26"/>
      <c r="BP2159" s="16" t="n">
        <v>45656</v>
      </c>
      <c r="BQ2159" s="28" t="str">
        <f>HYPERLINK("https://organic.ams.usda.gov/Integrity/Certificate.aspx?cid=9&amp;nopid=1200770000")</f>
        <v>https://organic.ams.usda.gov/Integrity/Certificate.aspx?cid=9&amp;nopid=1200770000</v>
      </c>
    </row>
    <row r="2160">
      <c r="A2160" t="s">
        <v>3</v>
      </c>
      <c r="B2160" s="6" t="s">
        <v>41</v>
      </c>
      <c r="C2160" s="6" t="s">
        <v>107</v>
      </c>
      <c r="D2160" s="6" t="s">
        <v>171</v>
      </c>
      <c r="E2160" s="10" t="s">
        <v>2358</v>
      </c>
      <c r="F2160" s="6" t="s">
        <v>4559</v>
      </c>
      <c r="G2160" s="6" t="s">
        <v>4884</v>
      </c>
      <c r="H2160" s="6" t="s">
        <v>6825</v>
      </c>
      <c r="I2160" s="6" t="s">
        <v>7135</v>
      </c>
      <c r="J2160" s="6" t="s">
        <v>9652</v>
      </c>
      <c r="K2160" s="6" t="s">
        <v>9714</v>
      </c>
      <c r="L2160" s="16" t="n">
        <v>42893</v>
      </c>
      <c r="M2160" s="16" t="n">
        <v>46157</v>
      </c>
      <c r="N2160" s="6" t="s">
        <v>9714</v>
      </c>
      <c r="O2160" s="16" t="n">
        <v>42893</v>
      </c>
      <c r="P2160" s="6" t="s">
        <v>10262</v>
      </c>
      <c r="Q2160" s="6" t="s">
        <v>104</v>
      </c>
      <c r="R2160" s="6" t="s">
        <v>104</v>
      </c>
      <c r="S2160" s="6" t="s">
        <v>104</v>
      </c>
      <c r="T2160" s="21" t="s">
        <v>104</v>
      </c>
      <c r="U2160" s="6" t="s">
        <v>104</v>
      </c>
      <c r="V2160" s="6" t="s">
        <v>104</v>
      </c>
      <c r="W2160" s="6" t="s">
        <v>104</v>
      </c>
      <c r="X2160" s="6" t="s">
        <v>104</v>
      </c>
      <c r="Y2160" s="21" t="s">
        <v>104</v>
      </c>
      <c r="Z2160" s="6" t="s">
        <v>104</v>
      </c>
      <c r="AA2160" s="6" t="s">
        <v>104</v>
      </c>
      <c r="AB2160" s="6" t="s">
        <v>104</v>
      </c>
      <c r="AC2160" s="6" t="s">
        <v>9714</v>
      </c>
      <c r="AD2160" s="16" t="n">
        <v>42893</v>
      </c>
      <c r="AE2160" s="6" t="s">
        <v>12404</v>
      </c>
      <c r="AF2160" s="6" t="s">
        <v>104</v>
      </c>
      <c r="AG2160" s="6" t="s">
        <v>104</v>
      </c>
      <c r="AH2160" s="6" t="s">
        <v>15133</v>
      </c>
      <c r="AI2160" s="6" t="s">
        <v>104</v>
      </c>
      <c r="AJ2160" s="6" t="s">
        <v>15824</v>
      </c>
      <c r="AK2160" s="6" t="s">
        <v>16706</v>
      </c>
      <c r="AL2160" s="6" t="s">
        <v>16931</v>
      </c>
      <c r="AM2160" s="6" t="s">
        <v>18391</v>
      </c>
      <c r="AN2160" s="6" t="s">
        <v>18458</v>
      </c>
      <c r="AO2160" s="6" t="s">
        <v>18671</v>
      </c>
      <c r="AP2160" s="6" t="s">
        <v>15133</v>
      </c>
      <c r="AQ2160" s="6" t="s">
        <v>104</v>
      </c>
      <c r="AR2160" s="6" t="s">
        <v>15824</v>
      </c>
      <c r="AS2160" s="6" t="s">
        <v>16706</v>
      </c>
      <c r="AT2160" s="6" t="s">
        <v>16931</v>
      </c>
      <c r="AU2160" s="6" t="s">
        <v>18391</v>
      </c>
      <c r="AV2160" s="6" t="s">
        <v>104</v>
      </c>
      <c r="AW2160" s="6" t="s">
        <v>104</v>
      </c>
      <c r="AX2160" s="6" t="s">
        <v>21775</v>
      </c>
      <c r="AY2160" s="6" t="s">
        <v>23609</v>
      </c>
      <c r="AZ2160" s="6" t="s">
        <v>24236</v>
      </c>
      <c r="BA2160" s="6" t="s">
        <v>104</v>
      </c>
      <c r="BB2160" s="24" t="n">
        <v>213</v>
      </c>
      <c r="BC2160" s="26"/>
      <c r="BD2160" s="26"/>
      <c r="BE2160" s="26"/>
      <c r="BF2160" s="26"/>
      <c r="BG2160" s="26" t="s">
        <v>24533</v>
      </c>
      <c r="BH2160" s="26"/>
      <c r="BI2160" s="26"/>
      <c r="BJ2160" s="26"/>
      <c r="BK2160" s="26"/>
      <c r="BL2160" s="26"/>
      <c r="BM2160" s="26"/>
      <c r="BN2160" s="26"/>
      <c r="BO2160" s="26"/>
      <c r="BP2160" s="16" t="n">
        <v>45737</v>
      </c>
      <c r="BQ2160" s="28" t="str">
        <f>HYPERLINK("https://organic.ams.usda.gov/Integrity/Certificate.aspx?cid=58&amp;nopid=1600002849")</f>
        <v>https://organic.ams.usda.gov/Integrity/Certificate.aspx?cid=58&amp;nopid=1600002849</v>
      </c>
    </row>
    <row r="2161">
      <c r="A2161" t="s">
        <v>3</v>
      </c>
      <c r="B2161" s="6" t="s">
        <v>34</v>
      </c>
      <c r="C2161" s="6" t="s">
        <v>100</v>
      </c>
      <c r="D2161" s="6" t="s">
        <v>165</v>
      </c>
      <c r="E2161" s="10" t="s">
        <v>2359</v>
      </c>
      <c r="F2161" s="6" t="s">
        <v>4560</v>
      </c>
      <c r="G2161" s="6" t="s">
        <v>104</v>
      </c>
      <c r="H2161" s="6" t="s">
        <v>6826</v>
      </c>
      <c r="I2161" s="6" t="s">
        <v>8082</v>
      </c>
      <c r="J2161" s="6" t="s">
        <v>9653</v>
      </c>
      <c r="K2161" s="6" t="s">
        <v>9714</v>
      </c>
      <c r="L2161" s="16" t="n">
        <v>37375</v>
      </c>
      <c r="M2161" s="16" t="n">
        <v>45695</v>
      </c>
      <c r="N2161" s="6" t="s">
        <v>104</v>
      </c>
      <c r="O2161" s="21" t="s">
        <v>104</v>
      </c>
      <c r="P2161" s="6" t="s">
        <v>104</v>
      </c>
      <c r="Q2161" s="6" t="s">
        <v>104</v>
      </c>
      <c r="R2161" s="6" t="s">
        <v>104</v>
      </c>
      <c r="S2161" s="6" t="s">
        <v>104</v>
      </c>
      <c r="T2161" s="21" t="s">
        <v>104</v>
      </c>
      <c r="U2161" s="6" t="s">
        <v>104</v>
      </c>
      <c r="V2161" s="6" t="s">
        <v>104</v>
      </c>
      <c r="W2161" s="6" t="s">
        <v>104</v>
      </c>
      <c r="X2161" s="6" t="s">
        <v>104</v>
      </c>
      <c r="Y2161" s="21" t="s">
        <v>104</v>
      </c>
      <c r="Z2161" s="6" t="s">
        <v>104</v>
      </c>
      <c r="AA2161" s="6" t="s">
        <v>104</v>
      </c>
      <c r="AB2161" s="6" t="s">
        <v>104</v>
      </c>
      <c r="AC2161" s="6" t="s">
        <v>9714</v>
      </c>
      <c r="AD2161" s="16" t="n">
        <v>37375</v>
      </c>
      <c r="AE2161" s="6" t="s">
        <v>12405</v>
      </c>
      <c r="AF2161" s="6" t="s">
        <v>104</v>
      </c>
      <c r="AG2161" s="6" t="s">
        <v>13127</v>
      </c>
      <c r="AH2161" s="6" t="s">
        <v>15134</v>
      </c>
      <c r="AI2161" s="6" t="s">
        <v>104</v>
      </c>
      <c r="AJ2161" s="6" t="s">
        <v>16630</v>
      </c>
      <c r="AK2161" s="6" t="s">
        <v>16751</v>
      </c>
      <c r="AL2161" s="6" t="s">
        <v>16931</v>
      </c>
      <c r="AM2161" s="6" t="s">
        <v>18392</v>
      </c>
      <c r="AN2161" s="6" t="s">
        <v>18523</v>
      </c>
      <c r="AO2161" s="6" t="s">
        <v>18928</v>
      </c>
      <c r="AP2161" s="6" t="s">
        <v>19523</v>
      </c>
      <c r="AQ2161" s="6" t="s">
        <v>104</v>
      </c>
      <c r="AR2161" s="6" t="s">
        <v>16630</v>
      </c>
      <c r="AS2161" s="6" t="s">
        <v>16751</v>
      </c>
      <c r="AT2161" s="6" t="s">
        <v>16931</v>
      </c>
      <c r="AU2161" s="6" t="s">
        <v>18392</v>
      </c>
      <c r="AV2161" s="6" t="s">
        <v>104</v>
      </c>
      <c r="AW2161" s="6" t="s">
        <v>104</v>
      </c>
      <c r="AX2161" s="6" t="s">
        <v>21776</v>
      </c>
      <c r="AY2161" s="6" t="s">
        <v>23610</v>
      </c>
      <c r="AZ2161" s="6" t="s">
        <v>104</v>
      </c>
      <c r="BA2161" s="6" t="s">
        <v>104</v>
      </c>
      <c r="BB2161" s="6" t="s">
        <v>104</v>
      </c>
      <c r="BC2161" s="26"/>
      <c r="BD2161" s="26"/>
      <c r="BE2161" s="26"/>
      <c r="BF2161" s="26"/>
      <c r="BG2161" s="26"/>
      <c r="BH2161" s="26"/>
      <c r="BI2161" s="26"/>
      <c r="BJ2161" s="26"/>
      <c r="BK2161" s="26"/>
      <c r="BL2161" s="26"/>
      <c r="BM2161" s="26"/>
      <c r="BN2161" s="26"/>
      <c r="BO2161" s="26"/>
      <c r="BP2161" s="16" t="n">
        <v>45737</v>
      </c>
      <c r="BQ2161" s="28" t="str">
        <f>HYPERLINK("https://organic.ams.usda.gov/Integrity/Certificate.aspx?cid=71&amp;nopid=5520030123")</f>
        <v>https://organic.ams.usda.gov/Integrity/Certificate.aspx?cid=71&amp;nopid=5520030123</v>
      </c>
    </row>
    <row r="2162">
      <c r="A2162" t="s">
        <v>3</v>
      </c>
      <c r="B2162" s="6" t="s">
        <v>21</v>
      </c>
      <c r="C2162" s="6" t="s">
        <v>87</v>
      </c>
      <c r="D2162" s="6" t="s">
        <v>152</v>
      </c>
      <c r="E2162" s="10" t="s">
        <v>2360</v>
      </c>
      <c r="F2162" s="6" t="s">
        <v>4561</v>
      </c>
      <c r="G2162" s="6" t="s">
        <v>104</v>
      </c>
      <c r="H2162" s="6" t="s">
        <v>6827</v>
      </c>
      <c r="I2162" s="6" t="s">
        <v>7151</v>
      </c>
      <c r="J2162" s="6" t="s">
        <v>9654</v>
      </c>
      <c r="K2162" s="6" t="s">
        <v>9714</v>
      </c>
      <c r="L2162" s="16" t="n">
        <v>37518</v>
      </c>
      <c r="M2162" s="16" t="n">
        <v>46023</v>
      </c>
      <c r="N2162" s="6" t="s">
        <v>104</v>
      </c>
      <c r="O2162" s="21" t="s">
        <v>104</v>
      </c>
      <c r="P2162" s="6" t="s">
        <v>104</v>
      </c>
      <c r="Q2162" s="6" t="s">
        <v>104</v>
      </c>
      <c r="R2162" s="6" t="s">
        <v>104</v>
      </c>
      <c r="S2162" s="6" t="s">
        <v>104</v>
      </c>
      <c r="T2162" s="21" t="s">
        <v>104</v>
      </c>
      <c r="U2162" s="6" t="s">
        <v>104</v>
      </c>
      <c r="V2162" s="6" t="s">
        <v>104</v>
      </c>
      <c r="W2162" s="6" t="s">
        <v>104</v>
      </c>
      <c r="X2162" s="6" t="s">
        <v>104</v>
      </c>
      <c r="Y2162" s="21" t="s">
        <v>104</v>
      </c>
      <c r="Z2162" s="6" t="s">
        <v>104</v>
      </c>
      <c r="AA2162" s="6" t="s">
        <v>104</v>
      </c>
      <c r="AB2162" s="6" t="s">
        <v>104</v>
      </c>
      <c r="AC2162" s="6" t="s">
        <v>9714</v>
      </c>
      <c r="AD2162" s="16" t="n">
        <v>37518</v>
      </c>
      <c r="AE2162" s="6" t="s">
        <v>12406</v>
      </c>
      <c r="AF2162" s="6" t="s">
        <v>104</v>
      </c>
      <c r="AG2162" s="6" t="s">
        <v>104</v>
      </c>
      <c r="AH2162" s="6" t="s">
        <v>15135</v>
      </c>
      <c r="AI2162" s="6" t="s">
        <v>104</v>
      </c>
      <c r="AJ2162" s="6" t="s">
        <v>16631</v>
      </c>
      <c r="AK2162" s="6" t="s">
        <v>16687</v>
      </c>
      <c r="AL2162" s="6" t="s">
        <v>16931</v>
      </c>
      <c r="AM2162" s="6" t="s">
        <v>18393</v>
      </c>
      <c r="AN2162" s="6" t="s">
        <v>18510</v>
      </c>
      <c r="AO2162" s="6" t="s">
        <v>18929</v>
      </c>
      <c r="AP2162" s="6" t="s">
        <v>15135</v>
      </c>
      <c r="AQ2162" s="6" t="s">
        <v>104</v>
      </c>
      <c r="AR2162" s="6" t="s">
        <v>16631</v>
      </c>
      <c r="AS2162" s="6" t="s">
        <v>16687</v>
      </c>
      <c r="AT2162" s="6" t="s">
        <v>16931</v>
      </c>
      <c r="AU2162" s="6" t="s">
        <v>18393</v>
      </c>
      <c r="AV2162" s="6" t="s">
        <v>104</v>
      </c>
      <c r="AW2162" s="6" t="s">
        <v>104</v>
      </c>
      <c r="AX2162" s="6" t="s">
        <v>21777</v>
      </c>
      <c r="AY2162" s="6" t="s">
        <v>23611</v>
      </c>
      <c r="AZ2162" s="6" t="s">
        <v>24237</v>
      </c>
      <c r="BA2162" s="6" t="s">
        <v>24521</v>
      </c>
      <c r="BB2162" s="6" t="s">
        <v>104</v>
      </c>
      <c r="BC2162" s="26"/>
      <c r="BD2162" s="26"/>
      <c r="BE2162" s="26"/>
      <c r="BF2162" s="26"/>
      <c r="BG2162" s="26"/>
      <c r="BH2162" s="26"/>
      <c r="BI2162" s="26"/>
      <c r="BJ2162" s="26"/>
      <c r="BK2162" s="26"/>
      <c r="BL2162" s="26"/>
      <c r="BM2162" s="26"/>
      <c r="BN2162" s="26"/>
      <c r="BO2162" s="26"/>
      <c r="BP2162" s="16" t="n">
        <v>45667</v>
      </c>
      <c r="BQ2162" s="28" t="str">
        <f>HYPERLINK("https://organic.ams.usda.gov/Integrity/Certificate.aspx?cid=15&amp;nopid=5561002206")</f>
        <v>https://organic.ams.usda.gov/Integrity/Certificate.aspx?cid=15&amp;nopid=5561002206</v>
      </c>
    </row>
    <row r="2163">
      <c r="A2163" t="s">
        <v>3</v>
      </c>
      <c r="B2163" s="6" t="s">
        <v>25</v>
      </c>
      <c r="C2163" s="6" t="s">
        <v>91</v>
      </c>
      <c r="D2163" s="6" t="s">
        <v>156</v>
      </c>
      <c r="E2163" s="10" t="s">
        <v>2361</v>
      </c>
      <c r="F2163" s="6" t="s">
        <v>4562</v>
      </c>
      <c r="G2163" s="6" t="s">
        <v>104</v>
      </c>
      <c r="H2163" s="6" t="s">
        <v>6828</v>
      </c>
      <c r="I2163" s="6" t="s">
        <v>7489</v>
      </c>
      <c r="J2163" s="6" t="s">
        <v>8799</v>
      </c>
      <c r="K2163" s="6" t="s">
        <v>9714</v>
      </c>
      <c r="L2163" s="16" t="n">
        <v>45425</v>
      </c>
      <c r="M2163" s="16" t="n">
        <v>45717</v>
      </c>
      <c r="N2163" s="6" t="s">
        <v>104</v>
      </c>
      <c r="O2163" s="21" t="s">
        <v>104</v>
      </c>
      <c r="P2163" s="6" t="s">
        <v>104</v>
      </c>
      <c r="Q2163" s="6" t="s">
        <v>104</v>
      </c>
      <c r="R2163" s="6" t="s">
        <v>104</v>
      </c>
      <c r="S2163" s="6" t="s">
        <v>104</v>
      </c>
      <c r="T2163" s="21" t="s">
        <v>104</v>
      </c>
      <c r="U2163" s="6" t="s">
        <v>104</v>
      </c>
      <c r="V2163" s="6" t="s">
        <v>104</v>
      </c>
      <c r="W2163" s="6" t="s">
        <v>104</v>
      </c>
      <c r="X2163" s="6" t="s">
        <v>104</v>
      </c>
      <c r="Y2163" s="21" t="s">
        <v>104</v>
      </c>
      <c r="Z2163" s="6" t="s">
        <v>104</v>
      </c>
      <c r="AA2163" s="6" t="s">
        <v>104</v>
      </c>
      <c r="AB2163" s="6" t="s">
        <v>104</v>
      </c>
      <c r="AC2163" s="6" t="s">
        <v>9714</v>
      </c>
      <c r="AD2163" s="16" t="n">
        <v>45425</v>
      </c>
      <c r="AE2163" s="6" t="s">
        <v>12008</v>
      </c>
      <c r="AF2163" s="6" t="s">
        <v>104</v>
      </c>
      <c r="AG2163" s="6" t="s">
        <v>104</v>
      </c>
      <c r="AH2163" s="6" t="s">
        <v>15136</v>
      </c>
      <c r="AI2163" s="6" t="s">
        <v>104</v>
      </c>
      <c r="AJ2163" s="6" t="s">
        <v>15943</v>
      </c>
      <c r="AK2163" s="6" t="s">
        <v>16820</v>
      </c>
      <c r="AL2163" s="6" t="s">
        <v>16935</v>
      </c>
      <c r="AM2163" s="6" t="s">
        <v>17579</v>
      </c>
      <c r="AN2163" s="6" t="s">
        <v>104</v>
      </c>
      <c r="AO2163" s="6" t="s">
        <v>104</v>
      </c>
      <c r="AP2163" s="6" t="s">
        <v>19524</v>
      </c>
      <c r="AQ2163" s="6" t="s">
        <v>104</v>
      </c>
      <c r="AR2163" s="6" t="s">
        <v>16820</v>
      </c>
      <c r="AS2163" s="6" t="s">
        <v>16820</v>
      </c>
      <c r="AT2163" s="6" t="s">
        <v>16935</v>
      </c>
      <c r="AU2163" s="6" t="s">
        <v>19910</v>
      </c>
      <c r="AV2163" s="6" t="s">
        <v>104</v>
      </c>
      <c r="AW2163" s="6" t="s">
        <v>104</v>
      </c>
      <c r="AX2163" s="6" t="s">
        <v>104</v>
      </c>
      <c r="AY2163" s="6" t="s">
        <v>22584</v>
      </c>
      <c r="AZ2163" s="6" t="s">
        <v>104</v>
      </c>
      <c r="BA2163" s="6" t="s">
        <v>24264</v>
      </c>
      <c r="BB2163" s="6" t="s">
        <v>104</v>
      </c>
      <c r="BC2163" s="26"/>
      <c r="BD2163" s="26"/>
      <c r="BE2163" s="26"/>
      <c r="BF2163" s="26"/>
      <c r="BG2163" s="26"/>
      <c r="BH2163" s="26" t="s">
        <v>24533</v>
      </c>
      <c r="BI2163" s="26"/>
      <c r="BJ2163" s="26"/>
      <c r="BK2163" s="26"/>
      <c r="BL2163" s="26"/>
      <c r="BM2163" s="26"/>
      <c r="BN2163" s="26"/>
      <c r="BO2163" s="26"/>
      <c r="BP2163" s="16" t="n">
        <v>45425</v>
      </c>
      <c r="BQ2163" s="28" t="str">
        <f>HYPERLINK("https://organic.ams.usda.gov/Integrity/Certificate.aspx?cid=66&amp;nopid=5500007175")</f>
        <v>https://organic.ams.usda.gov/Integrity/Certificate.aspx?cid=66&amp;nopid=5500007175</v>
      </c>
    </row>
    <row r="2164">
      <c r="A2164" t="s">
        <v>3</v>
      </c>
      <c r="B2164" s="6" t="s">
        <v>19</v>
      </c>
      <c r="C2164" s="6" t="s">
        <v>85</v>
      </c>
      <c r="D2164" s="6" t="s">
        <v>150</v>
      </c>
      <c r="E2164" s="10" t="s">
        <v>2362</v>
      </c>
      <c r="F2164" s="6" t="s">
        <v>4563</v>
      </c>
      <c r="G2164" s="6" t="s">
        <v>104</v>
      </c>
      <c r="H2164" s="6" t="s">
        <v>6829</v>
      </c>
      <c r="I2164" s="6" t="s">
        <v>8083</v>
      </c>
      <c r="J2164" s="6" t="s">
        <v>8564</v>
      </c>
      <c r="K2164" s="6" t="s">
        <v>9714</v>
      </c>
      <c r="L2164" s="16" t="n">
        <v>40118</v>
      </c>
      <c r="M2164" s="16" t="n">
        <v>45717</v>
      </c>
      <c r="N2164" s="6" t="s">
        <v>9714</v>
      </c>
      <c r="O2164" s="16" t="n">
        <v>40118</v>
      </c>
      <c r="P2164" s="6" t="s">
        <v>10263</v>
      </c>
      <c r="Q2164" s="6" t="s">
        <v>104</v>
      </c>
      <c r="R2164" s="6" t="s">
        <v>104</v>
      </c>
      <c r="S2164" s="6" t="s">
        <v>104</v>
      </c>
      <c r="T2164" s="21" t="s">
        <v>104</v>
      </c>
      <c r="U2164" s="6" t="s">
        <v>104</v>
      </c>
      <c r="V2164" s="6" t="s">
        <v>104</v>
      </c>
      <c r="W2164" s="6" t="s">
        <v>104</v>
      </c>
      <c r="X2164" s="6" t="s">
        <v>104</v>
      </c>
      <c r="Y2164" s="21" t="s">
        <v>104</v>
      </c>
      <c r="Z2164" s="6" t="s">
        <v>104</v>
      </c>
      <c r="AA2164" s="6" t="s">
        <v>104</v>
      </c>
      <c r="AB2164" s="6" t="s">
        <v>104</v>
      </c>
      <c r="AC2164" s="6" t="s">
        <v>9714</v>
      </c>
      <c r="AD2164" s="16" t="n">
        <v>43129</v>
      </c>
      <c r="AE2164" s="6" t="s">
        <v>12407</v>
      </c>
      <c r="AF2164" s="6" t="s">
        <v>104</v>
      </c>
      <c r="AG2164" s="6" t="s">
        <v>104</v>
      </c>
      <c r="AH2164" s="6" t="s">
        <v>15137</v>
      </c>
      <c r="AI2164" s="6" t="s">
        <v>104</v>
      </c>
      <c r="AJ2164" s="6" t="s">
        <v>16632</v>
      </c>
      <c r="AK2164" s="6" t="s">
        <v>16686</v>
      </c>
      <c r="AL2164" s="6" t="s">
        <v>16931</v>
      </c>
      <c r="AM2164" s="6" t="s">
        <v>18394</v>
      </c>
      <c r="AN2164" s="6" t="s">
        <v>18456</v>
      </c>
      <c r="AO2164" s="6" t="s">
        <v>18679</v>
      </c>
      <c r="AP2164" s="6" t="s">
        <v>15137</v>
      </c>
      <c r="AQ2164" s="6" t="s">
        <v>104</v>
      </c>
      <c r="AR2164" s="6" t="s">
        <v>16632</v>
      </c>
      <c r="AS2164" s="6" t="s">
        <v>16686</v>
      </c>
      <c r="AT2164" s="6" t="s">
        <v>16931</v>
      </c>
      <c r="AU2164" s="6" t="s">
        <v>18394</v>
      </c>
      <c r="AV2164" s="6" t="s">
        <v>104</v>
      </c>
      <c r="AW2164" s="6" t="s">
        <v>104</v>
      </c>
      <c r="AX2164" s="6" t="s">
        <v>21778</v>
      </c>
      <c r="AY2164" s="6" t="s">
        <v>104</v>
      </c>
      <c r="AZ2164" s="6" t="s">
        <v>104</v>
      </c>
      <c r="BA2164" s="6" t="s">
        <v>104</v>
      </c>
      <c r="BB2164" s="24" t="n">
        <v>467</v>
      </c>
      <c r="BC2164" s="26"/>
      <c r="BD2164" s="26"/>
      <c r="BE2164" s="26"/>
      <c r="BF2164" s="26"/>
      <c r="BG2164" s="26"/>
      <c r="BH2164" s="26"/>
      <c r="BI2164" s="26"/>
      <c r="BJ2164" s="26"/>
      <c r="BK2164" s="26"/>
      <c r="BL2164" s="26"/>
      <c r="BM2164" s="26"/>
      <c r="BN2164" s="26"/>
      <c r="BO2164" s="26"/>
      <c r="BP2164" s="16" t="n">
        <v>45684</v>
      </c>
      <c r="BQ2164" s="28" t="str">
        <f>HYPERLINK("https://organic.ams.usda.gov/Integrity/Certificate.aspx?cid=68&amp;nopid=8210003415")</f>
        <v>https://organic.ams.usda.gov/Integrity/Certificate.aspx?cid=68&amp;nopid=8210003415</v>
      </c>
    </row>
    <row r="2165">
      <c r="A2165" t="s">
        <v>3</v>
      </c>
      <c r="B2165" s="6" t="s">
        <v>20</v>
      </c>
      <c r="C2165" s="6" t="s">
        <v>86</v>
      </c>
      <c r="D2165" s="6" t="s">
        <v>151</v>
      </c>
      <c r="E2165" s="10" t="s">
        <v>2363</v>
      </c>
      <c r="F2165" s="6" t="s">
        <v>4564</v>
      </c>
      <c r="G2165" s="6" t="s">
        <v>104</v>
      </c>
      <c r="H2165" s="6" t="s">
        <v>6830</v>
      </c>
      <c r="I2165" s="6" t="s">
        <v>8084</v>
      </c>
      <c r="J2165" s="6" t="s">
        <v>9655</v>
      </c>
      <c r="K2165" s="6" t="s">
        <v>9714</v>
      </c>
      <c r="L2165" s="16" t="n">
        <v>44546</v>
      </c>
      <c r="M2165" s="16" t="n">
        <v>45838</v>
      </c>
      <c r="N2165" s="6" t="s">
        <v>9714</v>
      </c>
      <c r="O2165" s="16" t="n">
        <v>44546</v>
      </c>
      <c r="P2165" s="6" t="s">
        <v>9921</v>
      </c>
      <c r="Q2165" s="6" t="s">
        <v>104</v>
      </c>
      <c r="R2165" s="6" t="s">
        <v>10452</v>
      </c>
      <c r="S2165" s="6" t="s">
        <v>104</v>
      </c>
      <c r="T2165" s="21" t="s">
        <v>104</v>
      </c>
      <c r="U2165" s="6" t="s">
        <v>104</v>
      </c>
      <c r="V2165" s="6" t="s">
        <v>104</v>
      </c>
      <c r="W2165" s="6" t="s">
        <v>104</v>
      </c>
      <c r="X2165" s="6" t="s">
        <v>104</v>
      </c>
      <c r="Y2165" s="21" t="s">
        <v>104</v>
      </c>
      <c r="Z2165" s="6" t="s">
        <v>104</v>
      </c>
      <c r="AA2165" s="6" t="s">
        <v>104</v>
      </c>
      <c r="AB2165" s="6" t="s">
        <v>104</v>
      </c>
      <c r="AC2165" s="6" t="s">
        <v>9714</v>
      </c>
      <c r="AD2165" s="16" t="n">
        <v>44546</v>
      </c>
      <c r="AE2165" s="6" t="s">
        <v>11487</v>
      </c>
      <c r="AF2165" s="6" t="s">
        <v>104</v>
      </c>
      <c r="AG2165" s="6" t="s">
        <v>10452</v>
      </c>
      <c r="AH2165" s="6" t="s">
        <v>15138</v>
      </c>
      <c r="AI2165" s="6" t="s">
        <v>104</v>
      </c>
      <c r="AJ2165" s="6" t="s">
        <v>15482</v>
      </c>
      <c r="AK2165" s="6" t="s">
        <v>15482</v>
      </c>
      <c r="AL2165" s="6" t="s">
        <v>16939</v>
      </c>
      <c r="AM2165" s="6" t="s">
        <v>104</v>
      </c>
      <c r="AN2165" s="6" t="s">
        <v>104</v>
      </c>
      <c r="AO2165" s="6" t="s">
        <v>104</v>
      </c>
      <c r="AP2165" s="6" t="s">
        <v>104</v>
      </c>
      <c r="AQ2165" s="6" t="s">
        <v>104</v>
      </c>
      <c r="AR2165" s="6" t="s">
        <v>104</v>
      </c>
      <c r="AS2165" s="6" t="s">
        <v>104</v>
      </c>
      <c r="AT2165" s="6" t="s">
        <v>104</v>
      </c>
      <c r="AU2165" s="6" t="s">
        <v>104</v>
      </c>
      <c r="AV2165" s="6" t="s">
        <v>104</v>
      </c>
      <c r="AW2165" s="6" t="s">
        <v>104</v>
      </c>
      <c r="AX2165" s="6" t="s">
        <v>21779</v>
      </c>
      <c r="AY2165" s="6" t="s">
        <v>23612</v>
      </c>
      <c r="AZ2165" s="6" t="s">
        <v>104</v>
      </c>
      <c r="BA2165" s="6" t="s">
        <v>104</v>
      </c>
      <c r="BB2165" s="24" t="n">
        <v>1719</v>
      </c>
      <c r="BC2165" s="26"/>
      <c r="BD2165" s="26"/>
      <c r="BE2165" s="26"/>
      <c r="BF2165" s="26"/>
      <c r="BG2165" s="26"/>
      <c r="BH2165" s="26"/>
      <c r="BI2165" s="26"/>
      <c r="BJ2165" s="26"/>
      <c r="BK2165" s="26"/>
      <c r="BL2165" s="26"/>
      <c r="BM2165" s="26"/>
      <c r="BN2165" s="26"/>
      <c r="BO2165" s="26"/>
      <c r="BP2165" s="16" t="n">
        <v>45492</v>
      </c>
      <c r="BQ2165" s="28" t="str">
        <f>HYPERLINK("https://organic.ams.usda.gov/Integrity/Certificate.aspx?cid=17&amp;nopid=4084758096")</f>
        <v>https://organic.ams.usda.gov/Integrity/Certificate.aspx?cid=17&amp;nopid=4084758096</v>
      </c>
    </row>
    <row r="2166">
      <c r="A2166" t="s">
        <v>3</v>
      </c>
      <c r="B2166" s="6" t="s">
        <v>11</v>
      </c>
      <c r="C2166" s="6" t="s">
        <v>77</v>
      </c>
      <c r="D2166" s="6" t="s">
        <v>142</v>
      </c>
      <c r="E2166" s="10" t="s">
        <v>2364</v>
      </c>
      <c r="F2166" s="6" t="s">
        <v>4565</v>
      </c>
      <c r="G2166" s="6" t="s">
        <v>104</v>
      </c>
      <c r="H2166" s="6" t="s">
        <v>6831</v>
      </c>
      <c r="I2166" s="6" t="s">
        <v>8085</v>
      </c>
      <c r="J2166" s="6" t="s">
        <v>9656</v>
      </c>
      <c r="K2166" s="6" t="s">
        <v>9714</v>
      </c>
      <c r="L2166" s="16" t="n">
        <v>40630</v>
      </c>
      <c r="M2166" s="16" t="n">
        <v>45744</v>
      </c>
      <c r="N2166" s="6" t="s">
        <v>9714</v>
      </c>
      <c r="O2166" s="16" t="n">
        <v>40630</v>
      </c>
      <c r="P2166" s="6" t="s">
        <v>10264</v>
      </c>
      <c r="Q2166" s="6" t="s">
        <v>104</v>
      </c>
      <c r="R2166" s="6" t="s">
        <v>104</v>
      </c>
      <c r="S2166" s="6" t="s">
        <v>104</v>
      </c>
      <c r="T2166" s="21" t="s">
        <v>104</v>
      </c>
      <c r="U2166" s="6" t="s">
        <v>104</v>
      </c>
      <c r="V2166" s="6" t="s">
        <v>104</v>
      </c>
      <c r="W2166" s="6" t="s">
        <v>104</v>
      </c>
      <c r="X2166" s="6" t="s">
        <v>104</v>
      </c>
      <c r="Y2166" s="21" t="s">
        <v>104</v>
      </c>
      <c r="Z2166" s="6" t="s">
        <v>104</v>
      </c>
      <c r="AA2166" s="6" t="s">
        <v>104</v>
      </c>
      <c r="AB2166" s="6" t="s">
        <v>104</v>
      </c>
      <c r="AC2166" s="6" t="s">
        <v>9714</v>
      </c>
      <c r="AD2166" s="16" t="n">
        <v>40630</v>
      </c>
      <c r="AE2166" s="6" t="s">
        <v>12408</v>
      </c>
      <c r="AF2166" s="6" t="s">
        <v>104</v>
      </c>
      <c r="AG2166" s="6" t="s">
        <v>104</v>
      </c>
      <c r="AH2166" s="6" t="s">
        <v>15139</v>
      </c>
      <c r="AI2166" s="6" t="s">
        <v>15349</v>
      </c>
      <c r="AJ2166" s="6" t="s">
        <v>16633</v>
      </c>
      <c r="AK2166" s="6" t="s">
        <v>16917</v>
      </c>
      <c r="AL2166" s="6" t="s">
        <v>16946</v>
      </c>
      <c r="AM2166" s="6" t="s">
        <v>18395</v>
      </c>
      <c r="AN2166" s="6" t="s">
        <v>104</v>
      </c>
      <c r="AO2166" s="6" t="s">
        <v>104</v>
      </c>
      <c r="AP2166" s="6" t="s">
        <v>15139</v>
      </c>
      <c r="AQ2166" s="6" t="s">
        <v>15349</v>
      </c>
      <c r="AR2166" s="6" t="s">
        <v>16633</v>
      </c>
      <c r="AS2166" s="6" t="s">
        <v>16917</v>
      </c>
      <c r="AT2166" s="6" t="s">
        <v>16946</v>
      </c>
      <c r="AU2166" s="6" t="s">
        <v>18395</v>
      </c>
      <c r="AV2166" s="6" t="s">
        <v>104</v>
      </c>
      <c r="AW2166" s="6" t="s">
        <v>104</v>
      </c>
      <c r="AX2166" s="6" t="s">
        <v>21780</v>
      </c>
      <c r="AY2166" s="6" t="s">
        <v>23613</v>
      </c>
      <c r="AZ2166" s="6" t="s">
        <v>104</v>
      </c>
      <c r="BA2166" s="6" t="s">
        <v>104</v>
      </c>
      <c r="BB2166" s="24" t="n">
        <v>256</v>
      </c>
      <c r="BC2166" s="26"/>
      <c r="BD2166" s="26"/>
      <c r="BE2166" s="26"/>
      <c r="BF2166" s="26"/>
      <c r="BG2166" s="26"/>
      <c r="BH2166" s="26"/>
      <c r="BI2166" s="26"/>
      <c r="BJ2166" s="26"/>
      <c r="BK2166" s="26"/>
      <c r="BL2166" s="26"/>
      <c r="BM2166" s="26"/>
      <c r="BN2166" s="26"/>
      <c r="BO2166" s="26"/>
      <c r="BP2166" s="16" t="n">
        <v>45481</v>
      </c>
      <c r="BQ2166" s="28" t="str">
        <f>HYPERLINK("https://organic.ams.usda.gov/Integrity/Certificate.aspx?cid=21&amp;nopid=1780815133")</f>
        <v>https://organic.ams.usda.gov/Integrity/Certificate.aspx?cid=21&amp;nopid=1780815133</v>
      </c>
    </row>
    <row r="2167">
      <c r="A2167" t="s">
        <v>3</v>
      </c>
      <c r="B2167" s="6" t="s">
        <v>11</v>
      </c>
      <c r="C2167" s="6" t="s">
        <v>77</v>
      </c>
      <c r="D2167" s="6" t="s">
        <v>142</v>
      </c>
      <c r="E2167" s="10" t="s">
        <v>2365</v>
      </c>
      <c r="F2167" s="6" t="s">
        <v>4566</v>
      </c>
      <c r="G2167" s="6" t="s">
        <v>104</v>
      </c>
      <c r="H2167" s="6" t="s">
        <v>6832</v>
      </c>
      <c r="I2167" s="6" t="s">
        <v>8085</v>
      </c>
      <c r="J2167" s="6" t="s">
        <v>9657</v>
      </c>
      <c r="K2167" s="6" t="s">
        <v>9714</v>
      </c>
      <c r="L2167" s="16" t="n">
        <v>44380</v>
      </c>
      <c r="M2167" s="16" t="n">
        <v>45841</v>
      </c>
      <c r="N2167" s="6" t="s">
        <v>104</v>
      </c>
      <c r="O2167" s="21" t="s">
        <v>104</v>
      </c>
      <c r="P2167" s="6" t="s">
        <v>104</v>
      </c>
      <c r="Q2167" s="6" t="s">
        <v>104</v>
      </c>
      <c r="R2167" s="6" t="s">
        <v>104</v>
      </c>
      <c r="S2167" s="6" t="s">
        <v>104</v>
      </c>
      <c r="T2167" s="21" t="s">
        <v>104</v>
      </c>
      <c r="U2167" s="6" t="s">
        <v>104</v>
      </c>
      <c r="V2167" s="6" t="s">
        <v>104</v>
      </c>
      <c r="W2167" s="6" t="s">
        <v>104</v>
      </c>
      <c r="X2167" s="6" t="s">
        <v>104</v>
      </c>
      <c r="Y2167" s="21" t="s">
        <v>104</v>
      </c>
      <c r="Z2167" s="6" t="s">
        <v>104</v>
      </c>
      <c r="AA2167" s="6" t="s">
        <v>104</v>
      </c>
      <c r="AB2167" s="6" t="s">
        <v>104</v>
      </c>
      <c r="AC2167" s="6" t="s">
        <v>9714</v>
      </c>
      <c r="AD2167" s="16" t="n">
        <v>44380</v>
      </c>
      <c r="AE2167" s="6" t="s">
        <v>12409</v>
      </c>
      <c r="AF2167" s="6" t="s">
        <v>104</v>
      </c>
      <c r="AG2167" s="6" t="s">
        <v>104</v>
      </c>
      <c r="AH2167" s="6" t="s">
        <v>15140</v>
      </c>
      <c r="AI2167" s="6" t="s">
        <v>104</v>
      </c>
      <c r="AJ2167" s="6" t="s">
        <v>16634</v>
      </c>
      <c r="AK2167" s="6" t="s">
        <v>104</v>
      </c>
      <c r="AL2167" s="6" t="s">
        <v>16946</v>
      </c>
      <c r="AM2167" s="6" t="s">
        <v>18396</v>
      </c>
      <c r="AN2167" s="6" t="s">
        <v>104</v>
      </c>
      <c r="AO2167" s="6" t="s">
        <v>104</v>
      </c>
      <c r="AP2167" s="6" t="s">
        <v>15140</v>
      </c>
      <c r="AQ2167" s="6" t="s">
        <v>104</v>
      </c>
      <c r="AR2167" s="6" t="s">
        <v>16634</v>
      </c>
      <c r="AS2167" s="6" t="s">
        <v>104</v>
      </c>
      <c r="AT2167" s="6" t="s">
        <v>16946</v>
      </c>
      <c r="AU2167" s="6" t="s">
        <v>18396</v>
      </c>
      <c r="AV2167" s="6" t="s">
        <v>104</v>
      </c>
      <c r="AW2167" s="6" t="s">
        <v>104</v>
      </c>
      <c r="AX2167" s="6" t="s">
        <v>21781</v>
      </c>
      <c r="AY2167" s="6" t="s">
        <v>23614</v>
      </c>
      <c r="AZ2167" s="6" t="s">
        <v>24238</v>
      </c>
      <c r="BA2167" s="6" t="s">
        <v>104</v>
      </c>
      <c r="BB2167" s="6" t="s">
        <v>104</v>
      </c>
      <c r="BC2167" s="26"/>
      <c r="BD2167" s="26"/>
      <c r="BE2167" s="26"/>
      <c r="BF2167" s="26"/>
      <c r="BG2167" s="26"/>
      <c r="BH2167" s="26"/>
      <c r="BI2167" s="26"/>
      <c r="BJ2167" s="26"/>
      <c r="BK2167" s="26"/>
      <c r="BL2167" s="26"/>
      <c r="BM2167" s="26"/>
      <c r="BN2167" s="26"/>
      <c r="BO2167" s="26"/>
      <c r="BP2167" s="16" t="n">
        <v>45524</v>
      </c>
      <c r="BQ2167" s="28" t="str">
        <f>HYPERLINK("https://organic.ams.usda.gov/Integrity/Certificate.aspx?cid=21&amp;nopid=1780881483")</f>
        <v>https://organic.ams.usda.gov/Integrity/Certificate.aspx?cid=21&amp;nopid=1780881483</v>
      </c>
    </row>
    <row r="2168">
      <c r="A2168" t="s">
        <v>3</v>
      </c>
      <c r="B2168" s="6" t="s">
        <v>6</v>
      </c>
      <c r="C2168" s="6" t="s">
        <v>72</v>
      </c>
      <c r="D2168" s="6" t="s">
        <v>137</v>
      </c>
      <c r="E2168" s="10" t="s">
        <v>2366</v>
      </c>
      <c r="F2168" s="6" t="s">
        <v>4567</v>
      </c>
      <c r="G2168" s="6" t="s">
        <v>104</v>
      </c>
      <c r="H2168" s="6" t="s">
        <v>6833</v>
      </c>
      <c r="I2168" s="6" t="s">
        <v>8086</v>
      </c>
      <c r="J2168" s="6" t="s">
        <v>9658</v>
      </c>
      <c r="K2168" s="6" t="s">
        <v>9714</v>
      </c>
      <c r="L2168" s="16" t="n">
        <v>45008</v>
      </c>
      <c r="M2168" s="16" t="n">
        <v>45777</v>
      </c>
      <c r="N2168" s="6" t="s">
        <v>104</v>
      </c>
      <c r="O2168" s="21" t="s">
        <v>104</v>
      </c>
      <c r="P2168" s="6" t="s">
        <v>104</v>
      </c>
      <c r="Q2168" s="6" t="s">
        <v>104</v>
      </c>
      <c r="R2168" s="6" t="s">
        <v>104</v>
      </c>
      <c r="S2168" s="6" t="s">
        <v>104</v>
      </c>
      <c r="T2168" s="21" t="s">
        <v>104</v>
      </c>
      <c r="U2168" s="6" t="s">
        <v>104</v>
      </c>
      <c r="V2168" s="6" t="s">
        <v>104</v>
      </c>
      <c r="W2168" s="6" t="s">
        <v>104</v>
      </c>
      <c r="X2168" s="6" t="s">
        <v>104</v>
      </c>
      <c r="Y2168" s="21" t="s">
        <v>104</v>
      </c>
      <c r="Z2168" s="6" t="s">
        <v>104</v>
      </c>
      <c r="AA2168" s="6" t="s">
        <v>104</v>
      </c>
      <c r="AB2168" s="6" t="s">
        <v>104</v>
      </c>
      <c r="AC2168" s="6" t="s">
        <v>9714</v>
      </c>
      <c r="AD2168" s="16" t="n">
        <v>45008</v>
      </c>
      <c r="AE2168" s="6" t="s">
        <v>12410</v>
      </c>
      <c r="AF2168" s="6" t="s">
        <v>104</v>
      </c>
      <c r="AG2168" s="6" t="s">
        <v>13128</v>
      </c>
      <c r="AH2168" s="6" t="s">
        <v>15141</v>
      </c>
      <c r="AI2168" s="6" t="s">
        <v>104</v>
      </c>
      <c r="AJ2168" s="6" t="s">
        <v>15927</v>
      </c>
      <c r="AK2168" s="6" t="s">
        <v>16793</v>
      </c>
      <c r="AL2168" s="6" t="s">
        <v>16932</v>
      </c>
      <c r="AM2168" s="6" t="s">
        <v>18397</v>
      </c>
      <c r="AN2168" s="6" t="s">
        <v>104</v>
      </c>
      <c r="AO2168" s="6" t="s">
        <v>104</v>
      </c>
      <c r="AP2168" s="6" t="s">
        <v>104</v>
      </c>
      <c r="AQ2168" s="6" t="s">
        <v>104</v>
      </c>
      <c r="AR2168" s="6" t="s">
        <v>104</v>
      </c>
      <c r="AS2168" s="6" t="s">
        <v>104</v>
      </c>
      <c r="AT2168" s="6" t="s">
        <v>104</v>
      </c>
      <c r="AU2168" s="6" t="s">
        <v>104</v>
      </c>
      <c r="AV2168" s="6" t="s">
        <v>104</v>
      </c>
      <c r="AW2168" s="6" t="s">
        <v>104</v>
      </c>
      <c r="AX2168" s="6" t="s">
        <v>21782</v>
      </c>
      <c r="AY2168" s="6" t="s">
        <v>23615</v>
      </c>
      <c r="AZ2168" s="6" t="s">
        <v>104</v>
      </c>
      <c r="BA2168" s="6" t="s">
        <v>104</v>
      </c>
      <c r="BB2168" s="6" t="s">
        <v>104</v>
      </c>
      <c r="BC2168" s="26"/>
      <c r="BD2168" s="26"/>
      <c r="BE2168" s="26"/>
      <c r="BF2168" s="26"/>
      <c r="BG2168" s="26"/>
      <c r="BH2168" s="26"/>
      <c r="BI2168" s="26"/>
      <c r="BJ2168" s="26"/>
      <c r="BK2168" s="26"/>
      <c r="BL2168" s="26"/>
      <c r="BM2168" s="26"/>
      <c r="BN2168" s="26"/>
      <c r="BO2168" s="26"/>
      <c r="BP2168" s="16" t="n">
        <v>45737</v>
      </c>
      <c r="BQ2168" s="28" t="str">
        <f>HYPERLINK("https://organic.ams.usda.gov/Integrity/Certificate.aspx?cid=32&amp;nopid=2230009722")</f>
        <v>https://organic.ams.usda.gov/Integrity/Certificate.aspx?cid=32&amp;nopid=2230009722</v>
      </c>
    </row>
    <row r="2169">
      <c r="A2169" t="s">
        <v>3</v>
      </c>
      <c r="B2169" s="6" t="s">
        <v>27</v>
      </c>
      <c r="C2169" s="6" t="s">
        <v>93</v>
      </c>
      <c r="D2169" s="6" t="s">
        <v>158</v>
      </c>
      <c r="E2169" s="10" t="s">
        <v>2367</v>
      </c>
      <c r="F2169" s="6" t="s">
        <v>4568</v>
      </c>
      <c r="G2169" s="6" t="s">
        <v>104</v>
      </c>
      <c r="H2169" s="6" t="s">
        <v>6834</v>
      </c>
      <c r="I2169" s="6" t="s">
        <v>6942</v>
      </c>
      <c r="J2169" s="6" t="s">
        <v>9535</v>
      </c>
      <c r="K2169" s="6" t="s">
        <v>9714</v>
      </c>
      <c r="L2169" s="16" t="n">
        <v>45474</v>
      </c>
      <c r="M2169" s="16" t="n">
        <v>45688</v>
      </c>
      <c r="N2169" s="6" t="s">
        <v>9714</v>
      </c>
      <c r="O2169" s="16" t="n">
        <v>45474</v>
      </c>
      <c r="P2169" s="6" t="s">
        <v>10265</v>
      </c>
      <c r="Q2169" s="6" t="s">
        <v>104</v>
      </c>
      <c r="R2169" s="6" t="s">
        <v>10453</v>
      </c>
      <c r="S2169" s="6" t="s">
        <v>104</v>
      </c>
      <c r="T2169" s="21" t="s">
        <v>104</v>
      </c>
      <c r="U2169" s="6" t="s">
        <v>104</v>
      </c>
      <c r="V2169" s="6" t="s">
        <v>104</v>
      </c>
      <c r="W2169" s="6" t="s">
        <v>104</v>
      </c>
      <c r="X2169" s="6" t="s">
        <v>104</v>
      </c>
      <c r="Y2169" s="21" t="s">
        <v>104</v>
      </c>
      <c r="Z2169" s="6" t="s">
        <v>104</v>
      </c>
      <c r="AA2169" s="6" t="s">
        <v>104</v>
      </c>
      <c r="AB2169" s="6" t="s">
        <v>104</v>
      </c>
      <c r="AC2169" s="6" t="s">
        <v>104</v>
      </c>
      <c r="AD2169" s="21" t="s">
        <v>104</v>
      </c>
      <c r="AE2169" s="6" t="s">
        <v>104</v>
      </c>
      <c r="AF2169" s="6" t="s">
        <v>104</v>
      </c>
      <c r="AG2169" s="6" t="s">
        <v>104</v>
      </c>
      <c r="AH2169" s="6" t="s">
        <v>14977</v>
      </c>
      <c r="AI2169" s="6" t="s">
        <v>104</v>
      </c>
      <c r="AJ2169" s="6" t="s">
        <v>16161</v>
      </c>
      <c r="AK2169" s="6" t="s">
        <v>16270</v>
      </c>
      <c r="AL2169" s="6" t="s">
        <v>16932</v>
      </c>
      <c r="AM2169" s="6" t="s">
        <v>17733</v>
      </c>
      <c r="AN2169" s="6" t="s">
        <v>104</v>
      </c>
      <c r="AO2169" s="6" t="s">
        <v>104</v>
      </c>
      <c r="AP2169" s="6" t="s">
        <v>14977</v>
      </c>
      <c r="AQ2169" s="6" t="s">
        <v>104</v>
      </c>
      <c r="AR2169" s="6" t="s">
        <v>16161</v>
      </c>
      <c r="AS2169" s="6" t="s">
        <v>16270</v>
      </c>
      <c r="AT2169" s="6" t="s">
        <v>16932</v>
      </c>
      <c r="AU2169" s="6" t="s">
        <v>17733</v>
      </c>
      <c r="AV2169" s="6" t="s">
        <v>104</v>
      </c>
      <c r="AW2169" s="6" t="s">
        <v>104</v>
      </c>
      <c r="AX2169" s="6" t="s">
        <v>21651</v>
      </c>
      <c r="AY2169" s="6" t="s">
        <v>23466</v>
      </c>
      <c r="AZ2169" s="6" t="s">
        <v>104</v>
      </c>
      <c r="BA2169" s="6" t="s">
        <v>104</v>
      </c>
      <c r="BB2169" s="24" t="n">
        <v>3605</v>
      </c>
      <c r="BC2169" s="26"/>
      <c r="BD2169" s="26"/>
      <c r="BE2169" s="26"/>
      <c r="BF2169" s="26"/>
      <c r="BG2169" s="26"/>
      <c r="BH2169" s="26"/>
      <c r="BI2169" s="26"/>
      <c r="BJ2169" s="26"/>
      <c r="BK2169" s="26"/>
      <c r="BL2169" s="26"/>
      <c r="BM2169" s="26"/>
      <c r="BN2169" s="26"/>
      <c r="BO2169" s="26" t="s">
        <v>24533</v>
      </c>
      <c r="BP2169" s="16" t="n">
        <v>45476</v>
      </c>
      <c r="BQ2169" s="28" t="str">
        <f>HYPERLINK("https://organic.ams.usda.gov/Integrity/Certificate.aspx?cid=93&amp;nopid=6362734522")</f>
        <v>https://organic.ams.usda.gov/Integrity/Certificate.aspx?cid=93&amp;nopid=6362734522</v>
      </c>
    </row>
    <row r="2170">
      <c r="A2170" t="s">
        <v>3</v>
      </c>
      <c r="B2170" s="6" t="s">
        <v>27</v>
      </c>
      <c r="C2170" s="6" t="s">
        <v>93</v>
      </c>
      <c r="D2170" s="6" t="s">
        <v>158</v>
      </c>
      <c r="E2170" s="10" t="s">
        <v>2368</v>
      </c>
      <c r="F2170" s="6" t="s">
        <v>4569</v>
      </c>
      <c r="G2170" s="6" t="s">
        <v>104</v>
      </c>
      <c r="H2170" s="6" t="s">
        <v>6835</v>
      </c>
      <c r="I2170" s="6" t="s">
        <v>6942</v>
      </c>
      <c r="J2170" s="6" t="s">
        <v>9535</v>
      </c>
      <c r="K2170" s="6" t="s">
        <v>9714</v>
      </c>
      <c r="L2170" s="16" t="n">
        <v>45461</v>
      </c>
      <c r="M2170" s="16" t="n">
        <v>45688</v>
      </c>
      <c r="N2170" s="6" t="s">
        <v>9714</v>
      </c>
      <c r="O2170" s="16" t="n">
        <v>45461</v>
      </c>
      <c r="P2170" s="6" t="s">
        <v>10266</v>
      </c>
      <c r="Q2170" s="6" t="s">
        <v>104</v>
      </c>
      <c r="R2170" s="6" t="s">
        <v>10454</v>
      </c>
      <c r="S2170" s="6" t="s">
        <v>104</v>
      </c>
      <c r="T2170" s="21" t="s">
        <v>104</v>
      </c>
      <c r="U2170" s="6" t="s">
        <v>104</v>
      </c>
      <c r="V2170" s="6" t="s">
        <v>104</v>
      </c>
      <c r="W2170" s="6" t="s">
        <v>104</v>
      </c>
      <c r="X2170" s="6" t="s">
        <v>104</v>
      </c>
      <c r="Y2170" s="21" t="s">
        <v>104</v>
      </c>
      <c r="Z2170" s="6" t="s">
        <v>104</v>
      </c>
      <c r="AA2170" s="6" t="s">
        <v>104</v>
      </c>
      <c r="AB2170" s="6" t="s">
        <v>104</v>
      </c>
      <c r="AC2170" s="6" t="s">
        <v>104</v>
      </c>
      <c r="AD2170" s="21" t="s">
        <v>104</v>
      </c>
      <c r="AE2170" s="6" t="s">
        <v>104</v>
      </c>
      <c r="AF2170" s="6" t="s">
        <v>104</v>
      </c>
      <c r="AG2170" s="6" t="s">
        <v>104</v>
      </c>
      <c r="AH2170" s="6" t="s">
        <v>14977</v>
      </c>
      <c r="AI2170" s="6" t="s">
        <v>104</v>
      </c>
      <c r="AJ2170" s="6" t="s">
        <v>16161</v>
      </c>
      <c r="AK2170" s="6" t="s">
        <v>16270</v>
      </c>
      <c r="AL2170" s="6" t="s">
        <v>16932</v>
      </c>
      <c r="AM2170" s="6" t="s">
        <v>17733</v>
      </c>
      <c r="AN2170" s="6" t="s">
        <v>104</v>
      </c>
      <c r="AO2170" s="6" t="s">
        <v>104</v>
      </c>
      <c r="AP2170" s="6" t="s">
        <v>14977</v>
      </c>
      <c r="AQ2170" s="6" t="s">
        <v>104</v>
      </c>
      <c r="AR2170" s="6" t="s">
        <v>16161</v>
      </c>
      <c r="AS2170" s="6" t="s">
        <v>16270</v>
      </c>
      <c r="AT2170" s="6" t="s">
        <v>16932</v>
      </c>
      <c r="AU2170" s="6" t="s">
        <v>17733</v>
      </c>
      <c r="AV2170" s="6" t="s">
        <v>104</v>
      </c>
      <c r="AW2170" s="6" t="s">
        <v>104</v>
      </c>
      <c r="AX2170" s="6" t="s">
        <v>21651</v>
      </c>
      <c r="AY2170" s="6" t="s">
        <v>23466</v>
      </c>
      <c r="AZ2170" s="6" t="s">
        <v>104</v>
      </c>
      <c r="BA2170" s="6" t="s">
        <v>104</v>
      </c>
      <c r="BB2170" s="24" t="n">
        <v>2076</v>
      </c>
      <c r="BC2170" s="26"/>
      <c r="BD2170" s="26"/>
      <c r="BE2170" s="26"/>
      <c r="BF2170" s="26"/>
      <c r="BG2170" s="26"/>
      <c r="BH2170" s="26"/>
      <c r="BI2170" s="26"/>
      <c r="BJ2170" s="26"/>
      <c r="BK2170" s="26"/>
      <c r="BL2170" s="26"/>
      <c r="BM2170" s="26"/>
      <c r="BN2170" s="26"/>
      <c r="BO2170" s="26" t="s">
        <v>24533</v>
      </c>
      <c r="BP2170" s="16" t="n">
        <v>45471</v>
      </c>
      <c r="BQ2170" s="28" t="str">
        <f>HYPERLINK("https://organic.ams.usda.gov/Integrity/Certificate.aspx?cid=93&amp;nopid=6367638111")</f>
        <v>https://organic.ams.usda.gov/Integrity/Certificate.aspx?cid=93&amp;nopid=6367638111</v>
      </c>
    </row>
    <row r="2171">
      <c r="A2171" t="s">
        <v>3</v>
      </c>
      <c r="B2171" s="6" t="s">
        <v>29</v>
      </c>
      <c r="C2171" s="6" t="s">
        <v>95</v>
      </c>
      <c r="D2171" s="6" t="s">
        <v>160</v>
      </c>
      <c r="E2171" s="10" t="s">
        <v>2369</v>
      </c>
      <c r="F2171" s="6" t="s">
        <v>4570</v>
      </c>
      <c r="G2171" s="6" t="s">
        <v>104</v>
      </c>
      <c r="H2171" s="6" t="s">
        <v>6836</v>
      </c>
      <c r="I2171" s="6" t="s">
        <v>104</v>
      </c>
      <c r="J2171" s="6" t="s">
        <v>9659</v>
      </c>
      <c r="K2171" s="6" t="s">
        <v>9714</v>
      </c>
      <c r="L2171" s="16" t="n">
        <v>44656</v>
      </c>
      <c r="M2171" s="16" t="n">
        <v>46054</v>
      </c>
      <c r="N2171" s="6" t="s">
        <v>9714</v>
      </c>
      <c r="O2171" s="16" t="n">
        <v>44656</v>
      </c>
      <c r="P2171" s="6" t="s">
        <v>10267</v>
      </c>
      <c r="Q2171" s="6" t="s">
        <v>104</v>
      </c>
      <c r="R2171" s="6" t="s">
        <v>104</v>
      </c>
      <c r="S2171" s="6" t="s">
        <v>104</v>
      </c>
      <c r="T2171" s="21" t="s">
        <v>104</v>
      </c>
      <c r="U2171" s="6" t="s">
        <v>104</v>
      </c>
      <c r="V2171" s="6" t="s">
        <v>104</v>
      </c>
      <c r="W2171" s="6" t="s">
        <v>104</v>
      </c>
      <c r="X2171" s="6" t="s">
        <v>104</v>
      </c>
      <c r="Y2171" s="21" t="s">
        <v>104</v>
      </c>
      <c r="Z2171" s="6" t="s">
        <v>104</v>
      </c>
      <c r="AA2171" s="6" t="s">
        <v>104</v>
      </c>
      <c r="AB2171" s="6" t="s">
        <v>104</v>
      </c>
      <c r="AC2171" s="6" t="s">
        <v>9714</v>
      </c>
      <c r="AD2171" s="16" t="n">
        <v>44656</v>
      </c>
      <c r="AE2171" s="6" t="s">
        <v>12411</v>
      </c>
      <c r="AF2171" s="6" t="s">
        <v>104</v>
      </c>
      <c r="AG2171" s="6" t="s">
        <v>104</v>
      </c>
      <c r="AH2171" s="6" t="s">
        <v>15142</v>
      </c>
      <c r="AI2171" s="6" t="s">
        <v>104</v>
      </c>
      <c r="AJ2171" s="6" t="s">
        <v>16635</v>
      </c>
      <c r="AK2171" s="6" t="s">
        <v>16918</v>
      </c>
      <c r="AL2171" s="6" t="s">
        <v>16937</v>
      </c>
      <c r="AM2171" s="6" t="s">
        <v>17016</v>
      </c>
      <c r="AN2171" s="6" t="s">
        <v>104</v>
      </c>
      <c r="AO2171" s="6" t="s">
        <v>104</v>
      </c>
      <c r="AP2171" s="6" t="s">
        <v>104</v>
      </c>
      <c r="AQ2171" s="6" t="s">
        <v>104</v>
      </c>
      <c r="AR2171" s="6" t="s">
        <v>104</v>
      </c>
      <c r="AS2171" s="6" t="s">
        <v>104</v>
      </c>
      <c r="AT2171" s="6" t="s">
        <v>104</v>
      </c>
      <c r="AU2171" s="6" t="s">
        <v>104</v>
      </c>
      <c r="AV2171" s="6" t="s">
        <v>104</v>
      </c>
      <c r="AW2171" s="6" t="s">
        <v>104</v>
      </c>
      <c r="AX2171" s="6" t="s">
        <v>21783</v>
      </c>
      <c r="AY2171" s="6" t="s">
        <v>23616</v>
      </c>
      <c r="AZ2171" s="6" t="s">
        <v>24239</v>
      </c>
      <c r="BA2171" s="6" t="s">
        <v>24269</v>
      </c>
      <c r="BB2171" s="24" t="n">
        <v>79</v>
      </c>
      <c r="BC2171" s="26"/>
      <c r="BD2171" s="26"/>
      <c r="BE2171" s="26"/>
      <c r="BF2171" s="26"/>
      <c r="BG2171" s="26"/>
      <c r="BH2171" s="26"/>
      <c r="BI2171" s="26"/>
      <c r="BJ2171" s="26"/>
      <c r="BK2171" s="26"/>
      <c r="BL2171" s="26"/>
      <c r="BM2171" s="26"/>
      <c r="BN2171" s="26"/>
      <c r="BO2171" s="26"/>
      <c r="BP2171" s="16" t="n">
        <v>45690</v>
      </c>
      <c r="BQ2171" s="28" t="str">
        <f>HYPERLINK("https://organic.ams.usda.gov/Integrity/Certificate.aspx?cid=24&amp;nopid=7880230888")</f>
        <v>https://organic.ams.usda.gov/Integrity/Certificate.aspx?cid=24&amp;nopid=7880230888</v>
      </c>
    </row>
    <row r="2172">
      <c r="A2172" t="s">
        <v>3</v>
      </c>
      <c r="B2172" s="6" t="s">
        <v>11</v>
      </c>
      <c r="C2172" s="6" t="s">
        <v>77</v>
      </c>
      <c r="D2172" s="6" t="s">
        <v>142</v>
      </c>
      <c r="E2172" s="10" t="s">
        <v>2370</v>
      </c>
      <c r="F2172" s="6" t="s">
        <v>4571</v>
      </c>
      <c r="G2172" s="6" t="s">
        <v>104</v>
      </c>
      <c r="H2172" s="6" t="s">
        <v>6837</v>
      </c>
      <c r="I2172" s="6" t="s">
        <v>8087</v>
      </c>
      <c r="J2172" s="6" t="s">
        <v>9660</v>
      </c>
      <c r="K2172" s="6" t="s">
        <v>9714</v>
      </c>
      <c r="L2172" s="16" t="n">
        <v>45061</v>
      </c>
      <c r="M2172" s="16" t="n">
        <v>45614</v>
      </c>
      <c r="N2172" s="6" t="s">
        <v>104</v>
      </c>
      <c r="O2172" s="21" t="s">
        <v>104</v>
      </c>
      <c r="P2172" s="6" t="s">
        <v>104</v>
      </c>
      <c r="Q2172" s="6" t="s">
        <v>104</v>
      </c>
      <c r="R2172" s="6" t="s">
        <v>104</v>
      </c>
      <c r="S2172" s="6" t="s">
        <v>104</v>
      </c>
      <c r="T2172" s="21" t="s">
        <v>104</v>
      </c>
      <c r="U2172" s="6" t="s">
        <v>104</v>
      </c>
      <c r="V2172" s="6" t="s">
        <v>104</v>
      </c>
      <c r="W2172" s="6" t="s">
        <v>104</v>
      </c>
      <c r="X2172" s="6" t="s">
        <v>104</v>
      </c>
      <c r="Y2172" s="21" t="s">
        <v>104</v>
      </c>
      <c r="Z2172" s="6" t="s">
        <v>104</v>
      </c>
      <c r="AA2172" s="6" t="s">
        <v>104</v>
      </c>
      <c r="AB2172" s="6" t="s">
        <v>104</v>
      </c>
      <c r="AC2172" s="6" t="s">
        <v>9714</v>
      </c>
      <c r="AD2172" s="16" t="n">
        <v>45061</v>
      </c>
      <c r="AE2172" s="6" t="s">
        <v>12412</v>
      </c>
      <c r="AF2172" s="6" t="s">
        <v>104</v>
      </c>
      <c r="AG2172" s="6" t="s">
        <v>104</v>
      </c>
      <c r="AH2172" s="6" t="s">
        <v>15143</v>
      </c>
      <c r="AI2172" s="6" t="s">
        <v>104</v>
      </c>
      <c r="AJ2172" s="6" t="s">
        <v>16636</v>
      </c>
      <c r="AK2172" s="6" t="s">
        <v>16919</v>
      </c>
      <c r="AL2172" s="6" t="s">
        <v>16946</v>
      </c>
      <c r="AM2172" s="6" t="s">
        <v>104</v>
      </c>
      <c r="AN2172" s="6" t="s">
        <v>104</v>
      </c>
      <c r="AO2172" s="6" t="s">
        <v>104</v>
      </c>
      <c r="AP2172" s="6" t="s">
        <v>15143</v>
      </c>
      <c r="AQ2172" s="6" t="s">
        <v>104</v>
      </c>
      <c r="AR2172" s="6" t="s">
        <v>16636</v>
      </c>
      <c r="AS2172" s="6" t="s">
        <v>16919</v>
      </c>
      <c r="AT2172" s="6" t="s">
        <v>16946</v>
      </c>
      <c r="AU2172" s="6" t="s">
        <v>104</v>
      </c>
      <c r="AV2172" s="6" t="s">
        <v>104</v>
      </c>
      <c r="AW2172" s="6" t="s">
        <v>104</v>
      </c>
      <c r="AX2172" s="6" t="s">
        <v>21784</v>
      </c>
      <c r="AY2172" s="6" t="s">
        <v>23617</v>
      </c>
      <c r="AZ2172" s="6" t="s">
        <v>104</v>
      </c>
      <c r="BA2172" s="6" t="s">
        <v>104</v>
      </c>
      <c r="BB2172" s="6" t="s">
        <v>104</v>
      </c>
      <c r="BC2172" s="26"/>
      <c r="BD2172" s="26"/>
      <c r="BE2172" s="26"/>
      <c r="BF2172" s="26"/>
      <c r="BG2172" s="26"/>
      <c r="BH2172" s="26"/>
      <c r="BI2172" s="26"/>
      <c r="BJ2172" s="26"/>
      <c r="BK2172" s="26"/>
      <c r="BL2172" s="26"/>
      <c r="BM2172" s="26"/>
      <c r="BN2172" s="26"/>
      <c r="BO2172" s="26"/>
      <c r="BP2172" s="16" t="n">
        <v>45478</v>
      </c>
      <c r="BQ2172" s="28" t="str">
        <f>HYPERLINK("https://organic.ams.usda.gov/Integrity/Certificate.aspx?cid=21&amp;nopid=1780895246")</f>
        <v>https://organic.ams.usda.gov/Integrity/Certificate.aspx?cid=21&amp;nopid=1780895246</v>
      </c>
    </row>
    <row r="2173">
      <c r="A2173" t="s">
        <v>3</v>
      </c>
      <c r="B2173" s="6" t="s">
        <v>11</v>
      </c>
      <c r="C2173" s="6" t="s">
        <v>77</v>
      </c>
      <c r="D2173" s="6" t="s">
        <v>142</v>
      </c>
      <c r="E2173" s="10" t="s">
        <v>2371</v>
      </c>
      <c r="F2173" s="6" t="s">
        <v>4572</v>
      </c>
      <c r="G2173" s="6" t="s">
        <v>104</v>
      </c>
      <c r="H2173" s="6" t="s">
        <v>6838</v>
      </c>
      <c r="I2173" s="6" t="s">
        <v>8085</v>
      </c>
      <c r="J2173" s="6" t="s">
        <v>9661</v>
      </c>
      <c r="K2173" s="6" t="s">
        <v>9714</v>
      </c>
      <c r="L2173" s="16" t="n">
        <v>42703</v>
      </c>
      <c r="M2173" s="16" t="n">
        <v>45966</v>
      </c>
      <c r="N2173" s="6" t="s">
        <v>9714</v>
      </c>
      <c r="O2173" s="16" t="n">
        <v>42703</v>
      </c>
      <c r="P2173" s="6" t="s">
        <v>10268</v>
      </c>
      <c r="Q2173" s="6" t="s">
        <v>104</v>
      </c>
      <c r="R2173" s="6" t="s">
        <v>104</v>
      </c>
      <c r="S2173" s="6" t="s">
        <v>104</v>
      </c>
      <c r="T2173" s="21" t="s">
        <v>104</v>
      </c>
      <c r="U2173" s="6" t="s">
        <v>104</v>
      </c>
      <c r="V2173" s="6" t="s">
        <v>104</v>
      </c>
      <c r="W2173" s="6" t="s">
        <v>104</v>
      </c>
      <c r="X2173" s="6" t="s">
        <v>104</v>
      </c>
      <c r="Y2173" s="21" t="s">
        <v>104</v>
      </c>
      <c r="Z2173" s="6" t="s">
        <v>104</v>
      </c>
      <c r="AA2173" s="6" t="s">
        <v>104</v>
      </c>
      <c r="AB2173" s="6" t="s">
        <v>104</v>
      </c>
      <c r="AC2173" s="6" t="s">
        <v>9714</v>
      </c>
      <c r="AD2173" s="16" t="n">
        <v>42703</v>
      </c>
      <c r="AE2173" s="6" t="s">
        <v>12413</v>
      </c>
      <c r="AF2173" s="6" t="s">
        <v>104</v>
      </c>
      <c r="AG2173" s="6" t="s">
        <v>104</v>
      </c>
      <c r="AH2173" s="6" t="s">
        <v>15144</v>
      </c>
      <c r="AI2173" s="6" t="s">
        <v>104</v>
      </c>
      <c r="AJ2173" s="6" t="s">
        <v>16637</v>
      </c>
      <c r="AK2173" s="6" t="s">
        <v>16920</v>
      </c>
      <c r="AL2173" s="6" t="s">
        <v>16946</v>
      </c>
      <c r="AM2173" s="6" t="s">
        <v>104</v>
      </c>
      <c r="AN2173" s="6" t="s">
        <v>104</v>
      </c>
      <c r="AO2173" s="6" t="s">
        <v>104</v>
      </c>
      <c r="AP2173" s="6" t="s">
        <v>19525</v>
      </c>
      <c r="AQ2173" s="6" t="s">
        <v>104</v>
      </c>
      <c r="AR2173" s="6" t="s">
        <v>19785</v>
      </c>
      <c r="AS2173" s="6" t="s">
        <v>16920</v>
      </c>
      <c r="AT2173" s="6" t="s">
        <v>16946</v>
      </c>
      <c r="AU2173" s="6" t="s">
        <v>104</v>
      </c>
      <c r="AV2173" s="6" t="s">
        <v>104</v>
      </c>
      <c r="AW2173" s="6" t="s">
        <v>104</v>
      </c>
      <c r="AX2173" s="6" t="s">
        <v>21785</v>
      </c>
      <c r="AY2173" s="6" t="s">
        <v>23618</v>
      </c>
      <c r="AZ2173" s="6" t="s">
        <v>104</v>
      </c>
      <c r="BA2173" s="6" t="s">
        <v>104</v>
      </c>
      <c r="BB2173" s="24" t="n">
        <v>377</v>
      </c>
      <c r="BC2173" s="26"/>
      <c r="BD2173" s="26"/>
      <c r="BE2173" s="26"/>
      <c r="BF2173" s="26"/>
      <c r="BG2173" s="26"/>
      <c r="BH2173" s="26"/>
      <c r="BI2173" s="26"/>
      <c r="BJ2173" s="26"/>
      <c r="BK2173" s="26"/>
      <c r="BL2173" s="26"/>
      <c r="BM2173" s="26"/>
      <c r="BN2173" s="26"/>
      <c r="BO2173" s="26"/>
      <c r="BP2173" s="16" t="n">
        <v>45730</v>
      </c>
      <c r="BQ2173" s="28" t="str">
        <f>HYPERLINK("https://organic.ams.usda.gov/Integrity/Certificate.aspx?cid=21&amp;nopid=1780848450")</f>
        <v>https://organic.ams.usda.gov/Integrity/Certificate.aspx?cid=21&amp;nopid=1780848450</v>
      </c>
    </row>
    <row r="2174">
      <c r="A2174" t="s">
        <v>3</v>
      </c>
      <c r="B2174" s="6" t="s">
        <v>18</v>
      </c>
      <c r="C2174" s="6" t="s">
        <v>84</v>
      </c>
      <c r="D2174" s="6" t="s">
        <v>149</v>
      </c>
      <c r="E2174" s="10" t="s">
        <v>2372</v>
      </c>
      <c r="F2174" s="6" t="s">
        <v>4573</v>
      </c>
      <c r="G2174" s="6" t="s">
        <v>104</v>
      </c>
      <c r="H2174" s="6" t="s">
        <v>6839</v>
      </c>
      <c r="I2174" s="6" t="s">
        <v>8088</v>
      </c>
      <c r="J2174" s="6" t="s">
        <v>9662</v>
      </c>
      <c r="K2174" s="6" t="s">
        <v>9714</v>
      </c>
      <c r="L2174" s="16" t="n">
        <v>45103</v>
      </c>
      <c r="M2174" s="16" t="n">
        <v>45870</v>
      </c>
      <c r="N2174" s="6" t="s">
        <v>9714</v>
      </c>
      <c r="O2174" s="16" t="n">
        <v>45103</v>
      </c>
      <c r="P2174" s="6" t="s">
        <v>10269</v>
      </c>
      <c r="Q2174" s="6" t="s">
        <v>104</v>
      </c>
      <c r="R2174" s="6" t="s">
        <v>10455</v>
      </c>
      <c r="S2174" s="6" t="s">
        <v>104</v>
      </c>
      <c r="T2174" s="21" t="s">
        <v>104</v>
      </c>
      <c r="U2174" s="6" t="s">
        <v>104</v>
      </c>
      <c r="V2174" s="6" t="s">
        <v>104</v>
      </c>
      <c r="W2174" s="6" t="s">
        <v>104</v>
      </c>
      <c r="X2174" s="6" t="s">
        <v>104</v>
      </c>
      <c r="Y2174" s="21" t="s">
        <v>104</v>
      </c>
      <c r="Z2174" s="6" t="s">
        <v>104</v>
      </c>
      <c r="AA2174" s="6" t="s">
        <v>104</v>
      </c>
      <c r="AB2174" s="6" t="s">
        <v>104</v>
      </c>
      <c r="AC2174" s="6" t="s">
        <v>9714</v>
      </c>
      <c r="AD2174" s="16" t="n">
        <v>45510</v>
      </c>
      <c r="AE2174" s="6" t="s">
        <v>12414</v>
      </c>
      <c r="AF2174" s="6" t="s">
        <v>104</v>
      </c>
      <c r="AG2174" s="6" t="s">
        <v>13129</v>
      </c>
      <c r="AH2174" s="6" t="s">
        <v>15145</v>
      </c>
      <c r="AI2174" s="6" t="s">
        <v>104</v>
      </c>
      <c r="AJ2174" s="6" t="s">
        <v>16411</v>
      </c>
      <c r="AK2174" s="6" t="s">
        <v>15697</v>
      </c>
      <c r="AL2174" s="6" t="s">
        <v>16931</v>
      </c>
      <c r="AM2174" s="6" t="s">
        <v>18398</v>
      </c>
      <c r="AN2174" s="6" t="s">
        <v>18491</v>
      </c>
      <c r="AO2174" s="6" t="s">
        <v>18659</v>
      </c>
      <c r="AP2174" s="6" t="s">
        <v>104</v>
      </c>
      <c r="AQ2174" s="6" t="s">
        <v>104</v>
      </c>
      <c r="AR2174" s="6" t="s">
        <v>104</v>
      </c>
      <c r="AS2174" s="6" t="s">
        <v>104</v>
      </c>
      <c r="AT2174" s="6" t="s">
        <v>104</v>
      </c>
      <c r="AU2174" s="6" t="s">
        <v>104</v>
      </c>
      <c r="AV2174" s="6" t="s">
        <v>104</v>
      </c>
      <c r="AW2174" s="6" t="s">
        <v>104</v>
      </c>
      <c r="AX2174" s="6" t="s">
        <v>21786</v>
      </c>
      <c r="AY2174" s="6" t="s">
        <v>104</v>
      </c>
      <c r="AZ2174" s="6" t="s">
        <v>104</v>
      </c>
      <c r="BA2174" s="6" t="s">
        <v>104</v>
      </c>
      <c r="BB2174" s="24" t="n">
        <v>20</v>
      </c>
      <c r="BC2174" s="26"/>
      <c r="BD2174" s="26"/>
      <c r="BE2174" s="26"/>
      <c r="BF2174" s="26"/>
      <c r="BG2174" s="26"/>
      <c r="BH2174" s="26"/>
      <c r="BI2174" s="26"/>
      <c r="BJ2174" s="26"/>
      <c r="BK2174" s="26"/>
      <c r="BL2174" s="26"/>
      <c r="BM2174" s="26"/>
      <c r="BN2174" s="26"/>
      <c r="BO2174" s="26"/>
      <c r="BP2174" s="16" t="n">
        <v>45737</v>
      </c>
      <c r="BQ2174" s="28" t="str">
        <f>HYPERLINK("https://organic.ams.usda.gov/Integrity/Certificate.aspx?cid=31&amp;nopid=3928972351")</f>
        <v>https://organic.ams.usda.gov/Integrity/Certificate.aspx?cid=31&amp;nopid=3928972351</v>
      </c>
    </row>
    <row r="2175">
      <c r="A2175" t="s">
        <v>3</v>
      </c>
      <c r="B2175" s="6" t="s">
        <v>21</v>
      </c>
      <c r="C2175" s="6" t="s">
        <v>87</v>
      </c>
      <c r="D2175" s="6" t="s">
        <v>152</v>
      </c>
      <c r="E2175" s="10" t="s">
        <v>2373</v>
      </c>
      <c r="F2175" s="6" t="s">
        <v>4574</v>
      </c>
      <c r="G2175" s="6" t="s">
        <v>4885</v>
      </c>
      <c r="H2175" s="6" t="s">
        <v>6840</v>
      </c>
      <c r="I2175" s="6" t="s">
        <v>8089</v>
      </c>
      <c r="J2175" s="6" t="s">
        <v>9484</v>
      </c>
      <c r="K2175" s="6" t="s">
        <v>9714</v>
      </c>
      <c r="L2175" s="16" t="n">
        <v>43356</v>
      </c>
      <c r="M2175" s="16" t="n">
        <v>46023</v>
      </c>
      <c r="N2175" s="6" t="s">
        <v>9714</v>
      </c>
      <c r="O2175" s="16" t="n">
        <v>43356</v>
      </c>
      <c r="P2175" s="6" t="s">
        <v>10270</v>
      </c>
      <c r="Q2175" s="6" t="s">
        <v>104</v>
      </c>
      <c r="R2175" s="6" t="s">
        <v>104</v>
      </c>
      <c r="S2175" s="6" t="s">
        <v>9721</v>
      </c>
      <c r="T2175" s="16" t="n">
        <v>45640</v>
      </c>
      <c r="U2175" s="6" t="s">
        <v>104</v>
      </c>
      <c r="V2175" s="6" t="s">
        <v>104</v>
      </c>
      <c r="W2175" s="6" t="s">
        <v>104</v>
      </c>
      <c r="X2175" s="6" t="s">
        <v>104</v>
      </c>
      <c r="Y2175" s="21" t="s">
        <v>104</v>
      </c>
      <c r="Z2175" s="6" t="s">
        <v>104</v>
      </c>
      <c r="AA2175" s="6" t="s">
        <v>104</v>
      </c>
      <c r="AB2175" s="6" t="s">
        <v>104</v>
      </c>
      <c r="AC2175" s="6" t="s">
        <v>9714</v>
      </c>
      <c r="AD2175" s="16" t="n">
        <v>43356</v>
      </c>
      <c r="AE2175" s="6" t="s">
        <v>12415</v>
      </c>
      <c r="AF2175" s="6" t="s">
        <v>104</v>
      </c>
      <c r="AG2175" s="6" t="s">
        <v>104</v>
      </c>
      <c r="AH2175" s="6" t="s">
        <v>15146</v>
      </c>
      <c r="AI2175" s="6" t="s">
        <v>104</v>
      </c>
      <c r="AJ2175" s="6" t="s">
        <v>8663</v>
      </c>
      <c r="AK2175" s="6" t="s">
        <v>16687</v>
      </c>
      <c r="AL2175" s="6" t="s">
        <v>16931</v>
      </c>
      <c r="AM2175" s="6" t="s">
        <v>18399</v>
      </c>
      <c r="AN2175" s="6" t="s">
        <v>5771</v>
      </c>
      <c r="AO2175" s="6" t="s">
        <v>18563</v>
      </c>
      <c r="AP2175" s="6" t="s">
        <v>19526</v>
      </c>
      <c r="AQ2175" s="6" t="s">
        <v>104</v>
      </c>
      <c r="AR2175" s="6" t="s">
        <v>8663</v>
      </c>
      <c r="AS2175" s="6" t="s">
        <v>16687</v>
      </c>
      <c r="AT2175" s="6" t="s">
        <v>16931</v>
      </c>
      <c r="AU2175" s="6" t="s">
        <v>18399</v>
      </c>
      <c r="AV2175" s="6" t="s">
        <v>104</v>
      </c>
      <c r="AW2175" s="6" t="s">
        <v>104</v>
      </c>
      <c r="AX2175" s="6" t="s">
        <v>21787</v>
      </c>
      <c r="AY2175" s="6" t="s">
        <v>23619</v>
      </c>
      <c r="AZ2175" s="6" t="s">
        <v>24240</v>
      </c>
      <c r="BA2175" s="6" t="s">
        <v>24263</v>
      </c>
      <c r="BB2175" s="24" t="n">
        <v>160</v>
      </c>
      <c r="BC2175" s="26"/>
      <c r="BD2175" s="26"/>
      <c r="BE2175" s="26"/>
      <c r="BF2175" s="26"/>
      <c r="BG2175" s="26"/>
      <c r="BH2175" s="26"/>
      <c r="BI2175" s="26"/>
      <c r="BJ2175" s="26"/>
      <c r="BK2175" s="26"/>
      <c r="BL2175" s="26"/>
      <c r="BM2175" s="26"/>
      <c r="BN2175" s="26"/>
      <c r="BO2175" s="26"/>
      <c r="BP2175" s="16" t="n">
        <v>45700</v>
      </c>
      <c r="BQ2175" s="28" t="str">
        <f>HYPERLINK("https://organic.ams.usda.gov/Integrity/Certificate.aspx?cid=15&amp;nopid=5561003136")</f>
        <v>https://organic.ams.usda.gov/Integrity/Certificate.aspx?cid=15&amp;nopid=5561003136</v>
      </c>
    </row>
    <row r="2176">
      <c r="A2176" t="s">
        <v>3</v>
      </c>
      <c r="B2176" s="6" t="s">
        <v>17</v>
      </c>
      <c r="C2176" s="6" t="s">
        <v>83</v>
      </c>
      <c r="D2176" s="6" t="s">
        <v>148</v>
      </c>
      <c r="E2176" s="10" t="s">
        <v>2374</v>
      </c>
      <c r="F2176" s="6" t="s">
        <v>4575</v>
      </c>
      <c r="G2176" s="6" t="s">
        <v>104</v>
      </c>
      <c r="H2176" s="6" t="s">
        <v>6841</v>
      </c>
      <c r="I2176" s="6" t="s">
        <v>7504</v>
      </c>
      <c r="J2176" s="6" t="s">
        <v>9663</v>
      </c>
      <c r="K2176" s="6" t="s">
        <v>9714</v>
      </c>
      <c r="L2176" s="16" t="n">
        <v>45540</v>
      </c>
      <c r="M2176" s="16" t="n">
        <v>45778</v>
      </c>
      <c r="N2176" s="6" t="s">
        <v>104</v>
      </c>
      <c r="O2176" s="21" t="s">
        <v>104</v>
      </c>
      <c r="P2176" s="6" t="s">
        <v>104</v>
      </c>
      <c r="Q2176" s="6" t="s">
        <v>104</v>
      </c>
      <c r="R2176" s="6" t="s">
        <v>104</v>
      </c>
      <c r="S2176" s="6" t="s">
        <v>104</v>
      </c>
      <c r="T2176" s="21" t="s">
        <v>104</v>
      </c>
      <c r="U2176" s="6" t="s">
        <v>104</v>
      </c>
      <c r="V2176" s="6" t="s">
        <v>104</v>
      </c>
      <c r="W2176" s="6" t="s">
        <v>104</v>
      </c>
      <c r="X2176" s="6" t="s">
        <v>104</v>
      </c>
      <c r="Y2176" s="21" t="s">
        <v>104</v>
      </c>
      <c r="Z2176" s="6" t="s">
        <v>104</v>
      </c>
      <c r="AA2176" s="6" t="s">
        <v>104</v>
      </c>
      <c r="AB2176" s="6" t="s">
        <v>104</v>
      </c>
      <c r="AC2176" s="6" t="s">
        <v>9714</v>
      </c>
      <c r="AD2176" s="16" t="n">
        <v>45540</v>
      </c>
      <c r="AE2176" s="6" t="s">
        <v>12416</v>
      </c>
      <c r="AF2176" s="6" t="s">
        <v>104</v>
      </c>
      <c r="AG2176" s="6" t="s">
        <v>104</v>
      </c>
      <c r="AH2176" s="6" t="s">
        <v>15147</v>
      </c>
      <c r="AI2176" s="6" t="s">
        <v>15230</v>
      </c>
      <c r="AJ2176" s="6" t="s">
        <v>16638</v>
      </c>
      <c r="AK2176" s="6" t="s">
        <v>16680</v>
      </c>
      <c r="AL2176" s="6" t="s">
        <v>16931</v>
      </c>
      <c r="AM2176" s="6" t="s">
        <v>18400</v>
      </c>
      <c r="AN2176" s="6" t="s">
        <v>104</v>
      </c>
      <c r="AO2176" s="6" t="s">
        <v>104</v>
      </c>
      <c r="AP2176" s="6" t="s">
        <v>15147</v>
      </c>
      <c r="AQ2176" s="6" t="s">
        <v>15230</v>
      </c>
      <c r="AR2176" s="6" t="s">
        <v>16638</v>
      </c>
      <c r="AS2176" s="6" t="s">
        <v>16680</v>
      </c>
      <c r="AT2176" s="6" t="s">
        <v>16931</v>
      </c>
      <c r="AU2176" s="6" t="s">
        <v>18400</v>
      </c>
      <c r="AV2176" s="6" t="s">
        <v>104</v>
      </c>
      <c r="AW2176" s="6" t="s">
        <v>104</v>
      </c>
      <c r="AX2176" s="6" t="s">
        <v>21788</v>
      </c>
      <c r="AY2176" s="6" t="s">
        <v>23620</v>
      </c>
      <c r="AZ2176" s="6" t="s">
        <v>104</v>
      </c>
      <c r="BA2176" s="6" t="s">
        <v>104</v>
      </c>
      <c r="BB2176" s="24" t="n">
        <v>0</v>
      </c>
      <c r="BC2176" s="26"/>
      <c r="BD2176" s="26"/>
      <c r="BE2176" s="26"/>
      <c r="BF2176" s="26"/>
      <c r="BG2176" s="26"/>
      <c r="BH2176" s="26" t="s">
        <v>24533</v>
      </c>
      <c r="BI2176" s="26"/>
      <c r="BJ2176" s="26"/>
      <c r="BK2176" s="26"/>
      <c r="BL2176" s="26"/>
      <c r="BM2176" s="26"/>
      <c r="BN2176" s="26"/>
      <c r="BO2176" s="26"/>
      <c r="BP2176" s="16" t="n">
        <v>45664</v>
      </c>
      <c r="BQ2176" s="28" t="str">
        <f>HYPERLINK("https://organic.ams.usda.gov/Integrity/Certificate.aspx?cid=51&amp;nopid=8241000112")</f>
        <v>https://organic.ams.usda.gov/Integrity/Certificate.aspx?cid=51&amp;nopid=8241000112</v>
      </c>
    </row>
    <row r="2177">
      <c r="A2177" t="s">
        <v>3</v>
      </c>
      <c r="B2177" s="6" t="s">
        <v>34</v>
      </c>
      <c r="C2177" s="6" t="s">
        <v>100</v>
      </c>
      <c r="D2177" s="6" t="s">
        <v>165</v>
      </c>
      <c r="E2177" s="10" t="s">
        <v>2375</v>
      </c>
      <c r="F2177" s="6" t="s">
        <v>4576</v>
      </c>
      <c r="G2177" s="6" t="s">
        <v>104</v>
      </c>
      <c r="H2177" s="6" t="s">
        <v>6842</v>
      </c>
      <c r="I2177" s="6" t="s">
        <v>7029</v>
      </c>
      <c r="J2177" s="6" t="s">
        <v>9664</v>
      </c>
      <c r="K2177" s="6" t="s">
        <v>9714</v>
      </c>
      <c r="L2177" s="16" t="n">
        <v>44113</v>
      </c>
      <c r="M2177" s="16" t="n">
        <v>45672</v>
      </c>
      <c r="N2177" s="6" t="s">
        <v>104</v>
      </c>
      <c r="O2177" s="21" t="s">
        <v>104</v>
      </c>
      <c r="P2177" s="6" t="s">
        <v>104</v>
      </c>
      <c r="Q2177" s="6" t="s">
        <v>104</v>
      </c>
      <c r="R2177" s="6" t="s">
        <v>104</v>
      </c>
      <c r="S2177" s="6" t="s">
        <v>104</v>
      </c>
      <c r="T2177" s="21" t="s">
        <v>104</v>
      </c>
      <c r="U2177" s="6" t="s">
        <v>104</v>
      </c>
      <c r="V2177" s="6" t="s">
        <v>104</v>
      </c>
      <c r="W2177" s="6" t="s">
        <v>104</v>
      </c>
      <c r="X2177" s="6" t="s">
        <v>104</v>
      </c>
      <c r="Y2177" s="21" t="s">
        <v>104</v>
      </c>
      <c r="Z2177" s="6" t="s">
        <v>104</v>
      </c>
      <c r="AA2177" s="6" t="s">
        <v>104</v>
      </c>
      <c r="AB2177" s="6" t="s">
        <v>104</v>
      </c>
      <c r="AC2177" s="6" t="s">
        <v>9714</v>
      </c>
      <c r="AD2177" s="16" t="n">
        <v>44113</v>
      </c>
      <c r="AE2177" s="6" t="s">
        <v>12417</v>
      </c>
      <c r="AF2177" s="6" t="s">
        <v>104</v>
      </c>
      <c r="AG2177" s="6" t="s">
        <v>13130</v>
      </c>
      <c r="AH2177" s="6" t="s">
        <v>15148</v>
      </c>
      <c r="AI2177" s="6" t="s">
        <v>104</v>
      </c>
      <c r="AJ2177" s="6" t="s">
        <v>16420</v>
      </c>
      <c r="AK2177" s="6" t="s">
        <v>16206</v>
      </c>
      <c r="AL2177" s="6" t="s">
        <v>16958</v>
      </c>
      <c r="AM2177" s="6" t="s">
        <v>18401</v>
      </c>
      <c r="AN2177" s="6" t="s">
        <v>104</v>
      </c>
      <c r="AO2177" s="6" t="s">
        <v>104</v>
      </c>
      <c r="AP2177" s="6" t="s">
        <v>15148</v>
      </c>
      <c r="AQ2177" s="6" t="s">
        <v>104</v>
      </c>
      <c r="AR2177" s="6" t="s">
        <v>16420</v>
      </c>
      <c r="AS2177" s="6" t="s">
        <v>16206</v>
      </c>
      <c r="AT2177" s="6" t="s">
        <v>16958</v>
      </c>
      <c r="AU2177" s="6" t="s">
        <v>18401</v>
      </c>
      <c r="AV2177" s="6" t="s">
        <v>104</v>
      </c>
      <c r="AW2177" s="6" t="s">
        <v>104</v>
      </c>
      <c r="AX2177" s="6" t="s">
        <v>20259</v>
      </c>
      <c r="AY2177" s="6" t="s">
        <v>23621</v>
      </c>
      <c r="AZ2177" s="6" t="s">
        <v>24241</v>
      </c>
      <c r="BA2177" s="6" t="s">
        <v>104</v>
      </c>
      <c r="BB2177" s="6" t="s">
        <v>104</v>
      </c>
      <c r="BC2177" s="26"/>
      <c r="BD2177" s="26"/>
      <c r="BE2177" s="26"/>
      <c r="BF2177" s="26"/>
      <c r="BG2177" s="26"/>
      <c r="BH2177" s="26"/>
      <c r="BI2177" s="26"/>
      <c r="BJ2177" s="26"/>
      <c r="BK2177" s="26"/>
      <c r="BL2177" s="26" t="s">
        <v>24533</v>
      </c>
      <c r="BM2177" s="26"/>
      <c r="BN2177" s="26"/>
      <c r="BO2177" s="26"/>
      <c r="BP2177" s="16" t="n">
        <v>45737</v>
      </c>
      <c r="BQ2177" s="28" t="str">
        <f>HYPERLINK("https://organic.ams.usda.gov/Integrity/Certificate.aspx?cid=71&amp;nopid=5520195655")</f>
        <v>https://organic.ams.usda.gov/Integrity/Certificate.aspx?cid=71&amp;nopid=5520195655</v>
      </c>
    </row>
    <row r="2178">
      <c r="A2178" t="s">
        <v>3</v>
      </c>
      <c r="B2178" s="6" t="s">
        <v>14</v>
      </c>
      <c r="C2178" s="6" t="s">
        <v>80</v>
      </c>
      <c r="D2178" s="6" t="s">
        <v>145</v>
      </c>
      <c r="E2178" s="10" t="s">
        <v>2376</v>
      </c>
      <c r="F2178" s="6" t="s">
        <v>4577</v>
      </c>
      <c r="G2178" s="6" t="s">
        <v>104</v>
      </c>
      <c r="H2178" s="6" t="s">
        <v>6843</v>
      </c>
      <c r="I2178" s="6" t="s">
        <v>104</v>
      </c>
      <c r="J2178" s="6" t="s">
        <v>104</v>
      </c>
      <c r="K2178" s="6" t="s">
        <v>9714</v>
      </c>
      <c r="L2178" s="16" t="n">
        <v>44516</v>
      </c>
      <c r="M2178" s="16" t="n">
        <v>45803</v>
      </c>
      <c r="N2178" s="6" t="s">
        <v>104</v>
      </c>
      <c r="O2178" s="21" t="s">
        <v>104</v>
      </c>
      <c r="P2178" s="6" t="s">
        <v>104</v>
      </c>
      <c r="Q2178" s="6" t="s">
        <v>104</v>
      </c>
      <c r="R2178" s="6" t="s">
        <v>104</v>
      </c>
      <c r="S2178" s="6" t="s">
        <v>104</v>
      </c>
      <c r="T2178" s="21" t="s">
        <v>104</v>
      </c>
      <c r="U2178" s="6" t="s">
        <v>104</v>
      </c>
      <c r="V2178" s="6" t="s">
        <v>104</v>
      </c>
      <c r="W2178" s="6" t="s">
        <v>104</v>
      </c>
      <c r="X2178" s="6" t="s">
        <v>104</v>
      </c>
      <c r="Y2178" s="21" t="s">
        <v>104</v>
      </c>
      <c r="Z2178" s="6" t="s">
        <v>104</v>
      </c>
      <c r="AA2178" s="6" t="s">
        <v>104</v>
      </c>
      <c r="AB2178" s="6" t="s">
        <v>104</v>
      </c>
      <c r="AC2178" s="6" t="s">
        <v>9714</v>
      </c>
      <c r="AD2178" s="16" t="n">
        <v>44516</v>
      </c>
      <c r="AE2178" s="6" t="s">
        <v>12418</v>
      </c>
      <c r="AF2178" s="6" t="s">
        <v>104</v>
      </c>
      <c r="AG2178" s="6" t="s">
        <v>104</v>
      </c>
      <c r="AH2178" s="6" t="s">
        <v>15149</v>
      </c>
      <c r="AI2178" s="6" t="s">
        <v>104</v>
      </c>
      <c r="AJ2178" s="6" t="s">
        <v>16639</v>
      </c>
      <c r="AK2178" s="6" t="s">
        <v>16773</v>
      </c>
      <c r="AL2178" s="6" t="s">
        <v>16932</v>
      </c>
      <c r="AM2178" s="6" t="s">
        <v>18402</v>
      </c>
      <c r="AN2178" s="6" t="s">
        <v>104</v>
      </c>
      <c r="AO2178" s="6" t="s">
        <v>104</v>
      </c>
      <c r="AP2178" s="6" t="s">
        <v>104</v>
      </c>
      <c r="AQ2178" s="6" t="s">
        <v>104</v>
      </c>
      <c r="AR2178" s="6" t="s">
        <v>104</v>
      </c>
      <c r="AS2178" s="6" t="s">
        <v>104</v>
      </c>
      <c r="AT2178" s="6" t="s">
        <v>104</v>
      </c>
      <c r="AU2178" s="6" t="s">
        <v>104</v>
      </c>
      <c r="AV2178" s="6" t="s">
        <v>104</v>
      </c>
      <c r="AW2178" s="6" t="s">
        <v>104</v>
      </c>
      <c r="AX2178" s="6" t="s">
        <v>21789</v>
      </c>
      <c r="AY2178" s="6" t="s">
        <v>104</v>
      </c>
      <c r="AZ2178" s="6" t="s">
        <v>104</v>
      </c>
      <c r="BA2178" s="6" t="s">
        <v>24272</v>
      </c>
      <c r="BB2178" s="6" t="s">
        <v>104</v>
      </c>
      <c r="BC2178" s="26"/>
      <c r="BD2178" s="26"/>
      <c r="BE2178" s="26"/>
      <c r="BF2178" s="26"/>
      <c r="BG2178" s="26"/>
      <c r="BH2178" s="26"/>
      <c r="BI2178" s="26"/>
      <c r="BJ2178" s="26"/>
      <c r="BK2178" s="26"/>
      <c r="BL2178" s="26"/>
      <c r="BM2178" s="26"/>
      <c r="BN2178" s="26"/>
      <c r="BO2178" s="26"/>
      <c r="BP2178" s="16" t="n">
        <v>45726</v>
      </c>
      <c r="BQ2178" s="28" t="str">
        <f>HYPERLINK("https://organic.ams.usda.gov/Integrity/Certificate.aspx?cid=89&amp;nopid=4920005416")</f>
        <v>https://organic.ams.usda.gov/Integrity/Certificate.aspx?cid=89&amp;nopid=4920005416</v>
      </c>
    </row>
    <row r="2179">
      <c r="A2179" t="s">
        <v>3</v>
      </c>
      <c r="B2179" s="6" t="s">
        <v>6</v>
      </c>
      <c r="C2179" s="6" t="s">
        <v>72</v>
      </c>
      <c r="D2179" s="6" t="s">
        <v>137</v>
      </c>
      <c r="E2179" s="10" t="s">
        <v>2377</v>
      </c>
      <c r="F2179" s="6" t="s">
        <v>4578</v>
      </c>
      <c r="G2179" s="6" t="s">
        <v>104</v>
      </c>
      <c r="H2179" s="6" t="s">
        <v>6844</v>
      </c>
      <c r="I2179" s="6" t="s">
        <v>8090</v>
      </c>
      <c r="J2179" s="6" t="s">
        <v>9665</v>
      </c>
      <c r="K2179" s="6" t="s">
        <v>9714</v>
      </c>
      <c r="L2179" s="16" t="n">
        <v>38083</v>
      </c>
      <c r="M2179" s="16" t="n">
        <v>45816</v>
      </c>
      <c r="N2179" s="6" t="s">
        <v>9714</v>
      </c>
      <c r="O2179" s="16" t="n">
        <v>38083</v>
      </c>
      <c r="P2179" s="6" t="s">
        <v>10271</v>
      </c>
      <c r="Q2179" s="6" t="s">
        <v>104</v>
      </c>
      <c r="R2179" s="6" t="s">
        <v>10456</v>
      </c>
      <c r="S2179" s="6" t="s">
        <v>104</v>
      </c>
      <c r="T2179" s="21" t="s">
        <v>104</v>
      </c>
      <c r="U2179" s="6" t="s">
        <v>104</v>
      </c>
      <c r="V2179" s="6" t="s">
        <v>104</v>
      </c>
      <c r="W2179" s="6" t="s">
        <v>104</v>
      </c>
      <c r="X2179" s="6" t="s">
        <v>104</v>
      </c>
      <c r="Y2179" s="21" t="s">
        <v>104</v>
      </c>
      <c r="Z2179" s="6" t="s">
        <v>104</v>
      </c>
      <c r="AA2179" s="6" t="s">
        <v>104</v>
      </c>
      <c r="AB2179" s="6" t="s">
        <v>104</v>
      </c>
      <c r="AC2179" s="6" t="s">
        <v>9714</v>
      </c>
      <c r="AD2179" s="16" t="n">
        <v>38083</v>
      </c>
      <c r="AE2179" s="6" t="s">
        <v>12419</v>
      </c>
      <c r="AF2179" s="6" t="s">
        <v>104</v>
      </c>
      <c r="AG2179" s="6" t="s">
        <v>10456</v>
      </c>
      <c r="AH2179" s="6" t="s">
        <v>15150</v>
      </c>
      <c r="AI2179" s="6" t="s">
        <v>104</v>
      </c>
      <c r="AJ2179" s="6" t="s">
        <v>16640</v>
      </c>
      <c r="AK2179" s="6" t="s">
        <v>16756</v>
      </c>
      <c r="AL2179" s="6" t="s">
        <v>16930</v>
      </c>
      <c r="AM2179" s="6" t="s">
        <v>18403</v>
      </c>
      <c r="AN2179" s="6" t="s">
        <v>104</v>
      </c>
      <c r="AO2179" s="6" t="s">
        <v>104</v>
      </c>
      <c r="AP2179" s="6" t="s">
        <v>104</v>
      </c>
      <c r="AQ2179" s="6" t="s">
        <v>104</v>
      </c>
      <c r="AR2179" s="6" t="s">
        <v>104</v>
      </c>
      <c r="AS2179" s="6" t="s">
        <v>104</v>
      </c>
      <c r="AT2179" s="6" t="s">
        <v>104</v>
      </c>
      <c r="AU2179" s="6" t="s">
        <v>104</v>
      </c>
      <c r="AV2179" s="6" t="s">
        <v>104</v>
      </c>
      <c r="AW2179" s="6" t="s">
        <v>104</v>
      </c>
      <c r="AX2179" s="6" t="s">
        <v>21790</v>
      </c>
      <c r="AY2179" s="6" t="s">
        <v>23622</v>
      </c>
      <c r="AZ2179" s="6" t="s">
        <v>104</v>
      </c>
      <c r="BA2179" s="6" t="s">
        <v>24258</v>
      </c>
      <c r="BB2179" s="24" t="n">
        <v>1108</v>
      </c>
      <c r="BC2179" s="26"/>
      <c r="BD2179" s="26"/>
      <c r="BE2179" s="26"/>
      <c r="BF2179" s="26"/>
      <c r="BG2179" s="26"/>
      <c r="BH2179" s="26"/>
      <c r="BI2179" s="26"/>
      <c r="BJ2179" s="26"/>
      <c r="BK2179" s="26"/>
      <c r="BL2179" s="26"/>
      <c r="BM2179" s="26"/>
      <c r="BN2179" s="26"/>
      <c r="BO2179" s="26"/>
      <c r="BP2179" s="16" t="n">
        <v>45737</v>
      </c>
      <c r="BQ2179" s="28" t="str">
        <f>HYPERLINK("https://organic.ams.usda.gov/Integrity/Certificate.aspx?cid=32&amp;nopid=2230000107")</f>
        <v>https://organic.ams.usda.gov/Integrity/Certificate.aspx?cid=32&amp;nopid=2230000107</v>
      </c>
    </row>
    <row r="2180">
      <c r="A2180" t="s">
        <v>3</v>
      </c>
      <c r="B2180" s="6" t="s">
        <v>6</v>
      </c>
      <c r="C2180" s="6" t="s">
        <v>72</v>
      </c>
      <c r="D2180" s="6" t="s">
        <v>137</v>
      </c>
      <c r="E2180" s="10" t="s">
        <v>2378</v>
      </c>
      <c r="F2180" s="6" t="s">
        <v>4579</v>
      </c>
      <c r="G2180" s="6" t="s">
        <v>104</v>
      </c>
      <c r="H2180" s="6" t="s">
        <v>6845</v>
      </c>
      <c r="I2180" s="6" t="s">
        <v>8091</v>
      </c>
      <c r="J2180" s="6" t="s">
        <v>9666</v>
      </c>
      <c r="K2180" s="6" t="s">
        <v>9714</v>
      </c>
      <c r="L2180" s="16" t="n">
        <v>45135</v>
      </c>
      <c r="M2180" s="16" t="n">
        <v>45799</v>
      </c>
      <c r="N2180" s="6" t="s">
        <v>104</v>
      </c>
      <c r="O2180" s="21" t="s">
        <v>104</v>
      </c>
      <c r="P2180" s="6" t="s">
        <v>104</v>
      </c>
      <c r="Q2180" s="6" t="s">
        <v>104</v>
      </c>
      <c r="R2180" s="6" t="s">
        <v>104</v>
      </c>
      <c r="S2180" s="6" t="s">
        <v>104</v>
      </c>
      <c r="T2180" s="21" t="s">
        <v>104</v>
      </c>
      <c r="U2180" s="6" t="s">
        <v>104</v>
      </c>
      <c r="V2180" s="6" t="s">
        <v>104</v>
      </c>
      <c r="W2180" s="6" t="s">
        <v>104</v>
      </c>
      <c r="X2180" s="6" t="s">
        <v>104</v>
      </c>
      <c r="Y2180" s="21" t="s">
        <v>104</v>
      </c>
      <c r="Z2180" s="6" t="s">
        <v>104</v>
      </c>
      <c r="AA2180" s="6" t="s">
        <v>104</v>
      </c>
      <c r="AB2180" s="6" t="s">
        <v>104</v>
      </c>
      <c r="AC2180" s="6" t="s">
        <v>9714</v>
      </c>
      <c r="AD2180" s="16" t="n">
        <v>45135</v>
      </c>
      <c r="AE2180" s="6" t="s">
        <v>12420</v>
      </c>
      <c r="AF2180" s="6" t="s">
        <v>104</v>
      </c>
      <c r="AG2180" s="6" t="s">
        <v>13131</v>
      </c>
      <c r="AH2180" s="6" t="s">
        <v>15151</v>
      </c>
      <c r="AI2180" s="6" t="s">
        <v>104</v>
      </c>
      <c r="AJ2180" s="6" t="s">
        <v>16641</v>
      </c>
      <c r="AK2180" s="6" t="s">
        <v>16676</v>
      </c>
      <c r="AL2180" s="6" t="s">
        <v>16929</v>
      </c>
      <c r="AM2180" s="6" t="s">
        <v>104</v>
      </c>
      <c r="AN2180" s="6" t="s">
        <v>104</v>
      </c>
      <c r="AO2180" s="6" t="s">
        <v>104</v>
      </c>
      <c r="AP2180" s="6" t="s">
        <v>104</v>
      </c>
      <c r="AQ2180" s="6" t="s">
        <v>104</v>
      </c>
      <c r="AR2180" s="6" t="s">
        <v>104</v>
      </c>
      <c r="AS2180" s="6" t="s">
        <v>104</v>
      </c>
      <c r="AT2180" s="6" t="s">
        <v>104</v>
      </c>
      <c r="AU2180" s="6" t="s">
        <v>104</v>
      </c>
      <c r="AV2180" s="6" t="s">
        <v>104</v>
      </c>
      <c r="AW2180" s="6" t="s">
        <v>104</v>
      </c>
      <c r="AX2180" s="6" t="s">
        <v>104</v>
      </c>
      <c r="AY2180" s="6" t="s">
        <v>22308</v>
      </c>
      <c r="AZ2180" s="6" t="s">
        <v>104</v>
      </c>
      <c r="BA2180" s="6" t="s">
        <v>24483</v>
      </c>
      <c r="BB2180" s="6" t="s">
        <v>104</v>
      </c>
      <c r="BC2180" s="26"/>
      <c r="BD2180" s="26"/>
      <c r="BE2180" s="26"/>
      <c r="BF2180" s="26"/>
      <c r="BG2180" s="26"/>
      <c r="BH2180" s="26"/>
      <c r="BI2180" s="26"/>
      <c r="BJ2180" s="26"/>
      <c r="BK2180" s="26"/>
      <c r="BL2180" s="26"/>
      <c r="BM2180" s="26"/>
      <c r="BN2180" s="26"/>
      <c r="BO2180" s="26"/>
      <c r="BP2180" s="16" t="n">
        <v>45737</v>
      </c>
      <c r="BQ2180" s="28" t="str">
        <f>HYPERLINK("https://organic.ams.usda.gov/Integrity/Certificate.aspx?cid=32&amp;nopid=2230010598")</f>
        <v>https://organic.ams.usda.gov/Integrity/Certificate.aspx?cid=32&amp;nopid=2230010598</v>
      </c>
    </row>
    <row r="2181">
      <c r="A2181" t="s">
        <v>3</v>
      </c>
      <c r="B2181" s="6" t="s">
        <v>20</v>
      </c>
      <c r="C2181" s="6" t="s">
        <v>86</v>
      </c>
      <c r="D2181" s="6" t="s">
        <v>151</v>
      </c>
      <c r="E2181" s="10" t="s">
        <v>2379</v>
      </c>
      <c r="F2181" s="6" t="s">
        <v>4580</v>
      </c>
      <c r="G2181" s="6" t="s">
        <v>104</v>
      </c>
      <c r="H2181" s="6" t="s">
        <v>6846</v>
      </c>
      <c r="I2181" s="6" t="s">
        <v>8092</v>
      </c>
      <c r="J2181" s="6" t="s">
        <v>9667</v>
      </c>
      <c r="K2181" s="6" t="s">
        <v>9714</v>
      </c>
      <c r="L2181" s="16" t="n">
        <v>45044</v>
      </c>
      <c r="M2181" s="16" t="n">
        <v>45777</v>
      </c>
      <c r="N2181" s="6" t="s">
        <v>104</v>
      </c>
      <c r="O2181" s="21" t="s">
        <v>104</v>
      </c>
      <c r="P2181" s="6" t="s">
        <v>104</v>
      </c>
      <c r="Q2181" s="6" t="s">
        <v>104</v>
      </c>
      <c r="R2181" s="6" t="s">
        <v>104</v>
      </c>
      <c r="S2181" s="6" t="s">
        <v>104</v>
      </c>
      <c r="T2181" s="21" t="s">
        <v>104</v>
      </c>
      <c r="U2181" s="6" t="s">
        <v>104</v>
      </c>
      <c r="V2181" s="6" t="s">
        <v>104</v>
      </c>
      <c r="W2181" s="6" t="s">
        <v>104</v>
      </c>
      <c r="X2181" s="6" t="s">
        <v>104</v>
      </c>
      <c r="Y2181" s="21" t="s">
        <v>104</v>
      </c>
      <c r="Z2181" s="6" t="s">
        <v>104</v>
      </c>
      <c r="AA2181" s="6" t="s">
        <v>104</v>
      </c>
      <c r="AB2181" s="6" t="s">
        <v>104</v>
      </c>
      <c r="AC2181" s="6" t="s">
        <v>9714</v>
      </c>
      <c r="AD2181" s="16" t="n">
        <v>45044</v>
      </c>
      <c r="AE2181" s="6" t="s">
        <v>12421</v>
      </c>
      <c r="AF2181" s="6" t="s">
        <v>104</v>
      </c>
      <c r="AG2181" s="6" t="s">
        <v>13132</v>
      </c>
      <c r="AH2181" s="6" t="s">
        <v>15152</v>
      </c>
      <c r="AI2181" s="6" t="s">
        <v>104</v>
      </c>
      <c r="AJ2181" s="6" t="s">
        <v>15462</v>
      </c>
      <c r="AK2181" s="6" t="s">
        <v>15462</v>
      </c>
      <c r="AL2181" s="6" t="s">
        <v>16936</v>
      </c>
      <c r="AM2181" s="6" t="s">
        <v>18404</v>
      </c>
      <c r="AN2181" s="6" t="s">
        <v>104</v>
      </c>
      <c r="AO2181" s="6" t="s">
        <v>104</v>
      </c>
      <c r="AP2181" s="6" t="s">
        <v>104</v>
      </c>
      <c r="AQ2181" s="6" t="s">
        <v>104</v>
      </c>
      <c r="AR2181" s="6" t="s">
        <v>104</v>
      </c>
      <c r="AS2181" s="6" t="s">
        <v>104</v>
      </c>
      <c r="AT2181" s="6" t="s">
        <v>104</v>
      </c>
      <c r="AU2181" s="6" t="s">
        <v>104</v>
      </c>
      <c r="AV2181" s="6" t="s">
        <v>104</v>
      </c>
      <c r="AW2181" s="6" t="s">
        <v>104</v>
      </c>
      <c r="AX2181" s="6" t="s">
        <v>104</v>
      </c>
      <c r="AY2181" s="6" t="s">
        <v>23623</v>
      </c>
      <c r="AZ2181" s="6" t="s">
        <v>104</v>
      </c>
      <c r="BA2181" s="6" t="s">
        <v>104</v>
      </c>
      <c r="BB2181" s="6" t="s">
        <v>104</v>
      </c>
      <c r="BC2181" s="26"/>
      <c r="BD2181" s="26"/>
      <c r="BE2181" s="26"/>
      <c r="BF2181" s="26"/>
      <c r="BG2181" s="26"/>
      <c r="BH2181" s="26"/>
      <c r="BI2181" s="26"/>
      <c r="BJ2181" s="26"/>
      <c r="BK2181" s="26"/>
      <c r="BL2181" s="26"/>
      <c r="BM2181" s="26"/>
      <c r="BN2181" s="26"/>
      <c r="BO2181" s="26"/>
      <c r="BP2181" s="16" t="n">
        <v>45433</v>
      </c>
      <c r="BQ2181" s="28" t="str">
        <f>HYPERLINK("https://organic.ams.usda.gov/Integrity/Certificate.aspx?cid=17&amp;nopid=4081595803")</f>
        <v>https://organic.ams.usda.gov/Integrity/Certificate.aspx?cid=17&amp;nopid=4081595803</v>
      </c>
    </row>
    <row r="2182">
      <c r="A2182" t="s">
        <v>3</v>
      </c>
      <c r="B2182" s="6" t="s">
        <v>39</v>
      </c>
      <c r="C2182" s="6" t="s">
        <v>105</v>
      </c>
      <c r="D2182" s="6" t="s">
        <v>169</v>
      </c>
      <c r="E2182" s="10" t="s">
        <v>2380</v>
      </c>
      <c r="F2182" s="6" t="s">
        <v>4581</v>
      </c>
      <c r="G2182" s="6" t="s">
        <v>104</v>
      </c>
      <c r="H2182" s="6" t="s">
        <v>6847</v>
      </c>
      <c r="I2182" s="6" t="s">
        <v>8093</v>
      </c>
      <c r="J2182" s="6" t="s">
        <v>9668</v>
      </c>
      <c r="K2182" s="6" t="s">
        <v>9714</v>
      </c>
      <c r="L2182" s="16" t="n">
        <v>44615</v>
      </c>
      <c r="M2182" s="16" t="n">
        <v>45777</v>
      </c>
      <c r="N2182" s="6" t="s">
        <v>104</v>
      </c>
      <c r="O2182" s="21" t="s">
        <v>104</v>
      </c>
      <c r="P2182" s="6" t="s">
        <v>104</v>
      </c>
      <c r="Q2182" s="6" t="s">
        <v>104</v>
      </c>
      <c r="R2182" s="6" t="s">
        <v>104</v>
      </c>
      <c r="S2182" s="6" t="s">
        <v>104</v>
      </c>
      <c r="T2182" s="21" t="s">
        <v>104</v>
      </c>
      <c r="U2182" s="6" t="s">
        <v>104</v>
      </c>
      <c r="V2182" s="6" t="s">
        <v>104</v>
      </c>
      <c r="W2182" s="6" t="s">
        <v>104</v>
      </c>
      <c r="X2182" s="6" t="s">
        <v>104</v>
      </c>
      <c r="Y2182" s="21" t="s">
        <v>104</v>
      </c>
      <c r="Z2182" s="6" t="s">
        <v>104</v>
      </c>
      <c r="AA2182" s="6" t="s">
        <v>104</v>
      </c>
      <c r="AB2182" s="6" t="s">
        <v>104</v>
      </c>
      <c r="AC2182" s="6" t="s">
        <v>9714</v>
      </c>
      <c r="AD2182" s="16" t="n">
        <v>44615</v>
      </c>
      <c r="AE2182" s="6" t="s">
        <v>12042</v>
      </c>
      <c r="AF2182" s="6" t="s">
        <v>104</v>
      </c>
      <c r="AG2182" s="6" t="s">
        <v>6847</v>
      </c>
      <c r="AH2182" s="6" t="s">
        <v>15153</v>
      </c>
      <c r="AI2182" s="6" t="s">
        <v>104</v>
      </c>
      <c r="AJ2182" s="6" t="s">
        <v>16642</v>
      </c>
      <c r="AK2182" s="6" t="s">
        <v>16689</v>
      </c>
      <c r="AL2182" s="6" t="s">
        <v>16931</v>
      </c>
      <c r="AM2182" s="6" t="s">
        <v>18405</v>
      </c>
      <c r="AN2182" s="6" t="s">
        <v>18553</v>
      </c>
      <c r="AO2182" s="6" t="s">
        <v>18930</v>
      </c>
      <c r="AP2182" s="6" t="s">
        <v>19527</v>
      </c>
      <c r="AQ2182" s="6" t="s">
        <v>104</v>
      </c>
      <c r="AR2182" s="6" t="s">
        <v>16642</v>
      </c>
      <c r="AS2182" s="6" t="s">
        <v>16689</v>
      </c>
      <c r="AT2182" s="6" t="s">
        <v>16931</v>
      </c>
      <c r="AU2182" s="6" t="s">
        <v>18405</v>
      </c>
      <c r="AV2182" s="6" t="s">
        <v>104</v>
      </c>
      <c r="AW2182" s="6" t="s">
        <v>104</v>
      </c>
      <c r="AX2182" s="6" t="s">
        <v>104</v>
      </c>
      <c r="AY2182" s="6" t="s">
        <v>23624</v>
      </c>
      <c r="AZ2182" s="6" t="s">
        <v>104</v>
      </c>
      <c r="BA2182" s="6" t="s">
        <v>104</v>
      </c>
      <c r="BB2182" s="6" t="s">
        <v>104</v>
      </c>
      <c r="BC2182" s="26"/>
      <c r="BD2182" s="26"/>
      <c r="BE2182" s="26"/>
      <c r="BF2182" s="26"/>
      <c r="BG2182" s="26"/>
      <c r="BH2182" s="26"/>
      <c r="BI2182" s="26"/>
      <c r="BJ2182" s="26"/>
      <c r="BK2182" s="26"/>
      <c r="BL2182" s="26"/>
      <c r="BM2182" s="26"/>
      <c r="BN2182" s="26"/>
      <c r="BO2182" s="26"/>
      <c r="BP2182" s="16" t="n">
        <v>45705</v>
      </c>
      <c r="BQ2182" s="28" t="str">
        <f>HYPERLINK("https://organic.ams.usda.gov/Integrity/Certificate.aspx?cid=29&amp;nopid=1582022322")</f>
        <v>https://organic.ams.usda.gov/Integrity/Certificate.aspx?cid=29&amp;nopid=1582022322</v>
      </c>
    </row>
    <row r="2183">
      <c r="A2183" t="s">
        <v>3</v>
      </c>
      <c r="B2183" s="6" t="s">
        <v>21</v>
      </c>
      <c r="C2183" s="6" t="s">
        <v>87</v>
      </c>
      <c r="D2183" s="6" t="s">
        <v>152</v>
      </c>
      <c r="E2183" s="10" t="s">
        <v>2381</v>
      </c>
      <c r="F2183" s="6" t="s">
        <v>4582</v>
      </c>
      <c r="G2183" s="6" t="s">
        <v>4886</v>
      </c>
      <c r="H2183" s="6" t="s">
        <v>6848</v>
      </c>
      <c r="I2183" s="6" t="s">
        <v>8094</v>
      </c>
      <c r="J2183" s="6" t="s">
        <v>9380</v>
      </c>
      <c r="K2183" s="6" t="s">
        <v>9714</v>
      </c>
      <c r="L2183" s="16" t="n">
        <v>42390</v>
      </c>
      <c r="M2183" s="16" t="n">
        <v>46023</v>
      </c>
      <c r="N2183" s="6" t="s">
        <v>104</v>
      </c>
      <c r="O2183" s="21" t="s">
        <v>104</v>
      </c>
      <c r="P2183" s="6" t="s">
        <v>104</v>
      </c>
      <c r="Q2183" s="6" t="s">
        <v>104</v>
      </c>
      <c r="R2183" s="6" t="s">
        <v>104</v>
      </c>
      <c r="S2183" s="6" t="s">
        <v>104</v>
      </c>
      <c r="T2183" s="21" t="s">
        <v>104</v>
      </c>
      <c r="U2183" s="6" t="s">
        <v>104</v>
      </c>
      <c r="V2183" s="6" t="s">
        <v>104</v>
      </c>
      <c r="W2183" s="6" t="s">
        <v>104</v>
      </c>
      <c r="X2183" s="6" t="s">
        <v>104</v>
      </c>
      <c r="Y2183" s="21" t="s">
        <v>104</v>
      </c>
      <c r="Z2183" s="6" t="s">
        <v>104</v>
      </c>
      <c r="AA2183" s="6" t="s">
        <v>104</v>
      </c>
      <c r="AB2183" s="6" t="s">
        <v>104</v>
      </c>
      <c r="AC2183" s="6" t="s">
        <v>9714</v>
      </c>
      <c r="AD2183" s="16" t="n">
        <v>42390</v>
      </c>
      <c r="AE2183" s="6" t="s">
        <v>12422</v>
      </c>
      <c r="AF2183" s="6" t="s">
        <v>104</v>
      </c>
      <c r="AG2183" s="6" t="s">
        <v>104</v>
      </c>
      <c r="AH2183" s="6" t="s">
        <v>15154</v>
      </c>
      <c r="AI2183" s="6" t="s">
        <v>104</v>
      </c>
      <c r="AJ2183" s="6" t="s">
        <v>16413</v>
      </c>
      <c r="AK2183" s="6" t="s">
        <v>16687</v>
      </c>
      <c r="AL2183" s="6" t="s">
        <v>16931</v>
      </c>
      <c r="AM2183" s="6" t="s">
        <v>18124</v>
      </c>
      <c r="AN2183" s="6" t="s">
        <v>18459</v>
      </c>
      <c r="AO2183" s="6" t="s">
        <v>18931</v>
      </c>
      <c r="AP2183" s="6" t="s">
        <v>19528</v>
      </c>
      <c r="AQ2183" s="6" t="s">
        <v>104</v>
      </c>
      <c r="AR2183" s="6" t="s">
        <v>16413</v>
      </c>
      <c r="AS2183" s="6" t="s">
        <v>16687</v>
      </c>
      <c r="AT2183" s="6" t="s">
        <v>16931</v>
      </c>
      <c r="AU2183" s="6" t="s">
        <v>18124</v>
      </c>
      <c r="AV2183" s="6" t="s">
        <v>104</v>
      </c>
      <c r="AW2183" s="6" t="s">
        <v>104</v>
      </c>
      <c r="AX2183" s="6" t="s">
        <v>21791</v>
      </c>
      <c r="AY2183" s="6" t="s">
        <v>23625</v>
      </c>
      <c r="AZ2183" s="6" t="s">
        <v>104</v>
      </c>
      <c r="BA2183" s="6" t="s">
        <v>104</v>
      </c>
      <c r="BB2183" s="6" t="s">
        <v>104</v>
      </c>
      <c r="BC2183" s="26"/>
      <c r="BD2183" s="26"/>
      <c r="BE2183" s="26"/>
      <c r="BF2183" s="26"/>
      <c r="BG2183" s="26"/>
      <c r="BH2183" s="26"/>
      <c r="BI2183" s="26"/>
      <c r="BJ2183" s="26"/>
      <c r="BK2183" s="26"/>
      <c r="BL2183" s="26"/>
      <c r="BM2183" s="26"/>
      <c r="BN2183" s="26"/>
      <c r="BO2183" s="26"/>
      <c r="BP2183" s="16" t="n">
        <v>45667</v>
      </c>
      <c r="BQ2183" s="28" t="str">
        <f>HYPERLINK("https://organic.ams.usda.gov/Integrity/Certificate.aspx?cid=15&amp;nopid=5561002144")</f>
        <v>https://organic.ams.usda.gov/Integrity/Certificate.aspx?cid=15&amp;nopid=5561002144</v>
      </c>
    </row>
    <row r="2184">
      <c r="A2184" t="s">
        <v>3</v>
      </c>
      <c r="B2184" s="6" t="s">
        <v>59</v>
      </c>
      <c r="C2184" s="6" t="s">
        <v>125</v>
      </c>
      <c r="D2184" s="6" t="s">
        <v>189</v>
      </c>
      <c r="E2184" s="10" t="s">
        <v>2382</v>
      </c>
      <c r="F2184" s="6" t="s">
        <v>4583</v>
      </c>
      <c r="G2184" s="6" t="s">
        <v>4887</v>
      </c>
      <c r="H2184" s="6" t="s">
        <v>6849</v>
      </c>
      <c r="I2184" s="6" t="s">
        <v>7216</v>
      </c>
      <c r="J2184" s="6" t="s">
        <v>9669</v>
      </c>
      <c r="K2184" s="6" t="s">
        <v>9714</v>
      </c>
      <c r="L2184" s="16" t="n">
        <v>37545</v>
      </c>
      <c r="M2184" s="16" t="n">
        <v>45748</v>
      </c>
      <c r="N2184" s="6" t="s">
        <v>9714</v>
      </c>
      <c r="O2184" s="16" t="n">
        <v>37545</v>
      </c>
      <c r="P2184" s="6" t="s">
        <v>10272</v>
      </c>
      <c r="Q2184" s="6" t="s">
        <v>104</v>
      </c>
      <c r="R2184" s="6" t="s">
        <v>10457</v>
      </c>
      <c r="S2184" s="6" t="s">
        <v>104</v>
      </c>
      <c r="T2184" s="21" t="s">
        <v>104</v>
      </c>
      <c r="U2184" s="6" t="s">
        <v>104</v>
      </c>
      <c r="V2184" s="6" t="s">
        <v>104</v>
      </c>
      <c r="W2184" s="6" t="s">
        <v>104</v>
      </c>
      <c r="X2184" s="6" t="s">
        <v>104</v>
      </c>
      <c r="Y2184" s="21" t="s">
        <v>104</v>
      </c>
      <c r="Z2184" s="6" t="s">
        <v>104</v>
      </c>
      <c r="AA2184" s="6" t="s">
        <v>104</v>
      </c>
      <c r="AB2184" s="6" t="s">
        <v>104</v>
      </c>
      <c r="AC2184" s="6" t="s">
        <v>104</v>
      </c>
      <c r="AD2184" s="21" t="s">
        <v>104</v>
      </c>
      <c r="AE2184" s="6" t="s">
        <v>104</v>
      </c>
      <c r="AF2184" s="6" t="s">
        <v>104</v>
      </c>
      <c r="AG2184" s="6" t="s">
        <v>104</v>
      </c>
      <c r="AH2184" s="6" t="s">
        <v>15155</v>
      </c>
      <c r="AI2184" s="6" t="s">
        <v>104</v>
      </c>
      <c r="AJ2184" s="6" t="s">
        <v>16643</v>
      </c>
      <c r="AK2184" s="6" t="s">
        <v>16337</v>
      </c>
      <c r="AL2184" s="6" t="s">
        <v>16931</v>
      </c>
      <c r="AM2184" s="6" t="s">
        <v>18406</v>
      </c>
      <c r="AN2184" s="6" t="s">
        <v>18462</v>
      </c>
      <c r="AO2184" s="6" t="s">
        <v>18932</v>
      </c>
      <c r="AP2184" s="6" t="s">
        <v>15155</v>
      </c>
      <c r="AQ2184" s="6" t="s">
        <v>104</v>
      </c>
      <c r="AR2184" s="6" t="s">
        <v>16643</v>
      </c>
      <c r="AS2184" s="6" t="s">
        <v>16337</v>
      </c>
      <c r="AT2184" s="6" t="s">
        <v>16931</v>
      </c>
      <c r="AU2184" s="6" t="s">
        <v>18406</v>
      </c>
      <c r="AV2184" s="6" t="s">
        <v>104</v>
      </c>
      <c r="AW2184" s="6" t="s">
        <v>104</v>
      </c>
      <c r="AX2184" s="6" t="s">
        <v>21792</v>
      </c>
      <c r="AY2184" s="6" t="s">
        <v>23626</v>
      </c>
      <c r="AZ2184" s="6" t="s">
        <v>24242</v>
      </c>
      <c r="BA2184" s="6" t="s">
        <v>104</v>
      </c>
      <c r="BB2184" s="24" t="n">
        <v>7</v>
      </c>
      <c r="BC2184" s="26"/>
      <c r="BD2184" s="26"/>
      <c r="BE2184" s="26"/>
      <c r="BF2184" s="26"/>
      <c r="BG2184" s="26"/>
      <c r="BH2184" s="26"/>
      <c r="BI2184" s="26"/>
      <c r="BJ2184" s="26"/>
      <c r="BK2184" s="26"/>
      <c r="BL2184" s="26"/>
      <c r="BM2184" s="26"/>
      <c r="BN2184" s="26"/>
      <c r="BO2184" s="26"/>
      <c r="BP2184" s="16" t="n">
        <v>45453</v>
      </c>
      <c r="BQ2184" s="28" t="str">
        <f>HYPERLINK("https://organic.ams.usda.gov/Integrity/Certificate.aspx?cid=42&amp;nopid=6780000020")</f>
        <v>https://organic.ams.usda.gov/Integrity/Certificate.aspx?cid=42&amp;nopid=6780000020</v>
      </c>
    </row>
    <row r="2185">
      <c r="A2185" t="s">
        <v>3</v>
      </c>
      <c r="B2185" s="6" t="s">
        <v>9</v>
      </c>
      <c r="C2185" s="6" t="s">
        <v>75</v>
      </c>
      <c r="D2185" s="6" t="s">
        <v>140</v>
      </c>
      <c r="E2185" s="10" t="s">
        <v>2383</v>
      </c>
      <c r="F2185" s="6" t="s">
        <v>4584</v>
      </c>
      <c r="G2185" s="6" t="s">
        <v>104</v>
      </c>
      <c r="H2185" s="6" t="s">
        <v>6850</v>
      </c>
      <c r="I2185" s="6" t="s">
        <v>7861</v>
      </c>
      <c r="J2185" s="6" t="s">
        <v>9574</v>
      </c>
      <c r="K2185" s="6" t="s">
        <v>9714</v>
      </c>
      <c r="L2185" s="16" t="n">
        <v>40669</v>
      </c>
      <c r="M2185" s="16" t="n">
        <v>45783</v>
      </c>
      <c r="N2185" s="6" t="s">
        <v>104</v>
      </c>
      <c r="O2185" s="21" t="s">
        <v>104</v>
      </c>
      <c r="P2185" s="6" t="s">
        <v>104</v>
      </c>
      <c r="Q2185" s="6" t="s">
        <v>104</v>
      </c>
      <c r="R2185" s="6" t="s">
        <v>104</v>
      </c>
      <c r="S2185" s="6" t="s">
        <v>104</v>
      </c>
      <c r="T2185" s="21" t="s">
        <v>104</v>
      </c>
      <c r="U2185" s="6" t="s">
        <v>104</v>
      </c>
      <c r="V2185" s="6" t="s">
        <v>104</v>
      </c>
      <c r="W2185" s="6" t="s">
        <v>104</v>
      </c>
      <c r="X2185" s="6" t="s">
        <v>104</v>
      </c>
      <c r="Y2185" s="21" t="s">
        <v>104</v>
      </c>
      <c r="Z2185" s="6" t="s">
        <v>104</v>
      </c>
      <c r="AA2185" s="6" t="s">
        <v>104</v>
      </c>
      <c r="AB2185" s="6" t="s">
        <v>104</v>
      </c>
      <c r="AC2185" s="6" t="s">
        <v>9714</v>
      </c>
      <c r="AD2185" s="16" t="n">
        <v>40669</v>
      </c>
      <c r="AE2185" s="6" t="s">
        <v>12423</v>
      </c>
      <c r="AF2185" s="6" t="s">
        <v>104</v>
      </c>
      <c r="AG2185" s="6" t="s">
        <v>104</v>
      </c>
      <c r="AH2185" s="6" t="s">
        <v>15156</v>
      </c>
      <c r="AI2185" s="6" t="s">
        <v>104</v>
      </c>
      <c r="AJ2185" s="6" t="s">
        <v>16514</v>
      </c>
      <c r="AK2185" s="6" t="s">
        <v>16687</v>
      </c>
      <c r="AL2185" s="6" t="s">
        <v>16931</v>
      </c>
      <c r="AM2185" s="6" t="s">
        <v>18407</v>
      </c>
      <c r="AN2185" s="6" t="s">
        <v>104</v>
      </c>
      <c r="AO2185" s="6" t="s">
        <v>104</v>
      </c>
      <c r="AP2185" s="6" t="s">
        <v>104</v>
      </c>
      <c r="AQ2185" s="6" t="s">
        <v>104</v>
      </c>
      <c r="AR2185" s="6" t="s">
        <v>104</v>
      </c>
      <c r="AS2185" s="6" t="s">
        <v>104</v>
      </c>
      <c r="AT2185" s="6" t="s">
        <v>104</v>
      </c>
      <c r="AU2185" s="6" t="s">
        <v>104</v>
      </c>
      <c r="AV2185" s="6" t="s">
        <v>104</v>
      </c>
      <c r="AW2185" s="6" t="s">
        <v>104</v>
      </c>
      <c r="AX2185" s="6" t="s">
        <v>21793</v>
      </c>
      <c r="AY2185" s="6" t="s">
        <v>23627</v>
      </c>
      <c r="AZ2185" s="6" t="s">
        <v>104</v>
      </c>
      <c r="BA2185" s="6" t="s">
        <v>104</v>
      </c>
      <c r="BB2185" s="6" t="s">
        <v>104</v>
      </c>
      <c r="BC2185" s="26"/>
      <c r="BD2185" s="26"/>
      <c r="BE2185" s="26"/>
      <c r="BF2185" s="26"/>
      <c r="BG2185" s="26"/>
      <c r="BH2185" s="26"/>
      <c r="BI2185" s="26"/>
      <c r="BJ2185" s="26"/>
      <c r="BK2185" s="26"/>
      <c r="BL2185" s="26"/>
      <c r="BM2185" s="26"/>
      <c r="BN2185" s="26"/>
      <c r="BO2185" s="26"/>
      <c r="BP2185" s="16" t="n">
        <v>45593</v>
      </c>
      <c r="BQ2185" s="28" t="str">
        <f>HYPERLINK("https://organic.ams.usda.gov/Integrity/Certificate.aspx?cid=63&amp;nopid=6220005558")</f>
        <v>https://organic.ams.usda.gov/Integrity/Certificate.aspx?cid=63&amp;nopid=6220005558</v>
      </c>
    </row>
    <row r="2186">
      <c r="A2186" t="s">
        <v>3</v>
      </c>
      <c r="B2186" s="6" t="s">
        <v>20</v>
      </c>
      <c r="C2186" s="6" t="s">
        <v>86</v>
      </c>
      <c r="D2186" s="6" t="s">
        <v>151</v>
      </c>
      <c r="E2186" s="10" t="s">
        <v>2384</v>
      </c>
      <c r="F2186" s="6" t="s">
        <v>4585</v>
      </c>
      <c r="G2186" s="6" t="s">
        <v>104</v>
      </c>
      <c r="H2186" s="6" t="s">
        <v>6851</v>
      </c>
      <c r="I2186" s="6" t="s">
        <v>8095</v>
      </c>
      <c r="J2186" s="6" t="s">
        <v>9670</v>
      </c>
      <c r="K2186" s="6" t="s">
        <v>9714</v>
      </c>
      <c r="L2186" s="16" t="n">
        <v>45310</v>
      </c>
      <c r="M2186" s="18" t="s">
        <v>104</v>
      </c>
      <c r="N2186" s="6" t="s">
        <v>104</v>
      </c>
      <c r="O2186" s="21" t="s">
        <v>104</v>
      </c>
      <c r="P2186" s="6" t="s">
        <v>104</v>
      </c>
      <c r="Q2186" s="6" t="s">
        <v>104</v>
      </c>
      <c r="R2186" s="6" t="s">
        <v>104</v>
      </c>
      <c r="S2186" s="6" t="s">
        <v>104</v>
      </c>
      <c r="T2186" s="21" t="s">
        <v>104</v>
      </c>
      <c r="U2186" s="6" t="s">
        <v>104</v>
      </c>
      <c r="V2186" s="6" t="s">
        <v>104</v>
      </c>
      <c r="W2186" s="6" t="s">
        <v>104</v>
      </c>
      <c r="X2186" s="6" t="s">
        <v>104</v>
      </c>
      <c r="Y2186" s="21" t="s">
        <v>104</v>
      </c>
      <c r="Z2186" s="6" t="s">
        <v>104</v>
      </c>
      <c r="AA2186" s="6" t="s">
        <v>104</v>
      </c>
      <c r="AB2186" s="6" t="s">
        <v>104</v>
      </c>
      <c r="AC2186" s="6" t="s">
        <v>9714</v>
      </c>
      <c r="AD2186" s="16" t="n">
        <v>45310</v>
      </c>
      <c r="AE2186" s="6" t="s">
        <v>11917</v>
      </c>
      <c r="AF2186" s="6" t="s">
        <v>104</v>
      </c>
      <c r="AG2186" s="6" t="s">
        <v>104</v>
      </c>
      <c r="AH2186" s="6" t="s">
        <v>15157</v>
      </c>
      <c r="AI2186" s="6" t="s">
        <v>104</v>
      </c>
      <c r="AJ2186" s="6" t="s">
        <v>16644</v>
      </c>
      <c r="AK2186" s="6" t="s">
        <v>16853</v>
      </c>
      <c r="AL2186" s="6" t="s">
        <v>16975</v>
      </c>
      <c r="AM2186" s="6" t="s">
        <v>104</v>
      </c>
      <c r="AN2186" s="6" t="s">
        <v>104</v>
      </c>
      <c r="AO2186" s="6" t="s">
        <v>104</v>
      </c>
      <c r="AP2186" s="6" t="s">
        <v>15157</v>
      </c>
      <c r="AQ2186" s="6" t="s">
        <v>104</v>
      </c>
      <c r="AR2186" s="6" t="s">
        <v>16644</v>
      </c>
      <c r="AS2186" s="6" t="s">
        <v>16853</v>
      </c>
      <c r="AT2186" s="6" t="s">
        <v>16975</v>
      </c>
      <c r="AU2186" s="6" t="s">
        <v>104</v>
      </c>
      <c r="AV2186" s="6" t="s">
        <v>104</v>
      </c>
      <c r="AW2186" s="6" t="s">
        <v>104</v>
      </c>
      <c r="AX2186" s="6" t="s">
        <v>21794</v>
      </c>
      <c r="AY2186" s="6" t="s">
        <v>104</v>
      </c>
      <c r="AZ2186" s="6" t="s">
        <v>104</v>
      </c>
      <c r="BA2186" s="6" t="s">
        <v>104</v>
      </c>
      <c r="BB2186" s="6" t="s">
        <v>104</v>
      </c>
      <c r="BC2186" s="26"/>
      <c r="BD2186" s="26"/>
      <c r="BE2186" s="26"/>
      <c r="BF2186" s="26"/>
      <c r="BG2186" s="26"/>
      <c r="BH2186" s="26"/>
      <c r="BI2186" s="26"/>
      <c r="BJ2186" s="26"/>
      <c r="BK2186" s="26"/>
      <c r="BL2186" s="26"/>
      <c r="BM2186" s="26"/>
      <c r="BN2186" s="26"/>
      <c r="BO2186" s="26"/>
      <c r="BP2186" s="16" t="n">
        <v>45322</v>
      </c>
      <c r="BQ2186" s="28" t="str">
        <f>HYPERLINK("https://organic.ams.usda.gov/Integrity/Certificate.aspx?cid=17&amp;nopid=4080207201")</f>
        <v>https://organic.ams.usda.gov/Integrity/Certificate.aspx?cid=17&amp;nopid=4080207201</v>
      </c>
    </row>
    <row r="2187">
      <c r="A2187" t="s">
        <v>3</v>
      </c>
      <c r="B2187" s="6" t="s">
        <v>34</v>
      </c>
      <c r="C2187" s="6" t="s">
        <v>100</v>
      </c>
      <c r="D2187" s="6" t="s">
        <v>165</v>
      </c>
      <c r="E2187" s="10" t="s">
        <v>2385</v>
      </c>
      <c r="F2187" s="6" t="s">
        <v>4586</v>
      </c>
      <c r="G2187" s="6" t="s">
        <v>104</v>
      </c>
      <c r="H2187" s="6" t="s">
        <v>6852</v>
      </c>
      <c r="I2187" s="6" t="s">
        <v>8096</v>
      </c>
      <c r="J2187" s="6" t="s">
        <v>7278</v>
      </c>
      <c r="K2187" s="6" t="s">
        <v>9714</v>
      </c>
      <c r="L2187" s="16" t="n">
        <v>38414</v>
      </c>
      <c r="M2187" s="16" t="n">
        <v>45929</v>
      </c>
      <c r="N2187" s="6" t="s">
        <v>104</v>
      </c>
      <c r="O2187" s="21" t="s">
        <v>104</v>
      </c>
      <c r="P2187" s="6" t="s">
        <v>104</v>
      </c>
      <c r="Q2187" s="6" t="s">
        <v>104</v>
      </c>
      <c r="R2187" s="6" t="s">
        <v>104</v>
      </c>
      <c r="S2187" s="6" t="s">
        <v>104</v>
      </c>
      <c r="T2187" s="21" t="s">
        <v>104</v>
      </c>
      <c r="U2187" s="6" t="s">
        <v>104</v>
      </c>
      <c r="V2187" s="6" t="s">
        <v>104</v>
      </c>
      <c r="W2187" s="6" t="s">
        <v>104</v>
      </c>
      <c r="X2187" s="6" t="s">
        <v>104</v>
      </c>
      <c r="Y2187" s="21" t="s">
        <v>104</v>
      </c>
      <c r="Z2187" s="6" t="s">
        <v>104</v>
      </c>
      <c r="AA2187" s="6" t="s">
        <v>104</v>
      </c>
      <c r="AB2187" s="6" t="s">
        <v>104</v>
      </c>
      <c r="AC2187" s="6" t="s">
        <v>9714</v>
      </c>
      <c r="AD2187" s="16" t="n">
        <v>38414</v>
      </c>
      <c r="AE2187" s="6" t="s">
        <v>12424</v>
      </c>
      <c r="AF2187" s="6" t="s">
        <v>104</v>
      </c>
      <c r="AG2187" s="6" t="s">
        <v>13133</v>
      </c>
      <c r="AH2187" s="6" t="s">
        <v>15158</v>
      </c>
      <c r="AI2187" s="6" t="s">
        <v>104</v>
      </c>
      <c r="AJ2187" s="6" t="s">
        <v>16126</v>
      </c>
      <c r="AK2187" s="6" t="s">
        <v>15697</v>
      </c>
      <c r="AL2187" s="6" t="s">
        <v>16931</v>
      </c>
      <c r="AM2187" s="6" t="s">
        <v>18408</v>
      </c>
      <c r="AN2187" s="6" t="s">
        <v>18460</v>
      </c>
      <c r="AO2187" s="6" t="s">
        <v>18726</v>
      </c>
      <c r="AP2187" s="6" t="s">
        <v>15158</v>
      </c>
      <c r="AQ2187" s="6" t="s">
        <v>104</v>
      </c>
      <c r="AR2187" s="6" t="s">
        <v>16126</v>
      </c>
      <c r="AS2187" s="6" t="s">
        <v>15697</v>
      </c>
      <c r="AT2187" s="6" t="s">
        <v>16931</v>
      </c>
      <c r="AU2187" s="6" t="s">
        <v>18408</v>
      </c>
      <c r="AV2187" s="6" t="s">
        <v>104</v>
      </c>
      <c r="AW2187" s="6" t="s">
        <v>104</v>
      </c>
      <c r="AX2187" s="6" t="s">
        <v>21795</v>
      </c>
      <c r="AY2187" s="6" t="s">
        <v>23628</v>
      </c>
      <c r="AZ2187" s="6" t="s">
        <v>24243</v>
      </c>
      <c r="BA2187" s="6" t="s">
        <v>104</v>
      </c>
      <c r="BB2187" s="6" t="s">
        <v>104</v>
      </c>
      <c r="BC2187" s="26"/>
      <c r="BD2187" s="26"/>
      <c r="BE2187" s="26"/>
      <c r="BF2187" s="26"/>
      <c r="BG2187" s="26"/>
      <c r="BH2187" s="26"/>
      <c r="BI2187" s="26"/>
      <c r="BJ2187" s="26"/>
      <c r="BK2187" s="26"/>
      <c r="BL2187" s="26"/>
      <c r="BM2187" s="26"/>
      <c r="BN2187" s="26"/>
      <c r="BO2187" s="26"/>
      <c r="BP2187" s="16" t="n">
        <v>45737</v>
      </c>
      <c r="BQ2187" s="28" t="str">
        <f>HYPERLINK("https://organic.ams.usda.gov/Integrity/Certificate.aspx?cid=71&amp;nopid=5520031196")</f>
        <v>https://organic.ams.usda.gov/Integrity/Certificate.aspx?cid=71&amp;nopid=5520031196</v>
      </c>
    </row>
    <row r="2188">
      <c r="A2188" t="s">
        <v>3</v>
      </c>
      <c r="B2188" s="6" t="s">
        <v>11</v>
      </c>
      <c r="C2188" s="6" t="s">
        <v>77</v>
      </c>
      <c r="D2188" s="6" t="s">
        <v>142</v>
      </c>
      <c r="E2188" s="10" t="s">
        <v>2386</v>
      </c>
      <c r="F2188" s="6" t="s">
        <v>4587</v>
      </c>
      <c r="G2188" s="6" t="s">
        <v>104</v>
      </c>
      <c r="H2188" s="6" t="s">
        <v>6853</v>
      </c>
      <c r="I2188" s="6" t="s">
        <v>8097</v>
      </c>
      <c r="J2188" s="6" t="s">
        <v>9671</v>
      </c>
      <c r="K2188" s="6" t="s">
        <v>9714</v>
      </c>
      <c r="L2188" s="16" t="n">
        <v>45706</v>
      </c>
      <c r="M2188" s="16" t="n">
        <v>45919</v>
      </c>
      <c r="N2188" s="6" t="s">
        <v>9714</v>
      </c>
      <c r="O2188" s="16" t="n">
        <v>45706</v>
      </c>
      <c r="P2188" s="6" t="s">
        <v>10273</v>
      </c>
      <c r="Q2188" s="6" t="s">
        <v>104</v>
      </c>
      <c r="R2188" s="6" t="s">
        <v>104</v>
      </c>
      <c r="S2188" s="6" t="s">
        <v>104</v>
      </c>
      <c r="T2188" s="21" t="s">
        <v>104</v>
      </c>
      <c r="U2188" s="6" t="s">
        <v>104</v>
      </c>
      <c r="V2188" s="6" t="s">
        <v>104</v>
      </c>
      <c r="W2188" s="6" t="s">
        <v>104</v>
      </c>
      <c r="X2188" s="6" t="s">
        <v>104</v>
      </c>
      <c r="Y2188" s="21" t="s">
        <v>104</v>
      </c>
      <c r="Z2188" s="6" t="s">
        <v>104</v>
      </c>
      <c r="AA2188" s="6" t="s">
        <v>104</v>
      </c>
      <c r="AB2188" s="6" t="s">
        <v>104</v>
      </c>
      <c r="AC2188" s="6" t="s">
        <v>9714</v>
      </c>
      <c r="AD2188" s="16" t="n">
        <v>45706</v>
      </c>
      <c r="AE2188" s="6" t="s">
        <v>12425</v>
      </c>
      <c r="AF2188" s="6" t="s">
        <v>104</v>
      </c>
      <c r="AG2188" s="6" t="s">
        <v>104</v>
      </c>
      <c r="AH2188" s="6" t="s">
        <v>15159</v>
      </c>
      <c r="AI2188" s="6" t="s">
        <v>104</v>
      </c>
      <c r="AJ2188" s="6" t="s">
        <v>16645</v>
      </c>
      <c r="AK2188" s="6" t="s">
        <v>104</v>
      </c>
      <c r="AL2188" s="6" t="s">
        <v>16977</v>
      </c>
      <c r="AM2188" s="6" t="s">
        <v>17870</v>
      </c>
      <c r="AN2188" s="6" t="s">
        <v>104</v>
      </c>
      <c r="AO2188" s="6" t="s">
        <v>104</v>
      </c>
      <c r="AP2188" s="6" t="s">
        <v>15159</v>
      </c>
      <c r="AQ2188" s="6" t="s">
        <v>104</v>
      </c>
      <c r="AR2188" s="6" t="s">
        <v>16645</v>
      </c>
      <c r="AS2188" s="6" t="s">
        <v>104</v>
      </c>
      <c r="AT2188" s="6" t="s">
        <v>16977</v>
      </c>
      <c r="AU2188" s="6" t="s">
        <v>17870</v>
      </c>
      <c r="AV2188" s="6" t="s">
        <v>104</v>
      </c>
      <c r="AW2188" s="6" t="s">
        <v>104</v>
      </c>
      <c r="AX2188" s="6" t="s">
        <v>21145</v>
      </c>
      <c r="AY2188" s="6" t="s">
        <v>23629</v>
      </c>
      <c r="AZ2188" s="6" t="s">
        <v>104</v>
      </c>
      <c r="BA2188" s="6" t="s">
        <v>104</v>
      </c>
      <c r="BB2188" s="24" t="n">
        <v>15521</v>
      </c>
      <c r="BC2188" s="26"/>
      <c r="BD2188" s="26"/>
      <c r="BE2188" s="26"/>
      <c r="BF2188" s="26"/>
      <c r="BG2188" s="26"/>
      <c r="BH2188" s="26"/>
      <c r="BI2188" s="26"/>
      <c r="BJ2188" s="26"/>
      <c r="BK2188" s="26"/>
      <c r="BL2188" s="26"/>
      <c r="BM2188" s="26"/>
      <c r="BN2188" s="26"/>
      <c r="BO2188" s="26" t="s">
        <v>24533</v>
      </c>
      <c r="BP2188" s="16" t="n">
        <v>45714</v>
      </c>
      <c r="BQ2188" s="28" t="str">
        <f>HYPERLINK("https://organic.ams.usda.gov/Integrity/Certificate.aspx?cid=21&amp;nopid=1780905302")</f>
        <v>https://organic.ams.usda.gov/Integrity/Certificate.aspx?cid=21&amp;nopid=1780905302</v>
      </c>
    </row>
    <row r="2189">
      <c r="A2189" t="s">
        <v>3</v>
      </c>
      <c r="B2189" s="6" t="s">
        <v>69</v>
      </c>
      <c r="C2189" s="6" t="s">
        <v>135</v>
      </c>
      <c r="D2189" s="6" t="s">
        <v>199</v>
      </c>
      <c r="E2189" s="10" t="s">
        <v>2387</v>
      </c>
      <c r="F2189" s="6" t="s">
        <v>4588</v>
      </c>
      <c r="G2189" s="6" t="s">
        <v>104</v>
      </c>
      <c r="H2189" s="6" t="s">
        <v>6007</v>
      </c>
      <c r="I2189" s="6" t="s">
        <v>7558</v>
      </c>
      <c r="J2189" s="6" t="s">
        <v>9672</v>
      </c>
      <c r="K2189" s="6" t="s">
        <v>9714</v>
      </c>
      <c r="L2189" s="16" t="n">
        <v>44825</v>
      </c>
      <c r="M2189" s="16" t="n">
        <v>45921</v>
      </c>
      <c r="N2189" s="6" t="s">
        <v>104</v>
      </c>
      <c r="O2189" s="21" t="s">
        <v>104</v>
      </c>
      <c r="P2189" s="6" t="s">
        <v>104</v>
      </c>
      <c r="Q2189" s="6" t="s">
        <v>104</v>
      </c>
      <c r="R2189" s="6" t="s">
        <v>104</v>
      </c>
      <c r="S2189" s="6" t="s">
        <v>104</v>
      </c>
      <c r="T2189" s="21" t="s">
        <v>104</v>
      </c>
      <c r="U2189" s="6" t="s">
        <v>104</v>
      </c>
      <c r="V2189" s="6" t="s">
        <v>104</v>
      </c>
      <c r="W2189" s="6" t="s">
        <v>104</v>
      </c>
      <c r="X2189" s="6" t="s">
        <v>104</v>
      </c>
      <c r="Y2189" s="21" t="s">
        <v>104</v>
      </c>
      <c r="Z2189" s="6" t="s">
        <v>104</v>
      </c>
      <c r="AA2189" s="6" t="s">
        <v>104</v>
      </c>
      <c r="AB2189" s="6" t="s">
        <v>104</v>
      </c>
      <c r="AC2189" s="6" t="s">
        <v>9714</v>
      </c>
      <c r="AD2189" s="16" t="n">
        <v>44825</v>
      </c>
      <c r="AE2189" s="6" t="s">
        <v>12426</v>
      </c>
      <c r="AF2189" s="6" t="s">
        <v>104</v>
      </c>
      <c r="AG2189" s="6" t="s">
        <v>104</v>
      </c>
      <c r="AH2189" s="6" t="s">
        <v>15160</v>
      </c>
      <c r="AI2189" s="6" t="s">
        <v>104</v>
      </c>
      <c r="AJ2189" s="6" t="s">
        <v>16646</v>
      </c>
      <c r="AK2189" s="6" t="s">
        <v>16775</v>
      </c>
      <c r="AL2189" s="6" t="s">
        <v>16931</v>
      </c>
      <c r="AM2189" s="6" t="s">
        <v>18409</v>
      </c>
      <c r="AN2189" s="6" t="s">
        <v>18467</v>
      </c>
      <c r="AO2189" s="6" t="s">
        <v>18648</v>
      </c>
      <c r="AP2189" s="6" t="s">
        <v>104</v>
      </c>
      <c r="AQ2189" s="6" t="s">
        <v>104</v>
      </c>
      <c r="AR2189" s="6" t="s">
        <v>104</v>
      </c>
      <c r="AS2189" s="6" t="s">
        <v>104</v>
      </c>
      <c r="AT2189" s="6" t="s">
        <v>104</v>
      </c>
      <c r="AU2189" s="6" t="s">
        <v>104</v>
      </c>
      <c r="AV2189" s="6" t="s">
        <v>104</v>
      </c>
      <c r="AW2189" s="6" t="s">
        <v>104</v>
      </c>
      <c r="AX2189" s="6" t="s">
        <v>21796</v>
      </c>
      <c r="AY2189" s="6" t="s">
        <v>104</v>
      </c>
      <c r="AZ2189" s="6" t="s">
        <v>104</v>
      </c>
      <c r="BA2189" s="6" t="s">
        <v>104</v>
      </c>
      <c r="BB2189" s="6" t="s">
        <v>104</v>
      </c>
      <c r="BC2189" s="26"/>
      <c r="BD2189" s="26"/>
      <c r="BE2189" s="26"/>
      <c r="BF2189" s="26"/>
      <c r="BG2189" s="26"/>
      <c r="BH2189" s="26"/>
      <c r="BI2189" s="26"/>
      <c r="BJ2189" s="26"/>
      <c r="BK2189" s="26"/>
      <c r="BL2189" s="26"/>
      <c r="BM2189" s="26"/>
      <c r="BN2189" s="26"/>
      <c r="BO2189" s="26"/>
      <c r="BP2189" s="16" t="n">
        <v>45660</v>
      </c>
      <c r="BQ2189" s="28" t="str">
        <f>HYPERLINK("https://organic.ams.usda.gov/Integrity/Certificate.aspx?cid=59&amp;nopid=9460000380")</f>
        <v>https://organic.ams.usda.gov/Integrity/Certificate.aspx?cid=59&amp;nopid=9460000380</v>
      </c>
    </row>
    <row r="2190">
      <c r="A2190" t="s">
        <v>3</v>
      </c>
      <c r="B2190" s="6" t="s">
        <v>31</v>
      </c>
      <c r="C2190" s="6" t="s">
        <v>97</v>
      </c>
      <c r="D2190" s="6" t="s">
        <v>162</v>
      </c>
      <c r="E2190" s="10" t="s">
        <v>2388</v>
      </c>
      <c r="F2190" s="6" t="s">
        <v>4589</v>
      </c>
      <c r="G2190" s="6" t="s">
        <v>104</v>
      </c>
      <c r="H2190" s="6" t="s">
        <v>6854</v>
      </c>
      <c r="I2190" s="6" t="s">
        <v>8098</v>
      </c>
      <c r="J2190" s="6" t="s">
        <v>9673</v>
      </c>
      <c r="K2190" s="6" t="s">
        <v>9714</v>
      </c>
      <c r="L2190" s="16" t="n">
        <v>45156</v>
      </c>
      <c r="M2190" s="16" t="n">
        <v>45887</v>
      </c>
      <c r="N2190" s="6" t="s">
        <v>104</v>
      </c>
      <c r="O2190" s="21" t="s">
        <v>104</v>
      </c>
      <c r="P2190" s="6" t="s">
        <v>104</v>
      </c>
      <c r="Q2190" s="6" t="s">
        <v>104</v>
      </c>
      <c r="R2190" s="6" t="s">
        <v>104</v>
      </c>
      <c r="S2190" s="6" t="s">
        <v>104</v>
      </c>
      <c r="T2190" s="21" t="s">
        <v>104</v>
      </c>
      <c r="U2190" s="6" t="s">
        <v>104</v>
      </c>
      <c r="V2190" s="6" t="s">
        <v>104</v>
      </c>
      <c r="W2190" s="6" t="s">
        <v>104</v>
      </c>
      <c r="X2190" s="6" t="s">
        <v>104</v>
      </c>
      <c r="Y2190" s="21" t="s">
        <v>104</v>
      </c>
      <c r="Z2190" s="6" t="s">
        <v>104</v>
      </c>
      <c r="AA2190" s="6" t="s">
        <v>104</v>
      </c>
      <c r="AB2190" s="6" t="s">
        <v>104</v>
      </c>
      <c r="AC2190" s="6" t="s">
        <v>9714</v>
      </c>
      <c r="AD2190" s="16" t="n">
        <v>45156</v>
      </c>
      <c r="AE2190" s="6" t="s">
        <v>12427</v>
      </c>
      <c r="AF2190" s="6" t="s">
        <v>104</v>
      </c>
      <c r="AG2190" s="6" t="s">
        <v>13134</v>
      </c>
      <c r="AH2190" s="6" t="s">
        <v>15161</v>
      </c>
      <c r="AI2190" s="6" t="s">
        <v>104</v>
      </c>
      <c r="AJ2190" s="6" t="s">
        <v>15674</v>
      </c>
      <c r="AK2190" s="6" t="s">
        <v>16921</v>
      </c>
      <c r="AL2190" s="6" t="s">
        <v>16933</v>
      </c>
      <c r="AM2190" s="6" t="s">
        <v>17281</v>
      </c>
      <c r="AN2190" s="6" t="s">
        <v>104</v>
      </c>
      <c r="AO2190" s="6" t="s">
        <v>104</v>
      </c>
      <c r="AP2190" s="6" t="s">
        <v>19529</v>
      </c>
      <c r="AQ2190" s="6" t="s">
        <v>104</v>
      </c>
      <c r="AR2190" s="6" t="s">
        <v>104</v>
      </c>
      <c r="AS2190" s="6" t="s">
        <v>19796</v>
      </c>
      <c r="AT2190" s="6" t="s">
        <v>16933</v>
      </c>
      <c r="AU2190" s="6" t="s">
        <v>20069</v>
      </c>
      <c r="AV2190" s="6" t="s">
        <v>104</v>
      </c>
      <c r="AW2190" s="6" t="s">
        <v>104</v>
      </c>
      <c r="AX2190" s="6" t="s">
        <v>21797</v>
      </c>
      <c r="AY2190" s="6" t="s">
        <v>23630</v>
      </c>
      <c r="AZ2190" s="6" t="s">
        <v>104</v>
      </c>
      <c r="BA2190" s="6" t="s">
        <v>104</v>
      </c>
      <c r="BB2190" s="6" t="s">
        <v>104</v>
      </c>
      <c r="BC2190" s="26"/>
      <c r="BD2190" s="26"/>
      <c r="BE2190" s="26"/>
      <c r="BF2190" s="26"/>
      <c r="BG2190" s="26"/>
      <c r="BH2190" s="26"/>
      <c r="BI2190" s="26"/>
      <c r="BJ2190" s="26"/>
      <c r="BK2190" s="26"/>
      <c r="BL2190" s="26"/>
      <c r="BM2190" s="26"/>
      <c r="BN2190" s="26"/>
      <c r="BO2190" s="26"/>
      <c r="BP2190" s="16" t="n">
        <v>45547</v>
      </c>
      <c r="BQ2190" s="28" t="str">
        <f>HYPERLINK("https://organic.ams.usda.gov/Integrity/Certificate.aspx?cid=43&amp;nopid=3532023639")</f>
        <v>https://organic.ams.usda.gov/Integrity/Certificate.aspx?cid=43&amp;nopid=3532023639</v>
      </c>
    </row>
    <row r="2191">
      <c r="A2191" t="s">
        <v>3</v>
      </c>
      <c r="B2191" s="6" t="s">
        <v>20</v>
      </c>
      <c r="C2191" s="6" t="s">
        <v>86</v>
      </c>
      <c r="D2191" s="6" t="s">
        <v>151</v>
      </c>
      <c r="E2191" s="10" t="s">
        <v>2389</v>
      </c>
      <c r="F2191" s="6" t="s">
        <v>4590</v>
      </c>
      <c r="G2191" s="6" t="s">
        <v>104</v>
      </c>
      <c r="H2191" s="6" t="s">
        <v>6855</v>
      </c>
      <c r="I2191" s="6" t="s">
        <v>8099</v>
      </c>
      <c r="J2191" s="6" t="s">
        <v>9674</v>
      </c>
      <c r="K2191" s="6" t="s">
        <v>9714</v>
      </c>
      <c r="L2191" s="16" t="n">
        <v>44732</v>
      </c>
      <c r="M2191" s="16" t="n">
        <v>46112</v>
      </c>
      <c r="N2191" s="6" t="s">
        <v>104</v>
      </c>
      <c r="O2191" s="21" t="s">
        <v>104</v>
      </c>
      <c r="P2191" s="6" t="s">
        <v>104</v>
      </c>
      <c r="Q2191" s="6" t="s">
        <v>104</v>
      </c>
      <c r="R2191" s="6" t="s">
        <v>104</v>
      </c>
      <c r="S2191" s="6" t="s">
        <v>104</v>
      </c>
      <c r="T2191" s="21" t="s">
        <v>104</v>
      </c>
      <c r="U2191" s="6" t="s">
        <v>104</v>
      </c>
      <c r="V2191" s="6" t="s">
        <v>104</v>
      </c>
      <c r="W2191" s="6" t="s">
        <v>104</v>
      </c>
      <c r="X2191" s="6" t="s">
        <v>104</v>
      </c>
      <c r="Y2191" s="21" t="s">
        <v>104</v>
      </c>
      <c r="Z2191" s="6" t="s">
        <v>104</v>
      </c>
      <c r="AA2191" s="6" t="s">
        <v>104</v>
      </c>
      <c r="AB2191" s="6" t="s">
        <v>104</v>
      </c>
      <c r="AC2191" s="6" t="s">
        <v>9714</v>
      </c>
      <c r="AD2191" s="16" t="n">
        <v>44732</v>
      </c>
      <c r="AE2191" s="6" t="s">
        <v>12428</v>
      </c>
      <c r="AF2191" s="6" t="s">
        <v>104</v>
      </c>
      <c r="AG2191" s="6" t="s">
        <v>13135</v>
      </c>
      <c r="AH2191" s="6" t="s">
        <v>15162</v>
      </c>
      <c r="AI2191" s="6" t="s">
        <v>104</v>
      </c>
      <c r="AJ2191" s="6" t="s">
        <v>16647</v>
      </c>
      <c r="AK2191" s="6" t="s">
        <v>104</v>
      </c>
      <c r="AL2191" s="6" t="s">
        <v>16982</v>
      </c>
      <c r="AM2191" s="6" t="s">
        <v>18410</v>
      </c>
      <c r="AN2191" s="6" t="s">
        <v>104</v>
      </c>
      <c r="AO2191" s="6" t="s">
        <v>104</v>
      </c>
      <c r="AP2191" s="6" t="s">
        <v>104</v>
      </c>
      <c r="AQ2191" s="6" t="s">
        <v>104</v>
      </c>
      <c r="AR2191" s="6" t="s">
        <v>104</v>
      </c>
      <c r="AS2191" s="6" t="s">
        <v>104</v>
      </c>
      <c r="AT2191" s="6" t="s">
        <v>104</v>
      </c>
      <c r="AU2191" s="6" t="s">
        <v>104</v>
      </c>
      <c r="AV2191" s="6" t="s">
        <v>104</v>
      </c>
      <c r="AW2191" s="6" t="s">
        <v>104</v>
      </c>
      <c r="AX2191" s="6" t="s">
        <v>21798</v>
      </c>
      <c r="AY2191" s="6" t="s">
        <v>23631</v>
      </c>
      <c r="AZ2191" s="6" t="s">
        <v>24244</v>
      </c>
      <c r="BA2191" s="6" t="s">
        <v>104</v>
      </c>
      <c r="BB2191" s="6" t="s">
        <v>104</v>
      </c>
      <c r="BC2191" s="26"/>
      <c r="BD2191" s="26"/>
      <c r="BE2191" s="26"/>
      <c r="BF2191" s="26"/>
      <c r="BG2191" s="26"/>
      <c r="BH2191" s="26"/>
      <c r="BI2191" s="26"/>
      <c r="BJ2191" s="26"/>
      <c r="BK2191" s="26"/>
      <c r="BL2191" s="26"/>
      <c r="BM2191" s="26"/>
      <c r="BN2191" s="26"/>
      <c r="BO2191" s="26"/>
      <c r="BP2191" s="16" t="n">
        <v>45677</v>
      </c>
      <c r="BQ2191" s="28" t="str">
        <f>HYPERLINK("https://organic.ams.usda.gov/Integrity/Certificate.aspx?cid=17&amp;nopid=4080201767")</f>
        <v>https://organic.ams.usda.gov/Integrity/Certificate.aspx?cid=17&amp;nopid=4080201767</v>
      </c>
    </row>
    <row r="2192">
      <c r="A2192" t="s">
        <v>3</v>
      </c>
      <c r="B2192" s="6" t="s">
        <v>21</v>
      </c>
      <c r="C2192" s="6" t="s">
        <v>87</v>
      </c>
      <c r="D2192" s="6" t="s">
        <v>152</v>
      </c>
      <c r="E2192" s="10" t="s">
        <v>2390</v>
      </c>
      <c r="F2192" s="6" t="s">
        <v>4591</v>
      </c>
      <c r="G2192" s="6" t="s">
        <v>4888</v>
      </c>
      <c r="H2192" s="6" t="s">
        <v>6856</v>
      </c>
      <c r="I2192" s="6" t="s">
        <v>8100</v>
      </c>
      <c r="J2192" s="6" t="s">
        <v>9428</v>
      </c>
      <c r="K2192" s="6" t="s">
        <v>9714</v>
      </c>
      <c r="L2192" s="16" t="n">
        <v>42863</v>
      </c>
      <c r="M2192" s="16" t="n">
        <v>46023</v>
      </c>
      <c r="N2192" s="6" t="s">
        <v>104</v>
      </c>
      <c r="O2192" s="21" t="s">
        <v>104</v>
      </c>
      <c r="P2192" s="6" t="s">
        <v>104</v>
      </c>
      <c r="Q2192" s="6" t="s">
        <v>104</v>
      </c>
      <c r="R2192" s="6" t="s">
        <v>104</v>
      </c>
      <c r="S2192" s="6" t="s">
        <v>104</v>
      </c>
      <c r="T2192" s="21" t="s">
        <v>104</v>
      </c>
      <c r="U2192" s="6" t="s">
        <v>104</v>
      </c>
      <c r="V2192" s="6" t="s">
        <v>104</v>
      </c>
      <c r="W2192" s="6" t="s">
        <v>104</v>
      </c>
      <c r="X2192" s="6" t="s">
        <v>104</v>
      </c>
      <c r="Y2192" s="21" t="s">
        <v>104</v>
      </c>
      <c r="Z2192" s="6" t="s">
        <v>104</v>
      </c>
      <c r="AA2192" s="6" t="s">
        <v>104</v>
      </c>
      <c r="AB2192" s="6" t="s">
        <v>104</v>
      </c>
      <c r="AC2192" s="6" t="s">
        <v>9714</v>
      </c>
      <c r="AD2192" s="16" t="n">
        <v>42863</v>
      </c>
      <c r="AE2192" s="6" t="s">
        <v>12429</v>
      </c>
      <c r="AF2192" s="6" t="s">
        <v>104</v>
      </c>
      <c r="AG2192" s="6" t="s">
        <v>104</v>
      </c>
      <c r="AH2192" s="6" t="s">
        <v>15163</v>
      </c>
      <c r="AI2192" s="6" t="s">
        <v>104</v>
      </c>
      <c r="AJ2192" s="6" t="s">
        <v>16648</v>
      </c>
      <c r="AK2192" s="6" t="s">
        <v>16687</v>
      </c>
      <c r="AL2192" s="6" t="s">
        <v>16931</v>
      </c>
      <c r="AM2192" s="6" t="s">
        <v>18411</v>
      </c>
      <c r="AN2192" s="6" t="s">
        <v>18487</v>
      </c>
      <c r="AO2192" s="6" t="s">
        <v>18601</v>
      </c>
      <c r="AP2192" s="6" t="s">
        <v>15163</v>
      </c>
      <c r="AQ2192" s="6" t="s">
        <v>104</v>
      </c>
      <c r="AR2192" s="6" t="s">
        <v>16648</v>
      </c>
      <c r="AS2192" s="6" t="s">
        <v>16687</v>
      </c>
      <c r="AT2192" s="6" t="s">
        <v>16931</v>
      </c>
      <c r="AU2192" s="6" t="s">
        <v>18411</v>
      </c>
      <c r="AV2192" s="6" t="s">
        <v>104</v>
      </c>
      <c r="AW2192" s="6" t="s">
        <v>104</v>
      </c>
      <c r="AX2192" s="6" t="s">
        <v>21799</v>
      </c>
      <c r="AY2192" s="6" t="s">
        <v>23632</v>
      </c>
      <c r="AZ2192" s="6" t="s">
        <v>24245</v>
      </c>
      <c r="BA2192" s="6" t="s">
        <v>24522</v>
      </c>
      <c r="BB2192" s="6" t="s">
        <v>104</v>
      </c>
      <c r="BC2192" s="26"/>
      <c r="BD2192" s="26"/>
      <c r="BE2192" s="26"/>
      <c r="BF2192" s="26"/>
      <c r="BG2192" s="26"/>
      <c r="BH2192" s="26"/>
      <c r="BI2192" s="26"/>
      <c r="BJ2192" s="26"/>
      <c r="BK2192" s="26"/>
      <c r="BL2192" s="26"/>
      <c r="BM2192" s="26"/>
      <c r="BN2192" s="26"/>
      <c r="BO2192" s="26"/>
      <c r="BP2192" s="16" t="n">
        <v>45720</v>
      </c>
      <c r="BQ2192" s="28" t="str">
        <f>HYPERLINK("https://organic.ams.usda.gov/Integrity/Certificate.aspx?cid=15&amp;nopid=5561004748")</f>
        <v>https://organic.ams.usda.gov/Integrity/Certificate.aspx?cid=15&amp;nopid=5561004748</v>
      </c>
    </row>
    <row r="2193">
      <c r="A2193" t="s">
        <v>3</v>
      </c>
      <c r="B2193" s="6" t="s">
        <v>13</v>
      </c>
      <c r="C2193" s="6" t="s">
        <v>79</v>
      </c>
      <c r="D2193" s="6" t="s">
        <v>144</v>
      </c>
      <c r="E2193" s="10" t="s">
        <v>2391</v>
      </c>
      <c r="F2193" s="6" t="s">
        <v>4592</v>
      </c>
      <c r="G2193" s="6" t="s">
        <v>104</v>
      </c>
      <c r="H2193" s="6" t="s">
        <v>6857</v>
      </c>
      <c r="I2193" s="6" t="s">
        <v>8101</v>
      </c>
      <c r="J2193" s="6" t="s">
        <v>9675</v>
      </c>
      <c r="K2193" s="6" t="s">
        <v>9714</v>
      </c>
      <c r="L2193" s="16" t="n">
        <v>39632</v>
      </c>
      <c r="M2193" s="16" t="n">
        <v>46023</v>
      </c>
      <c r="N2193" s="6" t="s">
        <v>9714</v>
      </c>
      <c r="O2193" s="16" t="n">
        <v>39632</v>
      </c>
      <c r="P2193" s="6" t="s">
        <v>10274</v>
      </c>
      <c r="Q2193" s="6" t="s">
        <v>104</v>
      </c>
      <c r="R2193" s="6" t="s">
        <v>104</v>
      </c>
      <c r="S2193" s="6" t="s">
        <v>9714</v>
      </c>
      <c r="T2193" s="16" t="n">
        <v>39632</v>
      </c>
      <c r="U2193" s="6" t="s">
        <v>10493</v>
      </c>
      <c r="V2193" s="6" t="s">
        <v>104</v>
      </c>
      <c r="W2193" s="6" t="s">
        <v>104</v>
      </c>
      <c r="X2193" s="6" t="s">
        <v>104</v>
      </c>
      <c r="Y2193" s="21" t="s">
        <v>104</v>
      </c>
      <c r="Z2193" s="6" t="s">
        <v>104</v>
      </c>
      <c r="AA2193" s="6" t="s">
        <v>104</v>
      </c>
      <c r="AB2193" s="6" t="s">
        <v>104</v>
      </c>
      <c r="AC2193" s="6" t="s">
        <v>104</v>
      </c>
      <c r="AD2193" s="21" t="s">
        <v>104</v>
      </c>
      <c r="AE2193" s="6" t="s">
        <v>104</v>
      </c>
      <c r="AF2193" s="6" t="s">
        <v>104</v>
      </c>
      <c r="AG2193" s="6" t="s">
        <v>104</v>
      </c>
      <c r="AH2193" s="6" t="s">
        <v>104</v>
      </c>
      <c r="AI2193" s="6" t="s">
        <v>104</v>
      </c>
      <c r="AJ2193" s="6" t="s">
        <v>104</v>
      </c>
      <c r="AK2193" s="6" t="s">
        <v>104</v>
      </c>
      <c r="AL2193" s="6" t="s">
        <v>104</v>
      </c>
      <c r="AM2193" s="6" t="s">
        <v>104</v>
      </c>
      <c r="AN2193" s="6" t="s">
        <v>104</v>
      </c>
      <c r="AO2193" s="6" t="s">
        <v>104</v>
      </c>
      <c r="AP2193" s="6" t="s">
        <v>19530</v>
      </c>
      <c r="AQ2193" s="6" t="s">
        <v>104</v>
      </c>
      <c r="AR2193" s="6" t="s">
        <v>16571</v>
      </c>
      <c r="AS2193" s="6" t="s">
        <v>16683</v>
      </c>
      <c r="AT2193" s="6" t="s">
        <v>16931</v>
      </c>
      <c r="AU2193" s="6" t="s">
        <v>20070</v>
      </c>
      <c r="AV2193" s="6" t="s">
        <v>18457</v>
      </c>
      <c r="AW2193" s="6" t="s">
        <v>20093</v>
      </c>
      <c r="AX2193" s="6" t="s">
        <v>21800</v>
      </c>
      <c r="AY2193" s="6" t="s">
        <v>23633</v>
      </c>
      <c r="AZ2193" s="6" t="s">
        <v>104</v>
      </c>
      <c r="BA2193" s="6" t="s">
        <v>104</v>
      </c>
      <c r="BB2193" s="24" t="n">
        <v>373</v>
      </c>
      <c r="BC2193" s="26"/>
      <c r="BD2193" s="26"/>
      <c r="BE2193" s="26"/>
      <c r="BF2193" s="26" t="s">
        <v>24533</v>
      </c>
      <c r="BG2193" s="26"/>
      <c r="BH2193" s="26"/>
      <c r="BI2193" s="26"/>
      <c r="BJ2193" s="26"/>
      <c r="BK2193" s="26"/>
      <c r="BL2193" s="26"/>
      <c r="BM2193" s="26"/>
      <c r="BN2193" s="26"/>
      <c r="BO2193" s="26"/>
      <c r="BP2193" s="16" t="n">
        <v>45660</v>
      </c>
      <c r="BQ2193" s="28" t="str">
        <f>HYPERLINK("https://organic.ams.usda.gov/Integrity/Certificate.aspx?cid=62&amp;nopid=8150000574")</f>
        <v>https://organic.ams.usda.gov/Integrity/Certificate.aspx?cid=62&amp;nopid=8150000574</v>
      </c>
    </row>
    <row r="2194">
      <c r="A2194" t="s">
        <v>3</v>
      </c>
      <c r="B2194" s="6" t="s">
        <v>17</v>
      </c>
      <c r="C2194" s="6" t="s">
        <v>83</v>
      </c>
      <c r="D2194" s="6" t="s">
        <v>148</v>
      </c>
      <c r="E2194" s="10" t="s">
        <v>2392</v>
      </c>
      <c r="F2194" s="6" t="s">
        <v>4593</v>
      </c>
      <c r="G2194" s="6" t="s">
        <v>104</v>
      </c>
      <c r="H2194" s="6" t="s">
        <v>6858</v>
      </c>
      <c r="I2194" s="6" t="s">
        <v>7055</v>
      </c>
      <c r="J2194" s="6" t="s">
        <v>9117</v>
      </c>
      <c r="K2194" s="6" t="s">
        <v>9714</v>
      </c>
      <c r="L2194" s="16" t="n">
        <v>41350</v>
      </c>
      <c r="M2194" s="16" t="n">
        <v>45658</v>
      </c>
      <c r="N2194" s="6" t="s">
        <v>104</v>
      </c>
      <c r="O2194" s="21" t="s">
        <v>104</v>
      </c>
      <c r="P2194" s="6" t="s">
        <v>104</v>
      </c>
      <c r="Q2194" s="6" t="s">
        <v>104</v>
      </c>
      <c r="R2194" s="6" t="s">
        <v>104</v>
      </c>
      <c r="S2194" s="6" t="s">
        <v>104</v>
      </c>
      <c r="T2194" s="21" t="s">
        <v>104</v>
      </c>
      <c r="U2194" s="6" t="s">
        <v>104</v>
      </c>
      <c r="V2194" s="6" t="s">
        <v>104</v>
      </c>
      <c r="W2194" s="6" t="s">
        <v>104</v>
      </c>
      <c r="X2194" s="6" t="s">
        <v>104</v>
      </c>
      <c r="Y2194" s="21" t="s">
        <v>104</v>
      </c>
      <c r="Z2194" s="6" t="s">
        <v>104</v>
      </c>
      <c r="AA2194" s="6" t="s">
        <v>104</v>
      </c>
      <c r="AB2194" s="6" t="s">
        <v>104</v>
      </c>
      <c r="AC2194" s="6" t="s">
        <v>9714</v>
      </c>
      <c r="AD2194" s="16" t="n">
        <v>41350</v>
      </c>
      <c r="AE2194" s="6" t="s">
        <v>12430</v>
      </c>
      <c r="AF2194" s="6" t="s">
        <v>104</v>
      </c>
      <c r="AG2194" s="6" t="s">
        <v>104</v>
      </c>
      <c r="AH2194" s="6" t="s">
        <v>104</v>
      </c>
      <c r="AI2194" s="6" t="s">
        <v>104</v>
      </c>
      <c r="AJ2194" s="6" t="s">
        <v>104</v>
      </c>
      <c r="AK2194" s="6" t="s">
        <v>104</v>
      </c>
      <c r="AL2194" s="6" t="s">
        <v>104</v>
      </c>
      <c r="AM2194" s="6" t="s">
        <v>104</v>
      </c>
      <c r="AN2194" s="6" t="s">
        <v>104</v>
      </c>
      <c r="AO2194" s="6" t="s">
        <v>104</v>
      </c>
      <c r="AP2194" s="6" t="s">
        <v>19531</v>
      </c>
      <c r="AQ2194" s="6" t="s">
        <v>104</v>
      </c>
      <c r="AR2194" s="6" t="s">
        <v>16274</v>
      </c>
      <c r="AS2194" s="6" t="s">
        <v>15697</v>
      </c>
      <c r="AT2194" s="6" t="s">
        <v>16931</v>
      </c>
      <c r="AU2194" s="6" t="s">
        <v>17954</v>
      </c>
      <c r="AV2194" s="6" t="s">
        <v>18504</v>
      </c>
      <c r="AW2194" s="6" t="s">
        <v>18646</v>
      </c>
      <c r="AX2194" s="6" t="s">
        <v>21801</v>
      </c>
      <c r="AY2194" s="6" t="s">
        <v>23634</v>
      </c>
      <c r="AZ2194" s="6" t="s">
        <v>104</v>
      </c>
      <c r="BA2194" s="6" t="s">
        <v>104</v>
      </c>
      <c r="BB2194" s="24" t="n">
        <v>0</v>
      </c>
      <c r="BC2194" s="26"/>
      <c r="BD2194" s="26"/>
      <c r="BE2194" s="26"/>
      <c r="BF2194" s="26"/>
      <c r="BG2194" s="26"/>
      <c r="BH2194" s="26"/>
      <c r="BI2194" s="26"/>
      <c r="BJ2194" s="26"/>
      <c r="BK2194" s="26"/>
      <c r="BL2194" s="26"/>
      <c r="BM2194" s="26"/>
      <c r="BN2194" s="26"/>
      <c r="BO2194" s="26"/>
      <c r="BP2194" s="16" t="n">
        <v>45695</v>
      </c>
      <c r="BQ2194" s="28" t="str">
        <f>HYPERLINK("https://organic.ams.usda.gov/Integrity/Certificate.aspx?cid=51&amp;nopid=8240031713")</f>
        <v>https://organic.ams.usda.gov/Integrity/Certificate.aspx?cid=51&amp;nopid=8240031713</v>
      </c>
    </row>
    <row r="2195">
      <c r="A2195" t="s">
        <v>3</v>
      </c>
      <c r="B2195" s="6" t="s">
        <v>12</v>
      </c>
      <c r="C2195" s="6" t="s">
        <v>78</v>
      </c>
      <c r="D2195" s="6" t="s">
        <v>143</v>
      </c>
      <c r="E2195" s="10" t="s">
        <v>2393</v>
      </c>
      <c r="F2195" s="6" t="s">
        <v>4594</v>
      </c>
      <c r="G2195" s="6" t="s">
        <v>104</v>
      </c>
      <c r="H2195" s="6" t="s">
        <v>104</v>
      </c>
      <c r="I2195" s="6" t="s">
        <v>7041</v>
      </c>
      <c r="J2195" s="6" t="s">
        <v>9676</v>
      </c>
      <c r="K2195" s="6" t="s">
        <v>9714</v>
      </c>
      <c r="L2195" s="16" t="n">
        <v>44614</v>
      </c>
      <c r="M2195" s="16" t="n">
        <v>45901</v>
      </c>
      <c r="N2195" s="6" t="s">
        <v>104</v>
      </c>
      <c r="O2195" s="21" t="s">
        <v>104</v>
      </c>
      <c r="P2195" s="6" t="s">
        <v>104</v>
      </c>
      <c r="Q2195" s="6" t="s">
        <v>104</v>
      </c>
      <c r="R2195" s="6" t="s">
        <v>104</v>
      </c>
      <c r="S2195" s="6" t="s">
        <v>104</v>
      </c>
      <c r="T2195" s="21" t="s">
        <v>104</v>
      </c>
      <c r="U2195" s="6" t="s">
        <v>104</v>
      </c>
      <c r="V2195" s="6" t="s">
        <v>104</v>
      </c>
      <c r="W2195" s="6" t="s">
        <v>104</v>
      </c>
      <c r="X2195" s="6" t="s">
        <v>104</v>
      </c>
      <c r="Y2195" s="21" t="s">
        <v>104</v>
      </c>
      <c r="Z2195" s="6" t="s">
        <v>104</v>
      </c>
      <c r="AA2195" s="6" t="s">
        <v>104</v>
      </c>
      <c r="AB2195" s="6" t="s">
        <v>104</v>
      </c>
      <c r="AC2195" s="6" t="s">
        <v>9714</v>
      </c>
      <c r="AD2195" s="16" t="n">
        <v>44614</v>
      </c>
      <c r="AE2195" s="6" t="s">
        <v>12431</v>
      </c>
      <c r="AF2195" s="6" t="s">
        <v>104</v>
      </c>
      <c r="AG2195" s="6" t="s">
        <v>13136</v>
      </c>
      <c r="AH2195" s="6" t="s">
        <v>15164</v>
      </c>
      <c r="AI2195" s="6" t="s">
        <v>104</v>
      </c>
      <c r="AJ2195" s="6" t="s">
        <v>16649</v>
      </c>
      <c r="AK2195" s="6" t="s">
        <v>16720</v>
      </c>
      <c r="AL2195" s="6" t="s">
        <v>16931</v>
      </c>
      <c r="AM2195" s="6" t="s">
        <v>18412</v>
      </c>
      <c r="AN2195" s="6" t="s">
        <v>18484</v>
      </c>
      <c r="AO2195" s="6" t="s">
        <v>18933</v>
      </c>
      <c r="AP2195" s="6" t="s">
        <v>15164</v>
      </c>
      <c r="AQ2195" s="6" t="s">
        <v>104</v>
      </c>
      <c r="AR2195" s="6" t="s">
        <v>16649</v>
      </c>
      <c r="AS2195" s="6" t="s">
        <v>16720</v>
      </c>
      <c r="AT2195" s="6" t="s">
        <v>16931</v>
      </c>
      <c r="AU2195" s="6" t="s">
        <v>18412</v>
      </c>
      <c r="AV2195" s="6" t="s">
        <v>104</v>
      </c>
      <c r="AW2195" s="6" t="s">
        <v>104</v>
      </c>
      <c r="AX2195" s="6" t="s">
        <v>104</v>
      </c>
      <c r="AY2195" s="6" t="s">
        <v>23635</v>
      </c>
      <c r="AZ2195" s="6" t="s">
        <v>104</v>
      </c>
      <c r="BA2195" s="6" t="s">
        <v>104</v>
      </c>
      <c r="BB2195" s="6" t="s">
        <v>104</v>
      </c>
      <c r="BC2195" s="26"/>
      <c r="BD2195" s="26"/>
      <c r="BE2195" s="26"/>
      <c r="BF2195" s="26"/>
      <c r="BG2195" s="26"/>
      <c r="BH2195" s="26"/>
      <c r="BI2195" s="26"/>
      <c r="BJ2195" s="26"/>
      <c r="BK2195" s="26"/>
      <c r="BL2195" s="26"/>
      <c r="BM2195" s="26"/>
      <c r="BN2195" s="26"/>
      <c r="BO2195" s="26"/>
      <c r="BP2195" s="16" t="n">
        <v>45694</v>
      </c>
      <c r="BQ2195" s="28" t="str">
        <f>HYPERLINK("https://organic.ams.usda.gov/Integrity/Certificate.aspx?cid=1&amp;nopid=9092133503")</f>
        <v>https://organic.ams.usda.gov/Integrity/Certificate.aspx?cid=1&amp;nopid=9092133503</v>
      </c>
    </row>
    <row r="2196">
      <c r="A2196" t="s">
        <v>3</v>
      </c>
      <c r="B2196" s="6" t="s">
        <v>34</v>
      </c>
      <c r="C2196" s="6" t="s">
        <v>100</v>
      </c>
      <c r="D2196" s="6" t="s">
        <v>165</v>
      </c>
      <c r="E2196" s="10" t="s">
        <v>2394</v>
      </c>
      <c r="F2196" s="6" t="s">
        <v>4595</v>
      </c>
      <c r="G2196" s="6" t="s">
        <v>104</v>
      </c>
      <c r="H2196" s="6" t="s">
        <v>6859</v>
      </c>
      <c r="I2196" s="6" t="s">
        <v>8102</v>
      </c>
      <c r="J2196" s="6" t="s">
        <v>8226</v>
      </c>
      <c r="K2196" s="6" t="s">
        <v>9714</v>
      </c>
      <c r="L2196" s="16" t="n">
        <v>39097</v>
      </c>
      <c r="M2196" s="16" t="n">
        <v>45835</v>
      </c>
      <c r="N2196" s="6" t="s">
        <v>104</v>
      </c>
      <c r="O2196" s="21" t="s">
        <v>104</v>
      </c>
      <c r="P2196" s="6" t="s">
        <v>104</v>
      </c>
      <c r="Q2196" s="6" t="s">
        <v>104</v>
      </c>
      <c r="R2196" s="6" t="s">
        <v>104</v>
      </c>
      <c r="S2196" s="6" t="s">
        <v>104</v>
      </c>
      <c r="T2196" s="21" t="s">
        <v>104</v>
      </c>
      <c r="U2196" s="6" t="s">
        <v>104</v>
      </c>
      <c r="V2196" s="6" t="s">
        <v>104</v>
      </c>
      <c r="W2196" s="6" t="s">
        <v>104</v>
      </c>
      <c r="X2196" s="6" t="s">
        <v>104</v>
      </c>
      <c r="Y2196" s="21" t="s">
        <v>104</v>
      </c>
      <c r="Z2196" s="6" t="s">
        <v>104</v>
      </c>
      <c r="AA2196" s="6" t="s">
        <v>104</v>
      </c>
      <c r="AB2196" s="6" t="s">
        <v>104</v>
      </c>
      <c r="AC2196" s="6" t="s">
        <v>9714</v>
      </c>
      <c r="AD2196" s="16" t="n">
        <v>39097</v>
      </c>
      <c r="AE2196" s="6" t="s">
        <v>12432</v>
      </c>
      <c r="AF2196" s="6" t="s">
        <v>104</v>
      </c>
      <c r="AG2196" s="6" t="s">
        <v>13137</v>
      </c>
      <c r="AH2196" s="6" t="s">
        <v>15165</v>
      </c>
      <c r="AI2196" s="6" t="s">
        <v>104</v>
      </c>
      <c r="AJ2196" s="6" t="s">
        <v>15846</v>
      </c>
      <c r="AK2196" s="6" t="s">
        <v>16687</v>
      </c>
      <c r="AL2196" s="6" t="s">
        <v>16931</v>
      </c>
      <c r="AM2196" s="6" t="s">
        <v>18413</v>
      </c>
      <c r="AN2196" s="6" t="s">
        <v>18506</v>
      </c>
      <c r="AO2196" s="6" t="s">
        <v>18642</v>
      </c>
      <c r="AP2196" s="6" t="s">
        <v>15165</v>
      </c>
      <c r="AQ2196" s="6" t="s">
        <v>104</v>
      </c>
      <c r="AR2196" s="6" t="s">
        <v>15846</v>
      </c>
      <c r="AS2196" s="6" t="s">
        <v>16687</v>
      </c>
      <c r="AT2196" s="6" t="s">
        <v>16931</v>
      </c>
      <c r="AU2196" s="6" t="s">
        <v>18413</v>
      </c>
      <c r="AV2196" s="6" t="s">
        <v>104</v>
      </c>
      <c r="AW2196" s="6" t="s">
        <v>104</v>
      </c>
      <c r="AX2196" s="6" t="s">
        <v>20259</v>
      </c>
      <c r="AY2196" s="6" t="s">
        <v>23636</v>
      </c>
      <c r="AZ2196" s="6" t="s">
        <v>104</v>
      </c>
      <c r="BA2196" s="6" t="s">
        <v>104</v>
      </c>
      <c r="BB2196" s="6" t="s">
        <v>104</v>
      </c>
      <c r="BC2196" s="26"/>
      <c r="BD2196" s="26"/>
      <c r="BE2196" s="26"/>
      <c r="BF2196" s="26"/>
      <c r="BG2196" s="26"/>
      <c r="BH2196" s="26"/>
      <c r="BI2196" s="26"/>
      <c r="BJ2196" s="26"/>
      <c r="BK2196" s="26"/>
      <c r="BL2196" s="26"/>
      <c r="BM2196" s="26"/>
      <c r="BN2196" s="26"/>
      <c r="BO2196" s="26"/>
      <c r="BP2196" s="16" t="n">
        <v>45737</v>
      </c>
      <c r="BQ2196" s="28" t="str">
        <f>HYPERLINK("https://organic.ams.usda.gov/Integrity/Certificate.aspx?cid=71&amp;nopid=5520030956")</f>
        <v>https://organic.ams.usda.gov/Integrity/Certificate.aspx?cid=71&amp;nopid=5520030956</v>
      </c>
    </row>
    <row r="2197">
      <c r="A2197" t="s">
        <v>3</v>
      </c>
      <c r="B2197" s="6" t="s">
        <v>54</v>
      </c>
      <c r="C2197" s="6" t="s">
        <v>120</v>
      </c>
      <c r="D2197" s="6" t="s">
        <v>184</v>
      </c>
      <c r="E2197" s="10" t="s">
        <v>2395</v>
      </c>
      <c r="F2197" s="6" t="s">
        <v>4596</v>
      </c>
      <c r="G2197" s="6" t="s">
        <v>104</v>
      </c>
      <c r="H2197" s="6" t="s">
        <v>6860</v>
      </c>
      <c r="I2197" s="6" t="s">
        <v>8103</v>
      </c>
      <c r="J2197" s="6" t="s">
        <v>9677</v>
      </c>
      <c r="K2197" s="6" t="s">
        <v>9714</v>
      </c>
      <c r="L2197" s="16" t="n">
        <v>43349</v>
      </c>
      <c r="M2197" s="16" t="n">
        <v>45717</v>
      </c>
      <c r="N2197" s="6" t="s">
        <v>9714</v>
      </c>
      <c r="O2197" s="16" t="n">
        <v>43349</v>
      </c>
      <c r="P2197" s="6" t="s">
        <v>9826</v>
      </c>
      <c r="Q2197" s="6" t="s">
        <v>104</v>
      </c>
      <c r="R2197" s="6" t="s">
        <v>104</v>
      </c>
      <c r="S2197" s="6" t="s">
        <v>104</v>
      </c>
      <c r="T2197" s="21" t="s">
        <v>104</v>
      </c>
      <c r="U2197" s="6" t="s">
        <v>104</v>
      </c>
      <c r="V2197" s="6" t="s">
        <v>104</v>
      </c>
      <c r="W2197" s="6" t="s">
        <v>104</v>
      </c>
      <c r="X2197" s="6" t="s">
        <v>104</v>
      </c>
      <c r="Y2197" s="21" t="s">
        <v>104</v>
      </c>
      <c r="Z2197" s="6" t="s">
        <v>104</v>
      </c>
      <c r="AA2197" s="6" t="s">
        <v>104</v>
      </c>
      <c r="AB2197" s="6" t="s">
        <v>104</v>
      </c>
      <c r="AC2197" s="6" t="s">
        <v>104</v>
      </c>
      <c r="AD2197" s="21" t="s">
        <v>104</v>
      </c>
      <c r="AE2197" s="6" t="s">
        <v>104</v>
      </c>
      <c r="AF2197" s="6" t="s">
        <v>104</v>
      </c>
      <c r="AG2197" s="6" t="s">
        <v>104</v>
      </c>
      <c r="AH2197" s="6" t="s">
        <v>15166</v>
      </c>
      <c r="AI2197" s="6" t="s">
        <v>104</v>
      </c>
      <c r="AJ2197" s="6" t="s">
        <v>15972</v>
      </c>
      <c r="AK2197" s="6" t="s">
        <v>16704</v>
      </c>
      <c r="AL2197" s="6" t="s">
        <v>16931</v>
      </c>
      <c r="AM2197" s="6" t="s">
        <v>17611</v>
      </c>
      <c r="AN2197" s="6" t="s">
        <v>18535</v>
      </c>
      <c r="AO2197" s="6" t="s">
        <v>18765</v>
      </c>
      <c r="AP2197" s="6" t="s">
        <v>19532</v>
      </c>
      <c r="AQ2197" s="6" t="s">
        <v>104</v>
      </c>
      <c r="AR2197" s="6" t="s">
        <v>19786</v>
      </c>
      <c r="AS2197" s="6" t="s">
        <v>16704</v>
      </c>
      <c r="AT2197" s="6" t="s">
        <v>16931</v>
      </c>
      <c r="AU2197" s="6" t="s">
        <v>20071</v>
      </c>
      <c r="AV2197" s="6" t="s">
        <v>104</v>
      </c>
      <c r="AW2197" s="6" t="s">
        <v>104</v>
      </c>
      <c r="AX2197" s="6" t="s">
        <v>21802</v>
      </c>
      <c r="AY2197" s="6" t="s">
        <v>23637</v>
      </c>
      <c r="AZ2197" s="6" t="s">
        <v>104</v>
      </c>
      <c r="BA2197" s="6" t="s">
        <v>24267</v>
      </c>
      <c r="BB2197" s="24" t="n">
        <v>1380</v>
      </c>
      <c r="BC2197" s="26"/>
      <c r="BD2197" s="26"/>
      <c r="BE2197" s="26"/>
      <c r="BF2197" s="26"/>
      <c r="BG2197" s="26"/>
      <c r="BH2197" s="26"/>
      <c r="BI2197" s="26"/>
      <c r="BJ2197" s="26"/>
      <c r="BK2197" s="26"/>
      <c r="BL2197" s="26"/>
      <c r="BM2197" s="26"/>
      <c r="BN2197" s="26"/>
      <c r="BO2197" s="26"/>
      <c r="BP2197" s="16" t="n">
        <v>45667</v>
      </c>
      <c r="BQ2197" s="28" t="str">
        <f>HYPERLINK("https://organic.ams.usda.gov/Integrity/Certificate.aspx?cid=60&amp;nopid=2580001943")</f>
        <v>https://organic.ams.usda.gov/Integrity/Certificate.aspx?cid=60&amp;nopid=2580001943</v>
      </c>
    </row>
    <row r="2198">
      <c r="A2198" t="s">
        <v>3</v>
      </c>
      <c r="B2198" s="6" t="s">
        <v>13</v>
      </c>
      <c r="C2198" s="6" t="s">
        <v>79</v>
      </c>
      <c r="D2198" s="6" t="s">
        <v>144</v>
      </c>
      <c r="E2198" s="10" t="s">
        <v>2396</v>
      </c>
      <c r="F2198" s="6" t="s">
        <v>4597</v>
      </c>
      <c r="G2198" s="6" t="s">
        <v>104</v>
      </c>
      <c r="H2198" s="6" t="s">
        <v>6861</v>
      </c>
      <c r="I2198" s="6" t="s">
        <v>7052</v>
      </c>
      <c r="J2198" s="6" t="s">
        <v>9677</v>
      </c>
      <c r="K2198" s="6" t="s">
        <v>9714</v>
      </c>
      <c r="L2198" s="16" t="n">
        <v>40303</v>
      </c>
      <c r="M2198" s="16" t="n">
        <v>46023</v>
      </c>
      <c r="N2198" s="6" t="s">
        <v>9714</v>
      </c>
      <c r="O2198" s="16" t="n">
        <v>40303</v>
      </c>
      <c r="P2198" s="6" t="s">
        <v>10275</v>
      </c>
      <c r="Q2198" s="6" t="s">
        <v>104</v>
      </c>
      <c r="R2198" s="6" t="s">
        <v>104</v>
      </c>
      <c r="S2198" s="6" t="s">
        <v>9714</v>
      </c>
      <c r="T2198" s="16" t="n">
        <v>40303</v>
      </c>
      <c r="U2198" s="6" t="s">
        <v>10497</v>
      </c>
      <c r="V2198" s="6" t="s">
        <v>104</v>
      </c>
      <c r="W2198" s="6" t="s">
        <v>104</v>
      </c>
      <c r="X2198" s="6" t="s">
        <v>104</v>
      </c>
      <c r="Y2198" s="21" t="s">
        <v>104</v>
      </c>
      <c r="Z2198" s="6" t="s">
        <v>104</v>
      </c>
      <c r="AA2198" s="6" t="s">
        <v>104</v>
      </c>
      <c r="AB2198" s="6" t="s">
        <v>104</v>
      </c>
      <c r="AC2198" s="6" t="s">
        <v>104</v>
      </c>
      <c r="AD2198" s="21" t="s">
        <v>104</v>
      </c>
      <c r="AE2198" s="6" t="s">
        <v>104</v>
      </c>
      <c r="AF2198" s="6" t="s">
        <v>104</v>
      </c>
      <c r="AG2198" s="6" t="s">
        <v>104</v>
      </c>
      <c r="AH2198" s="6" t="s">
        <v>104</v>
      </c>
      <c r="AI2198" s="6" t="s">
        <v>104</v>
      </c>
      <c r="AJ2198" s="6" t="s">
        <v>104</v>
      </c>
      <c r="AK2198" s="6" t="s">
        <v>104</v>
      </c>
      <c r="AL2198" s="6" t="s">
        <v>104</v>
      </c>
      <c r="AM2198" s="6" t="s">
        <v>104</v>
      </c>
      <c r="AN2198" s="6" t="s">
        <v>104</v>
      </c>
      <c r="AO2198" s="6" t="s">
        <v>104</v>
      </c>
      <c r="AP2198" s="6" t="s">
        <v>19533</v>
      </c>
      <c r="AQ2198" s="6" t="s">
        <v>104</v>
      </c>
      <c r="AR2198" s="6" t="s">
        <v>15372</v>
      </c>
      <c r="AS2198" s="6" t="s">
        <v>16681</v>
      </c>
      <c r="AT2198" s="6" t="s">
        <v>16931</v>
      </c>
      <c r="AU2198" s="6" t="s">
        <v>20072</v>
      </c>
      <c r="AV2198" s="6" t="s">
        <v>20074</v>
      </c>
      <c r="AW2198" s="6" t="s">
        <v>20111</v>
      </c>
      <c r="AX2198" s="6" t="s">
        <v>21803</v>
      </c>
      <c r="AY2198" s="6" t="s">
        <v>23638</v>
      </c>
      <c r="AZ2198" s="6" t="s">
        <v>104</v>
      </c>
      <c r="BA2198" s="6" t="s">
        <v>104</v>
      </c>
      <c r="BB2198" s="24" t="n">
        <v>1108</v>
      </c>
      <c r="BC2198" s="26"/>
      <c r="BD2198" s="26"/>
      <c r="BE2198" s="26"/>
      <c r="BF2198" s="26" t="s">
        <v>24533</v>
      </c>
      <c r="BG2198" s="26"/>
      <c r="BH2198" s="26"/>
      <c r="BI2198" s="26"/>
      <c r="BJ2198" s="26"/>
      <c r="BK2198" s="26"/>
      <c r="BL2198" s="26"/>
      <c r="BM2198" s="26"/>
      <c r="BN2198" s="26"/>
      <c r="BO2198" s="26"/>
      <c r="BP2198" s="16" t="n">
        <v>45720</v>
      </c>
      <c r="BQ2198" s="28" t="str">
        <f>HYPERLINK("https://organic.ams.usda.gov/Integrity/Certificate.aspx?cid=62&amp;nopid=8150000509")</f>
        <v>https://organic.ams.usda.gov/Integrity/Certificate.aspx?cid=62&amp;nopid=8150000509</v>
      </c>
    </row>
    <row r="2199">
      <c r="A2199" t="s">
        <v>3</v>
      </c>
      <c r="B2199" s="6" t="s">
        <v>33</v>
      </c>
      <c r="C2199" s="6" t="s">
        <v>99</v>
      </c>
      <c r="D2199" s="6" t="s">
        <v>164</v>
      </c>
      <c r="E2199" s="10" t="s">
        <v>2397</v>
      </c>
      <c r="F2199" s="6" t="s">
        <v>4598</v>
      </c>
      <c r="G2199" s="6" t="s">
        <v>104</v>
      </c>
      <c r="H2199" s="6" t="s">
        <v>104</v>
      </c>
      <c r="I2199" s="6" t="s">
        <v>7216</v>
      </c>
      <c r="J2199" s="6" t="s">
        <v>9678</v>
      </c>
      <c r="K2199" s="6" t="s">
        <v>9714</v>
      </c>
      <c r="L2199" s="16" t="n">
        <v>42747</v>
      </c>
      <c r="M2199" s="16" t="n">
        <v>45536</v>
      </c>
      <c r="N2199" s="6" t="s">
        <v>104</v>
      </c>
      <c r="O2199" s="21" t="s">
        <v>104</v>
      </c>
      <c r="P2199" s="6" t="s">
        <v>104</v>
      </c>
      <c r="Q2199" s="6" t="s">
        <v>104</v>
      </c>
      <c r="R2199" s="6" t="s">
        <v>104</v>
      </c>
      <c r="S2199" s="6" t="s">
        <v>104</v>
      </c>
      <c r="T2199" s="21" t="s">
        <v>104</v>
      </c>
      <c r="U2199" s="6" t="s">
        <v>104</v>
      </c>
      <c r="V2199" s="6" t="s">
        <v>104</v>
      </c>
      <c r="W2199" s="6" t="s">
        <v>104</v>
      </c>
      <c r="X2199" s="6" t="s">
        <v>104</v>
      </c>
      <c r="Y2199" s="21" t="s">
        <v>104</v>
      </c>
      <c r="Z2199" s="6" t="s">
        <v>104</v>
      </c>
      <c r="AA2199" s="6" t="s">
        <v>104</v>
      </c>
      <c r="AB2199" s="6" t="s">
        <v>104</v>
      </c>
      <c r="AC2199" s="6" t="s">
        <v>9714</v>
      </c>
      <c r="AD2199" s="16" t="n">
        <v>42747</v>
      </c>
      <c r="AE2199" s="6" t="s">
        <v>12433</v>
      </c>
      <c r="AF2199" s="6" t="s">
        <v>104</v>
      </c>
      <c r="AG2199" s="6" t="s">
        <v>104</v>
      </c>
      <c r="AH2199" s="6" t="s">
        <v>15167</v>
      </c>
      <c r="AI2199" s="6" t="s">
        <v>104</v>
      </c>
      <c r="AJ2199" s="6" t="s">
        <v>16490</v>
      </c>
      <c r="AK2199" s="6" t="s">
        <v>16683</v>
      </c>
      <c r="AL2199" s="6" t="s">
        <v>16931</v>
      </c>
      <c r="AM2199" s="6" t="s">
        <v>18414</v>
      </c>
      <c r="AN2199" s="6" t="s">
        <v>18541</v>
      </c>
      <c r="AO2199" s="6" t="s">
        <v>18808</v>
      </c>
      <c r="AP2199" s="6" t="s">
        <v>15167</v>
      </c>
      <c r="AQ2199" s="6" t="s">
        <v>104</v>
      </c>
      <c r="AR2199" s="6" t="s">
        <v>16490</v>
      </c>
      <c r="AS2199" s="6" t="s">
        <v>16683</v>
      </c>
      <c r="AT2199" s="6" t="s">
        <v>16931</v>
      </c>
      <c r="AU2199" s="6" t="s">
        <v>18414</v>
      </c>
      <c r="AV2199" s="6" t="s">
        <v>104</v>
      </c>
      <c r="AW2199" s="6" t="s">
        <v>104</v>
      </c>
      <c r="AX2199" s="6" t="s">
        <v>104</v>
      </c>
      <c r="AY2199" s="6" t="s">
        <v>104</v>
      </c>
      <c r="AZ2199" s="6" t="s">
        <v>104</v>
      </c>
      <c r="BA2199" s="6" t="s">
        <v>24523</v>
      </c>
      <c r="BB2199" s="6" t="s">
        <v>104</v>
      </c>
      <c r="BC2199" s="26"/>
      <c r="BD2199" s="26"/>
      <c r="BE2199" s="26"/>
      <c r="BF2199" s="26"/>
      <c r="BG2199" s="26"/>
      <c r="BH2199" s="26"/>
      <c r="BI2199" s="26"/>
      <c r="BJ2199" s="26"/>
      <c r="BK2199" s="26"/>
      <c r="BL2199" s="26"/>
      <c r="BM2199" s="26"/>
      <c r="BN2199" s="26"/>
      <c r="BO2199" s="26"/>
      <c r="BP2199" s="16" t="n">
        <v>45526</v>
      </c>
      <c r="BQ2199" s="28" t="str">
        <f>HYPERLINK("https://organic.ams.usda.gov/Integrity/Certificate.aspx?cid=46&amp;nopid=3671700004")</f>
        <v>https://organic.ams.usda.gov/Integrity/Certificate.aspx?cid=46&amp;nopid=3671700004</v>
      </c>
    </row>
    <row r="2200">
      <c r="A2200" t="s">
        <v>3</v>
      </c>
      <c r="B2200" s="6" t="s">
        <v>21</v>
      </c>
      <c r="C2200" s="6" t="s">
        <v>87</v>
      </c>
      <c r="D2200" s="6" t="s">
        <v>152</v>
      </c>
      <c r="E2200" s="10" t="s">
        <v>2398</v>
      </c>
      <c r="F2200" s="6" t="s">
        <v>4599</v>
      </c>
      <c r="G2200" s="6" t="s">
        <v>104</v>
      </c>
      <c r="H2200" s="6" t="s">
        <v>6862</v>
      </c>
      <c r="I2200" s="6" t="s">
        <v>8104</v>
      </c>
      <c r="J2200" s="6" t="s">
        <v>9679</v>
      </c>
      <c r="K2200" s="6" t="s">
        <v>9714</v>
      </c>
      <c r="L2200" s="16" t="n">
        <v>40717</v>
      </c>
      <c r="M2200" s="16" t="n">
        <v>46023</v>
      </c>
      <c r="N2200" s="6" t="s">
        <v>104</v>
      </c>
      <c r="O2200" s="21" t="s">
        <v>104</v>
      </c>
      <c r="P2200" s="6" t="s">
        <v>104</v>
      </c>
      <c r="Q2200" s="6" t="s">
        <v>104</v>
      </c>
      <c r="R2200" s="6" t="s">
        <v>104</v>
      </c>
      <c r="S2200" s="6" t="s">
        <v>104</v>
      </c>
      <c r="T2200" s="21" t="s">
        <v>104</v>
      </c>
      <c r="U2200" s="6" t="s">
        <v>104</v>
      </c>
      <c r="V2200" s="6" t="s">
        <v>104</v>
      </c>
      <c r="W2200" s="6" t="s">
        <v>104</v>
      </c>
      <c r="X2200" s="6" t="s">
        <v>104</v>
      </c>
      <c r="Y2200" s="21" t="s">
        <v>104</v>
      </c>
      <c r="Z2200" s="6" t="s">
        <v>104</v>
      </c>
      <c r="AA2200" s="6" t="s">
        <v>104</v>
      </c>
      <c r="AB2200" s="6" t="s">
        <v>104</v>
      </c>
      <c r="AC2200" s="6" t="s">
        <v>9714</v>
      </c>
      <c r="AD2200" s="16" t="n">
        <v>40717</v>
      </c>
      <c r="AE2200" s="6" t="s">
        <v>12434</v>
      </c>
      <c r="AF2200" s="6" t="s">
        <v>104</v>
      </c>
      <c r="AG2200" s="6" t="s">
        <v>104</v>
      </c>
      <c r="AH2200" s="6" t="s">
        <v>15168</v>
      </c>
      <c r="AI2200" s="6" t="s">
        <v>104</v>
      </c>
      <c r="AJ2200" s="6" t="s">
        <v>15378</v>
      </c>
      <c r="AK2200" s="6" t="s">
        <v>16687</v>
      </c>
      <c r="AL2200" s="6" t="s">
        <v>16931</v>
      </c>
      <c r="AM2200" s="6" t="s">
        <v>17006</v>
      </c>
      <c r="AN2200" s="6" t="s">
        <v>5771</v>
      </c>
      <c r="AO2200" s="6" t="s">
        <v>18563</v>
      </c>
      <c r="AP2200" s="6" t="s">
        <v>19534</v>
      </c>
      <c r="AQ2200" s="6" t="s">
        <v>104</v>
      </c>
      <c r="AR2200" s="6" t="s">
        <v>15378</v>
      </c>
      <c r="AS2200" s="6" t="s">
        <v>16687</v>
      </c>
      <c r="AT2200" s="6" t="s">
        <v>16931</v>
      </c>
      <c r="AU2200" s="6" t="s">
        <v>17006</v>
      </c>
      <c r="AV2200" s="6" t="s">
        <v>104</v>
      </c>
      <c r="AW2200" s="6" t="s">
        <v>104</v>
      </c>
      <c r="AX2200" s="6" t="s">
        <v>21804</v>
      </c>
      <c r="AY2200" s="6" t="s">
        <v>23639</v>
      </c>
      <c r="AZ2200" s="6" t="s">
        <v>24246</v>
      </c>
      <c r="BA2200" s="6" t="s">
        <v>24524</v>
      </c>
      <c r="BB2200" s="6" t="s">
        <v>104</v>
      </c>
      <c r="BC2200" s="26"/>
      <c r="BD2200" s="26"/>
      <c r="BE2200" s="26"/>
      <c r="BF2200" s="26"/>
      <c r="BG2200" s="26"/>
      <c r="BH2200" s="26"/>
      <c r="BI2200" s="26"/>
      <c r="BJ2200" s="26"/>
      <c r="BK2200" s="26"/>
      <c r="BL2200" s="26"/>
      <c r="BM2200" s="26"/>
      <c r="BN2200" s="26"/>
      <c r="BO2200" s="26"/>
      <c r="BP2200" s="16" t="n">
        <v>45735</v>
      </c>
      <c r="BQ2200" s="28" t="str">
        <f>HYPERLINK("https://organic.ams.usda.gov/Integrity/Certificate.aspx?cid=15&amp;nopid=5561002571")</f>
        <v>https://organic.ams.usda.gov/Integrity/Certificate.aspx?cid=15&amp;nopid=5561002571</v>
      </c>
    </row>
    <row r="2201">
      <c r="A2201" t="s">
        <v>3</v>
      </c>
      <c r="B2201" s="6" t="s">
        <v>21</v>
      </c>
      <c r="C2201" s="6" t="s">
        <v>87</v>
      </c>
      <c r="D2201" s="6" t="s">
        <v>152</v>
      </c>
      <c r="E2201" s="10" t="s">
        <v>2399</v>
      </c>
      <c r="F2201" s="6" t="s">
        <v>4600</v>
      </c>
      <c r="G2201" s="6" t="s">
        <v>4889</v>
      </c>
      <c r="H2201" s="6" t="s">
        <v>6863</v>
      </c>
      <c r="I2201" s="6" t="s">
        <v>8105</v>
      </c>
      <c r="J2201" s="6" t="s">
        <v>9129</v>
      </c>
      <c r="K2201" s="6" t="s">
        <v>9714</v>
      </c>
      <c r="L2201" s="16" t="n">
        <v>37769</v>
      </c>
      <c r="M2201" s="16" t="n">
        <v>46023</v>
      </c>
      <c r="N2201" s="6" t="s">
        <v>104</v>
      </c>
      <c r="O2201" s="21" t="s">
        <v>104</v>
      </c>
      <c r="P2201" s="6" t="s">
        <v>104</v>
      </c>
      <c r="Q2201" s="6" t="s">
        <v>104</v>
      </c>
      <c r="R2201" s="6" t="s">
        <v>104</v>
      </c>
      <c r="S2201" s="6" t="s">
        <v>104</v>
      </c>
      <c r="T2201" s="21" t="s">
        <v>104</v>
      </c>
      <c r="U2201" s="6" t="s">
        <v>104</v>
      </c>
      <c r="V2201" s="6" t="s">
        <v>104</v>
      </c>
      <c r="W2201" s="6" t="s">
        <v>104</v>
      </c>
      <c r="X2201" s="6" t="s">
        <v>104</v>
      </c>
      <c r="Y2201" s="21" t="s">
        <v>104</v>
      </c>
      <c r="Z2201" s="6" t="s">
        <v>104</v>
      </c>
      <c r="AA2201" s="6" t="s">
        <v>104</v>
      </c>
      <c r="AB2201" s="6" t="s">
        <v>104</v>
      </c>
      <c r="AC2201" s="6" t="s">
        <v>9714</v>
      </c>
      <c r="AD2201" s="16" t="n">
        <v>37769</v>
      </c>
      <c r="AE2201" s="6" t="s">
        <v>12435</v>
      </c>
      <c r="AF2201" s="6" t="s">
        <v>104</v>
      </c>
      <c r="AG2201" s="6" t="s">
        <v>104</v>
      </c>
      <c r="AH2201" s="6" t="s">
        <v>15169</v>
      </c>
      <c r="AI2201" s="6" t="s">
        <v>104</v>
      </c>
      <c r="AJ2201" s="6" t="s">
        <v>16650</v>
      </c>
      <c r="AK2201" s="6" t="s">
        <v>16687</v>
      </c>
      <c r="AL2201" s="6" t="s">
        <v>16931</v>
      </c>
      <c r="AM2201" s="6" t="s">
        <v>18415</v>
      </c>
      <c r="AN2201" s="6" t="s">
        <v>5759</v>
      </c>
      <c r="AO2201" s="6" t="s">
        <v>18934</v>
      </c>
      <c r="AP2201" s="6" t="s">
        <v>19535</v>
      </c>
      <c r="AQ2201" s="6" t="s">
        <v>104</v>
      </c>
      <c r="AR2201" s="6" t="s">
        <v>16650</v>
      </c>
      <c r="AS2201" s="6" t="s">
        <v>16687</v>
      </c>
      <c r="AT2201" s="6" t="s">
        <v>16931</v>
      </c>
      <c r="AU2201" s="6" t="s">
        <v>18415</v>
      </c>
      <c r="AV2201" s="6" t="s">
        <v>104</v>
      </c>
      <c r="AW2201" s="6" t="s">
        <v>104</v>
      </c>
      <c r="AX2201" s="6" t="s">
        <v>21805</v>
      </c>
      <c r="AY2201" s="6" t="s">
        <v>23640</v>
      </c>
      <c r="AZ2201" s="6" t="s">
        <v>24247</v>
      </c>
      <c r="BA2201" s="6" t="s">
        <v>24525</v>
      </c>
      <c r="BB2201" s="6" t="s">
        <v>104</v>
      </c>
      <c r="BC2201" s="26"/>
      <c r="BD2201" s="26"/>
      <c r="BE2201" s="26"/>
      <c r="BF2201" s="26"/>
      <c r="BG2201" s="26"/>
      <c r="BH2201" s="26"/>
      <c r="BI2201" s="26"/>
      <c r="BJ2201" s="26"/>
      <c r="BK2201" s="26"/>
      <c r="BL2201" s="26"/>
      <c r="BM2201" s="26"/>
      <c r="BN2201" s="26"/>
      <c r="BO2201" s="26"/>
      <c r="BP2201" s="16" t="n">
        <v>45667</v>
      </c>
      <c r="BQ2201" s="28" t="str">
        <f>HYPERLINK("https://organic.ams.usda.gov/Integrity/Certificate.aspx?cid=15&amp;nopid=5561002249")</f>
        <v>https://organic.ams.usda.gov/Integrity/Certificate.aspx?cid=15&amp;nopid=5561002249</v>
      </c>
    </row>
    <row r="2202">
      <c r="A2202" t="s">
        <v>3</v>
      </c>
      <c r="B2202" s="6" t="s">
        <v>8</v>
      </c>
      <c r="C2202" s="6" t="s">
        <v>74</v>
      </c>
      <c r="D2202" s="6" t="s">
        <v>139</v>
      </c>
      <c r="E2202" s="10" t="s">
        <v>2400</v>
      </c>
      <c r="F2202" s="6" t="s">
        <v>4601</v>
      </c>
      <c r="G2202" s="6" t="s">
        <v>104</v>
      </c>
      <c r="H2202" s="6" t="s">
        <v>2400</v>
      </c>
      <c r="I2202" s="6" t="s">
        <v>6917</v>
      </c>
      <c r="J2202" s="6" t="s">
        <v>8979</v>
      </c>
      <c r="K2202" s="6" t="s">
        <v>9714</v>
      </c>
      <c r="L2202" s="16" t="n">
        <v>45390</v>
      </c>
      <c r="M2202" s="16" t="n">
        <v>45550</v>
      </c>
      <c r="N2202" s="6" t="s">
        <v>104</v>
      </c>
      <c r="O2202" s="21" t="s">
        <v>104</v>
      </c>
      <c r="P2202" s="6" t="s">
        <v>104</v>
      </c>
      <c r="Q2202" s="6" t="s">
        <v>104</v>
      </c>
      <c r="R2202" s="6" t="s">
        <v>104</v>
      </c>
      <c r="S2202" s="6" t="s">
        <v>104</v>
      </c>
      <c r="T2202" s="21" t="s">
        <v>104</v>
      </c>
      <c r="U2202" s="6" t="s">
        <v>104</v>
      </c>
      <c r="V2202" s="6" t="s">
        <v>104</v>
      </c>
      <c r="W2202" s="6" t="s">
        <v>104</v>
      </c>
      <c r="X2202" s="6" t="s">
        <v>104</v>
      </c>
      <c r="Y2202" s="21" t="s">
        <v>104</v>
      </c>
      <c r="Z2202" s="6" t="s">
        <v>104</v>
      </c>
      <c r="AA2202" s="6" t="s">
        <v>104</v>
      </c>
      <c r="AB2202" s="6" t="s">
        <v>104</v>
      </c>
      <c r="AC2202" s="6" t="s">
        <v>9714</v>
      </c>
      <c r="AD2202" s="16" t="n">
        <v>45390</v>
      </c>
      <c r="AE2202" s="6" t="s">
        <v>12436</v>
      </c>
      <c r="AF2202" s="6" t="s">
        <v>104</v>
      </c>
      <c r="AG2202" s="6" t="s">
        <v>104</v>
      </c>
      <c r="AH2202" s="6" t="s">
        <v>15170</v>
      </c>
      <c r="AI2202" s="6" t="s">
        <v>104</v>
      </c>
      <c r="AJ2202" s="6" t="s">
        <v>16651</v>
      </c>
      <c r="AK2202" s="6" t="s">
        <v>16679</v>
      </c>
      <c r="AL2202" s="6" t="s">
        <v>16931</v>
      </c>
      <c r="AM2202" s="6" t="s">
        <v>18416</v>
      </c>
      <c r="AN2202" s="6" t="s">
        <v>104</v>
      </c>
      <c r="AO2202" s="6" t="s">
        <v>104</v>
      </c>
      <c r="AP2202" s="6" t="s">
        <v>15170</v>
      </c>
      <c r="AQ2202" s="6" t="s">
        <v>104</v>
      </c>
      <c r="AR2202" s="6" t="s">
        <v>16651</v>
      </c>
      <c r="AS2202" s="6" t="s">
        <v>16679</v>
      </c>
      <c r="AT2202" s="6" t="s">
        <v>16931</v>
      </c>
      <c r="AU2202" s="6" t="s">
        <v>18416</v>
      </c>
      <c r="AV2202" s="6" t="s">
        <v>104</v>
      </c>
      <c r="AW2202" s="6" t="s">
        <v>104</v>
      </c>
      <c r="AX2202" s="6" t="s">
        <v>21806</v>
      </c>
      <c r="AY2202" s="6" t="s">
        <v>23641</v>
      </c>
      <c r="AZ2202" s="6" t="s">
        <v>24248</v>
      </c>
      <c r="BA2202" s="6" t="s">
        <v>104</v>
      </c>
      <c r="BB2202" s="6" t="s">
        <v>104</v>
      </c>
      <c r="BC2202" s="26"/>
      <c r="BD2202" s="26"/>
      <c r="BE2202" s="26"/>
      <c r="BF2202" s="26"/>
      <c r="BG2202" s="26" t="s">
        <v>24533</v>
      </c>
      <c r="BH2202" s="26"/>
      <c r="BI2202" s="26"/>
      <c r="BJ2202" s="26"/>
      <c r="BK2202" s="26"/>
      <c r="BL2202" s="26"/>
      <c r="BM2202" s="26"/>
      <c r="BN2202" s="26"/>
      <c r="BO2202" s="26"/>
      <c r="BP2202" s="16" t="n">
        <v>45391</v>
      </c>
      <c r="BQ2202" s="28" t="str">
        <f>HYPERLINK("https://organic.ams.usda.gov/Integrity/Certificate.aspx?cid=48&amp;nopid=1462339484")</f>
        <v>https://organic.ams.usda.gov/Integrity/Certificate.aspx?cid=48&amp;nopid=1462339484</v>
      </c>
    </row>
    <row r="2203">
      <c r="A2203" t="s">
        <v>3</v>
      </c>
      <c r="B2203" s="6" t="s">
        <v>45</v>
      </c>
      <c r="C2203" s="6" t="s">
        <v>111</v>
      </c>
      <c r="D2203" s="6" t="s">
        <v>175</v>
      </c>
      <c r="E2203" s="10" t="s">
        <v>2401</v>
      </c>
      <c r="F2203" s="6" t="s">
        <v>4602</v>
      </c>
      <c r="G2203" s="6" t="s">
        <v>104</v>
      </c>
      <c r="H2203" s="6" t="s">
        <v>6864</v>
      </c>
      <c r="I2203" s="6" t="s">
        <v>7189</v>
      </c>
      <c r="J2203" s="6" t="s">
        <v>9680</v>
      </c>
      <c r="K2203" s="6" t="s">
        <v>9714</v>
      </c>
      <c r="L2203" s="16" t="n">
        <v>39311</v>
      </c>
      <c r="M2203" s="16" t="n">
        <v>46082</v>
      </c>
      <c r="N2203" s="6" t="s">
        <v>104</v>
      </c>
      <c r="O2203" s="21" t="s">
        <v>104</v>
      </c>
      <c r="P2203" s="6" t="s">
        <v>104</v>
      </c>
      <c r="Q2203" s="6" t="s">
        <v>104</v>
      </c>
      <c r="R2203" s="6" t="s">
        <v>104</v>
      </c>
      <c r="S2203" s="6" t="s">
        <v>104</v>
      </c>
      <c r="T2203" s="21" t="s">
        <v>104</v>
      </c>
      <c r="U2203" s="6" t="s">
        <v>104</v>
      </c>
      <c r="V2203" s="6" t="s">
        <v>104</v>
      </c>
      <c r="W2203" s="6" t="s">
        <v>104</v>
      </c>
      <c r="X2203" s="6" t="s">
        <v>104</v>
      </c>
      <c r="Y2203" s="21" t="s">
        <v>104</v>
      </c>
      <c r="Z2203" s="6" t="s">
        <v>104</v>
      </c>
      <c r="AA2203" s="6" t="s">
        <v>104</v>
      </c>
      <c r="AB2203" s="6" t="s">
        <v>104</v>
      </c>
      <c r="AC2203" s="6" t="s">
        <v>9714</v>
      </c>
      <c r="AD2203" s="16" t="n">
        <v>39311</v>
      </c>
      <c r="AE2203" s="6" t="s">
        <v>12437</v>
      </c>
      <c r="AF2203" s="6" t="s">
        <v>104</v>
      </c>
      <c r="AG2203" s="6" t="s">
        <v>4667</v>
      </c>
      <c r="AH2203" s="6" t="s">
        <v>15171</v>
      </c>
      <c r="AI2203" s="6" t="s">
        <v>104</v>
      </c>
      <c r="AJ2203" s="6" t="s">
        <v>7715</v>
      </c>
      <c r="AK2203" s="6" t="s">
        <v>16382</v>
      </c>
      <c r="AL2203" s="6" t="s">
        <v>16931</v>
      </c>
      <c r="AM2203" s="6" t="s">
        <v>18417</v>
      </c>
      <c r="AN2203" s="6" t="s">
        <v>104</v>
      </c>
      <c r="AO2203" s="6" t="s">
        <v>104</v>
      </c>
      <c r="AP2203" s="6" t="s">
        <v>15171</v>
      </c>
      <c r="AQ2203" s="6" t="s">
        <v>104</v>
      </c>
      <c r="AR2203" s="6" t="s">
        <v>7715</v>
      </c>
      <c r="AS2203" s="6" t="s">
        <v>16382</v>
      </c>
      <c r="AT2203" s="6" t="s">
        <v>16931</v>
      </c>
      <c r="AU2203" s="6" t="s">
        <v>18417</v>
      </c>
      <c r="AV2203" s="6" t="s">
        <v>18511</v>
      </c>
      <c r="AW2203" s="6" t="s">
        <v>20099</v>
      </c>
      <c r="AX2203" s="6" t="s">
        <v>21807</v>
      </c>
      <c r="AY2203" s="6" t="s">
        <v>23642</v>
      </c>
      <c r="AZ2203" s="6" t="s">
        <v>24249</v>
      </c>
      <c r="BA2203" s="6" t="s">
        <v>104</v>
      </c>
      <c r="BB2203" s="6" t="s">
        <v>104</v>
      </c>
      <c r="BC2203" s="26"/>
      <c r="BD2203" s="26"/>
      <c r="BE2203" s="26" t="s">
        <v>24533</v>
      </c>
      <c r="BF2203" s="26"/>
      <c r="BG2203" s="26"/>
      <c r="BH2203" s="26"/>
      <c r="BI2203" s="26"/>
      <c r="BJ2203" s="26"/>
      <c r="BK2203" s="26"/>
      <c r="BL2203" s="26"/>
      <c r="BM2203" s="26"/>
      <c r="BN2203" s="26"/>
      <c r="BO2203" s="26"/>
      <c r="BP2203" s="16" t="n">
        <v>45739</v>
      </c>
      <c r="BQ2203" s="28" t="str">
        <f>HYPERLINK("https://organic.ams.usda.gov/Integrity/Certificate.aspx?cid=82&amp;nopid=2780001992")</f>
        <v>https://organic.ams.usda.gov/Integrity/Certificate.aspx?cid=82&amp;nopid=2780001992</v>
      </c>
    </row>
    <row r="2204">
      <c r="A2204" t="s">
        <v>3</v>
      </c>
      <c r="B2204" s="6" t="s">
        <v>34</v>
      </c>
      <c r="C2204" s="6" t="s">
        <v>100</v>
      </c>
      <c r="D2204" s="6" t="s">
        <v>165</v>
      </c>
      <c r="E2204" s="10" t="s">
        <v>2402</v>
      </c>
      <c r="F2204" s="6" t="s">
        <v>4603</v>
      </c>
      <c r="G2204" s="6" t="s">
        <v>104</v>
      </c>
      <c r="H2204" s="6" t="s">
        <v>6865</v>
      </c>
      <c r="I2204" s="6" t="s">
        <v>8106</v>
      </c>
      <c r="J2204" s="6" t="s">
        <v>9681</v>
      </c>
      <c r="K2204" s="6" t="s">
        <v>9714</v>
      </c>
      <c r="L2204" s="16" t="n">
        <v>37560</v>
      </c>
      <c r="M2204" s="16" t="n">
        <v>45847</v>
      </c>
      <c r="N2204" s="6" t="s">
        <v>104</v>
      </c>
      <c r="O2204" s="21" t="s">
        <v>104</v>
      </c>
      <c r="P2204" s="6" t="s">
        <v>104</v>
      </c>
      <c r="Q2204" s="6" t="s">
        <v>104</v>
      </c>
      <c r="R2204" s="6" t="s">
        <v>104</v>
      </c>
      <c r="S2204" s="6" t="s">
        <v>104</v>
      </c>
      <c r="T2204" s="21" t="s">
        <v>104</v>
      </c>
      <c r="U2204" s="6" t="s">
        <v>104</v>
      </c>
      <c r="V2204" s="6" t="s">
        <v>104</v>
      </c>
      <c r="W2204" s="6" t="s">
        <v>104</v>
      </c>
      <c r="X2204" s="6" t="s">
        <v>104</v>
      </c>
      <c r="Y2204" s="21" t="s">
        <v>104</v>
      </c>
      <c r="Z2204" s="6" t="s">
        <v>104</v>
      </c>
      <c r="AA2204" s="6" t="s">
        <v>104</v>
      </c>
      <c r="AB2204" s="6" t="s">
        <v>104</v>
      </c>
      <c r="AC2204" s="6" t="s">
        <v>9714</v>
      </c>
      <c r="AD2204" s="16" t="n">
        <v>37560</v>
      </c>
      <c r="AE2204" s="6" t="s">
        <v>12438</v>
      </c>
      <c r="AF2204" s="6" t="s">
        <v>12487</v>
      </c>
      <c r="AG2204" s="6" t="s">
        <v>13138</v>
      </c>
      <c r="AH2204" s="6" t="s">
        <v>15172</v>
      </c>
      <c r="AI2204" s="6" t="s">
        <v>104</v>
      </c>
      <c r="AJ2204" s="6" t="s">
        <v>7005</v>
      </c>
      <c r="AK2204" s="6" t="s">
        <v>16684</v>
      </c>
      <c r="AL2204" s="6" t="s">
        <v>16931</v>
      </c>
      <c r="AM2204" s="6" t="s">
        <v>18418</v>
      </c>
      <c r="AN2204" s="6" t="s">
        <v>18528</v>
      </c>
      <c r="AO2204" s="6" t="s">
        <v>18740</v>
      </c>
      <c r="AP2204" s="6" t="s">
        <v>15172</v>
      </c>
      <c r="AQ2204" s="6" t="s">
        <v>104</v>
      </c>
      <c r="AR2204" s="6" t="s">
        <v>7005</v>
      </c>
      <c r="AS2204" s="6" t="s">
        <v>16684</v>
      </c>
      <c r="AT2204" s="6" t="s">
        <v>16931</v>
      </c>
      <c r="AU2204" s="6" t="s">
        <v>18418</v>
      </c>
      <c r="AV2204" s="6" t="s">
        <v>104</v>
      </c>
      <c r="AW2204" s="6" t="s">
        <v>104</v>
      </c>
      <c r="AX2204" s="6" t="s">
        <v>21808</v>
      </c>
      <c r="AY2204" s="6" t="s">
        <v>23643</v>
      </c>
      <c r="AZ2204" s="6" t="s">
        <v>104</v>
      </c>
      <c r="BA2204" s="6" t="s">
        <v>104</v>
      </c>
      <c r="BB2204" s="6" t="s">
        <v>104</v>
      </c>
      <c r="BC2204" s="26"/>
      <c r="BD2204" s="26"/>
      <c r="BE2204" s="26"/>
      <c r="BF2204" s="26"/>
      <c r="BG2204" s="26"/>
      <c r="BH2204" s="26"/>
      <c r="BI2204" s="26"/>
      <c r="BJ2204" s="26"/>
      <c r="BK2204" s="26"/>
      <c r="BL2204" s="26" t="s">
        <v>24533</v>
      </c>
      <c r="BM2204" s="26"/>
      <c r="BN2204" s="26"/>
      <c r="BO2204" s="26"/>
      <c r="BP2204" s="16" t="n">
        <v>45737</v>
      </c>
      <c r="BQ2204" s="28" t="str">
        <f>HYPERLINK("https://organic.ams.usda.gov/Integrity/Certificate.aspx?cid=71&amp;nopid=5520030121")</f>
        <v>https://organic.ams.usda.gov/Integrity/Certificate.aspx?cid=71&amp;nopid=5520030121</v>
      </c>
    </row>
    <row r="2205">
      <c r="A2205" t="s">
        <v>3</v>
      </c>
      <c r="B2205" s="6" t="s">
        <v>54</v>
      </c>
      <c r="C2205" s="6" t="s">
        <v>120</v>
      </c>
      <c r="D2205" s="6" t="s">
        <v>184</v>
      </c>
      <c r="E2205" s="10" t="s">
        <v>2403</v>
      </c>
      <c r="F2205" s="6" t="s">
        <v>4604</v>
      </c>
      <c r="G2205" s="6" t="s">
        <v>104</v>
      </c>
      <c r="H2205" s="6" t="s">
        <v>5857</v>
      </c>
      <c r="I2205" s="6" t="s">
        <v>7386</v>
      </c>
      <c r="J2205" s="6" t="s">
        <v>8670</v>
      </c>
      <c r="K2205" s="6" t="s">
        <v>9714</v>
      </c>
      <c r="L2205" s="16" t="n">
        <v>43395</v>
      </c>
      <c r="M2205" s="16" t="n">
        <v>45748</v>
      </c>
      <c r="N2205" s="6" t="s">
        <v>104</v>
      </c>
      <c r="O2205" s="21" t="s">
        <v>104</v>
      </c>
      <c r="P2205" s="6" t="s">
        <v>104</v>
      </c>
      <c r="Q2205" s="6" t="s">
        <v>104</v>
      </c>
      <c r="R2205" s="6" t="s">
        <v>104</v>
      </c>
      <c r="S2205" s="6" t="s">
        <v>104</v>
      </c>
      <c r="T2205" s="21" t="s">
        <v>104</v>
      </c>
      <c r="U2205" s="6" t="s">
        <v>104</v>
      </c>
      <c r="V2205" s="6" t="s">
        <v>104</v>
      </c>
      <c r="W2205" s="6" t="s">
        <v>104</v>
      </c>
      <c r="X2205" s="6" t="s">
        <v>104</v>
      </c>
      <c r="Y2205" s="21" t="s">
        <v>104</v>
      </c>
      <c r="Z2205" s="6" t="s">
        <v>104</v>
      </c>
      <c r="AA2205" s="6" t="s">
        <v>104</v>
      </c>
      <c r="AB2205" s="6" t="s">
        <v>104</v>
      </c>
      <c r="AC2205" s="6" t="s">
        <v>9714</v>
      </c>
      <c r="AD2205" s="16" t="n">
        <v>43395</v>
      </c>
      <c r="AE2205" s="6" t="s">
        <v>11149</v>
      </c>
      <c r="AF2205" s="6" t="s">
        <v>104</v>
      </c>
      <c r="AG2205" s="6" t="s">
        <v>104</v>
      </c>
      <c r="AH2205" s="6" t="s">
        <v>15173</v>
      </c>
      <c r="AI2205" s="6" t="s">
        <v>104</v>
      </c>
      <c r="AJ2205" s="6" t="s">
        <v>16652</v>
      </c>
      <c r="AK2205" s="6" t="s">
        <v>16693</v>
      </c>
      <c r="AL2205" s="6" t="s">
        <v>16931</v>
      </c>
      <c r="AM2205" s="6" t="s">
        <v>18419</v>
      </c>
      <c r="AN2205" s="6" t="s">
        <v>18503</v>
      </c>
      <c r="AO2205" s="6" t="s">
        <v>18721</v>
      </c>
      <c r="AP2205" s="6" t="s">
        <v>104</v>
      </c>
      <c r="AQ2205" s="6" t="s">
        <v>104</v>
      </c>
      <c r="AR2205" s="6" t="s">
        <v>104</v>
      </c>
      <c r="AS2205" s="6" t="s">
        <v>104</v>
      </c>
      <c r="AT2205" s="6" t="s">
        <v>104</v>
      </c>
      <c r="AU2205" s="6" t="s">
        <v>104</v>
      </c>
      <c r="AV2205" s="6" t="s">
        <v>104</v>
      </c>
      <c r="AW2205" s="6" t="s">
        <v>104</v>
      </c>
      <c r="AX2205" s="6" t="s">
        <v>20662</v>
      </c>
      <c r="AY2205" s="6" t="s">
        <v>22434</v>
      </c>
      <c r="AZ2205" s="6" t="s">
        <v>24250</v>
      </c>
      <c r="BA2205" s="6" t="s">
        <v>104</v>
      </c>
      <c r="BB2205" s="6" t="s">
        <v>104</v>
      </c>
      <c r="BC2205" s="26"/>
      <c r="BD2205" s="26"/>
      <c r="BE2205" s="26"/>
      <c r="BF2205" s="26"/>
      <c r="BG2205" s="26"/>
      <c r="BH2205" s="26"/>
      <c r="BI2205" s="26"/>
      <c r="BJ2205" s="26"/>
      <c r="BK2205" s="26"/>
      <c r="BL2205" s="26"/>
      <c r="BM2205" s="26"/>
      <c r="BN2205" s="26" t="s">
        <v>24533</v>
      </c>
      <c r="BO2205" s="26"/>
      <c r="BP2205" s="16" t="n">
        <v>45705</v>
      </c>
      <c r="BQ2205" s="28" t="str">
        <f>HYPERLINK("https://organic.ams.usda.gov/Integrity/Certificate.aspx?cid=60&amp;nopid=2580002767")</f>
        <v>https://organic.ams.usda.gov/Integrity/Certificate.aspx?cid=60&amp;nopid=2580002767</v>
      </c>
    </row>
    <row r="2206">
      <c r="A2206" t="s">
        <v>3</v>
      </c>
      <c r="B2206" s="6" t="s">
        <v>29</v>
      </c>
      <c r="C2206" s="6" t="s">
        <v>95</v>
      </c>
      <c r="D2206" s="6" t="s">
        <v>160</v>
      </c>
      <c r="E2206" s="10" t="s">
        <v>2404</v>
      </c>
      <c r="F2206" s="6" t="s">
        <v>4605</v>
      </c>
      <c r="G2206" s="6" t="s">
        <v>104</v>
      </c>
      <c r="H2206" s="6" t="s">
        <v>6866</v>
      </c>
      <c r="I2206" s="6" t="s">
        <v>104</v>
      </c>
      <c r="J2206" s="6" t="s">
        <v>9682</v>
      </c>
      <c r="K2206" s="6" t="s">
        <v>9714</v>
      </c>
      <c r="L2206" s="16" t="n">
        <v>44918</v>
      </c>
      <c r="M2206" s="16" t="n">
        <v>45870</v>
      </c>
      <c r="N2206" s="6" t="s">
        <v>9714</v>
      </c>
      <c r="O2206" s="16" t="n">
        <v>44918</v>
      </c>
      <c r="P2206" s="6" t="s">
        <v>10276</v>
      </c>
      <c r="Q2206" s="6" t="s">
        <v>104</v>
      </c>
      <c r="R2206" s="6" t="s">
        <v>104</v>
      </c>
      <c r="S2206" s="6" t="s">
        <v>104</v>
      </c>
      <c r="T2206" s="21" t="s">
        <v>104</v>
      </c>
      <c r="U2206" s="6" t="s">
        <v>104</v>
      </c>
      <c r="V2206" s="6" t="s">
        <v>104</v>
      </c>
      <c r="W2206" s="6" t="s">
        <v>104</v>
      </c>
      <c r="X2206" s="6" t="s">
        <v>104</v>
      </c>
      <c r="Y2206" s="21" t="s">
        <v>104</v>
      </c>
      <c r="Z2206" s="6" t="s">
        <v>104</v>
      </c>
      <c r="AA2206" s="6" t="s">
        <v>104</v>
      </c>
      <c r="AB2206" s="6" t="s">
        <v>104</v>
      </c>
      <c r="AC2206" s="6" t="s">
        <v>104</v>
      </c>
      <c r="AD2206" s="21" t="s">
        <v>104</v>
      </c>
      <c r="AE2206" s="6" t="s">
        <v>104</v>
      </c>
      <c r="AF2206" s="6" t="s">
        <v>104</v>
      </c>
      <c r="AG2206" s="6" t="s">
        <v>104</v>
      </c>
      <c r="AH2206" s="6" t="s">
        <v>15174</v>
      </c>
      <c r="AI2206" s="6" t="s">
        <v>104</v>
      </c>
      <c r="AJ2206" s="6" t="s">
        <v>104</v>
      </c>
      <c r="AK2206" s="6" t="s">
        <v>15885</v>
      </c>
      <c r="AL2206" s="6" t="s">
        <v>16932</v>
      </c>
      <c r="AM2206" s="6" t="s">
        <v>18420</v>
      </c>
      <c r="AN2206" s="6" t="s">
        <v>104</v>
      </c>
      <c r="AO2206" s="6" t="s">
        <v>104</v>
      </c>
      <c r="AP2206" s="6" t="s">
        <v>104</v>
      </c>
      <c r="AQ2206" s="6" t="s">
        <v>104</v>
      </c>
      <c r="AR2206" s="6" t="s">
        <v>104</v>
      </c>
      <c r="AS2206" s="6" t="s">
        <v>104</v>
      </c>
      <c r="AT2206" s="6" t="s">
        <v>104</v>
      </c>
      <c r="AU2206" s="6" t="s">
        <v>104</v>
      </c>
      <c r="AV2206" s="6" t="s">
        <v>104</v>
      </c>
      <c r="AW2206" s="6" t="s">
        <v>104</v>
      </c>
      <c r="AX2206" s="6" t="s">
        <v>21809</v>
      </c>
      <c r="AY2206" s="6" t="s">
        <v>23644</v>
      </c>
      <c r="AZ2206" s="6" t="s">
        <v>104</v>
      </c>
      <c r="BA2206" s="6" t="s">
        <v>104</v>
      </c>
      <c r="BB2206" s="24" t="n">
        <v>6781</v>
      </c>
      <c r="BC2206" s="26"/>
      <c r="BD2206" s="26"/>
      <c r="BE2206" s="26"/>
      <c r="BF2206" s="26"/>
      <c r="BG2206" s="26"/>
      <c r="BH2206" s="26"/>
      <c r="BI2206" s="26"/>
      <c r="BJ2206" s="26"/>
      <c r="BK2206" s="26"/>
      <c r="BL2206" s="26"/>
      <c r="BM2206" s="26"/>
      <c r="BN2206" s="26"/>
      <c r="BO2206" s="26" t="s">
        <v>24533</v>
      </c>
      <c r="BP2206" s="16" t="n">
        <v>45554</v>
      </c>
      <c r="BQ2206" s="28" t="str">
        <f>HYPERLINK("https://organic.ams.usda.gov/Integrity/Certificate.aspx?cid=24&amp;nopid=7880272762")</f>
        <v>https://organic.ams.usda.gov/Integrity/Certificate.aspx?cid=24&amp;nopid=7880272762</v>
      </c>
    </row>
    <row r="2207">
      <c r="A2207" t="s">
        <v>3</v>
      </c>
      <c r="B2207" s="6" t="s">
        <v>29</v>
      </c>
      <c r="C2207" s="6" t="s">
        <v>95</v>
      </c>
      <c r="D2207" s="6" t="s">
        <v>160</v>
      </c>
      <c r="E2207" s="10" t="s">
        <v>2405</v>
      </c>
      <c r="F2207" s="6" t="s">
        <v>4606</v>
      </c>
      <c r="G2207" s="6" t="s">
        <v>104</v>
      </c>
      <c r="H2207" s="6" t="s">
        <v>6867</v>
      </c>
      <c r="I2207" s="6" t="s">
        <v>104</v>
      </c>
      <c r="J2207" s="6" t="s">
        <v>9682</v>
      </c>
      <c r="K2207" s="6" t="s">
        <v>9714</v>
      </c>
      <c r="L2207" s="16" t="n">
        <v>44926</v>
      </c>
      <c r="M2207" s="16" t="n">
        <v>45870</v>
      </c>
      <c r="N2207" s="6" t="s">
        <v>9714</v>
      </c>
      <c r="O2207" s="16" t="n">
        <v>44926</v>
      </c>
      <c r="P2207" s="6" t="s">
        <v>10277</v>
      </c>
      <c r="Q2207" s="6" t="s">
        <v>104</v>
      </c>
      <c r="R2207" s="6" t="s">
        <v>104</v>
      </c>
      <c r="S2207" s="6" t="s">
        <v>104</v>
      </c>
      <c r="T2207" s="21" t="s">
        <v>104</v>
      </c>
      <c r="U2207" s="6" t="s">
        <v>104</v>
      </c>
      <c r="V2207" s="6" t="s">
        <v>104</v>
      </c>
      <c r="W2207" s="6" t="s">
        <v>104</v>
      </c>
      <c r="X2207" s="6" t="s">
        <v>104</v>
      </c>
      <c r="Y2207" s="21" t="s">
        <v>104</v>
      </c>
      <c r="Z2207" s="6" t="s">
        <v>104</v>
      </c>
      <c r="AA2207" s="6" t="s">
        <v>104</v>
      </c>
      <c r="AB2207" s="6" t="s">
        <v>104</v>
      </c>
      <c r="AC2207" s="6" t="s">
        <v>104</v>
      </c>
      <c r="AD2207" s="21" t="s">
        <v>104</v>
      </c>
      <c r="AE2207" s="6" t="s">
        <v>104</v>
      </c>
      <c r="AF2207" s="6" t="s">
        <v>104</v>
      </c>
      <c r="AG2207" s="6" t="s">
        <v>104</v>
      </c>
      <c r="AH2207" s="6" t="s">
        <v>15175</v>
      </c>
      <c r="AI2207" s="6" t="s">
        <v>104</v>
      </c>
      <c r="AJ2207" s="6" t="s">
        <v>104</v>
      </c>
      <c r="AK2207" s="6" t="s">
        <v>15885</v>
      </c>
      <c r="AL2207" s="6" t="s">
        <v>16932</v>
      </c>
      <c r="AM2207" s="6" t="s">
        <v>18420</v>
      </c>
      <c r="AN2207" s="6" t="s">
        <v>104</v>
      </c>
      <c r="AO2207" s="6" t="s">
        <v>104</v>
      </c>
      <c r="AP2207" s="6" t="s">
        <v>104</v>
      </c>
      <c r="AQ2207" s="6" t="s">
        <v>104</v>
      </c>
      <c r="AR2207" s="6" t="s">
        <v>104</v>
      </c>
      <c r="AS2207" s="6" t="s">
        <v>104</v>
      </c>
      <c r="AT2207" s="6" t="s">
        <v>104</v>
      </c>
      <c r="AU2207" s="6" t="s">
        <v>104</v>
      </c>
      <c r="AV2207" s="6" t="s">
        <v>104</v>
      </c>
      <c r="AW2207" s="6" t="s">
        <v>104</v>
      </c>
      <c r="AX2207" s="6" t="s">
        <v>21809</v>
      </c>
      <c r="AY2207" s="6" t="s">
        <v>23644</v>
      </c>
      <c r="AZ2207" s="6" t="s">
        <v>104</v>
      </c>
      <c r="BA2207" s="6" t="s">
        <v>104</v>
      </c>
      <c r="BB2207" s="24" t="n">
        <v>5973</v>
      </c>
      <c r="BC2207" s="26"/>
      <c r="BD2207" s="26"/>
      <c r="BE2207" s="26"/>
      <c r="BF2207" s="26"/>
      <c r="BG2207" s="26"/>
      <c r="BH2207" s="26"/>
      <c r="BI2207" s="26"/>
      <c r="BJ2207" s="26"/>
      <c r="BK2207" s="26"/>
      <c r="BL2207" s="26"/>
      <c r="BM2207" s="26"/>
      <c r="BN2207" s="26"/>
      <c r="BO2207" s="26" t="s">
        <v>24533</v>
      </c>
      <c r="BP2207" s="16" t="n">
        <v>45554</v>
      </c>
      <c r="BQ2207" s="28" t="str">
        <f>HYPERLINK("https://organic.ams.usda.gov/Integrity/Certificate.aspx?cid=24&amp;nopid=7880272760")</f>
        <v>https://organic.ams.usda.gov/Integrity/Certificate.aspx?cid=24&amp;nopid=7880272760</v>
      </c>
    </row>
    <row r="2208">
      <c r="A2208" t="s">
        <v>3</v>
      </c>
      <c r="B2208" s="6" t="s">
        <v>29</v>
      </c>
      <c r="C2208" s="6" t="s">
        <v>95</v>
      </c>
      <c r="D2208" s="6" t="s">
        <v>160</v>
      </c>
      <c r="E2208" s="10" t="s">
        <v>2406</v>
      </c>
      <c r="F2208" s="6" t="s">
        <v>4607</v>
      </c>
      <c r="G2208" s="6" t="s">
        <v>104</v>
      </c>
      <c r="H2208" s="6" t="s">
        <v>6868</v>
      </c>
      <c r="I2208" s="6" t="s">
        <v>104</v>
      </c>
      <c r="J2208" s="6" t="s">
        <v>9682</v>
      </c>
      <c r="K2208" s="6" t="s">
        <v>9714</v>
      </c>
      <c r="L2208" s="16" t="n">
        <v>44928</v>
      </c>
      <c r="M2208" s="16" t="n">
        <v>45870</v>
      </c>
      <c r="N2208" s="6" t="s">
        <v>9714</v>
      </c>
      <c r="O2208" s="16" t="n">
        <v>44928</v>
      </c>
      <c r="P2208" s="6" t="s">
        <v>10277</v>
      </c>
      <c r="Q2208" s="6" t="s">
        <v>104</v>
      </c>
      <c r="R2208" s="6" t="s">
        <v>104</v>
      </c>
      <c r="S2208" s="6" t="s">
        <v>104</v>
      </c>
      <c r="T2208" s="21" t="s">
        <v>104</v>
      </c>
      <c r="U2208" s="6" t="s">
        <v>104</v>
      </c>
      <c r="V2208" s="6" t="s">
        <v>104</v>
      </c>
      <c r="W2208" s="6" t="s">
        <v>104</v>
      </c>
      <c r="X2208" s="6" t="s">
        <v>104</v>
      </c>
      <c r="Y2208" s="21" t="s">
        <v>104</v>
      </c>
      <c r="Z2208" s="6" t="s">
        <v>104</v>
      </c>
      <c r="AA2208" s="6" t="s">
        <v>104</v>
      </c>
      <c r="AB2208" s="6" t="s">
        <v>104</v>
      </c>
      <c r="AC2208" s="6" t="s">
        <v>104</v>
      </c>
      <c r="AD2208" s="21" t="s">
        <v>104</v>
      </c>
      <c r="AE2208" s="6" t="s">
        <v>104</v>
      </c>
      <c r="AF2208" s="6" t="s">
        <v>104</v>
      </c>
      <c r="AG2208" s="6" t="s">
        <v>104</v>
      </c>
      <c r="AH2208" s="6" t="s">
        <v>15176</v>
      </c>
      <c r="AI2208" s="6" t="s">
        <v>104</v>
      </c>
      <c r="AJ2208" s="6" t="s">
        <v>104</v>
      </c>
      <c r="AK2208" s="6" t="s">
        <v>15885</v>
      </c>
      <c r="AL2208" s="6" t="s">
        <v>16932</v>
      </c>
      <c r="AM2208" s="6" t="s">
        <v>18420</v>
      </c>
      <c r="AN2208" s="6" t="s">
        <v>104</v>
      </c>
      <c r="AO2208" s="6" t="s">
        <v>104</v>
      </c>
      <c r="AP2208" s="6" t="s">
        <v>104</v>
      </c>
      <c r="AQ2208" s="6" t="s">
        <v>104</v>
      </c>
      <c r="AR2208" s="6" t="s">
        <v>104</v>
      </c>
      <c r="AS2208" s="6" t="s">
        <v>104</v>
      </c>
      <c r="AT2208" s="6" t="s">
        <v>104</v>
      </c>
      <c r="AU2208" s="6" t="s">
        <v>104</v>
      </c>
      <c r="AV2208" s="6" t="s">
        <v>104</v>
      </c>
      <c r="AW2208" s="6" t="s">
        <v>104</v>
      </c>
      <c r="AX2208" s="6" t="s">
        <v>21809</v>
      </c>
      <c r="AY2208" s="6" t="s">
        <v>23644</v>
      </c>
      <c r="AZ2208" s="6" t="s">
        <v>104</v>
      </c>
      <c r="BA2208" s="6" t="s">
        <v>104</v>
      </c>
      <c r="BB2208" s="24" t="n">
        <v>5416</v>
      </c>
      <c r="BC2208" s="26"/>
      <c r="BD2208" s="26"/>
      <c r="BE2208" s="26"/>
      <c r="BF2208" s="26"/>
      <c r="BG2208" s="26"/>
      <c r="BH2208" s="26"/>
      <c r="BI2208" s="26"/>
      <c r="BJ2208" s="26"/>
      <c r="BK2208" s="26"/>
      <c r="BL2208" s="26"/>
      <c r="BM2208" s="26"/>
      <c r="BN2208" s="26"/>
      <c r="BO2208" s="26" t="s">
        <v>24533</v>
      </c>
      <c r="BP2208" s="16" t="n">
        <v>45554</v>
      </c>
      <c r="BQ2208" s="28" t="str">
        <f>HYPERLINK("https://organic.ams.usda.gov/Integrity/Certificate.aspx?cid=24&amp;nopid=7880272764")</f>
        <v>https://organic.ams.usda.gov/Integrity/Certificate.aspx?cid=24&amp;nopid=7880272764</v>
      </c>
    </row>
    <row r="2209">
      <c r="A2209" t="s">
        <v>3</v>
      </c>
      <c r="B2209" s="6" t="s">
        <v>34</v>
      </c>
      <c r="C2209" s="6" t="s">
        <v>100</v>
      </c>
      <c r="D2209" s="6" t="s">
        <v>165</v>
      </c>
      <c r="E2209" s="10" t="s">
        <v>2407</v>
      </c>
      <c r="F2209" s="6" t="s">
        <v>4608</v>
      </c>
      <c r="G2209" s="6" t="s">
        <v>104</v>
      </c>
      <c r="H2209" s="6" t="s">
        <v>6869</v>
      </c>
      <c r="I2209" s="6" t="s">
        <v>7416</v>
      </c>
      <c r="J2209" s="6" t="s">
        <v>9683</v>
      </c>
      <c r="K2209" s="6" t="s">
        <v>9714</v>
      </c>
      <c r="L2209" s="16" t="n">
        <v>37375</v>
      </c>
      <c r="M2209" s="16" t="n">
        <v>45876</v>
      </c>
      <c r="N2209" s="6" t="s">
        <v>104</v>
      </c>
      <c r="O2209" s="21" t="s">
        <v>104</v>
      </c>
      <c r="P2209" s="6" t="s">
        <v>104</v>
      </c>
      <c r="Q2209" s="6" t="s">
        <v>104</v>
      </c>
      <c r="R2209" s="6" t="s">
        <v>104</v>
      </c>
      <c r="S2209" s="6" t="s">
        <v>104</v>
      </c>
      <c r="T2209" s="21" t="s">
        <v>104</v>
      </c>
      <c r="U2209" s="6" t="s">
        <v>104</v>
      </c>
      <c r="V2209" s="6" t="s">
        <v>104</v>
      </c>
      <c r="W2209" s="6" t="s">
        <v>104</v>
      </c>
      <c r="X2209" s="6" t="s">
        <v>104</v>
      </c>
      <c r="Y2209" s="21" t="s">
        <v>104</v>
      </c>
      <c r="Z2209" s="6" t="s">
        <v>104</v>
      </c>
      <c r="AA2209" s="6" t="s">
        <v>104</v>
      </c>
      <c r="AB2209" s="6" t="s">
        <v>104</v>
      </c>
      <c r="AC2209" s="6" t="s">
        <v>9714</v>
      </c>
      <c r="AD2209" s="16" t="n">
        <v>37375</v>
      </c>
      <c r="AE2209" s="6" t="s">
        <v>12439</v>
      </c>
      <c r="AF2209" s="6" t="s">
        <v>104</v>
      </c>
      <c r="AG2209" s="6" t="s">
        <v>13139</v>
      </c>
      <c r="AH2209" s="6" t="s">
        <v>15177</v>
      </c>
      <c r="AI2209" s="6" t="s">
        <v>104</v>
      </c>
      <c r="AJ2209" s="6" t="s">
        <v>16575</v>
      </c>
      <c r="AK2209" s="6" t="s">
        <v>16689</v>
      </c>
      <c r="AL2209" s="6" t="s">
        <v>16931</v>
      </c>
      <c r="AM2209" s="6" t="s">
        <v>18421</v>
      </c>
      <c r="AN2209" s="6" t="s">
        <v>18494</v>
      </c>
      <c r="AO2209" s="6" t="s">
        <v>18559</v>
      </c>
      <c r="AP2209" s="6" t="s">
        <v>15177</v>
      </c>
      <c r="AQ2209" s="6" t="s">
        <v>104</v>
      </c>
      <c r="AR2209" s="6" t="s">
        <v>16575</v>
      </c>
      <c r="AS2209" s="6" t="s">
        <v>16689</v>
      </c>
      <c r="AT2209" s="6" t="s">
        <v>16931</v>
      </c>
      <c r="AU2209" s="6" t="s">
        <v>18421</v>
      </c>
      <c r="AV2209" s="6" t="s">
        <v>104</v>
      </c>
      <c r="AW2209" s="6" t="s">
        <v>104</v>
      </c>
      <c r="AX2209" s="6" t="s">
        <v>21810</v>
      </c>
      <c r="AY2209" s="6" t="s">
        <v>23645</v>
      </c>
      <c r="AZ2209" s="6" t="s">
        <v>104</v>
      </c>
      <c r="BA2209" s="6" t="s">
        <v>104</v>
      </c>
      <c r="BB2209" s="6" t="s">
        <v>104</v>
      </c>
      <c r="BC2209" s="26"/>
      <c r="BD2209" s="26"/>
      <c r="BE2209" s="26"/>
      <c r="BF2209" s="26"/>
      <c r="BG2209" s="26" t="s">
        <v>24533</v>
      </c>
      <c r="BH2209" s="26"/>
      <c r="BI2209" s="26"/>
      <c r="BJ2209" s="26"/>
      <c r="BK2209" s="26"/>
      <c r="BL2209" s="26"/>
      <c r="BM2209" s="26"/>
      <c r="BN2209" s="26"/>
      <c r="BO2209" s="26"/>
      <c r="BP2209" s="16" t="n">
        <v>45737</v>
      </c>
      <c r="BQ2209" s="28" t="str">
        <f>HYPERLINK("https://organic.ams.usda.gov/Integrity/Certificate.aspx?cid=71&amp;nopid=5520030595")</f>
        <v>https://organic.ams.usda.gov/Integrity/Certificate.aspx?cid=71&amp;nopid=5520030595</v>
      </c>
    </row>
    <row r="2210">
      <c r="A2210" t="s">
        <v>3</v>
      </c>
      <c r="B2210" s="6" t="s">
        <v>6</v>
      </c>
      <c r="C2210" s="6" t="s">
        <v>72</v>
      </c>
      <c r="D2210" s="6" t="s">
        <v>137</v>
      </c>
      <c r="E2210" s="10" t="s">
        <v>2408</v>
      </c>
      <c r="F2210" s="6" t="s">
        <v>4609</v>
      </c>
      <c r="G2210" s="6" t="s">
        <v>104</v>
      </c>
      <c r="H2210" s="6" t="s">
        <v>6870</v>
      </c>
      <c r="I2210" s="6" t="s">
        <v>8107</v>
      </c>
      <c r="J2210" s="6" t="s">
        <v>104</v>
      </c>
      <c r="K2210" s="6" t="s">
        <v>9714</v>
      </c>
      <c r="L2210" s="16" t="n">
        <v>44541</v>
      </c>
      <c r="M2210" s="16" t="n">
        <v>45993</v>
      </c>
      <c r="N2210" s="6" t="s">
        <v>104</v>
      </c>
      <c r="O2210" s="21" t="s">
        <v>104</v>
      </c>
      <c r="P2210" s="6" t="s">
        <v>104</v>
      </c>
      <c r="Q2210" s="6" t="s">
        <v>104</v>
      </c>
      <c r="R2210" s="6" t="s">
        <v>104</v>
      </c>
      <c r="S2210" s="6" t="s">
        <v>104</v>
      </c>
      <c r="T2210" s="21" t="s">
        <v>104</v>
      </c>
      <c r="U2210" s="6" t="s">
        <v>104</v>
      </c>
      <c r="V2210" s="6" t="s">
        <v>104</v>
      </c>
      <c r="W2210" s="6" t="s">
        <v>104</v>
      </c>
      <c r="X2210" s="6" t="s">
        <v>104</v>
      </c>
      <c r="Y2210" s="21" t="s">
        <v>104</v>
      </c>
      <c r="Z2210" s="6" t="s">
        <v>104</v>
      </c>
      <c r="AA2210" s="6" t="s">
        <v>104</v>
      </c>
      <c r="AB2210" s="6" t="s">
        <v>104</v>
      </c>
      <c r="AC2210" s="6" t="s">
        <v>9714</v>
      </c>
      <c r="AD2210" s="16" t="n">
        <v>44541</v>
      </c>
      <c r="AE2210" s="6" t="s">
        <v>12440</v>
      </c>
      <c r="AF2210" s="6" t="s">
        <v>104</v>
      </c>
      <c r="AG2210" s="6" t="s">
        <v>13140</v>
      </c>
      <c r="AH2210" s="6" t="s">
        <v>15178</v>
      </c>
      <c r="AI2210" s="6" t="s">
        <v>104</v>
      </c>
      <c r="AJ2210" s="6" t="s">
        <v>15491</v>
      </c>
      <c r="AK2210" s="6" t="s">
        <v>16922</v>
      </c>
      <c r="AL2210" s="6" t="s">
        <v>16766</v>
      </c>
      <c r="AM2210" s="6" t="s">
        <v>104</v>
      </c>
      <c r="AN2210" s="6" t="s">
        <v>104</v>
      </c>
      <c r="AO2210" s="6" t="s">
        <v>104</v>
      </c>
      <c r="AP2210" s="6" t="s">
        <v>104</v>
      </c>
      <c r="AQ2210" s="6" t="s">
        <v>104</v>
      </c>
      <c r="AR2210" s="6" t="s">
        <v>104</v>
      </c>
      <c r="AS2210" s="6" t="s">
        <v>104</v>
      </c>
      <c r="AT2210" s="6" t="s">
        <v>104</v>
      </c>
      <c r="AU2210" s="6" t="s">
        <v>104</v>
      </c>
      <c r="AV2210" s="6" t="s">
        <v>104</v>
      </c>
      <c r="AW2210" s="6" t="s">
        <v>104</v>
      </c>
      <c r="AX2210" s="6" t="s">
        <v>21811</v>
      </c>
      <c r="AY2210" s="6" t="s">
        <v>23646</v>
      </c>
      <c r="AZ2210" s="6" t="s">
        <v>104</v>
      </c>
      <c r="BA2210" s="6" t="s">
        <v>24526</v>
      </c>
      <c r="BB2210" s="6" t="s">
        <v>104</v>
      </c>
      <c r="BC2210" s="26"/>
      <c r="BD2210" s="26"/>
      <c r="BE2210" s="26"/>
      <c r="BF2210" s="26"/>
      <c r="BG2210" s="26"/>
      <c r="BH2210" s="26"/>
      <c r="BI2210" s="26"/>
      <c r="BJ2210" s="26"/>
      <c r="BK2210" s="26"/>
      <c r="BL2210" s="26"/>
      <c r="BM2210" s="26"/>
      <c r="BN2210" s="26"/>
      <c r="BO2210" s="26"/>
      <c r="BP2210" s="16" t="n">
        <v>45737</v>
      </c>
      <c r="BQ2210" s="28" t="str">
        <f>HYPERLINK("https://organic.ams.usda.gov/Integrity/Certificate.aspx?cid=32&amp;nopid=2230009153")</f>
        <v>https://organic.ams.usda.gov/Integrity/Certificate.aspx?cid=32&amp;nopid=2230009153</v>
      </c>
    </row>
    <row r="2211">
      <c r="A2211" t="s">
        <v>3</v>
      </c>
      <c r="B2211" s="6" t="s">
        <v>21</v>
      </c>
      <c r="C2211" s="6" t="s">
        <v>87</v>
      </c>
      <c r="D2211" s="6" t="s">
        <v>152</v>
      </c>
      <c r="E2211" s="10" t="s">
        <v>2409</v>
      </c>
      <c r="F2211" s="6" t="s">
        <v>4610</v>
      </c>
      <c r="G2211" s="6" t="s">
        <v>104</v>
      </c>
      <c r="H2211" s="6" t="s">
        <v>6871</v>
      </c>
      <c r="I2211" s="6" t="s">
        <v>7032</v>
      </c>
      <c r="J2211" s="6" t="s">
        <v>9684</v>
      </c>
      <c r="K2211" s="6" t="s">
        <v>9714</v>
      </c>
      <c r="L2211" s="16" t="n">
        <v>45622</v>
      </c>
      <c r="M2211" s="16" t="n">
        <v>46023</v>
      </c>
      <c r="N2211" s="6" t="s">
        <v>104</v>
      </c>
      <c r="O2211" s="21" t="s">
        <v>104</v>
      </c>
      <c r="P2211" s="6" t="s">
        <v>104</v>
      </c>
      <c r="Q2211" s="6" t="s">
        <v>104</v>
      </c>
      <c r="R2211" s="6" t="s">
        <v>104</v>
      </c>
      <c r="S2211" s="6" t="s">
        <v>104</v>
      </c>
      <c r="T2211" s="21" t="s">
        <v>104</v>
      </c>
      <c r="U2211" s="6" t="s">
        <v>104</v>
      </c>
      <c r="V2211" s="6" t="s">
        <v>104</v>
      </c>
      <c r="W2211" s="6" t="s">
        <v>104</v>
      </c>
      <c r="X2211" s="6" t="s">
        <v>104</v>
      </c>
      <c r="Y2211" s="21" t="s">
        <v>104</v>
      </c>
      <c r="Z2211" s="6" t="s">
        <v>104</v>
      </c>
      <c r="AA2211" s="6" t="s">
        <v>104</v>
      </c>
      <c r="AB2211" s="6" t="s">
        <v>104</v>
      </c>
      <c r="AC2211" s="6" t="s">
        <v>9714</v>
      </c>
      <c r="AD2211" s="16" t="n">
        <v>45622</v>
      </c>
      <c r="AE2211" s="6" t="s">
        <v>12441</v>
      </c>
      <c r="AF2211" s="6" t="s">
        <v>104</v>
      </c>
      <c r="AG2211" s="6" t="s">
        <v>104</v>
      </c>
      <c r="AH2211" s="6" t="s">
        <v>15179</v>
      </c>
      <c r="AI2211" s="6" t="s">
        <v>104</v>
      </c>
      <c r="AJ2211" s="6" t="s">
        <v>16653</v>
      </c>
      <c r="AK2211" s="6" t="s">
        <v>16687</v>
      </c>
      <c r="AL2211" s="6" t="s">
        <v>16931</v>
      </c>
      <c r="AM2211" s="6" t="s">
        <v>18422</v>
      </c>
      <c r="AN2211" s="6" t="s">
        <v>104</v>
      </c>
      <c r="AO2211" s="6" t="s">
        <v>104</v>
      </c>
      <c r="AP2211" s="6" t="s">
        <v>15179</v>
      </c>
      <c r="AQ2211" s="6" t="s">
        <v>104</v>
      </c>
      <c r="AR2211" s="6" t="s">
        <v>16653</v>
      </c>
      <c r="AS2211" s="6" t="s">
        <v>16687</v>
      </c>
      <c r="AT2211" s="6" t="s">
        <v>16931</v>
      </c>
      <c r="AU2211" s="6" t="s">
        <v>18422</v>
      </c>
      <c r="AV2211" s="6" t="s">
        <v>104</v>
      </c>
      <c r="AW2211" s="6" t="s">
        <v>104</v>
      </c>
      <c r="AX2211" s="6" t="s">
        <v>21812</v>
      </c>
      <c r="AY2211" s="6" t="s">
        <v>23647</v>
      </c>
      <c r="AZ2211" s="6" t="s">
        <v>24251</v>
      </c>
      <c r="BA2211" s="6" t="s">
        <v>24527</v>
      </c>
      <c r="BB2211" s="6" t="s">
        <v>104</v>
      </c>
      <c r="BC2211" s="26"/>
      <c r="BD2211" s="26"/>
      <c r="BE2211" s="26"/>
      <c r="BF2211" s="26"/>
      <c r="BG2211" s="26"/>
      <c r="BH2211" s="26"/>
      <c r="BI2211" s="26"/>
      <c r="BJ2211" s="26"/>
      <c r="BK2211" s="26"/>
      <c r="BL2211" s="26"/>
      <c r="BM2211" s="26"/>
      <c r="BN2211" s="26"/>
      <c r="BO2211" s="26"/>
      <c r="BP2211" s="16" t="n">
        <v>45667</v>
      </c>
      <c r="BQ2211" s="28" t="str">
        <f>HYPERLINK("https://organic.ams.usda.gov/Integrity/Certificate.aspx?cid=15&amp;nopid=5561008410")</f>
        <v>https://organic.ams.usda.gov/Integrity/Certificate.aspx?cid=15&amp;nopid=5561008410</v>
      </c>
    </row>
    <row r="2212">
      <c r="A2212" t="s">
        <v>3</v>
      </c>
      <c r="B2212" s="6" t="s">
        <v>7</v>
      </c>
      <c r="C2212" s="6" t="s">
        <v>73</v>
      </c>
      <c r="D2212" s="6" t="s">
        <v>138</v>
      </c>
      <c r="E2212" s="10" t="s">
        <v>2410</v>
      </c>
      <c r="F2212" s="6" t="s">
        <v>4611</v>
      </c>
      <c r="G2212" s="6" t="s">
        <v>104</v>
      </c>
      <c r="H2212" s="6" t="s">
        <v>6872</v>
      </c>
      <c r="I2212" s="6" t="s">
        <v>7861</v>
      </c>
      <c r="J2212" s="6" t="s">
        <v>9685</v>
      </c>
      <c r="K2212" s="6" t="s">
        <v>9714</v>
      </c>
      <c r="L2212" s="16" t="n">
        <v>42199</v>
      </c>
      <c r="M2212" s="16" t="n">
        <v>45931</v>
      </c>
      <c r="N2212" s="6" t="s">
        <v>104</v>
      </c>
      <c r="O2212" s="21" t="s">
        <v>104</v>
      </c>
      <c r="P2212" s="6" t="s">
        <v>104</v>
      </c>
      <c r="Q2212" s="6" t="s">
        <v>104</v>
      </c>
      <c r="R2212" s="6" t="s">
        <v>104</v>
      </c>
      <c r="S2212" s="6" t="s">
        <v>104</v>
      </c>
      <c r="T2212" s="21" t="s">
        <v>104</v>
      </c>
      <c r="U2212" s="6" t="s">
        <v>104</v>
      </c>
      <c r="V2212" s="6" t="s">
        <v>104</v>
      </c>
      <c r="W2212" s="6" t="s">
        <v>104</v>
      </c>
      <c r="X2212" s="6" t="s">
        <v>104</v>
      </c>
      <c r="Y2212" s="21" t="s">
        <v>104</v>
      </c>
      <c r="Z2212" s="6" t="s">
        <v>104</v>
      </c>
      <c r="AA2212" s="6" t="s">
        <v>104</v>
      </c>
      <c r="AB2212" s="6" t="s">
        <v>104</v>
      </c>
      <c r="AC2212" s="6" t="s">
        <v>9714</v>
      </c>
      <c r="AD2212" s="16" t="n">
        <v>42199</v>
      </c>
      <c r="AE2212" s="6" t="s">
        <v>12442</v>
      </c>
      <c r="AF2212" s="6" t="s">
        <v>104</v>
      </c>
      <c r="AG2212" s="6" t="s">
        <v>104</v>
      </c>
      <c r="AH2212" s="6" t="s">
        <v>15180</v>
      </c>
      <c r="AI2212" s="6" t="s">
        <v>104</v>
      </c>
      <c r="AJ2212" s="6" t="s">
        <v>15360</v>
      </c>
      <c r="AK2212" s="6" t="s">
        <v>16678</v>
      </c>
      <c r="AL2212" s="6" t="s">
        <v>16931</v>
      </c>
      <c r="AM2212" s="6" t="s">
        <v>16987</v>
      </c>
      <c r="AN2212" s="6" t="s">
        <v>18456</v>
      </c>
      <c r="AO2212" s="6" t="s">
        <v>18935</v>
      </c>
      <c r="AP2212" s="6" t="s">
        <v>15180</v>
      </c>
      <c r="AQ2212" s="6" t="s">
        <v>104</v>
      </c>
      <c r="AR2212" s="6" t="s">
        <v>15360</v>
      </c>
      <c r="AS2212" s="6" t="s">
        <v>16678</v>
      </c>
      <c r="AT2212" s="6" t="s">
        <v>16931</v>
      </c>
      <c r="AU2212" s="6" t="s">
        <v>16987</v>
      </c>
      <c r="AV2212" s="6" t="s">
        <v>18456</v>
      </c>
      <c r="AW2212" s="6" t="s">
        <v>18935</v>
      </c>
      <c r="AX2212" s="6" t="s">
        <v>21813</v>
      </c>
      <c r="AY2212" s="6" t="s">
        <v>23648</v>
      </c>
      <c r="AZ2212" s="6" t="s">
        <v>104</v>
      </c>
      <c r="BA2212" s="6" t="s">
        <v>104</v>
      </c>
      <c r="BB2212" s="24" t="n">
        <v>0</v>
      </c>
      <c r="BC2212" s="26"/>
      <c r="BD2212" s="26"/>
      <c r="BE2212" s="26"/>
      <c r="BF2212" s="26"/>
      <c r="BG2212" s="26"/>
      <c r="BH2212" s="26"/>
      <c r="BI2212" s="26"/>
      <c r="BJ2212" s="26"/>
      <c r="BK2212" s="26"/>
      <c r="BL2212" s="26"/>
      <c r="BM2212" s="26"/>
      <c r="BN2212" s="26"/>
      <c r="BO2212" s="26"/>
      <c r="BP2212" s="16" t="n">
        <v>45643</v>
      </c>
      <c r="BQ2212" s="28" t="str">
        <f>HYPERLINK("https://organic.ams.usda.gov/Integrity/Certificate.aspx?cid=33&amp;nopid=2170047930")</f>
        <v>https://organic.ams.usda.gov/Integrity/Certificate.aspx?cid=33&amp;nopid=2170047930</v>
      </c>
    </row>
    <row r="2213">
      <c r="A2213" t="s">
        <v>3</v>
      </c>
      <c r="B2213" s="6" t="s">
        <v>18</v>
      </c>
      <c r="C2213" s="6" t="s">
        <v>84</v>
      </c>
      <c r="D2213" s="6" t="s">
        <v>149</v>
      </c>
      <c r="E2213" s="10" t="s">
        <v>2411</v>
      </c>
      <c r="F2213" s="6" t="s">
        <v>4612</v>
      </c>
      <c r="G2213" s="6" t="s">
        <v>104</v>
      </c>
      <c r="H2213" s="6" t="s">
        <v>6873</v>
      </c>
      <c r="I2213" s="6" t="s">
        <v>7899</v>
      </c>
      <c r="J2213" s="6" t="s">
        <v>9686</v>
      </c>
      <c r="K2213" s="6" t="s">
        <v>9714</v>
      </c>
      <c r="L2213" s="16" t="n">
        <v>41127</v>
      </c>
      <c r="M2213" s="16" t="n">
        <v>45870</v>
      </c>
      <c r="N2213" s="6" t="s">
        <v>104</v>
      </c>
      <c r="O2213" s="21" t="s">
        <v>104</v>
      </c>
      <c r="P2213" s="6" t="s">
        <v>104</v>
      </c>
      <c r="Q2213" s="6" t="s">
        <v>104</v>
      </c>
      <c r="R2213" s="6" t="s">
        <v>104</v>
      </c>
      <c r="S2213" s="6" t="s">
        <v>104</v>
      </c>
      <c r="T2213" s="21" t="s">
        <v>104</v>
      </c>
      <c r="U2213" s="6" t="s">
        <v>104</v>
      </c>
      <c r="V2213" s="6" t="s">
        <v>104</v>
      </c>
      <c r="W2213" s="6" t="s">
        <v>104</v>
      </c>
      <c r="X2213" s="6" t="s">
        <v>104</v>
      </c>
      <c r="Y2213" s="21" t="s">
        <v>104</v>
      </c>
      <c r="Z2213" s="6" t="s">
        <v>104</v>
      </c>
      <c r="AA2213" s="6" t="s">
        <v>104</v>
      </c>
      <c r="AB2213" s="6" t="s">
        <v>104</v>
      </c>
      <c r="AC2213" s="6" t="s">
        <v>9714</v>
      </c>
      <c r="AD2213" s="16" t="n">
        <v>41127</v>
      </c>
      <c r="AE2213" s="6" t="s">
        <v>12443</v>
      </c>
      <c r="AF2213" s="6" t="s">
        <v>104</v>
      </c>
      <c r="AG2213" s="6" t="s">
        <v>13141</v>
      </c>
      <c r="AH2213" s="6" t="s">
        <v>15181</v>
      </c>
      <c r="AI2213" s="6" t="s">
        <v>104</v>
      </c>
      <c r="AJ2213" s="6" t="s">
        <v>16367</v>
      </c>
      <c r="AK2213" s="6" t="s">
        <v>16679</v>
      </c>
      <c r="AL2213" s="6" t="s">
        <v>16931</v>
      </c>
      <c r="AM2213" s="6" t="s">
        <v>18062</v>
      </c>
      <c r="AN2213" s="6" t="s">
        <v>18525</v>
      </c>
      <c r="AO2213" s="6" t="s">
        <v>18866</v>
      </c>
      <c r="AP2213" s="6" t="s">
        <v>19536</v>
      </c>
      <c r="AQ2213" s="6" t="s">
        <v>104</v>
      </c>
      <c r="AR2213" s="6" t="s">
        <v>16367</v>
      </c>
      <c r="AS2213" s="6" t="s">
        <v>16679</v>
      </c>
      <c r="AT2213" s="6" t="s">
        <v>16931</v>
      </c>
      <c r="AU2213" s="6" t="s">
        <v>18062</v>
      </c>
      <c r="AV2213" s="6" t="s">
        <v>104</v>
      </c>
      <c r="AW2213" s="6" t="s">
        <v>104</v>
      </c>
      <c r="AX2213" s="6" t="s">
        <v>21814</v>
      </c>
      <c r="AY2213" s="6" t="s">
        <v>23649</v>
      </c>
      <c r="AZ2213" s="6" t="s">
        <v>104</v>
      </c>
      <c r="BA2213" s="6" t="s">
        <v>104</v>
      </c>
      <c r="BB2213" s="6" t="s">
        <v>104</v>
      </c>
      <c r="BC2213" s="26"/>
      <c r="BD2213" s="26"/>
      <c r="BE2213" s="26"/>
      <c r="BF2213" s="26"/>
      <c r="BG2213" s="26"/>
      <c r="BH2213" s="26"/>
      <c r="BI2213" s="26"/>
      <c r="BJ2213" s="26"/>
      <c r="BK2213" s="26"/>
      <c r="BL2213" s="26"/>
      <c r="BM2213" s="26"/>
      <c r="BN2213" s="26"/>
      <c r="BO2213" s="26"/>
      <c r="BP2213" s="16" t="n">
        <v>45737</v>
      </c>
      <c r="BQ2213" s="28" t="str">
        <f>HYPERLINK("https://organic.ams.usda.gov/Integrity/Certificate.aspx?cid=31&amp;nopid=3928971171")</f>
        <v>https://organic.ams.usda.gov/Integrity/Certificate.aspx?cid=31&amp;nopid=3928971171</v>
      </c>
    </row>
    <row r="2214">
      <c r="A2214" t="s">
        <v>3</v>
      </c>
      <c r="B2214" s="6" t="s">
        <v>57</v>
      </c>
      <c r="C2214" s="6" t="s">
        <v>123</v>
      </c>
      <c r="D2214" s="6" t="s">
        <v>187</v>
      </c>
      <c r="E2214" s="10" t="s">
        <v>2412</v>
      </c>
      <c r="F2214" s="6" t="s">
        <v>4613</v>
      </c>
      <c r="G2214" s="6" t="s">
        <v>4890</v>
      </c>
      <c r="H2214" s="6" t="s">
        <v>6874</v>
      </c>
      <c r="I2214" s="6" t="s">
        <v>8108</v>
      </c>
      <c r="J2214" s="6" t="s">
        <v>9687</v>
      </c>
      <c r="K2214" s="6" t="s">
        <v>9714</v>
      </c>
      <c r="L2214" s="16" t="n">
        <v>45295</v>
      </c>
      <c r="M2214" s="16" t="n">
        <v>45931</v>
      </c>
      <c r="N2214" s="6" t="s">
        <v>104</v>
      </c>
      <c r="O2214" s="21" t="s">
        <v>104</v>
      </c>
      <c r="P2214" s="6" t="s">
        <v>104</v>
      </c>
      <c r="Q2214" s="6" t="s">
        <v>104</v>
      </c>
      <c r="R2214" s="6" t="s">
        <v>104</v>
      </c>
      <c r="S2214" s="6" t="s">
        <v>104</v>
      </c>
      <c r="T2214" s="21" t="s">
        <v>104</v>
      </c>
      <c r="U2214" s="6" t="s">
        <v>104</v>
      </c>
      <c r="V2214" s="6" t="s">
        <v>104</v>
      </c>
      <c r="W2214" s="6" t="s">
        <v>104</v>
      </c>
      <c r="X2214" s="6" t="s">
        <v>104</v>
      </c>
      <c r="Y2214" s="21" t="s">
        <v>104</v>
      </c>
      <c r="Z2214" s="6" t="s">
        <v>104</v>
      </c>
      <c r="AA2214" s="6" t="s">
        <v>104</v>
      </c>
      <c r="AB2214" s="6" t="s">
        <v>104</v>
      </c>
      <c r="AC2214" s="6" t="s">
        <v>9714</v>
      </c>
      <c r="AD2214" s="16" t="n">
        <v>45295</v>
      </c>
      <c r="AE2214" s="6" t="s">
        <v>12444</v>
      </c>
      <c r="AF2214" s="6" t="s">
        <v>104</v>
      </c>
      <c r="AG2214" s="6" t="s">
        <v>104</v>
      </c>
      <c r="AH2214" s="6" t="s">
        <v>15182</v>
      </c>
      <c r="AI2214" s="6" t="s">
        <v>104</v>
      </c>
      <c r="AJ2214" s="6" t="s">
        <v>16654</v>
      </c>
      <c r="AK2214" s="6" t="s">
        <v>16730</v>
      </c>
      <c r="AL2214" s="6" t="s">
        <v>16931</v>
      </c>
      <c r="AM2214" s="6" t="s">
        <v>18423</v>
      </c>
      <c r="AN2214" s="6" t="s">
        <v>18477</v>
      </c>
      <c r="AO2214" s="6" t="s">
        <v>18710</v>
      </c>
      <c r="AP2214" s="6" t="s">
        <v>15182</v>
      </c>
      <c r="AQ2214" s="6" t="s">
        <v>104</v>
      </c>
      <c r="AR2214" s="6" t="s">
        <v>16654</v>
      </c>
      <c r="AS2214" s="6" t="s">
        <v>16730</v>
      </c>
      <c r="AT2214" s="6" t="s">
        <v>16931</v>
      </c>
      <c r="AU2214" s="6" t="s">
        <v>18423</v>
      </c>
      <c r="AV2214" s="6" t="s">
        <v>104</v>
      </c>
      <c r="AW2214" s="6" t="s">
        <v>104</v>
      </c>
      <c r="AX2214" s="6" t="s">
        <v>21815</v>
      </c>
      <c r="AY2214" s="6" t="s">
        <v>23650</v>
      </c>
      <c r="AZ2214" s="6" t="s">
        <v>104</v>
      </c>
      <c r="BA2214" s="6" t="s">
        <v>104</v>
      </c>
      <c r="BB2214" s="6" t="s">
        <v>104</v>
      </c>
      <c r="BC2214" s="26"/>
      <c r="BD2214" s="26"/>
      <c r="BE2214" s="26"/>
      <c r="BF2214" s="26"/>
      <c r="BG2214" s="26"/>
      <c r="BH2214" s="26"/>
      <c r="BI2214" s="26"/>
      <c r="BJ2214" s="26"/>
      <c r="BK2214" s="26"/>
      <c r="BL2214" s="26"/>
      <c r="BM2214" s="26"/>
      <c r="BN2214" s="26"/>
      <c r="BO2214" s="26"/>
      <c r="BP2214" s="16" t="n">
        <v>45735</v>
      </c>
      <c r="BQ2214" s="28" t="str">
        <f>HYPERLINK("https://organic.ams.usda.gov/Integrity/Certificate.aspx?cid=19&amp;nopid=6352006259")</f>
        <v>https://organic.ams.usda.gov/Integrity/Certificate.aspx?cid=19&amp;nopid=6352006259</v>
      </c>
    </row>
    <row r="2215">
      <c r="A2215" t="s">
        <v>3</v>
      </c>
      <c r="B2215" s="6" t="s">
        <v>12</v>
      </c>
      <c r="C2215" s="6" t="s">
        <v>78</v>
      </c>
      <c r="D2215" s="6" t="s">
        <v>143</v>
      </c>
      <c r="E2215" s="10" t="s">
        <v>2413</v>
      </c>
      <c r="F2215" s="6" t="s">
        <v>4614</v>
      </c>
      <c r="G2215" s="6" t="s">
        <v>104</v>
      </c>
      <c r="H2215" s="6" t="s">
        <v>104</v>
      </c>
      <c r="I2215" s="6" t="s">
        <v>8109</v>
      </c>
      <c r="J2215" s="6" t="s">
        <v>7966</v>
      </c>
      <c r="K2215" s="6" t="s">
        <v>9714</v>
      </c>
      <c r="L2215" s="16" t="n">
        <v>44606</v>
      </c>
      <c r="M2215" s="16" t="n">
        <v>45717</v>
      </c>
      <c r="N2215" s="6" t="s">
        <v>104</v>
      </c>
      <c r="O2215" s="21" t="s">
        <v>104</v>
      </c>
      <c r="P2215" s="6" t="s">
        <v>104</v>
      </c>
      <c r="Q2215" s="6" t="s">
        <v>104</v>
      </c>
      <c r="R2215" s="6" t="s">
        <v>104</v>
      </c>
      <c r="S2215" s="6" t="s">
        <v>104</v>
      </c>
      <c r="T2215" s="21" t="s">
        <v>104</v>
      </c>
      <c r="U2215" s="6" t="s">
        <v>104</v>
      </c>
      <c r="V2215" s="6" t="s">
        <v>104</v>
      </c>
      <c r="W2215" s="6" t="s">
        <v>104</v>
      </c>
      <c r="X2215" s="6" t="s">
        <v>104</v>
      </c>
      <c r="Y2215" s="21" t="s">
        <v>104</v>
      </c>
      <c r="Z2215" s="6" t="s">
        <v>104</v>
      </c>
      <c r="AA2215" s="6" t="s">
        <v>104</v>
      </c>
      <c r="AB2215" s="6" t="s">
        <v>104</v>
      </c>
      <c r="AC2215" s="6" t="s">
        <v>9714</v>
      </c>
      <c r="AD2215" s="16" t="n">
        <v>44757</v>
      </c>
      <c r="AE2215" s="6" t="s">
        <v>12445</v>
      </c>
      <c r="AF2215" s="6" t="s">
        <v>104</v>
      </c>
      <c r="AG2215" s="6" t="s">
        <v>104</v>
      </c>
      <c r="AH2215" s="6" t="s">
        <v>15183</v>
      </c>
      <c r="AI2215" s="6" t="s">
        <v>104</v>
      </c>
      <c r="AJ2215" s="6" t="s">
        <v>16655</v>
      </c>
      <c r="AK2215" s="6" t="s">
        <v>16683</v>
      </c>
      <c r="AL2215" s="6" t="s">
        <v>16931</v>
      </c>
      <c r="AM2215" s="6" t="s">
        <v>18424</v>
      </c>
      <c r="AN2215" s="6" t="s">
        <v>18510</v>
      </c>
      <c r="AO2215" s="6" t="s">
        <v>18632</v>
      </c>
      <c r="AP2215" s="6" t="s">
        <v>15183</v>
      </c>
      <c r="AQ2215" s="6" t="s">
        <v>104</v>
      </c>
      <c r="AR2215" s="6" t="s">
        <v>16655</v>
      </c>
      <c r="AS2215" s="6" t="s">
        <v>16683</v>
      </c>
      <c r="AT2215" s="6" t="s">
        <v>16931</v>
      </c>
      <c r="AU2215" s="6" t="s">
        <v>18424</v>
      </c>
      <c r="AV2215" s="6" t="s">
        <v>104</v>
      </c>
      <c r="AW2215" s="6" t="s">
        <v>104</v>
      </c>
      <c r="AX2215" s="6" t="s">
        <v>104</v>
      </c>
      <c r="AY2215" s="6" t="s">
        <v>23651</v>
      </c>
      <c r="AZ2215" s="6" t="s">
        <v>104</v>
      </c>
      <c r="BA2215" s="6" t="s">
        <v>104</v>
      </c>
      <c r="BB2215" s="6" t="s">
        <v>104</v>
      </c>
      <c r="BC2215" s="26"/>
      <c r="BD2215" s="26"/>
      <c r="BE2215" s="26"/>
      <c r="BF2215" s="26"/>
      <c r="BG2215" s="26"/>
      <c r="BH2215" s="26"/>
      <c r="BI2215" s="26"/>
      <c r="BJ2215" s="26"/>
      <c r="BK2215" s="26"/>
      <c r="BL2215" s="26"/>
      <c r="BM2215" s="26"/>
      <c r="BN2215" s="26"/>
      <c r="BO2215" s="26"/>
      <c r="BP2215" s="16" t="n">
        <v>45628</v>
      </c>
      <c r="BQ2215" s="28" t="str">
        <f>HYPERLINK("https://organic.ams.usda.gov/Integrity/Certificate.aspx?cid=1&amp;nopid=9092131601")</f>
        <v>https://organic.ams.usda.gov/Integrity/Certificate.aspx?cid=1&amp;nopid=9092131601</v>
      </c>
    </row>
    <row r="2216">
      <c r="A2216" t="s">
        <v>3</v>
      </c>
      <c r="B2216" s="6" t="s">
        <v>45</v>
      </c>
      <c r="C2216" s="6" t="s">
        <v>111</v>
      </c>
      <c r="D2216" s="6" t="s">
        <v>175</v>
      </c>
      <c r="E2216" s="10" t="s">
        <v>2414</v>
      </c>
      <c r="F2216" s="6" t="s">
        <v>4615</v>
      </c>
      <c r="G2216" s="6" t="s">
        <v>104</v>
      </c>
      <c r="H2216" s="6" t="s">
        <v>6875</v>
      </c>
      <c r="I2216" s="6" t="s">
        <v>7886</v>
      </c>
      <c r="J2216" s="6" t="s">
        <v>8279</v>
      </c>
      <c r="K2216" s="6" t="s">
        <v>9714</v>
      </c>
      <c r="L2216" s="16" t="n">
        <v>44419</v>
      </c>
      <c r="M2216" s="16" t="n">
        <v>46082</v>
      </c>
      <c r="N2216" s="6" t="s">
        <v>9714</v>
      </c>
      <c r="O2216" s="16" t="n">
        <v>44419</v>
      </c>
      <c r="P2216" s="6" t="s">
        <v>10278</v>
      </c>
      <c r="Q2216" s="6" t="s">
        <v>104</v>
      </c>
      <c r="R2216" s="6" t="s">
        <v>4667</v>
      </c>
      <c r="S2216" s="6" t="s">
        <v>104</v>
      </c>
      <c r="T2216" s="21" t="s">
        <v>104</v>
      </c>
      <c r="U2216" s="6" t="s">
        <v>104</v>
      </c>
      <c r="V2216" s="6" t="s">
        <v>104</v>
      </c>
      <c r="W2216" s="6" t="s">
        <v>104</v>
      </c>
      <c r="X2216" s="6" t="s">
        <v>104</v>
      </c>
      <c r="Y2216" s="21" t="s">
        <v>104</v>
      </c>
      <c r="Z2216" s="6" t="s">
        <v>104</v>
      </c>
      <c r="AA2216" s="6" t="s">
        <v>104</v>
      </c>
      <c r="AB2216" s="6" t="s">
        <v>104</v>
      </c>
      <c r="AC2216" s="6" t="s">
        <v>104</v>
      </c>
      <c r="AD2216" s="21" t="s">
        <v>104</v>
      </c>
      <c r="AE2216" s="6" t="s">
        <v>104</v>
      </c>
      <c r="AF2216" s="6" t="s">
        <v>104</v>
      </c>
      <c r="AG2216" s="6" t="s">
        <v>104</v>
      </c>
      <c r="AH2216" s="6" t="s">
        <v>15184</v>
      </c>
      <c r="AI2216" s="6" t="s">
        <v>104</v>
      </c>
      <c r="AJ2216" s="6" t="s">
        <v>16656</v>
      </c>
      <c r="AK2216" s="6" t="s">
        <v>16382</v>
      </c>
      <c r="AL2216" s="6" t="s">
        <v>16931</v>
      </c>
      <c r="AM2216" s="6" t="s">
        <v>18425</v>
      </c>
      <c r="AN2216" s="6" t="s">
        <v>104</v>
      </c>
      <c r="AO2216" s="6" t="s">
        <v>104</v>
      </c>
      <c r="AP2216" s="6" t="s">
        <v>19537</v>
      </c>
      <c r="AQ2216" s="6" t="s">
        <v>104</v>
      </c>
      <c r="AR2216" s="6" t="s">
        <v>16656</v>
      </c>
      <c r="AS2216" s="6" t="s">
        <v>16382</v>
      </c>
      <c r="AT2216" s="6" t="s">
        <v>16931</v>
      </c>
      <c r="AU2216" s="6" t="s">
        <v>18425</v>
      </c>
      <c r="AV2216" s="6" t="s">
        <v>18517</v>
      </c>
      <c r="AW2216" s="6" t="s">
        <v>20112</v>
      </c>
      <c r="AX2216" s="6" t="s">
        <v>21816</v>
      </c>
      <c r="AY2216" s="6" t="s">
        <v>23652</v>
      </c>
      <c r="AZ2216" s="6" t="s">
        <v>104</v>
      </c>
      <c r="BA2216" s="6" t="s">
        <v>104</v>
      </c>
      <c r="BB2216" s="24" t="n">
        <v>892</v>
      </c>
      <c r="BC2216" s="26"/>
      <c r="BD2216" s="26"/>
      <c r="BE2216" s="26"/>
      <c r="BF2216" s="26"/>
      <c r="BG2216" s="26"/>
      <c r="BH2216" s="26"/>
      <c r="BI2216" s="26"/>
      <c r="BJ2216" s="26"/>
      <c r="BK2216" s="26"/>
      <c r="BL2216" s="26"/>
      <c r="BM2216" s="26"/>
      <c r="BN2216" s="26"/>
      <c r="BO2216" s="26"/>
      <c r="BP2216" s="16" t="n">
        <v>45739</v>
      </c>
      <c r="BQ2216" s="28" t="str">
        <f>HYPERLINK("https://organic.ams.usda.gov/Integrity/Certificate.aspx?cid=82&amp;nopid=2780003819")</f>
        <v>https://organic.ams.usda.gov/Integrity/Certificate.aspx?cid=82&amp;nopid=2780003819</v>
      </c>
    </row>
    <row r="2217">
      <c r="A2217" t="s">
        <v>3</v>
      </c>
      <c r="B2217" s="6" t="s">
        <v>54</v>
      </c>
      <c r="C2217" s="6" t="s">
        <v>120</v>
      </c>
      <c r="D2217" s="6" t="s">
        <v>184</v>
      </c>
      <c r="E2217" s="10" t="s">
        <v>2415</v>
      </c>
      <c r="F2217" s="6" t="s">
        <v>4616</v>
      </c>
      <c r="G2217" s="6" t="s">
        <v>104</v>
      </c>
      <c r="H2217" s="6" t="s">
        <v>6876</v>
      </c>
      <c r="I2217" s="6" t="s">
        <v>8056</v>
      </c>
      <c r="J2217" s="6" t="s">
        <v>7239</v>
      </c>
      <c r="K2217" s="6" t="s">
        <v>9714</v>
      </c>
      <c r="L2217" s="16" t="n">
        <v>39401</v>
      </c>
      <c r="M2217" s="16" t="n">
        <v>45717</v>
      </c>
      <c r="N2217" s="6" t="s">
        <v>9714</v>
      </c>
      <c r="O2217" s="16" t="n">
        <v>39401</v>
      </c>
      <c r="P2217" s="6" t="s">
        <v>10176</v>
      </c>
      <c r="Q2217" s="6" t="s">
        <v>104</v>
      </c>
      <c r="R2217" s="6" t="s">
        <v>104</v>
      </c>
      <c r="S2217" s="6" t="s">
        <v>104</v>
      </c>
      <c r="T2217" s="21" t="s">
        <v>104</v>
      </c>
      <c r="U2217" s="6" t="s">
        <v>104</v>
      </c>
      <c r="V2217" s="6" t="s">
        <v>104</v>
      </c>
      <c r="W2217" s="6" t="s">
        <v>104</v>
      </c>
      <c r="X2217" s="6" t="s">
        <v>104</v>
      </c>
      <c r="Y2217" s="21" t="s">
        <v>104</v>
      </c>
      <c r="Z2217" s="6" t="s">
        <v>104</v>
      </c>
      <c r="AA2217" s="6" t="s">
        <v>104</v>
      </c>
      <c r="AB2217" s="6" t="s">
        <v>104</v>
      </c>
      <c r="AC2217" s="6" t="s">
        <v>104</v>
      </c>
      <c r="AD2217" s="21" t="s">
        <v>104</v>
      </c>
      <c r="AE2217" s="6" t="s">
        <v>104</v>
      </c>
      <c r="AF2217" s="6" t="s">
        <v>104</v>
      </c>
      <c r="AG2217" s="6" t="s">
        <v>104</v>
      </c>
      <c r="AH2217" s="6" t="s">
        <v>15185</v>
      </c>
      <c r="AI2217" s="6" t="s">
        <v>104</v>
      </c>
      <c r="AJ2217" s="6" t="s">
        <v>9356</v>
      </c>
      <c r="AK2217" s="6" t="s">
        <v>16694</v>
      </c>
      <c r="AL2217" s="6" t="s">
        <v>16931</v>
      </c>
      <c r="AM2217" s="6" t="s">
        <v>18426</v>
      </c>
      <c r="AN2217" s="6" t="s">
        <v>18467</v>
      </c>
      <c r="AO2217" s="6" t="s">
        <v>18798</v>
      </c>
      <c r="AP2217" s="6" t="s">
        <v>104</v>
      </c>
      <c r="AQ2217" s="6" t="s">
        <v>104</v>
      </c>
      <c r="AR2217" s="6" t="s">
        <v>104</v>
      </c>
      <c r="AS2217" s="6" t="s">
        <v>104</v>
      </c>
      <c r="AT2217" s="6" t="s">
        <v>104</v>
      </c>
      <c r="AU2217" s="6" t="s">
        <v>104</v>
      </c>
      <c r="AV2217" s="6" t="s">
        <v>104</v>
      </c>
      <c r="AW2217" s="6" t="s">
        <v>104</v>
      </c>
      <c r="AX2217" s="6" t="s">
        <v>21817</v>
      </c>
      <c r="AY2217" s="6" t="s">
        <v>23653</v>
      </c>
      <c r="AZ2217" s="6" t="s">
        <v>104</v>
      </c>
      <c r="BA2217" s="6" t="s">
        <v>24267</v>
      </c>
      <c r="BB2217" s="24" t="n">
        <v>1458</v>
      </c>
      <c r="BC2217" s="26"/>
      <c r="BD2217" s="26"/>
      <c r="BE2217" s="26"/>
      <c r="BF2217" s="26"/>
      <c r="BG2217" s="26"/>
      <c r="BH2217" s="26"/>
      <c r="BI2217" s="26"/>
      <c r="BJ2217" s="26"/>
      <c r="BK2217" s="26"/>
      <c r="BL2217" s="26"/>
      <c r="BM2217" s="26"/>
      <c r="BN2217" s="26"/>
      <c r="BO2217" s="26"/>
      <c r="BP2217" s="16" t="n">
        <v>45644</v>
      </c>
      <c r="BQ2217" s="28" t="str">
        <f>HYPERLINK("https://organic.ams.usda.gov/Integrity/Certificate.aspx?cid=60&amp;nopid=2580000405")</f>
        <v>https://organic.ams.usda.gov/Integrity/Certificate.aspx?cid=60&amp;nopid=2580000405</v>
      </c>
    </row>
    <row r="2218">
      <c r="A2218" t="s">
        <v>3</v>
      </c>
      <c r="B2218" s="6" t="s">
        <v>25</v>
      </c>
      <c r="C2218" s="6" t="s">
        <v>91</v>
      </c>
      <c r="D2218" s="6" t="s">
        <v>156</v>
      </c>
      <c r="E2218" s="10" t="s">
        <v>2416</v>
      </c>
      <c r="F2218" s="6" t="s">
        <v>4617</v>
      </c>
      <c r="G2218" s="6" t="s">
        <v>104</v>
      </c>
      <c r="H2218" s="6" t="s">
        <v>6877</v>
      </c>
      <c r="I2218" s="6" t="s">
        <v>104</v>
      </c>
      <c r="J2218" s="6" t="s">
        <v>104</v>
      </c>
      <c r="K2218" s="6" t="s">
        <v>9714</v>
      </c>
      <c r="L2218" s="16" t="n">
        <v>44511</v>
      </c>
      <c r="M2218" s="16" t="n">
        <v>45563</v>
      </c>
      <c r="N2218" s="6" t="s">
        <v>104</v>
      </c>
      <c r="O2218" s="21" t="s">
        <v>104</v>
      </c>
      <c r="P2218" s="6" t="s">
        <v>104</v>
      </c>
      <c r="Q2218" s="6" t="s">
        <v>104</v>
      </c>
      <c r="R2218" s="6" t="s">
        <v>104</v>
      </c>
      <c r="S2218" s="6" t="s">
        <v>104</v>
      </c>
      <c r="T2218" s="21" t="s">
        <v>104</v>
      </c>
      <c r="U2218" s="6" t="s">
        <v>104</v>
      </c>
      <c r="V2218" s="6" t="s">
        <v>104</v>
      </c>
      <c r="W2218" s="6" t="s">
        <v>104</v>
      </c>
      <c r="X2218" s="6" t="s">
        <v>104</v>
      </c>
      <c r="Y2218" s="21" t="s">
        <v>104</v>
      </c>
      <c r="Z2218" s="6" t="s">
        <v>104</v>
      </c>
      <c r="AA2218" s="6" t="s">
        <v>104</v>
      </c>
      <c r="AB2218" s="6" t="s">
        <v>104</v>
      </c>
      <c r="AC2218" s="6" t="s">
        <v>9714</v>
      </c>
      <c r="AD2218" s="16" t="n">
        <v>44511</v>
      </c>
      <c r="AE2218" s="6" t="s">
        <v>12446</v>
      </c>
      <c r="AF2218" s="6" t="s">
        <v>104</v>
      </c>
      <c r="AG2218" s="6" t="s">
        <v>104</v>
      </c>
      <c r="AH2218" s="6" t="s">
        <v>15186</v>
      </c>
      <c r="AI2218" s="6" t="s">
        <v>104</v>
      </c>
      <c r="AJ2218" s="6" t="s">
        <v>16134</v>
      </c>
      <c r="AK2218" s="6" t="s">
        <v>16745</v>
      </c>
      <c r="AL2218" s="6" t="s">
        <v>16931</v>
      </c>
      <c r="AM2218" s="6" t="s">
        <v>17787</v>
      </c>
      <c r="AN2218" s="6" t="s">
        <v>104</v>
      </c>
      <c r="AO2218" s="6" t="s">
        <v>104</v>
      </c>
      <c r="AP2218" s="6" t="s">
        <v>15186</v>
      </c>
      <c r="AQ2218" s="6" t="s">
        <v>104</v>
      </c>
      <c r="AR2218" s="6" t="s">
        <v>16134</v>
      </c>
      <c r="AS2218" s="6" t="s">
        <v>16745</v>
      </c>
      <c r="AT2218" s="6" t="s">
        <v>16931</v>
      </c>
      <c r="AU2218" s="6" t="s">
        <v>17787</v>
      </c>
      <c r="AV2218" s="6" t="s">
        <v>104</v>
      </c>
      <c r="AW2218" s="6" t="s">
        <v>104</v>
      </c>
      <c r="AX2218" s="6" t="s">
        <v>104</v>
      </c>
      <c r="AY2218" s="6" t="s">
        <v>104</v>
      </c>
      <c r="AZ2218" s="6" t="s">
        <v>104</v>
      </c>
      <c r="BA2218" s="6" t="s">
        <v>104</v>
      </c>
      <c r="BB2218" s="6" t="s">
        <v>104</v>
      </c>
      <c r="BC2218" s="26"/>
      <c r="BD2218" s="26"/>
      <c r="BE2218" s="26"/>
      <c r="BF2218" s="26"/>
      <c r="BG2218" s="26"/>
      <c r="BH2218" s="26" t="s">
        <v>24533</v>
      </c>
      <c r="BI2218" s="26"/>
      <c r="BJ2218" s="26"/>
      <c r="BK2218" s="26"/>
      <c r="BL2218" s="26"/>
      <c r="BM2218" s="26"/>
      <c r="BN2218" s="26"/>
      <c r="BO2218" s="26"/>
      <c r="BP2218" s="16" t="n">
        <v>45372</v>
      </c>
      <c r="BQ2218" s="28" t="str">
        <f>HYPERLINK("https://organic.ams.usda.gov/Integrity/Certificate.aspx?cid=66&amp;nopid=5500006612")</f>
        <v>https://organic.ams.usda.gov/Integrity/Certificate.aspx?cid=66&amp;nopid=5500006612</v>
      </c>
    </row>
    <row r="2219">
      <c r="A2219" t="s">
        <v>3</v>
      </c>
      <c r="B2219" s="6" t="s">
        <v>25</v>
      </c>
      <c r="C2219" s="6" t="s">
        <v>91</v>
      </c>
      <c r="D2219" s="6" t="s">
        <v>156</v>
      </c>
      <c r="E2219" s="10" t="s">
        <v>2417</v>
      </c>
      <c r="F2219" s="6" t="s">
        <v>4618</v>
      </c>
      <c r="G2219" s="6" t="s">
        <v>104</v>
      </c>
      <c r="H2219" s="6" t="s">
        <v>6878</v>
      </c>
      <c r="I2219" s="6" t="s">
        <v>7712</v>
      </c>
      <c r="J2219" s="6" t="s">
        <v>9688</v>
      </c>
      <c r="K2219" s="6" t="s">
        <v>9714</v>
      </c>
      <c r="L2219" s="16" t="n">
        <v>44419</v>
      </c>
      <c r="M2219" s="16" t="n">
        <v>45843</v>
      </c>
      <c r="N2219" s="6" t="s">
        <v>104</v>
      </c>
      <c r="O2219" s="21" t="s">
        <v>104</v>
      </c>
      <c r="P2219" s="6" t="s">
        <v>104</v>
      </c>
      <c r="Q2219" s="6" t="s">
        <v>104</v>
      </c>
      <c r="R2219" s="6" t="s">
        <v>104</v>
      </c>
      <c r="S2219" s="6" t="s">
        <v>104</v>
      </c>
      <c r="T2219" s="21" t="s">
        <v>104</v>
      </c>
      <c r="U2219" s="6" t="s">
        <v>104</v>
      </c>
      <c r="V2219" s="6" t="s">
        <v>104</v>
      </c>
      <c r="W2219" s="6" t="s">
        <v>104</v>
      </c>
      <c r="X2219" s="6" t="s">
        <v>104</v>
      </c>
      <c r="Y2219" s="21" t="s">
        <v>104</v>
      </c>
      <c r="Z2219" s="6" t="s">
        <v>104</v>
      </c>
      <c r="AA2219" s="6" t="s">
        <v>104</v>
      </c>
      <c r="AB2219" s="6" t="s">
        <v>104</v>
      </c>
      <c r="AC2219" s="6" t="s">
        <v>9714</v>
      </c>
      <c r="AD2219" s="16" t="n">
        <v>44419</v>
      </c>
      <c r="AE2219" s="6" t="s">
        <v>12447</v>
      </c>
      <c r="AF2219" s="6" t="s">
        <v>104</v>
      </c>
      <c r="AG2219" s="6" t="s">
        <v>104</v>
      </c>
      <c r="AH2219" s="6" t="s">
        <v>15187</v>
      </c>
      <c r="AI2219" s="6" t="s">
        <v>104</v>
      </c>
      <c r="AJ2219" s="6" t="s">
        <v>15807</v>
      </c>
      <c r="AK2219" s="6" t="s">
        <v>16708</v>
      </c>
      <c r="AL2219" s="6" t="s">
        <v>16935</v>
      </c>
      <c r="AM2219" s="6" t="s">
        <v>17366</v>
      </c>
      <c r="AN2219" s="6" t="s">
        <v>104</v>
      </c>
      <c r="AO2219" s="6" t="s">
        <v>104</v>
      </c>
      <c r="AP2219" s="6" t="s">
        <v>15187</v>
      </c>
      <c r="AQ2219" s="6" t="s">
        <v>104</v>
      </c>
      <c r="AR2219" s="6" t="s">
        <v>15807</v>
      </c>
      <c r="AS2219" s="6" t="s">
        <v>16708</v>
      </c>
      <c r="AT2219" s="6" t="s">
        <v>16935</v>
      </c>
      <c r="AU2219" s="6" t="s">
        <v>17366</v>
      </c>
      <c r="AV2219" s="6" t="s">
        <v>104</v>
      </c>
      <c r="AW2219" s="6" t="s">
        <v>104</v>
      </c>
      <c r="AX2219" s="6" t="s">
        <v>21818</v>
      </c>
      <c r="AY2219" s="6" t="s">
        <v>23654</v>
      </c>
      <c r="AZ2219" s="6" t="s">
        <v>104</v>
      </c>
      <c r="BA2219" s="6" t="s">
        <v>24264</v>
      </c>
      <c r="BB2219" s="6" t="s">
        <v>104</v>
      </c>
      <c r="BC2219" s="26"/>
      <c r="BD2219" s="26"/>
      <c r="BE2219" s="26"/>
      <c r="BF2219" s="26"/>
      <c r="BG2219" s="26"/>
      <c r="BH2219" s="26" t="s">
        <v>24533</v>
      </c>
      <c r="BI2219" s="26"/>
      <c r="BJ2219" s="26"/>
      <c r="BK2219" s="26"/>
      <c r="BL2219" s="26"/>
      <c r="BM2219" s="26"/>
      <c r="BN2219" s="26"/>
      <c r="BO2219" s="26"/>
      <c r="BP2219" s="16" t="n">
        <v>45629</v>
      </c>
      <c r="BQ2219" s="28" t="str">
        <f>HYPERLINK("https://organic.ams.usda.gov/Integrity/Certificate.aspx?cid=66&amp;nopid=5500006556")</f>
        <v>https://organic.ams.usda.gov/Integrity/Certificate.aspx?cid=66&amp;nopid=5500006556</v>
      </c>
    </row>
    <row r="2220">
      <c r="A2220" t="s">
        <v>3</v>
      </c>
      <c r="B2220" s="6" t="s">
        <v>13</v>
      </c>
      <c r="C2220" s="6" t="s">
        <v>79</v>
      </c>
      <c r="D2220" s="6" t="s">
        <v>144</v>
      </c>
      <c r="E2220" s="10" t="s">
        <v>2418</v>
      </c>
      <c r="F2220" s="6" t="s">
        <v>4619</v>
      </c>
      <c r="G2220" s="6" t="s">
        <v>104</v>
      </c>
      <c r="H2220" s="6" t="s">
        <v>6879</v>
      </c>
      <c r="I2220" s="6" t="s">
        <v>8110</v>
      </c>
      <c r="J2220" s="6" t="s">
        <v>9125</v>
      </c>
      <c r="K2220" s="6" t="s">
        <v>9714</v>
      </c>
      <c r="L2220" s="16" t="n">
        <v>37375</v>
      </c>
      <c r="M2220" s="16" t="n">
        <v>46113</v>
      </c>
      <c r="N2220" s="6" t="s">
        <v>104</v>
      </c>
      <c r="O2220" s="21" t="s">
        <v>104</v>
      </c>
      <c r="P2220" s="6" t="s">
        <v>104</v>
      </c>
      <c r="Q2220" s="6" t="s">
        <v>104</v>
      </c>
      <c r="R2220" s="6" t="s">
        <v>104</v>
      </c>
      <c r="S2220" s="6" t="s">
        <v>104</v>
      </c>
      <c r="T2220" s="21" t="s">
        <v>104</v>
      </c>
      <c r="U2220" s="6" t="s">
        <v>104</v>
      </c>
      <c r="V2220" s="6" t="s">
        <v>104</v>
      </c>
      <c r="W2220" s="6" t="s">
        <v>104</v>
      </c>
      <c r="X2220" s="6" t="s">
        <v>104</v>
      </c>
      <c r="Y2220" s="21" t="s">
        <v>104</v>
      </c>
      <c r="Z2220" s="6" t="s">
        <v>104</v>
      </c>
      <c r="AA2220" s="6" t="s">
        <v>104</v>
      </c>
      <c r="AB2220" s="6" t="s">
        <v>104</v>
      </c>
      <c r="AC2220" s="6" t="s">
        <v>9714</v>
      </c>
      <c r="AD2220" s="16" t="n">
        <v>37375</v>
      </c>
      <c r="AE2220" s="6" t="s">
        <v>12448</v>
      </c>
      <c r="AF2220" s="6" t="s">
        <v>104</v>
      </c>
      <c r="AG2220" s="6" t="s">
        <v>104</v>
      </c>
      <c r="AH2220" s="6" t="s">
        <v>104</v>
      </c>
      <c r="AI2220" s="6" t="s">
        <v>104</v>
      </c>
      <c r="AJ2220" s="6" t="s">
        <v>104</v>
      </c>
      <c r="AK2220" s="6" t="s">
        <v>104</v>
      </c>
      <c r="AL2220" s="6" t="s">
        <v>104</v>
      </c>
      <c r="AM2220" s="6" t="s">
        <v>104</v>
      </c>
      <c r="AN2220" s="6" t="s">
        <v>104</v>
      </c>
      <c r="AO2220" s="6" t="s">
        <v>104</v>
      </c>
      <c r="AP2220" s="6" t="s">
        <v>19538</v>
      </c>
      <c r="AQ2220" s="6" t="s">
        <v>104</v>
      </c>
      <c r="AR2220" s="6" t="s">
        <v>15654</v>
      </c>
      <c r="AS2220" s="6" t="s">
        <v>16706</v>
      </c>
      <c r="AT2220" s="6" t="s">
        <v>16931</v>
      </c>
      <c r="AU2220" s="6" t="s">
        <v>20073</v>
      </c>
      <c r="AV2220" s="6" t="s">
        <v>18523</v>
      </c>
      <c r="AW2220" s="6" t="s">
        <v>18723</v>
      </c>
      <c r="AX2220" s="6" t="s">
        <v>21819</v>
      </c>
      <c r="AY2220" s="6" t="s">
        <v>23655</v>
      </c>
      <c r="AZ2220" s="6" t="s">
        <v>104</v>
      </c>
      <c r="BA2220" s="6" t="s">
        <v>104</v>
      </c>
      <c r="BB2220" s="6" t="s">
        <v>104</v>
      </c>
      <c r="BC2220" s="26"/>
      <c r="BD2220" s="26"/>
      <c r="BE2220" s="26" t="s">
        <v>24533</v>
      </c>
      <c r="BF2220" s="26"/>
      <c r="BG2220" s="26"/>
      <c r="BH2220" s="26"/>
      <c r="BI2220" s="26"/>
      <c r="BJ2220" s="26"/>
      <c r="BK2220" s="26"/>
      <c r="BL2220" s="26"/>
      <c r="BM2220" s="26"/>
      <c r="BN2220" s="26"/>
      <c r="BO2220" s="26"/>
      <c r="BP2220" s="16" t="n">
        <v>45731</v>
      </c>
      <c r="BQ2220" s="28" t="str">
        <f>HYPERLINK("https://organic.ams.usda.gov/Integrity/Certificate.aspx?cid=62&amp;nopid=8150000750")</f>
        <v>https://organic.ams.usda.gov/Integrity/Certificate.aspx?cid=62&amp;nopid=8150000750</v>
      </c>
    </row>
    <row r="2221">
      <c r="A2221" t="s">
        <v>3</v>
      </c>
      <c r="B2221" s="6" t="s">
        <v>17</v>
      </c>
      <c r="C2221" s="6" t="s">
        <v>83</v>
      </c>
      <c r="D2221" s="6" t="s">
        <v>148</v>
      </c>
      <c r="E2221" s="10" t="s">
        <v>2419</v>
      </c>
      <c r="F2221" s="6" t="s">
        <v>4620</v>
      </c>
      <c r="G2221" s="6" t="s">
        <v>104</v>
      </c>
      <c r="H2221" s="6" t="s">
        <v>6880</v>
      </c>
      <c r="I2221" s="6" t="s">
        <v>8111</v>
      </c>
      <c r="J2221" s="6" t="s">
        <v>7271</v>
      </c>
      <c r="K2221" s="6" t="s">
        <v>9714</v>
      </c>
      <c r="L2221" s="16" t="n">
        <v>42717</v>
      </c>
      <c r="M2221" s="16" t="n">
        <v>45992</v>
      </c>
      <c r="N2221" s="6" t="s">
        <v>104</v>
      </c>
      <c r="O2221" s="21" t="s">
        <v>104</v>
      </c>
      <c r="P2221" s="6" t="s">
        <v>104</v>
      </c>
      <c r="Q2221" s="6" t="s">
        <v>104</v>
      </c>
      <c r="R2221" s="6" t="s">
        <v>104</v>
      </c>
      <c r="S2221" s="6" t="s">
        <v>104</v>
      </c>
      <c r="T2221" s="21" t="s">
        <v>104</v>
      </c>
      <c r="U2221" s="6" t="s">
        <v>104</v>
      </c>
      <c r="V2221" s="6" t="s">
        <v>104</v>
      </c>
      <c r="W2221" s="6" t="s">
        <v>104</v>
      </c>
      <c r="X2221" s="6" t="s">
        <v>104</v>
      </c>
      <c r="Y2221" s="21" t="s">
        <v>104</v>
      </c>
      <c r="Z2221" s="6" t="s">
        <v>104</v>
      </c>
      <c r="AA2221" s="6" t="s">
        <v>104</v>
      </c>
      <c r="AB2221" s="6" t="s">
        <v>104</v>
      </c>
      <c r="AC2221" s="6" t="s">
        <v>9714</v>
      </c>
      <c r="AD2221" s="16" t="n">
        <v>42717</v>
      </c>
      <c r="AE2221" s="6" t="s">
        <v>12449</v>
      </c>
      <c r="AF2221" s="6" t="s">
        <v>104</v>
      </c>
      <c r="AG2221" s="6" t="s">
        <v>104</v>
      </c>
      <c r="AH2221" s="6" t="s">
        <v>15188</v>
      </c>
      <c r="AI2221" s="6" t="s">
        <v>104</v>
      </c>
      <c r="AJ2221" s="6" t="s">
        <v>15459</v>
      </c>
      <c r="AK2221" s="6" t="s">
        <v>15697</v>
      </c>
      <c r="AL2221" s="6" t="s">
        <v>16931</v>
      </c>
      <c r="AM2221" s="6" t="s">
        <v>18427</v>
      </c>
      <c r="AN2221" s="6" t="s">
        <v>104</v>
      </c>
      <c r="AO2221" s="6" t="s">
        <v>104</v>
      </c>
      <c r="AP2221" s="6" t="s">
        <v>15188</v>
      </c>
      <c r="AQ2221" s="6" t="s">
        <v>104</v>
      </c>
      <c r="AR2221" s="6" t="s">
        <v>15459</v>
      </c>
      <c r="AS2221" s="6" t="s">
        <v>15697</v>
      </c>
      <c r="AT2221" s="6" t="s">
        <v>16931</v>
      </c>
      <c r="AU2221" s="6" t="s">
        <v>18427</v>
      </c>
      <c r="AV2221" s="6" t="s">
        <v>18464</v>
      </c>
      <c r="AW2221" s="6" t="s">
        <v>18803</v>
      </c>
      <c r="AX2221" s="6" t="s">
        <v>21820</v>
      </c>
      <c r="AY2221" s="6" t="s">
        <v>23656</v>
      </c>
      <c r="AZ2221" s="6" t="s">
        <v>104</v>
      </c>
      <c r="BA2221" s="6" t="s">
        <v>104</v>
      </c>
      <c r="BB2221" s="24" t="n">
        <v>0</v>
      </c>
      <c r="BC2221" s="26"/>
      <c r="BD2221" s="26"/>
      <c r="BE2221" s="26"/>
      <c r="BF2221" s="26"/>
      <c r="BG2221" s="26"/>
      <c r="BH2221" s="26"/>
      <c r="BI2221" s="26"/>
      <c r="BJ2221" s="26"/>
      <c r="BK2221" s="26"/>
      <c r="BL2221" s="26"/>
      <c r="BM2221" s="26"/>
      <c r="BN2221" s="26"/>
      <c r="BO2221" s="26"/>
      <c r="BP2221" s="16" t="n">
        <v>45737</v>
      </c>
      <c r="BQ2221" s="28" t="str">
        <f>HYPERLINK("https://organic.ams.usda.gov/Integrity/Certificate.aspx?cid=51&amp;nopid=8240121316")</f>
        <v>https://organic.ams.usda.gov/Integrity/Certificate.aspx?cid=51&amp;nopid=8240121316</v>
      </c>
    </row>
    <row r="2222">
      <c r="A2222" t="s">
        <v>3</v>
      </c>
      <c r="B2222" s="6" t="s">
        <v>47</v>
      </c>
      <c r="C2222" s="6" t="s">
        <v>113</v>
      </c>
      <c r="D2222" s="6" t="s">
        <v>177</v>
      </c>
      <c r="E2222" s="10" t="s">
        <v>2420</v>
      </c>
      <c r="F2222" s="6" t="s">
        <v>4621</v>
      </c>
      <c r="G2222" s="6" t="s">
        <v>104</v>
      </c>
      <c r="H2222" s="6" t="s">
        <v>6881</v>
      </c>
      <c r="I2222" s="6" t="s">
        <v>8112</v>
      </c>
      <c r="J2222" s="6" t="s">
        <v>9689</v>
      </c>
      <c r="K2222" s="6" t="s">
        <v>9714</v>
      </c>
      <c r="L2222" s="16" t="n">
        <v>37510</v>
      </c>
      <c r="M2222" s="16" t="n">
        <v>45838</v>
      </c>
      <c r="N2222" s="6" t="s">
        <v>9714</v>
      </c>
      <c r="O2222" s="16" t="n">
        <v>37510</v>
      </c>
      <c r="P2222" s="6" t="s">
        <v>10279</v>
      </c>
      <c r="Q2222" s="6" t="s">
        <v>104</v>
      </c>
      <c r="R2222" s="6" t="s">
        <v>10458</v>
      </c>
      <c r="S2222" s="6" t="s">
        <v>9714</v>
      </c>
      <c r="T2222" s="16" t="n">
        <v>37510</v>
      </c>
      <c r="U2222" s="6" t="s">
        <v>10509</v>
      </c>
      <c r="V2222" s="6" t="s">
        <v>104</v>
      </c>
      <c r="W2222" s="6" t="s">
        <v>10458</v>
      </c>
      <c r="X2222" s="6" t="s">
        <v>104</v>
      </c>
      <c r="Y2222" s="21" t="s">
        <v>104</v>
      </c>
      <c r="Z2222" s="6" t="s">
        <v>104</v>
      </c>
      <c r="AA2222" s="6" t="s">
        <v>104</v>
      </c>
      <c r="AB2222" s="6" t="s">
        <v>104</v>
      </c>
      <c r="AC2222" s="6" t="s">
        <v>9714</v>
      </c>
      <c r="AD2222" s="16" t="n">
        <v>37510</v>
      </c>
      <c r="AE2222" s="6" t="s">
        <v>12450</v>
      </c>
      <c r="AF2222" s="6" t="s">
        <v>104</v>
      </c>
      <c r="AG2222" s="6" t="s">
        <v>10458</v>
      </c>
      <c r="AH2222" s="6" t="s">
        <v>15189</v>
      </c>
      <c r="AI2222" s="6" t="s">
        <v>104</v>
      </c>
      <c r="AJ2222" s="6" t="s">
        <v>16657</v>
      </c>
      <c r="AK2222" s="6" t="s">
        <v>16734</v>
      </c>
      <c r="AL2222" s="6" t="s">
        <v>16931</v>
      </c>
      <c r="AM2222" s="6" t="s">
        <v>18428</v>
      </c>
      <c r="AN2222" s="6" t="s">
        <v>18472</v>
      </c>
      <c r="AO2222" s="6" t="s">
        <v>18600</v>
      </c>
      <c r="AP2222" s="6" t="s">
        <v>15189</v>
      </c>
      <c r="AQ2222" s="6" t="s">
        <v>104</v>
      </c>
      <c r="AR2222" s="6" t="s">
        <v>16657</v>
      </c>
      <c r="AS2222" s="6" t="s">
        <v>16734</v>
      </c>
      <c r="AT2222" s="6" t="s">
        <v>16931</v>
      </c>
      <c r="AU2222" s="6" t="s">
        <v>18428</v>
      </c>
      <c r="AV2222" s="6" t="s">
        <v>104</v>
      </c>
      <c r="AW2222" s="6" t="s">
        <v>104</v>
      </c>
      <c r="AX2222" s="6" t="s">
        <v>21821</v>
      </c>
      <c r="AY2222" s="6" t="s">
        <v>23657</v>
      </c>
      <c r="AZ2222" s="6" t="s">
        <v>24252</v>
      </c>
      <c r="BA2222" s="6" t="s">
        <v>104</v>
      </c>
      <c r="BB2222" s="24" t="n">
        <v>65</v>
      </c>
      <c r="BC2222" s="26"/>
      <c r="BD2222" s="26"/>
      <c r="BE2222" s="26"/>
      <c r="BF2222" s="26"/>
      <c r="BG2222" s="26"/>
      <c r="BH2222" s="26"/>
      <c r="BI2222" s="26"/>
      <c r="BJ2222" s="26"/>
      <c r="BK2222" s="26"/>
      <c r="BL2222" s="26"/>
      <c r="BM2222" s="26"/>
      <c r="BN2222" s="26"/>
      <c r="BO2222" s="26"/>
      <c r="BP2222" s="16" t="n">
        <v>45709</v>
      </c>
      <c r="BQ2222" s="28" t="str">
        <f>HYPERLINK("https://organic.ams.usda.gov/Integrity/Certificate.aspx?cid=47&amp;nopid=7142070488")</f>
        <v>https://organic.ams.usda.gov/Integrity/Certificate.aspx?cid=47&amp;nopid=7142070488</v>
      </c>
    </row>
    <row r="2223">
      <c r="A2223" t="s">
        <v>3</v>
      </c>
      <c r="B2223" s="6" t="s">
        <v>12</v>
      </c>
      <c r="C2223" s="6" t="s">
        <v>78</v>
      </c>
      <c r="D2223" s="6" t="s">
        <v>143</v>
      </c>
      <c r="E2223" s="10" t="s">
        <v>2421</v>
      </c>
      <c r="F2223" s="6" t="s">
        <v>4622</v>
      </c>
      <c r="G2223" s="6" t="s">
        <v>104</v>
      </c>
      <c r="H2223" s="6" t="s">
        <v>104</v>
      </c>
      <c r="I2223" s="6" t="s">
        <v>7504</v>
      </c>
      <c r="J2223" s="6" t="s">
        <v>9690</v>
      </c>
      <c r="K2223" s="6" t="s">
        <v>9714</v>
      </c>
      <c r="L2223" s="16" t="n">
        <v>44575</v>
      </c>
      <c r="M2223" s="16" t="n">
        <v>45778</v>
      </c>
      <c r="N2223" s="6" t="s">
        <v>104</v>
      </c>
      <c r="O2223" s="21" t="s">
        <v>104</v>
      </c>
      <c r="P2223" s="6" t="s">
        <v>104</v>
      </c>
      <c r="Q2223" s="6" t="s">
        <v>104</v>
      </c>
      <c r="R2223" s="6" t="s">
        <v>104</v>
      </c>
      <c r="S2223" s="6" t="s">
        <v>104</v>
      </c>
      <c r="T2223" s="21" t="s">
        <v>104</v>
      </c>
      <c r="U2223" s="6" t="s">
        <v>104</v>
      </c>
      <c r="V2223" s="6" t="s">
        <v>104</v>
      </c>
      <c r="W2223" s="6" t="s">
        <v>104</v>
      </c>
      <c r="X2223" s="6" t="s">
        <v>104</v>
      </c>
      <c r="Y2223" s="21" t="s">
        <v>104</v>
      </c>
      <c r="Z2223" s="6" t="s">
        <v>104</v>
      </c>
      <c r="AA2223" s="6" t="s">
        <v>104</v>
      </c>
      <c r="AB2223" s="6" t="s">
        <v>104</v>
      </c>
      <c r="AC2223" s="6" t="s">
        <v>9714</v>
      </c>
      <c r="AD2223" s="16" t="n">
        <v>44575</v>
      </c>
      <c r="AE2223" s="6" t="s">
        <v>12451</v>
      </c>
      <c r="AF2223" s="6" t="s">
        <v>104</v>
      </c>
      <c r="AG2223" s="6" t="s">
        <v>13142</v>
      </c>
      <c r="AH2223" s="6" t="s">
        <v>15190</v>
      </c>
      <c r="AI2223" s="6" t="s">
        <v>104</v>
      </c>
      <c r="AJ2223" s="6" t="s">
        <v>15575</v>
      </c>
      <c r="AK2223" s="6" t="s">
        <v>16710</v>
      </c>
      <c r="AL2223" s="6" t="s">
        <v>16931</v>
      </c>
      <c r="AM2223" s="6" t="s">
        <v>18429</v>
      </c>
      <c r="AN2223" s="6" t="s">
        <v>18471</v>
      </c>
      <c r="AO2223" s="6" t="s">
        <v>18632</v>
      </c>
      <c r="AP2223" s="6" t="s">
        <v>15190</v>
      </c>
      <c r="AQ2223" s="6" t="s">
        <v>104</v>
      </c>
      <c r="AR2223" s="6" t="s">
        <v>15575</v>
      </c>
      <c r="AS2223" s="6" t="s">
        <v>16710</v>
      </c>
      <c r="AT2223" s="6" t="s">
        <v>16931</v>
      </c>
      <c r="AU2223" s="6" t="s">
        <v>18429</v>
      </c>
      <c r="AV2223" s="6" t="s">
        <v>104</v>
      </c>
      <c r="AW2223" s="6" t="s">
        <v>104</v>
      </c>
      <c r="AX2223" s="6" t="s">
        <v>104</v>
      </c>
      <c r="AY2223" s="6" t="s">
        <v>23658</v>
      </c>
      <c r="AZ2223" s="6" t="s">
        <v>104</v>
      </c>
      <c r="BA2223" s="6" t="s">
        <v>104</v>
      </c>
      <c r="BB2223" s="6" t="s">
        <v>104</v>
      </c>
      <c r="BC2223" s="26"/>
      <c r="BD2223" s="26"/>
      <c r="BE2223" s="26"/>
      <c r="BF2223" s="26"/>
      <c r="BG2223" s="26"/>
      <c r="BH2223" s="26"/>
      <c r="BI2223" s="26"/>
      <c r="BJ2223" s="26"/>
      <c r="BK2223" s="26"/>
      <c r="BL2223" s="26"/>
      <c r="BM2223" s="26"/>
      <c r="BN2223" s="26"/>
      <c r="BO2223" s="26"/>
      <c r="BP2223" s="16" t="n">
        <v>45616</v>
      </c>
      <c r="BQ2223" s="28" t="str">
        <f>HYPERLINK("https://organic.ams.usda.gov/Integrity/Certificate.aspx?cid=1&amp;nopid=9092130805")</f>
        <v>https://organic.ams.usda.gov/Integrity/Certificate.aspx?cid=1&amp;nopid=9092130805</v>
      </c>
    </row>
    <row r="2224">
      <c r="A2224" t="s">
        <v>3</v>
      </c>
      <c r="B2224" s="6" t="s">
        <v>41</v>
      </c>
      <c r="C2224" s="6" t="s">
        <v>107</v>
      </c>
      <c r="D2224" s="6" t="s">
        <v>171</v>
      </c>
      <c r="E2224" s="10" t="s">
        <v>2422</v>
      </c>
      <c r="F2224" s="6" t="s">
        <v>4623</v>
      </c>
      <c r="G2224" s="6" t="s">
        <v>4891</v>
      </c>
      <c r="H2224" s="6" t="s">
        <v>6882</v>
      </c>
      <c r="I2224" s="6" t="s">
        <v>7253</v>
      </c>
      <c r="J2224" s="6" t="s">
        <v>9143</v>
      </c>
      <c r="K2224" s="6" t="s">
        <v>9714</v>
      </c>
      <c r="L2224" s="16" t="n">
        <v>42495</v>
      </c>
      <c r="M2224" s="16" t="n">
        <v>46157</v>
      </c>
      <c r="N2224" s="6" t="s">
        <v>9714</v>
      </c>
      <c r="O2224" s="16" t="n">
        <v>42495</v>
      </c>
      <c r="P2224" s="6" t="s">
        <v>10280</v>
      </c>
      <c r="Q2224" s="6" t="s">
        <v>104</v>
      </c>
      <c r="R2224" s="6" t="s">
        <v>104</v>
      </c>
      <c r="S2224" s="6" t="s">
        <v>104</v>
      </c>
      <c r="T2224" s="21" t="s">
        <v>104</v>
      </c>
      <c r="U2224" s="6" t="s">
        <v>104</v>
      </c>
      <c r="V2224" s="6" t="s">
        <v>104</v>
      </c>
      <c r="W2224" s="6" t="s">
        <v>104</v>
      </c>
      <c r="X2224" s="6" t="s">
        <v>104</v>
      </c>
      <c r="Y2224" s="21" t="s">
        <v>104</v>
      </c>
      <c r="Z2224" s="6" t="s">
        <v>104</v>
      </c>
      <c r="AA2224" s="6" t="s">
        <v>104</v>
      </c>
      <c r="AB2224" s="6" t="s">
        <v>104</v>
      </c>
      <c r="AC2224" s="6" t="s">
        <v>9714</v>
      </c>
      <c r="AD2224" s="16" t="n">
        <v>42495</v>
      </c>
      <c r="AE2224" s="6" t="s">
        <v>12452</v>
      </c>
      <c r="AF2224" s="6" t="s">
        <v>104</v>
      </c>
      <c r="AG2224" s="6" t="s">
        <v>104</v>
      </c>
      <c r="AH2224" s="6" t="s">
        <v>15191</v>
      </c>
      <c r="AI2224" s="6" t="s">
        <v>104</v>
      </c>
      <c r="AJ2224" s="6" t="s">
        <v>15824</v>
      </c>
      <c r="AK2224" s="6" t="s">
        <v>16706</v>
      </c>
      <c r="AL2224" s="6" t="s">
        <v>16931</v>
      </c>
      <c r="AM2224" s="6" t="s">
        <v>18391</v>
      </c>
      <c r="AN2224" s="6" t="s">
        <v>18458</v>
      </c>
      <c r="AO2224" s="6" t="s">
        <v>18671</v>
      </c>
      <c r="AP2224" s="6" t="s">
        <v>15191</v>
      </c>
      <c r="AQ2224" s="6" t="s">
        <v>104</v>
      </c>
      <c r="AR2224" s="6" t="s">
        <v>15824</v>
      </c>
      <c r="AS2224" s="6" t="s">
        <v>16706</v>
      </c>
      <c r="AT2224" s="6" t="s">
        <v>16931</v>
      </c>
      <c r="AU2224" s="6" t="s">
        <v>18391</v>
      </c>
      <c r="AV2224" s="6" t="s">
        <v>104</v>
      </c>
      <c r="AW2224" s="6" t="s">
        <v>104</v>
      </c>
      <c r="AX2224" s="6" t="s">
        <v>21822</v>
      </c>
      <c r="AY2224" s="6" t="s">
        <v>23659</v>
      </c>
      <c r="AZ2224" s="6" t="s">
        <v>104</v>
      </c>
      <c r="BA2224" s="6" t="s">
        <v>104</v>
      </c>
      <c r="BB2224" s="24" t="n">
        <v>2236</v>
      </c>
      <c r="BC2224" s="26" t="s">
        <v>24533</v>
      </c>
      <c r="BD2224" s="26"/>
      <c r="BE2224" s="26"/>
      <c r="BF2224" s="26"/>
      <c r="BG2224" s="26"/>
      <c r="BH2224" s="26"/>
      <c r="BI2224" s="26"/>
      <c r="BJ2224" s="26"/>
      <c r="BK2224" s="26"/>
      <c r="BL2224" s="26"/>
      <c r="BM2224" s="26"/>
      <c r="BN2224" s="26"/>
      <c r="BO2224" s="26"/>
      <c r="BP2224" s="16" t="n">
        <v>45737</v>
      </c>
      <c r="BQ2224" s="28" t="str">
        <f>HYPERLINK("https://organic.ams.usda.gov/Integrity/Certificate.aspx?cid=58&amp;nopid=1600002597")</f>
        <v>https://organic.ams.usda.gov/Integrity/Certificate.aspx?cid=58&amp;nopid=1600002597</v>
      </c>
    </row>
    <row r="2225">
      <c r="A2225" t="s">
        <v>3</v>
      </c>
      <c r="B2225" s="6" t="s">
        <v>34</v>
      </c>
      <c r="C2225" s="6" t="s">
        <v>100</v>
      </c>
      <c r="D2225" s="6" t="s">
        <v>165</v>
      </c>
      <c r="E2225" s="10" t="s">
        <v>2423</v>
      </c>
      <c r="F2225" s="6" t="s">
        <v>4624</v>
      </c>
      <c r="G2225" s="6" t="s">
        <v>104</v>
      </c>
      <c r="H2225" s="6" t="s">
        <v>6883</v>
      </c>
      <c r="I2225" s="6" t="s">
        <v>7003</v>
      </c>
      <c r="J2225" s="6" t="s">
        <v>9691</v>
      </c>
      <c r="K2225" s="6" t="s">
        <v>9714</v>
      </c>
      <c r="L2225" s="16" t="n">
        <v>37375</v>
      </c>
      <c r="M2225" s="16" t="n">
        <v>45964</v>
      </c>
      <c r="N2225" s="6" t="s">
        <v>104</v>
      </c>
      <c r="O2225" s="21" t="s">
        <v>104</v>
      </c>
      <c r="P2225" s="6" t="s">
        <v>104</v>
      </c>
      <c r="Q2225" s="6" t="s">
        <v>104</v>
      </c>
      <c r="R2225" s="6" t="s">
        <v>104</v>
      </c>
      <c r="S2225" s="6" t="s">
        <v>104</v>
      </c>
      <c r="T2225" s="21" t="s">
        <v>104</v>
      </c>
      <c r="U2225" s="6" t="s">
        <v>104</v>
      </c>
      <c r="V2225" s="6" t="s">
        <v>104</v>
      </c>
      <c r="W2225" s="6" t="s">
        <v>104</v>
      </c>
      <c r="X2225" s="6" t="s">
        <v>104</v>
      </c>
      <c r="Y2225" s="21" t="s">
        <v>104</v>
      </c>
      <c r="Z2225" s="6" t="s">
        <v>104</v>
      </c>
      <c r="AA2225" s="6" t="s">
        <v>104</v>
      </c>
      <c r="AB2225" s="6" t="s">
        <v>104</v>
      </c>
      <c r="AC2225" s="6" t="s">
        <v>9714</v>
      </c>
      <c r="AD2225" s="16" t="n">
        <v>37375</v>
      </c>
      <c r="AE2225" s="6" t="s">
        <v>12453</v>
      </c>
      <c r="AF2225" s="6" t="s">
        <v>104</v>
      </c>
      <c r="AG2225" s="6" t="s">
        <v>13143</v>
      </c>
      <c r="AH2225" s="6" t="s">
        <v>15192</v>
      </c>
      <c r="AI2225" s="6" t="s">
        <v>104</v>
      </c>
      <c r="AJ2225" s="6" t="s">
        <v>15891</v>
      </c>
      <c r="AK2225" s="6" t="s">
        <v>16680</v>
      </c>
      <c r="AL2225" s="6" t="s">
        <v>16931</v>
      </c>
      <c r="AM2225" s="6" t="s">
        <v>18430</v>
      </c>
      <c r="AN2225" s="6" t="s">
        <v>18523</v>
      </c>
      <c r="AO2225" s="6" t="s">
        <v>18827</v>
      </c>
      <c r="AP2225" s="6" t="s">
        <v>15192</v>
      </c>
      <c r="AQ2225" s="6" t="s">
        <v>104</v>
      </c>
      <c r="AR2225" s="6" t="s">
        <v>15891</v>
      </c>
      <c r="AS2225" s="6" t="s">
        <v>16680</v>
      </c>
      <c r="AT2225" s="6" t="s">
        <v>16931</v>
      </c>
      <c r="AU2225" s="6" t="s">
        <v>18430</v>
      </c>
      <c r="AV2225" s="6" t="s">
        <v>104</v>
      </c>
      <c r="AW2225" s="6" t="s">
        <v>104</v>
      </c>
      <c r="AX2225" s="6" t="s">
        <v>20259</v>
      </c>
      <c r="AY2225" s="6" t="s">
        <v>23660</v>
      </c>
      <c r="AZ2225" s="6" t="s">
        <v>104</v>
      </c>
      <c r="BA2225" s="6" t="s">
        <v>104</v>
      </c>
      <c r="BB2225" s="6" t="s">
        <v>104</v>
      </c>
      <c r="BC2225" s="26"/>
      <c r="BD2225" s="26"/>
      <c r="BE2225" s="26"/>
      <c r="BF2225" s="26"/>
      <c r="BG2225" s="26"/>
      <c r="BH2225" s="26"/>
      <c r="BI2225" s="26"/>
      <c r="BJ2225" s="26"/>
      <c r="BK2225" s="26"/>
      <c r="BL2225" s="26"/>
      <c r="BM2225" s="26"/>
      <c r="BN2225" s="26"/>
      <c r="BO2225" s="26"/>
      <c r="BP2225" s="16" t="n">
        <v>45739</v>
      </c>
      <c r="BQ2225" s="28" t="str">
        <f>HYPERLINK("https://organic.ams.usda.gov/Integrity/Certificate.aspx?cid=71&amp;nopid=5520029645")</f>
        <v>https://organic.ams.usda.gov/Integrity/Certificate.aspx?cid=71&amp;nopid=5520029645</v>
      </c>
    </row>
    <row r="2226">
      <c r="A2226" t="s">
        <v>3</v>
      </c>
      <c r="B2226" s="6" t="s">
        <v>6</v>
      </c>
      <c r="C2226" s="6" t="s">
        <v>72</v>
      </c>
      <c r="D2226" s="6" t="s">
        <v>137</v>
      </c>
      <c r="E2226" s="10" t="s">
        <v>2424</v>
      </c>
      <c r="F2226" s="6" t="s">
        <v>4625</v>
      </c>
      <c r="G2226" s="6" t="s">
        <v>104</v>
      </c>
      <c r="H2226" s="6" t="s">
        <v>6884</v>
      </c>
      <c r="I2226" s="6" t="s">
        <v>8113</v>
      </c>
      <c r="J2226" s="6" t="s">
        <v>9692</v>
      </c>
      <c r="K2226" s="6" t="s">
        <v>9714</v>
      </c>
      <c r="L2226" s="16" t="n">
        <v>45687</v>
      </c>
      <c r="M2226" s="16" t="n">
        <v>45958</v>
      </c>
      <c r="N2226" s="6" t="s">
        <v>104</v>
      </c>
      <c r="O2226" s="21" t="s">
        <v>104</v>
      </c>
      <c r="P2226" s="6" t="s">
        <v>104</v>
      </c>
      <c r="Q2226" s="6" t="s">
        <v>104</v>
      </c>
      <c r="R2226" s="6" t="s">
        <v>104</v>
      </c>
      <c r="S2226" s="6" t="s">
        <v>104</v>
      </c>
      <c r="T2226" s="21" t="s">
        <v>104</v>
      </c>
      <c r="U2226" s="6" t="s">
        <v>104</v>
      </c>
      <c r="V2226" s="6" t="s">
        <v>104</v>
      </c>
      <c r="W2226" s="6" t="s">
        <v>104</v>
      </c>
      <c r="X2226" s="6" t="s">
        <v>104</v>
      </c>
      <c r="Y2226" s="21" t="s">
        <v>104</v>
      </c>
      <c r="Z2226" s="6" t="s">
        <v>104</v>
      </c>
      <c r="AA2226" s="6" t="s">
        <v>104</v>
      </c>
      <c r="AB2226" s="6" t="s">
        <v>104</v>
      </c>
      <c r="AC2226" s="6" t="s">
        <v>9714</v>
      </c>
      <c r="AD2226" s="16" t="n">
        <v>45687</v>
      </c>
      <c r="AE2226" s="6" t="s">
        <v>12454</v>
      </c>
      <c r="AF2226" s="6" t="s">
        <v>104</v>
      </c>
      <c r="AG2226" s="6" t="s">
        <v>13144</v>
      </c>
      <c r="AH2226" s="6" t="s">
        <v>15193</v>
      </c>
      <c r="AI2226" s="6" t="s">
        <v>104</v>
      </c>
      <c r="AJ2226" s="6" t="s">
        <v>15542</v>
      </c>
      <c r="AK2226" s="6" t="s">
        <v>16687</v>
      </c>
      <c r="AL2226" s="6" t="s">
        <v>16931</v>
      </c>
      <c r="AM2226" s="6" t="s">
        <v>17969</v>
      </c>
      <c r="AN2226" s="6" t="s">
        <v>104</v>
      </c>
      <c r="AO2226" s="6" t="s">
        <v>104</v>
      </c>
      <c r="AP2226" s="6" t="s">
        <v>104</v>
      </c>
      <c r="AQ2226" s="6" t="s">
        <v>104</v>
      </c>
      <c r="AR2226" s="6" t="s">
        <v>104</v>
      </c>
      <c r="AS2226" s="6" t="s">
        <v>104</v>
      </c>
      <c r="AT2226" s="6" t="s">
        <v>104</v>
      </c>
      <c r="AU2226" s="6" t="s">
        <v>104</v>
      </c>
      <c r="AV2226" s="6" t="s">
        <v>104</v>
      </c>
      <c r="AW2226" s="6" t="s">
        <v>104</v>
      </c>
      <c r="AX2226" s="6" t="s">
        <v>21823</v>
      </c>
      <c r="AY2226" s="6" t="s">
        <v>23661</v>
      </c>
      <c r="AZ2226" s="6" t="s">
        <v>104</v>
      </c>
      <c r="BA2226" s="6" t="s">
        <v>104</v>
      </c>
      <c r="BB2226" s="6" t="s">
        <v>104</v>
      </c>
      <c r="BC2226" s="26"/>
      <c r="BD2226" s="26"/>
      <c r="BE2226" s="26"/>
      <c r="BF2226" s="26"/>
      <c r="BG2226" s="26"/>
      <c r="BH2226" s="26"/>
      <c r="BI2226" s="26"/>
      <c r="BJ2226" s="26"/>
      <c r="BK2226" s="26"/>
      <c r="BL2226" s="26"/>
      <c r="BM2226" s="26"/>
      <c r="BN2226" s="26"/>
      <c r="BO2226" s="26"/>
      <c r="BP2226" s="16" t="n">
        <v>45737</v>
      </c>
      <c r="BQ2226" s="28" t="str">
        <f>HYPERLINK("https://organic.ams.usda.gov/Integrity/Certificate.aspx?cid=32&amp;nopid=2230011641")</f>
        <v>https://organic.ams.usda.gov/Integrity/Certificate.aspx?cid=32&amp;nopid=2230011641</v>
      </c>
    </row>
    <row r="2227">
      <c r="A2227" t="s">
        <v>3</v>
      </c>
      <c r="B2227" s="6" t="s">
        <v>17</v>
      </c>
      <c r="C2227" s="6" t="s">
        <v>83</v>
      </c>
      <c r="D2227" s="6" t="s">
        <v>148</v>
      </c>
      <c r="E2227" s="10" t="s">
        <v>2425</v>
      </c>
      <c r="F2227" s="6" t="s">
        <v>4626</v>
      </c>
      <c r="G2227" s="6" t="s">
        <v>104</v>
      </c>
      <c r="H2227" s="6" t="s">
        <v>6885</v>
      </c>
      <c r="I2227" s="6" t="s">
        <v>8114</v>
      </c>
      <c r="J2227" s="6" t="s">
        <v>9693</v>
      </c>
      <c r="K2227" s="6" t="s">
        <v>9714</v>
      </c>
      <c r="L2227" s="16" t="n">
        <v>45503</v>
      </c>
      <c r="M2227" s="16" t="n">
        <v>45809</v>
      </c>
      <c r="N2227" s="6" t="s">
        <v>104</v>
      </c>
      <c r="O2227" s="21" t="s">
        <v>104</v>
      </c>
      <c r="P2227" s="6" t="s">
        <v>104</v>
      </c>
      <c r="Q2227" s="6" t="s">
        <v>104</v>
      </c>
      <c r="R2227" s="6" t="s">
        <v>104</v>
      </c>
      <c r="S2227" s="6" t="s">
        <v>104</v>
      </c>
      <c r="T2227" s="21" t="s">
        <v>104</v>
      </c>
      <c r="U2227" s="6" t="s">
        <v>104</v>
      </c>
      <c r="V2227" s="6" t="s">
        <v>104</v>
      </c>
      <c r="W2227" s="6" t="s">
        <v>104</v>
      </c>
      <c r="X2227" s="6" t="s">
        <v>104</v>
      </c>
      <c r="Y2227" s="21" t="s">
        <v>104</v>
      </c>
      <c r="Z2227" s="6" t="s">
        <v>104</v>
      </c>
      <c r="AA2227" s="6" t="s">
        <v>104</v>
      </c>
      <c r="AB2227" s="6" t="s">
        <v>104</v>
      </c>
      <c r="AC2227" s="6" t="s">
        <v>9714</v>
      </c>
      <c r="AD2227" s="16" t="n">
        <v>45503</v>
      </c>
      <c r="AE2227" s="6" t="s">
        <v>12455</v>
      </c>
      <c r="AF2227" s="6" t="s">
        <v>104</v>
      </c>
      <c r="AG2227" s="6" t="s">
        <v>104</v>
      </c>
      <c r="AH2227" s="6" t="s">
        <v>15194</v>
      </c>
      <c r="AI2227" s="6" t="s">
        <v>104</v>
      </c>
      <c r="AJ2227" s="6" t="s">
        <v>15565</v>
      </c>
      <c r="AK2227" s="6" t="s">
        <v>16680</v>
      </c>
      <c r="AL2227" s="6" t="s">
        <v>16931</v>
      </c>
      <c r="AM2227" s="6" t="s">
        <v>18431</v>
      </c>
      <c r="AN2227" s="6" t="s">
        <v>104</v>
      </c>
      <c r="AO2227" s="6" t="s">
        <v>104</v>
      </c>
      <c r="AP2227" s="6" t="s">
        <v>15194</v>
      </c>
      <c r="AQ2227" s="6" t="s">
        <v>104</v>
      </c>
      <c r="AR2227" s="6" t="s">
        <v>15565</v>
      </c>
      <c r="AS2227" s="6" t="s">
        <v>16680</v>
      </c>
      <c r="AT2227" s="6" t="s">
        <v>16931</v>
      </c>
      <c r="AU2227" s="6" t="s">
        <v>18431</v>
      </c>
      <c r="AV2227" s="6" t="s">
        <v>104</v>
      </c>
      <c r="AW2227" s="6" t="s">
        <v>104</v>
      </c>
      <c r="AX2227" s="6" t="s">
        <v>21824</v>
      </c>
      <c r="AY2227" s="6" t="s">
        <v>23662</v>
      </c>
      <c r="AZ2227" s="6" t="s">
        <v>104</v>
      </c>
      <c r="BA2227" s="6" t="s">
        <v>104</v>
      </c>
      <c r="BB2227" s="24" t="n">
        <v>0</v>
      </c>
      <c r="BC2227" s="26"/>
      <c r="BD2227" s="26"/>
      <c r="BE2227" s="26"/>
      <c r="BF2227" s="26"/>
      <c r="BG2227" s="26"/>
      <c r="BH2227" s="26" t="s">
        <v>24533</v>
      </c>
      <c r="BI2227" s="26"/>
      <c r="BJ2227" s="26"/>
      <c r="BK2227" s="26"/>
      <c r="BL2227" s="26"/>
      <c r="BM2227" s="26"/>
      <c r="BN2227" s="26"/>
      <c r="BO2227" s="26"/>
      <c r="BP2227" s="16" t="n">
        <v>45664</v>
      </c>
      <c r="BQ2227" s="28" t="str">
        <f>HYPERLINK("https://organic.ams.usda.gov/Integrity/Certificate.aspx?cid=51&amp;nopid=8241000066")</f>
        <v>https://organic.ams.usda.gov/Integrity/Certificate.aspx?cid=51&amp;nopid=8241000066</v>
      </c>
    </row>
    <row r="2228">
      <c r="A2228" t="s">
        <v>3</v>
      </c>
      <c r="B2228" s="6" t="s">
        <v>32</v>
      </c>
      <c r="C2228" s="6" t="s">
        <v>98</v>
      </c>
      <c r="D2228" s="6" t="s">
        <v>163</v>
      </c>
      <c r="E2228" s="10" t="s">
        <v>2426</v>
      </c>
      <c r="F2228" s="6" t="s">
        <v>4627</v>
      </c>
      <c r="G2228" s="6" t="s">
        <v>104</v>
      </c>
      <c r="H2228" s="6" t="s">
        <v>6886</v>
      </c>
      <c r="I2228" s="6" t="s">
        <v>8031</v>
      </c>
      <c r="J2228" s="6" t="s">
        <v>9694</v>
      </c>
      <c r="K2228" s="6" t="s">
        <v>9714</v>
      </c>
      <c r="L2228" s="16" t="n">
        <v>44557</v>
      </c>
      <c r="M2228" s="16" t="n">
        <v>45809</v>
      </c>
      <c r="N2228" s="6" t="s">
        <v>104</v>
      </c>
      <c r="O2228" s="21" t="s">
        <v>104</v>
      </c>
      <c r="P2228" s="6" t="s">
        <v>104</v>
      </c>
      <c r="Q2228" s="6" t="s">
        <v>104</v>
      </c>
      <c r="R2228" s="6" t="s">
        <v>104</v>
      </c>
      <c r="S2228" s="6" t="s">
        <v>104</v>
      </c>
      <c r="T2228" s="21" t="s">
        <v>104</v>
      </c>
      <c r="U2228" s="6" t="s">
        <v>104</v>
      </c>
      <c r="V2228" s="6" t="s">
        <v>104</v>
      </c>
      <c r="W2228" s="6" t="s">
        <v>104</v>
      </c>
      <c r="X2228" s="6" t="s">
        <v>104</v>
      </c>
      <c r="Y2228" s="21" t="s">
        <v>104</v>
      </c>
      <c r="Z2228" s="6" t="s">
        <v>104</v>
      </c>
      <c r="AA2228" s="6" t="s">
        <v>104</v>
      </c>
      <c r="AB2228" s="6" t="s">
        <v>104</v>
      </c>
      <c r="AC2228" s="6" t="s">
        <v>9714</v>
      </c>
      <c r="AD2228" s="16" t="n">
        <v>44557</v>
      </c>
      <c r="AE2228" s="6" t="s">
        <v>12456</v>
      </c>
      <c r="AF2228" s="6" t="s">
        <v>104</v>
      </c>
      <c r="AG2228" s="6" t="s">
        <v>104</v>
      </c>
      <c r="AH2228" s="6" t="s">
        <v>15195</v>
      </c>
      <c r="AI2228" s="6" t="s">
        <v>104</v>
      </c>
      <c r="AJ2228" s="6" t="s">
        <v>16658</v>
      </c>
      <c r="AK2228" s="6" t="s">
        <v>16742</v>
      </c>
      <c r="AL2228" s="6" t="s">
        <v>16931</v>
      </c>
      <c r="AM2228" s="6" t="s">
        <v>18432</v>
      </c>
      <c r="AN2228" s="6" t="s">
        <v>18506</v>
      </c>
      <c r="AO2228" s="6" t="s">
        <v>18936</v>
      </c>
      <c r="AP2228" s="6" t="s">
        <v>104</v>
      </c>
      <c r="AQ2228" s="6" t="s">
        <v>104</v>
      </c>
      <c r="AR2228" s="6" t="s">
        <v>104</v>
      </c>
      <c r="AS2228" s="6" t="s">
        <v>104</v>
      </c>
      <c r="AT2228" s="6" t="s">
        <v>104</v>
      </c>
      <c r="AU2228" s="6" t="s">
        <v>104</v>
      </c>
      <c r="AV2228" s="6" t="s">
        <v>104</v>
      </c>
      <c r="AW2228" s="6" t="s">
        <v>104</v>
      </c>
      <c r="AX2228" s="6" t="s">
        <v>21825</v>
      </c>
      <c r="AY2228" s="6" t="s">
        <v>23663</v>
      </c>
      <c r="AZ2228" s="6" t="s">
        <v>104</v>
      </c>
      <c r="BA2228" s="6" t="s">
        <v>104</v>
      </c>
      <c r="BB2228" s="6" t="s">
        <v>104</v>
      </c>
      <c r="BC2228" s="26"/>
      <c r="BD2228" s="26"/>
      <c r="BE2228" s="26"/>
      <c r="BF2228" s="26"/>
      <c r="BG2228" s="26" t="s">
        <v>24533</v>
      </c>
      <c r="BH2228" s="26"/>
      <c r="BI2228" s="26"/>
      <c r="BJ2228" s="26"/>
      <c r="BK2228" s="26"/>
      <c r="BL2228" s="26"/>
      <c r="BM2228" s="26"/>
      <c r="BN2228" s="26" t="s">
        <v>24533</v>
      </c>
      <c r="BO2228" s="26"/>
      <c r="BP2228" s="16" t="n">
        <v>45678</v>
      </c>
      <c r="BQ2228" s="28" t="str">
        <f>HYPERLINK("https://organic.ams.usda.gov/Integrity/Certificate.aspx?cid=64&amp;nopid=8830001574")</f>
        <v>https://organic.ams.usda.gov/Integrity/Certificate.aspx?cid=64&amp;nopid=8830001574</v>
      </c>
    </row>
    <row r="2229">
      <c r="A2229" t="s">
        <v>3</v>
      </c>
      <c r="B2229" s="6" t="s">
        <v>32</v>
      </c>
      <c r="C2229" s="6" t="s">
        <v>98</v>
      </c>
      <c r="D2229" s="6" t="s">
        <v>163</v>
      </c>
      <c r="E2229" s="10" t="s">
        <v>2427</v>
      </c>
      <c r="F2229" s="6" t="s">
        <v>4627</v>
      </c>
      <c r="G2229" s="6" t="s">
        <v>104</v>
      </c>
      <c r="H2229" s="6" t="s">
        <v>6887</v>
      </c>
      <c r="I2229" s="6" t="s">
        <v>8031</v>
      </c>
      <c r="J2229" s="6" t="s">
        <v>9694</v>
      </c>
      <c r="K2229" s="6" t="s">
        <v>9714</v>
      </c>
      <c r="L2229" s="16" t="n">
        <v>40823</v>
      </c>
      <c r="M2229" s="16" t="n">
        <v>45748</v>
      </c>
      <c r="N2229" s="6" t="s">
        <v>104</v>
      </c>
      <c r="O2229" s="21" t="s">
        <v>104</v>
      </c>
      <c r="P2229" s="6" t="s">
        <v>104</v>
      </c>
      <c r="Q2229" s="6" t="s">
        <v>104</v>
      </c>
      <c r="R2229" s="6" t="s">
        <v>104</v>
      </c>
      <c r="S2229" s="6" t="s">
        <v>104</v>
      </c>
      <c r="T2229" s="21" t="s">
        <v>104</v>
      </c>
      <c r="U2229" s="6" t="s">
        <v>104</v>
      </c>
      <c r="V2229" s="6" t="s">
        <v>104</v>
      </c>
      <c r="W2229" s="6" t="s">
        <v>104</v>
      </c>
      <c r="X2229" s="6" t="s">
        <v>104</v>
      </c>
      <c r="Y2229" s="21" t="s">
        <v>104</v>
      </c>
      <c r="Z2229" s="6" t="s">
        <v>104</v>
      </c>
      <c r="AA2229" s="6" t="s">
        <v>104</v>
      </c>
      <c r="AB2229" s="6" t="s">
        <v>104</v>
      </c>
      <c r="AC2229" s="6" t="s">
        <v>9714</v>
      </c>
      <c r="AD2229" s="16" t="n">
        <v>40823</v>
      </c>
      <c r="AE2229" s="6" t="s">
        <v>12457</v>
      </c>
      <c r="AF2229" s="6" t="s">
        <v>104</v>
      </c>
      <c r="AG2229" s="6" t="s">
        <v>104</v>
      </c>
      <c r="AH2229" s="6" t="s">
        <v>15196</v>
      </c>
      <c r="AI2229" s="6" t="s">
        <v>104</v>
      </c>
      <c r="AJ2229" s="6" t="s">
        <v>15854</v>
      </c>
      <c r="AK2229" s="6" t="s">
        <v>16683</v>
      </c>
      <c r="AL2229" s="6" t="s">
        <v>16931</v>
      </c>
      <c r="AM2229" s="6" t="s">
        <v>18433</v>
      </c>
      <c r="AN2229" s="6" t="s">
        <v>18487</v>
      </c>
      <c r="AO2229" s="6" t="s">
        <v>18937</v>
      </c>
      <c r="AP2229" s="6" t="s">
        <v>104</v>
      </c>
      <c r="AQ2229" s="6" t="s">
        <v>104</v>
      </c>
      <c r="AR2229" s="6" t="s">
        <v>104</v>
      </c>
      <c r="AS2229" s="6" t="s">
        <v>104</v>
      </c>
      <c r="AT2229" s="6" t="s">
        <v>104</v>
      </c>
      <c r="AU2229" s="6" t="s">
        <v>104</v>
      </c>
      <c r="AV2229" s="6" t="s">
        <v>104</v>
      </c>
      <c r="AW2229" s="6" t="s">
        <v>104</v>
      </c>
      <c r="AX2229" s="6" t="s">
        <v>21826</v>
      </c>
      <c r="AY2229" s="6" t="s">
        <v>23663</v>
      </c>
      <c r="AZ2229" s="6" t="s">
        <v>24253</v>
      </c>
      <c r="BA2229" s="6" t="s">
        <v>104</v>
      </c>
      <c r="BB2229" s="6" t="s">
        <v>104</v>
      </c>
      <c r="BC2229" s="26"/>
      <c r="BD2229" s="26"/>
      <c r="BE2229" s="26"/>
      <c r="BF2229" s="26"/>
      <c r="BG2229" s="26"/>
      <c r="BH2229" s="26"/>
      <c r="BI2229" s="26"/>
      <c r="BJ2229" s="26"/>
      <c r="BK2229" s="26"/>
      <c r="BL2229" s="26"/>
      <c r="BM2229" s="26"/>
      <c r="BN2229" s="26"/>
      <c r="BO2229" s="26"/>
      <c r="BP2229" s="16" t="n">
        <v>45671</v>
      </c>
      <c r="BQ2229" s="28" t="str">
        <f>HYPERLINK("https://organic.ams.usda.gov/Integrity/Certificate.aspx?cid=64&amp;nopid=8830000578")</f>
        <v>https://organic.ams.usda.gov/Integrity/Certificate.aspx?cid=64&amp;nopid=8830000578</v>
      </c>
    </row>
    <row r="2230">
      <c r="A2230" t="s">
        <v>3</v>
      </c>
      <c r="B2230" s="6" t="s">
        <v>21</v>
      </c>
      <c r="C2230" s="6" t="s">
        <v>87</v>
      </c>
      <c r="D2230" s="6" t="s">
        <v>152</v>
      </c>
      <c r="E2230" s="10" t="s">
        <v>2428</v>
      </c>
      <c r="F2230" s="6" t="s">
        <v>4628</v>
      </c>
      <c r="G2230" s="6" t="s">
        <v>4892</v>
      </c>
      <c r="H2230" s="6" t="s">
        <v>6888</v>
      </c>
      <c r="I2230" s="6" t="s">
        <v>7097</v>
      </c>
      <c r="J2230" s="6" t="s">
        <v>8322</v>
      </c>
      <c r="K2230" s="6" t="s">
        <v>9714</v>
      </c>
      <c r="L2230" s="16" t="n">
        <v>36053</v>
      </c>
      <c r="M2230" s="16" t="n">
        <v>46023</v>
      </c>
      <c r="N2230" s="6" t="s">
        <v>104</v>
      </c>
      <c r="O2230" s="21" t="s">
        <v>104</v>
      </c>
      <c r="P2230" s="6" t="s">
        <v>104</v>
      </c>
      <c r="Q2230" s="6" t="s">
        <v>104</v>
      </c>
      <c r="R2230" s="6" t="s">
        <v>104</v>
      </c>
      <c r="S2230" s="6" t="s">
        <v>104</v>
      </c>
      <c r="T2230" s="21" t="s">
        <v>104</v>
      </c>
      <c r="U2230" s="6" t="s">
        <v>104</v>
      </c>
      <c r="V2230" s="6" t="s">
        <v>104</v>
      </c>
      <c r="W2230" s="6" t="s">
        <v>104</v>
      </c>
      <c r="X2230" s="6" t="s">
        <v>104</v>
      </c>
      <c r="Y2230" s="21" t="s">
        <v>104</v>
      </c>
      <c r="Z2230" s="6" t="s">
        <v>104</v>
      </c>
      <c r="AA2230" s="6" t="s">
        <v>104</v>
      </c>
      <c r="AB2230" s="6" t="s">
        <v>104</v>
      </c>
      <c r="AC2230" s="6" t="s">
        <v>9714</v>
      </c>
      <c r="AD2230" s="16" t="n">
        <v>36053</v>
      </c>
      <c r="AE2230" s="6" t="s">
        <v>12458</v>
      </c>
      <c r="AF2230" s="6" t="s">
        <v>104</v>
      </c>
      <c r="AG2230" s="6" t="s">
        <v>104</v>
      </c>
      <c r="AH2230" s="6" t="s">
        <v>15197</v>
      </c>
      <c r="AI2230" s="6" t="s">
        <v>104</v>
      </c>
      <c r="AJ2230" s="6" t="s">
        <v>15675</v>
      </c>
      <c r="AK2230" s="6" t="s">
        <v>16687</v>
      </c>
      <c r="AL2230" s="6" t="s">
        <v>16931</v>
      </c>
      <c r="AM2230" s="6" t="s">
        <v>17292</v>
      </c>
      <c r="AN2230" s="6" t="s">
        <v>18487</v>
      </c>
      <c r="AO2230" s="6" t="s">
        <v>18601</v>
      </c>
      <c r="AP2230" s="6" t="s">
        <v>15197</v>
      </c>
      <c r="AQ2230" s="6" t="s">
        <v>104</v>
      </c>
      <c r="AR2230" s="6" t="s">
        <v>15675</v>
      </c>
      <c r="AS2230" s="6" t="s">
        <v>16687</v>
      </c>
      <c r="AT2230" s="6" t="s">
        <v>16931</v>
      </c>
      <c r="AU2230" s="6" t="s">
        <v>17292</v>
      </c>
      <c r="AV2230" s="6" t="s">
        <v>104</v>
      </c>
      <c r="AW2230" s="6" t="s">
        <v>104</v>
      </c>
      <c r="AX2230" s="6" t="s">
        <v>21827</v>
      </c>
      <c r="AY2230" s="6" t="s">
        <v>23664</v>
      </c>
      <c r="AZ2230" s="6" t="s">
        <v>24254</v>
      </c>
      <c r="BA2230" s="6" t="s">
        <v>24528</v>
      </c>
      <c r="BB2230" s="6" t="s">
        <v>104</v>
      </c>
      <c r="BC2230" s="26"/>
      <c r="BD2230" s="26"/>
      <c r="BE2230" s="26"/>
      <c r="BF2230" s="26"/>
      <c r="BG2230" s="26"/>
      <c r="BH2230" s="26"/>
      <c r="BI2230" s="26"/>
      <c r="BJ2230" s="26"/>
      <c r="BK2230" s="26"/>
      <c r="BL2230" s="26"/>
      <c r="BM2230" s="26"/>
      <c r="BN2230" s="26"/>
      <c r="BO2230" s="26"/>
      <c r="BP2230" s="16" t="n">
        <v>45688</v>
      </c>
      <c r="BQ2230" s="28" t="str">
        <f>HYPERLINK("https://organic.ams.usda.gov/Integrity/Certificate.aspx?cid=15&amp;nopid=5561001688")</f>
        <v>https://organic.ams.usda.gov/Integrity/Certificate.aspx?cid=15&amp;nopid=5561001688</v>
      </c>
    </row>
    <row r="2231">
      <c r="A2231" t="s">
        <v>3</v>
      </c>
      <c r="B2231" s="6" t="s">
        <v>20</v>
      </c>
      <c r="C2231" s="6" t="s">
        <v>86</v>
      </c>
      <c r="D2231" s="6" t="s">
        <v>151</v>
      </c>
      <c r="E2231" s="10" t="s">
        <v>2429</v>
      </c>
      <c r="F2231" s="6" t="s">
        <v>4629</v>
      </c>
      <c r="G2231" s="6" t="s">
        <v>104</v>
      </c>
      <c r="H2231" s="6" t="s">
        <v>6889</v>
      </c>
      <c r="I2231" s="6" t="s">
        <v>7686</v>
      </c>
      <c r="J2231" s="6" t="s">
        <v>9695</v>
      </c>
      <c r="K2231" s="6" t="s">
        <v>9714</v>
      </c>
      <c r="L2231" s="16" t="n">
        <v>43976</v>
      </c>
      <c r="M2231" s="16" t="n">
        <v>45869</v>
      </c>
      <c r="N2231" s="6" t="s">
        <v>104</v>
      </c>
      <c r="O2231" s="21" t="s">
        <v>104</v>
      </c>
      <c r="P2231" s="6" t="s">
        <v>104</v>
      </c>
      <c r="Q2231" s="6" t="s">
        <v>104</v>
      </c>
      <c r="R2231" s="6" t="s">
        <v>104</v>
      </c>
      <c r="S2231" s="6" t="s">
        <v>104</v>
      </c>
      <c r="T2231" s="21" t="s">
        <v>104</v>
      </c>
      <c r="U2231" s="6" t="s">
        <v>104</v>
      </c>
      <c r="V2231" s="6" t="s">
        <v>104</v>
      </c>
      <c r="W2231" s="6" t="s">
        <v>104</v>
      </c>
      <c r="X2231" s="6" t="s">
        <v>104</v>
      </c>
      <c r="Y2231" s="21" t="s">
        <v>104</v>
      </c>
      <c r="Z2231" s="6" t="s">
        <v>104</v>
      </c>
      <c r="AA2231" s="6" t="s">
        <v>104</v>
      </c>
      <c r="AB2231" s="6" t="s">
        <v>104</v>
      </c>
      <c r="AC2231" s="6" t="s">
        <v>9714</v>
      </c>
      <c r="AD2231" s="16" t="n">
        <v>43976</v>
      </c>
      <c r="AE2231" s="6" t="s">
        <v>12459</v>
      </c>
      <c r="AF2231" s="6" t="s">
        <v>104</v>
      </c>
      <c r="AG2231" s="6" t="s">
        <v>13145</v>
      </c>
      <c r="AH2231" s="6" t="s">
        <v>15198</v>
      </c>
      <c r="AI2231" s="6" t="s">
        <v>104</v>
      </c>
      <c r="AJ2231" s="6" t="s">
        <v>15597</v>
      </c>
      <c r="AK2231" s="6" t="s">
        <v>15597</v>
      </c>
      <c r="AL2231" s="6" t="s">
        <v>16959</v>
      </c>
      <c r="AM2231" s="6" t="s">
        <v>18434</v>
      </c>
      <c r="AN2231" s="6" t="s">
        <v>104</v>
      </c>
      <c r="AO2231" s="6" t="s">
        <v>104</v>
      </c>
      <c r="AP2231" s="6" t="s">
        <v>104</v>
      </c>
      <c r="AQ2231" s="6" t="s">
        <v>104</v>
      </c>
      <c r="AR2231" s="6" t="s">
        <v>104</v>
      </c>
      <c r="AS2231" s="6" t="s">
        <v>104</v>
      </c>
      <c r="AT2231" s="6" t="s">
        <v>104</v>
      </c>
      <c r="AU2231" s="6" t="s">
        <v>104</v>
      </c>
      <c r="AV2231" s="6" t="s">
        <v>104</v>
      </c>
      <c r="AW2231" s="6" t="s">
        <v>104</v>
      </c>
      <c r="AX2231" s="6" t="s">
        <v>21828</v>
      </c>
      <c r="AY2231" s="6" t="s">
        <v>23665</v>
      </c>
      <c r="AZ2231" s="6" t="s">
        <v>104</v>
      </c>
      <c r="BA2231" s="6" t="s">
        <v>104</v>
      </c>
      <c r="BB2231" s="6" t="s">
        <v>104</v>
      </c>
      <c r="BC2231" s="26"/>
      <c r="BD2231" s="26"/>
      <c r="BE2231" s="26"/>
      <c r="BF2231" s="26"/>
      <c r="BG2231" s="26"/>
      <c r="BH2231" s="26"/>
      <c r="BI2231" s="26"/>
      <c r="BJ2231" s="26"/>
      <c r="BK2231" s="26"/>
      <c r="BL2231" s="26"/>
      <c r="BM2231" s="26"/>
      <c r="BN2231" s="26"/>
      <c r="BO2231" s="26"/>
      <c r="BP2231" s="16" t="n">
        <v>45643</v>
      </c>
      <c r="BQ2231" s="28" t="str">
        <f>HYPERLINK("https://organic.ams.usda.gov/Integrity/Certificate.aspx?cid=17&amp;nopid=4087186274")</f>
        <v>https://organic.ams.usda.gov/Integrity/Certificate.aspx?cid=17&amp;nopid=4087186274</v>
      </c>
    </row>
    <row r="2232">
      <c r="A2232" t="s">
        <v>3</v>
      </c>
      <c r="B2232" s="6" t="s">
        <v>20</v>
      </c>
      <c r="C2232" s="6" t="s">
        <v>86</v>
      </c>
      <c r="D2232" s="6" t="s">
        <v>151</v>
      </c>
      <c r="E2232" s="10" t="s">
        <v>2430</v>
      </c>
      <c r="F2232" s="6" t="s">
        <v>4630</v>
      </c>
      <c r="G2232" s="6" t="s">
        <v>104</v>
      </c>
      <c r="H2232" s="6" t="s">
        <v>6890</v>
      </c>
      <c r="I2232" s="6" t="s">
        <v>7686</v>
      </c>
      <c r="J2232" s="6" t="s">
        <v>9695</v>
      </c>
      <c r="K2232" s="6" t="s">
        <v>9714</v>
      </c>
      <c r="L2232" s="16" t="n">
        <v>43979</v>
      </c>
      <c r="M2232" s="16" t="n">
        <v>45869</v>
      </c>
      <c r="N2232" s="6" t="s">
        <v>104</v>
      </c>
      <c r="O2232" s="21" t="s">
        <v>104</v>
      </c>
      <c r="P2232" s="6" t="s">
        <v>104</v>
      </c>
      <c r="Q2232" s="6" t="s">
        <v>104</v>
      </c>
      <c r="R2232" s="6" t="s">
        <v>104</v>
      </c>
      <c r="S2232" s="6" t="s">
        <v>104</v>
      </c>
      <c r="T2232" s="21" t="s">
        <v>104</v>
      </c>
      <c r="U2232" s="6" t="s">
        <v>104</v>
      </c>
      <c r="V2232" s="6" t="s">
        <v>104</v>
      </c>
      <c r="W2232" s="6" t="s">
        <v>104</v>
      </c>
      <c r="X2232" s="6" t="s">
        <v>104</v>
      </c>
      <c r="Y2232" s="21" t="s">
        <v>104</v>
      </c>
      <c r="Z2232" s="6" t="s">
        <v>104</v>
      </c>
      <c r="AA2232" s="6" t="s">
        <v>104</v>
      </c>
      <c r="AB2232" s="6" t="s">
        <v>104</v>
      </c>
      <c r="AC2232" s="6" t="s">
        <v>9714</v>
      </c>
      <c r="AD2232" s="16" t="n">
        <v>43979</v>
      </c>
      <c r="AE2232" s="6" t="s">
        <v>12459</v>
      </c>
      <c r="AF2232" s="6" t="s">
        <v>104</v>
      </c>
      <c r="AG2232" s="6" t="s">
        <v>13146</v>
      </c>
      <c r="AH2232" s="6" t="s">
        <v>15198</v>
      </c>
      <c r="AI2232" s="6" t="s">
        <v>104</v>
      </c>
      <c r="AJ2232" s="6" t="s">
        <v>15597</v>
      </c>
      <c r="AK2232" s="6" t="s">
        <v>15597</v>
      </c>
      <c r="AL2232" s="6" t="s">
        <v>16959</v>
      </c>
      <c r="AM2232" s="6" t="s">
        <v>18434</v>
      </c>
      <c r="AN2232" s="6" t="s">
        <v>104</v>
      </c>
      <c r="AO2232" s="6" t="s">
        <v>104</v>
      </c>
      <c r="AP2232" s="6" t="s">
        <v>104</v>
      </c>
      <c r="AQ2232" s="6" t="s">
        <v>104</v>
      </c>
      <c r="AR2232" s="6" t="s">
        <v>104</v>
      </c>
      <c r="AS2232" s="6" t="s">
        <v>104</v>
      </c>
      <c r="AT2232" s="6" t="s">
        <v>104</v>
      </c>
      <c r="AU2232" s="6" t="s">
        <v>104</v>
      </c>
      <c r="AV2232" s="6" t="s">
        <v>104</v>
      </c>
      <c r="AW2232" s="6" t="s">
        <v>104</v>
      </c>
      <c r="AX2232" s="6" t="s">
        <v>21829</v>
      </c>
      <c r="AY2232" s="6" t="s">
        <v>23665</v>
      </c>
      <c r="AZ2232" s="6" t="s">
        <v>104</v>
      </c>
      <c r="BA2232" s="6" t="s">
        <v>104</v>
      </c>
      <c r="BB2232" s="6" t="s">
        <v>104</v>
      </c>
      <c r="BC2232" s="26"/>
      <c r="BD2232" s="26"/>
      <c r="BE2232" s="26"/>
      <c r="BF2232" s="26"/>
      <c r="BG2232" s="26"/>
      <c r="BH2232" s="26"/>
      <c r="BI2232" s="26"/>
      <c r="BJ2232" s="26"/>
      <c r="BK2232" s="26"/>
      <c r="BL2232" s="26"/>
      <c r="BM2232" s="26"/>
      <c r="BN2232" s="26"/>
      <c r="BO2232" s="26"/>
      <c r="BP2232" s="16" t="n">
        <v>45643</v>
      </c>
      <c r="BQ2232" s="28" t="str">
        <f>HYPERLINK("https://organic.ams.usda.gov/Integrity/Certificate.aspx?cid=17&amp;nopid=4087186275")</f>
        <v>https://organic.ams.usda.gov/Integrity/Certificate.aspx?cid=17&amp;nopid=4087186275</v>
      </c>
    </row>
    <row r="2233">
      <c r="A2233" t="s">
        <v>3</v>
      </c>
      <c r="B2233" s="6" t="s">
        <v>17</v>
      </c>
      <c r="C2233" s="6" t="s">
        <v>83</v>
      </c>
      <c r="D2233" s="6" t="s">
        <v>148</v>
      </c>
      <c r="E2233" s="10" t="s">
        <v>2431</v>
      </c>
      <c r="F2233" s="6" t="s">
        <v>4631</v>
      </c>
      <c r="G2233" s="6" t="s">
        <v>104</v>
      </c>
      <c r="H2233" s="6" t="s">
        <v>6891</v>
      </c>
      <c r="I2233" s="6" t="s">
        <v>7686</v>
      </c>
      <c r="J2233" s="6" t="s">
        <v>9696</v>
      </c>
      <c r="K2233" s="6" t="s">
        <v>9714</v>
      </c>
      <c r="L2233" s="16" t="n">
        <v>44218</v>
      </c>
      <c r="M2233" s="16" t="n">
        <v>45627</v>
      </c>
      <c r="N2233" s="6" t="s">
        <v>104</v>
      </c>
      <c r="O2233" s="21" t="s">
        <v>104</v>
      </c>
      <c r="P2233" s="6" t="s">
        <v>104</v>
      </c>
      <c r="Q2233" s="6" t="s">
        <v>104</v>
      </c>
      <c r="R2233" s="6" t="s">
        <v>104</v>
      </c>
      <c r="S2233" s="6" t="s">
        <v>104</v>
      </c>
      <c r="T2233" s="21" t="s">
        <v>104</v>
      </c>
      <c r="U2233" s="6" t="s">
        <v>104</v>
      </c>
      <c r="V2233" s="6" t="s">
        <v>104</v>
      </c>
      <c r="W2233" s="6" t="s">
        <v>104</v>
      </c>
      <c r="X2233" s="6" t="s">
        <v>104</v>
      </c>
      <c r="Y2233" s="21" t="s">
        <v>104</v>
      </c>
      <c r="Z2233" s="6" t="s">
        <v>104</v>
      </c>
      <c r="AA2233" s="6" t="s">
        <v>104</v>
      </c>
      <c r="AB2233" s="6" t="s">
        <v>104</v>
      </c>
      <c r="AC2233" s="6" t="s">
        <v>9714</v>
      </c>
      <c r="AD2233" s="16" t="n">
        <v>44218</v>
      </c>
      <c r="AE2233" s="6" t="s">
        <v>12460</v>
      </c>
      <c r="AF2233" s="6" t="s">
        <v>104</v>
      </c>
      <c r="AG2233" s="6" t="s">
        <v>104</v>
      </c>
      <c r="AH2233" s="6" t="s">
        <v>15199</v>
      </c>
      <c r="AI2233" s="6" t="s">
        <v>15350</v>
      </c>
      <c r="AJ2233" s="6" t="s">
        <v>15802</v>
      </c>
      <c r="AK2233" s="6" t="s">
        <v>16370</v>
      </c>
      <c r="AL2233" s="6" t="s">
        <v>16931</v>
      </c>
      <c r="AM2233" s="6" t="s">
        <v>18435</v>
      </c>
      <c r="AN2233" s="6" t="s">
        <v>18527</v>
      </c>
      <c r="AO2233" s="6" t="s">
        <v>18735</v>
      </c>
      <c r="AP2233" s="6" t="s">
        <v>15199</v>
      </c>
      <c r="AQ2233" s="6" t="s">
        <v>15350</v>
      </c>
      <c r="AR2233" s="6" t="s">
        <v>15802</v>
      </c>
      <c r="AS2233" s="6" t="s">
        <v>16370</v>
      </c>
      <c r="AT2233" s="6" t="s">
        <v>16931</v>
      </c>
      <c r="AU2233" s="6" t="s">
        <v>18435</v>
      </c>
      <c r="AV2233" s="6" t="s">
        <v>104</v>
      </c>
      <c r="AW2233" s="6" t="s">
        <v>104</v>
      </c>
      <c r="AX2233" s="6" t="s">
        <v>21830</v>
      </c>
      <c r="AY2233" s="6" t="s">
        <v>23666</v>
      </c>
      <c r="AZ2233" s="6" t="s">
        <v>104</v>
      </c>
      <c r="BA2233" s="6" t="s">
        <v>104</v>
      </c>
      <c r="BB2233" s="24" t="n">
        <v>0</v>
      </c>
      <c r="BC2233" s="26"/>
      <c r="BD2233" s="26"/>
      <c r="BE2233" s="26"/>
      <c r="BF2233" s="26"/>
      <c r="BG2233" s="26"/>
      <c r="BH2233" s="26"/>
      <c r="BI2233" s="26"/>
      <c r="BJ2233" s="26"/>
      <c r="BK2233" s="26"/>
      <c r="BL2233" s="26"/>
      <c r="BM2233" s="26"/>
      <c r="BN2233" s="26"/>
      <c r="BO2233" s="26"/>
      <c r="BP2233" s="16" t="n">
        <v>45720</v>
      </c>
      <c r="BQ2233" s="28" t="str">
        <f>HYPERLINK("https://organic.ams.usda.gov/Integrity/Certificate.aspx?cid=51&amp;nopid=8240012221")</f>
        <v>https://organic.ams.usda.gov/Integrity/Certificate.aspx?cid=51&amp;nopid=8240012221</v>
      </c>
    </row>
    <row r="2234">
      <c r="A2234" t="s">
        <v>3</v>
      </c>
      <c r="B2234" s="6" t="s">
        <v>11</v>
      </c>
      <c r="C2234" s="6" t="s">
        <v>77</v>
      </c>
      <c r="D2234" s="6" t="s">
        <v>142</v>
      </c>
      <c r="E2234" s="10" t="s">
        <v>2432</v>
      </c>
      <c r="F2234" s="6" t="s">
        <v>4632</v>
      </c>
      <c r="G2234" s="6" t="s">
        <v>104</v>
      </c>
      <c r="H2234" s="6" t="s">
        <v>104</v>
      </c>
      <c r="I2234" s="6" t="s">
        <v>8115</v>
      </c>
      <c r="J2234" s="6" t="s">
        <v>8884</v>
      </c>
      <c r="K2234" s="6" t="s">
        <v>9714</v>
      </c>
      <c r="L2234" s="16" t="n">
        <v>44641</v>
      </c>
      <c r="M2234" s="16" t="n">
        <v>45915</v>
      </c>
      <c r="N2234" s="6" t="s">
        <v>9714</v>
      </c>
      <c r="O2234" s="16" t="n">
        <v>44641</v>
      </c>
      <c r="P2234" s="6" t="s">
        <v>9995</v>
      </c>
      <c r="Q2234" s="6" t="s">
        <v>104</v>
      </c>
      <c r="R2234" s="6" t="s">
        <v>104</v>
      </c>
      <c r="S2234" s="6" t="s">
        <v>104</v>
      </c>
      <c r="T2234" s="21" t="s">
        <v>104</v>
      </c>
      <c r="U2234" s="6" t="s">
        <v>104</v>
      </c>
      <c r="V2234" s="6" t="s">
        <v>104</v>
      </c>
      <c r="W2234" s="6" t="s">
        <v>104</v>
      </c>
      <c r="X2234" s="6" t="s">
        <v>104</v>
      </c>
      <c r="Y2234" s="21" t="s">
        <v>104</v>
      </c>
      <c r="Z2234" s="6" t="s">
        <v>104</v>
      </c>
      <c r="AA2234" s="6" t="s">
        <v>104</v>
      </c>
      <c r="AB2234" s="6" t="s">
        <v>104</v>
      </c>
      <c r="AC2234" s="6" t="s">
        <v>9714</v>
      </c>
      <c r="AD2234" s="16" t="n">
        <v>44641</v>
      </c>
      <c r="AE2234" s="6" t="s">
        <v>11408</v>
      </c>
      <c r="AF2234" s="6" t="s">
        <v>104</v>
      </c>
      <c r="AG2234" s="6" t="s">
        <v>104</v>
      </c>
      <c r="AH2234" s="6" t="s">
        <v>15200</v>
      </c>
      <c r="AI2234" s="6" t="s">
        <v>104</v>
      </c>
      <c r="AJ2234" s="6" t="s">
        <v>104</v>
      </c>
      <c r="AK2234" s="6" t="s">
        <v>104</v>
      </c>
      <c r="AL2234" s="6" t="s">
        <v>16940</v>
      </c>
      <c r="AM2234" s="6" t="s">
        <v>104</v>
      </c>
      <c r="AN2234" s="6" t="s">
        <v>104</v>
      </c>
      <c r="AO2234" s="6" t="s">
        <v>104</v>
      </c>
      <c r="AP2234" s="6" t="s">
        <v>104</v>
      </c>
      <c r="AQ2234" s="6" t="s">
        <v>104</v>
      </c>
      <c r="AR2234" s="6" t="s">
        <v>104</v>
      </c>
      <c r="AS2234" s="6" t="s">
        <v>104</v>
      </c>
      <c r="AT2234" s="6" t="s">
        <v>104</v>
      </c>
      <c r="AU2234" s="6" t="s">
        <v>104</v>
      </c>
      <c r="AV2234" s="6" t="s">
        <v>104</v>
      </c>
      <c r="AW2234" s="6" t="s">
        <v>104</v>
      </c>
      <c r="AX2234" s="6" t="s">
        <v>21831</v>
      </c>
      <c r="AY2234" s="6" t="s">
        <v>22676</v>
      </c>
      <c r="AZ2234" s="6" t="s">
        <v>104</v>
      </c>
      <c r="BA2234" s="6" t="s">
        <v>104</v>
      </c>
      <c r="BB2234" s="24" t="n">
        <v>4433</v>
      </c>
      <c r="BC2234" s="26"/>
      <c r="BD2234" s="26"/>
      <c r="BE2234" s="26"/>
      <c r="BF2234" s="26"/>
      <c r="BG2234" s="26"/>
      <c r="BH2234" s="26"/>
      <c r="BI2234" s="26"/>
      <c r="BJ2234" s="26"/>
      <c r="BK2234" s="26"/>
      <c r="BL2234" s="26"/>
      <c r="BM2234" s="26"/>
      <c r="BN2234" s="26"/>
      <c r="BO2234" s="26" t="s">
        <v>24533</v>
      </c>
      <c r="BP2234" s="16" t="n">
        <v>45723</v>
      </c>
      <c r="BQ2234" s="28" t="str">
        <f>HYPERLINK("https://organic.ams.usda.gov/Integrity/Certificate.aspx?cid=21&amp;nopid=1780882458")</f>
        <v>https://organic.ams.usda.gov/Integrity/Certificate.aspx?cid=21&amp;nopid=1780882458</v>
      </c>
    </row>
    <row r="2235">
      <c r="A2235" t="s">
        <v>3</v>
      </c>
      <c r="B2235" s="6" t="s">
        <v>11</v>
      </c>
      <c r="C2235" s="6" t="s">
        <v>77</v>
      </c>
      <c r="D2235" s="6" t="s">
        <v>142</v>
      </c>
      <c r="E2235" s="10" t="s">
        <v>2433</v>
      </c>
      <c r="F2235" s="6" t="s">
        <v>4633</v>
      </c>
      <c r="G2235" s="6" t="s">
        <v>104</v>
      </c>
      <c r="H2235" s="6" t="s">
        <v>104</v>
      </c>
      <c r="I2235" s="6" t="s">
        <v>8115</v>
      </c>
      <c r="J2235" s="6" t="s">
        <v>8884</v>
      </c>
      <c r="K2235" s="6" t="s">
        <v>9714</v>
      </c>
      <c r="L2235" s="16" t="n">
        <v>44610</v>
      </c>
      <c r="M2235" s="16" t="n">
        <v>45914</v>
      </c>
      <c r="N2235" s="6" t="s">
        <v>9714</v>
      </c>
      <c r="O2235" s="16" t="n">
        <v>44610</v>
      </c>
      <c r="P2235" s="6" t="s">
        <v>9996</v>
      </c>
      <c r="Q2235" s="6" t="s">
        <v>104</v>
      </c>
      <c r="R2235" s="6" t="s">
        <v>104</v>
      </c>
      <c r="S2235" s="6" t="s">
        <v>104</v>
      </c>
      <c r="T2235" s="21" t="s">
        <v>104</v>
      </c>
      <c r="U2235" s="6" t="s">
        <v>104</v>
      </c>
      <c r="V2235" s="6" t="s">
        <v>104</v>
      </c>
      <c r="W2235" s="6" t="s">
        <v>104</v>
      </c>
      <c r="X2235" s="6" t="s">
        <v>104</v>
      </c>
      <c r="Y2235" s="21" t="s">
        <v>104</v>
      </c>
      <c r="Z2235" s="6" t="s">
        <v>104</v>
      </c>
      <c r="AA2235" s="6" t="s">
        <v>104</v>
      </c>
      <c r="AB2235" s="6" t="s">
        <v>104</v>
      </c>
      <c r="AC2235" s="6" t="s">
        <v>9714</v>
      </c>
      <c r="AD2235" s="16" t="n">
        <v>44610</v>
      </c>
      <c r="AE2235" s="6" t="s">
        <v>11408</v>
      </c>
      <c r="AF2235" s="6" t="s">
        <v>104</v>
      </c>
      <c r="AG2235" s="6" t="s">
        <v>104</v>
      </c>
      <c r="AH2235" s="6" t="s">
        <v>15201</v>
      </c>
      <c r="AI2235" s="6" t="s">
        <v>104</v>
      </c>
      <c r="AJ2235" s="6" t="s">
        <v>104</v>
      </c>
      <c r="AK2235" s="6" t="s">
        <v>104</v>
      </c>
      <c r="AL2235" s="6" t="s">
        <v>16940</v>
      </c>
      <c r="AM2235" s="6" t="s">
        <v>104</v>
      </c>
      <c r="AN2235" s="6" t="s">
        <v>104</v>
      </c>
      <c r="AO2235" s="6" t="s">
        <v>104</v>
      </c>
      <c r="AP2235" s="6" t="s">
        <v>104</v>
      </c>
      <c r="AQ2235" s="6" t="s">
        <v>104</v>
      </c>
      <c r="AR2235" s="6" t="s">
        <v>104</v>
      </c>
      <c r="AS2235" s="6" t="s">
        <v>104</v>
      </c>
      <c r="AT2235" s="6" t="s">
        <v>104</v>
      </c>
      <c r="AU2235" s="6" t="s">
        <v>104</v>
      </c>
      <c r="AV2235" s="6" t="s">
        <v>104</v>
      </c>
      <c r="AW2235" s="6" t="s">
        <v>104</v>
      </c>
      <c r="AX2235" s="6" t="s">
        <v>21831</v>
      </c>
      <c r="AY2235" s="6" t="s">
        <v>22676</v>
      </c>
      <c r="AZ2235" s="6" t="s">
        <v>104</v>
      </c>
      <c r="BA2235" s="6" t="s">
        <v>104</v>
      </c>
      <c r="BB2235" s="24" t="n">
        <v>1681</v>
      </c>
      <c r="BC2235" s="26"/>
      <c r="BD2235" s="26"/>
      <c r="BE2235" s="26"/>
      <c r="BF2235" s="26"/>
      <c r="BG2235" s="26"/>
      <c r="BH2235" s="26"/>
      <c r="BI2235" s="26"/>
      <c r="BJ2235" s="26"/>
      <c r="BK2235" s="26"/>
      <c r="BL2235" s="26"/>
      <c r="BM2235" s="26"/>
      <c r="BN2235" s="26"/>
      <c r="BO2235" s="26" t="s">
        <v>24533</v>
      </c>
      <c r="BP2235" s="16" t="n">
        <v>45723</v>
      </c>
      <c r="BQ2235" s="28" t="str">
        <f>HYPERLINK("https://organic.ams.usda.gov/Integrity/Certificate.aspx?cid=21&amp;nopid=1780882456")</f>
        <v>https://organic.ams.usda.gov/Integrity/Certificate.aspx?cid=21&amp;nopid=1780882456</v>
      </c>
    </row>
    <row r="2236">
      <c r="A2236" t="s">
        <v>3</v>
      </c>
      <c r="B2236" s="6" t="s">
        <v>11</v>
      </c>
      <c r="C2236" s="6" t="s">
        <v>77</v>
      </c>
      <c r="D2236" s="6" t="s">
        <v>142</v>
      </c>
      <c r="E2236" s="10" t="s">
        <v>2434</v>
      </c>
      <c r="F2236" s="6" t="s">
        <v>4634</v>
      </c>
      <c r="G2236" s="6" t="s">
        <v>104</v>
      </c>
      <c r="H2236" s="6" t="s">
        <v>2434</v>
      </c>
      <c r="I2236" s="6" t="s">
        <v>7951</v>
      </c>
      <c r="J2236" s="6" t="s">
        <v>9697</v>
      </c>
      <c r="K2236" s="6" t="s">
        <v>9714</v>
      </c>
      <c r="L2236" s="16" t="n">
        <v>45192</v>
      </c>
      <c r="M2236" s="16" t="n">
        <v>45923</v>
      </c>
      <c r="N2236" s="6" t="s">
        <v>9714</v>
      </c>
      <c r="O2236" s="16" t="n">
        <v>45192</v>
      </c>
      <c r="P2236" s="6" t="s">
        <v>10281</v>
      </c>
      <c r="Q2236" s="6" t="s">
        <v>104</v>
      </c>
      <c r="R2236" s="6" t="s">
        <v>104</v>
      </c>
      <c r="S2236" s="6" t="s">
        <v>104</v>
      </c>
      <c r="T2236" s="21" t="s">
        <v>104</v>
      </c>
      <c r="U2236" s="6" t="s">
        <v>104</v>
      </c>
      <c r="V2236" s="6" t="s">
        <v>104</v>
      </c>
      <c r="W2236" s="6" t="s">
        <v>104</v>
      </c>
      <c r="X2236" s="6" t="s">
        <v>104</v>
      </c>
      <c r="Y2236" s="21" t="s">
        <v>104</v>
      </c>
      <c r="Z2236" s="6" t="s">
        <v>104</v>
      </c>
      <c r="AA2236" s="6" t="s">
        <v>104</v>
      </c>
      <c r="AB2236" s="6" t="s">
        <v>104</v>
      </c>
      <c r="AC2236" s="6" t="s">
        <v>9714</v>
      </c>
      <c r="AD2236" s="16" t="n">
        <v>45192</v>
      </c>
      <c r="AE2236" s="6" t="s">
        <v>12461</v>
      </c>
      <c r="AF2236" s="6" t="s">
        <v>104</v>
      </c>
      <c r="AG2236" s="6" t="s">
        <v>104</v>
      </c>
      <c r="AH2236" s="6" t="s">
        <v>15202</v>
      </c>
      <c r="AI2236" s="6" t="s">
        <v>15351</v>
      </c>
      <c r="AJ2236" s="6" t="s">
        <v>16659</v>
      </c>
      <c r="AK2236" s="6" t="s">
        <v>104</v>
      </c>
      <c r="AL2236" s="6" t="s">
        <v>16940</v>
      </c>
      <c r="AM2236" s="6" t="s">
        <v>104</v>
      </c>
      <c r="AN2236" s="6" t="s">
        <v>104</v>
      </c>
      <c r="AO2236" s="6" t="s">
        <v>104</v>
      </c>
      <c r="AP2236" s="6" t="s">
        <v>104</v>
      </c>
      <c r="AQ2236" s="6" t="s">
        <v>104</v>
      </c>
      <c r="AR2236" s="6" t="s">
        <v>104</v>
      </c>
      <c r="AS2236" s="6" t="s">
        <v>104</v>
      </c>
      <c r="AT2236" s="6" t="s">
        <v>104</v>
      </c>
      <c r="AU2236" s="6" t="s">
        <v>104</v>
      </c>
      <c r="AV2236" s="6" t="s">
        <v>104</v>
      </c>
      <c r="AW2236" s="6" t="s">
        <v>104</v>
      </c>
      <c r="AX2236" s="6" t="s">
        <v>104</v>
      </c>
      <c r="AY2236" s="6" t="s">
        <v>22676</v>
      </c>
      <c r="AZ2236" s="6" t="s">
        <v>104</v>
      </c>
      <c r="BA2236" s="6" t="s">
        <v>104</v>
      </c>
      <c r="BB2236" s="24" t="n">
        <v>1302</v>
      </c>
      <c r="BC2236" s="26"/>
      <c r="BD2236" s="26"/>
      <c r="BE2236" s="26"/>
      <c r="BF2236" s="26"/>
      <c r="BG2236" s="26"/>
      <c r="BH2236" s="26"/>
      <c r="BI2236" s="26"/>
      <c r="BJ2236" s="26"/>
      <c r="BK2236" s="26"/>
      <c r="BL2236" s="26"/>
      <c r="BM2236" s="26"/>
      <c r="BN2236" s="26"/>
      <c r="BO2236" s="26" t="s">
        <v>24533</v>
      </c>
      <c r="BP2236" s="16" t="n">
        <v>45579</v>
      </c>
      <c r="BQ2236" s="28" t="str">
        <f>HYPERLINK("https://organic.ams.usda.gov/Integrity/Certificate.aspx?cid=21&amp;nopid=1780884098")</f>
        <v>https://organic.ams.usda.gov/Integrity/Certificate.aspx?cid=21&amp;nopid=1780884098</v>
      </c>
    </row>
    <row r="2237">
      <c r="A2237" t="s">
        <v>3</v>
      </c>
      <c r="B2237" s="6" t="s">
        <v>11</v>
      </c>
      <c r="C2237" s="6" t="s">
        <v>77</v>
      </c>
      <c r="D2237" s="6" t="s">
        <v>142</v>
      </c>
      <c r="E2237" s="10" t="s">
        <v>2435</v>
      </c>
      <c r="F2237" s="6" t="s">
        <v>4635</v>
      </c>
      <c r="G2237" s="6" t="s">
        <v>104</v>
      </c>
      <c r="H2237" s="6" t="s">
        <v>2435</v>
      </c>
      <c r="I2237" s="6" t="s">
        <v>7951</v>
      </c>
      <c r="J2237" s="6" t="s">
        <v>9697</v>
      </c>
      <c r="K2237" s="6" t="s">
        <v>9714</v>
      </c>
      <c r="L2237" s="16" t="n">
        <v>45447</v>
      </c>
      <c r="M2237" s="16" t="n">
        <v>45961</v>
      </c>
      <c r="N2237" s="6" t="s">
        <v>9714</v>
      </c>
      <c r="O2237" s="16" t="n">
        <v>45447</v>
      </c>
      <c r="P2237" s="6" t="s">
        <v>10282</v>
      </c>
      <c r="Q2237" s="6" t="s">
        <v>104</v>
      </c>
      <c r="R2237" s="6" t="s">
        <v>104</v>
      </c>
      <c r="S2237" s="6" t="s">
        <v>104</v>
      </c>
      <c r="T2237" s="21" t="s">
        <v>104</v>
      </c>
      <c r="U2237" s="6" t="s">
        <v>104</v>
      </c>
      <c r="V2237" s="6" t="s">
        <v>104</v>
      </c>
      <c r="W2237" s="6" t="s">
        <v>104</v>
      </c>
      <c r="X2237" s="6" t="s">
        <v>104</v>
      </c>
      <c r="Y2237" s="21" t="s">
        <v>104</v>
      </c>
      <c r="Z2237" s="6" t="s">
        <v>104</v>
      </c>
      <c r="AA2237" s="6" t="s">
        <v>104</v>
      </c>
      <c r="AB2237" s="6" t="s">
        <v>104</v>
      </c>
      <c r="AC2237" s="6" t="s">
        <v>9714</v>
      </c>
      <c r="AD2237" s="16" t="n">
        <v>45447</v>
      </c>
      <c r="AE2237" s="6" t="s">
        <v>12461</v>
      </c>
      <c r="AF2237" s="6" t="s">
        <v>104</v>
      </c>
      <c r="AG2237" s="6" t="s">
        <v>104</v>
      </c>
      <c r="AH2237" s="6" t="s">
        <v>15203</v>
      </c>
      <c r="AI2237" s="6" t="s">
        <v>15352</v>
      </c>
      <c r="AJ2237" s="6" t="s">
        <v>16660</v>
      </c>
      <c r="AK2237" s="6" t="s">
        <v>104</v>
      </c>
      <c r="AL2237" s="6" t="s">
        <v>16940</v>
      </c>
      <c r="AM2237" s="6" t="s">
        <v>104</v>
      </c>
      <c r="AN2237" s="6" t="s">
        <v>104</v>
      </c>
      <c r="AO2237" s="6" t="s">
        <v>104</v>
      </c>
      <c r="AP2237" s="6" t="s">
        <v>104</v>
      </c>
      <c r="AQ2237" s="6" t="s">
        <v>104</v>
      </c>
      <c r="AR2237" s="6" t="s">
        <v>104</v>
      </c>
      <c r="AS2237" s="6" t="s">
        <v>104</v>
      </c>
      <c r="AT2237" s="6" t="s">
        <v>104</v>
      </c>
      <c r="AU2237" s="6" t="s">
        <v>104</v>
      </c>
      <c r="AV2237" s="6" t="s">
        <v>104</v>
      </c>
      <c r="AW2237" s="6" t="s">
        <v>104</v>
      </c>
      <c r="AX2237" s="6" t="s">
        <v>104</v>
      </c>
      <c r="AY2237" s="6" t="s">
        <v>22676</v>
      </c>
      <c r="AZ2237" s="6" t="s">
        <v>104</v>
      </c>
      <c r="BA2237" s="6" t="s">
        <v>104</v>
      </c>
      <c r="BB2237" s="24" t="n">
        <v>7619</v>
      </c>
      <c r="BC2237" s="26"/>
      <c r="BD2237" s="26"/>
      <c r="BE2237" s="26"/>
      <c r="BF2237" s="26"/>
      <c r="BG2237" s="26"/>
      <c r="BH2237" s="26"/>
      <c r="BI2237" s="26"/>
      <c r="BJ2237" s="26"/>
      <c r="BK2237" s="26"/>
      <c r="BL2237" s="26"/>
      <c r="BM2237" s="26"/>
      <c r="BN2237" s="26"/>
      <c r="BO2237" s="26" t="s">
        <v>24533</v>
      </c>
      <c r="BP2237" s="16" t="n">
        <v>45561</v>
      </c>
      <c r="BQ2237" s="28" t="str">
        <f>HYPERLINK("https://organic.ams.usda.gov/Integrity/Certificate.aspx?cid=21&amp;nopid=1780899259")</f>
        <v>https://organic.ams.usda.gov/Integrity/Certificate.aspx?cid=21&amp;nopid=1780899259</v>
      </c>
    </row>
    <row r="2238">
      <c r="A2238" t="s">
        <v>3</v>
      </c>
      <c r="B2238" s="6" t="s">
        <v>11</v>
      </c>
      <c r="C2238" s="6" t="s">
        <v>77</v>
      </c>
      <c r="D2238" s="6" t="s">
        <v>142</v>
      </c>
      <c r="E2238" s="10" t="s">
        <v>2436</v>
      </c>
      <c r="F2238" s="6" t="s">
        <v>4636</v>
      </c>
      <c r="G2238" s="6" t="s">
        <v>104</v>
      </c>
      <c r="H2238" s="6" t="s">
        <v>6892</v>
      </c>
      <c r="I2238" s="6" t="s">
        <v>8115</v>
      </c>
      <c r="J2238" s="6" t="s">
        <v>8884</v>
      </c>
      <c r="K2238" s="6" t="s">
        <v>9714</v>
      </c>
      <c r="L2238" s="16" t="n">
        <v>44630</v>
      </c>
      <c r="M2238" s="16" t="n">
        <v>45914</v>
      </c>
      <c r="N2238" s="6" t="s">
        <v>9714</v>
      </c>
      <c r="O2238" s="16" t="n">
        <v>44630</v>
      </c>
      <c r="P2238" s="6" t="s">
        <v>9995</v>
      </c>
      <c r="Q2238" s="6" t="s">
        <v>104</v>
      </c>
      <c r="R2238" s="6" t="s">
        <v>104</v>
      </c>
      <c r="S2238" s="6" t="s">
        <v>104</v>
      </c>
      <c r="T2238" s="21" t="s">
        <v>104</v>
      </c>
      <c r="U2238" s="6" t="s">
        <v>104</v>
      </c>
      <c r="V2238" s="6" t="s">
        <v>104</v>
      </c>
      <c r="W2238" s="6" t="s">
        <v>104</v>
      </c>
      <c r="X2238" s="6" t="s">
        <v>104</v>
      </c>
      <c r="Y2238" s="21" t="s">
        <v>104</v>
      </c>
      <c r="Z2238" s="6" t="s">
        <v>104</v>
      </c>
      <c r="AA2238" s="6" t="s">
        <v>104</v>
      </c>
      <c r="AB2238" s="6" t="s">
        <v>104</v>
      </c>
      <c r="AC2238" s="6" t="s">
        <v>9714</v>
      </c>
      <c r="AD2238" s="16" t="n">
        <v>44630</v>
      </c>
      <c r="AE2238" s="6" t="s">
        <v>11408</v>
      </c>
      <c r="AF2238" s="6" t="s">
        <v>104</v>
      </c>
      <c r="AG2238" s="6" t="s">
        <v>104</v>
      </c>
      <c r="AH2238" s="6" t="s">
        <v>15204</v>
      </c>
      <c r="AI2238" s="6" t="s">
        <v>104</v>
      </c>
      <c r="AJ2238" s="6" t="s">
        <v>104</v>
      </c>
      <c r="AK2238" s="6" t="s">
        <v>104</v>
      </c>
      <c r="AL2238" s="6" t="s">
        <v>16940</v>
      </c>
      <c r="AM2238" s="6" t="s">
        <v>104</v>
      </c>
      <c r="AN2238" s="6" t="s">
        <v>104</v>
      </c>
      <c r="AO2238" s="6" t="s">
        <v>104</v>
      </c>
      <c r="AP2238" s="6" t="s">
        <v>104</v>
      </c>
      <c r="AQ2238" s="6" t="s">
        <v>104</v>
      </c>
      <c r="AR2238" s="6" t="s">
        <v>104</v>
      </c>
      <c r="AS2238" s="6" t="s">
        <v>104</v>
      </c>
      <c r="AT2238" s="6" t="s">
        <v>104</v>
      </c>
      <c r="AU2238" s="6" t="s">
        <v>104</v>
      </c>
      <c r="AV2238" s="6" t="s">
        <v>104</v>
      </c>
      <c r="AW2238" s="6" t="s">
        <v>104</v>
      </c>
      <c r="AX2238" s="6" t="s">
        <v>21831</v>
      </c>
      <c r="AY2238" s="6" t="s">
        <v>22676</v>
      </c>
      <c r="AZ2238" s="6" t="s">
        <v>104</v>
      </c>
      <c r="BA2238" s="6" t="s">
        <v>104</v>
      </c>
      <c r="BB2238" s="24" t="n">
        <v>1204</v>
      </c>
      <c r="BC2238" s="26"/>
      <c r="BD2238" s="26"/>
      <c r="BE2238" s="26"/>
      <c r="BF2238" s="26"/>
      <c r="BG2238" s="26"/>
      <c r="BH2238" s="26"/>
      <c r="BI2238" s="26"/>
      <c r="BJ2238" s="26"/>
      <c r="BK2238" s="26"/>
      <c r="BL2238" s="26"/>
      <c r="BM2238" s="26"/>
      <c r="BN2238" s="26"/>
      <c r="BO2238" s="26" t="s">
        <v>24533</v>
      </c>
      <c r="BP2238" s="16" t="n">
        <v>45723</v>
      </c>
      <c r="BQ2238" s="28" t="str">
        <f>HYPERLINK("https://organic.ams.usda.gov/Integrity/Certificate.aspx?cid=21&amp;nopid=1780882459")</f>
        <v>https://organic.ams.usda.gov/Integrity/Certificate.aspx?cid=21&amp;nopid=1780882459</v>
      </c>
    </row>
    <row r="2239">
      <c r="A2239" t="s">
        <v>3</v>
      </c>
      <c r="B2239" s="6" t="s">
        <v>11</v>
      </c>
      <c r="C2239" s="6" t="s">
        <v>77</v>
      </c>
      <c r="D2239" s="6" t="s">
        <v>142</v>
      </c>
      <c r="E2239" s="10" t="s">
        <v>2437</v>
      </c>
      <c r="F2239" s="6" t="s">
        <v>4637</v>
      </c>
      <c r="G2239" s="6" t="s">
        <v>104</v>
      </c>
      <c r="H2239" s="6" t="s">
        <v>6893</v>
      </c>
      <c r="I2239" s="6" t="s">
        <v>8115</v>
      </c>
      <c r="J2239" s="6" t="s">
        <v>8884</v>
      </c>
      <c r="K2239" s="6" t="s">
        <v>9714</v>
      </c>
      <c r="L2239" s="16" t="n">
        <v>44615</v>
      </c>
      <c r="M2239" s="16" t="n">
        <v>45889</v>
      </c>
      <c r="N2239" s="6" t="s">
        <v>9714</v>
      </c>
      <c r="O2239" s="16" t="n">
        <v>44615</v>
      </c>
      <c r="P2239" s="6" t="s">
        <v>9995</v>
      </c>
      <c r="Q2239" s="6" t="s">
        <v>104</v>
      </c>
      <c r="R2239" s="6" t="s">
        <v>104</v>
      </c>
      <c r="S2239" s="6" t="s">
        <v>104</v>
      </c>
      <c r="T2239" s="21" t="s">
        <v>104</v>
      </c>
      <c r="U2239" s="6" t="s">
        <v>104</v>
      </c>
      <c r="V2239" s="6" t="s">
        <v>104</v>
      </c>
      <c r="W2239" s="6" t="s">
        <v>104</v>
      </c>
      <c r="X2239" s="6" t="s">
        <v>104</v>
      </c>
      <c r="Y2239" s="21" t="s">
        <v>104</v>
      </c>
      <c r="Z2239" s="6" t="s">
        <v>104</v>
      </c>
      <c r="AA2239" s="6" t="s">
        <v>104</v>
      </c>
      <c r="AB2239" s="6" t="s">
        <v>104</v>
      </c>
      <c r="AC2239" s="6" t="s">
        <v>9714</v>
      </c>
      <c r="AD2239" s="16" t="n">
        <v>44615</v>
      </c>
      <c r="AE2239" s="6" t="s">
        <v>11408</v>
      </c>
      <c r="AF2239" s="6" t="s">
        <v>104</v>
      </c>
      <c r="AG2239" s="6" t="s">
        <v>104</v>
      </c>
      <c r="AH2239" s="6" t="s">
        <v>15201</v>
      </c>
      <c r="AI2239" s="6" t="s">
        <v>104</v>
      </c>
      <c r="AJ2239" s="6" t="s">
        <v>104</v>
      </c>
      <c r="AK2239" s="6" t="s">
        <v>104</v>
      </c>
      <c r="AL2239" s="6" t="s">
        <v>16940</v>
      </c>
      <c r="AM2239" s="6" t="s">
        <v>104</v>
      </c>
      <c r="AN2239" s="6" t="s">
        <v>104</v>
      </c>
      <c r="AO2239" s="6" t="s">
        <v>104</v>
      </c>
      <c r="AP2239" s="6" t="s">
        <v>104</v>
      </c>
      <c r="AQ2239" s="6" t="s">
        <v>104</v>
      </c>
      <c r="AR2239" s="6" t="s">
        <v>104</v>
      </c>
      <c r="AS2239" s="6" t="s">
        <v>104</v>
      </c>
      <c r="AT2239" s="6" t="s">
        <v>104</v>
      </c>
      <c r="AU2239" s="6" t="s">
        <v>104</v>
      </c>
      <c r="AV2239" s="6" t="s">
        <v>104</v>
      </c>
      <c r="AW2239" s="6" t="s">
        <v>104</v>
      </c>
      <c r="AX2239" s="6" t="s">
        <v>21832</v>
      </c>
      <c r="AY2239" s="6" t="s">
        <v>22676</v>
      </c>
      <c r="AZ2239" s="6" t="s">
        <v>104</v>
      </c>
      <c r="BA2239" s="6" t="s">
        <v>104</v>
      </c>
      <c r="BB2239" s="24" t="n">
        <v>6868</v>
      </c>
      <c r="BC2239" s="26"/>
      <c r="BD2239" s="26"/>
      <c r="BE2239" s="26"/>
      <c r="BF2239" s="26"/>
      <c r="BG2239" s="26"/>
      <c r="BH2239" s="26"/>
      <c r="BI2239" s="26"/>
      <c r="BJ2239" s="26"/>
      <c r="BK2239" s="26"/>
      <c r="BL2239" s="26"/>
      <c r="BM2239" s="26"/>
      <c r="BN2239" s="26"/>
      <c r="BO2239" s="26" t="s">
        <v>24533</v>
      </c>
      <c r="BP2239" s="16" t="n">
        <v>45579</v>
      </c>
      <c r="BQ2239" s="28" t="str">
        <f>HYPERLINK("https://organic.ams.usda.gov/Integrity/Certificate.aspx?cid=21&amp;nopid=1780882460")</f>
        <v>https://organic.ams.usda.gov/Integrity/Certificate.aspx?cid=21&amp;nopid=1780882460</v>
      </c>
    </row>
    <row r="2240">
      <c r="A2240" t="s">
        <v>3</v>
      </c>
      <c r="B2240" s="6" t="s">
        <v>11</v>
      </c>
      <c r="C2240" s="6" t="s">
        <v>77</v>
      </c>
      <c r="D2240" s="6" t="s">
        <v>142</v>
      </c>
      <c r="E2240" s="10" t="s">
        <v>2438</v>
      </c>
      <c r="F2240" s="6" t="s">
        <v>4638</v>
      </c>
      <c r="G2240" s="6" t="s">
        <v>104</v>
      </c>
      <c r="H2240" s="6" t="s">
        <v>6894</v>
      </c>
      <c r="I2240" s="6" t="s">
        <v>7543</v>
      </c>
      <c r="J2240" s="6" t="s">
        <v>7951</v>
      </c>
      <c r="K2240" s="6" t="s">
        <v>9714</v>
      </c>
      <c r="L2240" s="16" t="n">
        <v>43525</v>
      </c>
      <c r="M2240" s="16" t="n">
        <v>45902</v>
      </c>
      <c r="N2240" s="6" t="s">
        <v>9714</v>
      </c>
      <c r="O2240" s="16" t="n">
        <v>43525</v>
      </c>
      <c r="P2240" s="6" t="s">
        <v>9995</v>
      </c>
      <c r="Q2240" s="6" t="s">
        <v>104</v>
      </c>
      <c r="R2240" s="6" t="s">
        <v>104</v>
      </c>
      <c r="S2240" s="6" t="s">
        <v>104</v>
      </c>
      <c r="T2240" s="21" t="s">
        <v>104</v>
      </c>
      <c r="U2240" s="6" t="s">
        <v>104</v>
      </c>
      <c r="V2240" s="6" t="s">
        <v>104</v>
      </c>
      <c r="W2240" s="6" t="s">
        <v>104</v>
      </c>
      <c r="X2240" s="6" t="s">
        <v>104</v>
      </c>
      <c r="Y2240" s="21" t="s">
        <v>104</v>
      </c>
      <c r="Z2240" s="6" t="s">
        <v>104</v>
      </c>
      <c r="AA2240" s="6" t="s">
        <v>104</v>
      </c>
      <c r="AB2240" s="6" t="s">
        <v>104</v>
      </c>
      <c r="AC2240" s="6" t="s">
        <v>9714</v>
      </c>
      <c r="AD2240" s="16" t="n">
        <v>43525</v>
      </c>
      <c r="AE2240" s="6" t="s">
        <v>11408</v>
      </c>
      <c r="AF2240" s="6" t="s">
        <v>104</v>
      </c>
      <c r="AG2240" s="6" t="s">
        <v>104</v>
      </c>
      <c r="AH2240" s="6" t="s">
        <v>15205</v>
      </c>
      <c r="AI2240" s="6" t="s">
        <v>104</v>
      </c>
      <c r="AJ2240" s="6" t="s">
        <v>104</v>
      </c>
      <c r="AK2240" s="6" t="s">
        <v>104</v>
      </c>
      <c r="AL2240" s="6" t="s">
        <v>16940</v>
      </c>
      <c r="AM2240" s="6" t="s">
        <v>104</v>
      </c>
      <c r="AN2240" s="6" t="s">
        <v>104</v>
      </c>
      <c r="AO2240" s="6" t="s">
        <v>104</v>
      </c>
      <c r="AP2240" s="6" t="s">
        <v>104</v>
      </c>
      <c r="AQ2240" s="6" t="s">
        <v>104</v>
      </c>
      <c r="AR2240" s="6" t="s">
        <v>104</v>
      </c>
      <c r="AS2240" s="6" t="s">
        <v>104</v>
      </c>
      <c r="AT2240" s="6" t="s">
        <v>104</v>
      </c>
      <c r="AU2240" s="6" t="s">
        <v>104</v>
      </c>
      <c r="AV2240" s="6" t="s">
        <v>104</v>
      </c>
      <c r="AW2240" s="6" t="s">
        <v>104</v>
      </c>
      <c r="AX2240" s="6" t="s">
        <v>20896</v>
      </c>
      <c r="AY2240" s="6" t="s">
        <v>22676</v>
      </c>
      <c r="AZ2240" s="6" t="s">
        <v>104</v>
      </c>
      <c r="BA2240" s="6" t="s">
        <v>104</v>
      </c>
      <c r="BB2240" s="24" t="n">
        <v>1356</v>
      </c>
      <c r="BC2240" s="26"/>
      <c r="BD2240" s="26"/>
      <c r="BE2240" s="26"/>
      <c r="BF2240" s="26"/>
      <c r="BG2240" s="26"/>
      <c r="BH2240" s="26"/>
      <c r="BI2240" s="26"/>
      <c r="BJ2240" s="26"/>
      <c r="BK2240" s="26"/>
      <c r="BL2240" s="26"/>
      <c r="BM2240" s="26"/>
      <c r="BN2240" s="26"/>
      <c r="BO2240" s="26"/>
      <c r="BP2240" s="16" t="n">
        <v>45540</v>
      </c>
      <c r="BQ2240" s="28" t="str">
        <f>HYPERLINK("https://organic.ams.usda.gov/Integrity/Certificate.aspx?cid=21&amp;nopid=1780862990")</f>
        <v>https://organic.ams.usda.gov/Integrity/Certificate.aspx?cid=21&amp;nopid=1780862990</v>
      </c>
    </row>
    <row r="2241">
      <c r="A2241" t="s">
        <v>3</v>
      </c>
      <c r="B2241" s="6" t="s">
        <v>11</v>
      </c>
      <c r="C2241" s="6" t="s">
        <v>77</v>
      </c>
      <c r="D2241" s="6" t="s">
        <v>142</v>
      </c>
      <c r="E2241" s="10" t="s">
        <v>2439</v>
      </c>
      <c r="F2241" s="6" t="s">
        <v>4639</v>
      </c>
      <c r="G2241" s="6" t="s">
        <v>104</v>
      </c>
      <c r="H2241" s="6" t="s">
        <v>6895</v>
      </c>
      <c r="I2241" s="6" t="s">
        <v>7543</v>
      </c>
      <c r="J2241" s="6" t="s">
        <v>7951</v>
      </c>
      <c r="K2241" s="6" t="s">
        <v>9714</v>
      </c>
      <c r="L2241" s="16" t="n">
        <v>43489</v>
      </c>
      <c r="M2241" s="16" t="n">
        <v>45931</v>
      </c>
      <c r="N2241" s="6" t="s">
        <v>9714</v>
      </c>
      <c r="O2241" s="16" t="n">
        <v>43489</v>
      </c>
      <c r="P2241" s="6" t="s">
        <v>9995</v>
      </c>
      <c r="Q2241" s="6" t="s">
        <v>104</v>
      </c>
      <c r="R2241" s="6" t="s">
        <v>104</v>
      </c>
      <c r="S2241" s="6" t="s">
        <v>104</v>
      </c>
      <c r="T2241" s="21" t="s">
        <v>104</v>
      </c>
      <c r="U2241" s="6" t="s">
        <v>104</v>
      </c>
      <c r="V2241" s="6" t="s">
        <v>104</v>
      </c>
      <c r="W2241" s="6" t="s">
        <v>104</v>
      </c>
      <c r="X2241" s="6" t="s">
        <v>104</v>
      </c>
      <c r="Y2241" s="21" t="s">
        <v>104</v>
      </c>
      <c r="Z2241" s="6" t="s">
        <v>104</v>
      </c>
      <c r="AA2241" s="6" t="s">
        <v>104</v>
      </c>
      <c r="AB2241" s="6" t="s">
        <v>104</v>
      </c>
      <c r="AC2241" s="6" t="s">
        <v>9714</v>
      </c>
      <c r="AD2241" s="16" t="n">
        <v>43489</v>
      </c>
      <c r="AE2241" s="6" t="s">
        <v>11408</v>
      </c>
      <c r="AF2241" s="6" t="s">
        <v>104</v>
      </c>
      <c r="AG2241" s="6" t="s">
        <v>104</v>
      </c>
      <c r="AH2241" s="6" t="s">
        <v>15205</v>
      </c>
      <c r="AI2241" s="6" t="s">
        <v>104</v>
      </c>
      <c r="AJ2241" s="6" t="s">
        <v>104</v>
      </c>
      <c r="AK2241" s="6" t="s">
        <v>104</v>
      </c>
      <c r="AL2241" s="6" t="s">
        <v>16940</v>
      </c>
      <c r="AM2241" s="6" t="s">
        <v>104</v>
      </c>
      <c r="AN2241" s="6" t="s">
        <v>104</v>
      </c>
      <c r="AO2241" s="6" t="s">
        <v>104</v>
      </c>
      <c r="AP2241" s="6" t="s">
        <v>104</v>
      </c>
      <c r="AQ2241" s="6" t="s">
        <v>104</v>
      </c>
      <c r="AR2241" s="6" t="s">
        <v>104</v>
      </c>
      <c r="AS2241" s="6" t="s">
        <v>104</v>
      </c>
      <c r="AT2241" s="6" t="s">
        <v>104</v>
      </c>
      <c r="AU2241" s="6" t="s">
        <v>104</v>
      </c>
      <c r="AV2241" s="6" t="s">
        <v>104</v>
      </c>
      <c r="AW2241" s="6" t="s">
        <v>104</v>
      </c>
      <c r="AX2241" s="6" t="s">
        <v>20896</v>
      </c>
      <c r="AY2241" s="6" t="s">
        <v>22676</v>
      </c>
      <c r="AZ2241" s="6" t="s">
        <v>104</v>
      </c>
      <c r="BA2241" s="6" t="s">
        <v>104</v>
      </c>
      <c r="BB2241" s="24" t="n">
        <v>555</v>
      </c>
      <c r="BC2241" s="26"/>
      <c r="BD2241" s="26"/>
      <c r="BE2241" s="26"/>
      <c r="BF2241" s="26"/>
      <c r="BG2241" s="26"/>
      <c r="BH2241" s="26"/>
      <c r="BI2241" s="26"/>
      <c r="BJ2241" s="26"/>
      <c r="BK2241" s="26"/>
      <c r="BL2241" s="26"/>
      <c r="BM2241" s="26"/>
      <c r="BN2241" s="26"/>
      <c r="BO2241" s="26" t="s">
        <v>24533</v>
      </c>
      <c r="BP2241" s="16" t="n">
        <v>45731</v>
      </c>
      <c r="BQ2241" s="28" t="str">
        <f>HYPERLINK("https://organic.ams.usda.gov/Integrity/Certificate.aspx?cid=21&amp;nopid=1780862750")</f>
        <v>https://organic.ams.usda.gov/Integrity/Certificate.aspx?cid=21&amp;nopid=1780862750</v>
      </c>
    </row>
    <row r="2242">
      <c r="A2242" t="s">
        <v>3</v>
      </c>
      <c r="B2242" s="6" t="s">
        <v>24</v>
      </c>
      <c r="C2242" s="6" t="s">
        <v>90</v>
      </c>
      <c r="D2242" s="6" t="s">
        <v>155</v>
      </c>
      <c r="E2242" s="10" t="s">
        <v>2440</v>
      </c>
      <c r="F2242" s="6" t="s">
        <v>4640</v>
      </c>
      <c r="G2242" s="6" t="s">
        <v>104</v>
      </c>
      <c r="H2242" s="6" t="s">
        <v>6896</v>
      </c>
      <c r="I2242" s="6" t="s">
        <v>7691</v>
      </c>
      <c r="J2242" s="6" t="s">
        <v>9698</v>
      </c>
      <c r="K2242" s="6" t="s">
        <v>9714</v>
      </c>
      <c r="L2242" s="16" t="n">
        <v>45520</v>
      </c>
      <c r="M2242" s="16" t="n">
        <v>45688</v>
      </c>
      <c r="N2242" s="6" t="s">
        <v>104</v>
      </c>
      <c r="O2242" s="21" t="s">
        <v>104</v>
      </c>
      <c r="P2242" s="6" t="s">
        <v>104</v>
      </c>
      <c r="Q2242" s="6" t="s">
        <v>104</v>
      </c>
      <c r="R2242" s="6" t="s">
        <v>104</v>
      </c>
      <c r="S2242" s="6" t="s">
        <v>104</v>
      </c>
      <c r="T2242" s="21" t="s">
        <v>104</v>
      </c>
      <c r="U2242" s="6" t="s">
        <v>104</v>
      </c>
      <c r="V2242" s="6" t="s">
        <v>104</v>
      </c>
      <c r="W2242" s="6" t="s">
        <v>104</v>
      </c>
      <c r="X2242" s="6" t="s">
        <v>104</v>
      </c>
      <c r="Y2242" s="21" t="s">
        <v>104</v>
      </c>
      <c r="Z2242" s="6" t="s">
        <v>104</v>
      </c>
      <c r="AA2242" s="6" t="s">
        <v>104</v>
      </c>
      <c r="AB2242" s="6" t="s">
        <v>104</v>
      </c>
      <c r="AC2242" s="6" t="s">
        <v>9714</v>
      </c>
      <c r="AD2242" s="16" t="n">
        <v>45520</v>
      </c>
      <c r="AE2242" s="6" t="s">
        <v>12462</v>
      </c>
      <c r="AF2242" s="6" t="s">
        <v>104</v>
      </c>
      <c r="AG2242" s="6" t="s">
        <v>6896</v>
      </c>
      <c r="AH2242" s="6" t="s">
        <v>15206</v>
      </c>
      <c r="AI2242" s="6" t="s">
        <v>15353</v>
      </c>
      <c r="AJ2242" s="6" t="s">
        <v>16661</v>
      </c>
      <c r="AK2242" s="6" t="s">
        <v>16923</v>
      </c>
      <c r="AL2242" s="6" t="s">
        <v>16766</v>
      </c>
      <c r="AM2242" s="6" t="s">
        <v>18436</v>
      </c>
      <c r="AN2242" s="6" t="s">
        <v>104</v>
      </c>
      <c r="AO2242" s="6" t="s">
        <v>104</v>
      </c>
      <c r="AP2242" s="6" t="s">
        <v>19539</v>
      </c>
      <c r="AQ2242" s="6" t="s">
        <v>19584</v>
      </c>
      <c r="AR2242" s="6" t="s">
        <v>16661</v>
      </c>
      <c r="AS2242" s="6" t="s">
        <v>16923</v>
      </c>
      <c r="AT2242" s="6" t="s">
        <v>16766</v>
      </c>
      <c r="AU2242" s="6" t="s">
        <v>18436</v>
      </c>
      <c r="AV2242" s="6" t="s">
        <v>104</v>
      </c>
      <c r="AW2242" s="6" t="s">
        <v>104</v>
      </c>
      <c r="AX2242" s="6" t="s">
        <v>21833</v>
      </c>
      <c r="AY2242" s="6" t="s">
        <v>23667</v>
      </c>
      <c r="AZ2242" s="6" t="s">
        <v>104</v>
      </c>
      <c r="BA2242" s="6" t="s">
        <v>24306</v>
      </c>
      <c r="BB2242" s="6" t="s">
        <v>104</v>
      </c>
      <c r="BC2242" s="26"/>
      <c r="BD2242" s="26"/>
      <c r="BE2242" s="26"/>
      <c r="BF2242" s="26"/>
      <c r="BG2242" s="26"/>
      <c r="BH2242" s="26"/>
      <c r="BI2242" s="26"/>
      <c r="BJ2242" s="26"/>
      <c r="BK2242" s="26"/>
      <c r="BL2242" s="26"/>
      <c r="BM2242" s="26"/>
      <c r="BN2242" s="26"/>
      <c r="BO2242" s="26"/>
      <c r="BP2242" s="16" t="n">
        <v>45674</v>
      </c>
      <c r="BQ2242" s="28" t="str">
        <f>HYPERLINK("https://organic.ams.usda.gov/Integrity/Certificate.aspx?cid=7&amp;nopid=3950001182")</f>
        <v>https://organic.ams.usda.gov/Integrity/Certificate.aspx?cid=7&amp;nopid=3950001182</v>
      </c>
    </row>
    <row r="2243">
      <c r="A2243" t="s">
        <v>3</v>
      </c>
      <c r="B2243" s="6" t="s">
        <v>6</v>
      </c>
      <c r="C2243" s="6" t="s">
        <v>72</v>
      </c>
      <c r="D2243" s="6" t="s">
        <v>137</v>
      </c>
      <c r="E2243" s="10" t="s">
        <v>2441</v>
      </c>
      <c r="F2243" s="6" t="s">
        <v>4641</v>
      </c>
      <c r="G2243" s="6" t="s">
        <v>104</v>
      </c>
      <c r="H2243" s="6" t="s">
        <v>6897</v>
      </c>
      <c r="I2243" s="6" t="s">
        <v>8116</v>
      </c>
      <c r="J2243" s="6" t="s">
        <v>8790</v>
      </c>
      <c r="K2243" s="6" t="s">
        <v>9714</v>
      </c>
      <c r="L2243" s="16" t="n">
        <v>44223</v>
      </c>
      <c r="M2243" s="16" t="n">
        <v>45651</v>
      </c>
      <c r="N2243" s="6" t="s">
        <v>104</v>
      </c>
      <c r="O2243" s="21" t="s">
        <v>104</v>
      </c>
      <c r="P2243" s="6" t="s">
        <v>104</v>
      </c>
      <c r="Q2243" s="6" t="s">
        <v>104</v>
      </c>
      <c r="R2243" s="6" t="s">
        <v>104</v>
      </c>
      <c r="S2243" s="6" t="s">
        <v>104</v>
      </c>
      <c r="T2243" s="21" t="s">
        <v>104</v>
      </c>
      <c r="U2243" s="6" t="s">
        <v>104</v>
      </c>
      <c r="V2243" s="6" t="s">
        <v>104</v>
      </c>
      <c r="W2243" s="6" t="s">
        <v>104</v>
      </c>
      <c r="X2243" s="6" t="s">
        <v>104</v>
      </c>
      <c r="Y2243" s="21" t="s">
        <v>104</v>
      </c>
      <c r="Z2243" s="6" t="s">
        <v>104</v>
      </c>
      <c r="AA2243" s="6" t="s">
        <v>104</v>
      </c>
      <c r="AB2243" s="6" t="s">
        <v>104</v>
      </c>
      <c r="AC2243" s="6" t="s">
        <v>9714</v>
      </c>
      <c r="AD2243" s="16" t="n">
        <v>44223</v>
      </c>
      <c r="AE2243" s="6" t="s">
        <v>12463</v>
      </c>
      <c r="AF2243" s="6" t="s">
        <v>104</v>
      </c>
      <c r="AG2243" s="6" t="s">
        <v>104</v>
      </c>
      <c r="AH2243" s="6" t="s">
        <v>15207</v>
      </c>
      <c r="AI2243" s="6" t="s">
        <v>104</v>
      </c>
      <c r="AJ2243" s="6" t="s">
        <v>16662</v>
      </c>
      <c r="AK2243" s="6" t="s">
        <v>16924</v>
      </c>
      <c r="AL2243" s="6" t="s">
        <v>16766</v>
      </c>
      <c r="AM2243" s="6" t="s">
        <v>18437</v>
      </c>
      <c r="AN2243" s="6" t="s">
        <v>104</v>
      </c>
      <c r="AO2243" s="6" t="s">
        <v>104</v>
      </c>
      <c r="AP2243" s="6" t="s">
        <v>104</v>
      </c>
      <c r="AQ2243" s="6" t="s">
        <v>104</v>
      </c>
      <c r="AR2243" s="6" t="s">
        <v>104</v>
      </c>
      <c r="AS2243" s="6" t="s">
        <v>104</v>
      </c>
      <c r="AT2243" s="6" t="s">
        <v>104</v>
      </c>
      <c r="AU2243" s="6" t="s">
        <v>104</v>
      </c>
      <c r="AV2243" s="6" t="s">
        <v>104</v>
      </c>
      <c r="AW2243" s="6" t="s">
        <v>104</v>
      </c>
      <c r="AX2243" s="6" t="s">
        <v>104</v>
      </c>
      <c r="AY2243" s="6" t="s">
        <v>23668</v>
      </c>
      <c r="AZ2243" s="6" t="s">
        <v>104</v>
      </c>
      <c r="BA2243" s="6" t="s">
        <v>24258</v>
      </c>
      <c r="BB2243" s="6" t="s">
        <v>104</v>
      </c>
      <c r="BC2243" s="26"/>
      <c r="BD2243" s="26"/>
      <c r="BE2243" s="26"/>
      <c r="BF2243" s="26"/>
      <c r="BG2243" s="26"/>
      <c r="BH2243" s="26"/>
      <c r="BI2243" s="26"/>
      <c r="BJ2243" s="26"/>
      <c r="BK2243" s="26"/>
      <c r="BL2243" s="26"/>
      <c r="BM2243" s="26"/>
      <c r="BN2243" s="26"/>
      <c r="BO2243" s="26"/>
      <c r="BP2243" s="16" t="n">
        <v>45737</v>
      </c>
      <c r="BQ2243" s="28" t="str">
        <f>HYPERLINK("https://organic.ams.usda.gov/Integrity/Certificate.aspx?cid=32&amp;nopid=2230008280")</f>
        <v>https://organic.ams.usda.gov/Integrity/Certificate.aspx?cid=32&amp;nopid=2230008280</v>
      </c>
    </row>
    <row r="2244">
      <c r="A2244" t="s">
        <v>3</v>
      </c>
      <c r="B2244" s="6" t="s">
        <v>6</v>
      </c>
      <c r="C2244" s="6" t="s">
        <v>72</v>
      </c>
      <c r="D2244" s="6" t="s">
        <v>137</v>
      </c>
      <c r="E2244" s="10" t="s">
        <v>2442</v>
      </c>
      <c r="F2244" s="6" t="s">
        <v>4642</v>
      </c>
      <c r="G2244" s="6" t="s">
        <v>104</v>
      </c>
      <c r="H2244" s="6" t="s">
        <v>6898</v>
      </c>
      <c r="I2244" s="6" t="s">
        <v>7206</v>
      </c>
      <c r="J2244" s="6" t="s">
        <v>9699</v>
      </c>
      <c r="K2244" s="6" t="s">
        <v>9714</v>
      </c>
      <c r="L2244" s="16" t="n">
        <v>44537</v>
      </c>
      <c r="M2244" s="16" t="n">
        <v>45842</v>
      </c>
      <c r="N2244" s="6" t="s">
        <v>104</v>
      </c>
      <c r="O2244" s="21" t="s">
        <v>104</v>
      </c>
      <c r="P2244" s="6" t="s">
        <v>104</v>
      </c>
      <c r="Q2244" s="6" t="s">
        <v>104</v>
      </c>
      <c r="R2244" s="6" t="s">
        <v>104</v>
      </c>
      <c r="S2244" s="6" t="s">
        <v>104</v>
      </c>
      <c r="T2244" s="21" t="s">
        <v>104</v>
      </c>
      <c r="U2244" s="6" t="s">
        <v>104</v>
      </c>
      <c r="V2244" s="6" t="s">
        <v>104</v>
      </c>
      <c r="W2244" s="6" t="s">
        <v>104</v>
      </c>
      <c r="X2244" s="6" t="s">
        <v>104</v>
      </c>
      <c r="Y2244" s="21" t="s">
        <v>104</v>
      </c>
      <c r="Z2244" s="6" t="s">
        <v>104</v>
      </c>
      <c r="AA2244" s="6" t="s">
        <v>104</v>
      </c>
      <c r="AB2244" s="6" t="s">
        <v>104</v>
      </c>
      <c r="AC2244" s="6" t="s">
        <v>9714</v>
      </c>
      <c r="AD2244" s="16" t="n">
        <v>44537</v>
      </c>
      <c r="AE2244" s="6" t="s">
        <v>12464</v>
      </c>
      <c r="AF2244" s="6" t="s">
        <v>104</v>
      </c>
      <c r="AG2244" s="6" t="s">
        <v>13147</v>
      </c>
      <c r="AH2244" s="6" t="s">
        <v>15208</v>
      </c>
      <c r="AI2244" s="6" t="s">
        <v>104</v>
      </c>
      <c r="AJ2244" s="6" t="s">
        <v>16663</v>
      </c>
      <c r="AK2244" s="6" t="s">
        <v>16924</v>
      </c>
      <c r="AL2244" s="6" t="s">
        <v>16766</v>
      </c>
      <c r="AM2244" s="6" t="s">
        <v>18438</v>
      </c>
      <c r="AN2244" s="6" t="s">
        <v>104</v>
      </c>
      <c r="AO2244" s="6" t="s">
        <v>104</v>
      </c>
      <c r="AP2244" s="6" t="s">
        <v>104</v>
      </c>
      <c r="AQ2244" s="6" t="s">
        <v>104</v>
      </c>
      <c r="AR2244" s="6" t="s">
        <v>104</v>
      </c>
      <c r="AS2244" s="6" t="s">
        <v>104</v>
      </c>
      <c r="AT2244" s="6" t="s">
        <v>104</v>
      </c>
      <c r="AU2244" s="6" t="s">
        <v>104</v>
      </c>
      <c r="AV2244" s="6" t="s">
        <v>104</v>
      </c>
      <c r="AW2244" s="6" t="s">
        <v>104</v>
      </c>
      <c r="AX2244" s="6" t="s">
        <v>21834</v>
      </c>
      <c r="AY2244" s="6" t="s">
        <v>23669</v>
      </c>
      <c r="AZ2244" s="6" t="s">
        <v>104</v>
      </c>
      <c r="BA2244" s="6" t="s">
        <v>24258</v>
      </c>
      <c r="BB2244" s="6" t="s">
        <v>104</v>
      </c>
      <c r="BC2244" s="26"/>
      <c r="BD2244" s="26"/>
      <c r="BE2244" s="26"/>
      <c r="BF2244" s="26"/>
      <c r="BG2244" s="26"/>
      <c r="BH2244" s="26"/>
      <c r="BI2244" s="26"/>
      <c r="BJ2244" s="26"/>
      <c r="BK2244" s="26"/>
      <c r="BL2244" s="26"/>
      <c r="BM2244" s="26"/>
      <c r="BN2244" s="26"/>
      <c r="BO2244" s="26"/>
      <c r="BP2244" s="16" t="n">
        <v>45737</v>
      </c>
      <c r="BQ2244" s="28" t="str">
        <f>HYPERLINK("https://organic.ams.usda.gov/Integrity/Certificate.aspx?cid=32&amp;nopid=2230008103")</f>
        <v>https://organic.ams.usda.gov/Integrity/Certificate.aspx?cid=32&amp;nopid=2230008103</v>
      </c>
    </row>
    <row r="2245">
      <c r="A2245" t="s">
        <v>3</v>
      </c>
      <c r="B2245" s="6" t="s">
        <v>51</v>
      </c>
      <c r="C2245" s="6" t="s">
        <v>117</v>
      </c>
      <c r="D2245" s="6" t="s">
        <v>181</v>
      </c>
      <c r="E2245" s="10" t="s">
        <v>2443</v>
      </c>
      <c r="F2245" s="6" t="s">
        <v>4643</v>
      </c>
      <c r="G2245" s="6" t="s">
        <v>104</v>
      </c>
      <c r="H2245" s="6" t="s">
        <v>6899</v>
      </c>
      <c r="I2245" s="6" t="s">
        <v>8117</v>
      </c>
      <c r="J2245" s="6" t="s">
        <v>9700</v>
      </c>
      <c r="K2245" s="6" t="s">
        <v>9714</v>
      </c>
      <c r="L2245" s="16" t="n">
        <v>45324</v>
      </c>
      <c r="M2245" s="16" t="n">
        <v>45971</v>
      </c>
      <c r="N2245" s="6" t="s">
        <v>104</v>
      </c>
      <c r="O2245" s="21" t="s">
        <v>104</v>
      </c>
      <c r="P2245" s="6" t="s">
        <v>104</v>
      </c>
      <c r="Q2245" s="6" t="s">
        <v>104</v>
      </c>
      <c r="R2245" s="6" t="s">
        <v>104</v>
      </c>
      <c r="S2245" s="6" t="s">
        <v>104</v>
      </c>
      <c r="T2245" s="21" t="s">
        <v>104</v>
      </c>
      <c r="U2245" s="6" t="s">
        <v>104</v>
      </c>
      <c r="V2245" s="6" t="s">
        <v>104</v>
      </c>
      <c r="W2245" s="6" t="s">
        <v>104</v>
      </c>
      <c r="X2245" s="6" t="s">
        <v>104</v>
      </c>
      <c r="Y2245" s="21" t="s">
        <v>104</v>
      </c>
      <c r="Z2245" s="6" t="s">
        <v>104</v>
      </c>
      <c r="AA2245" s="6" t="s">
        <v>104</v>
      </c>
      <c r="AB2245" s="6" t="s">
        <v>104</v>
      </c>
      <c r="AC2245" s="6" t="s">
        <v>9714</v>
      </c>
      <c r="AD2245" s="16" t="n">
        <v>45324</v>
      </c>
      <c r="AE2245" s="6" t="s">
        <v>12465</v>
      </c>
      <c r="AF2245" s="6" t="s">
        <v>104</v>
      </c>
      <c r="AG2245" s="6" t="s">
        <v>13148</v>
      </c>
      <c r="AH2245" s="6" t="s">
        <v>15209</v>
      </c>
      <c r="AI2245" s="6" t="s">
        <v>104</v>
      </c>
      <c r="AJ2245" s="6" t="s">
        <v>16664</v>
      </c>
      <c r="AK2245" s="6" t="s">
        <v>16664</v>
      </c>
      <c r="AL2245" s="6" t="s">
        <v>16933</v>
      </c>
      <c r="AM2245" s="6" t="s">
        <v>18439</v>
      </c>
      <c r="AN2245" s="6" t="s">
        <v>104</v>
      </c>
      <c r="AO2245" s="6" t="s">
        <v>104</v>
      </c>
      <c r="AP2245" s="6" t="s">
        <v>15209</v>
      </c>
      <c r="AQ2245" s="6" t="s">
        <v>104</v>
      </c>
      <c r="AR2245" s="6" t="s">
        <v>16664</v>
      </c>
      <c r="AS2245" s="6" t="s">
        <v>16664</v>
      </c>
      <c r="AT2245" s="6" t="s">
        <v>16933</v>
      </c>
      <c r="AU2245" s="6" t="s">
        <v>18439</v>
      </c>
      <c r="AV2245" s="6" t="s">
        <v>104</v>
      </c>
      <c r="AW2245" s="6" t="s">
        <v>104</v>
      </c>
      <c r="AX2245" s="6" t="s">
        <v>21835</v>
      </c>
      <c r="AY2245" s="6" t="s">
        <v>23670</v>
      </c>
      <c r="AZ2245" s="6" t="s">
        <v>104</v>
      </c>
      <c r="BA2245" s="6" t="s">
        <v>24467</v>
      </c>
      <c r="BB2245" s="6" t="s">
        <v>104</v>
      </c>
      <c r="BC2245" s="26"/>
      <c r="BD2245" s="26"/>
      <c r="BE2245" s="26"/>
      <c r="BF2245" s="26"/>
      <c r="BG2245" s="26"/>
      <c r="BH2245" s="26" t="s">
        <v>24533</v>
      </c>
      <c r="BI2245" s="26"/>
      <c r="BJ2245" s="26"/>
      <c r="BK2245" s="26"/>
      <c r="BL2245" s="26"/>
      <c r="BM2245" s="26"/>
      <c r="BN2245" s="26"/>
      <c r="BO2245" s="26"/>
      <c r="BP2245" s="16" t="n">
        <v>45661</v>
      </c>
      <c r="BQ2245" s="28" t="str">
        <f>HYPERLINK("https://organic.ams.usda.gov/Integrity/Certificate.aspx?cid=40&amp;nopid=4490004326")</f>
        <v>https://organic.ams.usda.gov/Integrity/Certificate.aspx?cid=40&amp;nopid=4490004326</v>
      </c>
    </row>
    <row r="2246">
      <c r="A2246" t="s">
        <v>3</v>
      </c>
      <c r="B2246" s="6" t="s">
        <v>24</v>
      </c>
      <c r="C2246" s="6" t="s">
        <v>90</v>
      </c>
      <c r="D2246" s="6" t="s">
        <v>155</v>
      </c>
      <c r="E2246" s="10" t="s">
        <v>2444</v>
      </c>
      <c r="F2246" s="6" t="s">
        <v>4644</v>
      </c>
      <c r="G2246" s="6" t="s">
        <v>104</v>
      </c>
      <c r="H2246" s="6" t="s">
        <v>6900</v>
      </c>
      <c r="I2246" s="6" t="s">
        <v>8118</v>
      </c>
      <c r="J2246" s="6" t="s">
        <v>9701</v>
      </c>
      <c r="K2246" s="6" t="s">
        <v>9714</v>
      </c>
      <c r="L2246" s="16" t="n">
        <v>45519</v>
      </c>
      <c r="M2246" s="16" t="n">
        <v>45747</v>
      </c>
      <c r="N2246" s="6" t="s">
        <v>104</v>
      </c>
      <c r="O2246" s="21" t="s">
        <v>104</v>
      </c>
      <c r="P2246" s="6" t="s">
        <v>104</v>
      </c>
      <c r="Q2246" s="6" t="s">
        <v>104</v>
      </c>
      <c r="R2246" s="6" t="s">
        <v>104</v>
      </c>
      <c r="S2246" s="6" t="s">
        <v>104</v>
      </c>
      <c r="T2246" s="21" t="s">
        <v>104</v>
      </c>
      <c r="U2246" s="6" t="s">
        <v>104</v>
      </c>
      <c r="V2246" s="6" t="s">
        <v>104</v>
      </c>
      <c r="W2246" s="6" t="s">
        <v>104</v>
      </c>
      <c r="X2246" s="6" t="s">
        <v>104</v>
      </c>
      <c r="Y2246" s="21" t="s">
        <v>104</v>
      </c>
      <c r="Z2246" s="6" t="s">
        <v>104</v>
      </c>
      <c r="AA2246" s="6" t="s">
        <v>104</v>
      </c>
      <c r="AB2246" s="6" t="s">
        <v>104</v>
      </c>
      <c r="AC2246" s="6" t="s">
        <v>9714</v>
      </c>
      <c r="AD2246" s="16" t="n">
        <v>45519</v>
      </c>
      <c r="AE2246" s="6" t="s">
        <v>12466</v>
      </c>
      <c r="AF2246" s="6" t="s">
        <v>104</v>
      </c>
      <c r="AG2246" s="6" t="s">
        <v>6900</v>
      </c>
      <c r="AH2246" s="6" t="s">
        <v>15210</v>
      </c>
      <c r="AI2246" s="6" t="s">
        <v>15354</v>
      </c>
      <c r="AJ2246" s="6" t="s">
        <v>16665</v>
      </c>
      <c r="AK2246" s="6" t="s">
        <v>16781</v>
      </c>
      <c r="AL2246" s="6" t="s">
        <v>16766</v>
      </c>
      <c r="AM2246" s="6" t="s">
        <v>104</v>
      </c>
      <c r="AN2246" s="6" t="s">
        <v>104</v>
      </c>
      <c r="AO2246" s="6" t="s">
        <v>104</v>
      </c>
      <c r="AP2246" s="6" t="s">
        <v>15210</v>
      </c>
      <c r="AQ2246" s="6" t="s">
        <v>15354</v>
      </c>
      <c r="AR2246" s="6" t="s">
        <v>16665</v>
      </c>
      <c r="AS2246" s="6" t="s">
        <v>16781</v>
      </c>
      <c r="AT2246" s="6" t="s">
        <v>16766</v>
      </c>
      <c r="AU2246" s="6" t="s">
        <v>104</v>
      </c>
      <c r="AV2246" s="6" t="s">
        <v>104</v>
      </c>
      <c r="AW2246" s="6" t="s">
        <v>104</v>
      </c>
      <c r="AX2246" s="6" t="s">
        <v>21836</v>
      </c>
      <c r="AY2246" s="6" t="s">
        <v>23671</v>
      </c>
      <c r="AZ2246" s="6" t="s">
        <v>104</v>
      </c>
      <c r="BA2246" s="6" t="s">
        <v>104</v>
      </c>
      <c r="BB2246" s="6" t="s">
        <v>104</v>
      </c>
      <c r="BC2246" s="26"/>
      <c r="BD2246" s="26"/>
      <c r="BE2246" s="26"/>
      <c r="BF2246" s="26"/>
      <c r="BG2246" s="26"/>
      <c r="BH2246" s="26"/>
      <c r="BI2246" s="26"/>
      <c r="BJ2246" s="26"/>
      <c r="BK2246" s="26"/>
      <c r="BL2246" s="26"/>
      <c r="BM2246" s="26"/>
      <c r="BN2246" s="26"/>
      <c r="BO2246" s="26"/>
      <c r="BP2246" s="16" t="n">
        <v>45519</v>
      </c>
      <c r="BQ2246" s="28" t="str">
        <f>HYPERLINK("https://organic.ams.usda.gov/Integrity/Certificate.aspx?cid=7&amp;nopid=3950001181")</f>
        <v>https://organic.ams.usda.gov/Integrity/Certificate.aspx?cid=7&amp;nopid=3950001181</v>
      </c>
    </row>
    <row r="2247">
      <c r="A2247" t="s">
        <v>3</v>
      </c>
      <c r="B2247" s="6" t="s">
        <v>11</v>
      </c>
      <c r="C2247" s="6" t="s">
        <v>77</v>
      </c>
      <c r="D2247" s="6" t="s">
        <v>142</v>
      </c>
      <c r="E2247" s="10" t="s">
        <v>2445</v>
      </c>
      <c r="F2247" s="6" t="s">
        <v>4645</v>
      </c>
      <c r="G2247" s="6" t="s">
        <v>104</v>
      </c>
      <c r="H2247" s="6" t="s">
        <v>6901</v>
      </c>
      <c r="I2247" s="6" t="s">
        <v>8119</v>
      </c>
      <c r="J2247" s="6" t="s">
        <v>9702</v>
      </c>
      <c r="K2247" s="6" t="s">
        <v>9714</v>
      </c>
      <c r="L2247" s="16" t="n">
        <v>41160</v>
      </c>
      <c r="M2247" s="16" t="n">
        <v>45512</v>
      </c>
      <c r="N2247" s="6" t="s">
        <v>9714</v>
      </c>
      <c r="O2247" s="16" t="n">
        <v>41160</v>
      </c>
      <c r="P2247" s="6" t="s">
        <v>10283</v>
      </c>
      <c r="Q2247" s="6" t="s">
        <v>104</v>
      </c>
      <c r="R2247" s="6" t="s">
        <v>104</v>
      </c>
      <c r="S2247" s="6" t="s">
        <v>104</v>
      </c>
      <c r="T2247" s="21" t="s">
        <v>104</v>
      </c>
      <c r="U2247" s="6" t="s">
        <v>104</v>
      </c>
      <c r="V2247" s="6" t="s">
        <v>104</v>
      </c>
      <c r="W2247" s="6" t="s">
        <v>104</v>
      </c>
      <c r="X2247" s="6" t="s">
        <v>104</v>
      </c>
      <c r="Y2247" s="21" t="s">
        <v>104</v>
      </c>
      <c r="Z2247" s="6" t="s">
        <v>104</v>
      </c>
      <c r="AA2247" s="6" t="s">
        <v>104</v>
      </c>
      <c r="AB2247" s="6" t="s">
        <v>104</v>
      </c>
      <c r="AC2247" s="6" t="s">
        <v>9714</v>
      </c>
      <c r="AD2247" s="16" t="n">
        <v>41160</v>
      </c>
      <c r="AE2247" s="6" t="s">
        <v>12467</v>
      </c>
      <c r="AF2247" s="6" t="s">
        <v>104</v>
      </c>
      <c r="AG2247" s="6" t="s">
        <v>104</v>
      </c>
      <c r="AH2247" s="6" t="s">
        <v>15211</v>
      </c>
      <c r="AI2247" s="6" t="s">
        <v>15355</v>
      </c>
      <c r="AJ2247" s="6" t="s">
        <v>16666</v>
      </c>
      <c r="AK2247" s="6" t="s">
        <v>16925</v>
      </c>
      <c r="AL2247" s="6" t="s">
        <v>16983</v>
      </c>
      <c r="AM2247" s="6" t="s">
        <v>104</v>
      </c>
      <c r="AN2247" s="6" t="s">
        <v>104</v>
      </c>
      <c r="AO2247" s="6" t="s">
        <v>104</v>
      </c>
      <c r="AP2247" s="6" t="s">
        <v>19540</v>
      </c>
      <c r="AQ2247" s="6" t="s">
        <v>19585</v>
      </c>
      <c r="AR2247" s="6" t="s">
        <v>19787</v>
      </c>
      <c r="AS2247" s="6" t="s">
        <v>19797</v>
      </c>
      <c r="AT2247" s="6" t="s">
        <v>16983</v>
      </c>
      <c r="AU2247" s="6" t="s">
        <v>104</v>
      </c>
      <c r="AV2247" s="6" t="s">
        <v>104</v>
      </c>
      <c r="AW2247" s="6" t="s">
        <v>104</v>
      </c>
      <c r="AX2247" s="6" t="s">
        <v>21837</v>
      </c>
      <c r="AY2247" s="6" t="s">
        <v>23672</v>
      </c>
      <c r="AZ2247" s="6" t="s">
        <v>104</v>
      </c>
      <c r="BA2247" s="6" t="s">
        <v>104</v>
      </c>
      <c r="BB2247" s="24" t="n">
        <v>507</v>
      </c>
      <c r="BC2247" s="26"/>
      <c r="BD2247" s="26"/>
      <c r="BE2247" s="26"/>
      <c r="BF2247" s="26"/>
      <c r="BG2247" s="26"/>
      <c r="BH2247" s="26"/>
      <c r="BI2247" s="26"/>
      <c r="BJ2247" s="26"/>
      <c r="BK2247" s="26"/>
      <c r="BL2247" s="26"/>
      <c r="BM2247" s="26"/>
      <c r="BN2247" s="26"/>
      <c r="BO2247" s="26" t="s">
        <v>24533</v>
      </c>
      <c r="BP2247" s="16" t="n">
        <v>45700</v>
      </c>
      <c r="BQ2247" s="28" t="str">
        <f>HYPERLINK("https://organic.ams.usda.gov/Integrity/Certificate.aspx?cid=21&amp;nopid=1780807749")</f>
        <v>https://organic.ams.usda.gov/Integrity/Certificate.aspx?cid=21&amp;nopid=1780807749</v>
      </c>
    </row>
    <row r="2248">
      <c r="A2248" t="s">
        <v>3</v>
      </c>
      <c r="B2248" s="6" t="s">
        <v>11</v>
      </c>
      <c r="C2248" s="6" t="s">
        <v>77</v>
      </c>
      <c r="D2248" s="6" t="s">
        <v>142</v>
      </c>
      <c r="E2248" s="10" t="s">
        <v>2446</v>
      </c>
      <c r="F2248" s="6" t="s">
        <v>4646</v>
      </c>
      <c r="G2248" s="6" t="s">
        <v>104</v>
      </c>
      <c r="H2248" s="6" t="s">
        <v>104</v>
      </c>
      <c r="I2248" s="6" t="s">
        <v>8120</v>
      </c>
      <c r="J2248" s="6" t="s">
        <v>9428</v>
      </c>
      <c r="K2248" s="6" t="s">
        <v>9714</v>
      </c>
      <c r="L2248" s="16" t="n">
        <v>43404</v>
      </c>
      <c r="M2248" s="16" t="n">
        <v>45906</v>
      </c>
      <c r="N2248" s="6" t="s">
        <v>9714</v>
      </c>
      <c r="O2248" s="16" t="n">
        <v>43404</v>
      </c>
      <c r="P2248" s="6" t="s">
        <v>10284</v>
      </c>
      <c r="Q2248" s="6" t="s">
        <v>104</v>
      </c>
      <c r="R2248" s="6" t="s">
        <v>104</v>
      </c>
      <c r="S2248" s="6" t="s">
        <v>104</v>
      </c>
      <c r="T2248" s="21" t="s">
        <v>104</v>
      </c>
      <c r="U2248" s="6" t="s">
        <v>104</v>
      </c>
      <c r="V2248" s="6" t="s">
        <v>104</v>
      </c>
      <c r="W2248" s="6" t="s">
        <v>104</v>
      </c>
      <c r="X2248" s="6" t="s">
        <v>104</v>
      </c>
      <c r="Y2248" s="21" t="s">
        <v>104</v>
      </c>
      <c r="Z2248" s="6" t="s">
        <v>104</v>
      </c>
      <c r="AA2248" s="6" t="s">
        <v>104</v>
      </c>
      <c r="AB2248" s="6" t="s">
        <v>104</v>
      </c>
      <c r="AC2248" s="6" t="s">
        <v>9714</v>
      </c>
      <c r="AD2248" s="16" t="n">
        <v>43404</v>
      </c>
      <c r="AE2248" s="6" t="s">
        <v>12468</v>
      </c>
      <c r="AF2248" s="6" t="s">
        <v>104</v>
      </c>
      <c r="AG2248" s="6" t="s">
        <v>104</v>
      </c>
      <c r="AH2248" s="6" t="s">
        <v>15212</v>
      </c>
      <c r="AI2248" s="6" t="s">
        <v>104</v>
      </c>
      <c r="AJ2248" s="6" t="s">
        <v>16667</v>
      </c>
      <c r="AK2248" s="6" t="s">
        <v>16795</v>
      </c>
      <c r="AL2248" s="6" t="s">
        <v>16966</v>
      </c>
      <c r="AM2248" s="6" t="s">
        <v>18440</v>
      </c>
      <c r="AN2248" s="6" t="s">
        <v>104</v>
      </c>
      <c r="AO2248" s="6" t="s">
        <v>104</v>
      </c>
      <c r="AP2248" s="6" t="s">
        <v>104</v>
      </c>
      <c r="AQ2248" s="6" t="s">
        <v>104</v>
      </c>
      <c r="AR2248" s="6" t="s">
        <v>104</v>
      </c>
      <c r="AS2248" s="6" t="s">
        <v>104</v>
      </c>
      <c r="AT2248" s="6" t="s">
        <v>104</v>
      </c>
      <c r="AU2248" s="6" t="s">
        <v>104</v>
      </c>
      <c r="AV2248" s="6" t="s">
        <v>104</v>
      </c>
      <c r="AW2248" s="6" t="s">
        <v>104</v>
      </c>
      <c r="AX2248" s="6" t="s">
        <v>21838</v>
      </c>
      <c r="AY2248" s="6" t="s">
        <v>23673</v>
      </c>
      <c r="AZ2248" s="6" t="s">
        <v>104</v>
      </c>
      <c r="BA2248" s="6" t="s">
        <v>24360</v>
      </c>
      <c r="BB2248" s="24" t="n">
        <v>195</v>
      </c>
      <c r="BC2248" s="26"/>
      <c r="BD2248" s="26"/>
      <c r="BE2248" s="26"/>
      <c r="BF2248" s="26"/>
      <c r="BG2248" s="26"/>
      <c r="BH2248" s="26"/>
      <c r="BI2248" s="26"/>
      <c r="BJ2248" s="26"/>
      <c r="BK2248" s="26"/>
      <c r="BL2248" s="26"/>
      <c r="BM2248" s="26"/>
      <c r="BN2248" s="26"/>
      <c r="BO2248" s="26"/>
      <c r="BP2248" s="16" t="n">
        <v>45673</v>
      </c>
      <c r="BQ2248" s="28" t="str">
        <f>HYPERLINK("https://organic.ams.usda.gov/Integrity/Certificate.aspx?cid=21&amp;nopid=1780861737")</f>
        <v>https://organic.ams.usda.gov/Integrity/Certificate.aspx?cid=21&amp;nopid=1780861737</v>
      </c>
    </row>
    <row r="2249">
      <c r="A2249" t="s">
        <v>3</v>
      </c>
      <c r="B2249" s="6" t="s">
        <v>6</v>
      </c>
      <c r="C2249" s="6" t="s">
        <v>72</v>
      </c>
      <c r="D2249" s="6" t="s">
        <v>137</v>
      </c>
      <c r="E2249" s="10" t="s">
        <v>2447</v>
      </c>
      <c r="F2249" s="6" t="s">
        <v>4647</v>
      </c>
      <c r="G2249" s="6" t="s">
        <v>104</v>
      </c>
      <c r="H2249" s="6" t="s">
        <v>6902</v>
      </c>
      <c r="I2249" s="6" t="s">
        <v>6915</v>
      </c>
      <c r="J2249" s="6" t="s">
        <v>9703</v>
      </c>
      <c r="K2249" s="6" t="s">
        <v>9714</v>
      </c>
      <c r="L2249" s="16" t="n">
        <v>44785</v>
      </c>
      <c r="M2249" s="16" t="n">
        <v>45711</v>
      </c>
      <c r="N2249" s="6" t="s">
        <v>104</v>
      </c>
      <c r="O2249" s="21" t="s">
        <v>104</v>
      </c>
      <c r="P2249" s="6" t="s">
        <v>104</v>
      </c>
      <c r="Q2249" s="6" t="s">
        <v>104</v>
      </c>
      <c r="R2249" s="6" t="s">
        <v>104</v>
      </c>
      <c r="S2249" s="6" t="s">
        <v>104</v>
      </c>
      <c r="T2249" s="21" t="s">
        <v>104</v>
      </c>
      <c r="U2249" s="6" t="s">
        <v>104</v>
      </c>
      <c r="V2249" s="6" t="s">
        <v>104</v>
      </c>
      <c r="W2249" s="6" t="s">
        <v>104</v>
      </c>
      <c r="X2249" s="6" t="s">
        <v>104</v>
      </c>
      <c r="Y2249" s="21" t="s">
        <v>104</v>
      </c>
      <c r="Z2249" s="6" t="s">
        <v>104</v>
      </c>
      <c r="AA2249" s="6" t="s">
        <v>104</v>
      </c>
      <c r="AB2249" s="6" t="s">
        <v>104</v>
      </c>
      <c r="AC2249" s="6" t="s">
        <v>9714</v>
      </c>
      <c r="AD2249" s="16" t="n">
        <v>44785</v>
      </c>
      <c r="AE2249" s="6" t="s">
        <v>12469</v>
      </c>
      <c r="AF2249" s="6" t="s">
        <v>104</v>
      </c>
      <c r="AG2249" s="6" t="s">
        <v>104</v>
      </c>
      <c r="AH2249" s="6" t="s">
        <v>15213</v>
      </c>
      <c r="AI2249" s="6" t="s">
        <v>104</v>
      </c>
      <c r="AJ2249" s="6" t="s">
        <v>104</v>
      </c>
      <c r="AK2249" s="6" t="s">
        <v>104</v>
      </c>
      <c r="AL2249" s="6" t="s">
        <v>16766</v>
      </c>
      <c r="AM2249" s="6" t="s">
        <v>104</v>
      </c>
      <c r="AN2249" s="6" t="s">
        <v>104</v>
      </c>
      <c r="AO2249" s="6" t="s">
        <v>104</v>
      </c>
      <c r="AP2249" s="6" t="s">
        <v>104</v>
      </c>
      <c r="AQ2249" s="6" t="s">
        <v>104</v>
      </c>
      <c r="AR2249" s="6" t="s">
        <v>104</v>
      </c>
      <c r="AS2249" s="6" t="s">
        <v>104</v>
      </c>
      <c r="AT2249" s="6" t="s">
        <v>104</v>
      </c>
      <c r="AU2249" s="6" t="s">
        <v>104</v>
      </c>
      <c r="AV2249" s="6" t="s">
        <v>104</v>
      </c>
      <c r="AW2249" s="6" t="s">
        <v>104</v>
      </c>
      <c r="AX2249" s="6" t="s">
        <v>104</v>
      </c>
      <c r="AY2249" s="6" t="s">
        <v>23674</v>
      </c>
      <c r="AZ2249" s="6" t="s">
        <v>104</v>
      </c>
      <c r="BA2249" s="6" t="s">
        <v>104</v>
      </c>
      <c r="BB2249" s="6" t="s">
        <v>104</v>
      </c>
      <c r="BC2249" s="26"/>
      <c r="BD2249" s="26"/>
      <c r="BE2249" s="26"/>
      <c r="BF2249" s="26"/>
      <c r="BG2249" s="26"/>
      <c r="BH2249" s="26"/>
      <c r="BI2249" s="26"/>
      <c r="BJ2249" s="26"/>
      <c r="BK2249" s="26"/>
      <c r="BL2249" s="26"/>
      <c r="BM2249" s="26"/>
      <c r="BN2249" s="26"/>
      <c r="BO2249" s="26"/>
      <c r="BP2249" s="16" t="n">
        <v>45737</v>
      </c>
      <c r="BQ2249" s="28" t="str">
        <f>HYPERLINK("https://organic.ams.usda.gov/Integrity/Certificate.aspx?cid=32&amp;nopid=2230009327")</f>
        <v>https://organic.ams.usda.gov/Integrity/Certificate.aspx?cid=32&amp;nopid=2230009327</v>
      </c>
    </row>
    <row r="2250">
      <c r="A2250" t="s">
        <v>3</v>
      </c>
      <c r="B2250" s="6" t="s">
        <v>20</v>
      </c>
      <c r="C2250" s="6" t="s">
        <v>86</v>
      </c>
      <c r="D2250" s="6" t="s">
        <v>151</v>
      </c>
      <c r="E2250" s="10" t="s">
        <v>2448</v>
      </c>
      <c r="F2250" s="6" t="s">
        <v>4648</v>
      </c>
      <c r="G2250" s="6" t="s">
        <v>104</v>
      </c>
      <c r="H2250" s="6" t="s">
        <v>6903</v>
      </c>
      <c r="I2250" s="6" t="s">
        <v>8121</v>
      </c>
      <c r="J2250" s="6" t="s">
        <v>9704</v>
      </c>
      <c r="K2250" s="6" t="s">
        <v>9714</v>
      </c>
      <c r="L2250" s="16" t="n">
        <v>44358</v>
      </c>
      <c r="M2250" s="16" t="n">
        <v>46022</v>
      </c>
      <c r="N2250" s="6" t="s">
        <v>104</v>
      </c>
      <c r="O2250" s="21" t="s">
        <v>104</v>
      </c>
      <c r="P2250" s="6" t="s">
        <v>104</v>
      </c>
      <c r="Q2250" s="6" t="s">
        <v>104</v>
      </c>
      <c r="R2250" s="6" t="s">
        <v>104</v>
      </c>
      <c r="S2250" s="6" t="s">
        <v>104</v>
      </c>
      <c r="T2250" s="21" t="s">
        <v>104</v>
      </c>
      <c r="U2250" s="6" t="s">
        <v>104</v>
      </c>
      <c r="V2250" s="6" t="s">
        <v>104</v>
      </c>
      <c r="W2250" s="6" t="s">
        <v>104</v>
      </c>
      <c r="X2250" s="6" t="s">
        <v>104</v>
      </c>
      <c r="Y2250" s="21" t="s">
        <v>104</v>
      </c>
      <c r="Z2250" s="6" t="s">
        <v>104</v>
      </c>
      <c r="AA2250" s="6" t="s">
        <v>104</v>
      </c>
      <c r="AB2250" s="6" t="s">
        <v>104</v>
      </c>
      <c r="AC2250" s="6" t="s">
        <v>9714</v>
      </c>
      <c r="AD2250" s="16" t="n">
        <v>44358</v>
      </c>
      <c r="AE2250" s="6" t="s">
        <v>12470</v>
      </c>
      <c r="AF2250" s="6" t="s">
        <v>104</v>
      </c>
      <c r="AG2250" s="6" t="s">
        <v>13149</v>
      </c>
      <c r="AH2250" s="6" t="s">
        <v>15214</v>
      </c>
      <c r="AI2250" s="6" t="s">
        <v>104</v>
      </c>
      <c r="AJ2250" s="6" t="s">
        <v>16668</v>
      </c>
      <c r="AK2250" s="6" t="s">
        <v>16926</v>
      </c>
      <c r="AL2250" s="6" t="s">
        <v>16766</v>
      </c>
      <c r="AM2250" s="6" t="s">
        <v>104</v>
      </c>
      <c r="AN2250" s="6" t="s">
        <v>104</v>
      </c>
      <c r="AO2250" s="6" t="s">
        <v>104</v>
      </c>
      <c r="AP2250" s="6" t="s">
        <v>104</v>
      </c>
      <c r="AQ2250" s="6" t="s">
        <v>104</v>
      </c>
      <c r="AR2250" s="6" t="s">
        <v>104</v>
      </c>
      <c r="AS2250" s="6" t="s">
        <v>104</v>
      </c>
      <c r="AT2250" s="6" t="s">
        <v>104</v>
      </c>
      <c r="AU2250" s="6" t="s">
        <v>104</v>
      </c>
      <c r="AV2250" s="6" t="s">
        <v>104</v>
      </c>
      <c r="AW2250" s="6" t="s">
        <v>104</v>
      </c>
      <c r="AX2250" s="6" t="s">
        <v>21839</v>
      </c>
      <c r="AY2250" s="6" t="s">
        <v>23675</v>
      </c>
      <c r="AZ2250" s="6" t="s">
        <v>104</v>
      </c>
      <c r="BA2250" s="6" t="s">
        <v>104</v>
      </c>
      <c r="BB2250" s="6" t="s">
        <v>104</v>
      </c>
      <c r="BC2250" s="26"/>
      <c r="BD2250" s="26"/>
      <c r="BE2250" s="26"/>
      <c r="BF2250" s="26"/>
      <c r="BG2250" s="26"/>
      <c r="BH2250" s="26"/>
      <c r="BI2250" s="26"/>
      <c r="BJ2250" s="26"/>
      <c r="BK2250" s="26"/>
      <c r="BL2250" s="26"/>
      <c r="BM2250" s="26"/>
      <c r="BN2250" s="26"/>
      <c r="BO2250" s="26"/>
      <c r="BP2250" s="16" t="n">
        <v>45532</v>
      </c>
      <c r="BQ2250" s="28" t="str">
        <f>HYPERLINK("https://organic.ams.usda.gov/Integrity/Certificate.aspx?cid=17&amp;nopid=4082473009")</f>
        <v>https://organic.ams.usda.gov/Integrity/Certificate.aspx?cid=17&amp;nopid=4082473009</v>
      </c>
    </row>
    <row r="2251">
      <c r="A2251" t="s">
        <v>3</v>
      </c>
      <c r="B2251" s="6" t="s">
        <v>20</v>
      </c>
      <c r="C2251" s="6" t="s">
        <v>86</v>
      </c>
      <c r="D2251" s="6" t="s">
        <v>151</v>
      </c>
      <c r="E2251" s="10" t="s">
        <v>2449</v>
      </c>
      <c r="F2251" s="6" t="s">
        <v>4649</v>
      </c>
      <c r="G2251" s="6" t="s">
        <v>104</v>
      </c>
      <c r="H2251" s="6" t="s">
        <v>6904</v>
      </c>
      <c r="I2251" s="6" t="s">
        <v>7273</v>
      </c>
      <c r="J2251" s="6" t="s">
        <v>9705</v>
      </c>
      <c r="K2251" s="6" t="s">
        <v>9714</v>
      </c>
      <c r="L2251" s="16" t="n">
        <v>44617</v>
      </c>
      <c r="M2251" s="16" t="n">
        <v>45777</v>
      </c>
      <c r="N2251" s="6" t="s">
        <v>104</v>
      </c>
      <c r="O2251" s="21" t="s">
        <v>104</v>
      </c>
      <c r="P2251" s="6" t="s">
        <v>104</v>
      </c>
      <c r="Q2251" s="6" t="s">
        <v>104</v>
      </c>
      <c r="R2251" s="6" t="s">
        <v>104</v>
      </c>
      <c r="S2251" s="6" t="s">
        <v>104</v>
      </c>
      <c r="T2251" s="21" t="s">
        <v>104</v>
      </c>
      <c r="U2251" s="6" t="s">
        <v>104</v>
      </c>
      <c r="V2251" s="6" t="s">
        <v>104</v>
      </c>
      <c r="W2251" s="6" t="s">
        <v>104</v>
      </c>
      <c r="X2251" s="6" t="s">
        <v>104</v>
      </c>
      <c r="Y2251" s="21" t="s">
        <v>104</v>
      </c>
      <c r="Z2251" s="6" t="s">
        <v>104</v>
      </c>
      <c r="AA2251" s="6" t="s">
        <v>104</v>
      </c>
      <c r="AB2251" s="6" t="s">
        <v>104</v>
      </c>
      <c r="AC2251" s="6" t="s">
        <v>9714</v>
      </c>
      <c r="AD2251" s="16" t="n">
        <v>44617</v>
      </c>
      <c r="AE2251" s="6" t="s">
        <v>12471</v>
      </c>
      <c r="AF2251" s="6" t="s">
        <v>104</v>
      </c>
      <c r="AG2251" s="6" t="s">
        <v>13150</v>
      </c>
      <c r="AH2251" s="6" t="s">
        <v>15215</v>
      </c>
      <c r="AI2251" s="6" t="s">
        <v>104</v>
      </c>
      <c r="AJ2251" s="6" t="s">
        <v>16669</v>
      </c>
      <c r="AK2251" s="6" t="s">
        <v>16789</v>
      </c>
      <c r="AL2251" s="6" t="s">
        <v>16766</v>
      </c>
      <c r="AM2251" s="6" t="s">
        <v>104</v>
      </c>
      <c r="AN2251" s="6" t="s">
        <v>104</v>
      </c>
      <c r="AO2251" s="6" t="s">
        <v>104</v>
      </c>
      <c r="AP2251" s="6" t="s">
        <v>15215</v>
      </c>
      <c r="AQ2251" s="6" t="s">
        <v>104</v>
      </c>
      <c r="AR2251" s="6" t="s">
        <v>16669</v>
      </c>
      <c r="AS2251" s="6" t="s">
        <v>16789</v>
      </c>
      <c r="AT2251" s="6" t="s">
        <v>16766</v>
      </c>
      <c r="AU2251" s="6" t="s">
        <v>104</v>
      </c>
      <c r="AV2251" s="6" t="s">
        <v>104</v>
      </c>
      <c r="AW2251" s="6" t="s">
        <v>104</v>
      </c>
      <c r="AX2251" s="6" t="s">
        <v>21840</v>
      </c>
      <c r="AY2251" s="6" t="s">
        <v>23676</v>
      </c>
      <c r="AZ2251" s="6" t="s">
        <v>104</v>
      </c>
      <c r="BA2251" s="6" t="s">
        <v>104</v>
      </c>
      <c r="BB2251" s="6" t="s">
        <v>104</v>
      </c>
      <c r="BC2251" s="26"/>
      <c r="BD2251" s="26"/>
      <c r="BE2251" s="26"/>
      <c r="BF2251" s="26"/>
      <c r="BG2251" s="26"/>
      <c r="BH2251" s="26"/>
      <c r="BI2251" s="26"/>
      <c r="BJ2251" s="26"/>
      <c r="BK2251" s="26"/>
      <c r="BL2251" s="26"/>
      <c r="BM2251" s="26"/>
      <c r="BN2251" s="26"/>
      <c r="BO2251" s="26"/>
      <c r="BP2251" s="16" t="n">
        <v>45369</v>
      </c>
      <c r="BQ2251" s="28" t="str">
        <f>HYPERLINK("https://organic.ams.usda.gov/Integrity/Certificate.aspx?cid=17&amp;nopid=4085095484")</f>
        <v>https://organic.ams.usda.gov/Integrity/Certificate.aspx?cid=17&amp;nopid=4085095484</v>
      </c>
    </row>
    <row r="2252">
      <c r="A2252" t="s">
        <v>3</v>
      </c>
      <c r="B2252" s="6" t="s">
        <v>31</v>
      </c>
      <c r="C2252" s="6" t="s">
        <v>97</v>
      </c>
      <c r="D2252" s="6" t="s">
        <v>162</v>
      </c>
      <c r="E2252" s="10" t="s">
        <v>2450</v>
      </c>
      <c r="F2252" s="6" t="s">
        <v>4650</v>
      </c>
      <c r="G2252" s="6" t="s">
        <v>104</v>
      </c>
      <c r="H2252" s="6" t="s">
        <v>6905</v>
      </c>
      <c r="I2252" s="6" t="s">
        <v>7137</v>
      </c>
      <c r="J2252" s="6" t="s">
        <v>9706</v>
      </c>
      <c r="K2252" s="6" t="s">
        <v>9714</v>
      </c>
      <c r="L2252" s="16" t="n">
        <v>44525</v>
      </c>
      <c r="M2252" s="16" t="n">
        <v>45986</v>
      </c>
      <c r="N2252" s="6" t="s">
        <v>104</v>
      </c>
      <c r="O2252" s="21" t="s">
        <v>104</v>
      </c>
      <c r="P2252" s="6" t="s">
        <v>104</v>
      </c>
      <c r="Q2252" s="6" t="s">
        <v>104</v>
      </c>
      <c r="R2252" s="6" t="s">
        <v>104</v>
      </c>
      <c r="S2252" s="6" t="s">
        <v>104</v>
      </c>
      <c r="T2252" s="21" t="s">
        <v>104</v>
      </c>
      <c r="U2252" s="6" t="s">
        <v>104</v>
      </c>
      <c r="V2252" s="6" t="s">
        <v>104</v>
      </c>
      <c r="W2252" s="6" t="s">
        <v>104</v>
      </c>
      <c r="X2252" s="6" t="s">
        <v>104</v>
      </c>
      <c r="Y2252" s="21" t="s">
        <v>104</v>
      </c>
      <c r="Z2252" s="6" t="s">
        <v>104</v>
      </c>
      <c r="AA2252" s="6" t="s">
        <v>104</v>
      </c>
      <c r="AB2252" s="6" t="s">
        <v>104</v>
      </c>
      <c r="AC2252" s="6" t="s">
        <v>9714</v>
      </c>
      <c r="AD2252" s="16" t="n">
        <v>44525</v>
      </c>
      <c r="AE2252" s="6" t="s">
        <v>12472</v>
      </c>
      <c r="AF2252" s="6" t="s">
        <v>104</v>
      </c>
      <c r="AG2252" s="6" t="s">
        <v>13151</v>
      </c>
      <c r="AH2252" s="6" t="s">
        <v>15216</v>
      </c>
      <c r="AI2252" s="6" t="s">
        <v>104</v>
      </c>
      <c r="AJ2252" s="6" t="s">
        <v>16670</v>
      </c>
      <c r="AK2252" s="6" t="s">
        <v>16927</v>
      </c>
      <c r="AL2252" s="6" t="s">
        <v>16950</v>
      </c>
      <c r="AM2252" s="6" t="s">
        <v>104</v>
      </c>
      <c r="AN2252" s="6" t="s">
        <v>104</v>
      </c>
      <c r="AO2252" s="6" t="s">
        <v>104</v>
      </c>
      <c r="AP2252" s="6" t="s">
        <v>15216</v>
      </c>
      <c r="AQ2252" s="6" t="s">
        <v>104</v>
      </c>
      <c r="AR2252" s="6" t="s">
        <v>16670</v>
      </c>
      <c r="AS2252" s="6" t="s">
        <v>16927</v>
      </c>
      <c r="AT2252" s="6" t="s">
        <v>16950</v>
      </c>
      <c r="AU2252" s="6" t="s">
        <v>104</v>
      </c>
      <c r="AV2252" s="6" t="s">
        <v>104</v>
      </c>
      <c r="AW2252" s="6" t="s">
        <v>104</v>
      </c>
      <c r="AX2252" s="6" t="s">
        <v>21841</v>
      </c>
      <c r="AY2252" s="6" t="s">
        <v>23677</v>
      </c>
      <c r="AZ2252" s="6" t="s">
        <v>104</v>
      </c>
      <c r="BA2252" s="6" t="s">
        <v>104</v>
      </c>
      <c r="BB2252" s="6" t="s">
        <v>104</v>
      </c>
      <c r="BC2252" s="26"/>
      <c r="BD2252" s="26"/>
      <c r="BE2252" s="26"/>
      <c r="BF2252" s="26"/>
      <c r="BG2252" s="26"/>
      <c r="BH2252" s="26"/>
      <c r="BI2252" s="26"/>
      <c r="BJ2252" s="26"/>
      <c r="BK2252" s="26"/>
      <c r="BL2252" s="26"/>
      <c r="BM2252" s="26"/>
      <c r="BN2252" s="26"/>
      <c r="BO2252" s="26"/>
      <c r="BP2252" s="16" t="n">
        <v>45707</v>
      </c>
      <c r="BQ2252" s="28" t="str">
        <f>HYPERLINK("https://organic.ams.usda.gov/Integrity/Certificate.aspx?cid=43&amp;nopid=3532021636")</f>
        <v>https://organic.ams.usda.gov/Integrity/Certificate.aspx?cid=43&amp;nopid=3532021636</v>
      </c>
    </row>
    <row r="2253">
      <c r="A2253" t="s">
        <v>3</v>
      </c>
      <c r="B2253" s="6" t="s">
        <v>47</v>
      </c>
      <c r="C2253" s="6" t="s">
        <v>113</v>
      </c>
      <c r="D2253" s="6" t="s">
        <v>177</v>
      </c>
      <c r="E2253" s="10" t="s">
        <v>2451</v>
      </c>
      <c r="F2253" s="6" t="s">
        <v>4651</v>
      </c>
      <c r="G2253" s="6" t="s">
        <v>104</v>
      </c>
      <c r="H2253" s="6" t="s">
        <v>6906</v>
      </c>
      <c r="I2253" s="6" t="s">
        <v>7480</v>
      </c>
      <c r="J2253" s="6" t="s">
        <v>9707</v>
      </c>
      <c r="K2253" s="6" t="s">
        <v>9714</v>
      </c>
      <c r="L2253" s="16" t="n">
        <v>41856</v>
      </c>
      <c r="M2253" s="16" t="n">
        <v>45792</v>
      </c>
      <c r="N2253" s="6" t="s">
        <v>9714</v>
      </c>
      <c r="O2253" s="16" t="n">
        <v>41856</v>
      </c>
      <c r="P2253" s="6" t="s">
        <v>10285</v>
      </c>
      <c r="Q2253" s="6" t="s">
        <v>104</v>
      </c>
      <c r="R2253" s="6" t="s">
        <v>10459</v>
      </c>
      <c r="S2253" s="6" t="s">
        <v>9714</v>
      </c>
      <c r="T2253" s="16" t="n">
        <v>41856</v>
      </c>
      <c r="U2253" s="6" t="s">
        <v>10510</v>
      </c>
      <c r="V2253" s="6" t="s">
        <v>104</v>
      </c>
      <c r="W2253" s="6" t="s">
        <v>10459</v>
      </c>
      <c r="X2253" s="6" t="s">
        <v>104</v>
      </c>
      <c r="Y2253" s="21" t="s">
        <v>104</v>
      </c>
      <c r="Z2253" s="6" t="s">
        <v>104</v>
      </c>
      <c r="AA2253" s="6" t="s">
        <v>104</v>
      </c>
      <c r="AB2253" s="6" t="s">
        <v>104</v>
      </c>
      <c r="AC2253" s="6" t="s">
        <v>9714</v>
      </c>
      <c r="AD2253" s="16" t="n">
        <v>41856</v>
      </c>
      <c r="AE2253" s="6" t="s">
        <v>12473</v>
      </c>
      <c r="AF2253" s="6" t="s">
        <v>104</v>
      </c>
      <c r="AG2253" s="6" t="s">
        <v>10459</v>
      </c>
      <c r="AH2253" s="6" t="s">
        <v>15217</v>
      </c>
      <c r="AI2253" s="6" t="s">
        <v>104</v>
      </c>
      <c r="AJ2253" s="6" t="s">
        <v>16671</v>
      </c>
      <c r="AK2253" s="6" t="s">
        <v>16734</v>
      </c>
      <c r="AL2253" s="6" t="s">
        <v>16931</v>
      </c>
      <c r="AM2253" s="6" t="s">
        <v>18441</v>
      </c>
      <c r="AN2253" s="6" t="s">
        <v>18472</v>
      </c>
      <c r="AO2253" s="6" t="s">
        <v>18600</v>
      </c>
      <c r="AP2253" s="6" t="s">
        <v>19541</v>
      </c>
      <c r="AQ2253" s="6" t="s">
        <v>104</v>
      </c>
      <c r="AR2253" s="6" t="s">
        <v>16252</v>
      </c>
      <c r="AS2253" s="6" t="s">
        <v>16734</v>
      </c>
      <c r="AT2253" s="6" t="s">
        <v>16931</v>
      </c>
      <c r="AU2253" s="6" t="s">
        <v>18441</v>
      </c>
      <c r="AV2253" s="6" t="s">
        <v>104</v>
      </c>
      <c r="AW2253" s="6" t="s">
        <v>104</v>
      </c>
      <c r="AX2253" s="6" t="s">
        <v>21842</v>
      </c>
      <c r="AY2253" s="6" t="s">
        <v>23678</v>
      </c>
      <c r="AZ2253" s="6" t="s">
        <v>104</v>
      </c>
      <c r="BA2253" s="6" t="s">
        <v>104</v>
      </c>
      <c r="BB2253" s="24" t="n">
        <v>345</v>
      </c>
      <c r="BC2253" s="26"/>
      <c r="BD2253" s="26"/>
      <c r="BE2253" s="26"/>
      <c r="BF2253" s="26"/>
      <c r="BG2253" s="26"/>
      <c r="BH2253" s="26"/>
      <c r="BI2253" s="26"/>
      <c r="BJ2253" s="26"/>
      <c r="BK2253" s="26"/>
      <c r="BL2253" s="26"/>
      <c r="BM2253" s="26"/>
      <c r="BN2253" s="26"/>
      <c r="BO2253" s="26"/>
      <c r="BP2253" s="16" t="n">
        <v>45694</v>
      </c>
      <c r="BQ2253" s="28" t="str">
        <f>HYPERLINK("https://organic.ams.usda.gov/Integrity/Certificate.aspx?cid=47&amp;nopid=7142074532")</f>
        <v>https://organic.ams.usda.gov/Integrity/Certificate.aspx?cid=47&amp;nopid=7142074532</v>
      </c>
    </row>
    <row r="2254">
      <c r="A2254" t="s">
        <v>3</v>
      </c>
      <c r="B2254" s="6" t="s">
        <v>11</v>
      </c>
      <c r="C2254" s="6" t="s">
        <v>77</v>
      </c>
      <c r="D2254" s="6" t="s">
        <v>142</v>
      </c>
      <c r="E2254" s="10" t="s">
        <v>2452</v>
      </c>
      <c r="F2254" s="6" t="s">
        <v>4652</v>
      </c>
      <c r="G2254" s="6" t="s">
        <v>104</v>
      </c>
      <c r="H2254" s="6" t="s">
        <v>104</v>
      </c>
      <c r="I2254" s="6" t="s">
        <v>7363</v>
      </c>
      <c r="J2254" s="6" t="s">
        <v>8642</v>
      </c>
      <c r="K2254" s="6" t="s">
        <v>9714</v>
      </c>
      <c r="L2254" s="16" t="n">
        <v>44915</v>
      </c>
      <c r="M2254" s="16" t="n">
        <v>45934</v>
      </c>
      <c r="N2254" s="6" t="s">
        <v>9714</v>
      </c>
      <c r="O2254" s="16" t="n">
        <v>44915</v>
      </c>
      <c r="P2254" s="6" t="s">
        <v>9962</v>
      </c>
      <c r="Q2254" s="6" t="s">
        <v>104</v>
      </c>
      <c r="R2254" s="6" t="s">
        <v>104</v>
      </c>
      <c r="S2254" s="6" t="s">
        <v>104</v>
      </c>
      <c r="T2254" s="21" t="s">
        <v>104</v>
      </c>
      <c r="U2254" s="6" t="s">
        <v>104</v>
      </c>
      <c r="V2254" s="6" t="s">
        <v>104</v>
      </c>
      <c r="W2254" s="6" t="s">
        <v>104</v>
      </c>
      <c r="X2254" s="6" t="s">
        <v>104</v>
      </c>
      <c r="Y2254" s="21" t="s">
        <v>104</v>
      </c>
      <c r="Z2254" s="6" t="s">
        <v>104</v>
      </c>
      <c r="AA2254" s="6" t="s">
        <v>104</v>
      </c>
      <c r="AB2254" s="6" t="s">
        <v>104</v>
      </c>
      <c r="AC2254" s="6" t="s">
        <v>9714</v>
      </c>
      <c r="AD2254" s="16" t="n">
        <v>44915</v>
      </c>
      <c r="AE2254" s="6" t="s">
        <v>11320</v>
      </c>
      <c r="AF2254" s="6" t="s">
        <v>104</v>
      </c>
      <c r="AG2254" s="6" t="s">
        <v>104</v>
      </c>
      <c r="AH2254" s="6" t="s">
        <v>15218</v>
      </c>
      <c r="AI2254" s="6" t="s">
        <v>104</v>
      </c>
      <c r="AJ2254" s="6" t="s">
        <v>15799</v>
      </c>
      <c r="AK2254" s="6" t="s">
        <v>16795</v>
      </c>
      <c r="AL2254" s="6" t="s">
        <v>16966</v>
      </c>
      <c r="AM2254" s="6" t="s">
        <v>18442</v>
      </c>
      <c r="AN2254" s="6" t="s">
        <v>104</v>
      </c>
      <c r="AO2254" s="6" t="s">
        <v>104</v>
      </c>
      <c r="AP2254" s="6" t="s">
        <v>104</v>
      </c>
      <c r="AQ2254" s="6" t="s">
        <v>104</v>
      </c>
      <c r="AR2254" s="6" t="s">
        <v>104</v>
      </c>
      <c r="AS2254" s="6" t="s">
        <v>104</v>
      </c>
      <c r="AT2254" s="6" t="s">
        <v>104</v>
      </c>
      <c r="AU2254" s="6" t="s">
        <v>104</v>
      </c>
      <c r="AV2254" s="6" t="s">
        <v>104</v>
      </c>
      <c r="AW2254" s="6" t="s">
        <v>104</v>
      </c>
      <c r="AX2254" s="6" t="s">
        <v>20630</v>
      </c>
      <c r="AY2254" s="6" t="s">
        <v>22404</v>
      </c>
      <c r="AZ2254" s="6" t="s">
        <v>104</v>
      </c>
      <c r="BA2254" s="6" t="s">
        <v>24360</v>
      </c>
      <c r="BB2254" s="24" t="n">
        <v>32</v>
      </c>
      <c r="BC2254" s="26"/>
      <c r="BD2254" s="26"/>
      <c r="BE2254" s="26"/>
      <c r="BF2254" s="26"/>
      <c r="BG2254" s="26"/>
      <c r="BH2254" s="26"/>
      <c r="BI2254" s="26"/>
      <c r="BJ2254" s="26"/>
      <c r="BK2254" s="26"/>
      <c r="BL2254" s="26"/>
      <c r="BM2254" s="26"/>
      <c r="BN2254" s="26"/>
      <c r="BO2254" s="26"/>
      <c r="BP2254" s="16" t="n">
        <v>45645</v>
      </c>
      <c r="BQ2254" s="28" t="str">
        <f>HYPERLINK("https://organic.ams.usda.gov/Integrity/Certificate.aspx?cid=21&amp;nopid=1780891271")</f>
        <v>https://organic.ams.usda.gov/Integrity/Certificate.aspx?cid=21&amp;nopid=1780891271</v>
      </c>
    </row>
    <row r="2255">
      <c r="A2255" t="s">
        <v>3</v>
      </c>
      <c r="B2255" s="6" t="s">
        <v>11</v>
      </c>
      <c r="C2255" s="6" t="s">
        <v>77</v>
      </c>
      <c r="D2255" s="6" t="s">
        <v>142</v>
      </c>
      <c r="E2255" s="10" t="s">
        <v>2453</v>
      </c>
      <c r="F2255" s="6" t="s">
        <v>4653</v>
      </c>
      <c r="G2255" s="6" t="s">
        <v>104</v>
      </c>
      <c r="H2255" s="6" t="s">
        <v>104</v>
      </c>
      <c r="I2255" s="6" t="s">
        <v>7363</v>
      </c>
      <c r="J2255" s="6" t="s">
        <v>8642</v>
      </c>
      <c r="K2255" s="6" t="s">
        <v>9714</v>
      </c>
      <c r="L2255" s="16" t="n">
        <v>44915</v>
      </c>
      <c r="M2255" s="16" t="n">
        <v>45934</v>
      </c>
      <c r="N2255" s="6" t="s">
        <v>9714</v>
      </c>
      <c r="O2255" s="16" t="n">
        <v>44915</v>
      </c>
      <c r="P2255" s="6" t="s">
        <v>9962</v>
      </c>
      <c r="Q2255" s="6" t="s">
        <v>104</v>
      </c>
      <c r="R2255" s="6" t="s">
        <v>104</v>
      </c>
      <c r="S2255" s="6" t="s">
        <v>104</v>
      </c>
      <c r="T2255" s="21" t="s">
        <v>104</v>
      </c>
      <c r="U2255" s="6" t="s">
        <v>104</v>
      </c>
      <c r="V2255" s="6" t="s">
        <v>104</v>
      </c>
      <c r="W2255" s="6" t="s">
        <v>104</v>
      </c>
      <c r="X2255" s="6" t="s">
        <v>104</v>
      </c>
      <c r="Y2255" s="21" t="s">
        <v>104</v>
      </c>
      <c r="Z2255" s="6" t="s">
        <v>104</v>
      </c>
      <c r="AA2255" s="6" t="s">
        <v>104</v>
      </c>
      <c r="AB2255" s="6" t="s">
        <v>104</v>
      </c>
      <c r="AC2255" s="6" t="s">
        <v>9714</v>
      </c>
      <c r="AD2255" s="16" t="n">
        <v>44915</v>
      </c>
      <c r="AE2255" s="6" t="s">
        <v>11320</v>
      </c>
      <c r="AF2255" s="6" t="s">
        <v>104</v>
      </c>
      <c r="AG2255" s="6" t="s">
        <v>104</v>
      </c>
      <c r="AH2255" s="6" t="s">
        <v>15219</v>
      </c>
      <c r="AI2255" s="6" t="s">
        <v>104</v>
      </c>
      <c r="AJ2255" s="6" t="s">
        <v>15799</v>
      </c>
      <c r="AK2255" s="6" t="s">
        <v>16795</v>
      </c>
      <c r="AL2255" s="6" t="s">
        <v>16966</v>
      </c>
      <c r="AM2255" s="6" t="s">
        <v>17588</v>
      </c>
      <c r="AN2255" s="6" t="s">
        <v>104</v>
      </c>
      <c r="AO2255" s="6" t="s">
        <v>104</v>
      </c>
      <c r="AP2255" s="6" t="s">
        <v>104</v>
      </c>
      <c r="AQ2255" s="6" t="s">
        <v>104</v>
      </c>
      <c r="AR2255" s="6" t="s">
        <v>104</v>
      </c>
      <c r="AS2255" s="6" t="s">
        <v>104</v>
      </c>
      <c r="AT2255" s="6" t="s">
        <v>104</v>
      </c>
      <c r="AU2255" s="6" t="s">
        <v>104</v>
      </c>
      <c r="AV2255" s="6" t="s">
        <v>104</v>
      </c>
      <c r="AW2255" s="6" t="s">
        <v>104</v>
      </c>
      <c r="AX2255" s="6" t="s">
        <v>20630</v>
      </c>
      <c r="AY2255" s="6" t="s">
        <v>22404</v>
      </c>
      <c r="AZ2255" s="6" t="s">
        <v>104</v>
      </c>
      <c r="BA2255" s="6" t="s">
        <v>24360</v>
      </c>
      <c r="BB2255" s="24" t="n">
        <v>16</v>
      </c>
      <c r="BC2255" s="26"/>
      <c r="BD2255" s="26"/>
      <c r="BE2255" s="26"/>
      <c r="BF2255" s="26"/>
      <c r="BG2255" s="26"/>
      <c r="BH2255" s="26"/>
      <c r="BI2255" s="26"/>
      <c r="BJ2255" s="26"/>
      <c r="BK2255" s="26"/>
      <c r="BL2255" s="26"/>
      <c r="BM2255" s="26"/>
      <c r="BN2255" s="26"/>
      <c r="BO2255" s="26"/>
      <c r="BP2255" s="16" t="n">
        <v>45645</v>
      </c>
      <c r="BQ2255" s="28" t="str">
        <f>HYPERLINK("https://organic.ams.usda.gov/Integrity/Certificate.aspx?cid=21&amp;nopid=1780891272")</f>
        <v>https://organic.ams.usda.gov/Integrity/Certificate.aspx?cid=21&amp;nopid=1780891272</v>
      </c>
    </row>
    <row r="2256">
      <c r="A2256" t="s">
        <v>3</v>
      </c>
      <c r="B2256" s="6" t="s">
        <v>19</v>
      </c>
      <c r="C2256" s="6" t="s">
        <v>85</v>
      </c>
      <c r="D2256" s="6" t="s">
        <v>150</v>
      </c>
      <c r="E2256" s="10" t="s">
        <v>2454</v>
      </c>
      <c r="F2256" s="6" t="s">
        <v>4654</v>
      </c>
      <c r="G2256" s="6" t="s">
        <v>104</v>
      </c>
      <c r="H2256" s="6" t="s">
        <v>6907</v>
      </c>
      <c r="I2256" s="6" t="s">
        <v>8122</v>
      </c>
      <c r="J2256" s="6" t="s">
        <v>9708</v>
      </c>
      <c r="K2256" s="6" t="s">
        <v>9714</v>
      </c>
      <c r="L2256" s="16" t="n">
        <v>44532</v>
      </c>
      <c r="M2256" s="16" t="n">
        <v>45717</v>
      </c>
      <c r="N2256" s="6" t="s">
        <v>104</v>
      </c>
      <c r="O2256" s="21" t="s">
        <v>104</v>
      </c>
      <c r="P2256" s="6" t="s">
        <v>104</v>
      </c>
      <c r="Q2256" s="6" t="s">
        <v>104</v>
      </c>
      <c r="R2256" s="6" t="s">
        <v>104</v>
      </c>
      <c r="S2256" s="6" t="s">
        <v>104</v>
      </c>
      <c r="T2256" s="21" t="s">
        <v>104</v>
      </c>
      <c r="U2256" s="6" t="s">
        <v>104</v>
      </c>
      <c r="V2256" s="6" t="s">
        <v>104</v>
      </c>
      <c r="W2256" s="6" t="s">
        <v>104</v>
      </c>
      <c r="X2256" s="6" t="s">
        <v>104</v>
      </c>
      <c r="Y2256" s="21" t="s">
        <v>104</v>
      </c>
      <c r="Z2256" s="6" t="s">
        <v>104</v>
      </c>
      <c r="AA2256" s="6" t="s">
        <v>104</v>
      </c>
      <c r="AB2256" s="6" t="s">
        <v>104</v>
      </c>
      <c r="AC2256" s="6" t="s">
        <v>9714</v>
      </c>
      <c r="AD2256" s="16" t="n">
        <v>44532</v>
      </c>
      <c r="AE2256" s="6" t="s">
        <v>12474</v>
      </c>
      <c r="AF2256" s="6" t="s">
        <v>104</v>
      </c>
      <c r="AG2256" s="6" t="s">
        <v>104</v>
      </c>
      <c r="AH2256" s="6" t="s">
        <v>15220</v>
      </c>
      <c r="AI2256" s="6" t="s">
        <v>104</v>
      </c>
      <c r="AJ2256" s="6" t="s">
        <v>16631</v>
      </c>
      <c r="AK2256" s="6" t="s">
        <v>16687</v>
      </c>
      <c r="AL2256" s="6" t="s">
        <v>16931</v>
      </c>
      <c r="AM2256" s="6" t="s">
        <v>18443</v>
      </c>
      <c r="AN2256" s="6" t="s">
        <v>18510</v>
      </c>
      <c r="AO2256" s="6" t="s">
        <v>18929</v>
      </c>
      <c r="AP2256" s="6" t="s">
        <v>19542</v>
      </c>
      <c r="AQ2256" s="6" t="s">
        <v>104</v>
      </c>
      <c r="AR2256" s="6" t="s">
        <v>16631</v>
      </c>
      <c r="AS2256" s="6" t="s">
        <v>16687</v>
      </c>
      <c r="AT2256" s="6" t="s">
        <v>16931</v>
      </c>
      <c r="AU2256" s="6" t="s">
        <v>18443</v>
      </c>
      <c r="AV2256" s="6" t="s">
        <v>104</v>
      </c>
      <c r="AW2256" s="6" t="s">
        <v>104</v>
      </c>
      <c r="AX2256" s="6" t="s">
        <v>21843</v>
      </c>
      <c r="AY2256" s="6" t="s">
        <v>23679</v>
      </c>
      <c r="AZ2256" s="6" t="s">
        <v>104</v>
      </c>
      <c r="BA2256" s="6" t="s">
        <v>104</v>
      </c>
      <c r="BB2256" s="6" t="s">
        <v>104</v>
      </c>
      <c r="BC2256" s="26"/>
      <c r="BD2256" s="26"/>
      <c r="BE2256" s="26"/>
      <c r="BF2256" s="26"/>
      <c r="BG2256" s="26"/>
      <c r="BH2256" s="26"/>
      <c r="BI2256" s="26"/>
      <c r="BJ2256" s="26"/>
      <c r="BK2256" s="26"/>
      <c r="BL2256" s="26"/>
      <c r="BM2256" s="26"/>
      <c r="BN2256" s="26"/>
      <c r="BO2256" s="26"/>
      <c r="BP2256" s="16" t="n">
        <v>45702</v>
      </c>
      <c r="BQ2256" s="28" t="str">
        <f>HYPERLINK("https://organic.ams.usda.gov/Integrity/Certificate.aspx?cid=68&amp;nopid=8210008280")</f>
        <v>https://organic.ams.usda.gov/Integrity/Certificate.aspx?cid=68&amp;nopid=8210008280</v>
      </c>
    </row>
    <row r="2257">
      <c r="A2257" t="s">
        <v>3</v>
      </c>
      <c r="B2257" s="6" t="s">
        <v>13</v>
      </c>
      <c r="C2257" s="6" t="s">
        <v>79</v>
      </c>
      <c r="D2257" s="6" t="s">
        <v>144</v>
      </c>
      <c r="E2257" s="10" t="s">
        <v>2455</v>
      </c>
      <c r="F2257" s="6" t="s">
        <v>4655</v>
      </c>
      <c r="G2257" s="6" t="s">
        <v>104</v>
      </c>
      <c r="H2257" s="6" t="s">
        <v>6908</v>
      </c>
      <c r="I2257" s="6" t="s">
        <v>8123</v>
      </c>
      <c r="J2257" s="6" t="s">
        <v>9709</v>
      </c>
      <c r="K2257" s="6" t="s">
        <v>9714</v>
      </c>
      <c r="L2257" s="16" t="n">
        <v>44025</v>
      </c>
      <c r="M2257" s="16" t="n">
        <v>46023</v>
      </c>
      <c r="N2257" s="6" t="s">
        <v>104</v>
      </c>
      <c r="O2257" s="21" t="s">
        <v>104</v>
      </c>
      <c r="P2257" s="6" t="s">
        <v>104</v>
      </c>
      <c r="Q2257" s="6" t="s">
        <v>104</v>
      </c>
      <c r="R2257" s="6" t="s">
        <v>104</v>
      </c>
      <c r="S2257" s="6" t="s">
        <v>104</v>
      </c>
      <c r="T2257" s="21" t="s">
        <v>104</v>
      </c>
      <c r="U2257" s="6" t="s">
        <v>104</v>
      </c>
      <c r="V2257" s="6" t="s">
        <v>104</v>
      </c>
      <c r="W2257" s="6" t="s">
        <v>104</v>
      </c>
      <c r="X2257" s="6" t="s">
        <v>104</v>
      </c>
      <c r="Y2257" s="21" t="s">
        <v>104</v>
      </c>
      <c r="Z2257" s="6" t="s">
        <v>104</v>
      </c>
      <c r="AA2257" s="6" t="s">
        <v>104</v>
      </c>
      <c r="AB2257" s="6" t="s">
        <v>104</v>
      </c>
      <c r="AC2257" s="6" t="s">
        <v>9714</v>
      </c>
      <c r="AD2257" s="16" t="n">
        <v>44025</v>
      </c>
      <c r="AE2257" s="6" t="s">
        <v>12475</v>
      </c>
      <c r="AF2257" s="6" t="s">
        <v>104</v>
      </c>
      <c r="AG2257" s="6" t="s">
        <v>104</v>
      </c>
      <c r="AH2257" s="6" t="s">
        <v>104</v>
      </c>
      <c r="AI2257" s="6" t="s">
        <v>104</v>
      </c>
      <c r="AJ2257" s="6" t="s">
        <v>104</v>
      </c>
      <c r="AK2257" s="6" t="s">
        <v>104</v>
      </c>
      <c r="AL2257" s="6" t="s">
        <v>104</v>
      </c>
      <c r="AM2257" s="6" t="s">
        <v>104</v>
      </c>
      <c r="AN2257" s="6" t="s">
        <v>104</v>
      </c>
      <c r="AO2257" s="6" t="s">
        <v>104</v>
      </c>
      <c r="AP2257" s="6" t="s">
        <v>19543</v>
      </c>
      <c r="AQ2257" s="6" t="s">
        <v>104</v>
      </c>
      <c r="AR2257" s="6" t="s">
        <v>15454</v>
      </c>
      <c r="AS2257" s="6" t="s">
        <v>16382</v>
      </c>
      <c r="AT2257" s="6" t="s">
        <v>16931</v>
      </c>
      <c r="AU2257" s="6" t="s">
        <v>17083</v>
      </c>
      <c r="AV2257" s="6" t="s">
        <v>18492</v>
      </c>
      <c r="AW2257" s="6" t="s">
        <v>18637</v>
      </c>
      <c r="AX2257" s="6" t="s">
        <v>21844</v>
      </c>
      <c r="AY2257" s="6" t="s">
        <v>23680</v>
      </c>
      <c r="AZ2257" s="6" t="s">
        <v>104</v>
      </c>
      <c r="BA2257" s="6" t="s">
        <v>104</v>
      </c>
      <c r="BB2257" s="6" t="s">
        <v>104</v>
      </c>
      <c r="BC2257" s="26"/>
      <c r="BD2257" s="26"/>
      <c r="BE2257" s="26"/>
      <c r="BF2257" s="26"/>
      <c r="BG2257" s="26"/>
      <c r="BH2257" s="26"/>
      <c r="BI2257" s="26"/>
      <c r="BJ2257" s="26"/>
      <c r="BK2257" s="26"/>
      <c r="BL2257" s="26"/>
      <c r="BM2257" s="26"/>
      <c r="BN2257" s="26"/>
      <c r="BO2257" s="26"/>
      <c r="BP2257" s="16" t="n">
        <v>45721</v>
      </c>
      <c r="BQ2257" s="28" t="str">
        <f>HYPERLINK("https://organic.ams.usda.gov/Integrity/Certificate.aspx?cid=62&amp;nopid=8150014961")</f>
        <v>https://organic.ams.usda.gov/Integrity/Certificate.aspx?cid=62&amp;nopid=8150014961</v>
      </c>
    </row>
    <row r="2258">
      <c r="A2258" t="s">
        <v>3</v>
      </c>
      <c r="B2258" s="6" t="s">
        <v>17</v>
      </c>
      <c r="C2258" s="6" t="s">
        <v>83</v>
      </c>
      <c r="D2258" s="6" t="s">
        <v>148</v>
      </c>
      <c r="E2258" s="10" t="s">
        <v>2456</v>
      </c>
      <c r="F2258" s="6" t="s">
        <v>4656</v>
      </c>
      <c r="G2258" s="6" t="s">
        <v>104</v>
      </c>
      <c r="H2258" s="6" t="s">
        <v>6909</v>
      </c>
      <c r="I2258" s="6" t="s">
        <v>6978</v>
      </c>
      <c r="J2258" s="6" t="s">
        <v>9710</v>
      </c>
      <c r="K2258" s="6" t="s">
        <v>9714</v>
      </c>
      <c r="L2258" s="16" t="n">
        <v>44362</v>
      </c>
      <c r="M2258" s="16" t="n">
        <v>45383</v>
      </c>
      <c r="N2258" s="6" t="s">
        <v>104</v>
      </c>
      <c r="O2258" s="21" t="s">
        <v>104</v>
      </c>
      <c r="P2258" s="6" t="s">
        <v>104</v>
      </c>
      <c r="Q2258" s="6" t="s">
        <v>104</v>
      </c>
      <c r="R2258" s="6" t="s">
        <v>104</v>
      </c>
      <c r="S2258" s="6" t="s">
        <v>104</v>
      </c>
      <c r="T2258" s="21" t="s">
        <v>104</v>
      </c>
      <c r="U2258" s="6" t="s">
        <v>104</v>
      </c>
      <c r="V2258" s="6" t="s">
        <v>104</v>
      </c>
      <c r="W2258" s="6" t="s">
        <v>104</v>
      </c>
      <c r="X2258" s="6" t="s">
        <v>104</v>
      </c>
      <c r="Y2258" s="21" t="s">
        <v>104</v>
      </c>
      <c r="Z2258" s="6" t="s">
        <v>104</v>
      </c>
      <c r="AA2258" s="6" t="s">
        <v>104</v>
      </c>
      <c r="AB2258" s="6" t="s">
        <v>104</v>
      </c>
      <c r="AC2258" s="6" t="s">
        <v>9714</v>
      </c>
      <c r="AD2258" s="16" t="n">
        <v>44362</v>
      </c>
      <c r="AE2258" s="6" t="s">
        <v>12476</v>
      </c>
      <c r="AF2258" s="6" t="s">
        <v>104</v>
      </c>
      <c r="AG2258" s="6" t="s">
        <v>104</v>
      </c>
      <c r="AH2258" s="6" t="s">
        <v>15221</v>
      </c>
      <c r="AI2258" s="6" t="s">
        <v>104</v>
      </c>
      <c r="AJ2258" s="6" t="s">
        <v>15984</v>
      </c>
      <c r="AK2258" s="6" t="s">
        <v>16370</v>
      </c>
      <c r="AL2258" s="6" t="s">
        <v>16931</v>
      </c>
      <c r="AM2258" s="6" t="s">
        <v>18444</v>
      </c>
      <c r="AN2258" s="6" t="s">
        <v>18533</v>
      </c>
      <c r="AO2258" s="6" t="s">
        <v>18726</v>
      </c>
      <c r="AP2258" s="6" t="s">
        <v>15221</v>
      </c>
      <c r="AQ2258" s="6" t="s">
        <v>104</v>
      </c>
      <c r="AR2258" s="6" t="s">
        <v>15984</v>
      </c>
      <c r="AS2258" s="6" t="s">
        <v>16370</v>
      </c>
      <c r="AT2258" s="6" t="s">
        <v>16931</v>
      </c>
      <c r="AU2258" s="6" t="s">
        <v>18444</v>
      </c>
      <c r="AV2258" s="6" t="s">
        <v>104</v>
      </c>
      <c r="AW2258" s="6" t="s">
        <v>104</v>
      </c>
      <c r="AX2258" s="6" t="s">
        <v>21845</v>
      </c>
      <c r="AY2258" s="6" t="s">
        <v>23681</v>
      </c>
      <c r="AZ2258" s="6" t="s">
        <v>104</v>
      </c>
      <c r="BA2258" s="6" t="s">
        <v>104</v>
      </c>
      <c r="BB2258" s="24" t="n">
        <v>0</v>
      </c>
      <c r="BC2258" s="26"/>
      <c r="BD2258" s="26"/>
      <c r="BE2258" s="26"/>
      <c r="BF2258" s="26"/>
      <c r="BG2258" s="26"/>
      <c r="BH2258" s="26"/>
      <c r="BI2258" s="26"/>
      <c r="BJ2258" s="26"/>
      <c r="BK2258" s="26"/>
      <c r="BL2258" s="26"/>
      <c r="BM2258" s="26"/>
      <c r="BN2258" s="26"/>
      <c r="BO2258" s="26"/>
      <c r="BP2258" s="16" t="n">
        <v>45710</v>
      </c>
      <c r="BQ2258" s="28" t="str">
        <f>HYPERLINK("https://organic.ams.usda.gov/Integrity/Certificate.aspx?cid=51&amp;nopid=8240061521")</f>
        <v>https://organic.ams.usda.gov/Integrity/Certificate.aspx?cid=51&amp;nopid=8240061521</v>
      </c>
    </row>
    <row r="2259">
      <c r="A2259" t="s">
        <v>3</v>
      </c>
      <c r="B2259" s="6" t="s">
        <v>20</v>
      </c>
      <c r="C2259" s="6" t="s">
        <v>86</v>
      </c>
      <c r="D2259" s="6" t="s">
        <v>151</v>
      </c>
      <c r="E2259" s="10" t="s">
        <v>2457</v>
      </c>
      <c r="F2259" s="6" t="s">
        <v>4657</v>
      </c>
      <c r="G2259" s="6" t="s">
        <v>104</v>
      </c>
      <c r="H2259" s="6" t="s">
        <v>6910</v>
      </c>
      <c r="I2259" s="6" t="s">
        <v>8124</v>
      </c>
      <c r="J2259" s="6" t="s">
        <v>7206</v>
      </c>
      <c r="K2259" s="6" t="s">
        <v>9714</v>
      </c>
      <c r="L2259" s="16" t="n">
        <v>42542</v>
      </c>
      <c r="M2259" s="16" t="n">
        <v>45838</v>
      </c>
      <c r="N2259" s="6" t="s">
        <v>104</v>
      </c>
      <c r="O2259" s="21" t="s">
        <v>104</v>
      </c>
      <c r="P2259" s="6" t="s">
        <v>104</v>
      </c>
      <c r="Q2259" s="6" t="s">
        <v>104</v>
      </c>
      <c r="R2259" s="6" t="s">
        <v>104</v>
      </c>
      <c r="S2259" s="6" t="s">
        <v>104</v>
      </c>
      <c r="T2259" s="21" t="s">
        <v>104</v>
      </c>
      <c r="U2259" s="6" t="s">
        <v>104</v>
      </c>
      <c r="V2259" s="6" t="s">
        <v>104</v>
      </c>
      <c r="W2259" s="6" t="s">
        <v>104</v>
      </c>
      <c r="X2259" s="6" t="s">
        <v>104</v>
      </c>
      <c r="Y2259" s="21" t="s">
        <v>104</v>
      </c>
      <c r="Z2259" s="6" t="s">
        <v>104</v>
      </c>
      <c r="AA2259" s="6" t="s">
        <v>104</v>
      </c>
      <c r="AB2259" s="6" t="s">
        <v>104</v>
      </c>
      <c r="AC2259" s="6" t="s">
        <v>9714</v>
      </c>
      <c r="AD2259" s="16" t="n">
        <v>42542</v>
      </c>
      <c r="AE2259" s="6" t="s">
        <v>12477</v>
      </c>
      <c r="AF2259" s="6" t="s">
        <v>104</v>
      </c>
      <c r="AG2259" s="6" t="s">
        <v>13152</v>
      </c>
      <c r="AH2259" s="6" t="s">
        <v>15222</v>
      </c>
      <c r="AI2259" s="6" t="s">
        <v>104</v>
      </c>
      <c r="AJ2259" s="6" t="s">
        <v>16672</v>
      </c>
      <c r="AK2259" s="6" t="s">
        <v>16825</v>
      </c>
      <c r="AL2259" s="6" t="s">
        <v>16766</v>
      </c>
      <c r="AM2259" s="6" t="s">
        <v>18445</v>
      </c>
      <c r="AN2259" s="6" t="s">
        <v>104</v>
      </c>
      <c r="AO2259" s="6" t="s">
        <v>104</v>
      </c>
      <c r="AP2259" s="6" t="s">
        <v>104</v>
      </c>
      <c r="AQ2259" s="6" t="s">
        <v>104</v>
      </c>
      <c r="AR2259" s="6" t="s">
        <v>104</v>
      </c>
      <c r="AS2259" s="6" t="s">
        <v>104</v>
      </c>
      <c r="AT2259" s="6" t="s">
        <v>104</v>
      </c>
      <c r="AU2259" s="6" t="s">
        <v>104</v>
      </c>
      <c r="AV2259" s="6" t="s">
        <v>104</v>
      </c>
      <c r="AW2259" s="6" t="s">
        <v>104</v>
      </c>
      <c r="AX2259" s="6" t="s">
        <v>21846</v>
      </c>
      <c r="AY2259" s="6" t="s">
        <v>23682</v>
      </c>
      <c r="AZ2259" s="6" t="s">
        <v>104</v>
      </c>
      <c r="BA2259" s="6" t="s">
        <v>104</v>
      </c>
      <c r="BB2259" s="6" t="s">
        <v>104</v>
      </c>
      <c r="BC2259" s="26"/>
      <c r="BD2259" s="26"/>
      <c r="BE2259" s="26"/>
      <c r="BF2259" s="26"/>
      <c r="BG2259" s="26"/>
      <c r="BH2259" s="26"/>
      <c r="BI2259" s="26"/>
      <c r="BJ2259" s="26"/>
      <c r="BK2259" s="26"/>
      <c r="BL2259" s="26"/>
      <c r="BM2259" s="26"/>
      <c r="BN2259" s="26"/>
      <c r="BO2259" s="26"/>
      <c r="BP2259" s="16" t="n">
        <v>45530</v>
      </c>
      <c r="BQ2259" s="28" t="str">
        <f>HYPERLINK("https://organic.ams.usda.gov/Integrity/Certificate.aspx?cid=17&amp;nopid=4087184947")</f>
        <v>https://organic.ams.usda.gov/Integrity/Certificate.aspx?cid=17&amp;nopid=4087184947</v>
      </c>
    </row>
    <row r="2260">
      <c r="A2260" t="s">
        <v>3</v>
      </c>
      <c r="B2260" s="6" t="s">
        <v>15</v>
      </c>
      <c r="C2260" s="6" t="s">
        <v>81</v>
      </c>
      <c r="D2260" s="6" t="s">
        <v>146</v>
      </c>
      <c r="E2260" s="10" t="s">
        <v>2458</v>
      </c>
      <c r="F2260" s="6" t="s">
        <v>4658</v>
      </c>
      <c r="G2260" s="6" t="s">
        <v>104</v>
      </c>
      <c r="H2260" s="6" t="s">
        <v>6911</v>
      </c>
      <c r="I2260" s="6" t="s">
        <v>104</v>
      </c>
      <c r="J2260" s="6" t="s">
        <v>104</v>
      </c>
      <c r="K2260" s="6" t="s">
        <v>9714</v>
      </c>
      <c r="L2260" s="16" t="n">
        <v>41521</v>
      </c>
      <c r="M2260" s="16" t="n">
        <v>46113</v>
      </c>
      <c r="N2260" s="6" t="s">
        <v>104</v>
      </c>
      <c r="O2260" s="21" t="s">
        <v>104</v>
      </c>
      <c r="P2260" s="6" t="s">
        <v>104</v>
      </c>
      <c r="Q2260" s="6" t="s">
        <v>104</v>
      </c>
      <c r="R2260" s="6" t="s">
        <v>104</v>
      </c>
      <c r="S2260" s="6" t="s">
        <v>104</v>
      </c>
      <c r="T2260" s="21" t="s">
        <v>104</v>
      </c>
      <c r="U2260" s="6" t="s">
        <v>104</v>
      </c>
      <c r="V2260" s="6" t="s">
        <v>104</v>
      </c>
      <c r="W2260" s="6" t="s">
        <v>104</v>
      </c>
      <c r="X2260" s="6" t="s">
        <v>104</v>
      </c>
      <c r="Y2260" s="21" t="s">
        <v>104</v>
      </c>
      <c r="Z2260" s="6" t="s">
        <v>104</v>
      </c>
      <c r="AA2260" s="6" t="s">
        <v>104</v>
      </c>
      <c r="AB2260" s="6" t="s">
        <v>104</v>
      </c>
      <c r="AC2260" s="6" t="s">
        <v>9714</v>
      </c>
      <c r="AD2260" s="16" t="n">
        <v>41521</v>
      </c>
      <c r="AE2260" s="6" t="s">
        <v>12478</v>
      </c>
      <c r="AF2260" s="6" t="s">
        <v>104</v>
      </c>
      <c r="AG2260" s="6" t="s">
        <v>13153</v>
      </c>
      <c r="AH2260" s="6" t="s">
        <v>15223</v>
      </c>
      <c r="AI2260" s="6" t="s">
        <v>104</v>
      </c>
      <c r="AJ2260" s="6" t="s">
        <v>16673</v>
      </c>
      <c r="AK2260" s="6" t="s">
        <v>16738</v>
      </c>
      <c r="AL2260" s="6" t="s">
        <v>16931</v>
      </c>
      <c r="AM2260" s="6" t="s">
        <v>18446</v>
      </c>
      <c r="AN2260" s="6" t="s">
        <v>18501</v>
      </c>
      <c r="AO2260" s="6" t="s">
        <v>18633</v>
      </c>
      <c r="AP2260" s="6" t="s">
        <v>104</v>
      </c>
      <c r="AQ2260" s="6" t="s">
        <v>104</v>
      </c>
      <c r="AR2260" s="6" t="s">
        <v>104</v>
      </c>
      <c r="AS2260" s="6" t="s">
        <v>104</v>
      </c>
      <c r="AT2260" s="6" t="s">
        <v>104</v>
      </c>
      <c r="AU2260" s="6" t="s">
        <v>104</v>
      </c>
      <c r="AV2260" s="6" t="s">
        <v>104</v>
      </c>
      <c r="AW2260" s="6" t="s">
        <v>104</v>
      </c>
      <c r="AX2260" s="6" t="s">
        <v>21847</v>
      </c>
      <c r="AY2260" s="6" t="s">
        <v>23683</v>
      </c>
      <c r="AZ2260" s="6" t="s">
        <v>104</v>
      </c>
      <c r="BA2260" s="6" t="s">
        <v>104</v>
      </c>
      <c r="BB2260" s="6" t="s">
        <v>104</v>
      </c>
      <c r="BC2260" s="26"/>
      <c r="BD2260" s="26"/>
      <c r="BE2260" s="26"/>
      <c r="BF2260" s="26"/>
      <c r="BG2260" s="26"/>
      <c r="BH2260" s="26"/>
      <c r="BI2260" s="26"/>
      <c r="BJ2260" s="26"/>
      <c r="BK2260" s="26"/>
      <c r="BL2260" s="26"/>
      <c r="BM2260" s="26"/>
      <c r="BN2260" s="26"/>
      <c r="BO2260" s="26"/>
      <c r="BP2260" s="16" t="n">
        <v>45738</v>
      </c>
      <c r="BQ2260" s="28" t="str">
        <f>HYPERLINK("https://organic.ams.usda.gov/Integrity/Certificate.aspx?cid=52&amp;nopid=8431300542")</f>
        <v>https://organic.ams.usda.gov/Integrity/Certificate.aspx?cid=52&amp;nopid=8431300542</v>
      </c>
    </row>
    <row r="2261">
      <c r="A2261" t="s">
        <v>3</v>
      </c>
      <c r="B2261" s="6" t="s">
        <v>22</v>
      </c>
      <c r="C2261" s="6" t="s">
        <v>88</v>
      </c>
      <c r="D2261" s="6" t="s">
        <v>153</v>
      </c>
      <c r="E2261" s="10" t="s">
        <v>2459</v>
      </c>
      <c r="F2261" s="6" t="s">
        <v>4659</v>
      </c>
      <c r="G2261" s="6" t="s">
        <v>104</v>
      </c>
      <c r="H2261" s="6" t="s">
        <v>6912</v>
      </c>
      <c r="I2261" s="6" t="s">
        <v>8125</v>
      </c>
      <c r="J2261" s="6" t="s">
        <v>9711</v>
      </c>
      <c r="K2261" s="6" t="s">
        <v>9714</v>
      </c>
      <c r="L2261" s="16" t="n">
        <v>44580</v>
      </c>
      <c r="M2261" s="16" t="n">
        <v>46024</v>
      </c>
      <c r="N2261" s="6" t="s">
        <v>9721</v>
      </c>
      <c r="O2261" s="16" t="n">
        <v>44580</v>
      </c>
      <c r="P2261" s="6" t="s">
        <v>104</v>
      </c>
      <c r="Q2261" s="6" t="s">
        <v>104</v>
      </c>
      <c r="R2261" s="6" t="s">
        <v>10460</v>
      </c>
      <c r="S2261" s="6" t="s">
        <v>104</v>
      </c>
      <c r="T2261" s="21" t="s">
        <v>104</v>
      </c>
      <c r="U2261" s="6" t="s">
        <v>104</v>
      </c>
      <c r="V2261" s="6" t="s">
        <v>104</v>
      </c>
      <c r="W2261" s="6" t="s">
        <v>104</v>
      </c>
      <c r="X2261" s="6" t="s">
        <v>104</v>
      </c>
      <c r="Y2261" s="21" t="s">
        <v>104</v>
      </c>
      <c r="Z2261" s="6" t="s">
        <v>104</v>
      </c>
      <c r="AA2261" s="6" t="s">
        <v>104</v>
      </c>
      <c r="AB2261" s="6" t="s">
        <v>104</v>
      </c>
      <c r="AC2261" s="6" t="s">
        <v>9714</v>
      </c>
      <c r="AD2261" s="16" t="n">
        <v>44622</v>
      </c>
      <c r="AE2261" s="6" t="s">
        <v>12479</v>
      </c>
      <c r="AF2261" s="6" t="s">
        <v>104</v>
      </c>
      <c r="AG2261" s="6" t="s">
        <v>10460</v>
      </c>
      <c r="AH2261" s="6" t="s">
        <v>15224</v>
      </c>
      <c r="AI2261" s="6" t="s">
        <v>104</v>
      </c>
      <c r="AJ2261" s="6" t="s">
        <v>16299</v>
      </c>
      <c r="AK2261" s="6" t="s">
        <v>16693</v>
      </c>
      <c r="AL2261" s="6" t="s">
        <v>16931</v>
      </c>
      <c r="AM2261" s="6" t="s">
        <v>18447</v>
      </c>
      <c r="AN2261" s="6" t="s">
        <v>18534</v>
      </c>
      <c r="AO2261" s="6" t="s">
        <v>18938</v>
      </c>
      <c r="AP2261" s="6" t="s">
        <v>15224</v>
      </c>
      <c r="AQ2261" s="6" t="s">
        <v>104</v>
      </c>
      <c r="AR2261" s="6" t="s">
        <v>16299</v>
      </c>
      <c r="AS2261" s="6" t="s">
        <v>16693</v>
      </c>
      <c r="AT2261" s="6" t="s">
        <v>16931</v>
      </c>
      <c r="AU2261" s="6" t="s">
        <v>18447</v>
      </c>
      <c r="AV2261" s="6" t="s">
        <v>104</v>
      </c>
      <c r="AW2261" s="6" t="s">
        <v>104</v>
      </c>
      <c r="AX2261" s="6" t="s">
        <v>21848</v>
      </c>
      <c r="AY2261" s="6" t="s">
        <v>104</v>
      </c>
      <c r="AZ2261" s="6" t="s">
        <v>104</v>
      </c>
      <c r="BA2261" s="6" t="s">
        <v>104</v>
      </c>
      <c r="BB2261" s="6" t="s">
        <v>104</v>
      </c>
      <c r="BC2261" s="26"/>
      <c r="BD2261" s="26"/>
      <c r="BE2261" s="26"/>
      <c r="BF2261" s="26"/>
      <c r="BG2261" s="26"/>
      <c r="BH2261" s="26"/>
      <c r="BI2261" s="26"/>
      <c r="BJ2261" s="26"/>
      <c r="BK2261" s="26"/>
      <c r="BL2261" s="26"/>
      <c r="BM2261" s="26"/>
      <c r="BN2261" s="26"/>
      <c r="BO2261" s="26"/>
      <c r="BP2261" s="16" t="n">
        <v>45681</v>
      </c>
      <c r="BQ2261" s="28" t="str">
        <f>HYPERLINK("https://organic.ams.usda.gov/Integrity/Certificate.aspx?cid=72&amp;nopid=5870001574")</f>
        <v>https://organic.ams.usda.gov/Integrity/Certificate.aspx?cid=72&amp;nopid=5870001574</v>
      </c>
    </row>
    <row r="2262">
      <c r="A2262" t="s">
        <v>3</v>
      </c>
      <c r="B2262" s="6" t="s">
        <v>7</v>
      </c>
      <c r="C2262" s="6" t="s">
        <v>73</v>
      </c>
      <c r="D2262" s="6" t="s">
        <v>138</v>
      </c>
      <c r="E2262" s="10" t="s">
        <v>2460</v>
      </c>
      <c r="F2262" s="6" t="s">
        <v>4660</v>
      </c>
      <c r="G2262" s="6" t="s">
        <v>104</v>
      </c>
      <c r="H2262" s="6" t="s">
        <v>6913</v>
      </c>
      <c r="I2262" s="6" t="s">
        <v>8126</v>
      </c>
      <c r="J2262" s="6" t="s">
        <v>7771</v>
      </c>
      <c r="K2262" s="6" t="s">
        <v>9714</v>
      </c>
      <c r="L2262" s="16" t="n">
        <v>40938</v>
      </c>
      <c r="M2262" s="16" t="n">
        <v>45689</v>
      </c>
      <c r="N2262" s="6" t="s">
        <v>104</v>
      </c>
      <c r="O2262" s="21" t="s">
        <v>104</v>
      </c>
      <c r="P2262" s="6" t="s">
        <v>104</v>
      </c>
      <c r="Q2262" s="6" t="s">
        <v>104</v>
      </c>
      <c r="R2262" s="6" t="s">
        <v>104</v>
      </c>
      <c r="S2262" s="6" t="s">
        <v>104</v>
      </c>
      <c r="T2262" s="21" t="s">
        <v>104</v>
      </c>
      <c r="U2262" s="6" t="s">
        <v>104</v>
      </c>
      <c r="V2262" s="6" t="s">
        <v>104</v>
      </c>
      <c r="W2262" s="6" t="s">
        <v>104</v>
      </c>
      <c r="X2262" s="6" t="s">
        <v>104</v>
      </c>
      <c r="Y2262" s="21" t="s">
        <v>104</v>
      </c>
      <c r="Z2262" s="6" t="s">
        <v>104</v>
      </c>
      <c r="AA2262" s="6" t="s">
        <v>104</v>
      </c>
      <c r="AB2262" s="6" t="s">
        <v>104</v>
      </c>
      <c r="AC2262" s="6" t="s">
        <v>9714</v>
      </c>
      <c r="AD2262" s="16" t="n">
        <v>40938</v>
      </c>
      <c r="AE2262" s="6" t="s">
        <v>12480</v>
      </c>
      <c r="AF2262" s="6" t="s">
        <v>104</v>
      </c>
      <c r="AG2262" s="6" t="s">
        <v>104</v>
      </c>
      <c r="AH2262" s="6" t="s">
        <v>15225</v>
      </c>
      <c r="AI2262" s="6" t="s">
        <v>104</v>
      </c>
      <c r="AJ2262" s="6" t="s">
        <v>16674</v>
      </c>
      <c r="AK2262" s="6" t="s">
        <v>16678</v>
      </c>
      <c r="AL2262" s="6" t="s">
        <v>16931</v>
      </c>
      <c r="AM2262" s="6" t="s">
        <v>18448</v>
      </c>
      <c r="AN2262" s="6" t="s">
        <v>18483</v>
      </c>
      <c r="AO2262" s="6" t="s">
        <v>18939</v>
      </c>
      <c r="AP2262" s="6" t="s">
        <v>15225</v>
      </c>
      <c r="AQ2262" s="6" t="s">
        <v>104</v>
      </c>
      <c r="AR2262" s="6" t="s">
        <v>16674</v>
      </c>
      <c r="AS2262" s="6" t="s">
        <v>16678</v>
      </c>
      <c r="AT2262" s="6" t="s">
        <v>16931</v>
      </c>
      <c r="AU2262" s="6" t="s">
        <v>18448</v>
      </c>
      <c r="AV2262" s="6" t="s">
        <v>104</v>
      </c>
      <c r="AW2262" s="6" t="s">
        <v>104</v>
      </c>
      <c r="AX2262" s="6" t="s">
        <v>21849</v>
      </c>
      <c r="AY2262" s="6" t="s">
        <v>23684</v>
      </c>
      <c r="AZ2262" s="6" t="s">
        <v>24255</v>
      </c>
      <c r="BA2262" s="6" t="s">
        <v>104</v>
      </c>
      <c r="BB2262" s="24" t="n">
        <v>0</v>
      </c>
      <c r="BC2262" s="26"/>
      <c r="BD2262" s="26"/>
      <c r="BE2262" s="26"/>
      <c r="BF2262" s="26"/>
      <c r="BG2262" s="26"/>
      <c r="BH2262" s="26"/>
      <c r="BI2262" s="26"/>
      <c r="BJ2262" s="26"/>
      <c r="BK2262" s="26"/>
      <c r="BL2262" s="26"/>
      <c r="BM2262" s="26"/>
      <c r="BN2262" s="26"/>
      <c r="BO2262" s="26"/>
      <c r="BP2262" s="16" t="n">
        <v>45735</v>
      </c>
      <c r="BQ2262" s="28" t="str">
        <f>HYPERLINK("https://organic.ams.usda.gov/Integrity/Certificate.aspx?cid=33&amp;nopid=2170014812")</f>
        <v>https://organic.ams.usda.gov/Integrity/Certificate.aspx?cid=33&amp;nopid=2170014812</v>
      </c>
    </row>
  </sheetData>
  <conditionalFormatting sqref="A1:D1" pivot="false">
    <cfRule priority="0" type="colorScale">
      <colorScale>
        <cfvo type="min"/>
        <cfvo val="50" type="percentile"/>
        <cfvo type="max"/>
        <color rgb="FF63BE7B"/>
        <color rgb="FFFFEB84"/>
        <color rgb="FFF8696B"/>
      </colorScale>
    </cfRule>
  </conditionalFormatting>
  <pageMargins bottom="0.75" footer="0.3" header="0.3" left="0.6999999999999998" right="0.6999999999999998" top="0.75"/>
</worksheet>
</file>

<file path=docProps/core.xml><?xml version="1.0" encoding="utf-8"?>
<cp:coreProperties xmlns:dc="http://purl.org/dc/elements/1.1/" xmlns:cp="http://schemas.openxmlformats.org/package/2006/metadata/core-properties">
  <dc:creator>USDA/AMS/NOP</dc:creator>
</cp:coreProperties>
</file>